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drawings/drawing7.xml" ContentType="application/vnd.openxmlformats-officedocument.drawing+xml"/>
  <Override PartName="/xl/queryTables/queryTable4.xml" ContentType="application/vnd.openxmlformats-officedocument.spreadsheetml.queryTable+xml"/>
  <Override PartName="/xl/queryTables/queryTable5.xml" ContentType="application/vnd.openxmlformats-officedocument.spreadsheetml.queryTab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drawings/drawing8.xml" ContentType="application/vnd.openxmlformats-officedocument.drawing+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drawings/drawing9.xml" ContentType="application/vnd.openxmlformats-officedocument.drawing+xml"/>
  <Override PartName="/xl/drawings/drawing10.xml" ContentType="application/vnd.openxmlformats-officedocument.drawing+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drawings/drawing11.xml" ContentType="application/vnd.openxmlformats-officedocument.drawing+xml"/>
  <Override PartName="/xl/queryTables/queryTable10.xml" ContentType="application/vnd.openxmlformats-officedocument.spreadsheetml.queryTable+xml"/>
  <Override PartName="/xl/queryTables/queryTable11.xml" ContentType="application/vnd.openxmlformats-officedocument.spreadsheetml.queryTab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queryTables/queryTable12.xml" ContentType="application/vnd.openxmlformats-officedocument.spreadsheetml.queryTable+xml"/>
  <Override PartName="/xl/queryTables/queryTable13.xml" ContentType="application/vnd.openxmlformats-officedocument.spreadsheetml.queryTable+xml"/>
  <Override PartName="/xl/comments2.xml" ContentType="application/vnd.openxmlformats-officedocument.spreadsheetml.comments+xml"/>
  <Override PartName="/xl/drawings/drawing12.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drawings/drawing13.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drawings/drawing14.xml" ContentType="application/vnd.openxmlformats-officedocument.drawing+xml"/>
  <Override PartName="/xl/queryTables/queryTable14.xml" ContentType="application/vnd.openxmlformats-officedocument.spreadsheetml.queryTable+xml"/>
  <Override PartName="/xl/queryTables/queryTable15.xml" ContentType="application/vnd.openxmlformats-officedocument.spreadsheetml.queryTab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drawings/drawing15.xml" ContentType="application/vnd.openxmlformats-officedocument.drawing+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drawings/drawing16.xml" ContentType="application/vnd.openxmlformats-officedocument.drawing+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drawings/drawing17.xml" ContentType="application/vnd.openxmlformats-officedocument.drawing+xml"/>
  <Override PartName="/xl/drawings/drawing18.xml" ContentType="application/vnd.openxmlformats-officedocument.drawing+xml"/>
  <Override PartName="/xl/queryTables/queryTable16.xml" ContentType="application/vnd.openxmlformats-officedocument.spreadsheetml.queryTable+xml"/>
  <Override PartName="/xl/queryTables/queryTable17.xml" ContentType="application/vnd.openxmlformats-officedocument.spreadsheetml.queryTable+xml"/>
  <Override PartName="/xl/drawings/drawing19.xml" ContentType="application/vnd.openxmlformats-officedocument.drawing+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drawings/drawing20.xml" ContentType="application/vnd.openxmlformats-officedocument.drawing+xml"/>
  <Override PartName="/xl/queryTables/queryTable18.xml" ContentType="application/vnd.openxmlformats-officedocument.spreadsheetml.queryTable+xml"/>
  <Override PartName="/xl/queryTables/queryTable19.xml" ContentType="application/vnd.openxmlformats-officedocument.spreadsheetml.queryTab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queryTables/queryTable20.xml" ContentType="application/vnd.openxmlformats-officedocument.spreadsheetml.queryTable+xml"/>
  <Override PartName="/xl/drawings/drawing21.xml" ContentType="application/vnd.openxmlformats-officedocument.drawing+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drawings/drawing22.xml" ContentType="application/vnd.openxmlformats-officedocument.drawing+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drawings/drawing23.xml" ContentType="application/vnd.openxmlformats-officedocument.drawing+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drawings/drawing24.xml" ContentType="application/vnd.openxmlformats-officedocument.drawing+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drawings/drawing25.xml" ContentType="application/vnd.openxmlformats-officedocument.drawing+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drawings/drawing26.xml" ContentType="application/vnd.openxmlformats-officedocument.drawing+xml"/>
  <Override PartName="/xl/queryTables/queryTable21.xml" ContentType="application/vnd.openxmlformats-officedocument.spreadsheetml.queryTable+xml"/>
  <Override PartName="/xl/queryTables/queryTable22.xml" ContentType="application/vnd.openxmlformats-officedocument.spreadsheetml.queryTable+xml"/>
  <Override PartName="/xl/drawings/drawing27.xml" ContentType="application/vnd.openxmlformats-officedocument.drawing+xml"/>
  <Override PartName="/xl/charts/chart39.xml" ContentType="application/vnd.openxmlformats-officedocument.drawingml.chart+xml"/>
  <Override PartName="/xl/charts/style39.xml" ContentType="application/vnd.ms-office.chartstyle+xml"/>
  <Override PartName="/xl/charts/colors39.xml" ContentType="application/vnd.ms-office.chartcolorstyle+xml"/>
  <Override PartName="/xl/charts/chart40.xml" ContentType="application/vnd.openxmlformats-officedocument.drawingml.chart+xml"/>
  <Override PartName="/xl/charts/style40.xml" ContentType="application/vnd.ms-office.chartstyle+xml"/>
  <Override PartName="/xl/charts/colors40.xml" ContentType="application/vnd.ms-office.chartcolorstyle+xml"/>
  <Override PartName="/xl/drawings/drawing28.xml" ContentType="application/vnd.openxmlformats-officedocument.drawing+xml"/>
  <Override PartName="/xl/queryTables/queryTable23.xml" ContentType="application/vnd.openxmlformats-officedocument.spreadsheetml.queryTable+xml"/>
  <Override PartName="/xl/queryTables/queryTable24.xml" ContentType="application/vnd.openxmlformats-officedocument.spreadsheetml.queryTable+xml"/>
  <Override PartName="/xl/comments3.xml" ContentType="application/vnd.openxmlformats-officedocument.spreadsheetml.comments+xml"/>
  <Override PartName="/xl/charts/chart41.xml" ContentType="application/vnd.openxmlformats-officedocument.drawingml.chart+xml"/>
  <Override PartName="/xl/charts/style41.xml" ContentType="application/vnd.ms-office.chartstyle+xml"/>
  <Override PartName="/xl/charts/colors41.xml" ContentType="application/vnd.ms-office.chartcolorstyle+xml"/>
  <Override PartName="/xl/drawings/drawing29.xml" ContentType="application/vnd.openxmlformats-officedocument.drawing+xml"/>
  <Override PartName="/xl/charts/chart42.xml" ContentType="application/vnd.openxmlformats-officedocument.drawingml.chart+xml"/>
  <Override PartName="/xl/charts/style42.xml" ContentType="application/vnd.ms-office.chartstyle+xml"/>
  <Override PartName="/xl/charts/colors42.xml" ContentType="application/vnd.ms-office.chartcolorstyle+xml"/>
  <Override PartName="/xl/charts/chart43.xml" ContentType="application/vnd.openxmlformats-officedocument.drawingml.chart+xml"/>
  <Override PartName="/xl/charts/style43.xml" ContentType="application/vnd.ms-office.chartstyle+xml"/>
  <Override PartName="/xl/charts/colors43.xml" ContentType="application/vnd.ms-office.chartcolorstyle+xml"/>
  <Override PartName="/xl/drawings/drawing30.xml" ContentType="application/vnd.openxmlformats-officedocument.drawing+xml"/>
  <Override PartName="/xl/charts/chart44.xml" ContentType="application/vnd.openxmlformats-officedocument.drawingml.chart+xml"/>
  <Override PartName="/xl/charts/style44.xml" ContentType="application/vnd.ms-office.chartstyle+xml"/>
  <Override PartName="/xl/charts/colors44.xml" ContentType="application/vnd.ms-office.chartcolorstyle+xml"/>
  <Override PartName="/xl/charts/chart45.xml" ContentType="application/vnd.openxmlformats-officedocument.drawingml.chart+xml"/>
  <Override PartName="/xl/charts/style45.xml" ContentType="application/vnd.ms-office.chartstyle+xml"/>
  <Override PartName="/xl/charts/colors45.xml" ContentType="application/vnd.ms-office.chartcolorstyle+xml"/>
  <Override PartName="/xl/drawings/drawing31.xml" ContentType="application/vnd.openxmlformats-officedocument.drawing+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drawings/drawing32.xml" ContentType="application/vnd.openxmlformats-officedocument.drawing+xml"/>
  <Override PartName="/xl/queryTables/queryTable29.xml" ContentType="application/vnd.openxmlformats-officedocument.spreadsheetml.queryTable+xml"/>
  <Override PartName="/xl/queryTables/queryTable30.xml" ContentType="application/vnd.openxmlformats-officedocument.spreadsheetml.queryTable+xml"/>
  <Override PartName="/xl/drawings/drawing33.xml" ContentType="application/vnd.openxmlformats-officedocument.drawing+xml"/>
  <Override PartName="/xl/queryTables/queryTable31.xml" ContentType="application/vnd.openxmlformats-officedocument.spreadsheetml.queryTable+xml"/>
  <Override PartName="/xl/queryTables/queryTable32.xml" ContentType="application/vnd.openxmlformats-officedocument.spreadsheetml.queryTable+xml"/>
  <Override PartName="/xl/charts/chart46.xml" ContentType="application/vnd.openxmlformats-officedocument.drawingml.chart+xml"/>
  <Override PartName="/xl/charts/style46.xml" ContentType="application/vnd.ms-office.chartstyle+xml"/>
  <Override PartName="/xl/charts/colors46.xml" ContentType="application/vnd.ms-office.chartcolorstyle+xml"/>
  <Override PartName="/xl/drawings/drawing34.xml" ContentType="application/vnd.openxmlformats-officedocument.drawing+xml"/>
  <Override PartName="/xl/queryTables/queryTable33.xml" ContentType="application/vnd.openxmlformats-officedocument.spreadsheetml.queryTable+xml"/>
  <Override PartName="/xl/drawings/drawing35.xml" ContentType="application/vnd.openxmlformats-officedocument.drawing+xml"/>
  <Override PartName="/xl/queryTables/queryTable34.xml" ContentType="application/vnd.openxmlformats-officedocument.spreadsheetml.queryTable+xml"/>
  <Override PartName="/xl/queryTables/queryTable35.xml" ContentType="application/vnd.openxmlformats-officedocument.spreadsheetml.queryTable+xml"/>
  <Override PartName="/xl/charts/chart47.xml" ContentType="application/vnd.openxmlformats-officedocument.drawingml.chart+xml"/>
  <Override PartName="/xl/charts/style47.xml" ContentType="application/vnd.ms-office.chartstyle+xml"/>
  <Override PartName="/xl/charts/colors47.xml" ContentType="application/vnd.ms-office.chartcolorstyle+xml"/>
  <Override PartName="/xl/drawings/drawing36.xml" ContentType="application/vnd.openxmlformats-officedocument.drawing+xml"/>
  <Override PartName="/xl/queryTables/queryTable36.xml" ContentType="application/vnd.openxmlformats-officedocument.spreadsheetml.queryTable+xml"/>
  <Override PartName="/xl/queryTables/queryTable37.xml" ContentType="application/vnd.openxmlformats-officedocument.spreadsheetml.queryTable+xml"/>
  <Override PartName="/xl/charts/chart48.xml" ContentType="application/vnd.openxmlformats-officedocument.drawingml.chart+xml"/>
  <Override PartName="/xl/charts/style48.xml" ContentType="application/vnd.ms-office.chartstyle+xml"/>
  <Override PartName="/xl/charts/colors48.xml" ContentType="application/vnd.ms-office.chartcolorsty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tables/table1.xml" ContentType="application/vnd.openxmlformats-officedocument.spreadsheetml.table+xml"/>
  <Override PartName="/xl/queryTables/queryTable41.xml" ContentType="application/vnd.openxmlformats-officedocument.spreadsheetml.queryTable+xml"/>
  <Override PartName="/xl/drawings/drawing37.xml" ContentType="application/vnd.openxmlformats-officedocument.drawing+xml"/>
  <Override PartName="/xl/charts/chart49.xml" ContentType="application/vnd.openxmlformats-officedocument.drawingml.chart+xml"/>
  <Override PartName="/xl/charts/style49.xml" ContentType="application/vnd.ms-office.chartstyle+xml"/>
  <Override PartName="/xl/charts/colors49.xml" ContentType="application/vnd.ms-office.chartcolorstyle+xml"/>
  <Override PartName="/xl/charts/chart50.xml" ContentType="application/vnd.openxmlformats-officedocument.drawingml.chart+xml"/>
  <Override PartName="/xl/charts/style50.xml" ContentType="application/vnd.ms-office.chartstyle+xml"/>
  <Override PartName="/xl/charts/colors50.xml" ContentType="application/vnd.ms-office.chartcolorstyle+xml"/>
  <Override PartName="/xl/drawings/drawing38.xml" ContentType="application/vnd.openxmlformats-officedocument.drawing+xml"/>
  <Override PartName="/xl/charts/chart51.xml" ContentType="application/vnd.openxmlformats-officedocument.drawingml.chart+xml"/>
  <Override PartName="/xl/charts/style51.xml" ContentType="application/vnd.ms-office.chartstyle+xml"/>
  <Override PartName="/xl/charts/colors51.xml" ContentType="application/vnd.ms-office.chartcolorstyle+xml"/>
  <Override PartName="/xl/charts/chart52.xml" ContentType="application/vnd.openxmlformats-officedocument.drawingml.chart+xml"/>
  <Override PartName="/xl/charts/style52.xml" ContentType="application/vnd.ms-office.chartstyle+xml"/>
  <Override PartName="/xl/charts/colors52.xml" ContentType="application/vnd.ms-office.chartcolorstyle+xml"/>
  <Override PartName="/xl/drawings/drawing39.xml" ContentType="application/vnd.openxmlformats-officedocument.drawing+xml"/>
  <Override PartName="/xl/drawings/drawing40.xml" ContentType="application/vnd.openxmlformats-officedocument.drawing+xml"/>
  <Override PartName="/xl/queryTables/queryTable42.xml" ContentType="application/vnd.openxmlformats-officedocument.spreadsheetml.queryTable+xml"/>
  <Override PartName="/xl/queryTables/queryTable43.xml" ContentType="application/vnd.openxmlformats-officedocument.spreadsheetml.queryTable+xml"/>
  <Override PartName="/xl/comments4.xml" ContentType="application/vnd.openxmlformats-officedocument.spreadsheetml.comments+xml"/>
  <Override PartName="/xl/charts/chart53.xml" ContentType="application/vnd.openxmlformats-officedocument.drawingml.chart+xml"/>
  <Override PartName="/xl/charts/style53.xml" ContentType="application/vnd.ms-office.chartstyle+xml"/>
  <Override PartName="/xl/charts/colors53.xml" ContentType="application/vnd.ms-office.chartcolorstyle+xml"/>
  <Override PartName="/xl/drawings/drawing41.xml" ContentType="application/vnd.openxmlformats-officedocument.drawing+xml"/>
  <Override PartName="/xl/drawings/drawing42.xml" ContentType="application/vnd.openxmlformats-officedocument.drawing+xml"/>
  <Override PartName="/xl/queryTables/queryTable44.xml" ContentType="application/vnd.openxmlformats-officedocument.spreadsheetml.queryTable+xml"/>
  <Override PartName="/xl/queryTables/queryTable45.xml" ContentType="application/vnd.openxmlformats-officedocument.spreadsheetml.queryTable+xml"/>
  <Override PartName="/xl/charts/chart54.xml" ContentType="application/vnd.openxmlformats-officedocument.drawingml.chart+xml"/>
  <Override PartName="/xl/charts/style54.xml" ContentType="application/vnd.ms-office.chartstyle+xml"/>
  <Override PartName="/xl/charts/colors54.xml" ContentType="application/vnd.ms-office.chartcolorstyle+xml"/>
  <Override PartName="/xl/queryTables/queryTable46.xml" ContentType="application/vnd.openxmlformats-officedocument.spreadsheetml.queryTable+xml"/>
  <Override PartName="/xl/queryTables/queryTable47.xml" ContentType="application/vnd.openxmlformats-officedocument.spreadsheetml.queryTable+xml"/>
  <Override PartName="/xl/drawings/drawing43.xml" ContentType="application/vnd.openxmlformats-officedocument.drawing+xml"/>
  <Override PartName="/xl/charts/chart55.xml" ContentType="application/vnd.openxmlformats-officedocument.drawingml.chart+xml"/>
  <Override PartName="/xl/charts/style55.xml" ContentType="application/vnd.ms-office.chartstyle+xml"/>
  <Override PartName="/xl/charts/colors55.xml" ContentType="application/vnd.ms-office.chartcolorstyle+xml"/>
  <Override PartName="/xl/charts/chart56.xml" ContentType="application/vnd.openxmlformats-officedocument.drawingml.chart+xml"/>
  <Override PartName="/xl/charts/style56.xml" ContentType="application/vnd.ms-office.chartstyle+xml"/>
  <Override PartName="/xl/charts/colors56.xml" ContentType="application/vnd.ms-office.chartcolorstyle+xml"/>
  <Override PartName="/xl/drawings/drawing44.xml" ContentType="application/vnd.openxmlformats-officedocument.drawing+xml"/>
  <Override PartName="/xl/charts/chart57.xml" ContentType="application/vnd.openxmlformats-officedocument.drawingml.chart+xml"/>
  <Override PartName="/xl/charts/style57.xml" ContentType="application/vnd.ms-office.chartstyle+xml"/>
  <Override PartName="/xl/charts/colors57.xml" ContentType="application/vnd.ms-office.chartcolorstyle+xml"/>
  <Override PartName="/xl/charts/chart58.xml" ContentType="application/vnd.openxmlformats-officedocument.drawingml.chart+xml"/>
  <Override PartName="/xl/charts/style58.xml" ContentType="application/vnd.ms-office.chartstyle+xml"/>
  <Override PartName="/xl/charts/colors58.xml" ContentType="application/vnd.ms-office.chartcolorstyle+xml"/>
  <Override PartName="/xl/drawings/drawing45.xml" ContentType="application/vnd.openxmlformats-officedocument.drawing+xml"/>
  <Override PartName="/xl/queryTables/queryTable48.xml" ContentType="application/vnd.openxmlformats-officedocument.spreadsheetml.queryTable+xml"/>
  <Override PartName="/xl/queryTables/queryTable49.xml" ContentType="application/vnd.openxmlformats-officedocument.spreadsheetml.queryTable+xml"/>
  <Override PartName="/xl/charts/chart59.xml" ContentType="application/vnd.openxmlformats-officedocument.drawingml.chart+xml"/>
  <Override PartName="/xl/charts/style59.xml" ContentType="application/vnd.ms-office.chartstyle+xml"/>
  <Override PartName="/xl/charts/colors59.xml" ContentType="application/vnd.ms-office.chartcolorstyle+xml"/>
  <Override PartName="/xl/drawings/drawing46.xml" ContentType="application/vnd.openxmlformats-officedocument.drawing+xml"/>
  <Override PartName="/xl/charts/chart60.xml" ContentType="application/vnd.openxmlformats-officedocument.drawingml.chart+xml"/>
  <Override PartName="/xl/charts/style60.xml" ContentType="application/vnd.ms-office.chartstyle+xml"/>
  <Override PartName="/xl/charts/colors60.xml" ContentType="application/vnd.ms-office.chartcolorstyle+xml"/>
  <Override PartName="/xl/charts/chart61.xml" ContentType="application/vnd.openxmlformats-officedocument.drawingml.chart+xml"/>
  <Override PartName="/xl/charts/style61.xml" ContentType="application/vnd.ms-office.chartstyle+xml"/>
  <Override PartName="/xl/charts/colors61.xml" ContentType="application/vnd.ms-office.chartcolorstyle+xml"/>
  <Override PartName="/xl/drawings/drawing47.xml" ContentType="application/vnd.openxmlformats-officedocument.drawing+xml"/>
  <Override PartName="/xl/charts/chart62.xml" ContentType="application/vnd.openxmlformats-officedocument.drawingml.chart+xml"/>
  <Override PartName="/xl/charts/style62.xml" ContentType="application/vnd.ms-office.chartstyle+xml"/>
  <Override PartName="/xl/charts/colors62.xml" ContentType="application/vnd.ms-office.chartcolorstyle+xml"/>
  <Override PartName="/xl/charts/chart63.xml" ContentType="application/vnd.openxmlformats-officedocument.drawingml.chart+xml"/>
  <Override PartName="/xl/charts/style63.xml" ContentType="application/vnd.ms-office.chartstyle+xml"/>
  <Override PartName="/xl/charts/colors63.xml" ContentType="application/vnd.ms-office.chartcolorstyle+xml"/>
  <Override PartName="/xl/drawings/drawing48.xml" ContentType="application/vnd.openxmlformats-officedocument.drawing+xml"/>
  <Override PartName="/xl/queryTables/queryTable50.xml" ContentType="application/vnd.openxmlformats-officedocument.spreadsheetml.queryTable+xml"/>
  <Override PartName="/xl/queryTables/queryTable51.xml" ContentType="application/vnd.openxmlformats-officedocument.spreadsheetml.queryTable+xml"/>
  <Override PartName="/xl/drawings/drawing49.xml" ContentType="application/vnd.openxmlformats-officedocument.drawing+xml"/>
  <Override PartName="/xl/queryTables/queryTable52.xml" ContentType="application/vnd.openxmlformats-officedocument.spreadsheetml.queryTable+xml"/>
  <Override PartName="/xl/queryTables/queryTable53.xml" ContentType="application/vnd.openxmlformats-officedocument.spreadsheetml.queryTable+xml"/>
  <Override PartName="/xl/charts/chart64.xml" ContentType="application/vnd.openxmlformats-officedocument.drawingml.chart+xml"/>
  <Override PartName="/xl/charts/style64.xml" ContentType="application/vnd.ms-office.chartstyle+xml"/>
  <Override PartName="/xl/charts/colors64.xml" ContentType="application/vnd.ms-office.chartcolorstyle+xml"/>
  <Override PartName="/xl/drawings/drawing50.xml" ContentType="application/vnd.openxmlformats-officedocument.drawing+xml"/>
  <Override PartName="/xl/charts/chart65.xml" ContentType="application/vnd.openxmlformats-officedocument.drawingml.chart+xml"/>
  <Override PartName="/xl/charts/style65.xml" ContentType="application/vnd.ms-office.chartstyle+xml"/>
  <Override PartName="/xl/charts/colors65.xml" ContentType="application/vnd.ms-office.chartcolorstyle+xml"/>
  <Override PartName="/xl/charts/chart66.xml" ContentType="application/vnd.openxmlformats-officedocument.drawingml.chart+xml"/>
  <Override PartName="/xl/charts/style66.xml" ContentType="application/vnd.ms-office.chartstyle+xml"/>
  <Override PartName="/xl/charts/colors66.xml" ContentType="application/vnd.ms-office.chartcolorstyle+xml"/>
  <Override PartName="/xl/drawings/drawing51.xml" ContentType="application/vnd.openxmlformats-officedocument.drawing+xml"/>
  <Override PartName="/xl/drawings/drawing52.xml" ContentType="application/vnd.openxmlformats-officedocument.drawing+xml"/>
  <Override PartName="/xl/charts/chart67.xml" ContentType="application/vnd.openxmlformats-officedocument.drawingml.chart+xml"/>
  <Override PartName="/xl/charts/style67.xml" ContentType="application/vnd.ms-office.chartstyle+xml"/>
  <Override PartName="/xl/charts/colors67.xml" ContentType="application/vnd.ms-office.chartcolorstyle+xml"/>
  <Override PartName="/xl/charts/chart68.xml" ContentType="application/vnd.openxmlformats-officedocument.drawingml.chart+xml"/>
  <Override PartName="/xl/charts/style68.xml" ContentType="application/vnd.ms-office.chartstyle+xml"/>
  <Override PartName="/xl/charts/colors68.xml" ContentType="application/vnd.ms-office.chartcolorstyle+xml"/>
  <Override PartName="/xl/drawings/drawing53.xml" ContentType="application/vnd.openxmlformats-officedocument.drawing+xml"/>
  <Override PartName="/xl/drawings/drawing54.xml" ContentType="application/vnd.openxmlformats-officedocument.drawing+xml"/>
  <Override PartName="/xl/charts/chart69.xml" ContentType="application/vnd.openxmlformats-officedocument.drawingml.chart+xml"/>
  <Override PartName="/xl/charts/style69.xml" ContentType="application/vnd.ms-office.chartstyle+xml"/>
  <Override PartName="/xl/charts/colors69.xml" ContentType="application/vnd.ms-office.chartcolorstyle+xml"/>
  <Override PartName="/xl/charts/chart70.xml" ContentType="application/vnd.openxmlformats-officedocument.drawingml.chart+xml"/>
  <Override PartName="/xl/charts/style70.xml" ContentType="application/vnd.ms-office.chartstyle+xml"/>
  <Override PartName="/xl/charts/colors70.xml" ContentType="application/vnd.ms-office.chartcolorstyle+xml"/>
  <Override PartName="/xl/drawings/drawing55.xml" ContentType="application/vnd.openxmlformats-officedocument.drawing+xml"/>
  <Override PartName="/xl/queryTables/queryTable54.xml" ContentType="application/vnd.openxmlformats-officedocument.spreadsheetml.queryTable+xml"/>
  <Override PartName="/xl/queryTables/queryTable55.xml" ContentType="application/vnd.openxmlformats-officedocument.spreadsheetml.queryTable+xml"/>
  <Override PartName="/xl/charts/chart71.xml" ContentType="application/vnd.openxmlformats-officedocument.drawingml.chart+xml"/>
  <Override PartName="/xl/charts/style71.xml" ContentType="application/vnd.ms-office.chartstyle+xml"/>
  <Override PartName="/xl/charts/colors71.xml" ContentType="application/vnd.ms-office.chartcolorstyle+xml"/>
  <Override PartName="/xl/drawings/drawing56.xml" ContentType="application/vnd.openxmlformats-officedocument.drawing+xml"/>
  <Override PartName="/xl/charts/chart72.xml" ContentType="application/vnd.openxmlformats-officedocument.drawingml.chart+xml"/>
  <Override PartName="/xl/charts/style72.xml" ContentType="application/vnd.ms-office.chartstyle+xml"/>
  <Override PartName="/xl/charts/colors72.xml" ContentType="application/vnd.ms-office.chartcolorstyle+xml"/>
  <Override PartName="/xl/charts/chart73.xml" ContentType="application/vnd.openxmlformats-officedocument.drawingml.chart+xml"/>
  <Override PartName="/xl/charts/style73.xml" ContentType="application/vnd.ms-office.chartstyle+xml"/>
  <Override PartName="/xl/charts/colors73.xml" ContentType="application/vnd.ms-office.chartcolorstyle+xml"/>
  <Override PartName="/xl/drawings/drawing57.xml" ContentType="application/vnd.openxmlformats-officedocument.drawing+xml"/>
  <Override PartName="/xl/queryTables/queryTable56.xml" ContentType="application/vnd.openxmlformats-officedocument.spreadsheetml.queryTable+xml"/>
  <Override PartName="/xl/queryTables/queryTable57.xml" ContentType="application/vnd.openxmlformats-officedocument.spreadsheetml.queryTable+xml"/>
  <Override PartName="/xl/charts/chart74.xml" ContentType="application/vnd.openxmlformats-officedocument.drawingml.chart+xml"/>
  <Override PartName="/xl/charts/style74.xml" ContentType="application/vnd.ms-office.chartstyle+xml"/>
  <Override PartName="/xl/charts/colors74.xml" ContentType="application/vnd.ms-office.chartcolorstyle+xml"/>
  <Override PartName="/xl/drawings/drawing58.xml" ContentType="application/vnd.openxmlformats-officedocument.drawing+xml"/>
  <Override PartName="/xl/queryTables/queryTable58.xml" ContentType="application/vnd.openxmlformats-officedocument.spreadsheetml.queryTable+xml"/>
  <Override PartName="/xl/queryTables/queryTable59.xml" ContentType="application/vnd.openxmlformats-officedocument.spreadsheetml.queryTable+xml"/>
  <Override PartName="/xl/drawings/drawing59.xml" ContentType="application/vnd.openxmlformats-officedocument.drawing+xml"/>
  <Override PartName="/xl/queryTables/queryTable60.xml" ContentType="application/vnd.openxmlformats-officedocument.spreadsheetml.queryTable+xml"/>
  <Override PartName="/xl/queryTables/queryTable61.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GP\"/>
    </mc:Choice>
  </mc:AlternateContent>
  <bookViews>
    <workbookView xWindow="0" yWindow="0" windowWidth="19170" windowHeight="6960" tabRatio="844"/>
  </bookViews>
  <sheets>
    <sheet name="ACTIVE" sheetId="35" r:id="rId1"/>
    <sheet name="Balance" sheetId="38" r:id="rId2"/>
    <sheet name="CLOSED" sheetId="1" r:id="rId3"/>
    <sheet name="AAPL" sheetId="55" state="hidden" r:id="rId4"/>
    <sheet name="ABC" sheetId="107" state="hidden" r:id="rId5"/>
    <sheet name="SIG" sheetId="57" state="hidden" r:id="rId6"/>
    <sheet name="ABMD" sheetId="129" state="hidden" r:id="rId7"/>
    <sheet name="AXP" sheetId="60" state="hidden" r:id="rId8"/>
    <sheet name="DG" sheetId="64" state="hidden" r:id="rId9"/>
    <sheet name="PINC" sheetId="65" state="hidden" r:id="rId10"/>
    <sheet name="AOBC" sheetId="70" state="hidden" r:id="rId11"/>
    <sheet name="CCEP" sheetId="73" state="hidden" r:id="rId12"/>
    <sheet name="BMY" sheetId="71" state="hidden" r:id="rId13"/>
    <sheet name="GPS" sheetId="80" state="hidden" r:id="rId14"/>
    <sheet name="AKAM" sheetId="63" r:id="rId15"/>
    <sheet name="ARNC" sheetId="76" state="hidden" r:id="rId16"/>
    <sheet name="AYI" sheetId="92" state="hidden" r:id="rId17"/>
    <sheet name="BIIB" sheetId="33" r:id="rId18"/>
    <sheet name="CTVA" sheetId="132" state="hidden" r:id="rId19"/>
    <sheet name="CPRI" sheetId="16" r:id="rId20"/>
    <sheet name="COST" sheetId="78" state="hidden" r:id="rId21"/>
    <sheet name="AA" sheetId="3" state="hidden" r:id="rId22"/>
    <sheet name="ADBE" sheetId="85" state="hidden" r:id="rId23"/>
    <sheet name="AOS" sheetId="121" state="hidden" r:id="rId24"/>
    <sheet name="AAP" sheetId="77" state="hidden" r:id="rId25"/>
    <sheet name="AZO" sheetId="83" state="hidden" r:id="rId26"/>
    <sheet name="CMG" sheetId="87" state="hidden" r:id="rId27"/>
    <sheet name="CVS" sheetId="69" r:id="rId28"/>
    <sheet name="PPC" sheetId="113" state="hidden" r:id="rId29"/>
    <sheet name="SKX" sheetId="115" state="hidden" r:id="rId30"/>
    <sheet name="DD" sheetId="109" state="hidden" r:id="rId31"/>
    <sheet name="EOG" sheetId="117" state="hidden" r:id="rId32"/>
    <sheet name="FOXA" sheetId="66" r:id="rId33"/>
    <sheet name="FDX" sheetId="112" state="hidden" r:id="rId34"/>
    <sheet name="CCL" sheetId="126" state="hidden" r:id="rId35"/>
    <sheet name="DOW" sheetId="128" state="hidden" r:id="rId36"/>
    <sheet name="DVN" sheetId="116" state="hidden" r:id="rId37"/>
    <sheet name="ET" sheetId="124" state="hidden" r:id="rId38"/>
    <sheet name="XRAY" sheetId="103" state="hidden" r:id="rId39"/>
    <sheet name="ATVI" sheetId="127" state="hidden" r:id="rId40"/>
    <sheet name="CRI" sheetId="114" state="hidden" r:id="rId41"/>
    <sheet name="PXD" sheetId="119" state="hidden" r:id="rId42"/>
    <sheet name="SLCA" sheetId="122" state="hidden" r:id="rId43"/>
    <sheet name="XLP" sheetId="104" state="hidden" r:id="rId44"/>
    <sheet name="F" sheetId="54" state="hidden" r:id="rId45"/>
    <sheet name="JNJ" sheetId="68" state="hidden" r:id="rId46"/>
    <sheet name="FRC" sheetId="89" state="hidden" r:id="rId47"/>
    <sheet name="CMCSA" sheetId="99" state="hidden" r:id="rId48"/>
    <sheet name="XEC" sheetId="100" state="hidden" r:id="rId49"/>
    <sheet name="DIA" sheetId="91" state="hidden" r:id="rId50"/>
    <sheet name="EW" sheetId="72" state="hidden" r:id="rId51"/>
    <sheet name="TJX" sheetId="79" state="hidden" r:id="rId52"/>
    <sheet name="FL" sheetId="98" state="hidden" r:id="rId53"/>
    <sheet name="GILD" sheetId="31" state="hidden" r:id="rId54"/>
    <sheet name="HAS" sheetId="90" state="hidden" r:id="rId55"/>
    <sheet name="GE" sheetId="86" state="hidden" r:id="rId56"/>
    <sheet name="HSIC" sheetId="82" state="hidden" r:id="rId57"/>
    <sheet name="IEMG" sheetId="105" r:id="rId58"/>
    <sheet name="IPGP" sheetId="120" state="hidden" r:id="rId59"/>
    <sheet name="IWM" sheetId="123" state="hidden" r:id="rId60"/>
    <sheet name="KBWY" sheetId="94" state="hidden" r:id="rId61"/>
    <sheet name="KHC" sheetId="96" state="hidden" r:id="rId62"/>
    <sheet name="KR" sheetId="51" r:id="rId63"/>
    <sheet name="MLM" sheetId="97" state="hidden" r:id="rId64"/>
    <sheet name="ICE" sheetId="95" state="hidden" r:id="rId65"/>
    <sheet name="NKE" sheetId="50" state="hidden" r:id="rId66"/>
    <sheet name="KWEB" sheetId="125" state="hidden" r:id="rId67"/>
    <sheet name="MO" sheetId="102" state="hidden" r:id="rId68"/>
    <sheet name="HES" sheetId="10" state="hidden" r:id="rId69"/>
    <sheet name="LUV" sheetId="62" r:id="rId70"/>
    <sheet name="MOS" sheetId="58" state="hidden" r:id="rId71"/>
    <sheet name="MRO" sheetId="25" r:id="rId72"/>
    <sheet name="MYL" sheetId="56" state="hidden" r:id="rId73"/>
    <sheet name="VGK" sheetId="59" state="hidden" r:id="rId74"/>
    <sheet name="MU" sheetId="17" state="hidden" r:id="rId75"/>
    <sheet name="IP" sheetId="44" state="hidden" r:id="rId76"/>
    <sheet name="INTC" sheetId="13" state="hidden" r:id="rId77"/>
    <sheet name="UNP" sheetId="20" state="hidden" r:id="rId78"/>
    <sheet name="NCLH" sheetId="67" state="hidden" r:id="rId79"/>
    <sheet name="SWKS" sheetId="41" state="hidden" r:id="rId80"/>
    <sheet name="CNI" sheetId="42" state="hidden" r:id="rId81"/>
    <sheet name="CF" sheetId="61" state="hidden" r:id="rId82"/>
    <sheet name="TGT" sheetId="75" state="hidden" r:id="rId83"/>
    <sheet name="NWL" sheetId="46" state="hidden" r:id="rId84"/>
    <sheet name="PDCO" sheetId="88" state="hidden" r:id="rId85"/>
    <sheet name="NVR" sheetId="106" r:id="rId86"/>
    <sheet name="QQQ" sheetId="101" state="hidden" r:id="rId87"/>
    <sheet name="SPY" sheetId="47" state="hidden" r:id="rId88"/>
    <sheet name="ALL" sheetId="22" state="hidden" r:id="rId89"/>
    <sheet name="NSC" sheetId="24" state="hidden" r:id="rId90"/>
    <sheet name="AVGO" sheetId="15" state="hidden" r:id="rId91"/>
    <sheet name="UAL" sheetId="52" state="hidden" r:id="rId92"/>
    <sheet name="CAH" sheetId="53" state="hidden" r:id="rId93"/>
    <sheet name="DAL" sheetId="49" state="hidden" r:id="rId94"/>
    <sheet name="T" sheetId="93" state="hidden" r:id="rId95"/>
    <sheet name="DIS" sheetId="34" state="hidden" r:id="rId96"/>
    <sheet name="STNE" sheetId="133" state="hidden" r:id="rId97"/>
    <sheet name="TEVA" sheetId="74" state="hidden" r:id="rId98"/>
    <sheet name="ULTA" sheetId="81" r:id="rId99"/>
    <sheet name="UVE" sheetId="130" state="hidden" r:id="rId100"/>
    <sheet name="TIF" sheetId="118" state="hidden" r:id="rId101"/>
    <sheet name="TCEHY" sheetId="111" state="hidden" r:id="rId102"/>
    <sheet name="UTX" sheetId="30" state="hidden" r:id="rId103"/>
    <sheet name="UNH" sheetId="26" state="hidden" r:id="rId104"/>
    <sheet name="WBA" sheetId="84" state="hidden" r:id="rId105"/>
    <sheet name="WFC" sheetId="45" state="hidden" r:id="rId106"/>
    <sheet name="WRK" sheetId="108" state="hidden" r:id="rId107"/>
    <sheet name="XLB" sheetId="110" state="hidden" r:id="rId108"/>
    <sheet name="XOP" sheetId="131" state="hidden" r:id="rId109"/>
    <sheet name="WWD" sheetId="28" state="hidden" r:id="rId110"/>
    <sheet name="GIS" sheetId="43" state="hidden" r:id="rId111"/>
    <sheet name="GM" sheetId="29" state="hidden" r:id="rId112"/>
    <sheet name="TMO" sheetId="48" state="hidden" r:id="rId113"/>
    <sheet name="TKR" sheetId="32" state="hidden" r:id="rId114"/>
  </sheets>
  <functionGroups builtInGroupCount="18"/>
  <definedNames>
    <definedName name="_xlnm._FilterDatabase" localSheetId="0" hidden="1">ACTIVE!$E$1:$M$26</definedName>
    <definedName name="hp?s_AA_Historical_Prices_1" localSheetId="21">AA!$W$1:$AC$68</definedName>
    <definedName name="hp?s_AAPL" localSheetId="3">AAPL!#REF!</definedName>
    <definedName name="hp?s_AKAM_Historical_Prices" localSheetId="12">BMY!$W$1:$AC$70</definedName>
    <definedName name="hp?s_ALL_Historical_Prices" localSheetId="88">ALL!$X$1:$AD$69</definedName>
    <definedName name="hp?s_AVGO" localSheetId="90">AVGO!$W$1:$AC$69</definedName>
    <definedName name="hp?s_AXP_Historical_Prices" localSheetId="7">AXP!$W$1:$AC$70</definedName>
    <definedName name="hp?s_BIIB" localSheetId="17">BIIB!#REF!</definedName>
    <definedName name="hp?s_CAH" localSheetId="92">CAH!#REF!</definedName>
    <definedName name="hp?s_cce" localSheetId="11">CCEP!#REF!</definedName>
    <definedName name="hp?s_CNI" localSheetId="80">CNI!$W$1:$AC$69</definedName>
    <definedName name="hp?s_DIS" localSheetId="11">CCEP!#REF!</definedName>
    <definedName name="hp?s_DIS" localSheetId="95">DIS!$W$1:$AC$68</definedName>
    <definedName name="hp?s_ew_Historical_Prices" localSheetId="50">EW!$W$1:$AC$68</definedName>
    <definedName name="hp?s_foxa" localSheetId="32">FOXA!$W$1:$AC$69</definedName>
    <definedName name="hp?s_GILD" localSheetId="53">GILD!#REF!</definedName>
    <definedName name="hp?s_GIS" localSheetId="110">GIS!#REF!</definedName>
    <definedName name="hp?s_GM" localSheetId="111">GM!$W$1:$AC$69</definedName>
    <definedName name="hp?s_HES" localSheetId="68">HES!$W$1:$AC$69</definedName>
    <definedName name="hp?s_INTC_Historical_Prices" localSheetId="76">INTC!$W$1:$AC$69</definedName>
    <definedName name="hp?s_IP" localSheetId="75">IP!$W$1:$AC$69</definedName>
    <definedName name="hp?s_KORS" localSheetId="19">CPRI!$W$1:$AC$68</definedName>
    <definedName name="hp?s_MYL" localSheetId="72">MYL!$W$1:$AC$68</definedName>
    <definedName name="hp?s_nclh" localSheetId="78">NCLH!$W$1:$AC$68</definedName>
    <definedName name="hp?s_nke" localSheetId="65">NKE!$W$1:$AC$69</definedName>
    <definedName name="hp?s_NWL" localSheetId="83">NWL!#REF!</definedName>
    <definedName name="hp?s_pinc" localSheetId="9">PINC!$W$1:$AC$68</definedName>
    <definedName name="hp?s_SWKS" localSheetId="79">SWKS!$W$1:$AC$69</definedName>
    <definedName name="hp?s_TKR" localSheetId="113">TKR!$W$1:$AC$69</definedName>
    <definedName name="hp?s_tmo" localSheetId="112">TMO!$W$1:$AC$69</definedName>
    <definedName name="hp?s_ual" localSheetId="91">UAL!$W$1:$AC$68</definedName>
    <definedName name="hp?s_UNH" localSheetId="103">UNH!$W$1:$AC$69</definedName>
    <definedName name="hp?s_UTX" localSheetId="102">UTX!$W$1:$AC$69</definedName>
    <definedName name="hp?s_vgk" localSheetId="73">VGK!$W$1:$AC$69</definedName>
    <definedName name="hp?s_WFC" localSheetId="105">WFC!#REF!</definedName>
    <definedName name="hp?s_WWD" localSheetId="109">WWD!$W$1:$AC$69</definedName>
    <definedName name="PL" localSheetId="21">AA!$Q$7</definedName>
    <definedName name="PL" localSheetId="24">#REF!</definedName>
    <definedName name="PL" localSheetId="4">#REF!</definedName>
    <definedName name="PL" localSheetId="6">#REF!</definedName>
    <definedName name="PL" localSheetId="22">#REF!</definedName>
    <definedName name="PL" localSheetId="14">#REF!</definedName>
    <definedName name="PL" localSheetId="10">#REF!</definedName>
    <definedName name="PL" localSheetId="23">#REF!</definedName>
    <definedName name="PL" localSheetId="15">#REF!</definedName>
    <definedName name="PL" localSheetId="39">#REF!</definedName>
    <definedName name="PL" localSheetId="7">#REF!</definedName>
    <definedName name="PL" localSheetId="16">#REF!</definedName>
    <definedName name="PL" localSheetId="25">#REF!</definedName>
    <definedName name="PL" localSheetId="12">#REF!</definedName>
    <definedName name="PL" localSheetId="92">#REF!</definedName>
    <definedName name="PL" localSheetId="34">#REF!</definedName>
    <definedName name="PL" localSheetId="81">#REF!</definedName>
    <definedName name="PL" localSheetId="47">#REF!</definedName>
    <definedName name="PL" localSheetId="26">#REF!</definedName>
    <definedName name="PL" localSheetId="20">#REF!</definedName>
    <definedName name="PL" localSheetId="40">#REF!</definedName>
    <definedName name="PL" localSheetId="18">#REF!</definedName>
    <definedName name="PL" localSheetId="27">#REF!</definedName>
    <definedName name="PL" localSheetId="30">#REF!</definedName>
    <definedName name="PL" localSheetId="8">#REF!</definedName>
    <definedName name="PL" localSheetId="49">#REF!</definedName>
    <definedName name="PL" localSheetId="35">#REF!</definedName>
    <definedName name="PL" localSheetId="36">#REF!</definedName>
    <definedName name="PL" localSheetId="31">#REF!</definedName>
    <definedName name="PL" localSheetId="37">#REF!</definedName>
    <definedName name="PL" localSheetId="50">#REF!</definedName>
    <definedName name="PL" localSheetId="44">#REF!</definedName>
    <definedName name="PL" localSheetId="33">#REF!</definedName>
    <definedName name="PL" localSheetId="52">#REF!</definedName>
    <definedName name="PL" localSheetId="32">#REF!</definedName>
    <definedName name="PL" localSheetId="46">#REF!</definedName>
    <definedName name="PL" localSheetId="55">#REF!</definedName>
    <definedName name="PL" localSheetId="13">#REF!</definedName>
    <definedName name="PL" localSheetId="54">#REF!</definedName>
    <definedName name="PL" localSheetId="56">#REF!</definedName>
    <definedName name="PL" localSheetId="64">#REF!</definedName>
    <definedName name="PL" localSheetId="57">#REF!</definedName>
    <definedName name="PL" localSheetId="58">#REF!</definedName>
    <definedName name="PL" localSheetId="59">#REF!</definedName>
    <definedName name="PL" localSheetId="45">#REF!</definedName>
    <definedName name="PL" localSheetId="60">#REF!</definedName>
    <definedName name="PL" localSheetId="61">#REF!</definedName>
    <definedName name="PL" localSheetId="62">#REF!</definedName>
    <definedName name="PL" localSheetId="66">#REF!</definedName>
    <definedName name="PL" localSheetId="69">#REF!</definedName>
    <definedName name="PL" localSheetId="63">#REF!</definedName>
    <definedName name="PL" localSheetId="67">#REF!</definedName>
    <definedName name="PL" localSheetId="70">#REF!</definedName>
    <definedName name="PL" localSheetId="72">#REF!</definedName>
    <definedName name="PL" localSheetId="78">NCLH!$Q$7</definedName>
    <definedName name="PL" localSheetId="65">#REF!</definedName>
    <definedName name="PL" localSheetId="85">#REF!</definedName>
    <definedName name="PL" localSheetId="84">#REF!</definedName>
    <definedName name="PL" localSheetId="9">PINC!$Q$7</definedName>
    <definedName name="PL" localSheetId="28">#REF!</definedName>
    <definedName name="PL" localSheetId="41">#REF!</definedName>
    <definedName name="PL" localSheetId="86">#REF!</definedName>
    <definedName name="PL" localSheetId="29">#REF!</definedName>
    <definedName name="PL" localSheetId="42">#REF!</definedName>
    <definedName name="PL" localSheetId="87">SPY!$Q$7</definedName>
    <definedName name="PL" localSheetId="96">#REF!</definedName>
    <definedName name="PL" localSheetId="79">SWKS!$Q$7</definedName>
    <definedName name="PL" localSheetId="94">#REF!</definedName>
    <definedName name="PL" localSheetId="101">#REF!</definedName>
    <definedName name="PL" localSheetId="82">#REF!</definedName>
    <definedName name="PL" localSheetId="100">#REF!</definedName>
    <definedName name="PL" localSheetId="51">#REF!</definedName>
    <definedName name="PL" localSheetId="91">#REF!</definedName>
    <definedName name="PL" localSheetId="98">#REF!</definedName>
    <definedName name="PL" localSheetId="99">#REF!</definedName>
    <definedName name="PL" localSheetId="73">#REF!</definedName>
    <definedName name="PL" localSheetId="104">#REF!</definedName>
    <definedName name="PL" localSheetId="105">WFC!$Q$7</definedName>
    <definedName name="PL" localSheetId="106">#REF!</definedName>
    <definedName name="PL" localSheetId="48">#REF!</definedName>
    <definedName name="PL" localSheetId="107">#REF!</definedName>
    <definedName name="PL" localSheetId="43">#REF!</definedName>
    <definedName name="PL" localSheetId="108">#REF!</definedName>
    <definedName name="PL" localSheetId="38">#REF!</definedName>
    <definedName name="q?s_aa_ql_1" localSheetId="21">AA!$T$40:$U$55</definedName>
    <definedName name="q?s_AKAM" localSheetId="14">AKAM!$T$43:$U$58</definedName>
    <definedName name="q?s_ALL" localSheetId="88">ALL!$T$40:$U$55</definedName>
    <definedName name="q?s_AVGO" localSheetId="90">AVGO!$T$42:$U$57</definedName>
    <definedName name="q?s_AXP" localSheetId="7">AXP!$T$43:$U$58</definedName>
    <definedName name="q?s_BMY_1" localSheetId="12">BMY!$T$43:$U$58</definedName>
    <definedName name="q?s_cce" localSheetId="11">CCEP!$T$43:$U$58</definedName>
    <definedName name="q?s_CF" localSheetId="81">CF!$T$56:$U$71</definedName>
    <definedName name="q?s_CNI" localSheetId="80">CNI!$T$43:$U$58</definedName>
    <definedName name="q?s_dg" localSheetId="8">DG!$T$43:$U$58</definedName>
    <definedName name="q?s_DIS" localSheetId="95">DIS!$T$43:$U$58</definedName>
    <definedName name="q?s_ew" localSheetId="50">EW!$T$43:$U$58</definedName>
    <definedName name="q?s_F" localSheetId="44">F!$T$43:$U$58</definedName>
    <definedName name="q?s_foxa" localSheetId="32">FOXA!$T$43:$U$58</definedName>
    <definedName name="q?s_GILD" localSheetId="53">GILD!$T$43:$U$58</definedName>
    <definedName name="q?s_GM" localSheetId="111">GM!$T$43:$U$58</definedName>
    <definedName name="q?s_HES" localSheetId="68">HES!$T$43:$U$58</definedName>
    <definedName name="q?s_INTC" localSheetId="76">INTC!$T$43:$U$58</definedName>
    <definedName name="q?s_IP" localSheetId="75">IP!$T$43:$U$58</definedName>
    <definedName name="q?s_JNJ" localSheetId="45">JNJ!$T$43:$U$58</definedName>
    <definedName name="q?s_KORS" localSheetId="19">CPRI!$T$43:$U$58</definedName>
    <definedName name="q?s_MU" localSheetId="74">MU!#REF!</definedName>
    <definedName name="q?s_MYL" localSheetId="72">MYL!$T$43:$U$58</definedName>
    <definedName name="q?s_nclh" localSheetId="78">NCLH!$T$40:$U$55</definedName>
    <definedName name="q?s_NKE" localSheetId="65">NKE!$T$43:$U$58</definedName>
    <definedName name="q?s_NSC" localSheetId="77">UNP!$T$43:$U$58</definedName>
    <definedName name="q?s_pinc" localSheetId="9">PINC!$T$40:$U$55</definedName>
    <definedName name="q?s_SIG" localSheetId="5">SIG!#REF!</definedName>
    <definedName name="q?s_SWKS" localSheetId="79">SWKS!$T$40:$U$55</definedName>
    <definedName name="q?s_tgt" localSheetId="82">TGT!$T$43:$U$58</definedName>
    <definedName name="q?s_TKR" localSheetId="113">TKR!$T$43:$U$58</definedName>
    <definedName name="q?s_tmo" localSheetId="112">TMO!$T$43:$U$58</definedName>
    <definedName name="q?s_UAL" localSheetId="91">UAL!$T$43:$U$58</definedName>
    <definedName name="q?s_UNH" localSheetId="103">UNH!$T$43:$U$58</definedName>
    <definedName name="q?s_UTX" localSheetId="102">UTX!$T$43:$U$58</definedName>
    <definedName name="q?s_vgk" localSheetId="73">VGK!$T$43:$U$56</definedName>
    <definedName name="q?s_WWD" localSheetId="109">WWD!$T$43:$U$58</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1037" i="38" l="1"/>
  <c r="D1037" i="38"/>
  <c r="E1037" i="38"/>
  <c r="G1037" i="38"/>
  <c r="H1037" i="38"/>
  <c r="K1037" i="38"/>
  <c r="L1037" i="38" s="1"/>
  <c r="M1037" i="38"/>
  <c r="N1037" i="38" s="1"/>
  <c r="O1037" i="38" s="1"/>
  <c r="S1037" i="38"/>
  <c r="V1037" i="38"/>
  <c r="X1037" i="38" s="1"/>
  <c r="F437" i="25"/>
  <c r="G437" i="25"/>
  <c r="H437" i="25"/>
  <c r="F103" i="74"/>
  <c r="H103" i="74"/>
  <c r="G103" i="74"/>
  <c r="F30" i="74"/>
  <c r="P1037" i="38" l="1"/>
  <c r="Q1037" i="38" s="1"/>
  <c r="W1037" i="38"/>
  <c r="Y1037" i="38" s="1"/>
  <c r="Z1037" i="38"/>
  <c r="A1036" i="38"/>
  <c r="D1036" i="38"/>
  <c r="E1036" i="38"/>
  <c r="G1036" i="38"/>
  <c r="H1036" i="38"/>
  <c r="K1036" i="38"/>
  <c r="L1036" i="38" s="1"/>
  <c r="M1036" i="38"/>
  <c r="N1036" i="38" s="1"/>
  <c r="S1036" i="38"/>
  <c r="P1036" i="38" l="1"/>
  <c r="O1036" i="38"/>
  <c r="Z1036" i="38"/>
  <c r="F45" i="131"/>
  <c r="G45" i="131"/>
  <c r="K8" i="131"/>
  <c r="F33" i="109"/>
  <c r="H33" i="109"/>
  <c r="G33" i="109"/>
  <c r="F7" i="132"/>
  <c r="F4" i="132"/>
  <c r="F33" i="132"/>
  <c r="H33" i="132"/>
  <c r="G33" i="132"/>
  <c r="K3" i="132"/>
  <c r="F436" i="25"/>
  <c r="H436" i="25"/>
  <c r="G436" i="25"/>
  <c r="K112" i="25"/>
  <c r="F223" i="58"/>
  <c r="H223" i="58"/>
  <c r="G223" i="58"/>
  <c r="K50" i="58"/>
  <c r="A1035" i="38"/>
  <c r="D1035" i="38"/>
  <c r="E1035" i="38"/>
  <c r="G1035" i="38"/>
  <c r="H1035" i="38"/>
  <c r="K1035" i="38"/>
  <c r="L1035" i="38" s="1"/>
  <c r="M1035" i="38"/>
  <c r="N1035" i="38" s="1"/>
  <c r="S1035" i="38"/>
  <c r="H45" i="131" l="1"/>
  <c r="J45" i="131"/>
  <c r="P1035" i="38"/>
  <c r="O1035" i="38"/>
  <c r="Z1035" i="38"/>
  <c r="F102" i="74"/>
  <c r="H102" i="74"/>
  <c r="G102" i="74"/>
  <c r="A1034" i="38"/>
  <c r="D1034" i="38"/>
  <c r="E1034" i="38"/>
  <c r="G1034" i="38"/>
  <c r="H1034" i="38"/>
  <c r="K1034" i="38"/>
  <c r="L1034" i="38" s="1"/>
  <c r="M1034" i="38"/>
  <c r="N1034" i="38" s="1"/>
  <c r="S1034" i="38"/>
  <c r="F98" i="88"/>
  <c r="G98" i="88"/>
  <c r="H98" i="88"/>
  <c r="K19" i="88"/>
  <c r="O1034" i="38" l="1"/>
  <c r="Z1034" i="38"/>
  <c r="P1034" i="38"/>
  <c r="A1033" i="38"/>
  <c r="D1033" i="38"/>
  <c r="E1033" i="38"/>
  <c r="G1033" i="38"/>
  <c r="H1033" i="38"/>
  <c r="K1033" i="38"/>
  <c r="L1033" i="38" s="1"/>
  <c r="M1033" i="38"/>
  <c r="N1033" i="38" s="1"/>
  <c r="S1033" i="38"/>
  <c r="O1033" i="38" l="1"/>
  <c r="Z1033" i="38"/>
  <c r="P1033" i="38"/>
  <c r="A1032" i="38"/>
  <c r="D1032" i="38"/>
  <c r="E1032" i="38"/>
  <c r="G1032" i="38"/>
  <c r="H1032" i="38"/>
  <c r="K1032" i="38"/>
  <c r="L1032" i="38" s="1"/>
  <c r="M1032" i="38"/>
  <c r="N1032" i="38" s="1"/>
  <c r="S1032" i="38"/>
  <c r="F32" i="132"/>
  <c r="H32" i="132"/>
  <c r="G32" i="132"/>
  <c r="F6" i="132"/>
  <c r="F76" i="108"/>
  <c r="H76" i="108"/>
  <c r="G76" i="108"/>
  <c r="O1032" i="38" l="1"/>
  <c r="Z1032" i="38"/>
  <c r="P1032" i="38"/>
  <c r="A1031" i="38"/>
  <c r="D1031" i="38"/>
  <c r="E1031" i="38"/>
  <c r="G1031" i="38"/>
  <c r="H1031" i="38"/>
  <c r="K1031" i="38"/>
  <c r="L1031" i="38" s="1"/>
  <c r="M1031" i="38"/>
  <c r="N1031" i="38" s="1"/>
  <c r="S1031" i="38"/>
  <c r="O1031" i="38" l="1"/>
  <c r="P1031" i="38"/>
  <c r="Z1031" i="38"/>
  <c r="F222" i="58"/>
  <c r="H222" i="58"/>
  <c r="G222" i="58"/>
  <c r="K49" i="58"/>
  <c r="H69" i="45"/>
  <c r="F69" i="45"/>
  <c r="G69" i="45"/>
  <c r="T287" i="1" l="1"/>
  <c r="A1030" i="38"/>
  <c r="D1030" i="38"/>
  <c r="E1030" i="38"/>
  <c r="G1030" i="38"/>
  <c r="H1030" i="38"/>
  <c r="K1030" i="38"/>
  <c r="L1030" i="38" s="1"/>
  <c r="M1030" i="38"/>
  <c r="N1030" i="38" s="1"/>
  <c r="S1030" i="38"/>
  <c r="P1030" i="38" l="1"/>
  <c r="O1030" i="38"/>
  <c r="Z1030" i="38"/>
  <c r="F32" i="128"/>
  <c r="G32" i="128"/>
  <c r="F31" i="132"/>
  <c r="H31" i="132"/>
  <c r="G31" i="132"/>
  <c r="F39" i="92"/>
  <c r="G39" i="92"/>
  <c r="H39" i="92"/>
  <c r="F68" i="45"/>
  <c r="G68" i="45"/>
  <c r="H68" i="45"/>
  <c r="G70" i="102"/>
  <c r="F70" i="102"/>
  <c r="H70" i="102"/>
  <c r="F34" i="129"/>
  <c r="J34" i="129" s="1"/>
  <c r="G34" i="129"/>
  <c r="F81" i="96"/>
  <c r="G81" i="96"/>
  <c r="H81" i="96"/>
  <c r="F101" i="74"/>
  <c r="H101" i="74"/>
  <c r="G101" i="74"/>
  <c r="F221" i="58"/>
  <c r="G221" i="58"/>
  <c r="H221" i="58"/>
  <c r="F32" i="109"/>
  <c r="H32" i="109"/>
  <c r="G32" i="109"/>
  <c r="F32" i="82"/>
  <c r="G32" i="82"/>
  <c r="H32" i="82"/>
  <c r="C18" i="96"/>
  <c r="A1029" i="38"/>
  <c r="D1029" i="38"/>
  <c r="E1029" i="38"/>
  <c r="G1029" i="38"/>
  <c r="H1029" i="38"/>
  <c r="K1029" i="38"/>
  <c r="L1029" i="38" s="1"/>
  <c r="M1029" i="38"/>
  <c r="N1029" i="38" s="1"/>
  <c r="S1029" i="38"/>
  <c r="H32" i="128" l="1"/>
  <c r="O1029" i="38"/>
  <c r="Z1029" i="38"/>
  <c r="P1029" i="38"/>
  <c r="A1028" i="38"/>
  <c r="D1028" i="38"/>
  <c r="E1028" i="38"/>
  <c r="G1028" i="38"/>
  <c r="H1028" i="38"/>
  <c r="K1028" i="38"/>
  <c r="L1028" i="38" s="1"/>
  <c r="M1028" i="38"/>
  <c r="N1028" i="38" s="1"/>
  <c r="S1028" i="38"/>
  <c r="F44" i="131"/>
  <c r="J44" i="131" s="1"/>
  <c r="G44" i="131"/>
  <c r="F11" i="131"/>
  <c r="C18" i="131"/>
  <c r="H44" i="131" l="1"/>
  <c r="Z1028" i="38"/>
  <c r="O1028" i="38"/>
  <c r="P1028" i="38"/>
  <c r="H34" i="74"/>
  <c r="H28" i="88"/>
  <c r="A1027" i="38"/>
  <c r="D1027" i="38"/>
  <c r="E1027" i="38"/>
  <c r="G1027" i="38"/>
  <c r="H1027" i="38"/>
  <c r="K1027" i="38"/>
  <c r="L1027" i="38" s="1"/>
  <c r="M1027" i="38"/>
  <c r="N1027" i="38" s="1"/>
  <c r="S1027" i="38"/>
  <c r="K13" i="69"/>
  <c r="G97" i="88"/>
  <c r="F97" i="88"/>
  <c r="H97" i="88"/>
  <c r="K18" i="88"/>
  <c r="O1027" i="38" l="1"/>
  <c r="P1027" i="38"/>
  <c r="Z1027" i="38"/>
  <c r="A1026" i="38"/>
  <c r="D1026" i="38"/>
  <c r="E1026" i="38"/>
  <c r="G1026" i="38"/>
  <c r="H1026" i="38"/>
  <c r="K1026" i="38"/>
  <c r="L1026" i="38" s="1"/>
  <c r="M1026" i="38"/>
  <c r="N1026" i="38" s="1"/>
  <c r="S1026" i="38"/>
  <c r="K17" i="88"/>
  <c r="P1026" i="38" l="1"/>
  <c r="O1026" i="38"/>
  <c r="Z1026" i="38"/>
  <c r="A1025" i="38"/>
  <c r="D1025" i="38"/>
  <c r="E1025" i="38"/>
  <c r="G1025" i="38"/>
  <c r="H1025" i="38"/>
  <c r="K1025" i="38"/>
  <c r="L1025" i="38" s="1"/>
  <c r="M1025" i="38"/>
  <c r="N1025" i="38" s="1"/>
  <c r="S1025" i="38"/>
  <c r="O1025" i="38" l="1"/>
  <c r="P1025" i="38"/>
  <c r="Z1025" i="38"/>
  <c r="A1024" i="38"/>
  <c r="D1024" i="38"/>
  <c r="E1024" i="38"/>
  <c r="G1024" i="38"/>
  <c r="H1024" i="38"/>
  <c r="K1024" i="38"/>
  <c r="L1024" i="38" s="1"/>
  <c r="M1024" i="38"/>
  <c r="N1024" i="38" s="1"/>
  <c r="S1024" i="38"/>
  <c r="O1024" i="38" l="1"/>
  <c r="Z1024" i="38"/>
  <c r="P1024" i="38"/>
  <c r="F220" i="58"/>
  <c r="H220" i="58"/>
  <c r="G220" i="58"/>
  <c r="F62" i="58"/>
  <c r="A1023" i="38" l="1"/>
  <c r="D1023" i="38"/>
  <c r="E1023" i="38"/>
  <c r="G1023" i="38"/>
  <c r="H1023" i="38"/>
  <c r="K1023" i="38"/>
  <c r="L1023" i="38" s="1"/>
  <c r="M1023" i="38"/>
  <c r="N1023" i="38" s="1"/>
  <c r="S1023" i="38"/>
  <c r="P1023" i="38" l="1"/>
  <c r="O1023" i="38"/>
  <c r="Z1023" i="38"/>
  <c r="A1022" i="38"/>
  <c r="D1022" i="38"/>
  <c r="E1022" i="38"/>
  <c r="G1022" i="38"/>
  <c r="H1022" i="38"/>
  <c r="K1022" i="38"/>
  <c r="L1022" i="38" s="1"/>
  <c r="M1022" i="38"/>
  <c r="N1022" i="38" s="1"/>
  <c r="S1022" i="38"/>
  <c r="F219" i="58"/>
  <c r="H219" i="58"/>
  <c r="G219" i="58"/>
  <c r="F61" i="58"/>
  <c r="F435" i="25"/>
  <c r="H435" i="25"/>
  <c r="G435" i="25"/>
  <c r="F154" i="25"/>
  <c r="O1022" i="38" l="1"/>
  <c r="Z1022" i="38"/>
  <c r="P1022" i="38"/>
  <c r="F218" i="58"/>
  <c r="H218" i="58"/>
  <c r="G218" i="58"/>
  <c r="F60" i="58"/>
  <c r="A1021" i="38" l="1"/>
  <c r="D1021" i="38"/>
  <c r="E1021" i="38"/>
  <c r="G1021" i="38"/>
  <c r="H1021" i="38"/>
  <c r="K1021" i="38"/>
  <c r="L1021" i="38" s="1"/>
  <c r="P1021" i="38" s="1"/>
  <c r="M1021" i="38"/>
  <c r="N1021" i="38" s="1"/>
  <c r="O1021" i="38" s="1"/>
  <c r="S1021" i="38"/>
  <c r="Z1021" i="38" l="1"/>
  <c r="A1020" i="38" l="1"/>
  <c r="D1020" i="38"/>
  <c r="E1020" i="38"/>
  <c r="G1020" i="38"/>
  <c r="H1020" i="38"/>
  <c r="K1020" i="38"/>
  <c r="L1020" i="38" s="1"/>
  <c r="P1020" i="38" s="1"/>
  <c r="M1020" i="38"/>
  <c r="N1020" i="38" s="1"/>
  <c r="S1020" i="38"/>
  <c r="F217" i="58"/>
  <c r="G217" i="58"/>
  <c r="H217" i="58"/>
  <c r="K48" i="58"/>
  <c r="F80" i="96"/>
  <c r="G80" i="96"/>
  <c r="H80" i="96"/>
  <c r="F13" i="96"/>
  <c r="O1020" i="38" l="1"/>
  <c r="Z1020" i="38"/>
  <c r="A1019" i="38"/>
  <c r="D1019" i="38"/>
  <c r="E1019" i="38"/>
  <c r="G1019" i="38"/>
  <c r="H1019" i="38"/>
  <c r="K1019" i="38"/>
  <c r="L1019" i="38" s="1"/>
  <c r="M1019" i="38"/>
  <c r="N1019" i="38" s="1"/>
  <c r="S1019" i="38"/>
  <c r="F100" i="74"/>
  <c r="G100" i="74"/>
  <c r="H100" i="74"/>
  <c r="K20" i="74"/>
  <c r="F216" i="58"/>
  <c r="H216" i="58"/>
  <c r="G216" i="58"/>
  <c r="F59" i="58"/>
  <c r="F79" i="96"/>
  <c r="H79" i="96"/>
  <c r="G79" i="96"/>
  <c r="K6" i="96"/>
  <c r="O1019" i="38" l="1"/>
  <c r="Z1019" i="38"/>
  <c r="P1019" i="38"/>
  <c r="F75" i="108"/>
  <c r="H75" i="108"/>
  <c r="G75" i="108"/>
  <c r="G43" i="131"/>
  <c r="F43" i="131"/>
  <c r="F99" i="74"/>
  <c r="G99" i="74"/>
  <c r="H99" i="74"/>
  <c r="F33" i="129"/>
  <c r="J33" i="129" s="1"/>
  <c r="G33" i="129"/>
  <c r="A1018" i="38"/>
  <c r="D1018" i="38"/>
  <c r="E1018" i="38"/>
  <c r="G1018" i="38"/>
  <c r="H1018" i="38"/>
  <c r="K1018" i="38"/>
  <c r="L1018" i="38" s="1"/>
  <c r="M1018" i="38"/>
  <c r="N1018" i="38" s="1"/>
  <c r="S1018" i="38"/>
  <c r="F434" i="25"/>
  <c r="H434" i="25"/>
  <c r="G434" i="25"/>
  <c r="F153" i="25"/>
  <c r="H43" i="131" l="1"/>
  <c r="J43" i="131"/>
  <c r="O1018" i="38"/>
  <c r="P1018" i="38"/>
  <c r="Z1018" i="38"/>
  <c r="A1017" i="38"/>
  <c r="D1017" i="38"/>
  <c r="E1017" i="38"/>
  <c r="G1017" i="38"/>
  <c r="H1017" i="38"/>
  <c r="K1017" i="38"/>
  <c r="L1017" i="38" s="1"/>
  <c r="M1017" i="38"/>
  <c r="N1017" i="38" s="1"/>
  <c r="S1017" i="38"/>
  <c r="P1017" i="38" l="1"/>
  <c r="O1017" i="38"/>
  <c r="Z1017" i="38"/>
  <c r="H22" i="108" l="1"/>
  <c r="F98" i="74"/>
  <c r="H98" i="74"/>
  <c r="G98" i="74"/>
  <c r="F32" i="129" l="1"/>
  <c r="J32" i="129" s="1"/>
  <c r="G32" i="129"/>
  <c r="F74" i="108"/>
  <c r="G74" i="108"/>
  <c r="H74" i="108"/>
  <c r="F31" i="82"/>
  <c r="G31" i="82"/>
  <c r="H31" i="82"/>
  <c r="K90" i="1"/>
  <c r="K91" i="1"/>
  <c r="A1016" i="38"/>
  <c r="D1016" i="38"/>
  <c r="E1016" i="38"/>
  <c r="G1016" i="38"/>
  <c r="H1016" i="38"/>
  <c r="K1016" i="38"/>
  <c r="L1016" i="38" s="1"/>
  <c r="M1016" i="38"/>
  <c r="N1016" i="38" s="1"/>
  <c r="S1016" i="38"/>
  <c r="F433" i="25"/>
  <c r="H433" i="25"/>
  <c r="G433" i="25"/>
  <c r="K111" i="25"/>
  <c r="F152" i="25"/>
  <c r="O1016" i="38" l="1"/>
  <c r="P1016" i="38"/>
  <c r="Z1016" i="38"/>
  <c r="A1015" i="38"/>
  <c r="D1015" i="38"/>
  <c r="E1015" i="38"/>
  <c r="G1015" i="38"/>
  <c r="H1015" i="38"/>
  <c r="K1015" i="38"/>
  <c r="L1015" i="38" s="1"/>
  <c r="M1015" i="38"/>
  <c r="N1015" i="38" s="1"/>
  <c r="S1015" i="38"/>
  <c r="F42" i="131"/>
  <c r="J42" i="131" s="1"/>
  <c r="G42" i="131"/>
  <c r="F10" i="131"/>
  <c r="F97" i="74"/>
  <c r="H97" i="74"/>
  <c r="G97" i="74"/>
  <c r="K19" i="74"/>
  <c r="F29" i="74"/>
  <c r="P1015" i="38" l="1"/>
  <c r="O1015" i="38"/>
  <c r="H42" i="131"/>
  <c r="Z1015" i="38"/>
  <c r="A1014" i="38"/>
  <c r="D1014" i="38"/>
  <c r="E1014" i="38"/>
  <c r="G1014" i="38"/>
  <c r="H1014" i="38"/>
  <c r="K1014" i="38"/>
  <c r="L1014" i="38" s="1"/>
  <c r="M1014" i="38"/>
  <c r="N1014" i="38" s="1"/>
  <c r="S1014" i="38"/>
  <c r="F41" i="131"/>
  <c r="G41" i="131"/>
  <c r="K7" i="131"/>
  <c r="H41" i="131" l="1"/>
  <c r="P1014" i="38"/>
  <c r="O1014" i="38"/>
  <c r="Z1014" i="38"/>
  <c r="J41" i="131"/>
  <c r="A1013" i="38"/>
  <c r="D1013" i="38"/>
  <c r="E1013" i="38"/>
  <c r="G1013" i="38"/>
  <c r="H1013" i="38"/>
  <c r="K1013" i="38"/>
  <c r="L1013" i="38" s="1"/>
  <c r="M1013" i="38"/>
  <c r="N1013" i="38" s="1"/>
  <c r="S1013" i="38"/>
  <c r="F28" i="133"/>
  <c r="G28" i="133"/>
  <c r="H28" i="133"/>
  <c r="K3" i="133"/>
  <c r="F432" i="25"/>
  <c r="H432" i="25"/>
  <c r="G432" i="25"/>
  <c r="K110" i="25"/>
  <c r="F215" i="58"/>
  <c r="H215" i="58"/>
  <c r="G215" i="58"/>
  <c r="K47" i="58"/>
  <c r="G67" i="105"/>
  <c r="K10" i="105"/>
  <c r="F61" i="69"/>
  <c r="G61" i="69"/>
  <c r="H61" i="69"/>
  <c r="O1013" i="38" l="1"/>
  <c r="P1013" i="38"/>
  <c r="Z1013" i="38"/>
  <c r="F214" i="58"/>
  <c r="H214" i="58"/>
  <c r="G214" i="58"/>
  <c r="F431" i="25"/>
  <c r="H431" i="25"/>
  <c r="G431" i="25"/>
  <c r="H18" i="96"/>
  <c r="F78" i="96"/>
  <c r="H78" i="96"/>
  <c r="G78" i="96"/>
  <c r="A1012" i="38" l="1"/>
  <c r="D1012" i="38"/>
  <c r="E1012" i="38"/>
  <c r="G1012" i="38"/>
  <c r="H1012" i="38"/>
  <c r="K1012" i="38"/>
  <c r="L1012" i="38" s="1"/>
  <c r="M1012" i="38"/>
  <c r="N1012" i="38" s="1"/>
  <c r="S1012" i="38"/>
  <c r="F3" i="128"/>
  <c r="F31" i="128"/>
  <c r="G31" i="128"/>
  <c r="K4" i="128"/>
  <c r="F96" i="74"/>
  <c r="H96" i="74"/>
  <c r="G96" i="74"/>
  <c r="K18" i="74"/>
  <c r="F38" i="92"/>
  <c r="G38" i="92"/>
  <c r="H38" i="92"/>
  <c r="H31" i="128" l="1"/>
  <c r="P1012" i="38"/>
  <c r="Z1012" i="38"/>
  <c r="O1012" i="38"/>
  <c r="A1011" i="38"/>
  <c r="D1011" i="38"/>
  <c r="E1011" i="38"/>
  <c r="G1011" i="38"/>
  <c r="H1011" i="38"/>
  <c r="K1011" i="38"/>
  <c r="L1011" i="38" s="1"/>
  <c r="M1011" i="38"/>
  <c r="N1011" i="38" s="1"/>
  <c r="S1011" i="38"/>
  <c r="P1011" i="38" l="1"/>
  <c r="O1011" i="38"/>
  <c r="Z1011" i="38"/>
  <c r="A1010" i="38"/>
  <c r="D1010" i="38"/>
  <c r="E1010" i="38"/>
  <c r="G1010" i="38"/>
  <c r="H1010" i="38"/>
  <c r="K1010" i="38"/>
  <c r="L1010" i="38" s="1"/>
  <c r="M1010" i="38"/>
  <c r="N1010" i="38" s="1"/>
  <c r="S1010" i="38"/>
  <c r="O1010" i="38" l="1"/>
  <c r="P1010" i="38"/>
  <c r="Z1010" i="38"/>
  <c r="A1009" i="38"/>
  <c r="D1009" i="38"/>
  <c r="E1009" i="38"/>
  <c r="G1009" i="38"/>
  <c r="H1009" i="38"/>
  <c r="K1009" i="38"/>
  <c r="L1009" i="38" s="1"/>
  <c r="M1009" i="38"/>
  <c r="N1009" i="38" s="1"/>
  <c r="S1009" i="38"/>
  <c r="O1009" i="38" l="1"/>
  <c r="Z1009" i="38"/>
  <c r="P1009" i="38"/>
  <c r="A1008" i="38"/>
  <c r="D1008" i="38"/>
  <c r="E1008" i="38"/>
  <c r="G1008" i="38"/>
  <c r="H1008" i="38"/>
  <c r="K1008" i="38"/>
  <c r="L1008" i="38" s="1"/>
  <c r="M1008" i="38"/>
  <c r="N1008" i="38" s="1"/>
  <c r="S1008" i="38"/>
  <c r="O1008" i="38" l="1"/>
  <c r="P1008" i="38"/>
  <c r="Z1008" i="38"/>
  <c r="G96" i="88"/>
  <c r="F96" i="88"/>
  <c r="H96" i="88"/>
  <c r="A1007" i="38"/>
  <c r="D1007" i="38"/>
  <c r="E1007" i="38"/>
  <c r="G1007" i="38"/>
  <c r="H1007" i="38"/>
  <c r="K1007" i="38"/>
  <c r="L1007" i="38" s="1"/>
  <c r="M1007" i="38"/>
  <c r="N1007" i="38" s="1"/>
  <c r="S1007" i="38"/>
  <c r="O1007" i="38" l="1"/>
  <c r="P1007" i="38"/>
  <c r="Z1007" i="38"/>
  <c r="F31" i="129"/>
  <c r="J31" i="129" s="1"/>
  <c r="G31" i="129"/>
  <c r="A1006" i="38" l="1"/>
  <c r="D1006" i="38"/>
  <c r="E1006" i="38"/>
  <c r="G1006" i="38"/>
  <c r="H1006" i="38"/>
  <c r="K1006" i="38"/>
  <c r="L1006" i="38" s="1"/>
  <c r="M1006" i="38"/>
  <c r="N1006" i="38" s="1"/>
  <c r="S1006" i="38"/>
  <c r="P1006" i="38" l="1"/>
  <c r="O1006" i="38"/>
  <c r="Z1006" i="38"/>
  <c r="F95" i="74"/>
  <c r="G95" i="74"/>
  <c r="H95" i="74"/>
  <c r="F28" i="74"/>
  <c r="A1005" i="38"/>
  <c r="D1005" i="38"/>
  <c r="E1005" i="38"/>
  <c r="G1005" i="38"/>
  <c r="H1005" i="38"/>
  <c r="K1005" i="38"/>
  <c r="L1005" i="38" s="1"/>
  <c r="M1005" i="38"/>
  <c r="N1005" i="38" s="1"/>
  <c r="S1005" i="38"/>
  <c r="O1005" i="38" l="1"/>
  <c r="Z1005" i="38"/>
  <c r="P1005" i="38"/>
  <c r="A1004" i="38"/>
  <c r="D1004" i="38"/>
  <c r="E1004" i="38"/>
  <c r="G1004" i="38"/>
  <c r="H1004" i="38"/>
  <c r="K1004" i="38"/>
  <c r="L1004" i="38" s="1"/>
  <c r="M1004" i="38"/>
  <c r="N1004" i="38" s="1"/>
  <c r="S1004" i="38"/>
  <c r="O1004" i="38" l="1"/>
  <c r="P1004" i="38"/>
  <c r="Z1004" i="38"/>
  <c r="A1003" i="38"/>
  <c r="D1003" i="38"/>
  <c r="E1003" i="38"/>
  <c r="G1003" i="38"/>
  <c r="H1003" i="38"/>
  <c r="K1003" i="38"/>
  <c r="L1003" i="38" s="1"/>
  <c r="M1003" i="38"/>
  <c r="N1003" i="38" s="1"/>
  <c r="S1003" i="38"/>
  <c r="P1003" i="38" l="1"/>
  <c r="O1003" i="38"/>
  <c r="Z1003" i="38"/>
  <c r="A1002" i="38"/>
  <c r="D1002" i="38"/>
  <c r="E1002" i="38"/>
  <c r="G1002" i="38"/>
  <c r="H1002" i="38"/>
  <c r="K1002" i="38"/>
  <c r="L1002" i="38" s="1"/>
  <c r="M1002" i="38"/>
  <c r="N1002" i="38" s="1"/>
  <c r="S1002" i="38"/>
  <c r="O1002" i="38" l="1"/>
  <c r="P1002" i="38"/>
  <c r="Z1002" i="38"/>
  <c r="A1001" i="38"/>
  <c r="D1001" i="38"/>
  <c r="E1001" i="38"/>
  <c r="G1001" i="38"/>
  <c r="H1001" i="38"/>
  <c r="K1001" i="38"/>
  <c r="L1001" i="38" s="1"/>
  <c r="M1001" i="38"/>
  <c r="N1001" i="38" s="1"/>
  <c r="S1001" i="38"/>
  <c r="F213" i="58"/>
  <c r="G213" i="58"/>
  <c r="H213" i="58"/>
  <c r="F58" i="58"/>
  <c r="P1001" i="38" l="1"/>
  <c r="O1001" i="38"/>
  <c r="Z1001" i="38"/>
  <c r="A1000" i="38"/>
  <c r="D1000" i="38"/>
  <c r="E1000" i="38"/>
  <c r="G1000" i="38"/>
  <c r="H1000" i="38"/>
  <c r="K1000" i="38"/>
  <c r="L1000" i="38" s="1"/>
  <c r="M1000" i="38"/>
  <c r="N1000" i="38" s="1"/>
  <c r="S1000" i="38"/>
  <c r="O1000" i="38" l="1"/>
  <c r="Z1000" i="38"/>
  <c r="P1000" i="38"/>
  <c r="H29" i="120"/>
  <c r="G29" i="120"/>
  <c r="K4" i="120"/>
  <c r="K2" i="89"/>
  <c r="A999" i="38"/>
  <c r="D999" i="38"/>
  <c r="E999" i="38"/>
  <c r="G999" i="38"/>
  <c r="H999" i="38"/>
  <c r="K999" i="38"/>
  <c r="L999" i="38" s="1"/>
  <c r="M999" i="38"/>
  <c r="N999" i="38" s="1"/>
  <c r="S999" i="38"/>
  <c r="G60" i="69"/>
  <c r="F60" i="69"/>
  <c r="H60" i="69"/>
  <c r="P999" i="38" l="1"/>
  <c r="O999" i="38"/>
  <c r="Z999" i="38"/>
  <c r="A998" i="38"/>
  <c r="D998" i="38"/>
  <c r="E998" i="38"/>
  <c r="G998" i="38"/>
  <c r="H998" i="38"/>
  <c r="K998" i="38"/>
  <c r="L998" i="38" s="1"/>
  <c r="M998" i="38"/>
  <c r="N998" i="38" s="1"/>
  <c r="S998" i="38"/>
  <c r="F30" i="129"/>
  <c r="J30" i="129" s="1"/>
  <c r="G30" i="129"/>
  <c r="O998" i="38" l="1"/>
  <c r="P998" i="38"/>
  <c r="Z998" i="38"/>
  <c r="A997" i="38"/>
  <c r="D997" i="38"/>
  <c r="E997" i="38"/>
  <c r="G997" i="38"/>
  <c r="H997" i="38"/>
  <c r="K997" i="38"/>
  <c r="L997" i="38" s="1"/>
  <c r="M997" i="38"/>
  <c r="N997" i="38" s="1"/>
  <c r="S997" i="38"/>
  <c r="F30" i="128"/>
  <c r="G30" i="128"/>
  <c r="K3" i="128"/>
  <c r="F30" i="132"/>
  <c r="H30" i="132"/>
  <c r="G30" i="132"/>
  <c r="K2" i="132"/>
  <c r="F212" i="58"/>
  <c r="H212" i="58"/>
  <c r="G212" i="58"/>
  <c r="F40" i="131"/>
  <c r="G40" i="131"/>
  <c r="K6" i="131"/>
  <c r="K46" i="58"/>
  <c r="H30" i="128" l="1"/>
  <c r="O997" i="38"/>
  <c r="P997" i="38"/>
  <c r="H40" i="131"/>
  <c r="J40" i="131"/>
  <c r="Z997" i="38"/>
  <c r="G69" i="102"/>
  <c r="F69" i="102"/>
  <c r="H69" i="102"/>
  <c r="K11" i="102"/>
  <c r="H18" i="102"/>
  <c r="A996" i="38"/>
  <c r="D996" i="38"/>
  <c r="E996" i="38"/>
  <c r="G996" i="38"/>
  <c r="H996" i="38"/>
  <c r="K996" i="38"/>
  <c r="L996" i="38" s="1"/>
  <c r="M996" i="38"/>
  <c r="N996" i="38" s="1"/>
  <c r="S996" i="38"/>
  <c r="O996" i="38" l="1"/>
  <c r="P996" i="38"/>
  <c r="Z996" i="38"/>
  <c r="A995" i="38"/>
  <c r="D995" i="38"/>
  <c r="E995" i="38"/>
  <c r="G995" i="38"/>
  <c r="H995" i="38"/>
  <c r="K995" i="38"/>
  <c r="L995" i="38" s="1"/>
  <c r="M995" i="38"/>
  <c r="N995" i="38" s="1"/>
  <c r="S995" i="38"/>
  <c r="F211" i="58"/>
  <c r="H211" i="58"/>
  <c r="G211" i="58"/>
  <c r="F57" i="58"/>
  <c r="F39" i="131"/>
  <c r="J39" i="131" s="1"/>
  <c r="G39" i="131"/>
  <c r="F9" i="131"/>
  <c r="H39" i="131" l="1"/>
  <c r="O995" i="38"/>
  <c r="P995" i="38"/>
  <c r="Z995" i="38"/>
  <c r="A994" i="38"/>
  <c r="D994" i="38"/>
  <c r="E994" i="38"/>
  <c r="G994" i="38"/>
  <c r="H994" i="38"/>
  <c r="K994" i="38"/>
  <c r="L994" i="38" s="1"/>
  <c r="M994" i="38"/>
  <c r="N994" i="38" s="1"/>
  <c r="S994" i="38"/>
  <c r="F31" i="109"/>
  <c r="H31" i="109"/>
  <c r="G31" i="109"/>
  <c r="F8" i="109"/>
  <c r="P994" i="38" l="1"/>
  <c r="O994" i="38"/>
  <c r="Z994" i="38"/>
  <c r="A993" i="38"/>
  <c r="D993" i="38"/>
  <c r="E993" i="38"/>
  <c r="G993" i="38"/>
  <c r="H993" i="38"/>
  <c r="K993" i="38"/>
  <c r="L993" i="38" s="1"/>
  <c r="M993" i="38"/>
  <c r="N993" i="38" s="1"/>
  <c r="S993" i="38"/>
  <c r="F26" i="132"/>
  <c r="G26" i="132"/>
  <c r="H26" i="132"/>
  <c r="F27" i="132"/>
  <c r="G27" i="132"/>
  <c r="H27" i="132"/>
  <c r="F28" i="132"/>
  <c r="G28" i="132"/>
  <c r="H28" i="132"/>
  <c r="F29" i="132"/>
  <c r="G29" i="132"/>
  <c r="H29" i="132"/>
  <c r="H25" i="132"/>
  <c r="G25" i="132"/>
  <c r="F25" i="132"/>
  <c r="F5" i="132"/>
  <c r="P993" i="38" l="1"/>
  <c r="O993" i="38"/>
  <c r="Z993" i="38"/>
  <c r="S992" i="38"/>
  <c r="A992" i="38"/>
  <c r="D992" i="38"/>
  <c r="E992" i="38"/>
  <c r="G992" i="38"/>
  <c r="H992" i="38"/>
  <c r="K992" i="38"/>
  <c r="L992" i="38" s="1"/>
  <c r="M992" i="38"/>
  <c r="N992" i="38" s="1"/>
  <c r="O992" i="38" l="1"/>
  <c r="Z992" i="38"/>
  <c r="P992" i="38"/>
  <c r="A991" i="38"/>
  <c r="D991" i="38"/>
  <c r="E991" i="38"/>
  <c r="G991" i="38"/>
  <c r="H991" i="38"/>
  <c r="K991" i="38"/>
  <c r="L991" i="38" s="1"/>
  <c r="M991" i="38"/>
  <c r="N991" i="38" s="1"/>
  <c r="S991" i="38"/>
  <c r="H27" i="133"/>
  <c r="G27" i="133"/>
  <c r="F27" i="133"/>
  <c r="J27" i="133" s="1"/>
  <c r="F3" i="133"/>
  <c r="O991" i="38" l="1"/>
  <c r="P991" i="38"/>
  <c r="Z991" i="38"/>
  <c r="F38" i="131"/>
  <c r="G38" i="131"/>
  <c r="F8" i="131"/>
  <c r="A990" i="38"/>
  <c r="D990" i="38"/>
  <c r="E990" i="38"/>
  <c r="G990" i="38"/>
  <c r="H990" i="38"/>
  <c r="K990" i="38"/>
  <c r="L990" i="38" s="1"/>
  <c r="M990" i="38"/>
  <c r="N990" i="38" s="1"/>
  <c r="S990" i="38"/>
  <c r="O990" i="38" l="1"/>
  <c r="H38" i="131"/>
  <c r="J38" i="131"/>
  <c r="Z990" i="38"/>
  <c r="P990" i="38"/>
  <c r="A989" i="38"/>
  <c r="D989" i="38"/>
  <c r="E989" i="38"/>
  <c r="G989" i="38"/>
  <c r="H989" i="38"/>
  <c r="K989" i="38"/>
  <c r="L989" i="38" s="1"/>
  <c r="M989" i="38"/>
  <c r="N989" i="38" s="1"/>
  <c r="S989" i="38"/>
  <c r="Z989" i="38" l="1"/>
  <c r="O989" i="38"/>
  <c r="P989" i="38"/>
  <c r="A988" i="38"/>
  <c r="D988" i="38"/>
  <c r="E988" i="38"/>
  <c r="G988" i="38"/>
  <c r="H988" i="38"/>
  <c r="K988" i="38"/>
  <c r="L988" i="38" s="1"/>
  <c r="M988" i="38"/>
  <c r="N988" i="38" s="1"/>
  <c r="S988" i="38"/>
  <c r="F67" i="45"/>
  <c r="G67" i="45"/>
  <c r="H67" i="45"/>
  <c r="K11" i="45"/>
  <c r="F94" i="74"/>
  <c r="H94" i="74"/>
  <c r="G94" i="74"/>
  <c r="K17" i="74"/>
  <c r="P988" i="38" l="1"/>
  <c r="Z988" i="38"/>
  <c r="O988" i="38"/>
  <c r="K987" i="38"/>
  <c r="L987" i="38" s="1"/>
  <c r="A987" i="38"/>
  <c r="D987" i="38"/>
  <c r="E987" i="38"/>
  <c r="G987" i="38"/>
  <c r="H987" i="38"/>
  <c r="M987" i="38"/>
  <c r="N987" i="38" s="1"/>
  <c r="S987" i="38"/>
  <c r="F37" i="131"/>
  <c r="J37" i="131" s="1"/>
  <c r="G37" i="131"/>
  <c r="F7" i="131"/>
  <c r="F93" i="74"/>
  <c r="H93" i="74"/>
  <c r="G93" i="74"/>
  <c r="F27" i="74"/>
  <c r="F210" i="58"/>
  <c r="H210" i="58"/>
  <c r="G210" i="58"/>
  <c r="F56" i="58"/>
  <c r="H37" i="131" l="1"/>
  <c r="O987" i="38"/>
  <c r="P987" i="38"/>
  <c r="Z987" i="38"/>
  <c r="A986" i="38"/>
  <c r="D986" i="38"/>
  <c r="E986" i="38"/>
  <c r="G986" i="38"/>
  <c r="H986" i="38"/>
  <c r="K986" i="38"/>
  <c r="L986" i="38" s="1"/>
  <c r="M986" i="38"/>
  <c r="N986" i="38" s="1"/>
  <c r="S986" i="38"/>
  <c r="F36" i="131"/>
  <c r="G36" i="131"/>
  <c r="C18" i="102"/>
  <c r="H36" i="131" l="1"/>
  <c r="O986" i="38"/>
  <c r="J36" i="131"/>
  <c r="P986" i="38"/>
  <c r="Z986" i="38"/>
  <c r="A985" i="38"/>
  <c r="D985" i="38"/>
  <c r="E985" i="38"/>
  <c r="G985" i="38"/>
  <c r="H985" i="38"/>
  <c r="K985" i="38"/>
  <c r="L985" i="38" s="1"/>
  <c r="M985" i="38"/>
  <c r="N985" i="38" s="1"/>
  <c r="S985" i="38"/>
  <c r="F430" i="25"/>
  <c r="H430" i="25"/>
  <c r="G430" i="25"/>
  <c r="F151" i="25"/>
  <c r="F31" i="130"/>
  <c r="H31" i="130"/>
  <c r="G31" i="130"/>
  <c r="K4" i="130"/>
  <c r="K5" i="130"/>
  <c r="O985" i="38" l="1"/>
  <c r="P985" i="38"/>
  <c r="Z985" i="38"/>
  <c r="A984" i="38"/>
  <c r="D984" i="38"/>
  <c r="E984" i="38"/>
  <c r="G984" i="38"/>
  <c r="H984" i="38"/>
  <c r="K984" i="38"/>
  <c r="L984" i="38" s="1"/>
  <c r="M984" i="38"/>
  <c r="N984" i="38" s="1"/>
  <c r="F68" i="102"/>
  <c r="G68" i="102"/>
  <c r="H68" i="102"/>
  <c r="K10" i="102"/>
  <c r="F71" i="86"/>
  <c r="G71" i="86"/>
  <c r="H71" i="86"/>
  <c r="K12" i="86"/>
  <c r="P984" i="38" l="1"/>
  <c r="O984" i="38"/>
  <c r="Z984" i="38"/>
  <c r="A983" i="38"/>
  <c r="D983" i="38"/>
  <c r="E983" i="38"/>
  <c r="G983" i="38"/>
  <c r="H983" i="38"/>
  <c r="K983" i="38"/>
  <c r="L983" i="38" s="1"/>
  <c r="M983" i="38"/>
  <c r="N983" i="38" s="1"/>
  <c r="S983" i="38"/>
  <c r="Z983" i="38" l="1"/>
  <c r="O983" i="38"/>
  <c r="P983" i="38"/>
  <c r="F70" i="86"/>
  <c r="G70" i="86"/>
  <c r="H70" i="86"/>
  <c r="A982" i="38"/>
  <c r="D982" i="38"/>
  <c r="E982" i="38"/>
  <c r="G982" i="38"/>
  <c r="H982" i="38"/>
  <c r="K982" i="38"/>
  <c r="L982" i="38" s="1"/>
  <c r="M982" i="38"/>
  <c r="N982" i="38" s="1"/>
  <c r="S982" i="38"/>
  <c r="F77" i="96"/>
  <c r="H77" i="96"/>
  <c r="G77" i="96"/>
  <c r="F12" i="96"/>
  <c r="F67" i="102"/>
  <c r="G67" i="102"/>
  <c r="H67" i="102"/>
  <c r="F11" i="102"/>
  <c r="Z982" i="38" l="1"/>
  <c r="O982" i="38"/>
  <c r="P982" i="38"/>
  <c r="A981" i="38"/>
  <c r="D981" i="38"/>
  <c r="E981" i="38"/>
  <c r="G981" i="38"/>
  <c r="H981" i="38"/>
  <c r="K981" i="38"/>
  <c r="L981" i="38" s="1"/>
  <c r="M981" i="38"/>
  <c r="N981" i="38" s="1"/>
  <c r="S981" i="38"/>
  <c r="O981" i="38" l="1"/>
  <c r="P981" i="38"/>
  <c r="Z981" i="38"/>
  <c r="K2" i="133"/>
  <c r="A980" i="38"/>
  <c r="D980" i="38"/>
  <c r="E980" i="38"/>
  <c r="G980" i="38"/>
  <c r="H980" i="38"/>
  <c r="K980" i="38"/>
  <c r="L980" i="38" s="1"/>
  <c r="M980" i="38"/>
  <c r="N980" i="38" s="1"/>
  <c r="S980" i="38"/>
  <c r="F429" i="25"/>
  <c r="H429" i="25"/>
  <c r="G429" i="25"/>
  <c r="F150" i="25"/>
  <c r="P980" i="38" l="1"/>
  <c r="O980" i="38"/>
  <c r="Z980" i="38"/>
  <c r="A979" i="38"/>
  <c r="D979" i="38"/>
  <c r="E979" i="38"/>
  <c r="G979" i="38"/>
  <c r="H979" i="38"/>
  <c r="K979" i="38"/>
  <c r="L979" i="38" s="1"/>
  <c r="M979" i="38"/>
  <c r="N979" i="38" s="1"/>
  <c r="S979" i="38"/>
  <c r="F428" i="25"/>
  <c r="H428" i="25"/>
  <c r="G428" i="25"/>
  <c r="F135" i="25"/>
  <c r="K109" i="25"/>
  <c r="P979" i="38" l="1"/>
  <c r="O979" i="38"/>
  <c r="Z979" i="38"/>
  <c r="F66" i="102"/>
  <c r="H66" i="102"/>
  <c r="G66" i="102"/>
  <c r="F29" i="128" l="1"/>
  <c r="G29" i="128"/>
  <c r="F30" i="109"/>
  <c r="H30" i="109"/>
  <c r="G30" i="109"/>
  <c r="F76" i="96"/>
  <c r="H76" i="96"/>
  <c r="G76" i="96"/>
  <c r="A978" i="38"/>
  <c r="D978" i="38"/>
  <c r="E978" i="38"/>
  <c r="G978" i="38"/>
  <c r="H978" i="38"/>
  <c r="K978" i="38"/>
  <c r="L978" i="38" s="1"/>
  <c r="M978" i="38"/>
  <c r="N978" i="38" s="1"/>
  <c r="S978" i="38"/>
  <c r="P978" i="38" l="1"/>
  <c r="H29" i="128"/>
  <c r="O978" i="38"/>
  <c r="Z978" i="38"/>
  <c r="A977" i="38"/>
  <c r="D977" i="38"/>
  <c r="E977" i="38"/>
  <c r="G977" i="38"/>
  <c r="H977" i="38"/>
  <c r="K977" i="38"/>
  <c r="L977" i="38" s="1"/>
  <c r="M977" i="38"/>
  <c r="N977" i="38" s="1"/>
  <c r="S977" i="38"/>
  <c r="O977" i="38" l="1"/>
  <c r="P977" i="38"/>
  <c r="Z977" i="38"/>
  <c r="A976" i="38"/>
  <c r="D976" i="38"/>
  <c r="E976" i="38"/>
  <c r="G976" i="38"/>
  <c r="H976" i="38"/>
  <c r="K976" i="38"/>
  <c r="L976" i="38" s="1"/>
  <c r="M976" i="38"/>
  <c r="N976" i="38" s="1"/>
  <c r="S976" i="38"/>
  <c r="F149" i="25"/>
  <c r="K2" i="94"/>
  <c r="K2" i="125"/>
  <c r="O976" i="38" l="1"/>
  <c r="Z976" i="38"/>
  <c r="P976" i="38"/>
  <c r="A975" i="38"/>
  <c r="D975" i="38"/>
  <c r="E975" i="38"/>
  <c r="G975" i="38"/>
  <c r="H975" i="38"/>
  <c r="K975" i="38"/>
  <c r="L975" i="38" s="1"/>
  <c r="M975" i="38"/>
  <c r="N975" i="38" s="1"/>
  <c r="S975" i="38"/>
  <c r="F35" i="131"/>
  <c r="G35" i="131"/>
  <c r="K5" i="131"/>
  <c r="F30" i="130"/>
  <c r="H30" i="130"/>
  <c r="G30" i="130"/>
  <c r="K3" i="130"/>
  <c r="G29" i="109"/>
  <c r="F29" i="109"/>
  <c r="H29" i="109"/>
  <c r="K4" i="109"/>
  <c r="F209" i="58"/>
  <c r="G209" i="58"/>
  <c r="H209" i="58"/>
  <c r="K45" i="58"/>
  <c r="F92" i="74"/>
  <c r="H92" i="74"/>
  <c r="G92" i="74"/>
  <c r="K16" i="74"/>
  <c r="F5" i="128"/>
  <c r="F28" i="128"/>
  <c r="G28" i="128"/>
  <c r="K2" i="128"/>
  <c r="F73" i="108"/>
  <c r="G73" i="108"/>
  <c r="H73" i="108"/>
  <c r="K13" i="108"/>
  <c r="F34" i="131"/>
  <c r="G34" i="131"/>
  <c r="K4" i="131"/>
  <c r="F427" i="25"/>
  <c r="G427" i="25"/>
  <c r="H427" i="25"/>
  <c r="K108" i="25"/>
  <c r="O975" i="38" l="1"/>
  <c r="H34" i="131"/>
  <c r="H28" i="128"/>
  <c r="H35" i="131"/>
  <c r="P975" i="38"/>
  <c r="Z975" i="38"/>
  <c r="J35" i="131"/>
  <c r="J34" i="131"/>
  <c r="F27" i="123"/>
  <c r="G27" i="123"/>
  <c r="H27" i="123"/>
  <c r="K2" i="123"/>
  <c r="A974" i="38"/>
  <c r="D974" i="38"/>
  <c r="E974" i="38"/>
  <c r="G974" i="38"/>
  <c r="H974" i="38"/>
  <c r="K974" i="38"/>
  <c r="L974" i="38" s="1"/>
  <c r="M974" i="38"/>
  <c r="N974" i="38" s="1"/>
  <c r="S974" i="38"/>
  <c r="O974" i="38" l="1"/>
  <c r="Z974" i="38"/>
  <c r="P974" i="38"/>
  <c r="A973" i="38"/>
  <c r="D973" i="38"/>
  <c r="E973" i="38"/>
  <c r="G973" i="38"/>
  <c r="H973" i="38"/>
  <c r="K973" i="38"/>
  <c r="L973" i="38" s="1"/>
  <c r="M973" i="38"/>
  <c r="N973" i="38" s="1"/>
  <c r="S973" i="38"/>
  <c r="O973" i="38" l="1"/>
  <c r="P973" i="38"/>
  <c r="Z973" i="38"/>
  <c r="F28" i="120"/>
  <c r="G28" i="120"/>
  <c r="H28" i="120"/>
  <c r="K3" i="120"/>
  <c r="F426" i="25"/>
  <c r="H426" i="25"/>
  <c r="G426" i="25"/>
  <c r="K107" i="25"/>
  <c r="F33" i="131"/>
  <c r="J33" i="131" s="1"/>
  <c r="G33" i="131"/>
  <c r="K3" i="131"/>
  <c r="F208" i="58"/>
  <c r="H208" i="58"/>
  <c r="G208" i="58"/>
  <c r="K44" i="58"/>
  <c r="K43" i="58"/>
  <c r="K30" i="46"/>
  <c r="A972" i="38"/>
  <c r="D972" i="38"/>
  <c r="E972" i="38"/>
  <c r="G972" i="38"/>
  <c r="H972" i="38"/>
  <c r="K972" i="38"/>
  <c r="L972" i="38" s="1"/>
  <c r="M972" i="38"/>
  <c r="N972" i="38" s="1"/>
  <c r="S972" i="38"/>
  <c r="H18" i="105"/>
  <c r="H33" i="131" l="1"/>
  <c r="O972" i="38"/>
  <c r="P972" i="38"/>
  <c r="Z972" i="38"/>
  <c r="K2" i="120"/>
  <c r="A971" i="38"/>
  <c r="D971" i="38"/>
  <c r="E971" i="38"/>
  <c r="G971" i="38"/>
  <c r="H971" i="38"/>
  <c r="K971" i="38"/>
  <c r="L971" i="38" s="1"/>
  <c r="M971" i="38"/>
  <c r="N971" i="38" s="1"/>
  <c r="S971" i="38"/>
  <c r="F32" i="131"/>
  <c r="J32" i="131" s="1"/>
  <c r="G32" i="131"/>
  <c r="F3" i="120"/>
  <c r="F27" i="120"/>
  <c r="G27" i="120"/>
  <c r="H27" i="120"/>
  <c r="G131" i="46"/>
  <c r="F131" i="46"/>
  <c r="H131" i="46"/>
  <c r="K29" i="46"/>
  <c r="H32" i="131" l="1"/>
  <c r="O971" i="38"/>
  <c r="Z971" i="38"/>
  <c r="P971" i="38"/>
  <c r="A970" i="38"/>
  <c r="D970" i="38"/>
  <c r="E970" i="38"/>
  <c r="G970" i="38"/>
  <c r="H970" i="38"/>
  <c r="K970" i="38"/>
  <c r="L970" i="38" s="1"/>
  <c r="M970" i="38"/>
  <c r="N970" i="38" s="1"/>
  <c r="S970" i="38"/>
  <c r="F66" i="45"/>
  <c r="G66" i="45"/>
  <c r="H66" i="45"/>
  <c r="F31" i="131"/>
  <c r="G31" i="131"/>
  <c r="F6" i="131"/>
  <c r="F207" i="58"/>
  <c r="H207" i="58"/>
  <c r="G207" i="58"/>
  <c r="F55" i="58"/>
  <c r="F3" i="132"/>
  <c r="F26" i="120"/>
  <c r="G26" i="120"/>
  <c r="H26" i="120"/>
  <c r="F4" i="120"/>
  <c r="P970" i="38" l="1"/>
  <c r="O970" i="38"/>
  <c r="H31" i="131"/>
  <c r="Z970" i="38"/>
  <c r="J31" i="131"/>
  <c r="H25" i="120"/>
  <c r="G25" i="120"/>
  <c r="F25" i="120"/>
  <c r="H94" i="120"/>
  <c r="G94" i="120"/>
  <c r="F94" i="120"/>
  <c r="H93" i="120"/>
  <c r="G93" i="120"/>
  <c r="F93" i="120"/>
  <c r="H92" i="120"/>
  <c r="G92" i="120"/>
  <c r="F92" i="120"/>
  <c r="H91" i="120"/>
  <c r="G91" i="120"/>
  <c r="F91" i="120"/>
  <c r="H90" i="120"/>
  <c r="G90" i="120"/>
  <c r="F90" i="120"/>
  <c r="H89" i="120"/>
  <c r="G89" i="120"/>
  <c r="F89" i="120"/>
  <c r="F130" i="46" l="1"/>
  <c r="G130" i="46"/>
  <c r="H130" i="46"/>
  <c r="K28" i="46"/>
  <c r="F66" i="105"/>
  <c r="H66" i="105"/>
  <c r="G66" i="105"/>
  <c r="K9" i="105"/>
  <c r="F425" i="25"/>
  <c r="H425" i="25"/>
  <c r="G425" i="25"/>
  <c r="H106" i="94"/>
  <c r="G106" i="94"/>
  <c r="F106" i="94"/>
  <c r="H104" i="94"/>
  <c r="G104" i="94"/>
  <c r="F104" i="94"/>
  <c r="J104" i="94" s="1"/>
  <c r="H103" i="94"/>
  <c r="G103" i="94"/>
  <c r="F103" i="94"/>
  <c r="J103" i="94" s="1"/>
  <c r="J102" i="94"/>
  <c r="J101" i="94"/>
  <c r="H100" i="94"/>
  <c r="G100" i="94"/>
  <c r="F100" i="94"/>
  <c r="J100" i="94" s="1"/>
  <c r="H99" i="94"/>
  <c r="G99" i="94"/>
  <c r="F99" i="94"/>
  <c r="J99" i="94" s="1"/>
  <c r="H98" i="94"/>
  <c r="G98" i="94"/>
  <c r="F98" i="94"/>
  <c r="J98" i="94" s="1"/>
  <c r="H97" i="94"/>
  <c r="G97" i="94"/>
  <c r="F97" i="94"/>
  <c r="J97" i="94" s="1"/>
  <c r="H96" i="94"/>
  <c r="G96" i="94"/>
  <c r="F96" i="94"/>
  <c r="J96" i="94" s="1"/>
  <c r="H95" i="94"/>
  <c r="G95" i="94"/>
  <c r="F95" i="94"/>
  <c r="J95" i="94" s="1"/>
  <c r="H94" i="94"/>
  <c r="G94" i="94"/>
  <c r="F94" i="94"/>
  <c r="J94" i="94" s="1"/>
  <c r="H93" i="94"/>
  <c r="G93" i="94"/>
  <c r="F93" i="94"/>
  <c r="J93" i="94" s="1"/>
  <c r="H92" i="94"/>
  <c r="G92" i="94"/>
  <c r="F92" i="94"/>
  <c r="J92" i="94" s="1"/>
  <c r="H91" i="94"/>
  <c r="G91" i="94"/>
  <c r="F91" i="94"/>
  <c r="J91" i="94" s="1"/>
  <c r="H90" i="94"/>
  <c r="G90" i="94"/>
  <c r="F90" i="94"/>
  <c r="J90" i="94" s="1"/>
  <c r="H89" i="94"/>
  <c r="G89" i="94"/>
  <c r="F89" i="94"/>
  <c r="J89" i="94" s="1"/>
  <c r="F25" i="94"/>
  <c r="G25" i="94"/>
  <c r="H25" i="94"/>
  <c r="A969" i="38"/>
  <c r="D969" i="38"/>
  <c r="E969" i="38"/>
  <c r="G969" i="38"/>
  <c r="H969" i="38"/>
  <c r="K969" i="38"/>
  <c r="L969" i="38" s="1"/>
  <c r="M969" i="38"/>
  <c r="N969" i="38" s="1"/>
  <c r="S969" i="38"/>
  <c r="F148" i="25"/>
  <c r="P969" i="38" l="1"/>
  <c r="Z969" i="38"/>
  <c r="O969" i="38"/>
  <c r="A968" i="38"/>
  <c r="D968" i="38"/>
  <c r="E968" i="38"/>
  <c r="G968" i="38"/>
  <c r="H968" i="38"/>
  <c r="K968" i="38"/>
  <c r="L968" i="38" s="1"/>
  <c r="M968" i="38"/>
  <c r="N968" i="38" s="1"/>
  <c r="S968" i="38"/>
  <c r="F424" i="25"/>
  <c r="H424" i="25"/>
  <c r="G424" i="25"/>
  <c r="K106" i="25"/>
  <c r="F30" i="131"/>
  <c r="G30" i="131"/>
  <c r="K2" i="131"/>
  <c r="F206" i="58"/>
  <c r="G206" i="58"/>
  <c r="H206" i="58"/>
  <c r="K42" i="58"/>
  <c r="H30" i="131" l="1"/>
  <c r="J30" i="131"/>
  <c r="P968" i="38"/>
  <c r="O968" i="38"/>
  <c r="Z968" i="38"/>
  <c r="A967" i="38"/>
  <c r="D967" i="38"/>
  <c r="E967" i="38"/>
  <c r="G967" i="38"/>
  <c r="H967" i="38"/>
  <c r="K967" i="38"/>
  <c r="L967" i="38" s="1"/>
  <c r="M967" i="38"/>
  <c r="N967" i="38" s="1"/>
  <c r="S967" i="38"/>
  <c r="O967" i="38" l="1"/>
  <c r="P967" i="38"/>
  <c r="Z967" i="38"/>
  <c r="A966" i="38"/>
  <c r="D966" i="38"/>
  <c r="E966" i="38"/>
  <c r="G966" i="38"/>
  <c r="H966" i="38"/>
  <c r="K966" i="38"/>
  <c r="L966" i="38" s="1"/>
  <c r="M966" i="38"/>
  <c r="N966" i="38" s="1"/>
  <c r="S966" i="38"/>
  <c r="F29" i="130"/>
  <c r="H29" i="130"/>
  <c r="G29" i="130"/>
  <c r="F6" i="130"/>
  <c r="F30" i="82"/>
  <c r="G30" i="82"/>
  <c r="H30" i="82"/>
  <c r="F4" i="82"/>
  <c r="F69" i="86"/>
  <c r="H69" i="86"/>
  <c r="G69" i="86"/>
  <c r="C24" i="86"/>
  <c r="M24" i="86"/>
  <c r="H24" i="86"/>
  <c r="F15" i="86"/>
  <c r="F14" i="86"/>
  <c r="F29" i="131"/>
  <c r="J29" i="131" s="1"/>
  <c r="G29" i="131"/>
  <c r="F5" i="131"/>
  <c r="F423" i="25"/>
  <c r="G423" i="25"/>
  <c r="H423" i="25"/>
  <c r="F147" i="25"/>
  <c r="F205" i="58"/>
  <c r="G205" i="58"/>
  <c r="H205" i="58"/>
  <c r="F204" i="58"/>
  <c r="H204" i="58"/>
  <c r="G204" i="58"/>
  <c r="F54" i="58"/>
  <c r="F53" i="58"/>
  <c r="P966" i="38" l="1"/>
  <c r="O966" i="38"/>
  <c r="Z966" i="38"/>
  <c r="H29" i="131"/>
  <c r="F91" i="74"/>
  <c r="G91" i="74"/>
  <c r="H91" i="74"/>
  <c r="F422" i="25"/>
  <c r="H422" i="25"/>
  <c r="G422" i="25"/>
  <c r="F146" i="25"/>
  <c r="A965" i="38"/>
  <c r="D965" i="38"/>
  <c r="E965" i="38"/>
  <c r="G965" i="38"/>
  <c r="H965" i="38"/>
  <c r="K965" i="38"/>
  <c r="L965" i="38" s="1"/>
  <c r="M965" i="38"/>
  <c r="N965" i="38" s="1"/>
  <c r="S965" i="38"/>
  <c r="P965" i="38" l="1"/>
  <c r="O965" i="38"/>
  <c r="Z965" i="38"/>
  <c r="A964" i="38"/>
  <c r="D964" i="38"/>
  <c r="E964" i="38"/>
  <c r="G964" i="38"/>
  <c r="H964" i="38"/>
  <c r="K964" i="38"/>
  <c r="L964" i="38" s="1"/>
  <c r="M964" i="38"/>
  <c r="N964" i="38" s="1"/>
  <c r="S964" i="38"/>
  <c r="F72" i="108"/>
  <c r="H72" i="108"/>
  <c r="G72" i="108"/>
  <c r="F27" i="128"/>
  <c r="G27" i="128"/>
  <c r="F4" i="128"/>
  <c r="C84" i="89"/>
  <c r="H84" i="89"/>
  <c r="M84" i="89"/>
  <c r="F2" i="89"/>
  <c r="K71" i="89"/>
  <c r="F71" i="89"/>
  <c r="K70" i="89"/>
  <c r="F70" i="89"/>
  <c r="K69" i="89"/>
  <c r="F69" i="89"/>
  <c r="K68" i="89"/>
  <c r="F68" i="89"/>
  <c r="H110" i="89"/>
  <c r="G110" i="89"/>
  <c r="H109" i="89"/>
  <c r="G109" i="89"/>
  <c r="F109" i="89"/>
  <c r="H108" i="89"/>
  <c r="G108" i="89"/>
  <c r="F108" i="89"/>
  <c r="H107" i="89"/>
  <c r="G107" i="89"/>
  <c r="F107" i="89"/>
  <c r="H106" i="89"/>
  <c r="G106" i="89"/>
  <c r="F106" i="89"/>
  <c r="H105" i="89"/>
  <c r="G105" i="89"/>
  <c r="F105" i="89"/>
  <c r="H104" i="89"/>
  <c r="G104" i="89"/>
  <c r="F104" i="89"/>
  <c r="H103" i="89"/>
  <c r="G103" i="89"/>
  <c r="F103" i="89"/>
  <c r="H102" i="89"/>
  <c r="G102" i="89"/>
  <c r="F102" i="89"/>
  <c r="H101" i="89"/>
  <c r="G101" i="89"/>
  <c r="H100" i="89"/>
  <c r="G100" i="89"/>
  <c r="F100" i="89"/>
  <c r="H99" i="89"/>
  <c r="G99" i="89"/>
  <c r="F99" i="89"/>
  <c r="H98" i="89"/>
  <c r="G98" i="89"/>
  <c r="F98" i="89"/>
  <c r="H97" i="89"/>
  <c r="G97" i="89"/>
  <c r="F97" i="89"/>
  <c r="H96" i="89"/>
  <c r="G96" i="89"/>
  <c r="F96" i="89"/>
  <c r="H95" i="89"/>
  <c r="G95" i="89"/>
  <c r="F95" i="89"/>
  <c r="H94" i="89"/>
  <c r="G94" i="89"/>
  <c r="F94" i="89"/>
  <c r="H93" i="89"/>
  <c r="G93" i="89"/>
  <c r="F93" i="89"/>
  <c r="H92" i="89"/>
  <c r="G92" i="89"/>
  <c r="F92" i="89"/>
  <c r="H91" i="89"/>
  <c r="G91" i="89"/>
  <c r="F91" i="89"/>
  <c r="H90" i="89"/>
  <c r="G90" i="89"/>
  <c r="F90" i="89"/>
  <c r="H89" i="89"/>
  <c r="G89" i="89"/>
  <c r="F89" i="89"/>
  <c r="H27" i="128" l="1"/>
  <c r="K84" i="89"/>
  <c r="F84" i="89"/>
  <c r="O964" i="38"/>
  <c r="P964" i="38"/>
  <c r="Z964" i="38"/>
  <c r="F90" i="74"/>
  <c r="H90" i="74"/>
  <c r="G90" i="74"/>
  <c r="K15" i="74"/>
  <c r="F421" i="25"/>
  <c r="H421" i="25"/>
  <c r="G421" i="25"/>
  <c r="K105" i="25"/>
  <c r="A963" i="38"/>
  <c r="D963" i="38"/>
  <c r="E963" i="38"/>
  <c r="G963" i="38"/>
  <c r="H963" i="38"/>
  <c r="K963" i="38"/>
  <c r="L963" i="38" s="1"/>
  <c r="M963" i="38"/>
  <c r="N963" i="38" s="1"/>
  <c r="S963" i="38"/>
  <c r="O963" i="38" l="1"/>
  <c r="P963" i="38"/>
  <c r="Z963" i="38"/>
  <c r="A962" i="38"/>
  <c r="D962" i="38"/>
  <c r="E962" i="38"/>
  <c r="G962" i="38"/>
  <c r="H962" i="38"/>
  <c r="K962" i="38"/>
  <c r="L962" i="38" s="1"/>
  <c r="M962" i="38"/>
  <c r="N962" i="38" s="1"/>
  <c r="S962" i="38"/>
  <c r="G59" i="69"/>
  <c r="F59" i="69"/>
  <c r="H59" i="69"/>
  <c r="K12" i="69"/>
  <c r="O962" i="38" l="1"/>
  <c r="P962" i="38"/>
  <c r="Z962" i="38"/>
  <c r="M84" i="133" l="1"/>
  <c r="K84" i="133"/>
  <c r="H84" i="133"/>
  <c r="F84" i="133"/>
  <c r="C84" i="133"/>
  <c r="P37" i="133"/>
  <c r="P36" i="133"/>
  <c r="P35" i="133"/>
  <c r="P34" i="133"/>
  <c r="P33" i="133"/>
  <c r="P32" i="133"/>
  <c r="P31" i="133"/>
  <c r="P30" i="133"/>
  <c r="P29" i="133"/>
  <c r="P28" i="133"/>
  <c r="P27" i="133"/>
  <c r="P26" i="133"/>
  <c r="P25" i="133"/>
  <c r="H25" i="133"/>
  <c r="G25" i="133"/>
  <c r="F25" i="133"/>
  <c r="P24" i="133"/>
  <c r="P23" i="133"/>
  <c r="P22" i="133"/>
  <c r="P21" i="133"/>
  <c r="P20" i="133"/>
  <c r="P19" i="133"/>
  <c r="P18" i="133"/>
  <c r="M18" i="133"/>
  <c r="H18" i="133"/>
  <c r="C18" i="133"/>
  <c r="P17" i="133"/>
  <c r="Q13" i="133"/>
  <c r="R11" i="133"/>
  <c r="Q11" i="133" s="1"/>
  <c r="K18" i="133"/>
  <c r="F2" i="133"/>
  <c r="F18" i="133" s="1"/>
  <c r="G89" i="74"/>
  <c r="F89" i="74"/>
  <c r="H89" i="74"/>
  <c r="F26" i="74"/>
  <c r="A961" i="38"/>
  <c r="D961" i="38"/>
  <c r="E961" i="38"/>
  <c r="G961" i="38"/>
  <c r="H961" i="38"/>
  <c r="K961" i="38"/>
  <c r="L961" i="38" s="1"/>
  <c r="M961" i="38"/>
  <c r="N961" i="38" s="1"/>
  <c r="S961" i="38"/>
  <c r="C85" i="133"/>
  <c r="H85" i="133"/>
  <c r="K85" i="133"/>
  <c r="F85" i="133"/>
  <c r="M85" i="133"/>
  <c r="C19" i="133"/>
  <c r="H19" i="133"/>
  <c r="M19" i="133"/>
  <c r="F19" i="133"/>
  <c r="K19" i="133"/>
  <c r="O961" i="38" l="1"/>
  <c r="M66" i="133"/>
  <c r="Q10" i="133" s="1"/>
  <c r="Q2" i="133"/>
  <c r="Q8" i="133" s="1"/>
  <c r="P961" i="38"/>
  <c r="Z961" i="38"/>
  <c r="F420" i="25"/>
  <c r="H420" i="25"/>
  <c r="G420" i="25"/>
  <c r="F145" i="25"/>
  <c r="A960" i="38"/>
  <c r="D960" i="38"/>
  <c r="E960" i="38"/>
  <c r="G960" i="38"/>
  <c r="H960" i="38"/>
  <c r="K960" i="38"/>
  <c r="L960" i="38" s="1"/>
  <c r="M960" i="38"/>
  <c r="N960" i="38" s="1"/>
  <c r="S960" i="38"/>
  <c r="Q3" i="133" l="1"/>
  <c r="Q6" i="133" s="1"/>
  <c r="Q9" i="133" s="1"/>
  <c r="Q5" i="133"/>
  <c r="Q7" i="133"/>
  <c r="O960" i="38"/>
  <c r="P960" i="38"/>
  <c r="Z960" i="38"/>
  <c r="A959" i="38"/>
  <c r="D959" i="38"/>
  <c r="E959" i="38"/>
  <c r="G959" i="38"/>
  <c r="H959" i="38"/>
  <c r="K959" i="38"/>
  <c r="L959" i="38" s="1"/>
  <c r="M959" i="38"/>
  <c r="N959" i="38" s="1"/>
  <c r="S959" i="38"/>
  <c r="O959" i="38" l="1"/>
  <c r="P959" i="38"/>
  <c r="Z959" i="38"/>
  <c r="K68" i="125"/>
  <c r="F68" i="125"/>
  <c r="A958" i="38"/>
  <c r="D958" i="38"/>
  <c r="E958" i="38"/>
  <c r="G958" i="38"/>
  <c r="H958" i="38"/>
  <c r="K958" i="38"/>
  <c r="L958" i="38" s="1"/>
  <c r="M958" i="38"/>
  <c r="N958" i="38" s="1"/>
  <c r="S958" i="38"/>
  <c r="K68" i="123"/>
  <c r="F68" i="123"/>
  <c r="C84" i="94"/>
  <c r="M84" i="94"/>
  <c r="H84" i="94"/>
  <c r="K72" i="94"/>
  <c r="F72" i="94"/>
  <c r="K71" i="94"/>
  <c r="F71" i="94"/>
  <c r="K70" i="94"/>
  <c r="F70" i="94"/>
  <c r="K69" i="94"/>
  <c r="F69" i="94"/>
  <c r="K68" i="94"/>
  <c r="F68" i="94"/>
  <c r="K69" i="120"/>
  <c r="F69" i="120"/>
  <c r="K68" i="120"/>
  <c r="F68" i="120"/>
  <c r="F203" i="58"/>
  <c r="H203" i="58"/>
  <c r="G203" i="58"/>
  <c r="F52" i="58"/>
  <c r="K85" i="94"/>
  <c r="K84" i="94" l="1"/>
  <c r="F84" i="94"/>
  <c r="O958" i="38"/>
  <c r="P958" i="38"/>
  <c r="Z958" i="38"/>
  <c r="A957" i="38"/>
  <c r="D957" i="38"/>
  <c r="E957" i="38"/>
  <c r="G957" i="38"/>
  <c r="H957" i="38"/>
  <c r="K957" i="38"/>
  <c r="L957" i="38" s="1"/>
  <c r="M957" i="38"/>
  <c r="N957" i="38" s="1"/>
  <c r="S957" i="38"/>
  <c r="G58" i="69"/>
  <c r="F58" i="69"/>
  <c r="H58" i="69"/>
  <c r="C18" i="69"/>
  <c r="H18" i="69"/>
  <c r="F13" i="69"/>
  <c r="K11" i="69"/>
  <c r="F419" i="25"/>
  <c r="G419" i="25"/>
  <c r="H419" i="25"/>
  <c r="K104" i="25"/>
  <c r="F26" i="130"/>
  <c r="G26" i="130"/>
  <c r="H26" i="130"/>
  <c r="F27" i="130"/>
  <c r="G27" i="130"/>
  <c r="H27" i="130"/>
  <c r="F28" i="130"/>
  <c r="G28" i="130"/>
  <c r="H28" i="130"/>
  <c r="H25" i="130"/>
  <c r="G25" i="130"/>
  <c r="F25" i="130"/>
  <c r="F3" i="130"/>
  <c r="K2" i="130"/>
  <c r="M66" i="94" l="1"/>
  <c r="J25" i="94" s="1"/>
  <c r="O957" i="38"/>
  <c r="P957" i="38"/>
  <c r="Z957" i="38"/>
  <c r="A956" i="38"/>
  <c r="D956" i="38"/>
  <c r="E956" i="38"/>
  <c r="G956" i="38"/>
  <c r="H956" i="38"/>
  <c r="K956" i="38"/>
  <c r="L956" i="38" s="1"/>
  <c r="M956" i="38"/>
  <c r="N956" i="38" s="1"/>
  <c r="S956" i="38"/>
  <c r="P956" i="38" l="1"/>
  <c r="O956" i="38"/>
  <c r="Z956" i="38"/>
  <c r="A955" i="38"/>
  <c r="D955" i="38"/>
  <c r="E955" i="38"/>
  <c r="G955" i="38"/>
  <c r="H955" i="38"/>
  <c r="K955" i="38"/>
  <c r="L955" i="38" s="1"/>
  <c r="M955" i="38"/>
  <c r="N955" i="38" s="1"/>
  <c r="S955" i="38"/>
  <c r="F325" i="51"/>
  <c r="K324" i="51"/>
  <c r="F324" i="51"/>
  <c r="K323" i="51"/>
  <c r="F323" i="51"/>
  <c r="G142" i="51"/>
  <c r="H142" i="51"/>
  <c r="O955" i="38" l="1"/>
  <c r="P955" i="38"/>
  <c r="Z955" i="38"/>
  <c r="F28" i="131"/>
  <c r="G28" i="131"/>
  <c r="A954" i="38"/>
  <c r="D954" i="38"/>
  <c r="E954" i="38"/>
  <c r="G954" i="38"/>
  <c r="H954" i="38"/>
  <c r="K954" i="38"/>
  <c r="L954" i="38" s="1"/>
  <c r="M954" i="38"/>
  <c r="N954" i="38" s="1"/>
  <c r="S954" i="38"/>
  <c r="G88" i="74"/>
  <c r="F88" i="74"/>
  <c r="H88" i="74"/>
  <c r="F25" i="74"/>
  <c r="F418" i="25"/>
  <c r="H418" i="25"/>
  <c r="G418" i="25"/>
  <c r="F144" i="25"/>
  <c r="F202" i="58"/>
  <c r="H202" i="58"/>
  <c r="G202" i="58"/>
  <c r="F51" i="58"/>
  <c r="G71" i="108"/>
  <c r="F71" i="108"/>
  <c r="H71" i="108"/>
  <c r="F18" i="108"/>
  <c r="F65" i="105"/>
  <c r="H65" i="105"/>
  <c r="G65" i="105"/>
  <c r="F12" i="105"/>
  <c r="C18" i="105"/>
  <c r="F95" i="88"/>
  <c r="H95" i="88"/>
  <c r="G95" i="88"/>
  <c r="F23" i="88"/>
  <c r="F201" i="58"/>
  <c r="G201" i="58"/>
  <c r="H201" i="58"/>
  <c r="F50" i="58"/>
  <c r="F417" i="25"/>
  <c r="H417" i="25"/>
  <c r="G417" i="25"/>
  <c r="F143" i="25"/>
  <c r="S953" i="38"/>
  <c r="A953" i="38"/>
  <c r="D953" i="38"/>
  <c r="E953" i="38"/>
  <c r="G953" i="38"/>
  <c r="H953" i="38"/>
  <c r="K953" i="38"/>
  <c r="L953" i="38" s="1"/>
  <c r="M953" i="38"/>
  <c r="N953" i="38" s="1"/>
  <c r="G27" i="125"/>
  <c r="F27" i="125"/>
  <c r="F2" i="125"/>
  <c r="F2" i="94"/>
  <c r="F26" i="123"/>
  <c r="G26" i="123"/>
  <c r="H26" i="123"/>
  <c r="H25" i="123"/>
  <c r="G25" i="123"/>
  <c r="F25" i="123"/>
  <c r="F2" i="123"/>
  <c r="O953" i="38" l="1"/>
  <c r="O954" i="38"/>
  <c r="H28" i="131"/>
  <c r="P954" i="38"/>
  <c r="H27" i="125"/>
  <c r="J28" i="131"/>
  <c r="Z954" i="38"/>
  <c r="P953" i="38"/>
  <c r="Z953" i="38"/>
  <c r="A952" i="38"/>
  <c r="D952" i="38"/>
  <c r="E952" i="38"/>
  <c r="G952" i="38"/>
  <c r="H952" i="38"/>
  <c r="K952" i="38"/>
  <c r="L952" i="38" s="1"/>
  <c r="M952" i="38"/>
  <c r="N952" i="38" s="1"/>
  <c r="S952" i="38"/>
  <c r="F2" i="120"/>
  <c r="F28" i="109"/>
  <c r="G28" i="109"/>
  <c r="H28" i="109"/>
  <c r="F7" i="109"/>
  <c r="F416" i="25"/>
  <c r="H416" i="25"/>
  <c r="G416" i="25"/>
  <c r="F142" i="25"/>
  <c r="G129" i="46"/>
  <c r="F129" i="46"/>
  <c r="H129" i="46"/>
  <c r="K27" i="46"/>
  <c r="K26" i="46"/>
  <c r="G57" i="69"/>
  <c r="F57" i="69"/>
  <c r="H57" i="69"/>
  <c r="O952" i="38" l="1"/>
  <c r="P952" i="38"/>
  <c r="Z952" i="38"/>
  <c r="A951" i="38"/>
  <c r="D951" i="38"/>
  <c r="E951" i="38"/>
  <c r="G951" i="38"/>
  <c r="H951" i="38"/>
  <c r="K951" i="38"/>
  <c r="L951" i="38" s="1"/>
  <c r="M951" i="38"/>
  <c r="N951" i="38" s="1"/>
  <c r="S951" i="38"/>
  <c r="F37" i="92"/>
  <c r="G37" i="92"/>
  <c r="H37" i="92"/>
  <c r="F29" i="129"/>
  <c r="J29" i="129" s="1"/>
  <c r="G29" i="129"/>
  <c r="F4" i="129"/>
  <c r="F128" i="46"/>
  <c r="H128" i="46"/>
  <c r="G128" i="46"/>
  <c r="F37" i="46"/>
  <c r="F70" i="108"/>
  <c r="H70" i="108"/>
  <c r="G70" i="108"/>
  <c r="K12" i="108"/>
  <c r="F415" i="25"/>
  <c r="G415" i="25"/>
  <c r="H415" i="25"/>
  <c r="F141" i="25"/>
  <c r="F27" i="131"/>
  <c r="G27" i="131"/>
  <c r="F4" i="131"/>
  <c r="H27" i="131" l="1"/>
  <c r="J27" i="131"/>
  <c r="O951" i="38"/>
  <c r="P951" i="38"/>
  <c r="Z951" i="38"/>
  <c r="A950" i="38"/>
  <c r="D950" i="38"/>
  <c r="E950" i="38"/>
  <c r="G950" i="38"/>
  <c r="H950" i="38"/>
  <c r="K950" i="38"/>
  <c r="L950" i="38" s="1"/>
  <c r="M950" i="38"/>
  <c r="N950" i="38" s="1"/>
  <c r="S950" i="38"/>
  <c r="O950" i="38" l="1"/>
  <c r="P950" i="38"/>
  <c r="Z950" i="38"/>
  <c r="F414" i="25"/>
  <c r="H414" i="25"/>
  <c r="G414" i="25"/>
  <c r="G94" i="88"/>
  <c r="F94" i="88"/>
  <c r="H94" i="88"/>
  <c r="A949" i="38"/>
  <c r="D949" i="38"/>
  <c r="E949" i="38"/>
  <c r="G949" i="38"/>
  <c r="H949" i="38"/>
  <c r="K949" i="38"/>
  <c r="L949" i="38" s="1"/>
  <c r="M949" i="38"/>
  <c r="N949" i="38" s="1"/>
  <c r="S949" i="38"/>
  <c r="O949" i="38" l="1"/>
  <c r="P949" i="38"/>
  <c r="Z949" i="38"/>
  <c r="A948" i="38"/>
  <c r="D948" i="38"/>
  <c r="E948" i="38"/>
  <c r="G948" i="38"/>
  <c r="H948" i="38"/>
  <c r="K948" i="38"/>
  <c r="L948" i="38" s="1"/>
  <c r="M948" i="38"/>
  <c r="N948" i="38" s="1"/>
  <c r="S948" i="38"/>
  <c r="P948" i="38" l="1"/>
  <c r="O948" i="38"/>
  <c r="Z948" i="38"/>
  <c r="A947" i="38"/>
  <c r="D947" i="38"/>
  <c r="E947" i="38"/>
  <c r="G947" i="38"/>
  <c r="H947" i="38"/>
  <c r="K947" i="38"/>
  <c r="L947" i="38" s="1"/>
  <c r="M947" i="38"/>
  <c r="N947" i="38" s="1"/>
  <c r="S947" i="38"/>
  <c r="P947" i="38" l="1"/>
  <c r="O947" i="38"/>
  <c r="Z947" i="38"/>
  <c r="A946" i="38" l="1"/>
  <c r="D946" i="38"/>
  <c r="E946" i="38"/>
  <c r="G946" i="38"/>
  <c r="H946" i="38"/>
  <c r="K946" i="38"/>
  <c r="L946" i="38" s="1"/>
  <c r="M946" i="38"/>
  <c r="N946" i="38" s="1"/>
  <c r="S946" i="38"/>
  <c r="F93" i="88"/>
  <c r="G93" i="88"/>
  <c r="H93" i="88"/>
  <c r="P946" i="38" l="1"/>
  <c r="O946" i="38"/>
  <c r="Z946" i="38"/>
  <c r="F413" i="25"/>
  <c r="H413" i="25"/>
  <c r="G413" i="25"/>
  <c r="K103" i="25"/>
  <c r="A945" i="38"/>
  <c r="D945" i="38"/>
  <c r="E945" i="38"/>
  <c r="G945" i="38"/>
  <c r="H945" i="38"/>
  <c r="K945" i="38"/>
  <c r="L945" i="38" s="1"/>
  <c r="M945" i="38"/>
  <c r="N945" i="38" s="1"/>
  <c r="S945" i="38"/>
  <c r="A944" i="38"/>
  <c r="D944" i="38"/>
  <c r="E944" i="38"/>
  <c r="G944" i="38"/>
  <c r="H944" i="38"/>
  <c r="K944" i="38"/>
  <c r="L944" i="38" s="1"/>
  <c r="M944" i="38"/>
  <c r="N944" i="38" s="1"/>
  <c r="S944" i="38"/>
  <c r="F200" i="58"/>
  <c r="H200" i="58"/>
  <c r="G200" i="58"/>
  <c r="K41" i="58"/>
  <c r="O944" i="38" l="1"/>
  <c r="O945" i="38"/>
  <c r="P945" i="38"/>
  <c r="Z945" i="38"/>
  <c r="P944" i="38"/>
  <c r="Z944" i="38"/>
  <c r="A943" i="38"/>
  <c r="D943" i="38"/>
  <c r="E943" i="38"/>
  <c r="G943" i="38"/>
  <c r="H943" i="38"/>
  <c r="K943" i="38"/>
  <c r="L943" i="38" s="1"/>
  <c r="M943" i="38"/>
  <c r="N943" i="38" s="1"/>
  <c r="S943" i="38"/>
  <c r="O943" i="38" l="1"/>
  <c r="P943" i="38"/>
  <c r="Z943" i="38"/>
  <c r="A942" i="38"/>
  <c r="D942" i="38"/>
  <c r="E942" i="38"/>
  <c r="G942" i="38"/>
  <c r="H942" i="38"/>
  <c r="K942" i="38"/>
  <c r="L942" i="38" s="1"/>
  <c r="M942" i="38"/>
  <c r="N942" i="38" s="1"/>
  <c r="S942" i="38"/>
  <c r="P942" i="38" l="1"/>
  <c r="O942" i="38"/>
  <c r="Z942" i="38"/>
  <c r="A941" i="38"/>
  <c r="D941" i="38"/>
  <c r="E941" i="38"/>
  <c r="G941" i="38"/>
  <c r="H941" i="38"/>
  <c r="K941" i="38"/>
  <c r="L941" i="38" s="1"/>
  <c r="M941" i="38"/>
  <c r="N941" i="38" s="1"/>
  <c r="S941" i="38"/>
  <c r="O941" i="38" l="1"/>
  <c r="P941" i="38"/>
  <c r="Z941" i="38"/>
  <c r="A940" i="38"/>
  <c r="D940" i="38"/>
  <c r="E940" i="38"/>
  <c r="G940" i="38"/>
  <c r="H940" i="38"/>
  <c r="K940" i="38"/>
  <c r="L940" i="38" s="1"/>
  <c r="M940" i="38"/>
  <c r="N940" i="38" s="1"/>
  <c r="S940" i="38"/>
  <c r="F26" i="131"/>
  <c r="G26" i="131"/>
  <c r="F3" i="131"/>
  <c r="H26" i="131" l="1"/>
  <c r="O940" i="38"/>
  <c r="J26" i="131"/>
  <c r="P940" i="38"/>
  <c r="Z940" i="38"/>
  <c r="F199" i="58"/>
  <c r="H199" i="58"/>
  <c r="G199" i="58"/>
  <c r="K40" i="58"/>
  <c r="F5" i="109"/>
  <c r="F27" i="109"/>
  <c r="G27" i="109"/>
  <c r="H27" i="109"/>
  <c r="K3" i="109"/>
  <c r="K2" i="109"/>
  <c r="A939" i="38"/>
  <c r="D939" i="38"/>
  <c r="E939" i="38"/>
  <c r="G939" i="38"/>
  <c r="H939" i="38"/>
  <c r="K939" i="38"/>
  <c r="L939" i="38" s="1"/>
  <c r="M939" i="38"/>
  <c r="N939" i="38" s="1"/>
  <c r="S939" i="38"/>
  <c r="A938" i="38"/>
  <c r="D938" i="38"/>
  <c r="E938" i="38"/>
  <c r="G938" i="38"/>
  <c r="H938" i="38"/>
  <c r="K938" i="38"/>
  <c r="L938" i="38" s="1"/>
  <c r="M938" i="38"/>
  <c r="N938" i="38" s="1"/>
  <c r="S938" i="38"/>
  <c r="F5" i="130"/>
  <c r="F412" i="25"/>
  <c r="H412" i="25"/>
  <c r="G412" i="25"/>
  <c r="F140" i="25"/>
  <c r="O938" i="38" l="1"/>
  <c r="O939" i="38"/>
  <c r="Z939" i="38"/>
  <c r="P939" i="38"/>
  <c r="Z938" i="38"/>
  <c r="P938" i="38"/>
  <c r="H26" i="109"/>
  <c r="G26" i="109"/>
  <c r="F26" i="109"/>
  <c r="F198" i="58"/>
  <c r="H198" i="58"/>
  <c r="G198" i="58"/>
  <c r="F127" i="46" l="1"/>
  <c r="H127" i="46"/>
  <c r="G127" i="46"/>
  <c r="K25" i="46"/>
  <c r="C17" i="51"/>
  <c r="F140" i="51"/>
  <c r="G141" i="51"/>
  <c r="F141" i="51"/>
  <c r="H141" i="51"/>
  <c r="K17" i="51"/>
  <c r="F56" i="69"/>
  <c r="H56" i="69"/>
  <c r="G56" i="69"/>
  <c r="F12" i="69"/>
  <c r="F411" i="25"/>
  <c r="G411" i="25"/>
  <c r="H411" i="25"/>
  <c r="F139" i="25"/>
  <c r="K102" i="25"/>
  <c r="A937" i="38"/>
  <c r="D937" i="38"/>
  <c r="E937" i="38"/>
  <c r="G937" i="38"/>
  <c r="H937" i="38"/>
  <c r="K937" i="38"/>
  <c r="L937" i="38" s="1"/>
  <c r="M937" i="38"/>
  <c r="N937" i="38" s="1"/>
  <c r="S937" i="38"/>
  <c r="O937" i="38" l="1"/>
  <c r="P937" i="38"/>
  <c r="U937" i="38"/>
  <c r="Z937" i="38"/>
  <c r="A936" i="38"/>
  <c r="D936" i="38"/>
  <c r="E936" i="38"/>
  <c r="G936" i="38"/>
  <c r="H936" i="38"/>
  <c r="K936" i="38"/>
  <c r="L936" i="38" s="1"/>
  <c r="M936" i="38"/>
  <c r="N936" i="38" s="1"/>
  <c r="S936" i="38"/>
  <c r="F55" i="69"/>
  <c r="H55" i="69"/>
  <c r="G55" i="69"/>
  <c r="K10" i="69"/>
  <c r="F410" i="25"/>
  <c r="G410" i="25"/>
  <c r="H410" i="25"/>
  <c r="F138" i="25"/>
  <c r="G92" i="88"/>
  <c r="F92" i="88"/>
  <c r="H92" i="88"/>
  <c r="F22" i="88"/>
  <c r="F197" i="58"/>
  <c r="G197" i="58"/>
  <c r="H197" i="58"/>
  <c r="F49" i="58"/>
  <c r="G69" i="108"/>
  <c r="F69" i="108"/>
  <c r="H69" i="108"/>
  <c r="F17" i="108"/>
  <c r="F126" i="46"/>
  <c r="G126" i="46"/>
  <c r="H126" i="46"/>
  <c r="F36" i="46"/>
  <c r="O936" i="38" l="1"/>
  <c r="P936" i="38"/>
  <c r="Z936" i="38"/>
  <c r="F65" i="102"/>
  <c r="G65" i="102"/>
  <c r="H65" i="102"/>
  <c r="A935" i="38"/>
  <c r="D935" i="38"/>
  <c r="E935" i="38"/>
  <c r="G935" i="38"/>
  <c r="H935" i="38"/>
  <c r="K935" i="38"/>
  <c r="L935" i="38" s="1"/>
  <c r="M935" i="38"/>
  <c r="N935" i="38" s="1"/>
  <c r="S935" i="38"/>
  <c r="O935" i="38" l="1"/>
  <c r="P935" i="38"/>
  <c r="Z935" i="38"/>
  <c r="A934" i="38"/>
  <c r="D934" i="38"/>
  <c r="E934" i="38"/>
  <c r="G934" i="38"/>
  <c r="H934" i="38"/>
  <c r="K934" i="38"/>
  <c r="L934" i="38" s="1"/>
  <c r="M934" i="38"/>
  <c r="N934" i="38" s="1"/>
  <c r="S934" i="38"/>
  <c r="F25" i="109"/>
  <c r="H25" i="109"/>
  <c r="G25" i="109"/>
  <c r="F6" i="109"/>
  <c r="F409" i="25"/>
  <c r="H409" i="25"/>
  <c r="G409" i="25"/>
  <c r="F137" i="25"/>
  <c r="O934" i="38" l="1"/>
  <c r="Z934" i="38"/>
  <c r="P934" i="38"/>
  <c r="A933" i="38"/>
  <c r="D933" i="38"/>
  <c r="E933" i="38"/>
  <c r="G933" i="38"/>
  <c r="H933" i="38"/>
  <c r="K933" i="38"/>
  <c r="L933" i="38" s="1"/>
  <c r="M933" i="38"/>
  <c r="N933" i="38" s="1"/>
  <c r="S933" i="38"/>
  <c r="F196" i="58"/>
  <c r="H196" i="58"/>
  <c r="G196" i="58"/>
  <c r="F48" i="58"/>
  <c r="O933" i="38" l="1"/>
  <c r="P933" i="38"/>
  <c r="Z933" i="38"/>
  <c r="A932" i="38"/>
  <c r="D932" i="38"/>
  <c r="E932" i="38"/>
  <c r="G932" i="38"/>
  <c r="H932" i="38"/>
  <c r="K932" i="38"/>
  <c r="L932" i="38" s="1"/>
  <c r="M932" i="38"/>
  <c r="N932" i="38" s="1"/>
  <c r="S932" i="38"/>
  <c r="O932" i="38" l="1"/>
  <c r="P932" i="38"/>
  <c r="Z932" i="38"/>
  <c r="G91" i="88"/>
  <c r="F91" i="88"/>
  <c r="H91" i="88"/>
  <c r="K16" i="88"/>
  <c r="A931" i="38"/>
  <c r="D931" i="38"/>
  <c r="E931" i="38"/>
  <c r="G931" i="38"/>
  <c r="H931" i="38"/>
  <c r="K931" i="38"/>
  <c r="L931" i="38" s="1"/>
  <c r="M931" i="38"/>
  <c r="N931" i="38" s="1"/>
  <c r="S931" i="38"/>
  <c r="P931" i="38" l="1"/>
  <c r="O931" i="38"/>
  <c r="Z931" i="38"/>
  <c r="A930" i="38"/>
  <c r="D930" i="38"/>
  <c r="E930" i="38"/>
  <c r="G930" i="38"/>
  <c r="H930" i="38"/>
  <c r="K930" i="38"/>
  <c r="L930" i="38" s="1"/>
  <c r="M930" i="38"/>
  <c r="N930" i="38" s="1"/>
  <c r="S930" i="38"/>
  <c r="F408" i="25"/>
  <c r="H408" i="25"/>
  <c r="G408" i="25"/>
  <c r="F136" i="25"/>
  <c r="H141" i="92"/>
  <c r="G141" i="92"/>
  <c r="F141" i="92"/>
  <c r="H140" i="92"/>
  <c r="G140" i="92"/>
  <c r="F140" i="92"/>
  <c r="H139" i="92"/>
  <c r="G139" i="92"/>
  <c r="F139" i="92"/>
  <c r="H138" i="92"/>
  <c r="G138" i="92"/>
  <c r="F138" i="92"/>
  <c r="H137" i="92"/>
  <c r="G137" i="92"/>
  <c r="F137" i="92"/>
  <c r="H136" i="92"/>
  <c r="G136" i="92"/>
  <c r="F136" i="92"/>
  <c r="H135" i="92"/>
  <c r="G135" i="92"/>
  <c r="F135" i="92"/>
  <c r="H134" i="92"/>
  <c r="G134" i="92"/>
  <c r="F134" i="92"/>
  <c r="H133" i="92"/>
  <c r="G133" i="92"/>
  <c r="F133" i="92"/>
  <c r="H132" i="92"/>
  <c r="G132" i="92"/>
  <c r="F132" i="92"/>
  <c r="H131" i="92"/>
  <c r="G131" i="92"/>
  <c r="F131" i="92"/>
  <c r="H130" i="92"/>
  <c r="G130" i="92"/>
  <c r="F130" i="92"/>
  <c r="H129" i="92"/>
  <c r="G129" i="92"/>
  <c r="F129" i="92"/>
  <c r="H128" i="92"/>
  <c r="G128" i="92"/>
  <c r="F128" i="92"/>
  <c r="H127" i="92"/>
  <c r="G127" i="92"/>
  <c r="F127" i="92"/>
  <c r="H126" i="92"/>
  <c r="G126" i="92"/>
  <c r="F126" i="92"/>
  <c r="H125" i="92"/>
  <c r="G125" i="92"/>
  <c r="F125" i="92"/>
  <c r="H124" i="92"/>
  <c r="G124" i="92"/>
  <c r="F124" i="92"/>
  <c r="H123" i="92"/>
  <c r="G123" i="92"/>
  <c r="F123" i="92"/>
  <c r="H122" i="92"/>
  <c r="G122" i="92"/>
  <c r="F122" i="92"/>
  <c r="H121" i="92"/>
  <c r="G121" i="92"/>
  <c r="F121" i="92"/>
  <c r="H120" i="92"/>
  <c r="G120" i="92"/>
  <c r="F120" i="92"/>
  <c r="H119" i="92"/>
  <c r="G119" i="92"/>
  <c r="F119" i="92"/>
  <c r="H118" i="92"/>
  <c r="G118" i="92"/>
  <c r="F118" i="92"/>
  <c r="H117" i="92"/>
  <c r="G117" i="92"/>
  <c r="F117" i="92"/>
  <c r="H116" i="92"/>
  <c r="G116" i="92"/>
  <c r="F116" i="92"/>
  <c r="H115" i="92"/>
  <c r="G115" i="92"/>
  <c r="F115" i="92"/>
  <c r="H114" i="92"/>
  <c r="G114" i="92"/>
  <c r="F114" i="92"/>
  <c r="H113" i="92"/>
  <c r="G113" i="92"/>
  <c r="F113" i="92"/>
  <c r="H112" i="92"/>
  <c r="G112" i="92"/>
  <c r="F112" i="92"/>
  <c r="H111" i="92"/>
  <c r="G111" i="92"/>
  <c r="F111" i="92"/>
  <c r="H110" i="92"/>
  <c r="G110" i="92"/>
  <c r="F110" i="92"/>
  <c r="H109" i="92"/>
  <c r="G109" i="92"/>
  <c r="F109" i="92"/>
  <c r="H108" i="92"/>
  <c r="G108" i="92"/>
  <c r="F108" i="92"/>
  <c r="H107" i="92"/>
  <c r="G107" i="92"/>
  <c r="H106" i="92"/>
  <c r="G106" i="92"/>
  <c r="F106" i="92"/>
  <c r="H105" i="92"/>
  <c r="G105" i="92"/>
  <c r="F105" i="92"/>
  <c r="H104" i="92"/>
  <c r="G104" i="92"/>
  <c r="F104" i="92"/>
  <c r="H103" i="92"/>
  <c r="G103" i="92"/>
  <c r="F103" i="92"/>
  <c r="H102" i="92"/>
  <c r="G102" i="92"/>
  <c r="F102" i="92"/>
  <c r="H101" i="92"/>
  <c r="G101" i="92"/>
  <c r="F101" i="92"/>
  <c r="H100" i="92"/>
  <c r="G100" i="92"/>
  <c r="F100" i="92"/>
  <c r="H99" i="92"/>
  <c r="G99" i="92"/>
  <c r="F99" i="92"/>
  <c r="H98" i="92"/>
  <c r="G98" i="92"/>
  <c r="F98" i="92"/>
  <c r="H97" i="92"/>
  <c r="G97" i="92"/>
  <c r="F97" i="92"/>
  <c r="H96" i="92"/>
  <c r="G96" i="92"/>
  <c r="F96" i="92"/>
  <c r="H95" i="92"/>
  <c r="G95" i="92"/>
  <c r="F95" i="92"/>
  <c r="H94" i="92"/>
  <c r="G94" i="92"/>
  <c r="F94" i="92"/>
  <c r="H93" i="92"/>
  <c r="G93" i="92"/>
  <c r="F93" i="92"/>
  <c r="H92" i="92"/>
  <c r="G92" i="92"/>
  <c r="F92" i="92"/>
  <c r="H91" i="92"/>
  <c r="G91" i="92"/>
  <c r="F91" i="92"/>
  <c r="H90" i="92"/>
  <c r="G90" i="92"/>
  <c r="F90" i="92"/>
  <c r="H89" i="92"/>
  <c r="G89" i="92"/>
  <c r="F89" i="92"/>
  <c r="H88" i="92"/>
  <c r="G88" i="92"/>
  <c r="F88" i="92"/>
  <c r="H87" i="92"/>
  <c r="G87" i="92"/>
  <c r="F87" i="92"/>
  <c r="H86" i="92"/>
  <c r="G86" i="92"/>
  <c r="F86" i="92"/>
  <c r="H85" i="92"/>
  <c r="G85" i="92"/>
  <c r="F85" i="92"/>
  <c r="H84" i="92"/>
  <c r="G84" i="92"/>
  <c r="F84" i="92"/>
  <c r="H83" i="92"/>
  <c r="G83" i="92"/>
  <c r="F83" i="92"/>
  <c r="H82" i="92"/>
  <c r="G82" i="92"/>
  <c r="F82" i="92"/>
  <c r="H81" i="92"/>
  <c r="G81" i="92"/>
  <c r="F81" i="92"/>
  <c r="H80" i="92"/>
  <c r="G80" i="92"/>
  <c r="F80" i="92"/>
  <c r="H79" i="92"/>
  <c r="G79" i="92"/>
  <c r="F79" i="92"/>
  <c r="H78" i="92"/>
  <c r="G78" i="92"/>
  <c r="F78" i="92"/>
  <c r="F36" i="92"/>
  <c r="H36" i="92"/>
  <c r="G36" i="92"/>
  <c r="K2" i="92"/>
  <c r="F4" i="92"/>
  <c r="P930" i="38" l="1"/>
  <c r="O930" i="38"/>
  <c r="Z930" i="38"/>
  <c r="A929" i="38"/>
  <c r="D929" i="38"/>
  <c r="E929" i="38"/>
  <c r="G929" i="38"/>
  <c r="H929" i="38"/>
  <c r="K929" i="38"/>
  <c r="L929" i="38" s="1"/>
  <c r="M929" i="38"/>
  <c r="N929" i="38" s="1"/>
  <c r="S929" i="38"/>
  <c r="G90" i="88"/>
  <c r="F90" i="88"/>
  <c r="H90" i="88"/>
  <c r="F21" i="88"/>
  <c r="F68" i="108"/>
  <c r="H68" i="108"/>
  <c r="G68" i="108"/>
  <c r="K11" i="108"/>
  <c r="O929" i="38" l="1"/>
  <c r="P929" i="38"/>
  <c r="Z929" i="38"/>
  <c r="A928" i="38" l="1"/>
  <c r="D928" i="38"/>
  <c r="E928" i="38"/>
  <c r="G928" i="38"/>
  <c r="H928" i="38"/>
  <c r="K928" i="38"/>
  <c r="L928" i="38" s="1"/>
  <c r="M928" i="38"/>
  <c r="N928" i="38" s="1"/>
  <c r="S928" i="38"/>
  <c r="F75" i="96"/>
  <c r="G75" i="96"/>
  <c r="H75" i="96"/>
  <c r="K4" i="96"/>
  <c r="K5" i="96"/>
  <c r="F195" i="58"/>
  <c r="H195" i="58"/>
  <c r="G195" i="58"/>
  <c r="K39" i="58"/>
  <c r="O928" i="38" l="1"/>
  <c r="P928" i="38"/>
  <c r="Z928" i="38"/>
  <c r="F67" i="108"/>
  <c r="H67" i="108"/>
  <c r="G67" i="108"/>
  <c r="K10" i="108"/>
  <c r="A927" i="38"/>
  <c r="D927" i="38"/>
  <c r="E927" i="38"/>
  <c r="G927" i="38"/>
  <c r="H927" i="38"/>
  <c r="K927" i="38"/>
  <c r="L927" i="38" s="1"/>
  <c r="M927" i="38"/>
  <c r="N927" i="38" s="1"/>
  <c r="S927" i="38"/>
  <c r="O927" i="38" l="1"/>
  <c r="Z927" i="38"/>
  <c r="P927" i="38"/>
  <c r="A926" i="38"/>
  <c r="D926" i="38"/>
  <c r="E926" i="38"/>
  <c r="G926" i="38"/>
  <c r="H926" i="38"/>
  <c r="K926" i="38"/>
  <c r="L926" i="38" s="1"/>
  <c r="M926" i="38"/>
  <c r="N926" i="38" s="1"/>
  <c r="S926" i="38"/>
  <c r="G25" i="131"/>
  <c r="F25" i="131"/>
  <c r="J25" i="131" s="1"/>
  <c r="H25" i="131" l="1"/>
  <c r="O926" i="38"/>
  <c r="P926" i="38"/>
  <c r="Z926" i="38"/>
  <c r="A925" i="38"/>
  <c r="D925" i="38"/>
  <c r="E925" i="38"/>
  <c r="G925" i="38"/>
  <c r="H925" i="38"/>
  <c r="K925" i="38"/>
  <c r="L925" i="38" s="1"/>
  <c r="M925" i="38"/>
  <c r="N925" i="38" s="1"/>
  <c r="S925" i="38"/>
  <c r="M330" i="51"/>
  <c r="H330" i="51"/>
  <c r="C330" i="51"/>
  <c r="F321" i="51"/>
  <c r="F320" i="51"/>
  <c r="F319" i="51"/>
  <c r="F318" i="51"/>
  <c r="F317" i="51"/>
  <c r="F316" i="51"/>
  <c r="F315" i="51"/>
  <c r="F314" i="51"/>
  <c r="F313" i="51"/>
  <c r="F312" i="51"/>
  <c r="F311" i="51"/>
  <c r="F310" i="51"/>
  <c r="F309" i="51"/>
  <c r="K308" i="51"/>
  <c r="F308" i="51"/>
  <c r="K307" i="51"/>
  <c r="F307" i="51"/>
  <c r="K306" i="51"/>
  <c r="F306" i="51"/>
  <c r="K305" i="51"/>
  <c r="F305" i="51"/>
  <c r="K304" i="51"/>
  <c r="F304" i="51"/>
  <c r="K303" i="51"/>
  <c r="F303" i="51"/>
  <c r="K302" i="51"/>
  <c r="F302" i="51"/>
  <c r="K301" i="51"/>
  <c r="F301" i="51"/>
  <c r="K300" i="51"/>
  <c r="F300" i="51"/>
  <c r="K299" i="51"/>
  <c r="F299" i="51"/>
  <c r="K298" i="51"/>
  <c r="F298" i="51"/>
  <c r="K297" i="51"/>
  <c r="F297" i="51"/>
  <c r="K296" i="51"/>
  <c r="F296" i="51"/>
  <c r="K295" i="51"/>
  <c r="F295" i="51"/>
  <c r="K294" i="51"/>
  <c r="F294" i="51"/>
  <c r="K293" i="51"/>
  <c r="F293" i="51"/>
  <c r="K292" i="51"/>
  <c r="F292" i="51"/>
  <c r="K291" i="51"/>
  <c r="F291" i="51"/>
  <c r="K290" i="51"/>
  <c r="F290" i="51"/>
  <c r="K289" i="51"/>
  <c r="F289" i="51"/>
  <c r="K288" i="51"/>
  <c r="F288" i="51"/>
  <c r="K287" i="51"/>
  <c r="F287" i="51"/>
  <c r="K286" i="51"/>
  <c r="F286" i="51"/>
  <c r="K285" i="51"/>
  <c r="F285" i="51"/>
  <c r="K284" i="51"/>
  <c r="F284" i="51"/>
  <c r="K283" i="51"/>
  <c r="F283" i="51"/>
  <c r="K282" i="51"/>
  <c r="F282" i="51"/>
  <c r="K281" i="51"/>
  <c r="F281" i="51"/>
  <c r="K280" i="51"/>
  <c r="F280" i="51"/>
  <c r="K279" i="51"/>
  <c r="F279" i="51"/>
  <c r="K278" i="51"/>
  <c r="F278" i="51"/>
  <c r="K277" i="51"/>
  <c r="F277" i="51"/>
  <c r="K276" i="51"/>
  <c r="F276" i="51"/>
  <c r="K275" i="51"/>
  <c r="F275" i="51"/>
  <c r="K274" i="51"/>
  <c r="F274" i="51"/>
  <c r="K273" i="51"/>
  <c r="F273" i="51"/>
  <c r="K272" i="51"/>
  <c r="F272" i="51"/>
  <c r="K271" i="51"/>
  <c r="F271" i="51"/>
  <c r="K270" i="51"/>
  <c r="F270" i="51"/>
  <c r="K269" i="51"/>
  <c r="F269" i="51"/>
  <c r="F407" i="25"/>
  <c r="H407" i="25"/>
  <c r="G407" i="25"/>
  <c r="F406" i="25"/>
  <c r="G406" i="25"/>
  <c r="H406" i="25"/>
  <c r="F134" i="25"/>
  <c r="F89" i="88"/>
  <c r="G89" i="88"/>
  <c r="H89" i="88"/>
  <c r="K15" i="88"/>
  <c r="H140" i="51"/>
  <c r="G140" i="51"/>
  <c r="F17" i="51" l="1"/>
  <c r="O925" i="38"/>
  <c r="K330" i="51"/>
  <c r="P925" i="38"/>
  <c r="U925" i="38"/>
  <c r="Z925" i="38"/>
  <c r="F330" i="51"/>
  <c r="F133" i="25"/>
  <c r="F66" i="108"/>
  <c r="H66" i="108"/>
  <c r="G66" i="108"/>
  <c r="F16" i="108"/>
  <c r="A924" i="38"/>
  <c r="D924" i="38"/>
  <c r="E924" i="38"/>
  <c r="G924" i="38"/>
  <c r="H924" i="38"/>
  <c r="K924" i="38"/>
  <c r="L924" i="38" s="1"/>
  <c r="M924" i="38"/>
  <c r="N924" i="38" s="1"/>
  <c r="S924" i="38"/>
  <c r="M267" i="51" l="1"/>
  <c r="P924" i="38"/>
  <c r="O924" i="38"/>
  <c r="Z924" i="38"/>
  <c r="U924" i="38"/>
  <c r="F74" i="96"/>
  <c r="H74" i="96"/>
  <c r="G74" i="96"/>
  <c r="A923" i="38" l="1"/>
  <c r="D923" i="38"/>
  <c r="E923" i="38"/>
  <c r="G923" i="38"/>
  <c r="H923" i="38"/>
  <c r="K923" i="38"/>
  <c r="L923" i="38" s="1"/>
  <c r="M923" i="38"/>
  <c r="N923" i="38" s="1"/>
  <c r="S923" i="38"/>
  <c r="F86" i="74"/>
  <c r="G86" i="74"/>
  <c r="H86" i="74"/>
  <c r="F87" i="74"/>
  <c r="G87" i="74"/>
  <c r="H87" i="74"/>
  <c r="K14" i="74"/>
  <c r="F64" i="105"/>
  <c r="H64" i="105"/>
  <c r="G64" i="105"/>
  <c r="P923" i="38" l="1"/>
  <c r="O923" i="38"/>
  <c r="U923" i="38"/>
  <c r="Z923" i="38"/>
  <c r="A922" i="38"/>
  <c r="D922" i="38"/>
  <c r="E922" i="38"/>
  <c r="G922" i="38"/>
  <c r="H922" i="38"/>
  <c r="K922" i="38"/>
  <c r="L922" i="38" s="1"/>
  <c r="M922" i="38"/>
  <c r="U922" i="38" s="1"/>
  <c r="S922" i="38"/>
  <c r="F405" i="25"/>
  <c r="H405" i="25"/>
  <c r="G405" i="25"/>
  <c r="F132" i="25"/>
  <c r="F24" i="74"/>
  <c r="M68" i="58"/>
  <c r="F194" i="58"/>
  <c r="H194" i="58"/>
  <c r="G194" i="58"/>
  <c r="N922" i="38" l="1"/>
  <c r="O922" i="38" s="1"/>
  <c r="P922" i="38"/>
  <c r="A921" i="38"/>
  <c r="D921" i="38"/>
  <c r="E921" i="38"/>
  <c r="G921" i="38"/>
  <c r="H921" i="38"/>
  <c r="K921" i="38"/>
  <c r="L921" i="38" s="1"/>
  <c r="M921" i="38"/>
  <c r="N921" i="38" s="1"/>
  <c r="S921" i="38"/>
  <c r="Z922" i="38" l="1"/>
  <c r="P921" i="38"/>
  <c r="O921" i="38"/>
  <c r="Z921" i="38"/>
  <c r="F4" i="130"/>
  <c r="A920" i="38"/>
  <c r="D920" i="38"/>
  <c r="E920" i="38"/>
  <c r="G920" i="38"/>
  <c r="H920" i="38"/>
  <c r="K920" i="38"/>
  <c r="L920" i="38" s="1"/>
  <c r="M920" i="38"/>
  <c r="N920" i="38" s="1"/>
  <c r="S920" i="38"/>
  <c r="A919" i="38"/>
  <c r="D919" i="38"/>
  <c r="E919" i="38"/>
  <c r="G919" i="38"/>
  <c r="H919" i="38"/>
  <c r="K919" i="38"/>
  <c r="L919" i="38" s="1"/>
  <c r="M919" i="38"/>
  <c r="N919" i="38" s="1"/>
  <c r="S919" i="38"/>
  <c r="F21" i="74"/>
  <c r="F85" i="74"/>
  <c r="H85" i="74"/>
  <c r="G85" i="74"/>
  <c r="K13" i="74"/>
  <c r="F193" i="58"/>
  <c r="G193" i="58"/>
  <c r="H193" i="58"/>
  <c r="K38" i="58"/>
  <c r="K37" i="58"/>
  <c r="C22" i="108"/>
  <c r="P920" i="38" l="1"/>
  <c r="O920" i="38"/>
  <c r="Z920" i="38"/>
  <c r="P919" i="38"/>
  <c r="Z919" i="38"/>
  <c r="O919" i="38"/>
  <c r="U919" i="38"/>
  <c r="F26" i="128"/>
  <c r="G26" i="128"/>
  <c r="F125" i="46"/>
  <c r="G125" i="46"/>
  <c r="H125" i="46"/>
  <c r="F73" i="96"/>
  <c r="G73" i="96"/>
  <c r="H73" i="96"/>
  <c r="G65" i="108"/>
  <c r="F65" i="108"/>
  <c r="H65" i="108"/>
  <c r="F15" i="108"/>
  <c r="F84" i="74"/>
  <c r="H84" i="74"/>
  <c r="G84" i="74"/>
  <c r="F23" i="74"/>
  <c r="F192" i="58"/>
  <c r="H192" i="58"/>
  <c r="G192" i="58"/>
  <c r="F47" i="58"/>
  <c r="A918" i="38"/>
  <c r="D918" i="38"/>
  <c r="E918" i="38"/>
  <c r="G918" i="38"/>
  <c r="H918" i="38"/>
  <c r="K918" i="38"/>
  <c r="L918" i="38" s="1"/>
  <c r="M918" i="38"/>
  <c r="N918" i="38" s="1"/>
  <c r="S918" i="38"/>
  <c r="F28" i="129"/>
  <c r="J28" i="129" s="1"/>
  <c r="G28" i="129"/>
  <c r="P918" i="38" l="1"/>
  <c r="H26" i="128"/>
  <c r="O918" i="38"/>
  <c r="Z918" i="38"/>
  <c r="U918" i="38"/>
  <c r="A917" i="38"/>
  <c r="D917" i="38"/>
  <c r="E917" i="38"/>
  <c r="G917" i="38"/>
  <c r="H917" i="38"/>
  <c r="K917" i="38"/>
  <c r="L917" i="38" s="1"/>
  <c r="M917" i="38"/>
  <c r="N917" i="38" s="1"/>
  <c r="S917" i="38"/>
  <c r="F191" i="58"/>
  <c r="H191" i="58"/>
  <c r="G191" i="58"/>
  <c r="K36" i="58"/>
  <c r="O917" i="38" l="1"/>
  <c r="Z917" i="38"/>
  <c r="U917" i="38"/>
  <c r="P917" i="38"/>
  <c r="F22" i="74"/>
  <c r="A916" i="38" l="1"/>
  <c r="D916" i="38"/>
  <c r="E916" i="38"/>
  <c r="G916" i="38"/>
  <c r="H916" i="38"/>
  <c r="K916" i="38"/>
  <c r="L916" i="38" s="1"/>
  <c r="P916" i="38" s="1"/>
  <c r="M916" i="38"/>
  <c r="N916" i="38" s="1"/>
  <c r="S916" i="38"/>
  <c r="F83" i="74"/>
  <c r="H83" i="74"/>
  <c r="G83" i="74"/>
  <c r="K12" i="74"/>
  <c r="F20" i="74"/>
  <c r="O916" i="38" l="1"/>
  <c r="Z916" i="38"/>
  <c r="U916" i="38"/>
  <c r="A915" i="38"/>
  <c r="D915" i="38"/>
  <c r="E915" i="38"/>
  <c r="G915" i="38"/>
  <c r="H915" i="38"/>
  <c r="K915" i="38"/>
  <c r="L915" i="38" s="1"/>
  <c r="M915" i="38"/>
  <c r="N915" i="38" s="1"/>
  <c r="S915" i="38"/>
  <c r="G27" i="129"/>
  <c r="F27" i="129"/>
  <c r="J27" i="129" s="1"/>
  <c r="F3" i="129"/>
  <c r="M73" i="92"/>
  <c r="H73" i="92"/>
  <c r="C73" i="92"/>
  <c r="F68" i="92"/>
  <c r="F67" i="92"/>
  <c r="F66" i="92"/>
  <c r="F65" i="92"/>
  <c r="K64" i="92"/>
  <c r="F64" i="92"/>
  <c r="K63" i="92"/>
  <c r="F63" i="92"/>
  <c r="K62" i="92"/>
  <c r="F62" i="92"/>
  <c r="K61" i="92"/>
  <c r="F61" i="92"/>
  <c r="K60" i="92"/>
  <c r="F60" i="92"/>
  <c r="K59" i="92"/>
  <c r="F59" i="92"/>
  <c r="K58" i="92"/>
  <c r="F58" i="92"/>
  <c r="K57" i="92"/>
  <c r="F57" i="92"/>
  <c r="K56" i="92"/>
  <c r="F56" i="92"/>
  <c r="K55" i="92"/>
  <c r="F55" i="92"/>
  <c r="K54" i="92"/>
  <c r="F54" i="92"/>
  <c r="K53" i="92"/>
  <c r="F53" i="92"/>
  <c r="K52" i="92"/>
  <c r="F52" i="92"/>
  <c r="K51" i="92"/>
  <c r="F51" i="92"/>
  <c r="K50" i="92"/>
  <c r="F50" i="92"/>
  <c r="K49" i="92"/>
  <c r="F49" i="92"/>
  <c r="K48" i="92"/>
  <c r="F48" i="92"/>
  <c r="K47" i="92"/>
  <c r="F47" i="92"/>
  <c r="K46" i="92"/>
  <c r="F46" i="92"/>
  <c r="H74" i="92"/>
  <c r="C74" i="92"/>
  <c r="F74" i="92"/>
  <c r="M74" i="92"/>
  <c r="K74" i="92"/>
  <c r="P915" i="38" l="1"/>
  <c r="O915" i="38"/>
  <c r="Z915" i="38"/>
  <c r="U915" i="38"/>
  <c r="K73" i="92"/>
  <c r="F73" i="92"/>
  <c r="A914" i="38"/>
  <c r="D914" i="38"/>
  <c r="E914" i="38"/>
  <c r="G914" i="38"/>
  <c r="H914" i="38"/>
  <c r="K914" i="38"/>
  <c r="L914" i="38" s="1"/>
  <c r="M914" i="38"/>
  <c r="S914" i="38"/>
  <c r="F72" i="96"/>
  <c r="H72" i="96"/>
  <c r="G72" i="96"/>
  <c r="F404" i="25"/>
  <c r="H404" i="25"/>
  <c r="G404" i="25"/>
  <c r="F65" i="45"/>
  <c r="G65" i="45"/>
  <c r="H65" i="45"/>
  <c r="K10" i="45"/>
  <c r="K2" i="129"/>
  <c r="N914" i="38" l="1"/>
  <c r="O914" i="38" s="1"/>
  <c r="U914" i="38"/>
  <c r="M44" i="92"/>
  <c r="P914" i="38"/>
  <c r="F4" i="109"/>
  <c r="F2" i="132"/>
  <c r="F18" i="132" s="1"/>
  <c r="M84" i="132"/>
  <c r="K84" i="132"/>
  <c r="H84" i="132"/>
  <c r="F84" i="132"/>
  <c r="C84" i="132"/>
  <c r="P39" i="132"/>
  <c r="P38" i="132"/>
  <c r="P37" i="132"/>
  <c r="P36" i="132"/>
  <c r="P35" i="132"/>
  <c r="P34" i="132"/>
  <c r="P33" i="132"/>
  <c r="P32" i="132"/>
  <c r="P31" i="132"/>
  <c r="P30" i="132"/>
  <c r="P29" i="132"/>
  <c r="P28" i="132"/>
  <c r="P27" i="132"/>
  <c r="P26" i="132"/>
  <c r="P25" i="132"/>
  <c r="P24" i="132"/>
  <c r="P23" i="132"/>
  <c r="P22" i="132"/>
  <c r="P21" i="132"/>
  <c r="P20" i="132"/>
  <c r="P19" i="132"/>
  <c r="M18" i="132"/>
  <c r="K18" i="132"/>
  <c r="H18" i="132"/>
  <c r="C18" i="132"/>
  <c r="Q11" i="132"/>
  <c r="Q10" i="132"/>
  <c r="A913" i="38"/>
  <c r="D913" i="38"/>
  <c r="E913" i="38"/>
  <c r="G913" i="38"/>
  <c r="H913" i="38"/>
  <c r="K913" i="38"/>
  <c r="L913" i="38" s="1"/>
  <c r="M913" i="38"/>
  <c r="N913" i="38" s="1"/>
  <c r="S913" i="38"/>
  <c r="M85" i="132"/>
  <c r="H19" i="132"/>
  <c r="F19" i="132"/>
  <c r="K85" i="132"/>
  <c r="K19" i="132"/>
  <c r="M19" i="132"/>
  <c r="F85" i="132"/>
  <c r="C85" i="132"/>
  <c r="C19" i="132"/>
  <c r="H85" i="132"/>
  <c r="J38" i="92" l="1"/>
  <c r="J39" i="92"/>
  <c r="J37" i="92"/>
  <c r="J36" i="92"/>
  <c r="Q10" i="92"/>
  <c r="Z914" i="38"/>
  <c r="Q2" i="132"/>
  <c r="Q5" i="132" s="1"/>
  <c r="O913" i="38"/>
  <c r="P913" i="38"/>
  <c r="Z913" i="38"/>
  <c r="A912" i="38"/>
  <c r="D912" i="38"/>
  <c r="E912" i="38"/>
  <c r="G912" i="38"/>
  <c r="H912" i="38"/>
  <c r="K912" i="38"/>
  <c r="L912" i="38" s="1"/>
  <c r="M912" i="38"/>
  <c r="N912" i="38" s="1"/>
  <c r="S912" i="38"/>
  <c r="M84" i="131"/>
  <c r="K84" i="131"/>
  <c r="H84" i="131"/>
  <c r="F84" i="131"/>
  <c r="C84" i="131"/>
  <c r="P37" i="131"/>
  <c r="P36" i="131"/>
  <c r="P35" i="131"/>
  <c r="P34" i="131"/>
  <c r="P33" i="131"/>
  <c r="P32" i="131"/>
  <c r="P31" i="131"/>
  <c r="P30" i="131"/>
  <c r="P29" i="131"/>
  <c r="P28" i="131"/>
  <c r="P27" i="131"/>
  <c r="P26" i="131"/>
  <c r="P25" i="131"/>
  <c r="P24" i="131"/>
  <c r="P23" i="131"/>
  <c r="P22" i="131"/>
  <c r="P21" i="131"/>
  <c r="P20" i="131"/>
  <c r="P19" i="131"/>
  <c r="P18" i="131"/>
  <c r="M18" i="131"/>
  <c r="K18" i="131"/>
  <c r="H18" i="131"/>
  <c r="P17" i="131"/>
  <c r="F2" i="131"/>
  <c r="F18" i="131" s="1"/>
  <c r="K19" i="131"/>
  <c r="F85" i="131"/>
  <c r="C85" i="131"/>
  <c r="M85" i="131"/>
  <c r="H19" i="131"/>
  <c r="K85" i="131"/>
  <c r="F19" i="131"/>
  <c r="H85" i="131"/>
  <c r="M19" i="131"/>
  <c r="C19" i="131"/>
  <c r="Q3" i="132" l="1"/>
  <c r="Q6" i="132" s="1"/>
  <c r="Q8" i="132"/>
  <c r="Q7" i="132" s="1"/>
  <c r="P912" i="38"/>
  <c r="M66" i="131"/>
  <c r="Q10" i="131" s="1"/>
  <c r="O912" i="38"/>
  <c r="Z912" i="38"/>
  <c r="Q2" i="131"/>
  <c r="Q3" i="131" s="1"/>
  <c r="Q6" i="131" s="1"/>
  <c r="G64" i="108"/>
  <c r="F64" i="108"/>
  <c r="H64" i="108"/>
  <c r="K9" i="108"/>
  <c r="Q9" i="132" l="1"/>
  <c r="Q8" i="131"/>
  <c r="Q7" i="131" s="1"/>
  <c r="Q5" i="131"/>
  <c r="A911" i="38"/>
  <c r="D911" i="38"/>
  <c r="E911" i="38"/>
  <c r="G911" i="38"/>
  <c r="H911" i="38"/>
  <c r="K911" i="38"/>
  <c r="L911" i="38" s="1"/>
  <c r="M911" i="38"/>
  <c r="N911" i="38" s="1"/>
  <c r="S911" i="38"/>
  <c r="Q9" i="131" l="1"/>
  <c r="P911" i="38"/>
  <c r="O911" i="38"/>
  <c r="Z911" i="38"/>
  <c r="U911" i="38"/>
  <c r="A910" i="38"/>
  <c r="D910" i="38"/>
  <c r="E910" i="38"/>
  <c r="G910" i="38"/>
  <c r="H910" i="38"/>
  <c r="K910" i="38"/>
  <c r="L910" i="38" s="1"/>
  <c r="M910" i="38"/>
  <c r="N910" i="38" s="1"/>
  <c r="S910" i="38"/>
  <c r="U910" i="38" l="1"/>
  <c r="O910" i="38"/>
  <c r="Z910" i="38"/>
  <c r="P910" i="38"/>
  <c r="A909" i="38"/>
  <c r="D909" i="38"/>
  <c r="E909" i="38"/>
  <c r="G909" i="38"/>
  <c r="H909" i="38"/>
  <c r="K909" i="38"/>
  <c r="L909" i="38" s="1"/>
  <c r="M909" i="38"/>
  <c r="N909" i="38" s="1"/>
  <c r="S909" i="38"/>
  <c r="H61" i="107"/>
  <c r="G61" i="107"/>
  <c r="K11" i="107"/>
  <c r="H18" i="107"/>
  <c r="C29" i="92"/>
  <c r="F2" i="92"/>
  <c r="F3" i="92"/>
  <c r="F190" i="58"/>
  <c r="H190" i="58"/>
  <c r="G190" i="58"/>
  <c r="F46" i="58"/>
  <c r="K35" i="58"/>
  <c r="O909" i="38" l="1"/>
  <c r="P909" i="38"/>
  <c r="U909" i="38"/>
  <c r="Z909" i="38"/>
  <c r="Q13" i="58"/>
  <c r="A908" i="38" l="1"/>
  <c r="D908" i="38"/>
  <c r="E908" i="38"/>
  <c r="G908" i="38"/>
  <c r="H908" i="38"/>
  <c r="K908" i="38"/>
  <c r="L908" i="38" s="1"/>
  <c r="M908" i="38"/>
  <c r="N908" i="38" s="1"/>
  <c r="S908" i="38"/>
  <c r="P908" i="38" l="1"/>
  <c r="O908" i="38"/>
  <c r="Z908" i="38"/>
  <c r="F63" i="105"/>
  <c r="G63" i="105"/>
  <c r="H63" i="105"/>
  <c r="K8" i="105"/>
  <c r="H29" i="92"/>
  <c r="A907" i="38" l="1"/>
  <c r="D907" i="38"/>
  <c r="E907" i="38"/>
  <c r="G907" i="38"/>
  <c r="H907" i="38"/>
  <c r="K907" i="38"/>
  <c r="L907" i="38" s="1"/>
  <c r="M907" i="38"/>
  <c r="N907" i="38" s="1"/>
  <c r="S907" i="38"/>
  <c r="P907" i="38" l="1"/>
  <c r="O907" i="38"/>
  <c r="Z907" i="38"/>
  <c r="F88" i="88"/>
  <c r="G88" i="88"/>
  <c r="H88" i="88"/>
  <c r="F124" i="46"/>
  <c r="H124" i="46"/>
  <c r="G124" i="46"/>
  <c r="F64" i="45"/>
  <c r="G64" i="45"/>
  <c r="H64" i="45"/>
  <c r="F60" i="107"/>
  <c r="G60" i="107"/>
  <c r="H60" i="107"/>
  <c r="G64" i="102"/>
  <c r="F64" i="102"/>
  <c r="H64" i="102"/>
  <c r="G54" i="69"/>
  <c r="H54" i="69"/>
  <c r="F54" i="69"/>
  <c r="G63" i="108"/>
  <c r="F63" i="108"/>
  <c r="H63" i="108"/>
  <c r="F189" i="58"/>
  <c r="G189" i="58"/>
  <c r="H189" i="58"/>
  <c r="F82" i="74"/>
  <c r="G82" i="74"/>
  <c r="H82" i="74"/>
  <c r="F71" i="96"/>
  <c r="H71" i="96"/>
  <c r="G71" i="96"/>
  <c r="F403" i="25"/>
  <c r="G403" i="25"/>
  <c r="H403" i="25"/>
  <c r="A906" i="38"/>
  <c r="D906" i="38"/>
  <c r="E906" i="38"/>
  <c r="G906" i="38"/>
  <c r="H906" i="38"/>
  <c r="K906" i="38"/>
  <c r="L906" i="38" s="1"/>
  <c r="M906" i="38"/>
  <c r="N906" i="38" s="1"/>
  <c r="S906" i="38"/>
  <c r="P906" i="38" l="1"/>
  <c r="O906" i="38"/>
  <c r="Z906" i="38"/>
  <c r="U906" i="38"/>
  <c r="A905" i="38"/>
  <c r="D905" i="38"/>
  <c r="E905" i="38"/>
  <c r="G905" i="38"/>
  <c r="H905" i="38"/>
  <c r="K905" i="38"/>
  <c r="L905" i="38" s="1"/>
  <c r="M905" i="38"/>
  <c r="N905" i="38" s="1"/>
  <c r="S905" i="38"/>
  <c r="F70" i="96"/>
  <c r="H70" i="96"/>
  <c r="G70" i="96"/>
  <c r="F11" i="96"/>
  <c r="F81" i="74"/>
  <c r="H81" i="74"/>
  <c r="G81" i="74"/>
  <c r="F19" i="74"/>
  <c r="P905" i="38" l="1"/>
  <c r="O905" i="38"/>
  <c r="U905" i="38"/>
  <c r="Z905" i="38"/>
  <c r="A904" i="38"/>
  <c r="D904" i="38"/>
  <c r="E904" i="38"/>
  <c r="G904" i="38"/>
  <c r="H904" i="38"/>
  <c r="K904" i="38"/>
  <c r="L904" i="38" s="1"/>
  <c r="M904" i="38"/>
  <c r="U904" i="38" s="1"/>
  <c r="S904" i="38"/>
  <c r="N904" i="38" l="1"/>
  <c r="O904" i="38" s="1"/>
  <c r="P904" i="38"/>
  <c r="A903" i="38"/>
  <c r="D903" i="38"/>
  <c r="E903" i="38"/>
  <c r="G903" i="38"/>
  <c r="H903" i="38"/>
  <c r="K903" i="38"/>
  <c r="L903" i="38" s="1"/>
  <c r="M903" i="38"/>
  <c r="N903" i="38" s="1"/>
  <c r="S903" i="38"/>
  <c r="F188" i="58"/>
  <c r="G188" i="58"/>
  <c r="H188" i="58"/>
  <c r="F45" i="58"/>
  <c r="F402" i="25"/>
  <c r="G402" i="25"/>
  <c r="H402" i="25"/>
  <c r="F131" i="25"/>
  <c r="F80" i="74"/>
  <c r="H80" i="74"/>
  <c r="G80" i="74"/>
  <c r="F18" i="74"/>
  <c r="Z904" i="38" l="1"/>
  <c r="O903" i="38"/>
  <c r="P903" i="38"/>
  <c r="U903" i="38"/>
  <c r="Z903" i="38"/>
  <c r="A902" i="38"/>
  <c r="D902" i="38"/>
  <c r="E902" i="38"/>
  <c r="G902" i="38"/>
  <c r="H902" i="38"/>
  <c r="K902" i="38"/>
  <c r="L902" i="38" s="1"/>
  <c r="M902" i="38"/>
  <c r="N902" i="38" s="1"/>
  <c r="S902" i="38"/>
  <c r="F187" i="58"/>
  <c r="H187" i="58"/>
  <c r="G187" i="58"/>
  <c r="F44" i="58"/>
  <c r="P902" i="38" l="1"/>
  <c r="O902" i="38"/>
  <c r="Z902" i="38"/>
  <c r="U902" i="38"/>
  <c r="A901" i="38"/>
  <c r="D901" i="38"/>
  <c r="E901" i="38"/>
  <c r="G901" i="38"/>
  <c r="H901" i="38"/>
  <c r="K901" i="38"/>
  <c r="L901" i="38" s="1"/>
  <c r="M901" i="38"/>
  <c r="N901" i="38" s="1"/>
  <c r="S901" i="38"/>
  <c r="F186" i="58"/>
  <c r="H186" i="58"/>
  <c r="G186" i="58"/>
  <c r="F43" i="58"/>
  <c r="F59" i="107"/>
  <c r="H59" i="107"/>
  <c r="G59" i="107"/>
  <c r="K10" i="107"/>
  <c r="P901" i="38" l="1"/>
  <c r="Z901" i="38"/>
  <c r="O901" i="38"/>
  <c r="U901" i="38"/>
  <c r="A900" i="38"/>
  <c r="D900" i="38"/>
  <c r="E900" i="38"/>
  <c r="G900" i="38"/>
  <c r="H900" i="38"/>
  <c r="K900" i="38"/>
  <c r="L900" i="38" s="1"/>
  <c r="M900" i="38"/>
  <c r="N900" i="38" s="1"/>
  <c r="S900" i="38"/>
  <c r="F62" i="108"/>
  <c r="H62" i="108"/>
  <c r="G62" i="108"/>
  <c r="F14" i="108"/>
  <c r="O900" i="38" l="1"/>
  <c r="P900" i="38"/>
  <c r="U900" i="38"/>
  <c r="Z900" i="38"/>
  <c r="F185" i="58"/>
  <c r="H185" i="58"/>
  <c r="G185" i="58"/>
  <c r="A899" i="38"/>
  <c r="D899" i="38"/>
  <c r="E899" i="38"/>
  <c r="G899" i="38"/>
  <c r="H899" i="38"/>
  <c r="K899" i="38"/>
  <c r="L899" i="38" s="1"/>
  <c r="M899" i="38"/>
  <c r="N899" i="38" s="1"/>
  <c r="S899" i="38"/>
  <c r="P899" i="38" l="1"/>
  <c r="O899" i="38"/>
  <c r="Z899" i="38"/>
  <c r="U899" i="38"/>
  <c r="M84" i="130"/>
  <c r="K84" i="130"/>
  <c r="H84" i="130"/>
  <c r="F84" i="130"/>
  <c r="C84" i="130"/>
  <c r="P37" i="130"/>
  <c r="P36" i="130"/>
  <c r="P35" i="130"/>
  <c r="P34" i="130"/>
  <c r="P33" i="130"/>
  <c r="P32" i="130"/>
  <c r="P31" i="130"/>
  <c r="P30" i="130"/>
  <c r="P29" i="130"/>
  <c r="P28" i="130"/>
  <c r="P27" i="130"/>
  <c r="P26" i="130"/>
  <c r="P25" i="130"/>
  <c r="P24" i="130"/>
  <c r="P23" i="130"/>
  <c r="P22" i="130"/>
  <c r="P21" i="130"/>
  <c r="P20" i="130"/>
  <c r="P19" i="130"/>
  <c r="P18" i="130"/>
  <c r="M18" i="130"/>
  <c r="H18" i="130"/>
  <c r="C18" i="130"/>
  <c r="P17" i="130"/>
  <c r="Q13" i="130"/>
  <c r="R11" i="130"/>
  <c r="Q11" i="130" s="1"/>
  <c r="K18" i="130"/>
  <c r="F2" i="130"/>
  <c r="F18" i="130" s="1"/>
  <c r="A898" i="38"/>
  <c r="D898" i="38"/>
  <c r="E898" i="38"/>
  <c r="G898" i="38"/>
  <c r="H898" i="38"/>
  <c r="K898" i="38"/>
  <c r="L898" i="38" s="1"/>
  <c r="M898" i="38"/>
  <c r="N898" i="38" s="1"/>
  <c r="S898" i="38"/>
  <c r="C85" i="130"/>
  <c r="C19" i="130"/>
  <c r="H85" i="130"/>
  <c r="M85" i="130"/>
  <c r="K85" i="130"/>
  <c r="F19" i="130"/>
  <c r="F85" i="130"/>
  <c r="M19" i="130"/>
  <c r="K19" i="130"/>
  <c r="H19" i="130"/>
  <c r="M66" i="130" l="1"/>
  <c r="Q10" i="130" s="1"/>
  <c r="Q2" i="130"/>
  <c r="Q5" i="130" s="1"/>
  <c r="P898" i="38"/>
  <c r="O898" i="38"/>
  <c r="Z898" i="38"/>
  <c r="U898" i="38"/>
  <c r="A897" i="38"/>
  <c r="D897" i="38"/>
  <c r="E897" i="38"/>
  <c r="G897" i="38"/>
  <c r="H897" i="38"/>
  <c r="K897" i="38"/>
  <c r="L897" i="38" s="1"/>
  <c r="M897" i="38"/>
  <c r="N897" i="38" s="1"/>
  <c r="S897" i="38"/>
  <c r="Q8" i="130" l="1"/>
  <c r="Q7" i="130" s="1"/>
  <c r="Q3" i="130"/>
  <c r="Q6" i="130" s="1"/>
  <c r="O897" i="38"/>
  <c r="P897" i="38"/>
  <c r="U897" i="38"/>
  <c r="Z897" i="38"/>
  <c r="A896" i="38"/>
  <c r="D896" i="38"/>
  <c r="E896" i="38"/>
  <c r="G896" i="38"/>
  <c r="H896" i="38"/>
  <c r="K896" i="38"/>
  <c r="L896" i="38" s="1"/>
  <c r="M896" i="38"/>
  <c r="N896" i="38" s="1"/>
  <c r="S896" i="38"/>
  <c r="Q9" i="130" l="1"/>
  <c r="O896" i="38"/>
  <c r="Z896" i="38"/>
  <c r="P896" i="38"/>
  <c r="U896" i="38"/>
  <c r="A895" i="38"/>
  <c r="D895" i="38"/>
  <c r="E895" i="38"/>
  <c r="G895" i="38"/>
  <c r="H895" i="38"/>
  <c r="K895" i="38"/>
  <c r="L895" i="38" s="1"/>
  <c r="M895" i="38"/>
  <c r="N895" i="38" s="1"/>
  <c r="S895" i="38"/>
  <c r="F62" i="105"/>
  <c r="H62" i="105"/>
  <c r="G62" i="105"/>
  <c r="F11" i="105"/>
  <c r="F79" i="74"/>
  <c r="H79" i="74"/>
  <c r="G79" i="74"/>
  <c r="F17" i="74"/>
  <c r="O895" i="38" l="1"/>
  <c r="P895" i="38"/>
  <c r="U895" i="38"/>
  <c r="Z895" i="38"/>
  <c r="A894" i="38"/>
  <c r="D894" i="38"/>
  <c r="E894" i="38"/>
  <c r="G894" i="38"/>
  <c r="H894" i="38"/>
  <c r="K894" i="38"/>
  <c r="L894" i="38" s="1"/>
  <c r="M894" i="38"/>
  <c r="N894" i="38" s="1"/>
  <c r="S894" i="38"/>
  <c r="O894" i="38" l="1"/>
  <c r="Z894" i="38"/>
  <c r="P894" i="38"/>
  <c r="U894" i="38"/>
  <c r="A893" i="38"/>
  <c r="D893" i="38"/>
  <c r="E893" i="38"/>
  <c r="G893" i="38"/>
  <c r="H893" i="38"/>
  <c r="K893" i="38"/>
  <c r="L893" i="38" s="1"/>
  <c r="M893" i="38"/>
  <c r="U893" i="38" s="1"/>
  <c r="S893" i="38"/>
  <c r="N893" i="38" l="1"/>
  <c r="O893" i="38" s="1"/>
  <c r="P893" i="38"/>
  <c r="A892" i="38"/>
  <c r="D892" i="38"/>
  <c r="E892" i="38"/>
  <c r="G892" i="38"/>
  <c r="H892" i="38"/>
  <c r="K892" i="38"/>
  <c r="L892" i="38" s="1"/>
  <c r="M892" i="38"/>
  <c r="N892" i="38" s="1"/>
  <c r="S892" i="38"/>
  <c r="Z893" i="38" l="1"/>
  <c r="P892" i="38"/>
  <c r="O892" i="38"/>
  <c r="Z892" i="38"/>
  <c r="U892" i="38"/>
  <c r="H29" i="82"/>
  <c r="G29" i="82"/>
  <c r="K3" i="82"/>
  <c r="A891" i="38"/>
  <c r="D891" i="38"/>
  <c r="E891" i="38"/>
  <c r="G891" i="38"/>
  <c r="H891" i="38"/>
  <c r="K891" i="38"/>
  <c r="L891" i="38" s="1"/>
  <c r="M891" i="38"/>
  <c r="N891" i="38" s="1"/>
  <c r="S891" i="38"/>
  <c r="O891" i="38" l="1"/>
  <c r="P891" i="38"/>
  <c r="U891" i="38"/>
  <c r="Z891" i="38"/>
  <c r="A890" i="38"/>
  <c r="D890" i="38"/>
  <c r="E890" i="38"/>
  <c r="G890" i="38"/>
  <c r="H890" i="38"/>
  <c r="K890" i="38"/>
  <c r="L890" i="38" s="1"/>
  <c r="M890" i="38"/>
  <c r="N890" i="38" s="1"/>
  <c r="S890" i="38"/>
  <c r="P890" i="38" l="1"/>
  <c r="O890" i="38"/>
  <c r="U890" i="38"/>
  <c r="Z890" i="38"/>
  <c r="F123" i="46"/>
  <c r="G123" i="46"/>
  <c r="H123" i="46"/>
  <c r="K24" i="46"/>
  <c r="A889" i="38"/>
  <c r="D889" i="38"/>
  <c r="E889" i="38"/>
  <c r="G889" i="38"/>
  <c r="H889" i="38"/>
  <c r="K889" i="38"/>
  <c r="L889" i="38" s="1"/>
  <c r="M889" i="38"/>
  <c r="N889" i="38" s="1"/>
  <c r="S889" i="38"/>
  <c r="P889" i="38" l="1"/>
  <c r="O889" i="38"/>
  <c r="Z889" i="38"/>
  <c r="U889" i="38"/>
  <c r="A888" i="38"/>
  <c r="D888" i="38"/>
  <c r="E888" i="38"/>
  <c r="G888" i="38"/>
  <c r="H888" i="38"/>
  <c r="K888" i="38"/>
  <c r="L888" i="38" s="1"/>
  <c r="M888" i="38"/>
  <c r="N888" i="38" s="1"/>
  <c r="S888" i="38"/>
  <c r="F58" i="107"/>
  <c r="H58" i="107"/>
  <c r="G58" i="107"/>
  <c r="K9" i="107"/>
  <c r="F401" i="25"/>
  <c r="H401" i="25"/>
  <c r="G401" i="25"/>
  <c r="F130" i="25"/>
  <c r="F129" i="25"/>
  <c r="F128" i="25"/>
  <c r="O888" i="38" l="1"/>
  <c r="P888" i="38"/>
  <c r="U888" i="38"/>
  <c r="Z888" i="38"/>
  <c r="A887" i="38"/>
  <c r="D887" i="38"/>
  <c r="E887" i="38"/>
  <c r="G887" i="38"/>
  <c r="H887" i="38"/>
  <c r="K887" i="38"/>
  <c r="L887" i="38" s="1"/>
  <c r="M887" i="38"/>
  <c r="N887" i="38" s="1"/>
  <c r="S887" i="38"/>
  <c r="F400" i="25"/>
  <c r="H400" i="25"/>
  <c r="G400" i="25"/>
  <c r="F127" i="25"/>
  <c r="P887" i="38" l="1"/>
  <c r="Z887" i="38"/>
  <c r="O887" i="38"/>
  <c r="U887" i="38"/>
  <c r="F78" i="74"/>
  <c r="G78" i="74"/>
  <c r="H78" i="74"/>
  <c r="F16" i="74"/>
  <c r="G63" i="102"/>
  <c r="F63" i="102"/>
  <c r="H63" i="102"/>
  <c r="A886" i="38"/>
  <c r="D886" i="38"/>
  <c r="E886" i="38"/>
  <c r="G886" i="38"/>
  <c r="H886" i="38"/>
  <c r="K886" i="38"/>
  <c r="L886" i="38" s="1"/>
  <c r="M886" i="38"/>
  <c r="N886" i="38" s="1"/>
  <c r="S886" i="38"/>
  <c r="P886" i="38" l="1"/>
  <c r="O886" i="38"/>
  <c r="Z886" i="38"/>
  <c r="U886" i="38"/>
  <c r="A885" i="38"/>
  <c r="D885" i="38"/>
  <c r="E885" i="38"/>
  <c r="G885" i="38"/>
  <c r="H885" i="38"/>
  <c r="K885" i="38"/>
  <c r="L885" i="38" s="1"/>
  <c r="M885" i="38"/>
  <c r="N885" i="38" s="1"/>
  <c r="S885" i="38"/>
  <c r="F77" i="74"/>
  <c r="H77" i="74"/>
  <c r="G77" i="74"/>
  <c r="K11" i="74"/>
  <c r="P885" i="38" l="1"/>
  <c r="O885" i="38"/>
  <c r="Z885" i="38"/>
  <c r="U885" i="38"/>
  <c r="A884" i="38"/>
  <c r="D884" i="38"/>
  <c r="E884" i="38"/>
  <c r="G884" i="38"/>
  <c r="H884" i="38"/>
  <c r="K884" i="38"/>
  <c r="L884" i="38" s="1"/>
  <c r="M884" i="38"/>
  <c r="U884" i="38" s="1"/>
  <c r="S884" i="38"/>
  <c r="F399" i="25"/>
  <c r="H399" i="25"/>
  <c r="G399" i="25"/>
  <c r="F126" i="25"/>
  <c r="G87" i="88"/>
  <c r="F87" i="88"/>
  <c r="H87" i="88"/>
  <c r="P884" i="38" l="1"/>
  <c r="N884" i="38"/>
  <c r="O884" i="38" s="1"/>
  <c r="A883" i="38"/>
  <c r="D883" i="38"/>
  <c r="E883" i="38"/>
  <c r="G883" i="38"/>
  <c r="H883" i="38"/>
  <c r="K883" i="38"/>
  <c r="L883" i="38" s="1"/>
  <c r="P883" i="38" s="1"/>
  <c r="M883" i="38"/>
  <c r="N883" i="38" s="1"/>
  <c r="S883" i="38"/>
  <c r="O883" i="38" l="1"/>
  <c r="Z884" i="38"/>
  <c r="Z883" i="38"/>
  <c r="U883" i="38"/>
  <c r="F54" i="90"/>
  <c r="H54" i="90"/>
  <c r="G54" i="90"/>
  <c r="K10" i="90"/>
  <c r="H18" i="90"/>
  <c r="F61" i="108"/>
  <c r="H61" i="108"/>
  <c r="G61" i="108"/>
  <c r="K8" i="108"/>
  <c r="F57" i="107"/>
  <c r="H57" i="107"/>
  <c r="G57" i="107"/>
  <c r="K8" i="107"/>
  <c r="F398" i="25"/>
  <c r="G398" i="25"/>
  <c r="H398" i="25"/>
  <c r="F125" i="25"/>
  <c r="A882" i="38"/>
  <c r="D882" i="38"/>
  <c r="E882" i="38"/>
  <c r="G882" i="38"/>
  <c r="H882" i="38"/>
  <c r="K882" i="38"/>
  <c r="L882" i="38" s="1"/>
  <c r="M882" i="38"/>
  <c r="U882" i="38" s="1"/>
  <c r="S882" i="38"/>
  <c r="N882" i="38" l="1"/>
  <c r="O882" i="38" s="1"/>
  <c r="P882" i="38"/>
  <c r="A881" i="38"/>
  <c r="D881" i="38"/>
  <c r="E881" i="38"/>
  <c r="G881" i="38"/>
  <c r="H881" i="38"/>
  <c r="K881" i="38"/>
  <c r="L881" i="38" s="1"/>
  <c r="M881" i="38"/>
  <c r="N881" i="38" s="1"/>
  <c r="S881" i="38"/>
  <c r="Z882" i="38" l="1"/>
  <c r="O881" i="38"/>
  <c r="P881" i="38"/>
  <c r="U881" i="38"/>
  <c r="Z881" i="38"/>
  <c r="A880" i="38"/>
  <c r="D880" i="38"/>
  <c r="E880" i="38"/>
  <c r="G880" i="38"/>
  <c r="H880" i="38"/>
  <c r="K880" i="38"/>
  <c r="L880" i="38" s="1"/>
  <c r="M880" i="38"/>
  <c r="N880" i="38" s="1"/>
  <c r="S880" i="38"/>
  <c r="F397" i="25"/>
  <c r="G397" i="25"/>
  <c r="H397" i="25"/>
  <c r="K101" i="25"/>
  <c r="A879" i="38"/>
  <c r="D879" i="38"/>
  <c r="E879" i="38"/>
  <c r="G879" i="38"/>
  <c r="H879" i="38"/>
  <c r="K879" i="38"/>
  <c r="L879" i="38" s="1"/>
  <c r="M879" i="38"/>
  <c r="U879" i="38" s="1"/>
  <c r="S879" i="38"/>
  <c r="P880" i="38" l="1"/>
  <c r="N879" i="38"/>
  <c r="O879" i="38" s="1"/>
  <c r="O880" i="38"/>
  <c r="Z880" i="38"/>
  <c r="U880" i="38"/>
  <c r="P879" i="38"/>
  <c r="A878" i="38"/>
  <c r="D878" i="38"/>
  <c r="E878" i="38"/>
  <c r="G878" i="38"/>
  <c r="H878" i="38"/>
  <c r="K878" i="38"/>
  <c r="L878" i="38" s="1"/>
  <c r="M878" i="38"/>
  <c r="N878" i="38" s="1"/>
  <c r="S878" i="38"/>
  <c r="F396" i="25"/>
  <c r="H396" i="25"/>
  <c r="G396" i="25"/>
  <c r="K100" i="25"/>
  <c r="F76" i="74"/>
  <c r="H76" i="74"/>
  <c r="G76" i="74"/>
  <c r="F15" i="74"/>
  <c r="F32" i="112"/>
  <c r="H32" i="112"/>
  <c r="G32" i="112"/>
  <c r="M18" i="112"/>
  <c r="K4" i="112"/>
  <c r="M84" i="129"/>
  <c r="K84" i="129"/>
  <c r="H84" i="129"/>
  <c r="F84" i="129"/>
  <c r="C84" i="129"/>
  <c r="P39" i="129"/>
  <c r="P38" i="129"/>
  <c r="P37" i="129"/>
  <c r="P36" i="129"/>
  <c r="P35" i="129"/>
  <c r="P34" i="129"/>
  <c r="P33" i="129"/>
  <c r="P32" i="129"/>
  <c r="P31" i="129"/>
  <c r="P30" i="129"/>
  <c r="P29" i="129"/>
  <c r="P28" i="129"/>
  <c r="P27" i="129"/>
  <c r="P26" i="129"/>
  <c r="P25" i="129"/>
  <c r="G25" i="129"/>
  <c r="F25" i="129"/>
  <c r="P24" i="129"/>
  <c r="P23" i="129"/>
  <c r="P22" i="129"/>
  <c r="P21" i="129"/>
  <c r="P20" i="129"/>
  <c r="P19" i="129"/>
  <c r="M18" i="129"/>
  <c r="K18" i="129"/>
  <c r="H18" i="129"/>
  <c r="C18" i="129"/>
  <c r="F2" i="129"/>
  <c r="F18" i="129" s="1"/>
  <c r="F56" i="107"/>
  <c r="H56" i="107"/>
  <c r="G56" i="107"/>
  <c r="F11" i="107"/>
  <c r="C18" i="107"/>
  <c r="H19" i="129"/>
  <c r="H85" i="129"/>
  <c r="F19" i="129"/>
  <c r="C19" i="129"/>
  <c r="K19" i="129"/>
  <c r="F85" i="129"/>
  <c r="C85" i="129"/>
  <c r="M85" i="129"/>
  <c r="M19" i="129"/>
  <c r="K85" i="129"/>
  <c r="P878" i="38" l="1"/>
  <c r="Z879" i="38"/>
  <c r="M66" i="129"/>
  <c r="Q10" i="129" s="1"/>
  <c r="O878" i="38"/>
  <c r="Z878" i="38"/>
  <c r="U878" i="38"/>
  <c r="Q2" i="129"/>
  <c r="Q8" i="129" s="1"/>
  <c r="F31" i="112"/>
  <c r="H31" i="112"/>
  <c r="G31" i="112"/>
  <c r="G53" i="69"/>
  <c r="F53" i="69"/>
  <c r="H53" i="69"/>
  <c r="A877" i="38"/>
  <c r="D877" i="38"/>
  <c r="E877" i="38"/>
  <c r="G877" i="38"/>
  <c r="H877" i="38"/>
  <c r="K877" i="38"/>
  <c r="L877" i="38" s="1"/>
  <c r="M877" i="38"/>
  <c r="N877" i="38" s="1"/>
  <c r="S877" i="38"/>
  <c r="G60" i="108"/>
  <c r="F60" i="108"/>
  <c r="H60" i="108"/>
  <c r="F13" i="108"/>
  <c r="Q7" i="129" l="1"/>
  <c r="O877" i="38"/>
  <c r="Q5" i="129"/>
  <c r="Q3" i="129"/>
  <c r="Q6" i="129" s="1"/>
  <c r="Q9" i="129" s="1"/>
  <c r="P877" i="38"/>
  <c r="U877" i="38"/>
  <c r="Z877" i="38"/>
  <c r="A876" i="38"/>
  <c r="D876" i="38"/>
  <c r="E876" i="38"/>
  <c r="G876" i="38"/>
  <c r="H876" i="38"/>
  <c r="K876" i="38"/>
  <c r="L876" i="38" s="1"/>
  <c r="M876" i="38"/>
  <c r="N876" i="38" s="1"/>
  <c r="S876" i="38"/>
  <c r="P876" i="38" l="1"/>
  <c r="O876" i="38"/>
  <c r="Z876" i="38"/>
  <c r="U876" i="38"/>
  <c r="F63" i="45"/>
  <c r="G63" i="45"/>
  <c r="H63" i="45"/>
  <c r="F14" i="45"/>
  <c r="K9" i="45"/>
  <c r="A875" i="38"/>
  <c r="D875" i="38"/>
  <c r="E875" i="38"/>
  <c r="G875" i="38"/>
  <c r="H875" i="38"/>
  <c r="K875" i="38"/>
  <c r="L875" i="38" s="1"/>
  <c r="M875" i="38"/>
  <c r="U875" i="38" s="1"/>
  <c r="S875" i="38"/>
  <c r="P875" i="38" l="1"/>
  <c r="N875" i="38"/>
  <c r="O875" i="38" s="1"/>
  <c r="F55" i="107"/>
  <c r="H55" i="107"/>
  <c r="G55" i="107"/>
  <c r="F10" i="107"/>
  <c r="F395" i="25"/>
  <c r="H395" i="25"/>
  <c r="G395" i="25"/>
  <c r="F124" i="25"/>
  <c r="A874" i="38"/>
  <c r="D874" i="38"/>
  <c r="E874" i="38"/>
  <c r="G874" i="38"/>
  <c r="H874" i="38"/>
  <c r="K874" i="38"/>
  <c r="L874" i="38" s="1"/>
  <c r="M874" i="38"/>
  <c r="N874" i="38" s="1"/>
  <c r="S874" i="38"/>
  <c r="A873" i="38"/>
  <c r="D873" i="38"/>
  <c r="E873" i="38"/>
  <c r="G873" i="38"/>
  <c r="H873" i="38"/>
  <c r="K873" i="38"/>
  <c r="L873" i="38" s="1"/>
  <c r="M873" i="38"/>
  <c r="N873" i="38" s="1"/>
  <c r="S873" i="38"/>
  <c r="Z875" i="38" l="1"/>
  <c r="U873" i="38"/>
  <c r="O874" i="38"/>
  <c r="O873" i="38"/>
  <c r="Z873" i="38"/>
  <c r="P874" i="38"/>
  <c r="U874" i="38"/>
  <c r="Z874" i="38"/>
  <c r="P873" i="38"/>
  <c r="H60" i="45"/>
  <c r="H61" i="45"/>
  <c r="H62" i="45"/>
  <c r="F62" i="45"/>
  <c r="G62" i="45"/>
  <c r="F13" i="45"/>
  <c r="A872" i="38"/>
  <c r="D872" i="38"/>
  <c r="E872" i="38"/>
  <c r="G872" i="38"/>
  <c r="H872" i="38"/>
  <c r="K872" i="38"/>
  <c r="L872" i="38" s="1"/>
  <c r="M872" i="38"/>
  <c r="N872" i="38" s="1"/>
  <c r="S872" i="38"/>
  <c r="F75" i="74"/>
  <c r="H75" i="74"/>
  <c r="G75" i="74"/>
  <c r="F14" i="74"/>
  <c r="P872" i="38" l="1"/>
  <c r="O872" i="38"/>
  <c r="Z872" i="38"/>
  <c r="U872" i="38"/>
  <c r="A871" i="38"/>
  <c r="D871" i="38"/>
  <c r="E871" i="38"/>
  <c r="G871" i="38"/>
  <c r="H871" i="38"/>
  <c r="K871" i="38"/>
  <c r="L871" i="38" s="1"/>
  <c r="M871" i="38"/>
  <c r="N871" i="38" s="1"/>
  <c r="S871" i="38"/>
  <c r="F34" i="117"/>
  <c r="H34" i="117"/>
  <c r="G34" i="117"/>
  <c r="K4" i="117"/>
  <c r="O871" i="38" l="1"/>
  <c r="P871" i="38"/>
  <c r="U871" i="38"/>
  <c r="Z871" i="38"/>
  <c r="A870" i="38" l="1"/>
  <c r="D870" i="38"/>
  <c r="E870" i="38"/>
  <c r="G870" i="38"/>
  <c r="H870" i="38"/>
  <c r="K870" i="38"/>
  <c r="L870" i="38" s="1"/>
  <c r="M870" i="38"/>
  <c r="N870" i="38" s="1"/>
  <c r="S870" i="38"/>
  <c r="F394" i="25"/>
  <c r="H394" i="25"/>
  <c r="G394" i="25"/>
  <c r="K99" i="25"/>
  <c r="P870" i="38" l="1"/>
  <c r="O870" i="38"/>
  <c r="Z870" i="38"/>
  <c r="U870" i="38"/>
  <c r="A869" i="38"/>
  <c r="D869" i="38"/>
  <c r="E869" i="38"/>
  <c r="G869" i="38"/>
  <c r="H869" i="38"/>
  <c r="K869" i="38"/>
  <c r="L869" i="38" s="1"/>
  <c r="M869" i="38"/>
  <c r="N869" i="38" s="1"/>
  <c r="S869" i="38"/>
  <c r="P869" i="38" l="1"/>
  <c r="O869" i="38"/>
  <c r="U869" i="38"/>
  <c r="Z869" i="38"/>
  <c r="A868" i="38"/>
  <c r="D868" i="38"/>
  <c r="E868" i="38"/>
  <c r="G868" i="38"/>
  <c r="H868" i="38"/>
  <c r="K868" i="38"/>
  <c r="L868" i="38" s="1"/>
  <c r="M868" i="38"/>
  <c r="N868" i="38" s="1"/>
  <c r="S868" i="38"/>
  <c r="F2" i="128"/>
  <c r="F18" i="128" s="1"/>
  <c r="F393" i="25"/>
  <c r="G393" i="25"/>
  <c r="H393" i="25"/>
  <c r="F123" i="25"/>
  <c r="M84" i="128"/>
  <c r="K84" i="128"/>
  <c r="H84" i="128"/>
  <c r="F84" i="128"/>
  <c r="C84" i="128"/>
  <c r="P39" i="128"/>
  <c r="P38" i="128"/>
  <c r="P37" i="128"/>
  <c r="P36" i="128"/>
  <c r="P35" i="128"/>
  <c r="P34" i="128"/>
  <c r="P33" i="128"/>
  <c r="P32" i="128"/>
  <c r="P31" i="128"/>
  <c r="P30" i="128"/>
  <c r="P29" i="128"/>
  <c r="P28" i="128"/>
  <c r="P27" i="128"/>
  <c r="P26" i="128"/>
  <c r="P25" i="128"/>
  <c r="G25" i="128"/>
  <c r="F25" i="128"/>
  <c r="P24" i="128"/>
  <c r="P23" i="128"/>
  <c r="P22" i="128"/>
  <c r="P21" i="128"/>
  <c r="P20" i="128"/>
  <c r="P19" i="128"/>
  <c r="M18" i="128"/>
  <c r="K18" i="128"/>
  <c r="H18" i="128"/>
  <c r="C18" i="128"/>
  <c r="A867" i="38"/>
  <c r="D867" i="38"/>
  <c r="E867" i="38"/>
  <c r="G867" i="38"/>
  <c r="H867" i="38"/>
  <c r="K867" i="38"/>
  <c r="L867" i="38" s="1"/>
  <c r="M867" i="38"/>
  <c r="N867" i="38" s="1"/>
  <c r="S867" i="38"/>
  <c r="F85" i="128"/>
  <c r="C85" i="128"/>
  <c r="K85" i="128"/>
  <c r="C19" i="128"/>
  <c r="F19" i="128"/>
  <c r="M19" i="128"/>
  <c r="H19" i="128"/>
  <c r="K19" i="128"/>
  <c r="M85" i="128"/>
  <c r="H85" i="128"/>
  <c r="H25" i="128" l="1"/>
  <c r="Q2" i="128"/>
  <c r="Q5" i="128" s="1"/>
  <c r="O868" i="38"/>
  <c r="P868" i="38"/>
  <c r="M66" i="128"/>
  <c r="Q10" i="128" s="1"/>
  <c r="P867" i="38"/>
  <c r="Z868" i="38"/>
  <c r="U868" i="38"/>
  <c r="O867" i="38"/>
  <c r="Z867" i="38"/>
  <c r="U867" i="38"/>
  <c r="F30" i="112"/>
  <c r="H30" i="112"/>
  <c r="G30" i="112"/>
  <c r="G59" i="108"/>
  <c r="F59" i="108"/>
  <c r="H59" i="108"/>
  <c r="K7" i="108"/>
  <c r="F392" i="25"/>
  <c r="G392" i="25"/>
  <c r="H392" i="25"/>
  <c r="K98" i="25"/>
  <c r="F184" i="58"/>
  <c r="G184" i="58"/>
  <c r="H184" i="58"/>
  <c r="K34" i="58"/>
  <c r="A866" i="38"/>
  <c r="D866" i="38"/>
  <c r="E866" i="38"/>
  <c r="G866" i="38"/>
  <c r="H866" i="38"/>
  <c r="K866" i="38"/>
  <c r="L866" i="38" s="1"/>
  <c r="M866" i="38"/>
  <c r="U866" i="38" s="1"/>
  <c r="S866" i="38"/>
  <c r="Q3" i="128" l="1"/>
  <c r="Q6" i="128" s="1"/>
  <c r="Q8" i="128"/>
  <c r="Q7" i="128" s="1"/>
  <c r="N866" i="38"/>
  <c r="P866" i="38"/>
  <c r="A865" i="38"/>
  <c r="D865" i="38"/>
  <c r="E865" i="38"/>
  <c r="G865" i="38"/>
  <c r="H865" i="38"/>
  <c r="K865" i="38"/>
  <c r="L865" i="38" s="1"/>
  <c r="M865" i="38"/>
  <c r="N865" i="38" s="1"/>
  <c r="S865" i="38"/>
  <c r="G35" i="116"/>
  <c r="Q9" i="128" l="1"/>
  <c r="O865" i="38"/>
  <c r="P865" i="38"/>
  <c r="O866" i="38"/>
  <c r="Z866" i="38"/>
  <c r="U865" i="38"/>
  <c r="Z865" i="38"/>
  <c r="F54" i="107"/>
  <c r="H54" i="107"/>
  <c r="G54" i="107"/>
  <c r="A864" i="38" l="1"/>
  <c r="D864" i="38"/>
  <c r="E864" i="38"/>
  <c r="G864" i="38"/>
  <c r="H864" i="38"/>
  <c r="K864" i="38"/>
  <c r="L864" i="38" s="1"/>
  <c r="M864" i="38"/>
  <c r="N864" i="38" s="1"/>
  <c r="S864" i="38"/>
  <c r="G28" i="119"/>
  <c r="H28" i="119"/>
  <c r="K2" i="119"/>
  <c r="P864" i="38" l="1"/>
  <c r="O864" i="38"/>
  <c r="Z864" i="38"/>
  <c r="U864" i="38"/>
  <c r="A863" i="38"/>
  <c r="D863" i="38"/>
  <c r="E863" i="38"/>
  <c r="G863" i="38"/>
  <c r="H863" i="38"/>
  <c r="K863" i="38"/>
  <c r="L863" i="38" s="1"/>
  <c r="M863" i="38"/>
  <c r="N863" i="38" s="1"/>
  <c r="S863" i="38"/>
  <c r="P863" i="38" l="1"/>
  <c r="O863" i="38"/>
  <c r="Z863" i="38"/>
  <c r="U863" i="38"/>
  <c r="A862" i="38"/>
  <c r="D862" i="38"/>
  <c r="E862" i="38"/>
  <c r="G862" i="38"/>
  <c r="H862" i="38"/>
  <c r="K862" i="38"/>
  <c r="L862" i="38" s="1"/>
  <c r="M862" i="38"/>
  <c r="N862" i="38" s="1"/>
  <c r="S862" i="38"/>
  <c r="U862" i="38" l="1"/>
  <c r="P862" i="38"/>
  <c r="O862" i="38"/>
  <c r="Z862" i="38"/>
  <c r="A861" i="38"/>
  <c r="D861" i="38"/>
  <c r="E861" i="38"/>
  <c r="G861" i="38"/>
  <c r="H861" i="38"/>
  <c r="K861" i="38"/>
  <c r="L861" i="38" s="1"/>
  <c r="M861" i="38"/>
  <c r="N861" i="38" s="1"/>
  <c r="S861" i="38"/>
  <c r="G53" i="107"/>
  <c r="F53" i="107"/>
  <c r="H53" i="107"/>
  <c r="F9" i="107"/>
  <c r="P861" i="38" l="1"/>
  <c r="O861" i="38"/>
  <c r="Z861" i="38"/>
  <c r="U861" i="38"/>
  <c r="C18" i="90"/>
  <c r="A860" i="38" l="1"/>
  <c r="D860" i="38"/>
  <c r="E860" i="38"/>
  <c r="G860" i="38"/>
  <c r="H860" i="38"/>
  <c r="K860" i="38"/>
  <c r="L860" i="38" s="1"/>
  <c r="M860" i="38"/>
  <c r="N860" i="38" s="1"/>
  <c r="S860" i="38"/>
  <c r="F69" i="96"/>
  <c r="G69" i="96"/>
  <c r="H69" i="96"/>
  <c r="H391" i="25"/>
  <c r="G391" i="25"/>
  <c r="F391" i="25"/>
  <c r="F390" i="25"/>
  <c r="H390" i="25"/>
  <c r="G390" i="25"/>
  <c r="F122" i="25"/>
  <c r="F121" i="25"/>
  <c r="F122" i="46"/>
  <c r="H122" i="46"/>
  <c r="G122" i="46"/>
  <c r="F35" i="46"/>
  <c r="H28" i="82"/>
  <c r="G28" i="82"/>
  <c r="F28" i="82"/>
  <c r="F3" i="82"/>
  <c r="G183" i="58"/>
  <c r="F183" i="58"/>
  <c r="H183" i="58"/>
  <c r="F42" i="58"/>
  <c r="F61" i="105"/>
  <c r="H61" i="105"/>
  <c r="G61" i="105"/>
  <c r="F10" i="105"/>
  <c r="F87" i="93"/>
  <c r="H87" i="93"/>
  <c r="G87" i="93"/>
  <c r="K14" i="93"/>
  <c r="P860" i="38" l="1"/>
  <c r="Z860" i="38"/>
  <c r="O860" i="38"/>
  <c r="U860" i="38"/>
  <c r="F68" i="96"/>
  <c r="G68" i="96"/>
  <c r="H68" i="96"/>
  <c r="Q13" i="96"/>
  <c r="F86" i="93"/>
  <c r="H86" i="93"/>
  <c r="G86" i="93"/>
  <c r="F182" i="58"/>
  <c r="H182" i="58"/>
  <c r="G182" i="58"/>
  <c r="G27" i="82"/>
  <c r="H27" i="82"/>
  <c r="K2" i="82"/>
  <c r="F52" i="69"/>
  <c r="H52" i="69"/>
  <c r="G52" i="69"/>
  <c r="K9" i="69"/>
  <c r="A859" i="38"/>
  <c r="D859" i="38"/>
  <c r="E859" i="38"/>
  <c r="G859" i="38"/>
  <c r="H859" i="38"/>
  <c r="K859" i="38"/>
  <c r="L859" i="38" s="1"/>
  <c r="M859" i="38"/>
  <c r="N859" i="38" s="1"/>
  <c r="S859" i="38"/>
  <c r="O859" i="38" l="1"/>
  <c r="P859" i="38"/>
  <c r="U859" i="38"/>
  <c r="Z859" i="38"/>
  <c r="A858" i="38"/>
  <c r="D858" i="38"/>
  <c r="E858" i="38"/>
  <c r="G858" i="38"/>
  <c r="H858" i="38"/>
  <c r="K858" i="38"/>
  <c r="L858" i="38" s="1"/>
  <c r="M858" i="38"/>
  <c r="N858" i="38" s="1"/>
  <c r="S858" i="38"/>
  <c r="F389" i="25"/>
  <c r="H389" i="25"/>
  <c r="G389" i="25"/>
  <c r="K97" i="25"/>
  <c r="F60" i="105"/>
  <c r="H60" i="105"/>
  <c r="G60" i="105"/>
  <c r="K7" i="105"/>
  <c r="H34" i="116"/>
  <c r="G34" i="116"/>
  <c r="K6" i="116"/>
  <c r="C159" i="25"/>
  <c r="O858" i="38" l="1"/>
  <c r="P858" i="38"/>
  <c r="U858" i="38"/>
  <c r="Z858" i="38"/>
  <c r="A857" i="38"/>
  <c r="D857" i="38"/>
  <c r="E857" i="38"/>
  <c r="G857" i="38"/>
  <c r="H857" i="38"/>
  <c r="K857" i="38"/>
  <c r="L857" i="38" s="1"/>
  <c r="M857" i="38"/>
  <c r="N857" i="38" s="1"/>
  <c r="S857" i="38"/>
  <c r="P857" i="38" l="1"/>
  <c r="O857" i="38"/>
  <c r="Z857" i="38"/>
  <c r="U857" i="38"/>
  <c r="A856" i="38"/>
  <c r="D856" i="38"/>
  <c r="E856" i="38"/>
  <c r="G856" i="38"/>
  <c r="H856" i="38"/>
  <c r="K856" i="38"/>
  <c r="L856" i="38" s="1"/>
  <c r="M856" i="38"/>
  <c r="N856" i="38" s="1"/>
  <c r="S856" i="38"/>
  <c r="P856" i="38" l="1"/>
  <c r="O856" i="38"/>
  <c r="Z856" i="38"/>
  <c r="U856" i="38"/>
  <c r="A855" i="38"/>
  <c r="D855" i="38"/>
  <c r="E855" i="38"/>
  <c r="G855" i="38"/>
  <c r="H855" i="38"/>
  <c r="K855" i="38"/>
  <c r="L855" i="38" s="1"/>
  <c r="M855" i="38"/>
  <c r="N855" i="38" s="1"/>
  <c r="S855" i="38"/>
  <c r="G58" i="108"/>
  <c r="F58" i="108"/>
  <c r="H58" i="108"/>
  <c r="F12" i="108"/>
  <c r="P855" i="38" l="1"/>
  <c r="O855" i="38"/>
  <c r="U855" i="38"/>
  <c r="Z855" i="38"/>
  <c r="F52" i="107"/>
  <c r="H52" i="107"/>
  <c r="G52" i="107"/>
  <c r="K7" i="107"/>
  <c r="F29" i="127"/>
  <c r="H29" i="127"/>
  <c r="G29" i="127"/>
  <c r="K2" i="127"/>
  <c r="F121" i="46"/>
  <c r="G121" i="46"/>
  <c r="H121" i="46"/>
  <c r="A854" i="38" l="1"/>
  <c r="D854" i="38"/>
  <c r="E854" i="38"/>
  <c r="G854" i="38"/>
  <c r="H854" i="38"/>
  <c r="K854" i="38"/>
  <c r="L854" i="38" s="1"/>
  <c r="M854" i="38"/>
  <c r="N854" i="38" s="1"/>
  <c r="S854" i="38"/>
  <c r="O854" i="38" l="1"/>
  <c r="Z854" i="38"/>
  <c r="U854" i="38"/>
  <c r="P854" i="38"/>
  <c r="A853" i="38"/>
  <c r="D853" i="38"/>
  <c r="E853" i="38"/>
  <c r="G853" i="38"/>
  <c r="H853" i="38"/>
  <c r="K853" i="38"/>
  <c r="L853" i="38" s="1"/>
  <c r="M853" i="38"/>
  <c r="N853" i="38" s="1"/>
  <c r="S853" i="38"/>
  <c r="P853" i="38" l="1"/>
  <c r="O853" i="38"/>
  <c r="Z853" i="38"/>
  <c r="U853" i="38"/>
  <c r="A852" i="38"/>
  <c r="D852" i="38"/>
  <c r="E852" i="38"/>
  <c r="G852" i="38"/>
  <c r="H852" i="38"/>
  <c r="K852" i="38"/>
  <c r="L852" i="38" s="1"/>
  <c r="M852" i="38"/>
  <c r="N852" i="38" s="1"/>
  <c r="S852" i="38"/>
  <c r="O852" i="38" l="1"/>
  <c r="P852" i="38"/>
  <c r="U852" i="38"/>
  <c r="Z852" i="38"/>
  <c r="F33" i="116"/>
  <c r="H33" i="116"/>
  <c r="G33" i="116"/>
  <c r="F53" i="90"/>
  <c r="H53" i="90"/>
  <c r="G53" i="90"/>
  <c r="F28" i="127"/>
  <c r="G28" i="127"/>
  <c r="H28" i="127"/>
  <c r="F33" i="117"/>
  <c r="H33" i="117"/>
  <c r="G33" i="117"/>
  <c r="F29" i="112"/>
  <c r="G29" i="112"/>
  <c r="H29" i="112"/>
  <c r="F26" i="82"/>
  <c r="G26" i="82"/>
  <c r="H26" i="82"/>
  <c r="F74" i="74"/>
  <c r="G74" i="74"/>
  <c r="H74" i="74"/>
  <c r="F86" i="88"/>
  <c r="H86" i="88"/>
  <c r="G86" i="88"/>
  <c r="F120" i="46"/>
  <c r="H120" i="46"/>
  <c r="G120" i="46"/>
  <c r="F85" i="93"/>
  <c r="H85" i="93"/>
  <c r="G85" i="93"/>
  <c r="F59" i="105"/>
  <c r="H59" i="105"/>
  <c r="G59" i="105"/>
  <c r="G62" i="102"/>
  <c r="F62" i="102"/>
  <c r="H62" i="102"/>
  <c r="G181" i="58"/>
  <c r="F181" i="58"/>
  <c r="H181" i="58"/>
  <c r="F51" i="107"/>
  <c r="H51" i="107"/>
  <c r="G51" i="107"/>
  <c r="F51" i="69"/>
  <c r="H51" i="69"/>
  <c r="G51" i="69"/>
  <c r="F67" i="96"/>
  <c r="H67" i="96"/>
  <c r="G67" i="96"/>
  <c r="F27" i="119"/>
  <c r="G27" i="119"/>
  <c r="H27" i="119"/>
  <c r="A851" i="38"/>
  <c r="D851" i="38"/>
  <c r="E851" i="38"/>
  <c r="G851" i="38"/>
  <c r="H851" i="38"/>
  <c r="K851" i="38"/>
  <c r="L851" i="38" s="1"/>
  <c r="M851" i="38"/>
  <c r="N851" i="38" s="1"/>
  <c r="S851" i="38"/>
  <c r="F48" i="97"/>
  <c r="H48" i="97"/>
  <c r="K7" i="97"/>
  <c r="H18" i="97"/>
  <c r="F388" i="25"/>
  <c r="G388" i="25"/>
  <c r="H388" i="25"/>
  <c r="P851" i="38" l="1"/>
  <c r="Z851" i="38"/>
  <c r="O851" i="38"/>
  <c r="U851" i="38"/>
  <c r="A850" i="38"/>
  <c r="D850" i="38"/>
  <c r="E850" i="38"/>
  <c r="G850" i="38"/>
  <c r="H850" i="38"/>
  <c r="K850" i="38"/>
  <c r="L850" i="38" s="1"/>
  <c r="M850" i="38"/>
  <c r="N850" i="38" s="1"/>
  <c r="S850" i="38"/>
  <c r="P850" i="38" l="1"/>
  <c r="O850" i="38"/>
  <c r="U850" i="38"/>
  <c r="Z850" i="38"/>
  <c r="A849" i="38"/>
  <c r="D849" i="38"/>
  <c r="E849" i="38"/>
  <c r="G849" i="38"/>
  <c r="H849" i="38"/>
  <c r="K849" i="38"/>
  <c r="L849" i="38" s="1"/>
  <c r="M849" i="38"/>
  <c r="N849" i="38" s="1"/>
  <c r="S849" i="38"/>
  <c r="F180" i="58"/>
  <c r="G180" i="58"/>
  <c r="H180" i="58"/>
  <c r="F41" i="58"/>
  <c r="F50" i="69"/>
  <c r="H50" i="69"/>
  <c r="G50" i="69"/>
  <c r="F11" i="69"/>
  <c r="K5" i="106"/>
  <c r="F7" i="105"/>
  <c r="F58" i="105"/>
  <c r="H58" i="105"/>
  <c r="G58" i="105"/>
  <c r="F9" i="105"/>
  <c r="G50" i="107"/>
  <c r="F50" i="107"/>
  <c r="H50" i="107"/>
  <c r="F8" i="107"/>
  <c r="P849" i="38" l="1"/>
  <c r="Z849" i="38"/>
  <c r="O849" i="38"/>
  <c r="U849" i="38"/>
  <c r="A848" i="38"/>
  <c r="D848" i="38"/>
  <c r="E848" i="38"/>
  <c r="G848" i="38"/>
  <c r="H848" i="38"/>
  <c r="K848" i="38"/>
  <c r="L848" i="38" s="1"/>
  <c r="M848" i="38"/>
  <c r="N848" i="38" s="1"/>
  <c r="S848" i="38"/>
  <c r="P848" i="38" l="1"/>
  <c r="O848" i="38"/>
  <c r="Z848" i="38"/>
  <c r="U848" i="38"/>
  <c r="F57" i="108"/>
  <c r="H57" i="108"/>
  <c r="G57" i="108"/>
  <c r="A847" i="38"/>
  <c r="D847" i="38"/>
  <c r="E847" i="38"/>
  <c r="G847" i="38"/>
  <c r="H847" i="38"/>
  <c r="K847" i="38"/>
  <c r="L847" i="38" s="1"/>
  <c r="M847" i="38"/>
  <c r="N847" i="38" s="1"/>
  <c r="S847" i="38"/>
  <c r="K6" i="108"/>
  <c r="P847" i="38" l="1"/>
  <c r="O847" i="38"/>
  <c r="Z847" i="38"/>
  <c r="U847" i="38"/>
  <c r="G49" i="107"/>
  <c r="F49" i="107"/>
  <c r="H49" i="107"/>
  <c r="A846" i="38"/>
  <c r="D846" i="38"/>
  <c r="E846" i="38"/>
  <c r="G846" i="38"/>
  <c r="H846" i="38"/>
  <c r="K846" i="38"/>
  <c r="L846" i="38" s="1"/>
  <c r="M846" i="38"/>
  <c r="N846" i="38" s="1"/>
  <c r="S846" i="38"/>
  <c r="P846" i="38" l="1"/>
  <c r="Z846" i="38"/>
  <c r="O846" i="38"/>
  <c r="U846" i="38"/>
  <c r="F57" i="99"/>
  <c r="H57" i="99"/>
  <c r="G57" i="99"/>
  <c r="K11" i="99"/>
  <c r="H18" i="99"/>
  <c r="G60" i="103"/>
  <c r="F60" i="103"/>
  <c r="H60" i="103"/>
  <c r="K6" i="103"/>
  <c r="H18" i="103"/>
  <c r="F61" i="45"/>
  <c r="G61" i="45"/>
  <c r="A845" i="38"/>
  <c r="D845" i="38"/>
  <c r="E845" i="38"/>
  <c r="G845" i="38"/>
  <c r="H845" i="38"/>
  <c r="K845" i="38"/>
  <c r="L845" i="38" s="1"/>
  <c r="M845" i="38"/>
  <c r="N845" i="38" s="1"/>
  <c r="S845" i="38"/>
  <c r="O845" i="38" l="1"/>
  <c r="P845" i="38"/>
  <c r="U845" i="38"/>
  <c r="Z845" i="38"/>
  <c r="A844" i="38"/>
  <c r="D844" i="38"/>
  <c r="E844" i="38"/>
  <c r="G844" i="38"/>
  <c r="H844" i="38"/>
  <c r="K844" i="38"/>
  <c r="L844" i="38" s="1"/>
  <c r="M844" i="38"/>
  <c r="N844" i="38" s="1"/>
  <c r="S844" i="38"/>
  <c r="F179" i="58"/>
  <c r="H179" i="58"/>
  <c r="G179" i="58"/>
  <c r="F40" i="58"/>
  <c r="F56" i="108"/>
  <c r="H56" i="108"/>
  <c r="G56" i="108"/>
  <c r="F11" i="108"/>
  <c r="O844" i="38" l="1"/>
  <c r="Z844" i="38"/>
  <c r="P844" i="38"/>
  <c r="U844" i="38"/>
  <c r="A843" i="38"/>
  <c r="D843" i="38"/>
  <c r="E843" i="38"/>
  <c r="G843" i="38"/>
  <c r="H843" i="38"/>
  <c r="K843" i="38"/>
  <c r="L843" i="38" s="1"/>
  <c r="M843" i="38"/>
  <c r="N843" i="38" s="1"/>
  <c r="S843" i="38"/>
  <c r="F49" i="69"/>
  <c r="H49" i="69"/>
  <c r="G49" i="69"/>
  <c r="F10" i="69"/>
  <c r="P843" i="38" l="1"/>
  <c r="O843" i="38"/>
  <c r="Z843" i="38"/>
  <c r="U843" i="38"/>
  <c r="A842" i="38"/>
  <c r="D842" i="38"/>
  <c r="E842" i="38"/>
  <c r="G842" i="38"/>
  <c r="H842" i="38"/>
  <c r="K842" i="38"/>
  <c r="L842" i="38" s="1"/>
  <c r="M842" i="38"/>
  <c r="N842" i="38" s="1"/>
  <c r="S842" i="38"/>
  <c r="P842" i="38" l="1"/>
  <c r="O842" i="38"/>
  <c r="Z842" i="38"/>
  <c r="U842" i="38"/>
  <c r="A841" i="38"/>
  <c r="D841" i="38"/>
  <c r="E841" i="38"/>
  <c r="G841" i="38"/>
  <c r="H841" i="38"/>
  <c r="K841" i="38"/>
  <c r="L841" i="38" s="1"/>
  <c r="M841" i="38"/>
  <c r="U841" i="38" s="1"/>
  <c r="S841" i="38"/>
  <c r="F55" i="108"/>
  <c r="H55" i="108"/>
  <c r="G55" i="108"/>
  <c r="F178" i="58"/>
  <c r="H178" i="58"/>
  <c r="G178" i="58"/>
  <c r="K33" i="58"/>
  <c r="P841" i="38" l="1"/>
  <c r="N841" i="38"/>
  <c r="F66" i="96"/>
  <c r="H66" i="96"/>
  <c r="G66" i="96"/>
  <c r="O841" i="38" l="1"/>
  <c r="Z841" i="38"/>
  <c r="F177" i="58"/>
  <c r="H177" i="58"/>
  <c r="G177" i="58"/>
  <c r="F39" i="58"/>
  <c r="H28" i="114"/>
  <c r="K2" i="114"/>
  <c r="A840" i="38"/>
  <c r="D840" i="38"/>
  <c r="E840" i="38"/>
  <c r="G840" i="38"/>
  <c r="H840" i="38"/>
  <c r="K840" i="38"/>
  <c r="L840" i="38" s="1"/>
  <c r="M840" i="38"/>
  <c r="N840" i="38" s="1"/>
  <c r="S840" i="38"/>
  <c r="P840" i="38" l="1"/>
  <c r="O840" i="38"/>
  <c r="Z840" i="38"/>
  <c r="U840" i="38"/>
  <c r="A839" i="38"/>
  <c r="D839" i="38"/>
  <c r="E839" i="38"/>
  <c r="G839" i="38"/>
  <c r="H839" i="38"/>
  <c r="K839" i="38"/>
  <c r="L839" i="38" s="1"/>
  <c r="M839" i="38"/>
  <c r="N839" i="38" s="1"/>
  <c r="S839" i="38"/>
  <c r="F65" i="96"/>
  <c r="H65" i="96"/>
  <c r="G65" i="96"/>
  <c r="F10" i="96"/>
  <c r="G54" i="108"/>
  <c r="F54" i="108"/>
  <c r="H54" i="108"/>
  <c r="F10" i="108"/>
  <c r="P839" i="38" l="1"/>
  <c r="O839" i="38"/>
  <c r="Z839" i="38"/>
  <c r="U839" i="38"/>
  <c r="A838" i="38"/>
  <c r="D838" i="38"/>
  <c r="E838" i="38"/>
  <c r="G838" i="38"/>
  <c r="H838" i="38"/>
  <c r="K838" i="38"/>
  <c r="L838" i="38" s="1"/>
  <c r="M838" i="38"/>
  <c r="N838" i="38" s="1"/>
  <c r="S838" i="38"/>
  <c r="F84" i="93"/>
  <c r="H84" i="93"/>
  <c r="G84" i="93"/>
  <c r="K13" i="93"/>
  <c r="H28" i="110"/>
  <c r="H27" i="110"/>
  <c r="K2" i="110"/>
  <c r="H29" i="118"/>
  <c r="G29" i="118"/>
  <c r="K3" i="118"/>
  <c r="F48" i="107"/>
  <c r="H48" i="107"/>
  <c r="G48" i="107"/>
  <c r="K6" i="107"/>
  <c r="G47" i="97"/>
  <c r="F47" i="97"/>
  <c r="H47" i="97"/>
  <c r="K6" i="97"/>
  <c r="H96" i="43"/>
  <c r="K15" i="43"/>
  <c r="F53" i="108"/>
  <c r="H53" i="108"/>
  <c r="G53" i="108"/>
  <c r="K5" i="108"/>
  <c r="F176" i="58"/>
  <c r="G176" i="58"/>
  <c r="H176" i="58"/>
  <c r="K32" i="58"/>
  <c r="P838" i="38" l="1"/>
  <c r="O838" i="38"/>
  <c r="Z838" i="38"/>
  <c r="U838" i="38"/>
  <c r="Q13" i="69"/>
  <c r="Q13" i="82"/>
  <c r="K6" i="53"/>
  <c r="F52" i="108"/>
  <c r="H52" i="108"/>
  <c r="G52" i="108"/>
  <c r="K4" i="108"/>
  <c r="K2" i="124"/>
  <c r="A809" i="38"/>
  <c r="A837" i="38"/>
  <c r="D837" i="38"/>
  <c r="E837" i="38"/>
  <c r="G837" i="38"/>
  <c r="H837" i="38"/>
  <c r="K837" i="38"/>
  <c r="L837" i="38" s="1"/>
  <c r="M837" i="38"/>
  <c r="N837" i="38" s="1"/>
  <c r="S837" i="38"/>
  <c r="O837" i="38" l="1"/>
  <c r="Z837" i="38"/>
  <c r="P837" i="38"/>
  <c r="U837" i="38"/>
  <c r="F43" i="53"/>
  <c r="H43" i="53"/>
  <c r="G43" i="53"/>
  <c r="F27" i="127"/>
  <c r="G27" i="127"/>
  <c r="H27" i="127"/>
  <c r="F47" i="107"/>
  <c r="H47" i="107"/>
  <c r="G47" i="107"/>
  <c r="G46" i="97"/>
  <c r="F46" i="97"/>
  <c r="H46" i="97"/>
  <c r="Q13" i="46"/>
  <c r="F52" i="90" l="1"/>
  <c r="H52" i="90"/>
  <c r="G52" i="90"/>
  <c r="F64" i="101"/>
  <c r="G64" i="101"/>
  <c r="H64" i="101"/>
  <c r="K14" i="101"/>
  <c r="H21" i="101"/>
  <c r="F119" i="46"/>
  <c r="H119" i="46"/>
  <c r="G119" i="46"/>
  <c r="F34" i="46"/>
  <c r="F83" i="93"/>
  <c r="H83" i="93"/>
  <c r="G83" i="93"/>
  <c r="K12" i="93"/>
  <c r="G47" i="78"/>
  <c r="H47" i="78"/>
  <c r="K5" i="78"/>
  <c r="A836" i="38"/>
  <c r="D836" i="38"/>
  <c r="E836" i="38"/>
  <c r="G836" i="38"/>
  <c r="H836" i="38"/>
  <c r="K836" i="38"/>
  <c r="L836" i="38" s="1"/>
  <c r="M836" i="38"/>
  <c r="N836" i="38" s="1"/>
  <c r="S836" i="38"/>
  <c r="O836" i="38" l="1"/>
  <c r="P836" i="38"/>
  <c r="U836" i="38"/>
  <c r="Z836" i="38"/>
  <c r="F64" i="96"/>
  <c r="H64" i="96"/>
  <c r="G64" i="96"/>
  <c r="F387" i="25"/>
  <c r="H387" i="25"/>
  <c r="G387" i="25"/>
  <c r="K96" i="25"/>
  <c r="F386" i="25"/>
  <c r="H386" i="25"/>
  <c r="G386" i="25"/>
  <c r="K95" i="25"/>
  <c r="A835" i="38"/>
  <c r="D835" i="38"/>
  <c r="E835" i="38"/>
  <c r="G835" i="38"/>
  <c r="H835" i="38"/>
  <c r="K835" i="38"/>
  <c r="L835" i="38" s="1"/>
  <c r="M835" i="38"/>
  <c r="N835" i="38" s="1"/>
  <c r="S835" i="38"/>
  <c r="F42" i="53"/>
  <c r="H42" i="53"/>
  <c r="G42" i="53"/>
  <c r="A834" i="38"/>
  <c r="D834" i="38"/>
  <c r="E834" i="38"/>
  <c r="G834" i="38"/>
  <c r="H834" i="38"/>
  <c r="K834" i="38"/>
  <c r="L834" i="38" s="1"/>
  <c r="M834" i="38"/>
  <c r="U834" i="38" s="1"/>
  <c r="S834" i="38"/>
  <c r="F32" i="116"/>
  <c r="H32" i="116"/>
  <c r="G32" i="116"/>
  <c r="K5" i="116"/>
  <c r="O835" i="38" l="1"/>
  <c r="Z835" i="38"/>
  <c r="U835" i="38"/>
  <c r="P835" i="38"/>
  <c r="N834" i="38"/>
  <c r="O834" i="38" s="1"/>
  <c r="P834" i="38"/>
  <c r="F26" i="127"/>
  <c r="G26" i="127"/>
  <c r="H26" i="127"/>
  <c r="F26" i="119"/>
  <c r="G26" i="119"/>
  <c r="H26" i="119"/>
  <c r="F25" i="124"/>
  <c r="A833" i="38"/>
  <c r="D833" i="38"/>
  <c r="E833" i="38"/>
  <c r="G833" i="38"/>
  <c r="H833" i="38"/>
  <c r="K833" i="38"/>
  <c r="L833" i="38" s="1"/>
  <c r="M833" i="38"/>
  <c r="U833" i="38" s="1"/>
  <c r="S833" i="38"/>
  <c r="F51" i="108"/>
  <c r="H51" i="108"/>
  <c r="G51" i="108"/>
  <c r="K3" i="108"/>
  <c r="R11" i="127"/>
  <c r="Q11" i="127" s="1"/>
  <c r="A832" i="38"/>
  <c r="D832" i="38"/>
  <c r="E832" i="38"/>
  <c r="G832" i="38"/>
  <c r="H832" i="38"/>
  <c r="K832" i="38"/>
  <c r="L832" i="38" s="1"/>
  <c r="M832" i="38"/>
  <c r="N832" i="38" s="1"/>
  <c r="S832" i="38"/>
  <c r="M84" i="127"/>
  <c r="K84" i="127"/>
  <c r="H84" i="127"/>
  <c r="F84" i="127"/>
  <c r="C84" i="127"/>
  <c r="P37" i="127"/>
  <c r="P36" i="127"/>
  <c r="P35" i="127"/>
  <c r="P34" i="127"/>
  <c r="P33" i="127"/>
  <c r="P32" i="127"/>
  <c r="P31" i="127"/>
  <c r="P30" i="127"/>
  <c r="P29" i="127"/>
  <c r="P28" i="127"/>
  <c r="P27" i="127"/>
  <c r="P26" i="127"/>
  <c r="P25" i="127"/>
  <c r="H25" i="127"/>
  <c r="G25" i="127"/>
  <c r="F25" i="127"/>
  <c r="P24" i="127"/>
  <c r="P23" i="127"/>
  <c r="P22" i="127"/>
  <c r="P21" i="127"/>
  <c r="P20" i="127"/>
  <c r="P19" i="127"/>
  <c r="P18" i="127"/>
  <c r="M18" i="127"/>
  <c r="K18" i="127"/>
  <c r="H18" i="127"/>
  <c r="C18" i="127"/>
  <c r="P17" i="127"/>
  <c r="F2" i="127"/>
  <c r="F18" i="127" s="1"/>
  <c r="C19" i="127"/>
  <c r="H85" i="127"/>
  <c r="M85" i="127"/>
  <c r="K85" i="127"/>
  <c r="C85" i="127"/>
  <c r="F85" i="127"/>
  <c r="M19" i="127"/>
  <c r="K19" i="127"/>
  <c r="H19" i="127"/>
  <c r="F19" i="127"/>
  <c r="P833" i="38" l="1"/>
  <c r="M66" i="127"/>
  <c r="Q10" i="127" s="1"/>
  <c r="Z834" i="38"/>
  <c r="N833" i="38"/>
  <c r="O833" i="38" s="1"/>
  <c r="P832" i="38"/>
  <c r="O832" i="38"/>
  <c r="Z832" i="38"/>
  <c r="U832" i="38"/>
  <c r="Q2" i="127"/>
  <c r="Q8" i="127" s="1"/>
  <c r="H94" i="82"/>
  <c r="G94" i="82"/>
  <c r="F94" i="82"/>
  <c r="H93" i="82"/>
  <c r="G93" i="82"/>
  <c r="F93" i="82"/>
  <c r="H92" i="82"/>
  <c r="G92" i="82"/>
  <c r="F92" i="82"/>
  <c r="F2" i="82"/>
  <c r="K52" i="82"/>
  <c r="F52" i="82"/>
  <c r="K51" i="82"/>
  <c r="F51" i="82"/>
  <c r="A831" i="38"/>
  <c r="D831" i="38"/>
  <c r="E831" i="38"/>
  <c r="G831" i="38"/>
  <c r="H831" i="38"/>
  <c r="K831" i="38"/>
  <c r="L831" i="38" s="1"/>
  <c r="M831" i="38"/>
  <c r="N831" i="38" s="1"/>
  <c r="S831" i="38"/>
  <c r="Q7" i="127" l="1"/>
  <c r="Q3" i="127"/>
  <c r="Q6" i="127" s="1"/>
  <c r="Q9" i="127" s="1"/>
  <c r="Q5" i="127"/>
  <c r="Z833" i="38"/>
  <c r="O831" i="38"/>
  <c r="Z831" i="38"/>
  <c r="U831" i="38"/>
  <c r="P831" i="38"/>
  <c r="A830" i="38"/>
  <c r="D830" i="38"/>
  <c r="E830" i="38"/>
  <c r="G830" i="38"/>
  <c r="H830" i="38"/>
  <c r="K830" i="38"/>
  <c r="L830" i="38" s="1"/>
  <c r="M830" i="38"/>
  <c r="N830" i="38" s="1"/>
  <c r="S830" i="38"/>
  <c r="F385" i="25"/>
  <c r="H385" i="25"/>
  <c r="G385" i="25"/>
  <c r="F120" i="25"/>
  <c r="F31" i="116"/>
  <c r="H31" i="116"/>
  <c r="G31" i="116"/>
  <c r="F6" i="116"/>
  <c r="F50" i="108"/>
  <c r="H50" i="108"/>
  <c r="G50" i="108"/>
  <c r="F9" i="108"/>
  <c r="F82" i="93"/>
  <c r="H82" i="93"/>
  <c r="G82" i="93"/>
  <c r="F18" i="93"/>
  <c r="P830" i="38" l="1"/>
  <c r="O830" i="38"/>
  <c r="Z830" i="38"/>
  <c r="U830" i="38"/>
  <c r="F63" i="101"/>
  <c r="H63" i="101"/>
  <c r="G63" i="101"/>
  <c r="A829" i="38"/>
  <c r="D829" i="38"/>
  <c r="E829" i="38"/>
  <c r="G829" i="38"/>
  <c r="H829" i="38"/>
  <c r="K829" i="38"/>
  <c r="L829" i="38" s="1"/>
  <c r="M829" i="38"/>
  <c r="N829" i="38" s="1"/>
  <c r="S829" i="38"/>
  <c r="F57" i="105"/>
  <c r="H57" i="105"/>
  <c r="G57" i="105"/>
  <c r="K6" i="105"/>
  <c r="A828" i="38"/>
  <c r="D828" i="38"/>
  <c r="E828" i="38"/>
  <c r="G828" i="38"/>
  <c r="H828" i="38"/>
  <c r="K828" i="38"/>
  <c r="L828" i="38" s="1"/>
  <c r="M828" i="38"/>
  <c r="N828" i="38" s="1"/>
  <c r="S828" i="38"/>
  <c r="U829" i="38" l="1"/>
  <c r="P828" i="38"/>
  <c r="O829" i="38"/>
  <c r="Z829" i="38"/>
  <c r="P829" i="38"/>
  <c r="O828" i="38"/>
  <c r="Z828" i="38"/>
  <c r="U828" i="38"/>
  <c r="F48" i="69"/>
  <c r="H48" i="69"/>
  <c r="G48" i="69"/>
  <c r="A827" i="38"/>
  <c r="D827" i="38"/>
  <c r="E827" i="38"/>
  <c r="G827" i="38"/>
  <c r="H827" i="38"/>
  <c r="K827" i="38"/>
  <c r="L827" i="38" s="1"/>
  <c r="M827" i="38"/>
  <c r="N827" i="38" s="1"/>
  <c r="S827" i="38"/>
  <c r="O827" i="38" l="1"/>
  <c r="Z827" i="38"/>
  <c r="U827" i="38"/>
  <c r="P827" i="38"/>
  <c r="G61" i="102"/>
  <c r="F61" i="102"/>
  <c r="H61" i="102"/>
  <c r="F81" i="93" l="1"/>
  <c r="G81" i="93"/>
  <c r="H81" i="93"/>
  <c r="F95" i="43"/>
  <c r="H95" i="43"/>
  <c r="G95" i="43"/>
  <c r="F46" i="107"/>
  <c r="H46" i="107"/>
  <c r="G46" i="107"/>
  <c r="F384" i="25"/>
  <c r="G384" i="25"/>
  <c r="H384" i="25"/>
  <c r="F119" i="25"/>
  <c r="F49" i="108"/>
  <c r="H49" i="108"/>
  <c r="G49" i="108"/>
  <c r="F48" i="108"/>
  <c r="H48" i="108"/>
  <c r="G48" i="108"/>
  <c r="F8" i="108"/>
  <c r="F7" i="108"/>
  <c r="A826" i="38"/>
  <c r="D826" i="38"/>
  <c r="E826" i="38"/>
  <c r="G826" i="38"/>
  <c r="H826" i="38"/>
  <c r="K826" i="38"/>
  <c r="L826" i="38" s="1"/>
  <c r="M826" i="38"/>
  <c r="U826" i="38" s="1"/>
  <c r="S826" i="38"/>
  <c r="N826" i="38" l="1"/>
  <c r="O826" i="38" s="1"/>
  <c r="P826" i="38"/>
  <c r="A825" i="38"/>
  <c r="D825" i="38"/>
  <c r="E825" i="38"/>
  <c r="G825" i="38"/>
  <c r="H825" i="38"/>
  <c r="K825" i="38"/>
  <c r="L825" i="38" s="1"/>
  <c r="M825" i="38"/>
  <c r="N825" i="38" s="1"/>
  <c r="S825" i="38"/>
  <c r="K3" i="115"/>
  <c r="F45" i="107"/>
  <c r="H45" i="107"/>
  <c r="G45" i="107"/>
  <c r="F7" i="107"/>
  <c r="F32" i="117"/>
  <c r="H32" i="117"/>
  <c r="G32" i="117"/>
  <c r="F44" i="107"/>
  <c r="H44" i="107"/>
  <c r="G44" i="107"/>
  <c r="K5" i="107"/>
  <c r="K11" i="47"/>
  <c r="H18" i="47"/>
  <c r="F383" i="25"/>
  <c r="H383" i="25"/>
  <c r="G383" i="25"/>
  <c r="F118" i="25"/>
  <c r="C25" i="93"/>
  <c r="Z826" i="38" l="1"/>
  <c r="O825" i="38"/>
  <c r="Z825" i="38"/>
  <c r="P825" i="38"/>
  <c r="U825" i="38"/>
  <c r="F56" i="105"/>
  <c r="H56" i="105"/>
  <c r="G56" i="105"/>
  <c r="K5" i="105"/>
  <c r="H18" i="94"/>
  <c r="F44" i="106"/>
  <c r="H44" i="106"/>
  <c r="G44" i="106"/>
  <c r="K4" i="106"/>
  <c r="A824" i="38"/>
  <c r="D824" i="38"/>
  <c r="E824" i="38"/>
  <c r="G824" i="38"/>
  <c r="H824" i="38"/>
  <c r="K824" i="38"/>
  <c r="L824" i="38" s="1"/>
  <c r="M824" i="38"/>
  <c r="N824" i="38" s="1"/>
  <c r="S824" i="38"/>
  <c r="A823" i="38"/>
  <c r="D823" i="38"/>
  <c r="E823" i="38"/>
  <c r="G823" i="38"/>
  <c r="H823" i="38"/>
  <c r="K823" i="38"/>
  <c r="L823" i="38" s="1"/>
  <c r="M823" i="38"/>
  <c r="N823" i="38" s="1"/>
  <c r="S823" i="38"/>
  <c r="F56" i="99"/>
  <c r="H56" i="99"/>
  <c r="G56" i="99"/>
  <c r="K10" i="99"/>
  <c r="P824" i="38" l="1"/>
  <c r="O824" i="38"/>
  <c r="Z824" i="38"/>
  <c r="U824" i="38"/>
  <c r="P823" i="38"/>
  <c r="O823" i="38"/>
  <c r="Z823" i="38"/>
  <c r="U823" i="38"/>
  <c r="A822" i="38"/>
  <c r="D822" i="38"/>
  <c r="E822" i="38"/>
  <c r="G822" i="38"/>
  <c r="H822" i="38"/>
  <c r="K822" i="38"/>
  <c r="L822" i="38" s="1"/>
  <c r="M822" i="38"/>
  <c r="N822" i="38" s="1"/>
  <c r="S822" i="38"/>
  <c r="F55" i="99"/>
  <c r="H55" i="99"/>
  <c r="G55" i="99"/>
  <c r="F10" i="99"/>
  <c r="F60" i="102"/>
  <c r="H60" i="102"/>
  <c r="G60" i="102"/>
  <c r="K9" i="102"/>
  <c r="O822" i="38" l="1"/>
  <c r="P822" i="38"/>
  <c r="Z822" i="38"/>
  <c r="U822" i="38"/>
  <c r="F41" i="53"/>
  <c r="H41" i="53"/>
  <c r="G41" i="53"/>
  <c r="F60" i="45"/>
  <c r="G60" i="45"/>
  <c r="F73" i="74"/>
  <c r="G73" i="74"/>
  <c r="H73" i="74"/>
  <c r="F47" i="108"/>
  <c r="H47" i="108"/>
  <c r="G47" i="108"/>
  <c r="F55" i="105"/>
  <c r="H55" i="105"/>
  <c r="G55" i="105"/>
  <c r="F175" i="58"/>
  <c r="H175" i="58"/>
  <c r="G175" i="58"/>
  <c r="F63" i="96"/>
  <c r="H63" i="96"/>
  <c r="G63" i="96"/>
  <c r="F80" i="93"/>
  <c r="G80" i="93"/>
  <c r="H80" i="93"/>
  <c r="F117" i="25"/>
  <c r="F382" i="25" l="1"/>
  <c r="H382" i="25"/>
  <c r="G382" i="25"/>
  <c r="K94" i="25"/>
  <c r="A821" i="38"/>
  <c r="D821" i="38"/>
  <c r="E821" i="38"/>
  <c r="G821" i="38"/>
  <c r="H821" i="38"/>
  <c r="K821" i="38"/>
  <c r="L821" i="38" s="1"/>
  <c r="M821" i="38"/>
  <c r="N821" i="38" s="1"/>
  <c r="S821" i="38"/>
  <c r="G31" i="122"/>
  <c r="K4" i="122"/>
  <c r="F43" i="106"/>
  <c r="H43" i="106"/>
  <c r="G43" i="106"/>
  <c r="K3" i="106"/>
  <c r="F85" i="88"/>
  <c r="G85" i="88"/>
  <c r="H85" i="88"/>
  <c r="O821" i="38" l="1"/>
  <c r="Z821" i="38"/>
  <c r="P821" i="38"/>
  <c r="U821" i="38"/>
  <c r="A820" i="38"/>
  <c r="D820" i="38"/>
  <c r="E820" i="38"/>
  <c r="G820" i="38"/>
  <c r="H820" i="38"/>
  <c r="K820" i="38"/>
  <c r="L820" i="38" s="1"/>
  <c r="M820" i="38"/>
  <c r="N820" i="38" s="1"/>
  <c r="S820" i="38"/>
  <c r="F59" i="102"/>
  <c r="H59" i="102"/>
  <c r="G59" i="102"/>
  <c r="F10" i="102"/>
  <c r="O820" i="38" l="1"/>
  <c r="P820" i="38"/>
  <c r="U820" i="38"/>
  <c r="Z820" i="38"/>
  <c r="A819" i="38"/>
  <c r="D819" i="38"/>
  <c r="E819" i="38"/>
  <c r="G819" i="38"/>
  <c r="H819" i="38"/>
  <c r="K819" i="38"/>
  <c r="L819" i="38" s="1"/>
  <c r="M819" i="38"/>
  <c r="N819" i="38" s="1"/>
  <c r="S819" i="38"/>
  <c r="G59" i="103"/>
  <c r="F59" i="103"/>
  <c r="H59" i="103"/>
  <c r="K5" i="103"/>
  <c r="F54" i="99"/>
  <c r="H54" i="99"/>
  <c r="G54" i="99"/>
  <c r="P819" i="38" l="1"/>
  <c r="O819" i="38"/>
  <c r="Z819" i="38"/>
  <c r="U819" i="38"/>
  <c r="A818" i="38"/>
  <c r="D818" i="38"/>
  <c r="E818" i="38"/>
  <c r="G818" i="38"/>
  <c r="H818" i="38"/>
  <c r="K818" i="38"/>
  <c r="L818" i="38" s="1"/>
  <c r="M818" i="38"/>
  <c r="N818" i="38" s="1"/>
  <c r="S818" i="38"/>
  <c r="F381" i="25"/>
  <c r="H381" i="25"/>
  <c r="G381" i="25"/>
  <c r="O818" i="38" l="1"/>
  <c r="P818" i="38"/>
  <c r="U818" i="38"/>
  <c r="Z818" i="38"/>
  <c r="F27" i="114"/>
  <c r="G27" i="114"/>
  <c r="H27" i="114"/>
  <c r="F46" i="78"/>
  <c r="H46" i="78"/>
  <c r="G46" i="78"/>
  <c r="F43" i="107" l="1"/>
  <c r="H43" i="107"/>
  <c r="G43" i="107"/>
  <c r="A817" i="38" l="1"/>
  <c r="D817" i="38"/>
  <c r="E817" i="38"/>
  <c r="G817" i="38"/>
  <c r="H817" i="38"/>
  <c r="K817" i="38"/>
  <c r="L817" i="38" s="1"/>
  <c r="M817" i="38"/>
  <c r="N817" i="38" s="1"/>
  <c r="S817" i="38"/>
  <c r="F31" i="117"/>
  <c r="H31" i="117"/>
  <c r="G31" i="117"/>
  <c r="K3" i="117"/>
  <c r="F42" i="106"/>
  <c r="H42" i="106"/>
  <c r="G42" i="106"/>
  <c r="F6" i="106"/>
  <c r="F380" i="25"/>
  <c r="G380" i="25"/>
  <c r="H380" i="25"/>
  <c r="K93" i="25"/>
  <c r="F30" i="117"/>
  <c r="H30" i="117"/>
  <c r="G30" i="117"/>
  <c r="K2" i="117"/>
  <c r="F3" i="117"/>
  <c r="F30" i="116"/>
  <c r="H30" i="116"/>
  <c r="G30" i="116"/>
  <c r="K4" i="116"/>
  <c r="F28" i="118"/>
  <c r="G28" i="118"/>
  <c r="H28" i="118"/>
  <c r="K2" i="118"/>
  <c r="F3" i="118"/>
  <c r="F47" i="69"/>
  <c r="H47" i="69"/>
  <c r="G47" i="69"/>
  <c r="K8" i="69"/>
  <c r="F54" i="105"/>
  <c r="H54" i="105"/>
  <c r="G54" i="105"/>
  <c r="K4" i="105"/>
  <c r="F51" i="90"/>
  <c r="H51" i="90"/>
  <c r="G51" i="90"/>
  <c r="K9" i="90"/>
  <c r="O817" i="38" l="1"/>
  <c r="Z817" i="38"/>
  <c r="P817" i="38"/>
  <c r="U817" i="38"/>
  <c r="A816" i="38"/>
  <c r="D816" i="38"/>
  <c r="E816" i="38"/>
  <c r="G816" i="38"/>
  <c r="H816" i="38"/>
  <c r="K816" i="38"/>
  <c r="L816" i="38" s="1"/>
  <c r="M816" i="38"/>
  <c r="N816" i="38" s="1"/>
  <c r="S816" i="38"/>
  <c r="O816" i="38" l="1"/>
  <c r="Z816" i="38"/>
  <c r="P816" i="38"/>
  <c r="U816" i="38"/>
  <c r="F62" i="101"/>
  <c r="H62" i="101"/>
  <c r="G62" i="101"/>
  <c r="K13" i="101"/>
  <c r="F94" i="43"/>
  <c r="G94" i="43"/>
  <c r="H94" i="43"/>
  <c r="K14" i="43"/>
  <c r="A815" i="38" l="1"/>
  <c r="D815" i="38"/>
  <c r="E815" i="38"/>
  <c r="G815" i="38"/>
  <c r="H815" i="38"/>
  <c r="K815" i="38"/>
  <c r="L815" i="38" s="1"/>
  <c r="P815" i="38" s="1"/>
  <c r="M815" i="38"/>
  <c r="N815" i="38" s="1"/>
  <c r="S815" i="38"/>
  <c r="O815" i="38" l="1"/>
  <c r="Z815" i="38"/>
  <c r="U815" i="38"/>
  <c r="F46" i="69"/>
  <c r="H46" i="69"/>
  <c r="G46" i="69"/>
  <c r="F9" i="69"/>
  <c r="A814" i="38"/>
  <c r="D814" i="38"/>
  <c r="E814" i="38"/>
  <c r="G814" i="38"/>
  <c r="H814" i="38"/>
  <c r="K814" i="38"/>
  <c r="L814" i="38" s="1"/>
  <c r="M814" i="38"/>
  <c r="U814" i="38" s="1"/>
  <c r="S814" i="38"/>
  <c r="G42" i="107"/>
  <c r="F42" i="107"/>
  <c r="H42" i="107"/>
  <c r="N814" i="38" l="1"/>
  <c r="O814" i="38" s="1"/>
  <c r="P814" i="38"/>
  <c r="A813" i="38"/>
  <c r="D813" i="38"/>
  <c r="E813" i="38"/>
  <c r="G813" i="38"/>
  <c r="H813" i="38"/>
  <c r="K813" i="38"/>
  <c r="L813" i="38" s="1"/>
  <c r="M813" i="38"/>
  <c r="N813" i="38" s="1"/>
  <c r="S813" i="38"/>
  <c r="F379" i="25"/>
  <c r="H379" i="25"/>
  <c r="G379" i="25"/>
  <c r="F116" i="25"/>
  <c r="Z814" i="38" l="1"/>
  <c r="P813" i="38"/>
  <c r="O813" i="38"/>
  <c r="Z813" i="38"/>
  <c r="U813" i="38"/>
  <c r="F41" i="106" l="1"/>
  <c r="H41" i="106"/>
  <c r="G41" i="106"/>
  <c r="F72" i="74" l="1"/>
  <c r="H72" i="74"/>
  <c r="G72" i="74"/>
  <c r="F79" i="93"/>
  <c r="H79" i="93"/>
  <c r="G79" i="93"/>
  <c r="K11" i="93"/>
  <c r="F28" i="115"/>
  <c r="G28" i="115"/>
  <c r="H28" i="115"/>
  <c r="K2" i="115"/>
  <c r="F58" i="103"/>
  <c r="H58" i="103"/>
  <c r="G58" i="103"/>
  <c r="A812" i="38"/>
  <c r="D812" i="38"/>
  <c r="E812" i="38"/>
  <c r="G812" i="38"/>
  <c r="H812" i="38"/>
  <c r="K812" i="38"/>
  <c r="L812" i="38" s="1"/>
  <c r="M812" i="38"/>
  <c r="U812" i="38" s="1"/>
  <c r="S812" i="38"/>
  <c r="N812" i="38" l="1"/>
  <c r="O812" i="38" s="1"/>
  <c r="P812" i="38"/>
  <c r="F378" i="25"/>
  <c r="H378" i="25"/>
  <c r="G378" i="25"/>
  <c r="A811" i="38"/>
  <c r="D811" i="38"/>
  <c r="E811" i="38"/>
  <c r="G811" i="38"/>
  <c r="H811" i="38"/>
  <c r="K811" i="38"/>
  <c r="L811" i="38" s="1"/>
  <c r="M811" i="38"/>
  <c r="U811" i="38" s="1"/>
  <c r="S811" i="38"/>
  <c r="K92" i="25"/>
  <c r="F27" i="118"/>
  <c r="G27" i="118"/>
  <c r="H27" i="118"/>
  <c r="F58" i="102"/>
  <c r="H58" i="102"/>
  <c r="G58" i="102"/>
  <c r="Z812" i="38" l="1"/>
  <c r="N811" i="38"/>
  <c r="O811" i="38" s="1"/>
  <c r="P811" i="38"/>
  <c r="F40" i="106"/>
  <c r="H40" i="106"/>
  <c r="G40" i="106"/>
  <c r="K2" i="106"/>
  <c r="F78" i="93"/>
  <c r="H78" i="93"/>
  <c r="G78" i="93"/>
  <c r="F17" i="93"/>
  <c r="A810" i="38"/>
  <c r="D810" i="38"/>
  <c r="E810" i="38"/>
  <c r="G810" i="38"/>
  <c r="H810" i="38"/>
  <c r="K810" i="38"/>
  <c r="L810" i="38" s="1"/>
  <c r="M810" i="38"/>
  <c r="N810" i="38" s="1"/>
  <c r="S810" i="38"/>
  <c r="O810" i="38" l="1"/>
  <c r="Z811" i="38"/>
  <c r="P810" i="38"/>
  <c r="Z810" i="38"/>
  <c r="U810" i="38"/>
  <c r="F57" i="102"/>
  <c r="H57" i="102"/>
  <c r="G57" i="102"/>
  <c r="K2" i="121"/>
  <c r="F174" i="58"/>
  <c r="H174" i="58"/>
  <c r="G174" i="58"/>
  <c r="K31" i="58"/>
  <c r="D809" i="38"/>
  <c r="E809" i="38"/>
  <c r="G809" i="38"/>
  <c r="H809" i="38"/>
  <c r="K809" i="38"/>
  <c r="L809" i="38" s="1"/>
  <c r="M809" i="38"/>
  <c r="N809" i="38" s="1"/>
  <c r="S809" i="38"/>
  <c r="P809" i="38" l="1"/>
  <c r="O809" i="38"/>
  <c r="Z809" i="38"/>
  <c r="U809" i="38"/>
  <c r="F50" i="90"/>
  <c r="H50" i="90"/>
  <c r="G50" i="90"/>
  <c r="K8" i="90"/>
  <c r="G71" i="74"/>
  <c r="F71" i="74"/>
  <c r="H71" i="74"/>
  <c r="K10" i="74"/>
  <c r="K11" i="86"/>
  <c r="F77" i="93"/>
  <c r="H77" i="93"/>
  <c r="G77" i="93"/>
  <c r="K10" i="93"/>
  <c r="A808" i="38"/>
  <c r="D808" i="38"/>
  <c r="E808" i="38"/>
  <c r="G808" i="38"/>
  <c r="H808" i="38"/>
  <c r="K808" i="38"/>
  <c r="L808" i="38" s="1"/>
  <c r="M808" i="38"/>
  <c r="N808" i="38" s="1"/>
  <c r="S808" i="38"/>
  <c r="P808" i="38" l="1"/>
  <c r="O808" i="38"/>
  <c r="Z808" i="38"/>
  <c r="U808" i="38"/>
  <c r="F377" i="25"/>
  <c r="H377" i="25"/>
  <c r="G377" i="25"/>
  <c r="F53" i="99"/>
  <c r="H53" i="99"/>
  <c r="G53" i="99"/>
  <c r="F62" i="96"/>
  <c r="H62" i="96"/>
  <c r="G62" i="96"/>
  <c r="F57" i="103" l="1"/>
  <c r="H57" i="103"/>
  <c r="G57" i="103"/>
  <c r="K4" i="103"/>
  <c r="F30" i="122"/>
  <c r="H30" i="122"/>
  <c r="G30" i="122"/>
  <c r="A807" i="38"/>
  <c r="D807" i="38"/>
  <c r="E807" i="38"/>
  <c r="G807" i="38"/>
  <c r="H807" i="38"/>
  <c r="K807" i="38"/>
  <c r="L807" i="38" s="1"/>
  <c r="M807" i="38"/>
  <c r="U807" i="38" s="1"/>
  <c r="S807" i="38"/>
  <c r="N807" i="38" l="1"/>
  <c r="O807" i="38" s="1"/>
  <c r="P807" i="38"/>
  <c r="F376" i="25"/>
  <c r="G376" i="25"/>
  <c r="H376" i="25"/>
  <c r="K91" i="25"/>
  <c r="F375" i="25"/>
  <c r="H375" i="25"/>
  <c r="G375" i="25"/>
  <c r="F115" i="25"/>
  <c r="A806" i="38"/>
  <c r="D806" i="38"/>
  <c r="E806" i="38"/>
  <c r="G806" i="38"/>
  <c r="H806" i="38"/>
  <c r="K806" i="38"/>
  <c r="L806" i="38" s="1"/>
  <c r="M806" i="38"/>
  <c r="N806" i="38" s="1"/>
  <c r="S806" i="38"/>
  <c r="Z807" i="38" l="1"/>
  <c r="O806" i="38"/>
  <c r="Z806" i="38"/>
  <c r="U806" i="38"/>
  <c r="P806" i="38"/>
  <c r="F29" i="117"/>
  <c r="H29" i="117"/>
  <c r="G29" i="117"/>
  <c r="F46" i="108"/>
  <c r="H46" i="108"/>
  <c r="G46" i="108"/>
  <c r="F29" i="122"/>
  <c r="G29" i="122"/>
  <c r="H29" i="122"/>
  <c r="F39" i="106"/>
  <c r="H39" i="106"/>
  <c r="G39" i="106"/>
  <c r="F61" i="96"/>
  <c r="H61" i="96"/>
  <c r="G61" i="96"/>
  <c r="F76" i="93"/>
  <c r="G76" i="93"/>
  <c r="H76" i="93"/>
  <c r="A805" i="38"/>
  <c r="D805" i="38"/>
  <c r="E805" i="38"/>
  <c r="G805" i="38"/>
  <c r="H805" i="38"/>
  <c r="K805" i="38"/>
  <c r="L805" i="38" s="1"/>
  <c r="M805" i="38"/>
  <c r="N805" i="38" s="1"/>
  <c r="S805" i="38"/>
  <c r="F374" i="25"/>
  <c r="H374" i="25"/>
  <c r="G374" i="25"/>
  <c r="K90" i="25"/>
  <c r="F66" i="86"/>
  <c r="H66" i="86"/>
  <c r="G66" i="86"/>
  <c r="K10" i="86"/>
  <c r="F4" i="116"/>
  <c r="F5" i="116"/>
  <c r="P805" i="38" l="1"/>
  <c r="U805" i="38"/>
  <c r="O805" i="38"/>
  <c r="Z805" i="38"/>
  <c r="A804" i="38"/>
  <c r="D804" i="38"/>
  <c r="E804" i="38"/>
  <c r="G804" i="38"/>
  <c r="H804" i="38"/>
  <c r="K804" i="38"/>
  <c r="L804" i="38" s="1"/>
  <c r="M804" i="38"/>
  <c r="N804" i="38" s="1"/>
  <c r="S804" i="38"/>
  <c r="F61" i="101"/>
  <c r="H61" i="101"/>
  <c r="G61" i="101"/>
  <c r="G45" i="97"/>
  <c r="F45" i="97"/>
  <c r="H45" i="97"/>
  <c r="K2" i="126"/>
  <c r="S803" i="38"/>
  <c r="A803" i="38"/>
  <c r="D803" i="38"/>
  <c r="E803" i="38"/>
  <c r="G803" i="38"/>
  <c r="H803" i="38"/>
  <c r="K803" i="38"/>
  <c r="L803" i="38" s="1"/>
  <c r="M803" i="38"/>
  <c r="N803" i="38" s="1"/>
  <c r="G25" i="125"/>
  <c r="F25" i="125"/>
  <c r="F49" i="90"/>
  <c r="H49" i="90"/>
  <c r="G49" i="90"/>
  <c r="K7" i="90"/>
  <c r="H25" i="125" l="1"/>
  <c r="O803" i="38"/>
  <c r="O804" i="38"/>
  <c r="Z804" i="38"/>
  <c r="P804" i="38"/>
  <c r="U804" i="38"/>
  <c r="P803" i="38"/>
  <c r="U803" i="38"/>
  <c r="Z803" i="38"/>
  <c r="F27" i="110"/>
  <c r="G27" i="110"/>
  <c r="A802" i="38"/>
  <c r="D802" i="38"/>
  <c r="E802" i="38"/>
  <c r="G802" i="38"/>
  <c r="H802" i="38"/>
  <c r="K802" i="38"/>
  <c r="L802" i="38" s="1"/>
  <c r="M802" i="38"/>
  <c r="N802" i="38" s="1"/>
  <c r="S802" i="38"/>
  <c r="F28" i="117"/>
  <c r="G28" i="117"/>
  <c r="H28" i="117"/>
  <c r="Q13" i="122"/>
  <c r="O802" i="38" l="1"/>
  <c r="P802" i="38"/>
  <c r="U802" i="38"/>
  <c r="Z802" i="38"/>
  <c r="F373" i="25"/>
  <c r="H373" i="25"/>
  <c r="G373" i="25"/>
  <c r="K89" i="25"/>
  <c r="A801" i="38"/>
  <c r="D801" i="38"/>
  <c r="E801" i="38"/>
  <c r="G801" i="38"/>
  <c r="H801" i="38"/>
  <c r="K801" i="38"/>
  <c r="L801" i="38" s="1"/>
  <c r="M801" i="38"/>
  <c r="N801" i="38" s="1"/>
  <c r="S801" i="38"/>
  <c r="O801" i="38" l="1"/>
  <c r="P801" i="38"/>
  <c r="U801" i="38"/>
  <c r="Z801" i="38"/>
  <c r="F53" i="105"/>
  <c r="H53" i="105"/>
  <c r="G53" i="105"/>
  <c r="F372" i="25"/>
  <c r="G372" i="25"/>
  <c r="H372" i="25"/>
  <c r="F114" i="25"/>
  <c r="A800" i="38"/>
  <c r="D800" i="38"/>
  <c r="E800" i="38"/>
  <c r="G800" i="38"/>
  <c r="H800" i="38"/>
  <c r="K800" i="38"/>
  <c r="L800" i="38" s="1"/>
  <c r="M800" i="38"/>
  <c r="N800" i="38" s="1"/>
  <c r="S800" i="38"/>
  <c r="P800" i="38" l="1"/>
  <c r="O800" i="38"/>
  <c r="Z800" i="38"/>
  <c r="U800" i="38"/>
  <c r="H28" i="122"/>
  <c r="G28" i="122"/>
  <c r="F28" i="122"/>
  <c r="F4" i="122"/>
  <c r="F29" i="116"/>
  <c r="G29" i="116"/>
  <c r="H29" i="116"/>
  <c r="K3" i="116"/>
  <c r="A799" i="38"/>
  <c r="D799" i="38"/>
  <c r="E799" i="38"/>
  <c r="G799" i="38"/>
  <c r="H799" i="38"/>
  <c r="K799" i="38"/>
  <c r="L799" i="38" s="1"/>
  <c r="M799" i="38"/>
  <c r="N799" i="38" s="1"/>
  <c r="S799" i="38"/>
  <c r="P799" i="38" l="1"/>
  <c r="O799" i="38"/>
  <c r="Z799" i="38"/>
  <c r="U799" i="38"/>
  <c r="K5" i="111"/>
  <c r="M84" i="126"/>
  <c r="K84" i="126"/>
  <c r="H84" i="126"/>
  <c r="F84" i="126"/>
  <c r="C84" i="126"/>
  <c r="P37" i="126"/>
  <c r="P36" i="126"/>
  <c r="P35" i="126"/>
  <c r="P34" i="126"/>
  <c r="P33" i="126"/>
  <c r="P32" i="126"/>
  <c r="P31" i="126"/>
  <c r="P30" i="126"/>
  <c r="P29" i="126"/>
  <c r="P28" i="126"/>
  <c r="P27" i="126"/>
  <c r="P26" i="126"/>
  <c r="P25" i="126"/>
  <c r="P24" i="126"/>
  <c r="P23" i="126"/>
  <c r="P22" i="126"/>
  <c r="P21" i="126"/>
  <c r="P20" i="126"/>
  <c r="P19" i="126"/>
  <c r="P18" i="126"/>
  <c r="M18" i="126"/>
  <c r="K18" i="126"/>
  <c r="H18" i="126"/>
  <c r="C18" i="126"/>
  <c r="P17" i="126"/>
  <c r="Q13" i="126"/>
  <c r="R11" i="126"/>
  <c r="Q11" i="126" s="1"/>
  <c r="F2" i="126"/>
  <c r="F18" i="126" s="1"/>
  <c r="A798" i="38"/>
  <c r="D798" i="38"/>
  <c r="E798" i="38"/>
  <c r="G798" i="38"/>
  <c r="H798" i="38"/>
  <c r="K798" i="38"/>
  <c r="L798" i="38" s="1"/>
  <c r="M798" i="38"/>
  <c r="U798" i="38" s="1"/>
  <c r="S798" i="38"/>
  <c r="F28" i="116"/>
  <c r="G28" i="116"/>
  <c r="H28" i="116"/>
  <c r="K3" i="122"/>
  <c r="M85" i="126"/>
  <c r="C85" i="126"/>
  <c r="F85" i="126"/>
  <c r="H19" i="126"/>
  <c r="C19" i="126"/>
  <c r="K85" i="126"/>
  <c r="H85" i="126"/>
  <c r="F19" i="126"/>
  <c r="K19" i="126"/>
  <c r="M19" i="126"/>
  <c r="Q2" i="126" l="1"/>
  <c r="Q8" i="126" s="1"/>
  <c r="N798" i="38"/>
  <c r="O798" i="38" s="1"/>
  <c r="M66" i="126"/>
  <c r="Q10" i="126" s="1"/>
  <c r="P798" i="38"/>
  <c r="A797" i="38"/>
  <c r="D797" i="38"/>
  <c r="E797" i="38"/>
  <c r="G797" i="38"/>
  <c r="H797" i="38"/>
  <c r="K797" i="38"/>
  <c r="L797" i="38" s="1"/>
  <c r="M797" i="38"/>
  <c r="N797" i="38" s="1"/>
  <c r="S797" i="38"/>
  <c r="F48" i="90"/>
  <c r="H48" i="90"/>
  <c r="G48" i="90"/>
  <c r="F10" i="90"/>
  <c r="M84" i="125"/>
  <c r="K84" i="125"/>
  <c r="H84" i="125"/>
  <c r="F84" i="125"/>
  <c r="C84" i="125"/>
  <c r="P37" i="125"/>
  <c r="P36" i="125"/>
  <c r="P35" i="125"/>
  <c r="P34" i="125"/>
  <c r="P33" i="125"/>
  <c r="P32" i="125"/>
  <c r="P31" i="125"/>
  <c r="P30" i="125"/>
  <c r="P29" i="125"/>
  <c r="P28" i="125"/>
  <c r="P27" i="125"/>
  <c r="P26" i="125"/>
  <c r="P25" i="125"/>
  <c r="P24" i="125"/>
  <c r="P23" i="125"/>
  <c r="P22" i="125"/>
  <c r="P21" i="125"/>
  <c r="P20" i="125"/>
  <c r="P19" i="125"/>
  <c r="P18" i="125"/>
  <c r="M18" i="125"/>
  <c r="K18" i="125"/>
  <c r="H18" i="125"/>
  <c r="C18" i="125"/>
  <c r="P17" i="125"/>
  <c r="R11" i="125"/>
  <c r="Q11" i="125" s="1"/>
  <c r="F18" i="125"/>
  <c r="H85" i="125"/>
  <c r="C85" i="125"/>
  <c r="K85" i="125"/>
  <c r="H19" i="125"/>
  <c r="M19" i="125"/>
  <c r="K19" i="125"/>
  <c r="C19" i="125"/>
  <c r="M85" i="125"/>
  <c r="F85" i="125"/>
  <c r="F19" i="125"/>
  <c r="Z798" i="38" l="1"/>
  <c r="Q5" i="126"/>
  <c r="Q7" i="126"/>
  <c r="Q3" i="126"/>
  <c r="Q6" i="126" s="1"/>
  <c r="Q2" i="125"/>
  <c r="Q3" i="125" s="1"/>
  <c r="Q6" i="125" s="1"/>
  <c r="M66" i="125"/>
  <c r="Q10" i="125" s="1"/>
  <c r="J28" i="125" s="1"/>
  <c r="Q9" i="126"/>
  <c r="P797" i="38"/>
  <c r="O797" i="38"/>
  <c r="Z797" i="38"/>
  <c r="U797" i="38"/>
  <c r="G70" i="74"/>
  <c r="F70" i="74"/>
  <c r="H70" i="74"/>
  <c r="F13" i="74"/>
  <c r="F371" i="25"/>
  <c r="H371" i="25"/>
  <c r="G371" i="25"/>
  <c r="F113" i="25"/>
  <c r="A796" i="38"/>
  <c r="D796" i="38"/>
  <c r="E796" i="38"/>
  <c r="G796" i="38"/>
  <c r="H796" i="38"/>
  <c r="K796" i="38"/>
  <c r="L796" i="38" s="1"/>
  <c r="M796" i="38"/>
  <c r="N796" i="38" s="1"/>
  <c r="S796" i="38"/>
  <c r="Q8" i="125" l="1"/>
  <c r="Q9" i="125" s="1"/>
  <c r="Q5" i="125"/>
  <c r="O796" i="38"/>
  <c r="P796" i="38"/>
  <c r="U796" i="38"/>
  <c r="Z796" i="38"/>
  <c r="A795" i="38"/>
  <c r="D795" i="38"/>
  <c r="E795" i="38"/>
  <c r="G795" i="38"/>
  <c r="H795" i="38"/>
  <c r="K795" i="38"/>
  <c r="L795" i="38" s="1"/>
  <c r="M795" i="38"/>
  <c r="N795" i="38" s="1"/>
  <c r="S795" i="38"/>
  <c r="M84" i="124"/>
  <c r="K84" i="124"/>
  <c r="H84" i="124"/>
  <c r="F84" i="124"/>
  <c r="C84" i="124"/>
  <c r="P37" i="124"/>
  <c r="P36" i="124"/>
  <c r="P35" i="124"/>
  <c r="P34" i="124"/>
  <c r="P33" i="124"/>
  <c r="P32" i="124"/>
  <c r="P31" i="124"/>
  <c r="P30" i="124"/>
  <c r="P29" i="124"/>
  <c r="P28" i="124"/>
  <c r="P27" i="124"/>
  <c r="P26" i="124"/>
  <c r="P25" i="124"/>
  <c r="P24" i="124"/>
  <c r="P23" i="124"/>
  <c r="P22" i="124"/>
  <c r="P21" i="124"/>
  <c r="P20" i="124"/>
  <c r="P19" i="124"/>
  <c r="P18" i="124"/>
  <c r="M18" i="124"/>
  <c r="K18" i="124"/>
  <c r="H18" i="124"/>
  <c r="C18" i="124"/>
  <c r="P17" i="124"/>
  <c r="R11" i="124"/>
  <c r="Q11" i="124" s="1"/>
  <c r="F2" i="124"/>
  <c r="F18" i="124" s="1"/>
  <c r="M84" i="123"/>
  <c r="K84" i="123"/>
  <c r="H84" i="123"/>
  <c r="F84" i="123"/>
  <c r="C84" i="123"/>
  <c r="P37" i="123"/>
  <c r="P36" i="123"/>
  <c r="P35" i="123"/>
  <c r="P34" i="123"/>
  <c r="P33" i="123"/>
  <c r="P32" i="123"/>
  <c r="P31" i="123"/>
  <c r="P30" i="123"/>
  <c r="P29" i="123"/>
  <c r="P28" i="123"/>
  <c r="P27" i="123"/>
  <c r="P26" i="123"/>
  <c r="P25" i="123"/>
  <c r="P24" i="123"/>
  <c r="P23" i="123"/>
  <c r="P22" i="123"/>
  <c r="P21" i="123"/>
  <c r="P20" i="123"/>
  <c r="P19" i="123"/>
  <c r="P18" i="123"/>
  <c r="M18" i="123"/>
  <c r="K18" i="123"/>
  <c r="H18" i="123"/>
  <c r="C18" i="123"/>
  <c r="P17" i="123"/>
  <c r="R11" i="123"/>
  <c r="Q11" i="123" s="1"/>
  <c r="F18" i="123"/>
  <c r="F85" i="123"/>
  <c r="H85" i="123"/>
  <c r="M85" i="123"/>
  <c r="C19" i="124"/>
  <c r="K85" i="124"/>
  <c r="K19" i="123"/>
  <c r="C19" i="123"/>
  <c r="M19" i="123"/>
  <c r="H19" i="123"/>
  <c r="M85" i="124"/>
  <c r="F19" i="123"/>
  <c r="H85" i="124"/>
  <c r="F85" i="124"/>
  <c r="F19" i="124"/>
  <c r="C85" i="124"/>
  <c r="K85" i="123"/>
  <c r="K19" i="124"/>
  <c r="H19" i="124"/>
  <c r="M19" i="124"/>
  <c r="C85" i="123"/>
  <c r="Q7" i="125" l="1"/>
  <c r="Q2" i="123"/>
  <c r="Q5" i="123" s="1"/>
  <c r="M66" i="123"/>
  <c r="Q10" i="123" s="1"/>
  <c r="M66" i="124"/>
  <c r="Q10" i="124" s="1"/>
  <c r="Q2" i="124"/>
  <c r="Q5" i="124" s="1"/>
  <c r="P795" i="38"/>
  <c r="O795" i="38"/>
  <c r="Z795" i="38"/>
  <c r="U795" i="38"/>
  <c r="A794" i="38"/>
  <c r="D794" i="38"/>
  <c r="E794" i="38"/>
  <c r="G794" i="38"/>
  <c r="H794" i="38"/>
  <c r="K794" i="38"/>
  <c r="L794" i="38" s="1"/>
  <c r="M794" i="38"/>
  <c r="U794" i="38" s="1"/>
  <c r="S794" i="38"/>
  <c r="H45" i="78"/>
  <c r="G45" i="78"/>
  <c r="F45" i="78"/>
  <c r="F5" i="78"/>
  <c r="H27" i="116"/>
  <c r="G27" i="116"/>
  <c r="F27" i="116"/>
  <c r="F3" i="116"/>
  <c r="F370" i="25"/>
  <c r="H370" i="25"/>
  <c r="G370" i="25"/>
  <c r="F112" i="25"/>
  <c r="F26" i="114"/>
  <c r="G26" i="114"/>
  <c r="H26" i="114"/>
  <c r="F60" i="96"/>
  <c r="H60" i="96"/>
  <c r="G60" i="96"/>
  <c r="F118" i="46"/>
  <c r="H118" i="46"/>
  <c r="G118" i="46"/>
  <c r="Q3" i="123" l="1"/>
  <c r="Q6" i="123" s="1"/>
  <c r="Q8" i="123"/>
  <c r="Q8" i="124"/>
  <c r="Q7" i="124" s="1"/>
  <c r="Q3" i="124"/>
  <c r="Q6" i="124" s="1"/>
  <c r="N794" i="38"/>
  <c r="O794" i="38" s="1"/>
  <c r="P794" i="38"/>
  <c r="F27" i="115"/>
  <c r="G27" i="115"/>
  <c r="H27" i="115"/>
  <c r="F3" i="115"/>
  <c r="F26" i="122"/>
  <c r="G26" i="122"/>
  <c r="H26" i="122"/>
  <c r="K2" i="122"/>
  <c r="F3" i="122"/>
  <c r="F28" i="112"/>
  <c r="G28" i="112"/>
  <c r="H28" i="112"/>
  <c r="F5" i="112"/>
  <c r="K3" i="112"/>
  <c r="F4" i="112"/>
  <c r="A793" i="38"/>
  <c r="D793" i="38"/>
  <c r="E793" i="38"/>
  <c r="G793" i="38"/>
  <c r="H793" i="38"/>
  <c r="K793" i="38"/>
  <c r="L793" i="38" s="1"/>
  <c r="M793" i="38"/>
  <c r="N793" i="38" s="1"/>
  <c r="S793" i="38"/>
  <c r="F69" i="74"/>
  <c r="H69" i="74"/>
  <c r="G69" i="74"/>
  <c r="K9" i="74"/>
  <c r="A792" i="38"/>
  <c r="D792" i="38"/>
  <c r="E792" i="38"/>
  <c r="G792" i="38"/>
  <c r="H792" i="38"/>
  <c r="K792" i="38"/>
  <c r="L792" i="38" s="1"/>
  <c r="M792" i="38"/>
  <c r="N792" i="38" s="1"/>
  <c r="S792" i="38"/>
  <c r="F173" i="58"/>
  <c r="H173" i="58"/>
  <c r="G173" i="58"/>
  <c r="F38" i="58"/>
  <c r="Q9" i="123" l="1"/>
  <c r="Q7" i="123"/>
  <c r="Q9" i="124"/>
  <c r="Z794" i="38"/>
  <c r="O793" i="38"/>
  <c r="U793" i="38"/>
  <c r="Z793" i="38"/>
  <c r="P793" i="38"/>
  <c r="P792" i="38"/>
  <c r="Z792" i="38"/>
  <c r="O792" i="38"/>
  <c r="A791" i="38"/>
  <c r="D791" i="38"/>
  <c r="E791" i="38"/>
  <c r="G791" i="38"/>
  <c r="H791" i="38"/>
  <c r="K791" i="38"/>
  <c r="L791" i="38" s="1"/>
  <c r="M791" i="38"/>
  <c r="N791" i="38" s="1"/>
  <c r="S791" i="38"/>
  <c r="K2" i="116"/>
  <c r="F34" i="111"/>
  <c r="H34" i="111"/>
  <c r="G34" i="111"/>
  <c r="K4" i="111"/>
  <c r="A790" i="38"/>
  <c r="D790" i="38"/>
  <c r="E790" i="38"/>
  <c r="G790" i="38"/>
  <c r="H790" i="38"/>
  <c r="K790" i="38"/>
  <c r="L790" i="38" s="1"/>
  <c r="M790" i="38"/>
  <c r="N790" i="38" s="1"/>
  <c r="S790" i="38"/>
  <c r="F5" i="111"/>
  <c r="R11" i="122"/>
  <c r="Q11" i="122" s="1"/>
  <c r="M84" i="122"/>
  <c r="K84" i="122"/>
  <c r="H84" i="122"/>
  <c r="F84" i="122"/>
  <c r="C84" i="122"/>
  <c r="P37" i="122"/>
  <c r="P36" i="122"/>
  <c r="P35" i="122"/>
  <c r="P34" i="122"/>
  <c r="P33" i="122"/>
  <c r="P32" i="122"/>
  <c r="P31" i="122"/>
  <c r="P30" i="122"/>
  <c r="P29" i="122"/>
  <c r="P28" i="122"/>
  <c r="P27" i="122"/>
  <c r="P26" i="122"/>
  <c r="P25" i="122"/>
  <c r="H25" i="122"/>
  <c r="G25" i="122"/>
  <c r="F25" i="122"/>
  <c r="P24" i="122"/>
  <c r="P23" i="122"/>
  <c r="P22" i="122"/>
  <c r="P21" i="122"/>
  <c r="P20" i="122"/>
  <c r="P19" i="122"/>
  <c r="P18" i="122"/>
  <c r="M18" i="122"/>
  <c r="K18" i="122"/>
  <c r="H18" i="122"/>
  <c r="C18" i="122"/>
  <c r="P17" i="122"/>
  <c r="F2" i="122"/>
  <c r="F18" i="122" s="1"/>
  <c r="F68" i="74"/>
  <c r="H68" i="74"/>
  <c r="G68" i="74"/>
  <c r="F12" i="74"/>
  <c r="F369" i="25"/>
  <c r="G369" i="25"/>
  <c r="H369" i="25"/>
  <c r="C85" i="122"/>
  <c r="H19" i="122"/>
  <c r="M85" i="122"/>
  <c r="M19" i="122"/>
  <c r="K19" i="122"/>
  <c r="H85" i="122"/>
  <c r="C19" i="122"/>
  <c r="K85" i="122"/>
  <c r="F85" i="122"/>
  <c r="F19" i="122"/>
  <c r="P791" i="38" l="1"/>
  <c r="Q2" i="122"/>
  <c r="Q8" i="122" s="1"/>
  <c r="M66" i="122"/>
  <c r="Q10" i="122" s="1"/>
  <c r="O791" i="38"/>
  <c r="Z791" i="38"/>
  <c r="U791" i="38"/>
  <c r="P790" i="38"/>
  <c r="Z790" i="38"/>
  <c r="O790" i="38"/>
  <c r="U790" i="38"/>
  <c r="G41" i="107"/>
  <c r="F41" i="107"/>
  <c r="H41" i="107"/>
  <c r="F26" i="118"/>
  <c r="G26" i="118"/>
  <c r="H26" i="118"/>
  <c r="F27" i="117"/>
  <c r="G27" i="117"/>
  <c r="H27" i="117"/>
  <c r="F56" i="102"/>
  <c r="G56" i="102"/>
  <c r="H56" i="102"/>
  <c r="G44" i="97"/>
  <c r="F44" i="97"/>
  <c r="H44" i="97"/>
  <c r="F93" i="43"/>
  <c r="G93" i="43"/>
  <c r="H93" i="43"/>
  <c r="F56" i="103"/>
  <c r="G56" i="103"/>
  <c r="H56" i="103"/>
  <c r="F60" i="101"/>
  <c r="H60" i="101"/>
  <c r="G60" i="101"/>
  <c r="F45" i="108"/>
  <c r="G45" i="108"/>
  <c r="H45" i="108"/>
  <c r="F75" i="93"/>
  <c r="H75" i="93"/>
  <c r="G75" i="93"/>
  <c r="F38" i="106"/>
  <c r="H38" i="106"/>
  <c r="G38" i="106"/>
  <c r="F172" i="58"/>
  <c r="H172" i="58"/>
  <c r="G172" i="58"/>
  <c r="F52" i="105"/>
  <c r="H52" i="105"/>
  <c r="G52" i="105"/>
  <c r="F59" i="96"/>
  <c r="H59" i="96"/>
  <c r="G59" i="96"/>
  <c r="Q5" i="122" l="1"/>
  <c r="Q3" i="122"/>
  <c r="Q6" i="122" s="1"/>
  <c r="Q9" i="122" s="1"/>
  <c r="Q7" i="122"/>
  <c r="F47" i="90"/>
  <c r="H47" i="90"/>
  <c r="G47" i="90"/>
  <c r="F9" i="90"/>
  <c r="A789" i="38"/>
  <c r="D789" i="38"/>
  <c r="E789" i="38"/>
  <c r="G789" i="38"/>
  <c r="H789" i="38"/>
  <c r="K789" i="38"/>
  <c r="L789" i="38" s="1"/>
  <c r="M789" i="38"/>
  <c r="N789" i="38" s="1"/>
  <c r="S789" i="38"/>
  <c r="F368" i="25"/>
  <c r="G368" i="25"/>
  <c r="H368" i="25"/>
  <c r="F111" i="25"/>
  <c r="K88" i="25"/>
  <c r="H44" i="47"/>
  <c r="G44" i="47"/>
  <c r="F44" i="47"/>
  <c r="F12" i="47"/>
  <c r="H27" i="112"/>
  <c r="G27" i="112"/>
  <c r="F27" i="112"/>
  <c r="F3" i="112"/>
  <c r="O789" i="38" l="1"/>
  <c r="P789" i="38"/>
  <c r="U789" i="38"/>
  <c r="Z789" i="38"/>
  <c r="F51" i="105"/>
  <c r="H51" i="105"/>
  <c r="G51" i="105"/>
  <c r="F8" i="105"/>
  <c r="F40" i="107"/>
  <c r="H40" i="107"/>
  <c r="G40" i="107"/>
  <c r="F6" i="107"/>
  <c r="F84" i="88"/>
  <c r="G84" i="88"/>
  <c r="H84" i="88"/>
  <c r="F20" i="88"/>
  <c r="F171" i="58"/>
  <c r="H171" i="58"/>
  <c r="G171" i="58"/>
  <c r="F37" i="58"/>
  <c r="F367" i="25"/>
  <c r="H367" i="25"/>
  <c r="G367" i="25"/>
  <c r="F110" i="25"/>
  <c r="F3" i="109"/>
  <c r="A788" i="38"/>
  <c r="D788" i="38"/>
  <c r="E788" i="38"/>
  <c r="G788" i="38"/>
  <c r="H788" i="38"/>
  <c r="K788" i="38"/>
  <c r="L788" i="38" s="1"/>
  <c r="M788" i="38"/>
  <c r="N788" i="38" s="1"/>
  <c r="S788" i="38"/>
  <c r="F45" i="69"/>
  <c r="H45" i="69"/>
  <c r="G45" i="69"/>
  <c r="F8" i="69"/>
  <c r="M84" i="121"/>
  <c r="K84" i="121"/>
  <c r="H84" i="121"/>
  <c r="F84" i="121"/>
  <c r="C84" i="121"/>
  <c r="P37" i="121"/>
  <c r="P36" i="121"/>
  <c r="P35" i="121"/>
  <c r="P34" i="121"/>
  <c r="P33" i="121"/>
  <c r="P32" i="121"/>
  <c r="P31" i="121"/>
  <c r="P30" i="121"/>
  <c r="P29" i="121"/>
  <c r="P28" i="121"/>
  <c r="P27" i="121"/>
  <c r="P26" i="121"/>
  <c r="P25" i="121"/>
  <c r="H25" i="121"/>
  <c r="G25" i="121"/>
  <c r="F25" i="121"/>
  <c r="P24" i="121"/>
  <c r="P23" i="121"/>
  <c r="P22" i="121"/>
  <c r="P21" i="121"/>
  <c r="P20" i="121"/>
  <c r="P19" i="121"/>
  <c r="P18" i="121"/>
  <c r="M18" i="121"/>
  <c r="K18" i="121"/>
  <c r="H18" i="121"/>
  <c r="C18" i="121"/>
  <c r="P17" i="121"/>
  <c r="R11" i="121"/>
  <c r="Q11" i="121" s="1"/>
  <c r="F2" i="121"/>
  <c r="F18" i="121" s="1"/>
  <c r="M84" i="120"/>
  <c r="K84" i="120"/>
  <c r="H84" i="120"/>
  <c r="F84" i="120"/>
  <c r="C84" i="120"/>
  <c r="P37" i="120"/>
  <c r="P36" i="120"/>
  <c r="P35" i="120"/>
  <c r="P34" i="120"/>
  <c r="P33" i="120"/>
  <c r="P32" i="120"/>
  <c r="P31" i="120"/>
  <c r="P30" i="120"/>
  <c r="P29" i="120"/>
  <c r="P28" i="120"/>
  <c r="P27" i="120"/>
  <c r="P26" i="120"/>
  <c r="P25" i="120"/>
  <c r="P24" i="120"/>
  <c r="P23" i="120"/>
  <c r="P22" i="120"/>
  <c r="P21" i="120"/>
  <c r="P20" i="120"/>
  <c r="P19" i="120"/>
  <c r="P18" i="120"/>
  <c r="M18" i="120"/>
  <c r="K18" i="120"/>
  <c r="H18" i="120"/>
  <c r="C18" i="120"/>
  <c r="P17" i="120"/>
  <c r="R11" i="120"/>
  <c r="Q11" i="120" s="1"/>
  <c r="F18" i="120"/>
  <c r="K85" i="121"/>
  <c r="K85" i="120"/>
  <c r="M85" i="121"/>
  <c r="C85" i="120"/>
  <c r="F85" i="121"/>
  <c r="C85" i="121"/>
  <c r="F19" i="120"/>
  <c r="K19" i="121"/>
  <c r="H19" i="121"/>
  <c r="M85" i="120"/>
  <c r="H85" i="121"/>
  <c r="F19" i="121"/>
  <c r="C19" i="120"/>
  <c r="F85" i="120"/>
  <c r="M19" i="120"/>
  <c r="K19" i="120"/>
  <c r="M19" i="121"/>
  <c r="C19" i="121"/>
  <c r="H19" i="120"/>
  <c r="H85" i="120"/>
  <c r="Q2" i="120" l="1"/>
  <c r="Q8" i="120" s="1"/>
  <c r="Q2" i="121"/>
  <c r="Q3" i="121" s="1"/>
  <c r="Q6" i="121" s="1"/>
  <c r="M66" i="121"/>
  <c r="Q10" i="121" s="1"/>
  <c r="M66" i="120"/>
  <c r="J29" i="120" s="1"/>
  <c r="P788" i="38"/>
  <c r="O788" i="38"/>
  <c r="Z788" i="38"/>
  <c r="U788" i="38"/>
  <c r="A787" i="38"/>
  <c r="D787" i="38"/>
  <c r="E787" i="38"/>
  <c r="G787" i="38"/>
  <c r="H787" i="38"/>
  <c r="K787" i="38"/>
  <c r="L787" i="38" s="1"/>
  <c r="M787" i="38"/>
  <c r="N787" i="38" s="1"/>
  <c r="S787" i="38"/>
  <c r="F170" i="58"/>
  <c r="H170" i="58"/>
  <c r="G170" i="58"/>
  <c r="F36" i="58"/>
  <c r="Q3" i="120" l="1"/>
  <c r="Q6" i="120" s="1"/>
  <c r="J27" i="120"/>
  <c r="J28" i="120"/>
  <c r="J25" i="120"/>
  <c r="J26" i="120"/>
  <c r="Q10" i="120"/>
  <c r="Q7" i="120" s="1"/>
  <c r="Q5" i="120"/>
  <c r="Q8" i="121"/>
  <c r="Q7" i="121" s="1"/>
  <c r="Q5" i="121"/>
  <c r="O787" i="38"/>
  <c r="Q9" i="120"/>
  <c r="P787" i="38"/>
  <c r="U787" i="38"/>
  <c r="Z787" i="38"/>
  <c r="F92" i="43"/>
  <c r="H92" i="43"/>
  <c r="G92" i="43"/>
  <c r="A786" i="38"/>
  <c r="D786" i="38"/>
  <c r="E786" i="38"/>
  <c r="G786" i="38"/>
  <c r="H786" i="38"/>
  <c r="K786" i="38"/>
  <c r="L786" i="38" s="1"/>
  <c r="M786" i="38"/>
  <c r="N786" i="38" s="1"/>
  <c r="S786" i="38"/>
  <c r="F22" i="43"/>
  <c r="G39" i="107"/>
  <c r="F39" i="107"/>
  <c r="H39" i="107"/>
  <c r="F59" i="45"/>
  <c r="H59" i="45"/>
  <c r="G59" i="45"/>
  <c r="Q9" i="121" l="1"/>
  <c r="P786" i="38"/>
  <c r="O786" i="38"/>
  <c r="Z786" i="38"/>
  <c r="U786" i="38"/>
  <c r="F52" i="99"/>
  <c r="H52" i="99"/>
  <c r="G52" i="99"/>
  <c r="F26" i="117" l="1"/>
  <c r="G26" i="117"/>
  <c r="H26" i="117"/>
  <c r="F59" i="101"/>
  <c r="G59" i="101"/>
  <c r="H59" i="101"/>
  <c r="F50" i="105"/>
  <c r="G50" i="105"/>
  <c r="H50" i="105"/>
  <c r="F74" i="93"/>
  <c r="H74" i="93"/>
  <c r="G74" i="93"/>
  <c r="F44" i="108" l="1"/>
  <c r="H44" i="108"/>
  <c r="G44" i="108"/>
  <c r="F38" i="107"/>
  <c r="H38" i="107"/>
  <c r="G38" i="107"/>
  <c r="G43" i="97" l="1"/>
  <c r="F43" i="97"/>
  <c r="H43" i="97"/>
  <c r="F7" i="97"/>
  <c r="F366" i="25"/>
  <c r="H366" i="25"/>
  <c r="G366" i="25"/>
  <c r="K87" i="25"/>
  <c r="F37" i="106"/>
  <c r="H37" i="106"/>
  <c r="G37" i="106"/>
  <c r="F5" i="106"/>
  <c r="F67" i="74"/>
  <c r="H67" i="74"/>
  <c r="G67" i="74"/>
  <c r="F11" i="74"/>
  <c r="A785" i="38"/>
  <c r="D785" i="38"/>
  <c r="E785" i="38"/>
  <c r="G785" i="38"/>
  <c r="H785" i="38"/>
  <c r="K785" i="38"/>
  <c r="L785" i="38" s="1"/>
  <c r="M785" i="38"/>
  <c r="N785" i="38" s="1"/>
  <c r="S785" i="38"/>
  <c r="M84" i="119"/>
  <c r="K84" i="119"/>
  <c r="H84" i="119"/>
  <c r="F84" i="119"/>
  <c r="C84" i="119"/>
  <c r="P37" i="119"/>
  <c r="P36" i="119"/>
  <c r="P35" i="119"/>
  <c r="P34" i="119"/>
  <c r="P33" i="119"/>
  <c r="P32" i="119"/>
  <c r="P31" i="119"/>
  <c r="P30" i="119"/>
  <c r="P29" i="119"/>
  <c r="P28" i="119"/>
  <c r="P27" i="119"/>
  <c r="P26" i="119"/>
  <c r="P25" i="119"/>
  <c r="H25" i="119"/>
  <c r="G25" i="119"/>
  <c r="F25" i="119"/>
  <c r="P24" i="119"/>
  <c r="P23" i="119"/>
  <c r="P22" i="119"/>
  <c r="P21" i="119"/>
  <c r="P20" i="119"/>
  <c r="P19" i="119"/>
  <c r="P18" i="119"/>
  <c r="M18" i="119"/>
  <c r="K18" i="119"/>
  <c r="H18" i="119"/>
  <c r="C18" i="119"/>
  <c r="P17" i="119"/>
  <c r="Q13" i="119"/>
  <c r="R11" i="119"/>
  <c r="Q11" i="119" s="1"/>
  <c r="F2" i="119"/>
  <c r="F18" i="119" s="1"/>
  <c r="F19" i="119"/>
  <c r="H19" i="119"/>
  <c r="H85" i="119"/>
  <c r="K19" i="119"/>
  <c r="C19" i="119"/>
  <c r="K85" i="119"/>
  <c r="C85" i="119"/>
  <c r="F85" i="119"/>
  <c r="M19" i="119"/>
  <c r="M85" i="119"/>
  <c r="P785" i="38" l="1"/>
  <c r="O785" i="38"/>
  <c r="M66" i="119"/>
  <c r="Q10" i="119" s="1"/>
  <c r="Q2" i="119"/>
  <c r="Q5" i="119" s="1"/>
  <c r="U785" i="38"/>
  <c r="Z785" i="38"/>
  <c r="F36" i="106"/>
  <c r="H36" i="106"/>
  <c r="G36" i="106"/>
  <c r="F49" i="105"/>
  <c r="H49" i="105"/>
  <c r="G49" i="105"/>
  <c r="A784" i="38"/>
  <c r="D784" i="38"/>
  <c r="E784" i="38"/>
  <c r="G784" i="38"/>
  <c r="H784" i="38"/>
  <c r="K784" i="38"/>
  <c r="L784" i="38" s="1"/>
  <c r="M784" i="38"/>
  <c r="N784" i="38" s="1"/>
  <c r="S784" i="38"/>
  <c r="M84" i="118"/>
  <c r="K84" i="118"/>
  <c r="H84" i="118"/>
  <c r="F84" i="118"/>
  <c r="C84" i="118"/>
  <c r="P37" i="118"/>
  <c r="P36" i="118"/>
  <c r="P35" i="118"/>
  <c r="P34" i="118"/>
  <c r="P33" i="118"/>
  <c r="P32" i="118"/>
  <c r="P31" i="118"/>
  <c r="P30" i="118"/>
  <c r="P29" i="118"/>
  <c r="P28" i="118"/>
  <c r="P27" i="118"/>
  <c r="P26" i="118"/>
  <c r="P25" i="118"/>
  <c r="H25" i="118"/>
  <c r="G25" i="118"/>
  <c r="F25" i="118"/>
  <c r="P24" i="118"/>
  <c r="P23" i="118"/>
  <c r="P22" i="118"/>
  <c r="P21" i="118"/>
  <c r="P20" i="118"/>
  <c r="P19" i="118"/>
  <c r="P18" i="118"/>
  <c r="M18" i="118"/>
  <c r="K18" i="118"/>
  <c r="H18" i="118"/>
  <c r="C18" i="118"/>
  <c r="P17" i="118"/>
  <c r="R11" i="118"/>
  <c r="Q11" i="118" s="1"/>
  <c r="F2" i="118"/>
  <c r="F18" i="118" s="1"/>
  <c r="H19" i="118"/>
  <c r="F19" i="118"/>
  <c r="K85" i="118"/>
  <c r="M85" i="118"/>
  <c r="K19" i="118"/>
  <c r="C85" i="118"/>
  <c r="F85" i="118"/>
  <c r="H85" i="118"/>
  <c r="M19" i="118"/>
  <c r="C19" i="118"/>
  <c r="Q8" i="119" l="1"/>
  <c r="Q7" i="119" s="1"/>
  <c r="Q3" i="119"/>
  <c r="Q6" i="119" s="1"/>
  <c r="M66" i="118"/>
  <c r="Q10" i="118" s="1"/>
  <c r="Q2" i="118"/>
  <c r="Q8" i="118" s="1"/>
  <c r="O784" i="38"/>
  <c r="Z784" i="38"/>
  <c r="P784" i="38"/>
  <c r="U784" i="38"/>
  <c r="F35" i="106"/>
  <c r="H35" i="106"/>
  <c r="G35" i="106"/>
  <c r="F48" i="105"/>
  <c r="H48" i="105"/>
  <c r="G48" i="105"/>
  <c r="K3" i="105"/>
  <c r="F33" i="111"/>
  <c r="H33" i="111"/>
  <c r="G33" i="111"/>
  <c r="K3" i="111"/>
  <c r="G42" i="97"/>
  <c r="F42" i="97"/>
  <c r="H42" i="97"/>
  <c r="K5" i="97"/>
  <c r="A783" i="38"/>
  <c r="D783" i="38"/>
  <c r="E783" i="38"/>
  <c r="G783" i="38"/>
  <c r="H783" i="38"/>
  <c r="K783" i="38"/>
  <c r="L783" i="38" s="1"/>
  <c r="M783" i="38"/>
  <c r="N783" i="38" s="1"/>
  <c r="S783" i="38"/>
  <c r="Q9" i="119" l="1"/>
  <c r="Q7" i="118"/>
  <c r="Q3" i="118"/>
  <c r="Q6" i="118" s="1"/>
  <c r="Q9" i="118" s="1"/>
  <c r="Q5" i="118"/>
  <c r="P783" i="38"/>
  <c r="O783" i="38"/>
  <c r="Z783" i="38"/>
  <c r="U783" i="38"/>
  <c r="K7" i="69"/>
  <c r="F44" i="69"/>
  <c r="H44" i="69"/>
  <c r="G44" i="69"/>
  <c r="A782" i="38"/>
  <c r="D782" i="38"/>
  <c r="E782" i="38"/>
  <c r="G782" i="38"/>
  <c r="H782" i="38"/>
  <c r="K782" i="38"/>
  <c r="L782" i="38" s="1"/>
  <c r="M782" i="38"/>
  <c r="N782" i="38" s="1"/>
  <c r="S782" i="38"/>
  <c r="F83" i="88"/>
  <c r="H83" i="88"/>
  <c r="G83" i="88"/>
  <c r="K14" i="88"/>
  <c r="O782" i="38" l="1"/>
  <c r="Z782" i="38"/>
  <c r="P782" i="38"/>
  <c r="U782" i="38"/>
  <c r="F26" i="115"/>
  <c r="G26" i="115"/>
  <c r="H26" i="115"/>
  <c r="F32" i="111"/>
  <c r="H32" i="111"/>
  <c r="G32" i="111"/>
  <c r="G91" i="43"/>
  <c r="F91" i="43"/>
  <c r="H91" i="43"/>
  <c r="G55" i="102"/>
  <c r="F55" i="102"/>
  <c r="H55" i="102"/>
  <c r="G41" i="97"/>
  <c r="F41" i="97"/>
  <c r="H41" i="97"/>
  <c r="A781" i="38"/>
  <c r="D781" i="38"/>
  <c r="E781" i="38"/>
  <c r="G781" i="38"/>
  <c r="H781" i="38"/>
  <c r="K781" i="38"/>
  <c r="L781" i="38" s="1"/>
  <c r="M781" i="38"/>
  <c r="N781" i="38" s="1"/>
  <c r="S781" i="38"/>
  <c r="F58" i="101"/>
  <c r="H58" i="101"/>
  <c r="G58" i="101"/>
  <c r="K12" i="101"/>
  <c r="F365" i="25"/>
  <c r="H365" i="25"/>
  <c r="G365" i="25"/>
  <c r="K86" i="25"/>
  <c r="F117" i="46"/>
  <c r="H117" i="46"/>
  <c r="G117" i="46"/>
  <c r="K23" i="46"/>
  <c r="K22" i="46"/>
  <c r="F73" i="93"/>
  <c r="H73" i="93"/>
  <c r="G73" i="93"/>
  <c r="K9" i="93"/>
  <c r="O781" i="38" l="1"/>
  <c r="Z781" i="38"/>
  <c r="P781" i="38"/>
  <c r="U781" i="38"/>
  <c r="R11" i="110"/>
  <c r="Q11" i="110" s="1"/>
  <c r="R11" i="111"/>
  <c r="R11" i="116"/>
  <c r="Q11" i="116" s="1"/>
  <c r="R11" i="117"/>
  <c r="Q11" i="117" s="1"/>
  <c r="A780" i="38"/>
  <c r="D780" i="38"/>
  <c r="E780" i="38"/>
  <c r="G780" i="38"/>
  <c r="H780" i="38"/>
  <c r="K780" i="38"/>
  <c r="L780" i="38" s="1"/>
  <c r="M780" i="38"/>
  <c r="N780" i="38" s="1"/>
  <c r="S780" i="38"/>
  <c r="F72" i="93"/>
  <c r="H72" i="93"/>
  <c r="G72" i="93"/>
  <c r="F16" i="93"/>
  <c r="M84" i="117"/>
  <c r="K84" i="117"/>
  <c r="H84" i="117"/>
  <c r="F84" i="117"/>
  <c r="C84" i="117"/>
  <c r="P37" i="117"/>
  <c r="P36" i="117"/>
  <c r="P35" i="117"/>
  <c r="P34" i="117"/>
  <c r="P33" i="117"/>
  <c r="P32" i="117"/>
  <c r="P31" i="117"/>
  <c r="P30" i="117"/>
  <c r="P29" i="117"/>
  <c r="P28" i="117"/>
  <c r="P27" i="117"/>
  <c r="P26" i="117"/>
  <c r="P25" i="117"/>
  <c r="H25" i="117"/>
  <c r="G25" i="117"/>
  <c r="F25" i="117"/>
  <c r="P24" i="117"/>
  <c r="P23" i="117"/>
  <c r="P22" i="117"/>
  <c r="P21" i="117"/>
  <c r="P20" i="117"/>
  <c r="P19" i="117"/>
  <c r="P18" i="117"/>
  <c r="M18" i="117"/>
  <c r="K18" i="117"/>
  <c r="H18" i="117"/>
  <c r="C18" i="117"/>
  <c r="P17" i="117"/>
  <c r="Q13" i="117"/>
  <c r="F2" i="117"/>
  <c r="F18" i="117" s="1"/>
  <c r="M84" i="116"/>
  <c r="K84" i="116"/>
  <c r="H84" i="116"/>
  <c r="F84" i="116"/>
  <c r="C84" i="116"/>
  <c r="P37" i="116"/>
  <c r="P36" i="116"/>
  <c r="P35" i="116"/>
  <c r="P34" i="116"/>
  <c r="P33" i="116"/>
  <c r="P32" i="116"/>
  <c r="P31" i="116"/>
  <c r="P30" i="116"/>
  <c r="P29" i="116"/>
  <c r="P28" i="116"/>
  <c r="P27" i="116"/>
  <c r="P26" i="116"/>
  <c r="P25" i="116"/>
  <c r="H25" i="116"/>
  <c r="G25" i="116"/>
  <c r="F25" i="116"/>
  <c r="P24" i="116"/>
  <c r="P23" i="116"/>
  <c r="P22" i="116"/>
  <c r="P21" i="116"/>
  <c r="P20" i="116"/>
  <c r="P19" i="116"/>
  <c r="P18" i="116"/>
  <c r="M18" i="116"/>
  <c r="K18" i="116"/>
  <c r="H18" i="116"/>
  <c r="C18" i="116"/>
  <c r="P17" i="116"/>
  <c r="F2" i="116"/>
  <c r="F18" i="116" s="1"/>
  <c r="F43" i="108"/>
  <c r="H43" i="108"/>
  <c r="G43" i="108"/>
  <c r="K2" i="108"/>
  <c r="K22" i="108" s="1"/>
  <c r="K2" i="112"/>
  <c r="F66" i="74"/>
  <c r="H66" i="74"/>
  <c r="G66" i="74"/>
  <c r="K8" i="74"/>
  <c r="F55" i="49"/>
  <c r="H55" i="49"/>
  <c r="G55" i="49"/>
  <c r="K7" i="49"/>
  <c r="F364" i="25"/>
  <c r="G364" i="25"/>
  <c r="H364" i="25"/>
  <c r="K85" i="25"/>
  <c r="F109" i="25"/>
  <c r="C19" i="117"/>
  <c r="K85" i="116"/>
  <c r="M85" i="117"/>
  <c r="H19" i="117"/>
  <c r="C19" i="116"/>
  <c r="M85" i="116"/>
  <c r="M19" i="117"/>
  <c r="K85" i="117"/>
  <c r="F85" i="116"/>
  <c r="F19" i="116"/>
  <c r="H19" i="116"/>
  <c r="F85" i="117"/>
  <c r="C85" i="117"/>
  <c r="H85" i="116"/>
  <c r="M19" i="116"/>
  <c r="C85" i="116"/>
  <c r="K19" i="116"/>
  <c r="K19" i="117"/>
  <c r="H85" i="117"/>
  <c r="F19" i="117"/>
  <c r="Q2" i="117" l="1"/>
  <c r="Q5" i="117" s="1"/>
  <c r="M66" i="117"/>
  <c r="Q10" i="117" s="1"/>
  <c r="M66" i="116"/>
  <c r="Q10" i="116" s="1"/>
  <c r="P780" i="38"/>
  <c r="Z780" i="38"/>
  <c r="O780" i="38"/>
  <c r="U780" i="38"/>
  <c r="Q2" i="116"/>
  <c r="Q5" i="116" s="1"/>
  <c r="E3" i="38"/>
  <c r="D3" i="38"/>
  <c r="A779" i="38"/>
  <c r="D779" i="38"/>
  <c r="E779" i="38"/>
  <c r="G779" i="38"/>
  <c r="H779" i="38"/>
  <c r="K779" i="38"/>
  <c r="L779" i="38" s="1"/>
  <c r="M779" i="38"/>
  <c r="N779" i="38" s="1"/>
  <c r="S779" i="38"/>
  <c r="F363" i="25"/>
  <c r="G363" i="25"/>
  <c r="H363" i="25"/>
  <c r="F108" i="25"/>
  <c r="F57" i="101"/>
  <c r="H57" i="101"/>
  <c r="G57" i="101"/>
  <c r="F17" i="101"/>
  <c r="F71" i="93"/>
  <c r="H71" i="93"/>
  <c r="G71" i="93"/>
  <c r="F15" i="93"/>
  <c r="F58" i="96"/>
  <c r="H58" i="96"/>
  <c r="G58" i="96"/>
  <c r="F9" i="96"/>
  <c r="F2" i="115"/>
  <c r="F18" i="115" s="1"/>
  <c r="M84" i="115"/>
  <c r="K84" i="115"/>
  <c r="H84" i="115"/>
  <c r="F84" i="115"/>
  <c r="C84" i="115"/>
  <c r="P37" i="115"/>
  <c r="P36" i="115"/>
  <c r="P35" i="115"/>
  <c r="P34" i="115"/>
  <c r="P33" i="115"/>
  <c r="P32" i="115"/>
  <c r="P31" i="115"/>
  <c r="P30" i="115"/>
  <c r="P29" i="115"/>
  <c r="P28" i="115"/>
  <c r="P27" i="115"/>
  <c r="P26" i="115"/>
  <c r="P25" i="115"/>
  <c r="H25" i="115"/>
  <c r="G25" i="115"/>
  <c r="F25" i="115"/>
  <c r="P24" i="115"/>
  <c r="P23" i="115"/>
  <c r="P22" i="115"/>
  <c r="P21" i="115"/>
  <c r="P20" i="115"/>
  <c r="P19" i="115"/>
  <c r="P18" i="115"/>
  <c r="M18" i="115"/>
  <c r="H18" i="115"/>
  <c r="C18" i="115"/>
  <c r="P17" i="115"/>
  <c r="Q13" i="115"/>
  <c r="Q11" i="115"/>
  <c r="K18" i="115"/>
  <c r="F40" i="53"/>
  <c r="H40" i="53"/>
  <c r="G40" i="53"/>
  <c r="F7" i="53"/>
  <c r="A778" i="38"/>
  <c r="D778" i="38"/>
  <c r="E778" i="38"/>
  <c r="G778" i="38"/>
  <c r="H778" i="38"/>
  <c r="K778" i="38"/>
  <c r="L778" i="38" s="1"/>
  <c r="M778" i="38"/>
  <c r="N778" i="38" s="1"/>
  <c r="S778" i="38"/>
  <c r="C85" i="115"/>
  <c r="K19" i="115"/>
  <c r="M19" i="115"/>
  <c r="K85" i="115"/>
  <c r="H85" i="115"/>
  <c r="H19" i="115"/>
  <c r="F85" i="115"/>
  <c r="C19" i="115"/>
  <c r="M85" i="115"/>
  <c r="F19" i="115"/>
  <c r="Q3" i="117" l="1"/>
  <c r="Q6" i="117" s="1"/>
  <c r="Q8" i="117"/>
  <c r="Q7" i="117" s="1"/>
  <c r="Q8" i="116"/>
  <c r="Q7" i="116" s="1"/>
  <c r="Q3" i="116"/>
  <c r="Q6" i="116" s="1"/>
  <c r="Q9" i="117"/>
  <c r="Z778" i="38"/>
  <c r="M66" i="115"/>
  <c r="Q10" i="115" s="1"/>
  <c r="Q2" i="115"/>
  <c r="Q8" i="115" s="1"/>
  <c r="P778" i="38"/>
  <c r="P779" i="38"/>
  <c r="O779" i="38"/>
  <c r="Z779" i="38"/>
  <c r="U779" i="38"/>
  <c r="O778" i="38"/>
  <c r="U778" i="38"/>
  <c r="F56" i="101"/>
  <c r="H56" i="101"/>
  <c r="G56" i="101"/>
  <c r="F16" i="101"/>
  <c r="A777" i="38"/>
  <c r="D777" i="38"/>
  <c r="E777" i="38"/>
  <c r="G777" i="38"/>
  <c r="H777" i="38"/>
  <c r="K777" i="38"/>
  <c r="L777" i="38" s="1"/>
  <c r="M777" i="38"/>
  <c r="N777" i="38" s="1"/>
  <c r="S777" i="38"/>
  <c r="F54" i="102"/>
  <c r="H54" i="102"/>
  <c r="G54" i="102"/>
  <c r="F9" i="102"/>
  <c r="F65" i="74"/>
  <c r="H65" i="74"/>
  <c r="G65" i="74"/>
  <c r="F10" i="74"/>
  <c r="F42" i="108"/>
  <c r="H42" i="108"/>
  <c r="G42" i="108"/>
  <c r="Q9" i="116" l="1"/>
  <c r="Q7" i="115"/>
  <c r="Q5" i="115"/>
  <c r="Q3" i="115"/>
  <c r="Q6" i="115" s="1"/>
  <c r="Q9" i="115" s="1"/>
  <c r="P777" i="38"/>
  <c r="O777" i="38"/>
  <c r="Z777" i="38"/>
  <c r="U777" i="38"/>
  <c r="H26" i="113"/>
  <c r="F362" i="25" l="1"/>
  <c r="H362" i="25"/>
  <c r="G362" i="25"/>
  <c r="F41" i="108"/>
  <c r="H41" i="108"/>
  <c r="G41" i="108"/>
  <c r="F34" i="106"/>
  <c r="H34" i="106"/>
  <c r="G34" i="106"/>
  <c r="F47" i="105"/>
  <c r="H47" i="105"/>
  <c r="G47" i="105"/>
  <c r="F57" i="96"/>
  <c r="H57" i="96"/>
  <c r="G57" i="96"/>
  <c r="F169" i="58"/>
  <c r="H169" i="58"/>
  <c r="G169" i="58"/>
  <c r="K30" i="58"/>
  <c r="F116" i="46"/>
  <c r="H116" i="46"/>
  <c r="G116" i="46"/>
  <c r="F65" i="86"/>
  <c r="H65" i="86"/>
  <c r="G65" i="86"/>
  <c r="F13" i="86"/>
  <c r="A776" i="38"/>
  <c r="D776" i="38"/>
  <c r="E776" i="38"/>
  <c r="G776" i="38"/>
  <c r="H776" i="38"/>
  <c r="K776" i="38"/>
  <c r="L776" i="38" s="1"/>
  <c r="M776" i="38"/>
  <c r="N776" i="38" s="1"/>
  <c r="S776" i="38"/>
  <c r="K21" i="46"/>
  <c r="F115" i="46"/>
  <c r="H115" i="46"/>
  <c r="G115" i="46"/>
  <c r="K20" i="46"/>
  <c r="K19" i="46"/>
  <c r="F46" i="90"/>
  <c r="H46" i="90"/>
  <c r="G46" i="90"/>
  <c r="A775" i="38"/>
  <c r="D775" i="38"/>
  <c r="E775" i="38"/>
  <c r="G775" i="38"/>
  <c r="H775" i="38"/>
  <c r="K775" i="38"/>
  <c r="L775" i="38" s="1"/>
  <c r="M775" i="38"/>
  <c r="N775" i="38" s="1"/>
  <c r="S775" i="38"/>
  <c r="U776" i="38" l="1"/>
  <c r="U775" i="38"/>
  <c r="O776" i="38"/>
  <c r="Z776" i="38"/>
  <c r="P776" i="38"/>
  <c r="O775" i="38"/>
  <c r="Z775" i="38"/>
  <c r="P775" i="38"/>
  <c r="F39" i="53"/>
  <c r="H39" i="53"/>
  <c r="G39" i="53"/>
  <c r="K5" i="53"/>
  <c r="F31" i="111"/>
  <c r="H31" i="111"/>
  <c r="G31" i="111"/>
  <c r="K2" i="111"/>
  <c r="F361" i="25"/>
  <c r="H361" i="25"/>
  <c r="G361" i="25"/>
  <c r="A774" i="38"/>
  <c r="D774" i="38"/>
  <c r="E774" i="38"/>
  <c r="G774" i="38"/>
  <c r="H774" i="38"/>
  <c r="K774" i="38"/>
  <c r="L774" i="38" s="1"/>
  <c r="M774" i="38"/>
  <c r="U774" i="38" s="1"/>
  <c r="S774" i="38"/>
  <c r="C18" i="99"/>
  <c r="N774" i="38" l="1"/>
  <c r="O774" i="38" s="1"/>
  <c r="P774" i="38"/>
  <c r="F90" i="43"/>
  <c r="G90" i="43"/>
  <c r="H90" i="43"/>
  <c r="F30" i="111"/>
  <c r="H30" i="111"/>
  <c r="G30" i="111"/>
  <c r="F168" i="58"/>
  <c r="G168" i="58"/>
  <c r="H168" i="58"/>
  <c r="F40" i="108"/>
  <c r="G40" i="108"/>
  <c r="H40" i="108"/>
  <c r="F56" i="96"/>
  <c r="H56" i="96"/>
  <c r="G56" i="96"/>
  <c r="F114" i="46"/>
  <c r="G114" i="46"/>
  <c r="H114" i="46"/>
  <c r="F70" i="93"/>
  <c r="H70" i="93"/>
  <c r="G70" i="93"/>
  <c r="F46" i="105"/>
  <c r="H46" i="105"/>
  <c r="G46" i="105"/>
  <c r="F360" i="25"/>
  <c r="H360" i="25"/>
  <c r="G360" i="25"/>
  <c r="F26" i="113"/>
  <c r="G26" i="113"/>
  <c r="K2" i="113"/>
  <c r="A773" i="38"/>
  <c r="D773" i="38"/>
  <c r="E773" i="38"/>
  <c r="G773" i="38"/>
  <c r="H773" i="38"/>
  <c r="K773" i="38"/>
  <c r="L773" i="38" s="1"/>
  <c r="M773" i="38"/>
  <c r="N773" i="38" s="1"/>
  <c r="S773" i="38"/>
  <c r="Z774" i="38" l="1"/>
  <c r="O773" i="38"/>
  <c r="P773" i="38"/>
  <c r="U773" i="38"/>
  <c r="Z773" i="38"/>
  <c r="F64" i="86"/>
  <c r="H64" i="86"/>
  <c r="G64" i="86"/>
  <c r="F139" i="51"/>
  <c r="H139" i="51"/>
  <c r="G139" i="51"/>
  <c r="F359" i="25"/>
  <c r="G359" i="25"/>
  <c r="H359" i="25"/>
  <c r="F107" i="25"/>
  <c r="F55" i="101"/>
  <c r="H55" i="101"/>
  <c r="G55" i="101"/>
  <c r="F15" i="101"/>
  <c r="F53" i="102"/>
  <c r="H53" i="102"/>
  <c r="G53" i="102"/>
  <c r="F8" i="102"/>
  <c r="M84" i="114"/>
  <c r="K84" i="114"/>
  <c r="H84" i="114"/>
  <c r="F84" i="114"/>
  <c r="C84" i="114"/>
  <c r="P37" i="114"/>
  <c r="P36" i="114"/>
  <c r="P35" i="114"/>
  <c r="P34" i="114"/>
  <c r="P33" i="114"/>
  <c r="P32" i="114"/>
  <c r="P31" i="114"/>
  <c r="P30" i="114"/>
  <c r="P29" i="114"/>
  <c r="P28" i="114"/>
  <c r="P27" i="114"/>
  <c r="P26" i="114"/>
  <c r="P25" i="114"/>
  <c r="H25" i="114"/>
  <c r="G25" i="114"/>
  <c r="F25" i="114"/>
  <c r="P24" i="114"/>
  <c r="P23" i="114"/>
  <c r="P22" i="114"/>
  <c r="P21" i="114"/>
  <c r="P20" i="114"/>
  <c r="P19" i="114"/>
  <c r="P18" i="114"/>
  <c r="M18" i="114"/>
  <c r="K18" i="114"/>
  <c r="H18" i="114"/>
  <c r="C18" i="114"/>
  <c r="P17" i="114"/>
  <c r="Q11" i="114"/>
  <c r="F2" i="114"/>
  <c r="F18" i="114" s="1"/>
  <c r="A772" i="38"/>
  <c r="D772" i="38"/>
  <c r="E772" i="38"/>
  <c r="G772" i="38"/>
  <c r="H772" i="38"/>
  <c r="K772" i="38"/>
  <c r="L772" i="38" s="1"/>
  <c r="M772" i="38"/>
  <c r="N772" i="38" s="1"/>
  <c r="S772" i="38"/>
  <c r="H19" i="114"/>
  <c r="M19" i="114"/>
  <c r="K19" i="114"/>
  <c r="K85" i="114"/>
  <c r="C19" i="114"/>
  <c r="F19" i="114"/>
  <c r="C85" i="114"/>
  <c r="F85" i="114"/>
  <c r="M85" i="114"/>
  <c r="H85" i="114"/>
  <c r="O772" i="38" l="1"/>
  <c r="U772" i="38"/>
  <c r="Q2" i="114"/>
  <c r="Q3" i="114" s="1"/>
  <c r="Q6" i="114" s="1"/>
  <c r="M66" i="114"/>
  <c r="Q10" i="114" s="1"/>
  <c r="Z772" i="38"/>
  <c r="P772" i="38"/>
  <c r="G40" i="97"/>
  <c r="F40" i="97"/>
  <c r="H40" i="97"/>
  <c r="F6" i="97"/>
  <c r="F29" i="111"/>
  <c r="H29" i="111"/>
  <c r="G29" i="111"/>
  <c r="F4" i="111"/>
  <c r="F51" i="99"/>
  <c r="H51" i="99"/>
  <c r="G51" i="99"/>
  <c r="K9" i="99"/>
  <c r="F39" i="95"/>
  <c r="H39" i="95"/>
  <c r="G39" i="95"/>
  <c r="K4" i="95"/>
  <c r="A771" i="38"/>
  <c r="D771" i="38"/>
  <c r="E771" i="38"/>
  <c r="G771" i="38"/>
  <c r="H771" i="38"/>
  <c r="K771" i="38"/>
  <c r="L771" i="38" s="1"/>
  <c r="M771" i="38"/>
  <c r="N771" i="38" s="1"/>
  <c r="S771" i="38"/>
  <c r="Q5" i="114" l="1"/>
  <c r="Q8" i="114"/>
  <c r="Q7" i="114" s="1"/>
  <c r="Q9" i="114"/>
  <c r="P771" i="38"/>
  <c r="O771" i="38"/>
  <c r="Z771" i="38"/>
  <c r="U771" i="38"/>
  <c r="K7" i="74"/>
  <c r="F54" i="101" l="1"/>
  <c r="H54" i="101"/>
  <c r="G54" i="101"/>
  <c r="K11" i="101"/>
  <c r="F43" i="69"/>
  <c r="H43" i="69"/>
  <c r="G43" i="69"/>
  <c r="K6" i="69"/>
  <c r="F39" i="97"/>
  <c r="H39" i="97"/>
  <c r="G39" i="97"/>
  <c r="K4" i="97"/>
  <c r="A770" i="38"/>
  <c r="D770" i="38"/>
  <c r="E770" i="38"/>
  <c r="G770" i="38"/>
  <c r="H770" i="38"/>
  <c r="K770" i="38"/>
  <c r="L770" i="38" s="1"/>
  <c r="M770" i="38"/>
  <c r="N770" i="38" s="1"/>
  <c r="S770" i="38"/>
  <c r="O770" i="38" l="1"/>
  <c r="P770" i="38"/>
  <c r="U770" i="38"/>
  <c r="Z770" i="38"/>
  <c r="F38" i="97"/>
  <c r="H38" i="97"/>
  <c r="G38" i="97"/>
  <c r="F167" i="58"/>
  <c r="H167" i="58"/>
  <c r="G167" i="58"/>
  <c r="Q13" i="108"/>
  <c r="F39" i="108"/>
  <c r="H39" i="108"/>
  <c r="G39" i="108"/>
  <c r="R11" i="108"/>
  <c r="A769" i="38"/>
  <c r="D769" i="38"/>
  <c r="E769" i="38"/>
  <c r="G769" i="38"/>
  <c r="H769" i="38"/>
  <c r="K769" i="38"/>
  <c r="L769" i="38" s="1"/>
  <c r="M769" i="38"/>
  <c r="N769" i="38" s="1"/>
  <c r="S769" i="38"/>
  <c r="F138" i="51"/>
  <c r="G138" i="51"/>
  <c r="H138" i="51"/>
  <c r="P769" i="38" l="1"/>
  <c r="O769" i="38"/>
  <c r="Z769" i="38"/>
  <c r="U769" i="38"/>
  <c r="G82" i="88" l="1"/>
  <c r="F82" i="88"/>
  <c r="H82" i="88"/>
  <c r="F55" i="96"/>
  <c r="G55" i="96"/>
  <c r="H55" i="96"/>
  <c r="F166" i="58"/>
  <c r="H166" i="58"/>
  <c r="G166" i="58"/>
  <c r="K29" i="58"/>
  <c r="F113" i="46"/>
  <c r="H113" i="46"/>
  <c r="G113" i="46"/>
  <c r="K18" i="46"/>
  <c r="A768" i="38"/>
  <c r="D768" i="38"/>
  <c r="E768" i="38"/>
  <c r="G768" i="38"/>
  <c r="H768" i="38"/>
  <c r="K768" i="38"/>
  <c r="L768" i="38" s="1"/>
  <c r="M768" i="38"/>
  <c r="N768" i="38" s="1"/>
  <c r="S768" i="38"/>
  <c r="O768" i="38" l="1"/>
  <c r="Z768" i="38"/>
  <c r="P768" i="38"/>
  <c r="U768" i="38"/>
  <c r="F63" i="86"/>
  <c r="H63" i="86"/>
  <c r="G63" i="86"/>
  <c r="G64" i="74"/>
  <c r="F64" i="74"/>
  <c r="H64" i="74"/>
  <c r="F38" i="95"/>
  <c r="H38" i="95"/>
  <c r="G38" i="95"/>
  <c r="F45" i="105"/>
  <c r="H45" i="105"/>
  <c r="G45" i="105"/>
  <c r="F54" i="96"/>
  <c r="H54" i="96"/>
  <c r="G54" i="96"/>
  <c r="F112" i="46"/>
  <c r="H112" i="46"/>
  <c r="G112" i="46"/>
  <c r="F69" i="93"/>
  <c r="H69" i="93"/>
  <c r="G69" i="93"/>
  <c r="Q13" i="93"/>
  <c r="F358" i="25" l="1"/>
  <c r="H358" i="25"/>
  <c r="G358" i="25"/>
  <c r="A767" i="38"/>
  <c r="D767" i="38"/>
  <c r="E767" i="38"/>
  <c r="G767" i="38"/>
  <c r="H767" i="38"/>
  <c r="K767" i="38"/>
  <c r="L767" i="38" s="1"/>
  <c r="M767" i="38"/>
  <c r="N767" i="38" s="1"/>
  <c r="S767" i="38"/>
  <c r="O767" i="38" l="1"/>
  <c r="Z767" i="38"/>
  <c r="P767" i="38"/>
  <c r="U767" i="38"/>
  <c r="G63" i="74"/>
  <c r="F63" i="74"/>
  <c r="H63" i="74"/>
  <c r="K6" i="74"/>
  <c r="F37" i="107"/>
  <c r="G37" i="107"/>
  <c r="H37" i="107"/>
  <c r="K4" i="107"/>
  <c r="F89" i="43"/>
  <c r="H89" i="43"/>
  <c r="G89" i="43"/>
  <c r="F42" i="69"/>
  <c r="H42" i="69"/>
  <c r="G42" i="69"/>
  <c r="F68" i="93"/>
  <c r="H68" i="93"/>
  <c r="G68" i="93"/>
  <c r="A766" i="38"/>
  <c r="D766" i="38"/>
  <c r="E766" i="38"/>
  <c r="G766" i="38"/>
  <c r="H766" i="38"/>
  <c r="K766" i="38"/>
  <c r="L766" i="38" s="1"/>
  <c r="M766" i="38"/>
  <c r="N766" i="38" s="1"/>
  <c r="S766" i="38"/>
  <c r="F357" i="25"/>
  <c r="H357" i="25"/>
  <c r="G357" i="25"/>
  <c r="P766" i="38" l="1"/>
  <c r="O766" i="38"/>
  <c r="Z766" i="38"/>
  <c r="U766" i="38"/>
  <c r="F38" i="108"/>
  <c r="H38" i="108"/>
  <c r="G38" i="108"/>
  <c r="F356" i="25"/>
  <c r="H356" i="25"/>
  <c r="G356" i="25"/>
  <c r="K84" i="25"/>
  <c r="A765" i="38"/>
  <c r="D765" i="38"/>
  <c r="E765" i="38"/>
  <c r="G765" i="38"/>
  <c r="H765" i="38"/>
  <c r="K765" i="38"/>
  <c r="L765" i="38" s="1"/>
  <c r="M765" i="38"/>
  <c r="N765" i="38" s="1"/>
  <c r="S765" i="38"/>
  <c r="O765" i="38" l="1"/>
  <c r="Z765" i="38"/>
  <c r="P765" i="38"/>
  <c r="U765" i="38"/>
  <c r="A764" i="38"/>
  <c r="D764" i="38"/>
  <c r="E764" i="38"/>
  <c r="G764" i="38"/>
  <c r="H764" i="38"/>
  <c r="K764" i="38"/>
  <c r="L764" i="38" s="1"/>
  <c r="M764" i="38"/>
  <c r="N764" i="38" s="1"/>
  <c r="S764" i="38"/>
  <c r="G88" i="43"/>
  <c r="F88" i="43"/>
  <c r="H88" i="43"/>
  <c r="K13" i="43"/>
  <c r="F62" i="86"/>
  <c r="H62" i="86"/>
  <c r="G62" i="86"/>
  <c r="F12" i="86"/>
  <c r="P764" i="38" l="1"/>
  <c r="Z764" i="38"/>
  <c r="O764" i="38"/>
  <c r="U764" i="38"/>
  <c r="F53" i="101"/>
  <c r="H53" i="101"/>
  <c r="G53" i="101"/>
  <c r="F41" i="69"/>
  <c r="H41" i="69"/>
  <c r="G41" i="69"/>
  <c r="F37" i="108"/>
  <c r="H37" i="108"/>
  <c r="G37" i="108"/>
  <c r="F165" i="58"/>
  <c r="H165" i="58"/>
  <c r="G165" i="58"/>
  <c r="F44" i="105"/>
  <c r="H44" i="105"/>
  <c r="G44" i="105"/>
  <c r="F53" i="96"/>
  <c r="H53" i="96"/>
  <c r="G53" i="96"/>
  <c r="F111" i="46"/>
  <c r="H111" i="46"/>
  <c r="G111" i="46"/>
  <c r="F67" i="93"/>
  <c r="H67" i="93"/>
  <c r="G67" i="93"/>
  <c r="F61" i="86"/>
  <c r="H61" i="86"/>
  <c r="G61" i="86"/>
  <c r="F354" i="25"/>
  <c r="F355" i="25"/>
  <c r="G355" i="25"/>
  <c r="H355" i="25"/>
  <c r="F137" i="51"/>
  <c r="G137" i="51"/>
  <c r="H137" i="51"/>
  <c r="F52" i="102"/>
  <c r="H52" i="102"/>
  <c r="G52" i="102"/>
  <c r="K8" i="102"/>
  <c r="A763" i="38"/>
  <c r="D763" i="38"/>
  <c r="E763" i="38"/>
  <c r="G763" i="38"/>
  <c r="H763" i="38"/>
  <c r="K763" i="38"/>
  <c r="L763" i="38" s="1"/>
  <c r="M763" i="38"/>
  <c r="N763" i="38" s="1"/>
  <c r="S763" i="38"/>
  <c r="O763" i="38" l="1"/>
  <c r="P763" i="38"/>
  <c r="U763" i="38"/>
  <c r="Z763" i="38"/>
  <c r="A762" i="38" l="1"/>
  <c r="D762" i="38"/>
  <c r="E762" i="38"/>
  <c r="G762" i="38"/>
  <c r="H762" i="38"/>
  <c r="K762" i="38"/>
  <c r="L762" i="38" s="1"/>
  <c r="M762" i="38"/>
  <c r="N762" i="38" s="1"/>
  <c r="S762" i="38"/>
  <c r="F81" i="88"/>
  <c r="H81" i="88"/>
  <c r="G81" i="88"/>
  <c r="P762" i="38" l="1"/>
  <c r="O762" i="38"/>
  <c r="Z762" i="38"/>
  <c r="U762" i="38"/>
  <c r="C21" i="101"/>
  <c r="A761" i="38"/>
  <c r="D761" i="38"/>
  <c r="E761" i="38"/>
  <c r="G761" i="38"/>
  <c r="H761" i="38"/>
  <c r="K761" i="38"/>
  <c r="L761" i="38" s="1"/>
  <c r="M761" i="38"/>
  <c r="N761" i="38" s="1"/>
  <c r="S761" i="38"/>
  <c r="F60" i="86"/>
  <c r="H60" i="86"/>
  <c r="G60" i="86"/>
  <c r="P761" i="38" l="1"/>
  <c r="O761" i="38"/>
  <c r="Z761" i="38"/>
  <c r="U761" i="38"/>
  <c r="A760" i="38"/>
  <c r="D760" i="38"/>
  <c r="E760" i="38"/>
  <c r="G760" i="38"/>
  <c r="H760" i="38"/>
  <c r="K760" i="38"/>
  <c r="L760" i="38" s="1"/>
  <c r="M760" i="38"/>
  <c r="N760" i="38" s="1"/>
  <c r="S760" i="38"/>
  <c r="F66" i="93"/>
  <c r="H66" i="93"/>
  <c r="G66" i="93"/>
  <c r="F14" i="93"/>
  <c r="F36" i="107"/>
  <c r="G36" i="107"/>
  <c r="H36" i="107"/>
  <c r="F5" i="107"/>
  <c r="G354" i="25"/>
  <c r="H354" i="25"/>
  <c r="F353" i="25"/>
  <c r="H353" i="25"/>
  <c r="G353" i="25"/>
  <c r="F106" i="25"/>
  <c r="K83" i="25"/>
  <c r="F50" i="99"/>
  <c r="H50" i="99"/>
  <c r="G50" i="99"/>
  <c r="F9" i="99"/>
  <c r="P760" i="38" l="1"/>
  <c r="O760" i="38"/>
  <c r="Z760" i="38"/>
  <c r="U760" i="38"/>
  <c r="A759" i="38"/>
  <c r="D759" i="38"/>
  <c r="E759" i="38"/>
  <c r="G759" i="38"/>
  <c r="H759" i="38"/>
  <c r="K759" i="38"/>
  <c r="L759" i="38" s="1"/>
  <c r="M759" i="38"/>
  <c r="N759" i="38" s="1"/>
  <c r="S759" i="38"/>
  <c r="F164" i="58"/>
  <c r="H164" i="58"/>
  <c r="G164" i="58"/>
  <c r="F35" i="58"/>
  <c r="F352" i="25"/>
  <c r="G352" i="25"/>
  <c r="H352" i="25"/>
  <c r="F105" i="25"/>
  <c r="O759" i="38" l="1"/>
  <c r="Z759" i="38"/>
  <c r="P759" i="38"/>
  <c r="U759" i="38"/>
  <c r="A758" i="38"/>
  <c r="D758" i="38"/>
  <c r="E758" i="38"/>
  <c r="G758" i="38"/>
  <c r="H758" i="38"/>
  <c r="K758" i="38"/>
  <c r="L758" i="38" s="1"/>
  <c r="M758" i="38"/>
  <c r="N758" i="38" s="1"/>
  <c r="S758" i="38"/>
  <c r="P758" i="38" l="1"/>
  <c r="O758" i="38"/>
  <c r="Z758" i="38"/>
  <c r="U758" i="38"/>
  <c r="G80" i="88"/>
  <c r="F80" i="88"/>
  <c r="H80" i="88"/>
  <c r="F28" i="111"/>
  <c r="G28" i="111"/>
  <c r="H28" i="111"/>
  <c r="A757" i="38" l="1"/>
  <c r="D757" i="38"/>
  <c r="E757" i="38"/>
  <c r="G757" i="38"/>
  <c r="H757" i="38"/>
  <c r="K757" i="38"/>
  <c r="L757" i="38" s="1"/>
  <c r="M757" i="38"/>
  <c r="N757" i="38" s="1"/>
  <c r="S757" i="38"/>
  <c r="F27" i="111"/>
  <c r="G27" i="111"/>
  <c r="H27" i="111"/>
  <c r="F3" i="111"/>
  <c r="F52" i="101"/>
  <c r="H52" i="101"/>
  <c r="G52" i="101"/>
  <c r="F14" i="101"/>
  <c r="A756" i="38"/>
  <c r="D756" i="38"/>
  <c r="E756" i="38"/>
  <c r="G756" i="38"/>
  <c r="H756" i="38"/>
  <c r="K756" i="38"/>
  <c r="L756" i="38" s="1"/>
  <c r="M756" i="38"/>
  <c r="N756" i="38" s="1"/>
  <c r="S756" i="38"/>
  <c r="A755" i="38"/>
  <c r="D755" i="38"/>
  <c r="E755" i="38"/>
  <c r="G755" i="38"/>
  <c r="H755" i="38"/>
  <c r="K755" i="38"/>
  <c r="L755" i="38" s="1"/>
  <c r="M755" i="38"/>
  <c r="N755" i="38" s="1"/>
  <c r="S755" i="38"/>
  <c r="P757" i="38" l="1"/>
  <c r="P756" i="38"/>
  <c r="O755" i="38"/>
  <c r="O757" i="38"/>
  <c r="Z757" i="38"/>
  <c r="U757" i="38"/>
  <c r="Z756" i="38"/>
  <c r="O756" i="38"/>
  <c r="U756" i="38"/>
  <c r="P755" i="38"/>
  <c r="U755" i="38"/>
  <c r="Z755" i="38"/>
  <c r="F51" i="101"/>
  <c r="H51" i="101"/>
  <c r="G51" i="101"/>
  <c r="K10" i="101"/>
  <c r="A754" i="38"/>
  <c r="D754" i="38"/>
  <c r="E754" i="38"/>
  <c r="G754" i="38"/>
  <c r="H754" i="38"/>
  <c r="K754" i="38"/>
  <c r="L754" i="38" s="1"/>
  <c r="M754" i="38"/>
  <c r="N754" i="38" s="1"/>
  <c r="S754" i="38"/>
  <c r="P754" i="38" l="1"/>
  <c r="O754" i="38"/>
  <c r="U754" i="38"/>
  <c r="Z754" i="38"/>
  <c r="A753" i="38"/>
  <c r="D753" i="38"/>
  <c r="E753" i="38"/>
  <c r="G753" i="38"/>
  <c r="H753" i="38"/>
  <c r="K753" i="38"/>
  <c r="L753" i="38" s="1"/>
  <c r="M753" i="38"/>
  <c r="N753" i="38" s="1"/>
  <c r="S753" i="38"/>
  <c r="F37" i="97"/>
  <c r="H37" i="97"/>
  <c r="G37" i="97"/>
  <c r="K3" i="97"/>
  <c r="K13" i="84"/>
  <c r="H24" i="84"/>
  <c r="H36" i="97"/>
  <c r="F36" i="97"/>
  <c r="G36" i="97"/>
  <c r="F5" i="97"/>
  <c r="F49" i="99"/>
  <c r="H49" i="99"/>
  <c r="G49" i="99"/>
  <c r="K8" i="99"/>
  <c r="G35" i="107"/>
  <c r="F35" i="107"/>
  <c r="H35" i="107"/>
  <c r="K3" i="107"/>
  <c r="F38" i="53"/>
  <c r="H38" i="53"/>
  <c r="G38" i="53"/>
  <c r="P753" i="38" l="1"/>
  <c r="Z753" i="38"/>
  <c r="O753" i="38"/>
  <c r="U753" i="38"/>
  <c r="F26" i="110"/>
  <c r="G26" i="110"/>
  <c r="H26" i="110"/>
  <c r="F26" i="111"/>
  <c r="G26" i="111"/>
  <c r="H26" i="111"/>
  <c r="F35" i="97"/>
  <c r="H35" i="97"/>
  <c r="G35" i="97"/>
  <c r="G87" i="43"/>
  <c r="F87" i="43"/>
  <c r="H87" i="43"/>
  <c r="F36" i="108"/>
  <c r="G36" i="108"/>
  <c r="H36" i="108"/>
  <c r="F163" i="58"/>
  <c r="G163" i="58"/>
  <c r="H163" i="58"/>
  <c r="F110" i="46"/>
  <c r="G110" i="46"/>
  <c r="H110" i="46"/>
  <c r="F351" i="25"/>
  <c r="G351" i="25"/>
  <c r="H351" i="25"/>
  <c r="F55" i="103"/>
  <c r="H55" i="103"/>
  <c r="G55" i="103"/>
  <c r="Q11" i="103"/>
  <c r="A752" i="38"/>
  <c r="D752" i="38"/>
  <c r="E752" i="38"/>
  <c r="G752" i="38"/>
  <c r="H752" i="38"/>
  <c r="K752" i="38"/>
  <c r="L752" i="38" s="1"/>
  <c r="M752" i="38"/>
  <c r="N752" i="38" s="1"/>
  <c r="S752" i="38"/>
  <c r="O752" i="38" l="1"/>
  <c r="Z752" i="38"/>
  <c r="P752" i="38"/>
  <c r="U752" i="38"/>
  <c r="A751" i="38"/>
  <c r="D751" i="38"/>
  <c r="E751" i="38"/>
  <c r="G751" i="38"/>
  <c r="H751" i="38"/>
  <c r="K751" i="38"/>
  <c r="L751" i="38" s="1"/>
  <c r="M751" i="38"/>
  <c r="N751" i="38" s="1"/>
  <c r="S751" i="38"/>
  <c r="M84" i="113"/>
  <c r="K84" i="113"/>
  <c r="H84" i="113"/>
  <c r="F84" i="113"/>
  <c r="C84" i="113"/>
  <c r="P37" i="113"/>
  <c r="P36" i="113"/>
  <c r="P35" i="113"/>
  <c r="P34" i="113"/>
  <c r="P33" i="113"/>
  <c r="P32" i="113"/>
  <c r="P31" i="113"/>
  <c r="P30" i="113"/>
  <c r="P29" i="113"/>
  <c r="P28" i="113"/>
  <c r="P27" i="113"/>
  <c r="P26" i="113"/>
  <c r="P25" i="113"/>
  <c r="H25" i="113"/>
  <c r="G25" i="113"/>
  <c r="F25" i="113"/>
  <c r="P24" i="113"/>
  <c r="P23" i="113"/>
  <c r="P22" i="113"/>
  <c r="P21" i="113"/>
  <c r="P20" i="113"/>
  <c r="P19" i="113"/>
  <c r="P18" i="113"/>
  <c r="M18" i="113"/>
  <c r="K18" i="113"/>
  <c r="H18" i="113"/>
  <c r="C18" i="113"/>
  <c r="P17" i="113"/>
  <c r="Q11" i="113"/>
  <c r="F2" i="113"/>
  <c r="F18" i="113" s="1"/>
  <c r="M84" i="112"/>
  <c r="K84" i="112"/>
  <c r="H84" i="112"/>
  <c r="F84" i="112"/>
  <c r="C84" i="112"/>
  <c r="P37" i="112"/>
  <c r="P36" i="112"/>
  <c r="P35" i="112"/>
  <c r="P34" i="112"/>
  <c r="P33" i="112"/>
  <c r="P32" i="112"/>
  <c r="P31" i="112"/>
  <c r="P30" i="112"/>
  <c r="P29" i="112"/>
  <c r="P28" i="112"/>
  <c r="P27" i="112"/>
  <c r="P26" i="112"/>
  <c r="P25" i="112"/>
  <c r="H25" i="112"/>
  <c r="G25" i="112"/>
  <c r="F25" i="112"/>
  <c r="P24" i="112"/>
  <c r="P23" i="112"/>
  <c r="P22" i="112"/>
  <c r="P21" i="112"/>
  <c r="P20" i="112"/>
  <c r="P19" i="112"/>
  <c r="P18" i="112"/>
  <c r="K18" i="112"/>
  <c r="H18" i="112"/>
  <c r="C18" i="112"/>
  <c r="P17" i="112"/>
  <c r="Q11" i="112"/>
  <c r="F2" i="112"/>
  <c r="F18" i="112" s="1"/>
  <c r="F40" i="69"/>
  <c r="H40" i="69"/>
  <c r="G40" i="69"/>
  <c r="F7" i="69"/>
  <c r="F65" i="93"/>
  <c r="H65" i="93"/>
  <c r="G65" i="93"/>
  <c r="F13" i="93"/>
  <c r="F33" i="106"/>
  <c r="H33" i="106"/>
  <c r="G33" i="106"/>
  <c r="F4" i="106"/>
  <c r="F350" i="25"/>
  <c r="H350" i="25"/>
  <c r="G350" i="25"/>
  <c r="F104" i="25"/>
  <c r="F136" i="51"/>
  <c r="H136" i="51"/>
  <c r="G136" i="51"/>
  <c r="H19" i="113"/>
  <c r="H85" i="112"/>
  <c r="F19" i="113"/>
  <c r="K85" i="112"/>
  <c r="K19" i="112"/>
  <c r="H85" i="113"/>
  <c r="F19" i="112"/>
  <c r="C19" i="113"/>
  <c r="M19" i="112"/>
  <c r="F85" i="112"/>
  <c r="M85" i="113"/>
  <c r="C85" i="112"/>
  <c r="C19" i="112"/>
  <c r="M19" i="113"/>
  <c r="M85" i="112"/>
  <c r="F85" i="113"/>
  <c r="K19" i="113"/>
  <c r="H19" i="112"/>
  <c r="C85" i="113"/>
  <c r="K85" i="113"/>
  <c r="Q2" i="112" l="1"/>
  <c r="Q5" i="112" s="1"/>
  <c r="P751" i="38"/>
  <c r="M66" i="113"/>
  <c r="Q10" i="113" s="1"/>
  <c r="Q2" i="113"/>
  <c r="Q5" i="113" s="1"/>
  <c r="M66" i="112"/>
  <c r="Q10" i="112" s="1"/>
  <c r="O751" i="38"/>
  <c r="Z751" i="38"/>
  <c r="U751" i="38"/>
  <c r="Q8" i="112"/>
  <c r="F51" i="102"/>
  <c r="G51" i="102"/>
  <c r="H51" i="102"/>
  <c r="F58" i="45"/>
  <c r="G58" i="45"/>
  <c r="H58" i="45"/>
  <c r="F32" i="106"/>
  <c r="H32" i="106"/>
  <c r="G32" i="106"/>
  <c r="F54" i="103"/>
  <c r="H54" i="103"/>
  <c r="G54" i="103"/>
  <c r="F34" i="97"/>
  <c r="H34" i="97"/>
  <c r="G34" i="97"/>
  <c r="F109" i="46"/>
  <c r="G109" i="46"/>
  <c r="H109" i="46"/>
  <c r="M84" i="111"/>
  <c r="K84" i="111"/>
  <c r="H84" i="111"/>
  <c r="F84" i="111"/>
  <c r="C84" i="111"/>
  <c r="P37" i="111"/>
  <c r="P36" i="111"/>
  <c r="P35" i="111"/>
  <c r="P34" i="111"/>
  <c r="P33" i="111"/>
  <c r="P32" i="111"/>
  <c r="P31" i="111"/>
  <c r="P30" i="111"/>
  <c r="P29" i="111"/>
  <c r="P28" i="111"/>
  <c r="P27" i="111"/>
  <c r="P26" i="111"/>
  <c r="P25" i="111"/>
  <c r="H25" i="111"/>
  <c r="G25" i="111"/>
  <c r="F25" i="111"/>
  <c r="P24" i="111"/>
  <c r="P23" i="111"/>
  <c r="P22" i="111"/>
  <c r="P21" i="111"/>
  <c r="P20" i="111"/>
  <c r="P19" i="111"/>
  <c r="P18" i="111"/>
  <c r="M18" i="111"/>
  <c r="K18" i="111"/>
  <c r="H18" i="111"/>
  <c r="C18" i="111"/>
  <c r="P17" i="111"/>
  <c r="Q11" i="111"/>
  <c r="F2" i="111"/>
  <c r="F18" i="111" s="1"/>
  <c r="F35" i="108"/>
  <c r="H35" i="108"/>
  <c r="G35" i="108"/>
  <c r="F6" i="108"/>
  <c r="F54" i="49"/>
  <c r="H54" i="49"/>
  <c r="G54" i="49"/>
  <c r="F8" i="49"/>
  <c r="F43" i="105"/>
  <c r="H43" i="105"/>
  <c r="G43" i="105"/>
  <c r="F6" i="105"/>
  <c r="M84" i="110"/>
  <c r="K84" i="110"/>
  <c r="H84" i="110"/>
  <c r="F84" i="110"/>
  <c r="C84" i="110"/>
  <c r="P37" i="110"/>
  <c r="P36" i="110"/>
  <c r="P35" i="110"/>
  <c r="P34" i="110"/>
  <c r="P33" i="110"/>
  <c r="P32" i="110"/>
  <c r="P31" i="110"/>
  <c r="P30" i="110"/>
  <c r="P29" i="110"/>
  <c r="P28" i="110"/>
  <c r="P27" i="110"/>
  <c r="P26" i="110"/>
  <c r="P25" i="110"/>
  <c r="H25" i="110"/>
  <c r="G25" i="110"/>
  <c r="F25" i="110"/>
  <c r="P24" i="110"/>
  <c r="P23" i="110"/>
  <c r="P22" i="110"/>
  <c r="P21" i="110"/>
  <c r="P20" i="110"/>
  <c r="P19" i="110"/>
  <c r="P18" i="110"/>
  <c r="M18" i="110"/>
  <c r="H18" i="110"/>
  <c r="C18" i="110"/>
  <c r="P17" i="110"/>
  <c r="K18" i="110"/>
  <c r="F2" i="110"/>
  <c r="F18" i="110" s="1"/>
  <c r="F162" i="58"/>
  <c r="H162" i="58"/>
  <c r="G162" i="58"/>
  <c r="F34" i="58"/>
  <c r="F33" i="58"/>
  <c r="F349" i="25"/>
  <c r="H349" i="25"/>
  <c r="G349" i="25"/>
  <c r="F103" i="25"/>
  <c r="F102" i="25"/>
  <c r="F101" i="25"/>
  <c r="F50" i="101"/>
  <c r="H50" i="101"/>
  <c r="G50" i="101"/>
  <c r="F13" i="101"/>
  <c r="F12" i="101"/>
  <c r="F11" i="101"/>
  <c r="F64" i="93"/>
  <c r="H64" i="93"/>
  <c r="G64" i="93"/>
  <c r="F12" i="93"/>
  <c r="A750" i="38"/>
  <c r="D750" i="38"/>
  <c r="E750" i="38"/>
  <c r="G750" i="38"/>
  <c r="H750" i="38"/>
  <c r="K750" i="38"/>
  <c r="L750" i="38" s="1"/>
  <c r="M750" i="38"/>
  <c r="N750" i="38" s="1"/>
  <c r="S750" i="38"/>
  <c r="F85" i="111"/>
  <c r="M19" i="110"/>
  <c r="H85" i="110"/>
  <c r="K19" i="111"/>
  <c r="H19" i="110"/>
  <c r="C19" i="110"/>
  <c r="M85" i="110"/>
  <c r="F19" i="110"/>
  <c r="C85" i="111"/>
  <c r="C85" i="110"/>
  <c r="H19" i="111"/>
  <c r="K19" i="110"/>
  <c r="H85" i="111"/>
  <c r="F85" i="110"/>
  <c r="K85" i="110"/>
  <c r="M85" i="111"/>
  <c r="F19" i="111"/>
  <c r="C19" i="111"/>
  <c r="M19" i="111"/>
  <c r="K85" i="111"/>
  <c r="Q3" i="112" l="1"/>
  <c r="Q6" i="112" s="1"/>
  <c r="Q9" i="112" s="1"/>
  <c r="O750" i="38"/>
  <c r="Q3" i="113"/>
  <c r="Q6" i="113" s="1"/>
  <c r="Q8" i="113"/>
  <c r="Q7" i="113" s="1"/>
  <c r="Q7" i="112"/>
  <c r="M66" i="111"/>
  <c r="Q10" i="111" s="1"/>
  <c r="Q2" i="111"/>
  <c r="Q5" i="111" s="1"/>
  <c r="M66" i="110"/>
  <c r="Q10" i="110" s="1"/>
  <c r="Q2" i="110"/>
  <c r="P750" i="38"/>
  <c r="U750" i="38"/>
  <c r="Z750" i="38"/>
  <c r="A749" i="38"/>
  <c r="D749" i="38"/>
  <c r="E749" i="38"/>
  <c r="G749" i="38"/>
  <c r="H749" i="38"/>
  <c r="K749" i="38"/>
  <c r="L749" i="38" s="1"/>
  <c r="M749" i="38"/>
  <c r="N749" i="38" s="1"/>
  <c r="S749" i="38"/>
  <c r="F135" i="51"/>
  <c r="H135" i="51"/>
  <c r="G135" i="51"/>
  <c r="F59" i="86"/>
  <c r="H59" i="86"/>
  <c r="G59" i="86"/>
  <c r="K9" i="86"/>
  <c r="Q3" i="110" l="1"/>
  <c r="Q6" i="110" s="1"/>
  <c r="Q9" i="113"/>
  <c r="Q5" i="110"/>
  <c r="Q8" i="110"/>
  <c r="Q7" i="110" s="1"/>
  <c r="P749" i="38"/>
  <c r="Q3" i="111"/>
  <c r="Q6" i="111" s="1"/>
  <c r="Q8" i="111"/>
  <c r="Q7" i="111" s="1"/>
  <c r="Q9" i="110"/>
  <c r="O749" i="38"/>
  <c r="Z749" i="38"/>
  <c r="U749" i="38"/>
  <c r="F32" i="58"/>
  <c r="F108" i="46"/>
  <c r="G108" i="46"/>
  <c r="H108" i="46"/>
  <c r="A748" i="38"/>
  <c r="D748" i="38"/>
  <c r="E748" i="38"/>
  <c r="G748" i="38"/>
  <c r="H748" i="38"/>
  <c r="K748" i="38"/>
  <c r="L748" i="38" s="1"/>
  <c r="M748" i="38"/>
  <c r="N748" i="38" s="1"/>
  <c r="S748" i="38"/>
  <c r="F34" i="108"/>
  <c r="H34" i="108"/>
  <c r="G34" i="108"/>
  <c r="F5" i="108"/>
  <c r="F348" i="25"/>
  <c r="H348" i="25"/>
  <c r="G348" i="25"/>
  <c r="F100" i="25"/>
  <c r="F161" i="58"/>
  <c r="H161" i="58"/>
  <c r="G161" i="58"/>
  <c r="K28" i="58"/>
  <c r="F58" i="86"/>
  <c r="H58" i="86"/>
  <c r="G58" i="86"/>
  <c r="K8" i="86"/>
  <c r="Q9" i="111" l="1"/>
  <c r="O748" i="38"/>
  <c r="Z748" i="38"/>
  <c r="P748" i="38"/>
  <c r="U748" i="38"/>
  <c r="A747" i="38" l="1"/>
  <c r="D747" i="38"/>
  <c r="E747" i="38"/>
  <c r="G747" i="38"/>
  <c r="H747" i="38"/>
  <c r="K747" i="38"/>
  <c r="L747" i="38" s="1"/>
  <c r="M747" i="38"/>
  <c r="N747" i="38" s="1"/>
  <c r="S747" i="38"/>
  <c r="F49" i="101"/>
  <c r="H49" i="101"/>
  <c r="G49" i="101"/>
  <c r="F10" i="101"/>
  <c r="F48" i="99"/>
  <c r="H48" i="99"/>
  <c r="G48" i="99"/>
  <c r="F8" i="99"/>
  <c r="F107" i="46"/>
  <c r="H107" i="46"/>
  <c r="G107" i="46"/>
  <c r="F33" i="46"/>
  <c r="F32" i="46"/>
  <c r="P747" i="38" l="1"/>
  <c r="O747" i="38"/>
  <c r="Z747" i="38"/>
  <c r="U747" i="38"/>
  <c r="A746" i="38"/>
  <c r="D746" i="38"/>
  <c r="E746" i="38"/>
  <c r="G746" i="38"/>
  <c r="H746" i="38"/>
  <c r="K746" i="38"/>
  <c r="L746" i="38" s="1"/>
  <c r="M746" i="38"/>
  <c r="U746" i="38" s="1"/>
  <c r="S746" i="38"/>
  <c r="N746" i="38" l="1"/>
  <c r="O746" i="38" s="1"/>
  <c r="P746" i="38"/>
  <c r="M72" i="109"/>
  <c r="K72" i="109"/>
  <c r="H72" i="109"/>
  <c r="F72" i="109"/>
  <c r="C72" i="109"/>
  <c r="P39" i="109"/>
  <c r="P38" i="109"/>
  <c r="P37" i="109"/>
  <c r="P36" i="109"/>
  <c r="P35" i="109"/>
  <c r="P34" i="109"/>
  <c r="P33" i="109"/>
  <c r="P32" i="109"/>
  <c r="P31" i="109"/>
  <c r="P30" i="109"/>
  <c r="P29" i="109"/>
  <c r="P28" i="109"/>
  <c r="P27" i="109"/>
  <c r="P26" i="109"/>
  <c r="P25" i="109"/>
  <c r="P24" i="109"/>
  <c r="P23" i="109"/>
  <c r="P22" i="109"/>
  <c r="P21" i="109"/>
  <c r="P20" i="109"/>
  <c r="P19" i="109"/>
  <c r="M18" i="109"/>
  <c r="K18" i="109"/>
  <c r="H18" i="109"/>
  <c r="C18" i="109"/>
  <c r="Q11" i="109"/>
  <c r="F2" i="109"/>
  <c r="F18" i="109" s="1"/>
  <c r="F33" i="108"/>
  <c r="H33" i="108"/>
  <c r="G33" i="108"/>
  <c r="F4" i="108"/>
  <c r="F134" i="51"/>
  <c r="H134" i="51"/>
  <c r="G134" i="51"/>
  <c r="F347" i="25"/>
  <c r="G347" i="25"/>
  <c r="H347" i="25"/>
  <c r="C73" i="109"/>
  <c r="C19" i="109"/>
  <c r="K19" i="109"/>
  <c r="H19" i="109"/>
  <c r="F19" i="109"/>
  <c r="H73" i="109"/>
  <c r="M19" i="109"/>
  <c r="M73" i="109"/>
  <c r="F73" i="109"/>
  <c r="K73" i="109"/>
  <c r="Q10" i="109" l="1"/>
  <c r="Z746" i="38"/>
  <c r="Q2" i="109"/>
  <c r="Q5" i="109" s="1"/>
  <c r="A745" i="38"/>
  <c r="D745" i="38"/>
  <c r="E745" i="38"/>
  <c r="G745" i="38"/>
  <c r="H745" i="38"/>
  <c r="K745" i="38"/>
  <c r="L745" i="38" s="1"/>
  <c r="M745" i="38"/>
  <c r="U745" i="38" s="1"/>
  <c r="S745" i="38"/>
  <c r="Q8" i="109" l="1"/>
  <c r="Q7" i="109" s="1"/>
  <c r="Q3" i="109"/>
  <c r="Q6" i="109" s="1"/>
  <c r="P745" i="38"/>
  <c r="N745" i="38"/>
  <c r="A744" i="38"/>
  <c r="D744" i="38"/>
  <c r="E744" i="38"/>
  <c r="G744" i="38"/>
  <c r="H744" i="38"/>
  <c r="K744" i="38"/>
  <c r="L744" i="38" s="1"/>
  <c r="M744" i="38"/>
  <c r="N744" i="38" s="1"/>
  <c r="S744" i="38"/>
  <c r="Q9" i="109" l="1"/>
  <c r="Z745" i="38"/>
  <c r="O745" i="38"/>
  <c r="P744" i="38"/>
  <c r="U744" i="38"/>
  <c r="O744" i="38"/>
  <c r="Z744" i="38"/>
  <c r="F346" i="25"/>
  <c r="G346" i="25"/>
  <c r="H346" i="25"/>
  <c r="F57" i="86" l="1"/>
  <c r="H57" i="86"/>
  <c r="G57" i="86"/>
  <c r="K7" i="86"/>
  <c r="F39" i="69"/>
  <c r="H39" i="69"/>
  <c r="G39" i="69"/>
  <c r="K5" i="69"/>
  <c r="A743" i="38"/>
  <c r="D743" i="38"/>
  <c r="E743" i="38"/>
  <c r="G743" i="38"/>
  <c r="H743" i="38"/>
  <c r="K743" i="38"/>
  <c r="L743" i="38" s="1"/>
  <c r="M743" i="38"/>
  <c r="N743" i="38" s="1"/>
  <c r="S743" i="38"/>
  <c r="O743" i="38" l="1"/>
  <c r="Z743" i="38"/>
  <c r="P743" i="38"/>
  <c r="U743" i="38"/>
  <c r="S742" i="38"/>
  <c r="A742" i="38"/>
  <c r="D742" i="38"/>
  <c r="E742" i="38"/>
  <c r="G742" i="38"/>
  <c r="H742" i="38"/>
  <c r="K742" i="38"/>
  <c r="L742" i="38" s="1"/>
  <c r="M742" i="38"/>
  <c r="N742" i="38" s="1"/>
  <c r="F345" i="25"/>
  <c r="H345" i="25"/>
  <c r="G345" i="25"/>
  <c r="K82" i="25"/>
  <c r="F37" i="95"/>
  <c r="H37" i="95"/>
  <c r="G37" i="95"/>
  <c r="O742" i="38" l="1"/>
  <c r="Z742" i="38"/>
  <c r="P742" i="38"/>
  <c r="U742" i="38"/>
  <c r="A741" i="38"/>
  <c r="D741" i="38"/>
  <c r="E741" i="38"/>
  <c r="G741" i="38"/>
  <c r="H741" i="38"/>
  <c r="K741" i="38"/>
  <c r="L741" i="38" s="1"/>
  <c r="M741" i="38"/>
  <c r="N741" i="38" s="1"/>
  <c r="S741" i="38"/>
  <c r="O741" i="38" l="1"/>
  <c r="P741" i="38"/>
  <c r="U741" i="38"/>
  <c r="Z741" i="38"/>
  <c r="A740" i="38"/>
  <c r="D740" i="38"/>
  <c r="E740" i="38"/>
  <c r="G740" i="38"/>
  <c r="H740" i="38"/>
  <c r="K740" i="38"/>
  <c r="L740" i="38" s="1"/>
  <c r="M740" i="38"/>
  <c r="N740" i="38" s="1"/>
  <c r="S740" i="38"/>
  <c r="F32" i="108"/>
  <c r="G32" i="108"/>
  <c r="H32" i="108"/>
  <c r="F3" i="108"/>
  <c r="F49" i="98"/>
  <c r="H49" i="98"/>
  <c r="G49" i="98"/>
  <c r="K8" i="98"/>
  <c r="H18" i="98"/>
  <c r="G62" i="74"/>
  <c r="F62" i="74"/>
  <c r="H62" i="74"/>
  <c r="F9" i="74"/>
  <c r="O740" i="38" l="1"/>
  <c r="P740" i="38"/>
  <c r="U740" i="38"/>
  <c r="Z740" i="38"/>
  <c r="F38" i="69"/>
  <c r="H38" i="69"/>
  <c r="G38" i="69"/>
  <c r="F6" i="69"/>
  <c r="A739" i="38"/>
  <c r="D739" i="38"/>
  <c r="E739" i="38"/>
  <c r="G739" i="38"/>
  <c r="H739" i="38"/>
  <c r="K739" i="38"/>
  <c r="L739" i="38" s="1"/>
  <c r="M739" i="38"/>
  <c r="N739" i="38" s="1"/>
  <c r="S739" i="38"/>
  <c r="F45" i="90"/>
  <c r="H45" i="90"/>
  <c r="G45" i="90"/>
  <c r="F8" i="90"/>
  <c r="O739" i="38" l="1"/>
  <c r="Z739" i="38"/>
  <c r="P739" i="38"/>
  <c r="U739" i="38"/>
  <c r="A738" i="38"/>
  <c r="D738" i="38"/>
  <c r="E738" i="38"/>
  <c r="G738" i="38"/>
  <c r="H738" i="38"/>
  <c r="K738" i="38"/>
  <c r="L738" i="38" s="1"/>
  <c r="M738" i="38"/>
  <c r="U738" i="38" s="1"/>
  <c r="S738" i="38"/>
  <c r="F344" i="25"/>
  <c r="H344" i="25"/>
  <c r="G344" i="25"/>
  <c r="K81" i="25"/>
  <c r="F34" i="107"/>
  <c r="H34" i="107"/>
  <c r="G34" i="107"/>
  <c r="F4" i="107"/>
  <c r="F56" i="86"/>
  <c r="H56" i="86"/>
  <c r="G56" i="86"/>
  <c r="F11" i="86"/>
  <c r="F106" i="46"/>
  <c r="H106" i="46"/>
  <c r="G106" i="46"/>
  <c r="F105" i="46"/>
  <c r="H105" i="46"/>
  <c r="G105" i="46"/>
  <c r="F31" i="46"/>
  <c r="F30" i="46"/>
  <c r="F50" i="102"/>
  <c r="H50" i="102"/>
  <c r="G50" i="102"/>
  <c r="F7" i="102"/>
  <c r="F52" i="96"/>
  <c r="H52" i="96"/>
  <c r="G52" i="96"/>
  <c r="F8" i="96"/>
  <c r="N738" i="38" l="1"/>
  <c r="O738" i="38" s="1"/>
  <c r="P738" i="38"/>
  <c r="F37" i="53"/>
  <c r="G37" i="53"/>
  <c r="H37" i="53"/>
  <c r="Z738" i="38" l="1"/>
  <c r="F36" i="95" l="1"/>
  <c r="G36" i="95"/>
  <c r="H36" i="95"/>
  <c r="F55" i="86" l="1"/>
  <c r="G55" i="86"/>
  <c r="H55" i="86"/>
  <c r="F48" i="98"/>
  <c r="G48" i="98"/>
  <c r="H48" i="98"/>
  <c r="F33" i="97"/>
  <c r="G33" i="97"/>
  <c r="H33" i="97"/>
  <c r="F42" i="105"/>
  <c r="G42" i="105"/>
  <c r="H42" i="105"/>
  <c r="F63" i="93"/>
  <c r="G63" i="93"/>
  <c r="H63" i="93"/>
  <c r="F104" i="46"/>
  <c r="G104" i="46"/>
  <c r="H104" i="46"/>
  <c r="F343" i="25"/>
  <c r="G343" i="25"/>
  <c r="H343" i="25"/>
  <c r="F133" i="51"/>
  <c r="G133" i="51"/>
  <c r="H133" i="51"/>
  <c r="A737" i="38"/>
  <c r="D737" i="38"/>
  <c r="E737" i="38"/>
  <c r="G737" i="38"/>
  <c r="H737" i="38"/>
  <c r="K737" i="38"/>
  <c r="L737" i="38" s="1"/>
  <c r="M737" i="38"/>
  <c r="U737" i="38" s="1"/>
  <c r="S737" i="38"/>
  <c r="N737" i="38" l="1"/>
  <c r="O737" i="38" s="1"/>
  <c r="P737" i="38"/>
  <c r="F54" i="86"/>
  <c r="G54" i="86"/>
  <c r="H54" i="86"/>
  <c r="F85" i="84"/>
  <c r="G85" i="84"/>
  <c r="H85" i="84"/>
  <c r="F103" i="46"/>
  <c r="H103" i="46"/>
  <c r="G103" i="46"/>
  <c r="K17" i="46"/>
  <c r="F33" i="107"/>
  <c r="H33" i="107"/>
  <c r="G33" i="107"/>
  <c r="K2" i="107"/>
  <c r="K18" i="107" s="1"/>
  <c r="F48" i="101"/>
  <c r="G48" i="101"/>
  <c r="H48" i="101"/>
  <c r="H47" i="101"/>
  <c r="G47" i="101"/>
  <c r="F47" i="101"/>
  <c r="K9" i="101"/>
  <c r="F160" i="58"/>
  <c r="G160" i="58"/>
  <c r="H160" i="58"/>
  <c r="A735" i="38"/>
  <c r="A736" i="38"/>
  <c r="D736" i="38"/>
  <c r="E736" i="38"/>
  <c r="G736" i="38"/>
  <c r="H736" i="38"/>
  <c r="K736" i="38"/>
  <c r="L736" i="38" s="1"/>
  <c r="M736" i="38"/>
  <c r="N736" i="38" s="1"/>
  <c r="S736" i="38"/>
  <c r="Z737" i="38" l="1"/>
  <c r="O736" i="38"/>
  <c r="Z736" i="38"/>
  <c r="P736" i="38"/>
  <c r="U736" i="38"/>
  <c r="F61" i="74"/>
  <c r="G61" i="74"/>
  <c r="H61" i="74"/>
  <c r="F31" i="108"/>
  <c r="G31" i="108"/>
  <c r="H31" i="108"/>
  <c r="F32" i="97"/>
  <c r="G32" i="97"/>
  <c r="H32" i="97"/>
  <c r="F41" i="105"/>
  <c r="G41" i="105"/>
  <c r="H41" i="105"/>
  <c r="F62" i="93"/>
  <c r="G62" i="93"/>
  <c r="H62" i="93"/>
  <c r="F342" i="25"/>
  <c r="G342" i="25"/>
  <c r="H342" i="25"/>
  <c r="F44" i="90"/>
  <c r="G44" i="90"/>
  <c r="H44" i="90"/>
  <c r="K6" i="90"/>
  <c r="F84" i="84"/>
  <c r="H84" i="84"/>
  <c r="G84" i="84"/>
  <c r="F17" i="84"/>
  <c r="K12" i="84"/>
  <c r="D735" i="38"/>
  <c r="E735" i="38"/>
  <c r="G735" i="38"/>
  <c r="H735" i="38"/>
  <c r="K735" i="38"/>
  <c r="L735" i="38" s="1"/>
  <c r="M735" i="38"/>
  <c r="N735" i="38" s="1"/>
  <c r="S735" i="38"/>
  <c r="O735" i="38" l="1"/>
  <c r="P735" i="38"/>
  <c r="U735" i="38"/>
  <c r="Z735" i="38"/>
  <c r="F51" i="96"/>
  <c r="G51" i="96"/>
  <c r="H51" i="96"/>
  <c r="K733" i="38"/>
  <c r="L733" i="38" s="1"/>
  <c r="K734" i="38"/>
  <c r="L734" i="38" s="1"/>
  <c r="G733" i="38"/>
  <c r="G734" i="38"/>
  <c r="D734" i="38"/>
  <c r="G86" i="43"/>
  <c r="F86" i="43"/>
  <c r="H86" i="43"/>
  <c r="F21" i="43"/>
  <c r="F341" i="25"/>
  <c r="H341" i="25"/>
  <c r="G341" i="25"/>
  <c r="K80" i="25"/>
  <c r="F132" i="51"/>
  <c r="G132" i="51"/>
  <c r="H132" i="51"/>
  <c r="F37" i="69"/>
  <c r="H37" i="69"/>
  <c r="G37" i="69"/>
  <c r="K4" i="69"/>
  <c r="A734" i="38"/>
  <c r="E734" i="38"/>
  <c r="H734" i="38"/>
  <c r="M734" i="38"/>
  <c r="N734" i="38" s="1"/>
  <c r="S734" i="38"/>
  <c r="P734" i="38" l="1"/>
  <c r="O734" i="38"/>
  <c r="Z734" i="38"/>
  <c r="U734" i="38"/>
  <c r="F85" i="43"/>
  <c r="G85" i="43"/>
  <c r="H85" i="43"/>
  <c r="F131" i="51"/>
  <c r="H131" i="51"/>
  <c r="G131" i="51"/>
  <c r="K27" i="58"/>
  <c r="F159" i="58"/>
  <c r="G159" i="58"/>
  <c r="H159" i="58"/>
  <c r="F158" i="58"/>
  <c r="H158" i="58"/>
  <c r="G158" i="58"/>
  <c r="K26" i="58"/>
  <c r="A733" i="38" l="1"/>
  <c r="D733" i="38"/>
  <c r="P733" i="38" s="1"/>
  <c r="E733" i="38"/>
  <c r="H733" i="38"/>
  <c r="M733" i="38"/>
  <c r="N733" i="38" s="1"/>
  <c r="S733" i="38"/>
  <c r="C19" i="89"/>
  <c r="O733" i="38" l="1"/>
  <c r="Z733" i="38"/>
  <c r="U733" i="38"/>
  <c r="F32" i="107"/>
  <c r="G32" i="107"/>
  <c r="H32" i="107"/>
  <c r="F340" i="25"/>
  <c r="G340" i="25"/>
  <c r="H340" i="25"/>
  <c r="F31" i="97" l="1"/>
  <c r="G31" i="97"/>
  <c r="H31" i="97"/>
  <c r="F57" i="45"/>
  <c r="G57" i="45"/>
  <c r="H57" i="45"/>
  <c r="A732" i="38"/>
  <c r="D732" i="38"/>
  <c r="E732" i="38"/>
  <c r="G732" i="38"/>
  <c r="H732" i="38"/>
  <c r="K732" i="38"/>
  <c r="L732" i="38" s="1"/>
  <c r="M732" i="38"/>
  <c r="N732" i="38" s="1"/>
  <c r="S732" i="38"/>
  <c r="F50" i="96"/>
  <c r="G50" i="96"/>
  <c r="H50" i="96"/>
  <c r="F130" i="51"/>
  <c r="G130" i="51"/>
  <c r="H130" i="51"/>
  <c r="F102" i="46"/>
  <c r="G102" i="46"/>
  <c r="H102" i="46"/>
  <c r="P732" i="38" l="1"/>
  <c r="Z732" i="38"/>
  <c r="O732" i="38"/>
  <c r="U732" i="38"/>
  <c r="F339" i="25"/>
  <c r="G339" i="25"/>
  <c r="H339" i="25"/>
  <c r="F47" i="98"/>
  <c r="G47" i="98"/>
  <c r="H47" i="98"/>
  <c r="F40" i="105"/>
  <c r="G40" i="105"/>
  <c r="H40" i="105"/>
  <c r="F61" i="93"/>
  <c r="G61" i="93"/>
  <c r="H61" i="93"/>
  <c r="A731" i="38"/>
  <c r="D731" i="38"/>
  <c r="E731" i="38"/>
  <c r="G731" i="38"/>
  <c r="H731" i="38"/>
  <c r="K731" i="38"/>
  <c r="L731" i="38" s="1"/>
  <c r="M731" i="38"/>
  <c r="N731" i="38" s="1"/>
  <c r="S731" i="38"/>
  <c r="F129" i="51"/>
  <c r="H129" i="51"/>
  <c r="G129" i="51"/>
  <c r="P731" i="38" l="1"/>
  <c r="O731" i="38"/>
  <c r="Z731" i="38"/>
  <c r="U731" i="38"/>
  <c r="F31" i="107"/>
  <c r="G31" i="107"/>
  <c r="H31" i="107"/>
  <c r="F128" i="51"/>
  <c r="G128" i="51"/>
  <c r="H128" i="51"/>
  <c r="F53" i="103"/>
  <c r="G53" i="103"/>
  <c r="H53" i="103"/>
  <c r="F39" i="105"/>
  <c r="G39" i="105"/>
  <c r="H39" i="105"/>
  <c r="F49" i="96"/>
  <c r="G49" i="96"/>
  <c r="H49" i="96"/>
  <c r="F157" i="58"/>
  <c r="G157" i="58"/>
  <c r="H157" i="58"/>
  <c r="F101" i="46"/>
  <c r="G101" i="46"/>
  <c r="H101" i="46"/>
  <c r="F60" i="93"/>
  <c r="H60" i="93"/>
  <c r="G60" i="93"/>
  <c r="K8" i="93"/>
  <c r="K7" i="93"/>
  <c r="F49" i="102"/>
  <c r="H49" i="102"/>
  <c r="G49" i="102"/>
  <c r="K7" i="102"/>
  <c r="K6" i="102"/>
  <c r="G56" i="45"/>
  <c r="F56" i="45"/>
  <c r="H56" i="45"/>
  <c r="F12" i="45"/>
  <c r="F83" i="84"/>
  <c r="H83" i="84"/>
  <c r="G83" i="84"/>
  <c r="K11" i="84"/>
  <c r="F16" i="84"/>
  <c r="F60" i="74"/>
  <c r="H60" i="74"/>
  <c r="G60" i="74"/>
  <c r="K5" i="74"/>
  <c r="A730" i="38"/>
  <c r="D730" i="38"/>
  <c r="E730" i="38"/>
  <c r="G730" i="38"/>
  <c r="H730" i="38"/>
  <c r="K730" i="38"/>
  <c r="L730" i="38" s="1"/>
  <c r="M730" i="38"/>
  <c r="U730" i="38" s="1"/>
  <c r="S730" i="38"/>
  <c r="N730" i="38" l="1"/>
  <c r="O730" i="38" s="1"/>
  <c r="P730" i="38"/>
  <c r="F30" i="97"/>
  <c r="G30" i="97"/>
  <c r="H30" i="97"/>
  <c r="F52" i="103"/>
  <c r="G52" i="103"/>
  <c r="H52" i="103"/>
  <c r="F156" i="58"/>
  <c r="G156" i="58"/>
  <c r="H156" i="58"/>
  <c r="A729" i="38"/>
  <c r="D729" i="38"/>
  <c r="E729" i="38"/>
  <c r="G729" i="38"/>
  <c r="H729" i="38"/>
  <c r="K729" i="38"/>
  <c r="L729" i="38" s="1"/>
  <c r="M729" i="38"/>
  <c r="N729" i="38" s="1"/>
  <c r="S729" i="38"/>
  <c r="F30" i="107"/>
  <c r="H30" i="107"/>
  <c r="G30" i="107"/>
  <c r="F3" i="107"/>
  <c r="Z730" i="38" l="1"/>
  <c r="P729" i="38"/>
  <c r="U729" i="38"/>
  <c r="O729" i="38"/>
  <c r="Z729" i="38"/>
  <c r="A728" i="38"/>
  <c r="D728" i="38"/>
  <c r="E728" i="38"/>
  <c r="G728" i="38"/>
  <c r="H728" i="38"/>
  <c r="K728" i="38"/>
  <c r="L728" i="38" s="1"/>
  <c r="M728" i="38"/>
  <c r="N728" i="38" s="1"/>
  <c r="S728" i="38"/>
  <c r="F29" i="97"/>
  <c r="G29" i="97"/>
  <c r="H29" i="97"/>
  <c r="F4" i="97"/>
  <c r="F59" i="74"/>
  <c r="H59" i="74"/>
  <c r="G59" i="74"/>
  <c r="F8" i="74"/>
  <c r="F338" i="25"/>
  <c r="H338" i="25"/>
  <c r="G338" i="25"/>
  <c r="P728" i="38" l="1"/>
  <c r="O728" i="38"/>
  <c r="Z728" i="38"/>
  <c r="U728" i="38"/>
  <c r="F38" i="105"/>
  <c r="H38" i="105"/>
  <c r="G38" i="105"/>
  <c r="F48" i="96"/>
  <c r="G48" i="96"/>
  <c r="H48" i="96"/>
  <c r="A727" i="38"/>
  <c r="D727" i="38"/>
  <c r="E727" i="38"/>
  <c r="G727" i="38"/>
  <c r="H727" i="38"/>
  <c r="K727" i="38"/>
  <c r="L727" i="38" s="1"/>
  <c r="M727" i="38"/>
  <c r="N727" i="38" s="1"/>
  <c r="S727" i="38"/>
  <c r="G85" i="81"/>
  <c r="K18" i="81"/>
  <c r="F84" i="43"/>
  <c r="H84" i="43"/>
  <c r="G84" i="43"/>
  <c r="K12" i="43"/>
  <c r="O727" i="38" l="1"/>
  <c r="P727" i="38"/>
  <c r="U727" i="38"/>
  <c r="Z727" i="38"/>
  <c r="F58" i="74"/>
  <c r="G58" i="74"/>
  <c r="H58" i="74"/>
  <c r="F83" i="43"/>
  <c r="G83" i="43"/>
  <c r="H83" i="43"/>
  <c r="F155" i="58"/>
  <c r="G155" i="58"/>
  <c r="H155" i="58"/>
  <c r="F100" i="46"/>
  <c r="G100" i="46"/>
  <c r="H100" i="46"/>
  <c r="F59" i="93"/>
  <c r="H59" i="93"/>
  <c r="G59" i="93"/>
  <c r="A726" i="38"/>
  <c r="D726" i="38"/>
  <c r="E726" i="38"/>
  <c r="G726" i="38"/>
  <c r="H726" i="38"/>
  <c r="K726" i="38"/>
  <c r="L726" i="38" s="1"/>
  <c r="M726" i="38"/>
  <c r="N726" i="38" s="1"/>
  <c r="S726" i="38"/>
  <c r="F337" i="25"/>
  <c r="H337" i="25"/>
  <c r="G337" i="25"/>
  <c r="F99" i="25"/>
  <c r="F154" i="58"/>
  <c r="G154" i="58"/>
  <c r="H154" i="58"/>
  <c r="F31" i="58"/>
  <c r="P726" i="38" l="1"/>
  <c r="O726" i="38"/>
  <c r="Z726" i="38"/>
  <c r="U726" i="38"/>
  <c r="F46" i="98"/>
  <c r="H46" i="98"/>
  <c r="G46" i="98"/>
  <c r="F31" i="106"/>
  <c r="H31" i="106"/>
  <c r="G31" i="106"/>
  <c r="F48" i="102"/>
  <c r="G48" i="102"/>
  <c r="H48" i="102"/>
  <c r="F37" i="105"/>
  <c r="H37" i="105"/>
  <c r="G37" i="105"/>
  <c r="F99" i="46"/>
  <c r="G99" i="46"/>
  <c r="H99" i="46"/>
  <c r="A725" i="38"/>
  <c r="D725" i="38"/>
  <c r="E725" i="38"/>
  <c r="G725" i="38"/>
  <c r="H725" i="38"/>
  <c r="K725" i="38"/>
  <c r="L725" i="38" s="1"/>
  <c r="M725" i="38"/>
  <c r="U725" i="38" s="1"/>
  <c r="S725" i="38"/>
  <c r="F79" i="88"/>
  <c r="H79" i="88"/>
  <c r="G79" i="88"/>
  <c r="K13" i="88"/>
  <c r="N725" i="38" l="1"/>
  <c r="Z725" i="38" s="1"/>
  <c r="P725" i="38"/>
  <c r="F153" i="58"/>
  <c r="H153" i="58"/>
  <c r="G153" i="58"/>
  <c r="F127" i="51"/>
  <c r="H127" i="51"/>
  <c r="G127" i="51"/>
  <c r="F36" i="53"/>
  <c r="H36" i="53"/>
  <c r="G36" i="53"/>
  <c r="F6" i="53"/>
  <c r="F98" i="25"/>
  <c r="F98" i="46"/>
  <c r="G98" i="46"/>
  <c r="H98" i="46"/>
  <c r="F29" i="46"/>
  <c r="F47" i="96"/>
  <c r="H47" i="96"/>
  <c r="G47" i="96"/>
  <c r="F7" i="96"/>
  <c r="A724" i="38"/>
  <c r="D724" i="38"/>
  <c r="E724" i="38"/>
  <c r="G724" i="38"/>
  <c r="H724" i="38"/>
  <c r="K724" i="38"/>
  <c r="L724" i="38" s="1"/>
  <c r="M724" i="38"/>
  <c r="N724" i="38" s="1"/>
  <c r="S724" i="38"/>
  <c r="F336" i="25"/>
  <c r="G336" i="25"/>
  <c r="H336" i="25"/>
  <c r="O725" i="38" l="1"/>
  <c r="O724" i="38"/>
  <c r="Z724" i="38"/>
  <c r="P724" i="38"/>
  <c r="U724" i="38"/>
  <c r="Q11" i="97"/>
  <c r="F47" i="102" l="1"/>
  <c r="G47" i="102"/>
  <c r="H47" i="102"/>
  <c r="F335" i="25"/>
  <c r="G335" i="25"/>
  <c r="H335" i="25"/>
  <c r="F126" i="51" l="1"/>
  <c r="H126" i="51"/>
  <c r="G126" i="51"/>
  <c r="F82" i="84"/>
  <c r="H82" i="84"/>
  <c r="G82" i="84"/>
  <c r="G82" i="43"/>
  <c r="F82" i="43"/>
  <c r="H82" i="43"/>
  <c r="F36" i="105"/>
  <c r="H36" i="105"/>
  <c r="G36" i="105"/>
  <c r="F84" i="81"/>
  <c r="H84" i="81"/>
  <c r="G84" i="81"/>
  <c r="K17" i="81"/>
  <c r="A723" i="38"/>
  <c r="D723" i="38"/>
  <c r="E723" i="38"/>
  <c r="G723" i="38"/>
  <c r="H723" i="38"/>
  <c r="K723" i="38"/>
  <c r="L723" i="38" s="1"/>
  <c r="M723" i="38"/>
  <c r="N723" i="38" s="1"/>
  <c r="S723" i="38"/>
  <c r="H28" i="97"/>
  <c r="G28" i="97"/>
  <c r="F28" i="97"/>
  <c r="F3" i="97"/>
  <c r="P723" i="38" l="1"/>
  <c r="Z723" i="38"/>
  <c r="O723" i="38"/>
  <c r="U723" i="38"/>
  <c r="F78" i="88"/>
  <c r="H78" i="88"/>
  <c r="G78" i="88"/>
  <c r="F46" i="96"/>
  <c r="H46" i="96"/>
  <c r="G46" i="96"/>
  <c r="F81" i="84"/>
  <c r="G81" i="84"/>
  <c r="H81" i="84"/>
  <c r="F51" i="103"/>
  <c r="H51" i="103"/>
  <c r="G51" i="103"/>
  <c r="F97" i="46"/>
  <c r="G97" i="46"/>
  <c r="H97" i="46"/>
  <c r="F58" i="93"/>
  <c r="G58" i="93"/>
  <c r="H58" i="93"/>
  <c r="A722" i="38" l="1"/>
  <c r="D722" i="38"/>
  <c r="E722" i="38"/>
  <c r="G722" i="38"/>
  <c r="H722" i="38"/>
  <c r="K722" i="38"/>
  <c r="L722" i="38" s="1"/>
  <c r="M722" i="38"/>
  <c r="N722" i="38" s="1"/>
  <c r="S722" i="38"/>
  <c r="F35" i="105"/>
  <c r="H35" i="105"/>
  <c r="G35" i="105"/>
  <c r="F5" i="105"/>
  <c r="F45" i="96"/>
  <c r="H45" i="96"/>
  <c r="G45" i="96"/>
  <c r="P722" i="38" l="1"/>
  <c r="O722" i="38"/>
  <c r="Z722" i="38"/>
  <c r="U722" i="38"/>
  <c r="G53" i="86"/>
  <c r="F53" i="86"/>
  <c r="H53" i="86"/>
  <c r="F125" i="51"/>
  <c r="H125" i="51"/>
  <c r="G125" i="51"/>
  <c r="F45" i="98"/>
  <c r="G45" i="98"/>
  <c r="H45" i="98"/>
  <c r="F152" i="58"/>
  <c r="H152" i="58"/>
  <c r="G152" i="58"/>
  <c r="F96" i="46"/>
  <c r="G96" i="46"/>
  <c r="H96" i="46"/>
  <c r="A721" i="38"/>
  <c r="D721" i="38"/>
  <c r="E721" i="38"/>
  <c r="G721" i="38"/>
  <c r="H721" i="38"/>
  <c r="K721" i="38"/>
  <c r="L721" i="38" s="1"/>
  <c r="M721" i="38"/>
  <c r="N721" i="38" s="1"/>
  <c r="S721" i="38"/>
  <c r="F334" i="25"/>
  <c r="H334" i="25"/>
  <c r="G334" i="25"/>
  <c r="K79" i="25"/>
  <c r="F57" i="93"/>
  <c r="H57" i="93"/>
  <c r="G57" i="93"/>
  <c r="F11" i="93"/>
  <c r="C18" i="98"/>
  <c r="F57" i="74"/>
  <c r="H57" i="74"/>
  <c r="G57" i="74"/>
  <c r="H50" i="103"/>
  <c r="G50" i="103"/>
  <c r="F50" i="103"/>
  <c r="F333" i="25"/>
  <c r="G333" i="25"/>
  <c r="H333" i="25"/>
  <c r="A720" i="38"/>
  <c r="D720" i="38"/>
  <c r="E720" i="38"/>
  <c r="G720" i="38"/>
  <c r="H720" i="38"/>
  <c r="K720" i="38"/>
  <c r="L720" i="38" s="1"/>
  <c r="M720" i="38"/>
  <c r="N720" i="38" s="1"/>
  <c r="S720" i="38"/>
  <c r="F81" i="43"/>
  <c r="H81" i="43"/>
  <c r="G81" i="43"/>
  <c r="F20" i="43"/>
  <c r="O721" i="38" l="1"/>
  <c r="Z721" i="38"/>
  <c r="P721" i="38"/>
  <c r="U721" i="38"/>
  <c r="O720" i="38"/>
  <c r="Z720" i="38"/>
  <c r="P720" i="38"/>
  <c r="U720" i="38"/>
  <c r="A719" i="38"/>
  <c r="D719" i="38"/>
  <c r="E719" i="38"/>
  <c r="G719" i="38"/>
  <c r="H719" i="38"/>
  <c r="K719" i="38"/>
  <c r="L719" i="38" s="1"/>
  <c r="M719" i="38"/>
  <c r="N719" i="38" s="1"/>
  <c r="S719" i="38"/>
  <c r="F77" i="88"/>
  <c r="H77" i="88"/>
  <c r="G77" i="88"/>
  <c r="K12" i="88"/>
  <c r="F52" i="86"/>
  <c r="H52" i="86"/>
  <c r="G52" i="86"/>
  <c r="K6" i="86"/>
  <c r="F36" i="69"/>
  <c r="H36" i="69"/>
  <c r="G36" i="69"/>
  <c r="K3" i="69"/>
  <c r="F332" i="25"/>
  <c r="G332" i="25"/>
  <c r="H332" i="25"/>
  <c r="K78" i="25"/>
  <c r="G44" i="98"/>
  <c r="F44" i="98"/>
  <c r="H44" i="98"/>
  <c r="K7" i="98"/>
  <c r="F151" i="58"/>
  <c r="H151" i="58"/>
  <c r="G151" i="58"/>
  <c r="K25" i="58"/>
  <c r="F97" i="25"/>
  <c r="F34" i="105"/>
  <c r="H34" i="105"/>
  <c r="G34" i="105"/>
  <c r="K2" i="105"/>
  <c r="K18" i="105" s="1"/>
  <c r="F35" i="53"/>
  <c r="H35" i="53"/>
  <c r="G35" i="53"/>
  <c r="K4" i="53"/>
  <c r="F331" i="25"/>
  <c r="G331" i="25"/>
  <c r="H331" i="25"/>
  <c r="F96" i="25"/>
  <c r="P719" i="38" l="1"/>
  <c r="Z719" i="38"/>
  <c r="O719" i="38"/>
  <c r="U719" i="38"/>
  <c r="F56" i="93"/>
  <c r="H56" i="93"/>
  <c r="G56" i="93"/>
  <c r="F88" i="25"/>
  <c r="F33" i="105"/>
  <c r="H33" i="105"/>
  <c r="G33" i="105"/>
  <c r="F35" i="69"/>
  <c r="H35" i="69"/>
  <c r="G35" i="69"/>
  <c r="F330" i="25"/>
  <c r="G330" i="25"/>
  <c r="H330" i="25"/>
  <c r="G76" i="88"/>
  <c r="F76" i="88"/>
  <c r="H76" i="88"/>
  <c r="F19" i="88"/>
  <c r="F47" i="99"/>
  <c r="H47" i="99"/>
  <c r="G47" i="99"/>
  <c r="K7" i="99"/>
  <c r="F43" i="98"/>
  <c r="H43" i="98"/>
  <c r="G43" i="98"/>
  <c r="F42" i="98"/>
  <c r="H42" i="98"/>
  <c r="G42" i="98"/>
  <c r="F8" i="98"/>
  <c r="F7" i="98"/>
  <c r="A718" i="38"/>
  <c r="D718" i="38"/>
  <c r="E718" i="38"/>
  <c r="G718" i="38"/>
  <c r="H718" i="38"/>
  <c r="K718" i="38"/>
  <c r="L718" i="38" s="1"/>
  <c r="M718" i="38"/>
  <c r="N718" i="38" s="1"/>
  <c r="S718" i="38"/>
  <c r="O718" i="38" l="1"/>
  <c r="P718" i="38"/>
  <c r="U718" i="38"/>
  <c r="Z718" i="38"/>
  <c r="A717" i="38"/>
  <c r="D717" i="38"/>
  <c r="E717" i="38"/>
  <c r="G717" i="38"/>
  <c r="H717" i="38"/>
  <c r="K717" i="38"/>
  <c r="L717" i="38" s="1"/>
  <c r="M717" i="38"/>
  <c r="N717" i="38" s="1"/>
  <c r="S717" i="38"/>
  <c r="H43" i="43"/>
  <c r="F41" i="98"/>
  <c r="H41" i="98"/>
  <c r="G41" i="98"/>
  <c r="F6" i="98"/>
  <c r="K77" i="25"/>
  <c r="H40" i="98"/>
  <c r="G40" i="98"/>
  <c r="K6" i="98"/>
  <c r="P717" i="38" l="1"/>
  <c r="O717" i="38"/>
  <c r="Z717" i="38"/>
  <c r="U717" i="38"/>
  <c r="F83" i="81"/>
  <c r="G83" i="81"/>
  <c r="H83" i="81"/>
  <c r="F34" i="53"/>
  <c r="H34" i="53"/>
  <c r="G34" i="53"/>
  <c r="F29" i="107"/>
  <c r="G29" i="107"/>
  <c r="H29" i="107"/>
  <c r="F30" i="106"/>
  <c r="G30" i="106"/>
  <c r="H30" i="106"/>
  <c r="F55" i="45"/>
  <c r="G55" i="45"/>
  <c r="H55" i="45"/>
  <c r="K8" i="45"/>
  <c r="F329" i="25"/>
  <c r="H329" i="25"/>
  <c r="G329" i="25"/>
  <c r="K76" i="25"/>
  <c r="F328" i="25"/>
  <c r="H328" i="25"/>
  <c r="G328" i="25"/>
  <c r="K75" i="25"/>
  <c r="A716" i="38"/>
  <c r="D716" i="38"/>
  <c r="E716" i="38"/>
  <c r="G716" i="38"/>
  <c r="H716" i="38"/>
  <c r="K716" i="38"/>
  <c r="L716" i="38" s="1"/>
  <c r="M716" i="38"/>
  <c r="N716" i="38" s="1"/>
  <c r="S716" i="38"/>
  <c r="O716" i="38" l="1"/>
  <c r="Z716" i="38"/>
  <c r="P716" i="38"/>
  <c r="U716" i="38"/>
  <c r="F34" i="69"/>
  <c r="H34" i="69"/>
  <c r="G34" i="69"/>
  <c r="F5" i="69"/>
  <c r="F55" i="93"/>
  <c r="G55" i="93"/>
  <c r="H55" i="93"/>
  <c r="F327" i="25"/>
  <c r="G327" i="25"/>
  <c r="H327" i="25"/>
  <c r="F150" i="58"/>
  <c r="G150" i="58"/>
  <c r="H150" i="58"/>
  <c r="A715" i="38"/>
  <c r="D715" i="38"/>
  <c r="E715" i="38"/>
  <c r="G715" i="38"/>
  <c r="H715" i="38"/>
  <c r="K715" i="38"/>
  <c r="L715" i="38" s="1"/>
  <c r="M715" i="38"/>
  <c r="U715" i="38" s="1"/>
  <c r="S715" i="38"/>
  <c r="F80" i="43"/>
  <c r="H80" i="43"/>
  <c r="G80" i="43"/>
  <c r="F19" i="43"/>
  <c r="P715" i="38" l="1"/>
  <c r="N715" i="38"/>
  <c r="O715" i="38" s="1"/>
  <c r="G43" i="90"/>
  <c r="F43" i="90"/>
  <c r="H43" i="90"/>
  <c r="F39" i="98"/>
  <c r="G39" i="98"/>
  <c r="H39" i="98"/>
  <c r="F46" i="99"/>
  <c r="G46" i="99"/>
  <c r="H46" i="99"/>
  <c r="F56" i="74"/>
  <c r="H56" i="74"/>
  <c r="G56" i="74"/>
  <c r="F82" i="81"/>
  <c r="H82" i="81"/>
  <c r="G82" i="81"/>
  <c r="F49" i="103"/>
  <c r="H49" i="103"/>
  <c r="G49" i="103"/>
  <c r="F149" i="58"/>
  <c r="H149" i="58"/>
  <c r="G149" i="58"/>
  <c r="F54" i="93"/>
  <c r="H54" i="93"/>
  <c r="G54" i="93"/>
  <c r="F30" i="108"/>
  <c r="G30" i="108"/>
  <c r="H30" i="108"/>
  <c r="F95" i="46"/>
  <c r="H95" i="46"/>
  <c r="G95" i="46"/>
  <c r="K16" i="46"/>
  <c r="A714" i="38"/>
  <c r="D714" i="38"/>
  <c r="E714" i="38"/>
  <c r="G714" i="38"/>
  <c r="H714" i="38"/>
  <c r="K714" i="38"/>
  <c r="L714" i="38" s="1"/>
  <c r="M714" i="38"/>
  <c r="N714" i="38" s="1"/>
  <c r="S714" i="38"/>
  <c r="F326" i="25"/>
  <c r="G326" i="25"/>
  <c r="H326" i="25"/>
  <c r="F33" i="69"/>
  <c r="H33" i="69"/>
  <c r="G33" i="69"/>
  <c r="K2" i="69"/>
  <c r="K18" i="69" s="1"/>
  <c r="F3" i="69"/>
  <c r="G75" i="88"/>
  <c r="F75" i="88"/>
  <c r="H75" i="88"/>
  <c r="K11" i="88"/>
  <c r="Z715" i="38" l="1"/>
  <c r="O714" i="38"/>
  <c r="Z714" i="38"/>
  <c r="P714" i="38"/>
  <c r="U714" i="38"/>
  <c r="Q11" i="107"/>
  <c r="Q13" i="107"/>
  <c r="Q13" i="106"/>
  <c r="F28" i="107" l="1"/>
  <c r="G28" i="107"/>
  <c r="H28" i="107"/>
  <c r="F33" i="53"/>
  <c r="G33" i="53"/>
  <c r="H33" i="53"/>
  <c r="F124" i="51"/>
  <c r="G124" i="51"/>
  <c r="H124" i="51"/>
  <c r="F74" i="88"/>
  <c r="G74" i="88"/>
  <c r="H74" i="88"/>
  <c r="F29" i="106"/>
  <c r="G29" i="106"/>
  <c r="H29" i="106"/>
  <c r="F32" i="69"/>
  <c r="G32" i="69"/>
  <c r="H32" i="69"/>
  <c r="F46" i="102"/>
  <c r="G46" i="102"/>
  <c r="H46" i="102"/>
  <c r="F44" i="96"/>
  <c r="G44" i="96"/>
  <c r="H44" i="96"/>
  <c r="F48" i="103"/>
  <c r="G48" i="103"/>
  <c r="H48" i="103"/>
  <c r="F80" i="84"/>
  <c r="G80" i="84"/>
  <c r="H80" i="84"/>
  <c r="F32" i="105"/>
  <c r="G32" i="105"/>
  <c r="H32" i="105"/>
  <c r="F53" i="93"/>
  <c r="H53" i="93"/>
  <c r="G53" i="93"/>
  <c r="F325" i="25"/>
  <c r="G325" i="25"/>
  <c r="H325" i="25"/>
  <c r="K74" i="25"/>
  <c r="F79" i="43"/>
  <c r="H79" i="43"/>
  <c r="G79" i="43"/>
  <c r="K11" i="43"/>
  <c r="F94" i="46"/>
  <c r="H94" i="46"/>
  <c r="G94" i="46"/>
  <c r="F20" i="46"/>
  <c r="K15" i="46"/>
  <c r="A713" i="38"/>
  <c r="D713" i="38"/>
  <c r="E713" i="38"/>
  <c r="G713" i="38"/>
  <c r="H713" i="38"/>
  <c r="K713" i="38"/>
  <c r="L713" i="38" s="1"/>
  <c r="M713" i="38"/>
  <c r="U713" i="38" s="1"/>
  <c r="S713" i="38"/>
  <c r="F31" i="68"/>
  <c r="H31" i="68"/>
  <c r="G31" i="68"/>
  <c r="K3" i="68"/>
  <c r="N713" i="38" l="1"/>
  <c r="O713" i="38" s="1"/>
  <c r="P713" i="38"/>
  <c r="G51" i="86"/>
  <c r="F51" i="86"/>
  <c r="H51" i="86"/>
  <c r="F32" i="53"/>
  <c r="G32" i="53"/>
  <c r="H32" i="53"/>
  <c r="F123" i="51"/>
  <c r="G123" i="51"/>
  <c r="H123" i="51"/>
  <c r="F28" i="106"/>
  <c r="G28" i="106"/>
  <c r="H28" i="106"/>
  <c r="F31" i="69"/>
  <c r="G31" i="69"/>
  <c r="H31" i="69"/>
  <c r="F43" i="96"/>
  <c r="G43" i="96"/>
  <c r="H43" i="96"/>
  <c r="F45" i="102"/>
  <c r="G45" i="102"/>
  <c r="H45" i="102"/>
  <c r="F79" i="84"/>
  <c r="G79" i="84"/>
  <c r="H79" i="84"/>
  <c r="G78" i="43"/>
  <c r="F78" i="43"/>
  <c r="H78" i="43"/>
  <c r="F31" i="105"/>
  <c r="G31" i="105"/>
  <c r="H31" i="105"/>
  <c r="F93" i="46"/>
  <c r="H93" i="46"/>
  <c r="G93" i="46"/>
  <c r="F324" i="25"/>
  <c r="G324" i="25"/>
  <c r="H324" i="25"/>
  <c r="A712" i="38"/>
  <c r="D712" i="38"/>
  <c r="E712" i="38"/>
  <c r="G712" i="38"/>
  <c r="H712" i="38"/>
  <c r="K712" i="38"/>
  <c r="L712" i="38" s="1"/>
  <c r="M712" i="38"/>
  <c r="N712" i="38" s="1"/>
  <c r="S712" i="38"/>
  <c r="F52" i="93"/>
  <c r="H52" i="93"/>
  <c r="G52" i="93"/>
  <c r="K6" i="93"/>
  <c r="Z713" i="38" l="1"/>
  <c r="O712" i="38"/>
  <c r="Z712" i="38"/>
  <c r="P712" i="38"/>
  <c r="U712" i="38"/>
  <c r="A711" i="38"/>
  <c r="D711" i="38"/>
  <c r="E711" i="38"/>
  <c r="G711" i="38"/>
  <c r="H711" i="38"/>
  <c r="K711" i="38"/>
  <c r="L711" i="38" s="1"/>
  <c r="M711" i="38"/>
  <c r="N711" i="38" s="1"/>
  <c r="S711" i="38"/>
  <c r="F30" i="105"/>
  <c r="H30" i="105"/>
  <c r="G30" i="105"/>
  <c r="F29" i="105"/>
  <c r="H29" i="105"/>
  <c r="G29" i="105"/>
  <c r="F4" i="105"/>
  <c r="F148" i="58"/>
  <c r="H148" i="58"/>
  <c r="G148" i="58"/>
  <c r="F30" i="58"/>
  <c r="F53" i="49"/>
  <c r="G53" i="49"/>
  <c r="H53" i="49"/>
  <c r="K6" i="49"/>
  <c r="H46" i="101"/>
  <c r="G46" i="101"/>
  <c r="F9" i="101"/>
  <c r="F47" i="103"/>
  <c r="H47" i="103"/>
  <c r="G47" i="103"/>
  <c r="F7" i="103"/>
  <c r="F323" i="25"/>
  <c r="H323" i="25"/>
  <c r="G323" i="25"/>
  <c r="F322" i="25"/>
  <c r="H322" i="25"/>
  <c r="G322" i="25"/>
  <c r="F95" i="25"/>
  <c r="F94" i="25"/>
  <c r="P711" i="38" l="1"/>
  <c r="O711" i="38"/>
  <c r="Z711" i="38"/>
  <c r="U711" i="38"/>
  <c r="F27" i="107"/>
  <c r="G27" i="107"/>
  <c r="H27" i="107"/>
  <c r="F31" i="53"/>
  <c r="H31" i="53"/>
  <c r="G31" i="53"/>
  <c r="K3" i="53"/>
  <c r="A710" i="38"/>
  <c r="D710" i="38"/>
  <c r="E710" i="38"/>
  <c r="G710" i="38"/>
  <c r="H710" i="38"/>
  <c r="K710" i="38"/>
  <c r="L710" i="38" s="1"/>
  <c r="M710" i="38"/>
  <c r="N710" i="38" s="1"/>
  <c r="S710" i="38"/>
  <c r="O710" i="38" l="1"/>
  <c r="Z710" i="38"/>
  <c r="P710" i="38"/>
  <c r="U710" i="38"/>
  <c r="F55" i="74"/>
  <c r="H55" i="74"/>
  <c r="G55" i="74"/>
  <c r="F45" i="99"/>
  <c r="H45" i="99"/>
  <c r="G45" i="99"/>
  <c r="F30" i="68"/>
  <c r="H30" i="68"/>
  <c r="G30" i="68"/>
  <c r="F54" i="45"/>
  <c r="G54" i="45"/>
  <c r="H54" i="45"/>
  <c r="F46" i="103"/>
  <c r="H46" i="103"/>
  <c r="G46" i="103"/>
  <c r="G73" i="88"/>
  <c r="F73" i="88"/>
  <c r="H73" i="88"/>
  <c r="F30" i="69"/>
  <c r="G30" i="69"/>
  <c r="H30" i="69"/>
  <c r="F81" i="81"/>
  <c r="G81" i="81"/>
  <c r="H81" i="81"/>
  <c r="F42" i="96"/>
  <c r="G42" i="96"/>
  <c r="H42" i="96"/>
  <c r="G147" i="58"/>
  <c r="F147" i="58"/>
  <c r="H147" i="58"/>
  <c r="F30" i="53"/>
  <c r="H30" i="53"/>
  <c r="G30" i="53"/>
  <c r="F51" i="93"/>
  <c r="H51" i="93"/>
  <c r="G51" i="93"/>
  <c r="F321" i="25"/>
  <c r="H321" i="25"/>
  <c r="G321" i="25"/>
  <c r="A709" i="38"/>
  <c r="D709" i="38"/>
  <c r="E709" i="38"/>
  <c r="G709" i="38"/>
  <c r="H709" i="38"/>
  <c r="K709" i="38"/>
  <c r="L709" i="38" s="1"/>
  <c r="M709" i="38"/>
  <c r="N709" i="38" s="1"/>
  <c r="S709" i="38"/>
  <c r="F50" i="86"/>
  <c r="H50" i="86"/>
  <c r="G50" i="86"/>
  <c r="F10" i="86"/>
  <c r="F28" i="105"/>
  <c r="G28" i="105"/>
  <c r="H28" i="105"/>
  <c r="F3" i="105"/>
  <c r="F27" i="106"/>
  <c r="G27" i="106"/>
  <c r="H27" i="106"/>
  <c r="F3" i="106"/>
  <c r="F92" i="46"/>
  <c r="H92" i="46"/>
  <c r="G92" i="46"/>
  <c r="F28" i="46"/>
  <c r="M101" i="108"/>
  <c r="K101" i="108"/>
  <c r="H101" i="108"/>
  <c r="F101" i="108"/>
  <c r="C101" i="108"/>
  <c r="P37" i="108"/>
  <c r="P36" i="108"/>
  <c r="P35" i="108"/>
  <c r="P34" i="108"/>
  <c r="P33" i="108"/>
  <c r="P32" i="108"/>
  <c r="P31" i="108"/>
  <c r="P30" i="108"/>
  <c r="P29" i="108"/>
  <c r="P28" i="108"/>
  <c r="P27" i="108"/>
  <c r="P26" i="108"/>
  <c r="P25" i="108"/>
  <c r="H29" i="108"/>
  <c r="G29" i="108"/>
  <c r="F29" i="108"/>
  <c r="P24" i="108"/>
  <c r="P23" i="108"/>
  <c r="P22" i="108"/>
  <c r="P21" i="108"/>
  <c r="P20" i="108"/>
  <c r="P19" i="108"/>
  <c r="P18" i="108"/>
  <c r="M22" i="108"/>
  <c r="P17" i="108"/>
  <c r="Q11" i="108"/>
  <c r="F2" i="108"/>
  <c r="F22" i="108" s="1"/>
  <c r="F23" i="108"/>
  <c r="H102" i="108"/>
  <c r="K102" i="108"/>
  <c r="M23" i="108"/>
  <c r="F102" i="108"/>
  <c r="K23" i="108"/>
  <c r="H23" i="108"/>
  <c r="C23" i="108"/>
  <c r="M102" i="108"/>
  <c r="C102" i="108"/>
  <c r="M83" i="108" l="1"/>
  <c r="Q10" i="108" s="1"/>
  <c r="Q2" i="108"/>
  <c r="Q8" i="108" s="1"/>
  <c r="P709" i="38"/>
  <c r="O709" i="38"/>
  <c r="Z709" i="38"/>
  <c r="U709" i="38"/>
  <c r="Q7" i="108" l="1"/>
  <c r="Q5" i="108"/>
  <c r="Q3" i="108"/>
  <c r="Q6" i="108" s="1"/>
  <c r="Q9" i="108" s="1"/>
  <c r="F53" i="45"/>
  <c r="G53" i="45"/>
  <c r="H53" i="45"/>
  <c r="F44" i="102"/>
  <c r="G44" i="102"/>
  <c r="H44" i="102"/>
  <c r="F29" i="69"/>
  <c r="H29" i="69"/>
  <c r="G29" i="69"/>
  <c r="F41" i="96"/>
  <c r="H41" i="96"/>
  <c r="G41" i="96"/>
  <c r="F320" i="25"/>
  <c r="G320" i="25"/>
  <c r="H320" i="25"/>
  <c r="A708" i="38"/>
  <c r="D708" i="38"/>
  <c r="E708" i="38"/>
  <c r="G708" i="38"/>
  <c r="H708" i="38"/>
  <c r="K708" i="38"/>
  <c r="L708" i="38" s="1"/>
  <c r="M708" i="38"/>
  <c r="N708" i="38" s="1"/>
  <c r="S708" i="38"/>
  <c r="O708" i="38" l="1"/>
  <c r="Z708" i="38"/>
  <c r="P708" i="38"/>
  <c r="U708" i="38"/>
  <c r="A707" i="38"/>
  <c r="D707" i="38"/>
  <c r="E707" i="38"/>
  <c r="G707" i="38"/>
  <c r="H707" i="38"/>
  <c r="K707" i="38"/>
  <c r="L707" i="38" s="1"/>
  <c r="M707" i="38"/>
  <c r="N707" i="38" s="1"/>
  <c r="S707" i="38"/>
  <c r="F122" i="51"/>
  <c r="G122" i="51"/>
  <c r="H122" i="51"/>
  <c r="O707" i="38" l="1"/>
  <c r="P707" i="38"/>
  <c r="U707" i="38"/>
  <c r="Z707" i="38"/>
  <c r="F80" i="81"/>
  <c r="G80" i="81"/>
  <c r="H80" i="81"/>
  <c r="F43" i="102"/>
  <c r="G43" i="102"/>
  <c r="H43" i="102"/>
  <c r="G40" i="96" l="1"/>
  <c r="F40" i="96"/>
  <c r="H40" i="96"/>
  <c r="F146" i="58" l="1"/>
  <c r="G146" i="58"/>
  <c r="H146" i="58"/>
  <c r="F78" i="84"/>
  <c r="G78" i="84"/>
  <c r="H78" i="84"/>
  <c r="Q13" i="43"/>
  <c r="A706" i="38"/>
  <c r="D706" i="38"/>
  <c r="E706" i="38"/>
  <c r="G706" i="38"/>
  <c r="H706" i="38"/>
  <c r="K706" i="38"/>
  <c r="L706" i="38" s="1"/>
  <c r="M706" i="38"/>
  <c r="N706" i="38" s="1"/>
  <c r="S706" i="38"/>
  <c r="F91" i="46"/>
  <c r="H91" i="46"/>
  <c r="G91" i="46"/>
  <c r="F27" i="46"/>
  <c r="F41" i="90"/>
  <c r="G41" i="90"/>
  <c r="H41" i="90"/>
  <c r="F42" i="90"/>
  <c r="G42" i="90"/>
  <c r="H42" i="90"/>
  <c r="F7" i="90"/>
  <c r="F319" i="25"/>
  <c r="G319" i="25"/>
  <c r="H319" i="25"/>
  <c r="F93" i="25"/>
  <c r="F49" i="86"/>
  <c r="H49" i="86"/>
  <c r="G49" i="86"/>
  <c r="F9" i="86"/>
  <c r="F29" i="53"/>
  <c r="H29" i="53"/>
  <c r="G29" i="53"/>
  <c r="F5" i="53"/>
  <c r="F121" i="51"/>
  <c r="H121" i="51"/>
  <c r="G121" i="51"/>
  <c r="Q11" i="69"/>
  <c r="F77" i="43"/>
  <c r="H77" i="43"/>
  <c r="G77" i="43"/>
  <c r="F18" i="43"/>
  <c r="P706" i="38" l="1"/>
  <c r="O706" i="38"/>
  <c r="Z706" i="38"/>
  <c r="U706" i="38"/>
  <c r="F90" i="46"/>
  <c r="H90" i="46"/>
  <c r="G90" i="46"/>
  <c r="F26" i="46"/>
  <c r="F45" i="103"/>
  <c r="H45" i="103"/>
  <c r="G45" i="103"/>
  <c r="F6" i="103"/>
  <c r="A705" i="38"/>
  <c r="D705" i="38"/>
  <c r="E705" i="38"/>
  <c r="G705" i="38"/>
  <c r="H705" i="38"/>
  <c r="K705" i="38"/>
  <c r="L705" i="38" s="1"/>
  <c r="M705" i="38"/>
  <c r="N705" i="38" s="1"/>
  <c r="S705" i="38"/>
  <c r="Q13" i="103"/>
  <c r="F44" i="103"/>
  <c r="G44" i="103"/>
  <c r="H44" i="103"/>
  <c r="G72" i="88"/>
  <c r="F72" i="88"/>
  <c r="H72" i="88"/>
  <c r="F18" i="88"/>
  <c r="P705" i="38" l="1"/>
  <c r="O705" i="38"/>
  <c r="Z705" i="38"/>
  <c r="U705" i="38"/>
  <c r="G39" i="96"/>
  <c r="F39" i="96"/>
  <c r="H39" i="96"/>
  <c r="D704" i="38"/>
  <c r="G703" i="38"/>
  <c r="G704" i="38"/>
  <c r="K704" i="38"/>
  <c r="L704" i="38" s="1"/>
  <c r="A704" i="38"/>
  <c r="E704" i="38"/>
  <c r="H704" i="38"/>
  <c r="M704" i="38"/>
  <c r="N704" i="38" s="1"/>
  <c r="S704" i="38"/>
  <c r="F89" i="46"/>
  <c r="H89" i="46"/>
  <c r="G89" i="46"/>
  <c r="F25" i="46"/>
  <c r="F24" i="46"/>
  <c r="F43" i="103"/>
  <c r="H43" i="103"/>
  <c r="G43" i="103"/>
  <c r="K3" i="103"/>
  <c r="G71" i="88"/>
  <c r="F71" i="88"/>
  <c r="H71" i="88"/>
  <c r="K10" i="88"/>
  <c r="G88" i="46"/>
  <c r="F88" i="46"/>
  <c r="H88" i="46"/>
  <c r="F23" i="46"/>
  <c r="F38" i="98"/>
  <c r="H38" i="98"/>
  <c r="G38" i="98"/>
  <c r="F26" i="107"/>
  <c r="G26" i="107"/>
  <c r="H26" i="107"/>
  <c r="F35" i="95"/>
  <c r="G35" i="95"/>
  <c r="H35" i="95"/>
  <c r="G54" i="74"/>
  <c r="F54" i="74"/>
  <c r="H54" i="74"/>
  <c r="F44" i="99"/>
  <c r="G44" i="99"/>
  <c r="H44" i="99"/>
  <c r="F27" i="105"/>
  <c r="G27" i="105"/>
  <c r="H27" i="105"/>
  <c r="F26" i="106"/>
  <c r="G26" i="106"/>
  <c r="H26" i="106"/>
  <c r="F52" i="49"/>
  <c r="G52" i="49"/>
  <c r="H52" i="49"/>
  <c r="F29" i="68"/>
  <c r="G29" i="68"/>
  <c r="H29" i="68"/>
  <c r="F52" i="45"/>
  <c r="G52" i="45"/>
  <c r="H52" i="45"/>
  <c r="F48" i="86"/>
  <c r="H48" i="86"/>
  <c r="G48" i="86"/>
  <c r="F76" i="43"/>
  <c r="H76" i="43"/>
  <c r="G76" i="43"/>
  <c r="F120" i="51"/>
  <c r="H120" i="51"/>
  <c r="G120" i="51"/>
  <c r="F42" i="103"/>
  <c r="H42" i="103"/>
  <c r="G42" i="103"/>
  <c r="F28" i="69"/>
  <c r="G28" i="69"/>
  <c r="H28" i="69"/>
  <c r="F42" i="102"/>
  <c r="H42" i="102"/>
  <c r="G42" i="102"/>
  <c r="F50" i="93"/>
  <c r="H50" i="93"/>
  <c r="G50" i="93"/>
  <c r="F38" i="96"/>
  <c r="G38" i="96"/>
  <c r="H38" i="96"/>
  <c r="A703" i="38"/>
  <c r="D703" i="38"/>
  <c r="E703" i="38"/>
  <c r="H703" i="38"/>
  <c r="K703" i="38"/>
  <c r="L703" i="38" s="1"/>
  <c r="M703" i="38"/>
  <c r="N703" i="38" s="1"/>
  <c r="S703" i="38"/>
  <c r="P704" i="38" l="1"/>
  <c r="O704" i="38"/>
  <c r="Z704" i="38"/>
  <c r="U704" i="38"/>
  <c r="P703" i="38"/>
  <c r="O703" i="38"/>
  <c r="U703" i="38"/>
  <c r="Z703" i="38"/>
  <c r="A702" i="38"/>
  <c r="D702" i="38"/>
  <c r="E702" i="38"/>
  <c r="G702" i="38"/>
  <c r="H702" i="38"/>
  <c r="K702" i="38"/>
  <c r="M702" i="38"/>
  <c r="N702" i="38" s="1"/>
  <c r="S702" i="38"/>
  <c r="K8" i="101"/>
  <c r="F318" i="25"/>
  <c r="G318" i="25"/>
  <c r="H318" i="25"/>
  <c r="K73" i="25"/>
  <c r="F41" i="102"/>
  <c r="H41" i="102"/>
  <c r="G41" i="102"/>
  <c r="K5" i="102"/>
  <c r="F317" i="25"/>
  <c r="H317" i="25"/>
  <c r="G317" i="25"/>
  <c r="F92" i="25"/>
  <c r="H53" i="74"/>
  <c r="G53" i="74"/>
  <c r="F53" i="74"/>
  <c r="F7" i="74"/>
  <c r="L702" i="38" l="1"/>
  <c r="P702" i="38" s="1"/>
  <c r="Z702" i="38"/>
  <c r="O702" i="38"/>
  <c r="U702" i="38"/>
  <c r="F49" i="93"/>
  <c r="H49" i="93"/>
  <c r="G49" i="93"/>
  <c r="F75" i="43"/>
  <c r="H75" i="43"/>
  <c r="G75" i="43"/>
  <c r="F79" i="81"/>
  <c r="H79" i="81"/>
  <c r="G79" i="81"/>
  <c r="F23" i="81"/>
  <c r="F27" i="69"/>
  <c r="G27" i="69"/>
  <c r="H27" i="69"/>
  <c r="F4" i="69"/>
  <c r="F37" i="96"/>
  <c r="G37" i="96"/>
  <c r="H37" i="96"/>
  <c r="F6" i="96"/>
  <c r="M88" i="107"/>
  <c r="K88" i="107"/>
  <c r="H88" i="107"/>
  <c r="F88" i="107"/>
  <c r="C88" i="107"/>
  <c r="P43" i="107"/>
  <c r="P42" i="107"/>
  <c r="P41" i="107"/>
  <c r="P40" i="107"/>
  <c r="P39" i="107"/>
  <c r="P38" i="107"/>
  <c r="P37" i="107"/>
  <c r="P36" i="107"/>
  <c r="P35" i="107"/>
  <c r="P34" i="107"/>
  <c r="P33" i="107"/>
  <c r="P32" i="107"/>
  <c r="P31" i="107"/>
  <c r="P30" i="107"/>
  <c r="P29" i="107"/>
  <c r="P28" i="107"/>
  <c r="P27" i="107"/>
  <c r="P26" i="107"/>
  <c r="P25" i="107"/>
  <c r="H25" i="107"/>
  <c r="G25" i="107"/>
  <c r="F25" i="107"/>
  <c r="P24" i="107"/>
  <c r="P23" i="107"/>
  <c r="M18" i="107"/>
  <c r="F2" i="107"/>
  <c r="F18" i="107" s="1"/>
  <c r="A701" i="38"/>
  <c r="D701" i="38"/>
  <c r="E701" i="38"/>
  <c r="G701" i="38"/>
  <c r="H701" i="38"/>
  <c r="K701" i="38"/>
  <c r="L701" i="38" s="1"/>
  <c r="M701" i="38"/>
  <c r="N701" i="38" s="1"/>
  <c r="S701" i="38"/>
  <c r="M19" i="107"/>
  <c r="H89" i="107"/>
  <c r="F19" i="107"/>
  <c r="M89" i="107"/>
  <c r="C89" i="107"/>
  <c r="K89" i="107"/>
  <c r="C19" i="107"/>
  <c r="H19" i="107"/>
  <c r="K19" i="107"/>
  <c r="F89" i="107"/>
  <c r="Q2" i="107" l="1"/>
  <c r="Q5" i="107" s="1"/>
  <c r="M70" i="107"/>
  <c r="Q10" i="107" s="1"/>
  <c r="P701" i="38"/>
  <c r="O701" i="38"/>
  <c r="Z701" i="38"/>
  <c r="U701" i="38"/>
  <c r="F26" i="105"/>
  <c r="G26" i="105"/>
  <c r="H26" i="105"/>
  <c r="F51" i="45"/>
  <c r="G51" i="45"/>
  <c r="H51" i="45"/>
  <c r="F26" i="69"/>
  <c r="G26" i="69"/>
  <c r="H26" i="69"/>
  <c r="F74" i="43"/>
  <c r="H74" i="43"/>
  <c r="G74" i="43"/>
  <c r="F41" i="103"/>
  <c r="G41" i="103"/>
  <c r="H41" i="103"/>
  <c r="F145" i="58"/>
  <c r="G145" i="58"/>
  <c r="H145" i="58"/>
  <c r="F77" i="84"/>
  <c r="H77" i="84"/>
  <c r="G77" i="84"/>
  <c r="F40" i="102"/>
  <c r="H40" i="102"/>
  <c r="G40" i="102"/>
  <c r="F119" i="51"/>
  <c r="G119" i="51"/>
  <c r="H119" i="51"/>
  <c r="A700" i="38"/>
  <c r="D700" i="38"/>
  <c r="E700" i="38"/>
  <c r="G700" i="38"/>
  <c r="H700" i="38"/>
  <c r="K700" i="38"/>
  <c r="L700" i="38" s="1"/>
  <c r="M700" i="38"/>
  <c r="N700" i="38" s="1"/>
  <c r="S700" i="38"/>
  <c r="F47" i="86"/>
  <c r="H47" i="86"/>
  <c r="G47" i="86"/>
  <c r="K5" i="86"/>
  <c r="F316" i="25"/>
  <c r="H316" i="25"/>
  <c r="G316" i="25"/>
  <c r="F91" i="25"/>
  <c r="F45" i="101"/>
  <c r="H45" i="101"/>
  <c r="G45" i="101"/>
  <c r="Q3" i="107" l="1"/>
  <c r="Q6" i="107" s="1"/>
  <c r="Q8" i="107"/>
  <c r="Q7" i="107" s="1"/>
  <c r="P700" i="38"/>
  <c r="O700" i="38"/>
  <c r="Z700" i="38"/>
  <c r="U700" i="38"/>
  <c r="F315" i="25"/>
  <c r="H315" i="25"/>
  <c r="G315" i="25"/>
  <c r="K72" i="25"/>
  <c r="F28" i="53"/>
  <c r="G28" i="53"/>
  <c r="H28" i="53"/>
  <c r="F3" i="53"/>
  <c r="K2" i="53"/>
  <c r="F70" i="88"/>
  <c r="H70" i="88"/>
  <c r="G70" i="88"/>
  <c r="K9" i="88"/>
  <c r="F48" i="93"/>
  <c r="H48" i="93"/>
  <c r="G48" i="93"/>
  <c r="K5" i="93"/>
  <c r="A699" i="38"/>
  <c r="D699" i="38"/>
  <c r="E699" i="38"/>
  <c r="G699" i="38"/>
  <c r="H699" i="38"/>
  <c r="K699" i="38"/>
  <c r="L699" i="38" s="1"/>
  <c r="M699" i="38"/>
  <c r="N699" i="38" s="1"/>
  <c r="S699" i="38"/>
  <c r="C26" i="93"/>
  <c r="Q9" i="107" l="1"/>
  <c r="P699" i="38"/>
  <c r="O699" i="38"/>
  <c r="Z699" i="38"/>
  <c r="U699" i="38"/>
  <c r="F118" i="51"/>
  <c r="G118" i="51"/>
  <c r="H118" i="51"/>
  <c r="H25" i="93" l="1"/>
  <c r="F47" i="93" l="1"/>
  <c r="H47" i="93"/>
  <c r="G47" i="93"/>
  <c r="A698" i="38"/>
  <c r="D698" i="38"/>
  <c r="E698" i="38"/>
  <c r="G698" i="38"/>
  <c r="H698" i="38"/>
  <c r="K698" i="38"/>
  <c r="L698" i="38" s="1"/>
  <c r="M698" i="38"/>
  <c r="N698" i="38" s="1"/>
  <c r="S698" i="38"/>
  <c r="F314" i="25"/>
  <c r="G314" i="25"/>
  <c r="H314" i="25"/>
  <c r="C68" i="58"/>
  <c r="F40" i="103"/>
  <c r="H40" i="103"/>
  <c r="G40" i="103"/>
  <c r="F69" i="88"/>
  <c r="H69" i="88"/>
  <c r="G69" i="88"/>
  <c r="P698" i="38" l="1"/>
  <c r="O698" i="38"/>
  <c r="Z698" i="38"/>
  <c r="U698" i="38"/>
  <c r="Q11" i="102"/>
  <c r="F39" i="102"/>
  <c r="G39" i="102"/>
  <c r="H39" i="102"/>
  <c r="Q13" i="102"/>
  <c r="A697" i="38"/>
  <c r="D697" i="38"/>
  <c r="E697" i="38"/>
  <c r="G697" i="38"/>
  <c r="H697" i="38"/>
  <c r="K697" i="38"/>
  <c r="L697" i="38" s="1"/>
  <c r="M697" i="38"/>
  <c r="N697" i="38" s="1"/>
  <c r="S697" i="38"/>
  <c r="F313" i="25"/>
  <c r="G313" i="25"/>
  <c r="H313" i="25"/>
  <c r="F78" i="81"/>
  <c r="G78" i="81"/>
  <c r="H78" i="81"/>
  <c r="F22" i="81"/>
  <c r="F68" i="88"/>
  <c r="H68" i="88"/>
  <c r="G68" i="88"/>
  <c r="F17" i="88"/>
  <c r="F36" i="96"/>
  <c r="G36" i="96"/>
  <c r="H36" i="96"/>
  <c r="K3" i="96"/>
  <c r="F77" i="81"/>
  <c r="G77" i="81"/>
  <c r="H77" i="81"/>
  <c r="K16" i="81"/>
  <c r="G87" i="46"/>
  <c r="F87" i="46"/>
  <c r="H87" i="46"/>
  <c r="K14" i="46"/>
  <c r="F43" i="99"/>
  <c r="H43" i="99"/>
  <c r="G43" i="99"/>
  <c r="K6" i="99"/>
  <c r="A696" i="38"/>
  <c r="D696" i="38"/>
  <c r="E696" i="38"/>
  <c r="G696" i="38"/>
  <c r="H696" i="38"/>
  <c r="K696" i="38"/>
  <c r="L696" i="38" s="1"/>
  <c r="M696" i="38"/>
  <c r="N696" i="38" s="1"/>
  <c r="S696" i="38"/>
  <c r="F86" i="46"/>
  <c r="H86" i="46"/>
  <c r="G86" i="46"/>
  <c r="F22" i="46"/>
  <c r="F46" i="93"/>
  <c r="H46" i="93"/>
  <c r="G46" i="93"/>
  <c r="F10" i="93"/>
  <c r="G144" i="58"/>
  <c r="F144" i="58"/>
  <c r="H144" i="58"/>
  <c r="F29" i="58"/>
  <c r="F42" i="99"/>
  <c r="H42" i="99"/>
  <c r="G42" i="99"/>
  <c r="F7" i="99"/>
  <c r="F67" i="88"/>
  <c r="H67" i="88"/>
  <c r="G67" i="88"/>
  <c r="F45" i="93"/>
  <c r="H45" i="93"/>
  <c r="G45" i="93"/>
  <c r="F44" i="93"/>
  <c r="H44" i="93"/>
  <c r="G44" i="93"/>
  <c r="F9" i="93"/>
  <c r="F8" i="93"/>
  <c r="F16" i="88"/>
  <c r="F41" i="99"/>
  <c r="H41" i="99"/>
  <c r="G41" i="99"/>
  <c r="F46" i="86"/>
  <c r="H46" i="86"/>
  <c r="G46" i="86"/>
  <c r="A695" i="38"/>
  <c r="D695" i="38"/>
  <c r="E695" i="38"/>
  <c r="G695" i="38"/>
  <c r="H695" i="38"/>
  <c r="K695" i="38"/>
  <c r="L695" i="38" s="1"/>
  <c r="M695" i="38"/>
  <c r="U695" i="38" s="1"/>
  <c r="S695" i="38"/>
  <c r="H35" i="96"/>
  <c r="G35" i="96"/>
  <c r="F35" i="96"/>
  <c r="F5" i="96"/>
  <c r="F312" i="25"/>
  <c r="H312" i="25"/>
  <c r="G312" i="25"/>
  <c r="K71" i="25"/>
  <c r="F143" i="58"/>
  <c r="H143" i="58"/>
  <c r="G143" i="58"/>
  <c r="K24" i="58"/>
  <c r="P696" i="38" l="1"/>
  <c r="P697" i="38"/>
  <c r="O697" i="38"/>
  <c r="Z697" i="38"/>
  <c r="U697" i="38"/>
  <c r="Z696" i="38"/>
  <c r="O696" i="38"/>
  <c r="U696" i="38"/>
  <c r="P695" i="38"/>
  <c r="N695" i="38"/>
  <c r="O695" i="38" s="1"/>
  <c r="A694" i="38"/>
  <c r="D694" i="38"/>
  <c r="E694" i="38"/>
  <c r="G694" i="38"/>
  <c r="H694" i="38"/>
  <c r="K694" i="38"/>
  <c r="L694" i="38" s="1"/>
  <c r="M694" i="38"/>
  <c r="N694" i="38" s="1"/>
  <c r="S694" i="38"/>
  <c r="F66" i="88"/>
  <c r="H66" i="88"/>
  <c r="G66" i="88"/>
  <c r="K8" i="88"/>
  <c r="K5" i="90"/>
  <c r="H37" i="98"/>
  <c r="G37" i="98"/>
  <c r="F37" i="98"/>
  <c r="F5" i="98"/>
  <c r="F40" i="90"/>
  <c r="H40" i="90"/>
  <c r="G40" i="90"/>
  <c r="Q11" i="93"/>
  <c r="G43" i="93"/>
  <c r="F43" i="93"/>
  <c r="H43" i="93"/>
  <c r="G65" i="88"/>
  <c r="F65" i="88"/>
  <c r="H65" i="88"/>
  <c r="F27" i="53"/>
  <c r="G27" i="53"/>
  <c r="H27" i="53"/>
  <c r="F38" i="102"/>
  <c r="H38" i="102"/>
  <c r="G38" i="102"/>
  <c r="Z695" i="38" l="1"/>
  <c r="O694" i="38"/>
  <c r="Z694" i="38"/>
  <c r="P694" i="38"/>
  <c r="U694" i="38"/>
  <c r="A693" i="38"/>
  <c r="D693" i="38"/>
  <c r="E693" i="38"/>
  <c r="G693" i="38"/>
  <c r="H693" i="38"/>
  <c r="K693" i="38"/>
  <c r="L693" i="38" s="1"/>
  <c r="M693" i="38"/>
  <c r="N693" i="38" s="1"/>
  <c r="S693" i="38"/>
  <c r="F2" i="106"/>
  <c r="F18" i="106" s="1"/>
  <c r="M84" i="106"/>
  <c r="K84" i="106"/>
  <c r="H84" i="106"/>
  <c r="F84" i="106"/>
  <c r="C84" i="106"/>
  <c r="P43" i="106"/>
  <c r="P42" i="106"/>
  <c r="P41" i="106"/>
  <c r="P40" i="106"/>
  <c r="P39" i="106"/>
  <c r="P38" i="106"/>
  <c r="P37" i="106"/>
  <c r="P36" i="106"/>
  <c r="P35" i="106"/>
  <c r="P34" i="106"/>
  <c r="P33" i="106"/>
  <c r="P32" i="106"/>
  <c r="P31" i="106"/>
  <c r="P30" i="106"/>
  <c r="P29" i="106"/>
  <c r="P28" i="106"/>
  <c r="P27" i="106"/>
  <c r="P26" i="106"/>
  <c r="P25" i="106"/>
  <c r="H25" i="106"/>
  <c r="G25" i="106"/>
  <c r="F25" i="106"/>
  <c r="P24" i="106"/>
  <c r="P23" i="106"/>
  <c r="M18" i="106"/>
  <c r="H18" i="106"/>
  <c r="C18" i="106"/>
  <c r="K18" i="106"/>
  <c r="K19" i="106"/>
  <c r="K85" i="106"/>
  <c r="F85" i="106"/>
  <c r="H19" i="106"/>
  <c r="H85" i="106"/>
  <c r="C19" i="106"/>
  <c r="M19" i="106"/>
  <c r="F19" i="106"/>
  <c r="C85" i="106"/>
  <c r="M85" i="106"/>
  <c r="M66" i="106" l="1"/>
  <c r="Q10" i="106" s="1"/>
  <c r="P693" i="38"/>
  <c r="Q2" i="106"/>
  <c r="Q3" i="106" s="1"/>
  <c r="Q6" i="106" s="1"/>
  <c r="O693" i="38"/>
  <c r="Z693" i="38"/>
  <c r="U693" i="38"/>
  <c r="G85" i="46"/>
  <c r="F85" i="46"/>
  <c r="H85" i="46"/>
  <c r="F21" i="46"/>
  <c r="F45" i="86"/>
  <c r="H45" i="86"/>
  <c r="G45" i="86"/>
  <c r="F8" i="86"/>
  <c r="Q8" i="106" l="1"/>
  <c r="Q7" i="106" s="1"/>
  <c r="Q5" i="106"/>
  <c r="Q9" i="106"/>
  <c r="Q13" i="53"/>
  <c r="F76" i="84"/>
  <c r="H76" i="84"/>
  <c r="G76" i="84"/>
  <c r="F311" i="25"/>
  <c r="H311" i="25"/>
  <c r="G311" i="25"/>
  <c r="K70" i="25"/>
  <c r="H34" i="95"/>
  <c r="G34" i="95"/>
  <c r="F34" i="95"/>
  <c r="F4" i="95"/>
  <c r="A692" i="38"/>
  <c r="D692" i="38"/>
  <c r="E692" i="38"/>
  <c r="G692" i="38"/>
  <c r="H692" i="38"/>
  <c r="K692" i="38"/>
  <c r="L692" i="38" s="1"/>
  <c r="M692" i="38"/>
  <c r="N692" i="38" s="1"/>
  <c r="S692" i="38"/>
  <c r="F39" i="103"/>
  <c r="H39" i="103"/>
  <c r="G39" i="103"/>
  <c r="F3" i="103"/>
  <c r="K2" i="103"/>
  <c r="K18" i="103" s="1"/>
  <c r="F37" i="102"/>
  <c r="H37" i="102"/>
  <c r="G37" i="102"/>
  <c r="F36" i="102"/>
  <c r="H36" i="102"/>
  <c r="G36" i="102"/>
  <c r="K4" i="102"/>
  <c r="F6" i="102"/>
  <c r="H25" i="69"/>
  <c r="G25" i="69"/>
  <c r="F25" i="69"/>
  <c r="F2" i="69"/>
  <c r="F18" i="69" s="1"/>
  <c r="F26" i="53"/>
  <c r="G26" i="53"/>
  <c r="H26" i="53"/>
  <c r="F4" i="53"/>
  <c r="Q11" i="99"/>
  <c r="O692" i="38" l="1"/>
  <c r="Z692" i="38"/>
  <c r="P692" i="38"/>
  <c r="U692" i="38"/>
  <c r="F75" i="84"/>
  <c r="H75" i="84"/>
  <c r="G75" i="84"/>
  <c r="F28" i="68"/>
  <c r="G28" i="68"/>
  <c r="H28" i="68"/>
  <c r="A691" i="38"/>
  <c r="D691" i="38"/>
  <c r="E691" i="38"/>
  <c r="G691" i="38"/>
  <c r="H691" i="38"/>
  <c r="K691" i="38"/>
  <c r="L691" i="38" s="1"/>
  <c r="M691" i="38"/>
  <c r="N691" i="38" s="1"/>
  <c r="S691" i="38"/>
  <c r="G310" i="25"/>
  <c r="F310" i="25"/>
  <c r="H310" i="25"/>
  <c r="K69" i="25"/>
  <c r="F4" i="96"/>
  <c r="F73" i="43"/>
  <c r="H73" i="43"/>
  <c r="G73" i="43"/>
  <c r="F17" i="43"/>
  <c r="K3" i="95"/>
  <c r="F38" i="103"/>
  <c r="H38" i="103"/>
  <c r="G38" i="103"/>
  <c r="F5" i="103"/>
  <c r="G51" i="49"/>
  <c r="F51" i="49"/>
  <c r="H51" i="49"/>
  <c r="K5" i="49"/>
  <c r="P691" i="38" l="1"/>
  <c r="O691" i="38"/>
  <c r="Z691" i="38"/>
  <c r="U691" i="38"/>
  <c r="G50" i="49"/>
  <c r="F50" i="49"/>
  <c r="H50" i="49"/>
  <c r="K4" i="49"/>
  <c r="A690" i="38"/>
  <c r="D690" i="38"/>
  <c r="E690" i="38"/>
  <c r="G690" i="38"/>
  <c r="H690" i="38"/>
  <c r="K690" i="38"/>
  <c r="L690" i="38" s="1"/>
  <c r="M690" i="38"/>
  <c r="N690" i="38" s="1"/>
  <c r="S690" i="38"/>
  <c r="Q11" i="53"/>
  <c r="F69" i="53"/>
  <c r="K69" i="53"/>
  <c r="F70" i="53"/>
  <c r="K70" i="53"/>
  <c r="F71" i="53"/>
  <c r="K71" i="53"/>
  <c r="F72" i="53"/>
  <c r="K72" i="53"/>
  <c r="F73" i="53"/>
  <c r="K73" i="53"/>
  <c r="F74" i="53"/>
  <c r="K74" i="53"/>
  <c r="F75" i="53"/>
  <c r="K75" i="53"/>
  <c r="F76" i="53"/>
  <c r="K76" i="53"/>
  <c r="F77" i="53"/>
  <c r="K77" i="53"/>
  <c r="F78" i="53"/>
  <c r="F79" i="53"/>
  <c r="F80" i="53"/>
  <c r="K80" i="53"/>
  <c r="F81" i="53"/>
  <c r="K81" i="53"/>
  <c r="H25" i="53"/>
  <c r="G25" i="53"/>
  <c r="F25" i="53"/>
  <c r="F2" i="53"/>
  <c r="F142" i="58"/>
  <c r="H142" i="58"/>
  <c r="G142" i="58"/>
  <c r="K23" i="58"/>
  <c r="H30" i="49"/>
  <c r="O690" i="38" l="1"/>
  <c r="P690" i="38"/>
  <c r="U690" i="38"/>
  <c r="Z690" i="38"/>
  <c r="G42" i="93"/>
  <c r="F42" i="93"/>
  <c r="H42" i="93"/>
  <c r="A689" i="38"/>
  <c r="D689" i="38"/>
  <c r="E689" i="38"/>
  <c r="G689" i="38"/>
  <c r="H689" i="38"/>
  <c r="K689" i="38"/>
  <c r="L689" i="38" s="1"/>
  <c r="M689" i="38"/>
  <c r="N689" i="38" s="1"/>
  <c r="S689" i="38"/>
  <c r="O689" i="38" l="1"/>
  <c r="P689" i="38"/>
  <c r="U689" i="38"/>
  <c r="Z689" i="38"/>
  <c r="F309" i="25"/>
  <c r="G309" i="25"/>
  <c r="H309" i="25"/>
  <c r="F308" i="25"/>
  <c r="H308" i="25"/>
  <c r="G308" i="25"/>
  <c r="F90" i="25"/>
  <c r="F35" i="102"/>
  <c r="H35" i="102"/>
  <c r="G35" i="102"/>
  <c r="F5" i="102"/>
  <c r="F89" i="25"/>
  <c r="F117" i="51"/>
  <c r="H117" i="51"/>
  <c r="G117" i="51"/>
  <c r="F49" i="49"/>
  <c r="H49" i="49"/>
  <c r="G49" i="49"/>
  <c r="A688" i="38" l="1"/>
  <c r="D688" i="38"/>
  <c r="E688" i="38"/>
  <c r="G688" i="38"/>
  <c r="H688" i="38"/>
  <c r="K688" i="38"/>
  <c r="L688" i="38" s="1"/>
  <c r="M688" i="38"/>
  <c r="N688" i="38" s="1"/>
  <c r="S688" i="38"/>
  <c r="F50" i="45"/>
  <c r="G50" i="45"/>
  <c r="H50" i="45"/>
  <c r="F11" i="45"/>
  <c r="F41" i="93"/>
  <c r="H41" i="93"/>
  <c r="G41" i="93"/>
  <c r="F7" i="93"/>
  <c r="Q11" i="45"/>
  <c r="F37" i="103"/>
  <c r="H37" i="103"/>
  <c r="G37" i="103"/>
  <c r="H49" i="45"/>
  <c r="F49" i="45"/>
  <c r="G49" i="45"/>
  <c r="F9" i="45"/>
  <c r="F10" i="45"/>
  <c r="O688" i="38" l="1"/>
  <c r="P688" i="38"/>
  <c r="U688" i="38"/>
  <c r="Z688" i="38"/>
  <c r="A687" i="38"/>
  <c r="D687" i="38"/>
  <c r="E687" i="38"/>
  <c r="G687" i="38"/>
  <c r="H687" i="38"/>
  <c r="K687" i="38"/>
  <c r="L687" i="38" s="1"/>
  <c r="M687" i="38"/>
  <c r="N687" i="38" s="1"/>
  <c r="S687" i="38"/>
  <c r="Q13" i="49"/>
  <c r="K4" i="78"/>
  <c r="O687" i="38" l="1"/>
  <c r="Z687" i="38"/>
  <c r="P687" i="38"/>
  <c r="U687" i="38"/>
  <c r="A686" i="38"/>
  <c r="D686" i="38"/>
  <c r="E686" i="38"/>
  <c r="G686" i="38"/>
  <c r="H686" i="38"/>
  <c r="K686" i="38"/>
  <c r="L686" i="38" s="1"/>
  <c r="M686" i="38"/>
  <c r="N686" i="38" s="1"/>
  <c r="S686" i="38"/>
  <c r="O686" i="38" l="1"/>
  <c r="Z686" i="38"/>
  <c r="P686" i="38"/>
  <c r="U686" i="38"/>
  <c r="F27" i="68"/>
  <c r="G27" i="68"/>
  <c r="H27" i="68"/>
  <c r="H25" i="68"/>
  <c r="G25" i="68"/>
  <c r="F25" i="68"/>
  <c r="F3" i="68"/>
  <c r="F307" i="25"/>
  <c r="H307" i="25"/>
  <c r="G307" i="25"/>
  <c r="F87" i="25"/>
  <c r="F40" i="93" l="1"/>
  <c r="H40" i="93"/>
  <c r="G40" i="93"/>
  <c r="F6" i="93"/>
  <c r="F40" i="99"/>
  <c r="H40" i="99"/>
  <c r="G40" i="99"/>
  <c r="K5" i="99"/>
  <c r="F140" i="58"/>
  <c r="G140" i="58"/>
  <c r="H140" i="58"/>
  <c r="F141" i="58"/>
  <c r="G141" i="58"/>
  <c r="H141" i="58"/>
  <c r="F28" i="58"/>
  <c r="F27" i="58"/>
  <c r="F48" i="49"/>
  <c r="H48" i="49"/>
  <c r="G48" i="49"/>
  <c r="F7" i="49"/>
  <c r="A685" i="38" l="1"/>
  <c r="D685" i="38"/>
  <c r="E685" i="38"/>
  <c r="G685" i="38"/>
  <c r="H685" i="38"/>
  <c r="K685" i="38"/>
  <c r="L685" i="38" s="1"/>
  <c r="M685" i="38"/>
  <c r="N685" i="38" s="1"/>
  <c r="S685" i="38"/>
  <c r="F34" i="102"/>
  <c r="H34" i="102"/>
  <c r="G34" i="102"/>
  <c r="K3" i="102"/>
  <c r="K2" i="68"/>
  <c r="K3" i="104"/>
  <c r="F47" i="49"/>
  <c r="H47" i="49"/>
  <c r="F4" i="49"/>
  <c r="G47" i="49"/>
  <c r="K3" i="49"/>
  <c r="F33" i="102"/>
  <c r="H33" i="102"/>
  <c r="G33" i="102"/>
  <c r="C24" i="84"/>
  <c r="O685" i="38" l="1"/>
  <c r="Z685" i="38"/>
  <c r="P685" i="38"/>
  <c r="U685" i="38"/>
  <c r="A684" i="38"/>
  <c r="D684" i="38"/>
  <c r="E684" i="38"/>
  <c r="G684" i="38"/>
  <c r="H684" i="38"/>
  <c r="K684" i="38"/>
  <c r="L684" i="38" s="1"/>
  <c r="M684" i="38"/>
  <c r="N684" i="38" s="1"/>
  <c r="S684" i="38"/>
  <c r="F306" i="25"/>
  <c r="H306" i="25"/>
  <c r="G306" i="25"/>
  <c r="K68" i="25"/>
  <c r="Z684" i="38" l="1"/>
  <c r="O684" i="38"/>
  <c r="P684" i="38"/>
  <c r="U684" i="38"/>
  <c r="G84" i="46"/>
  <c r="F84" i="46"/>
  <c r="H84" i="46"/>
  <c r="F39" i="99"/>
  <c r="H39" i="99"/>
  <c r="G39" i="99"/>
  <c r="F36" i="103"/>
  <c r="H36" i="103"/>
  <c r="G36" i="103"/>
  <c r="G64" i="88"/>
  <c r="F64" i="88"/>
  <c r="H64" i="88"/>
  <c r="F116" i="51"/>
  <c r="G116" i="51"/>
  <c r="H116" i="51"/>
  <c r="A683" i="38" l="1"/>
  <c r="D683" i="38"/>
  <c r="E683" i="38"/>
  <c r="G683" i="38"/>
  <c r="H683" i="38"/>
  <c r="K683" i="38"/>
  <c r="L683" i="38" s="1"/>
  <c r="M683" i="38"/>
  <c r="N683" i="38" s="1"/>
  <c r="S683" i="38"/>
  <c r="P683" i="38" l="1"/>
  <c r="O683" i="38"/>
  <c r="Z683" i="38"/>
  <c r="U683" i="38"/>
  <c r="F44" i="86"/>
  <c r="H44" i="86"/>
  <c r="G44" i="86"/>
  <c r="K4" i="86"/>
  <c r="F74" i="84" l="1"/>
  <c r="G74" i="84"/>
  <c r="H74" i="84"/>
  <c r="K10" i="84"/>
  <c r="F305" i="25"/>
  <c r="G305" i="25"/>
  <c r="H305" i="25"/>
  <c r="K67" i="25"/>
  <c r="F76" i="81"/>
  <c r="H76" i="81"/>
  <c r="G76" i="81"/>
  <c r="K15" i="81"/>
  <c r="F32" i="102"/>
  <c r="G32" i="102"/>
  <c r="H32" i="102"/>
  <c r="K2" i="102"/>
  <c r="K18" i="102" s="1"/>
  <c r="K5" i="98"/>
  <c r="K12" i="57"/>
  <c r="K2" i="96"/>
  <c r="K18" i="96" s="1"/>
  <c r="Q2" i="31" l="1"/>
  <c r="K2" i="31"/>
  <c r="K10" i="47"/>
  <c r="F44" i="101"/>
  <c r="H44" i="101"/>
  <c r="G44" i="101"/>
  <c r="K7" i="101"/>
  <c r="K7" i="91"/>
  <c r="H18" i="91"/>
  <c r="K7" i="45"/>
  <c r="F73" i="84"/>
  <c r="H73" i="84"/>
  <c r="G73" i="84"/>
  <c r="K9" i="84"/>
  <c r="K682" i="38"/>
  <c r="G682" i="38"/>
  <c r="D682" i="38"/>
  <c r="A682" i="38"/>
  <c r="E682" i="38"/>
  <c r="H682" i="38"/>
  <c r="M682" i="38"/>
  <c r="N682" i="38" s="1"/>
  <c r="S682" i="38"/>
  <c r="F304" i="25"/>
  <c r="H304" i="25"/>
  <c r="G304" i="25"/>
  <c r="F86" i="25"/>
  <c r="F83" i="46"/>
  <c r="H83" i="46"/>
  <c r="G83" i="46"/>
  <c r="F41" i="47"/>
  <c r="H41" i="47"/>
  <c r="G41" i="47"/>
  <c r="K9" i="47"/>
  <c r="K13" i="46"/>
  <c r="F303" i="25"/>
  <c r="H303" i="25"/>
  <c r="G303" i="25"/>
  <c r="F85" i="25"/>
  <c r="Q13" i="68"/>
  <c r="Q13" i="47"/>
  <c r="F31" i="102"/>
  <c r="H31" i="102"/>
  <c r="G31" i="102"/>
  <c r="Q13" i="84"/>
  <c r="F72" i="84"/>
  <c r="H72" i="84"/>
  <c r="G72" i="84"/>
  <c r="F115" i="51"/>
  <c r="H115" i="51"/>
  <c r="G115" i="51"/>
  <c r="Q13" i="51"/>
  <c r="H43" i="46"/>
  <c r="H19" i="47"/>
  <c r="M19" i="47"/>
  <c r="C43" i="46"/>
  <c r="C19" i="47"/>
  <c r="Q3" i="31" l="1"/>
  <c r="Q6" i="31" s="1"/>
  <c r="Q9" i="31"/>
  <c r="Q5" i="31"/>
  <c r="L682" i="38"/>
  <c r="P682" i="38" s="1"/>
  <c r="O682" i="38"/>
  <c r="Z682" i="38"/>
  <c r="U682" i="38"/>
  <c r="A681" i="38"/>
  <c r="D681" i="38"/>
  <c r="E681" i="38"/>
  <c r="G681" i="38"/>
  <c r="H681" i="38"/>
  <c r="K681" i="38"/>
  <c r="L681" i="38" s="1"/>
  <c r="M681" i="38"/>
  <c r="N681" i="38" s="1"/>
  <c r="S681" i="38"/>
  <c r="F75" i="81"/>
  <c r="H75" i="81"/>
  <c r="G75" i="81"/>
  <c r="K14" i="81"/>
  <c r="F302" i="25"/>
  <c r="H302" i="25"/>
  <c r="G302" i="25"/>
  <c r="K66" i="25"/>
  <c r="H88" i="82"/>
  <c r="G88" i="82"/>
  <c r="F88" i="82"/>
  <c r="H87" i="82"/>
  <c r="G87" i="82"/>
  <c r="F87" i="82"/>
  <c r="H86" i="82"/>
  <c r="G86" i="82"/>
  <c r="F86" i="82"/>
  <c r="H85" i="82"/>
  <c r="G85" i="82"/>
  <c r="F85" i="82"/>
  <c r="H84" i="82"/>
  <c r="G84" i="82"/>
  <c r="F84" i="82"/>
  <c r="H83" i="82"/>
  <c r="G83" i="82"/>
  <c r="F83" i="82"/>
  <c r="H82" i="82"/>
  <c r="G82" i="82"/>
  <c r="F82" i="82"/>
  <c r="H81" i="82"/>
  <c r="G81" i="82"/>
  <c r="F81" i="82"/>
  <c r="H80" i="82"/>
  <c r="G80" i="82"/>
  <c r="F80" i="82"/>
  <c r="H79" i="82"/>
  <c r="G79" i="82"/>
  <c r="F79" i="82"/>
  <c r="H78" i="82"/>
  <c r="G78" i="82"/>
  <c r="F78" i="82"/>
  <c r="H77" i="82"/>
  <c r="G77" i="82"/>
  <c r="F77" i="82"/>
  <c r="H76" i="82"/>
  <c r="G76" i="82"/>
  <c r="F76" i="82"/>
  <c r="H75" i="82"/>
  <c r="G75" i="82"/>
  <c r="F75" i="82"/>
  <c r="H74" i="82"/>
  <c r="G74" i="82"/>
  <c r="F74" i="82"/>
  <c r="H73" i="82"/>
  <c r="G73" i="82"/>
  <c r="F73" i="82"/>
  <c r="H72" i="82"/>
  <c r="G72" i="82"/>
  <c r="F72" i="82"/>
  <c r="I71" i="82"/>
  <c r="H71" i="82"/>
  <c r="G71" i="82"/>
  <c r="F71" i="82"/>
  <c r="H70" i="82"/>
  <c r="G70" i="82"/>
  <c r="F70" i="82"/>
  <c r="H69" i="82"/>
  <c r="G69" i="82"/>
  <c r="F69" i="82"/>
  <c r="H68" i="82"/>
  <c r="G68" i="82"/>
  <c r="F68" i="82"/>
  <c r="H67" i="82"/>
  <c r="G67" i="82"/>
  <c r="F67" i="82"/>
  <c r="H66" i="82"/>
  <c r="G66" i="82"/>
  <c r="F66" i="82"/>
  <c r="H65" i="82"/>
  <c r="G65" i="82"/>
  <c r="F65" i="82"/>
  <c r="F35" i="98"/>
  <c r="H35" i="98"/>
  <c r="G35" i="98"/>
  <c r="G63" i="88"/>
  <c r="H63" i="88"/>
  <c r="F63" i="88"/>
  <c r="F46" i="49"/>
  <c r="H46" i="49"/>
  <c r="G46" i="49"/>
  <c r="F71" i="84"/>
  <c r="H71" i="84"/>
  <c r="G71" i="84"/>
  <c r="F301" i="25"/>
  <c r="G301" i="25"/>
  <c r="H301" i="25"/>
  <c r="F30" i="102"/>
  <c r="H30" i="102"/>
  <c r="G30" i="102"/>
  <c r="F4" i="102"/>
  <c r="A680" i="38"/>
  <c r="D680" i="38"/>
  <c r="E680" i="38"/>
  <c r="G680" i="38"/>
  <c r="H680" i="38"/>
  <c r="K680" i="38"/>
  <c r="L680" i="38" s="1"/>
  <c r="M680" i="38"/>
  <c r="N680" i="38" s="1"/>
  <c r="S680" i="38"/>
  <c r="F74" i="81"/>
  <c r="H74" i="81"/>
  <c r="G74" i="81"/>
  <c r="F21" i="81"/>
  <c r="Z681" i="38" l="1"/>
  <c r="O681" i="38"/>
  <c r="P681" i="38"/>
  <c r="U681" i="38"/>
  <c r="O680" i="38"/>
  <c r="Z680" i="38"/>
  <c r="P680" i="38"/>
  <c r="U680" i="38"/>
  <c r="F32" i="95"/>
  <c r="H32" i="95"/>
  <c r="G32" i="95"/>
  <c r="A679" i="38"/>
  <c r="D679" i="38"/>
  <c r="E679" i="38"/>
  <c r="G679" i="38"/>
  <c r="H679" i="38"/>
  <c r="K679" i="38"/>
  <c r="L679" i="38" s="1"/>
  <c r="M679" i="38"/>
  <c r="N679" i="38" s="1"/>
  <c r="S679" i="38"/>
  <c r="O679" i="38" l="1"/>
  <c r="P679" i="38"/>
  <c r="U679" i="38"/>
  <c r="Z679" i="38"/>
  <c r="F72" i="43"/>
  <c r="G72" i="43"/>
  <c r="H72" i="43"/>
  <c r="F47" i="45" l="1"/>
  <c r="G47" i="45"/>
  <c r="H47" i="45"/>
  <c r="K6" i="45"/>
  <c r="A678" i="38"/>
  <c r="D678" i="38"/>
  <c r="E678" i="38"/>
  <c r="G678" i="38"/>
  <c r="H678" i="38"/>
  <c r="K678" i="38"/>
  <c r="L678" i="38" s="1"/>
  <c r="M678" i="38"/>
  <c r="N678" i="38" s="1"/>
  <c r="S678" i="38"/>
  <c r="F70" i="84"/>
  <c r="H70" i="84"/>
  <c r="G70" i="84"/>
  <c r="F15" i="84"/>
  <c r="F45" i="49"/>
  <c r="H45" i="49"/>
  <c r="G45" i="49"/>
  <c r="F6" i="49"/>
  <c r="F35" i="31"/>
  <c r="H35" i="31"/>
  <c r="G35" i="31"/>
  <c r="O678" i="38" l="1"/>
  <c r="Z678" i="38"/>
  <c r="P678" i="38"/>
  <c r="U678" i="38"/>
  <c r="C18" i="91"/>
  <c r="F38" i="99"/>
  <c r="H38" i="99"/>
  <c r="G38" i="99"/>
  <c r="F29" i="102"/>
  <c r="H29" i="102"/>
  <c r="G29" i="102"/>
  <c r="F35" i="103"/>
  <c r="H35" i="103"/>
  <c r="G35" i="103"/>
  <c r="F73" i="81"/>
  <c r="G73" i="81"/>
  <c r="H73" i="81"/>
  <c r="F46" i="45"/>
  <c r="G46" i="45"/>
  <c r="H46" i="45"/>
  <c r="F69" i="84"/>
  <c r="G69" i="84"/>
  <c r="H69" i="84"/>
  <c r="F114" i="51"/>
  <c r="H114" i="51"/>
  <c r="G114" i="51"/>
  <c r="F300" i="25"/>
  <c r="G300" i="25"/>
  <c r="H300" i="25"/>
  <c r="F44" i="49"/>
  <c r="H44" i="49"/>
  <c r="G44" i="49"/>
  <c r="F5" i="49"/>
  <c r="A677" i="38"/>
  <c r="D677" i="38"/>
  <c r="E677" i="38"/>
  <c r="G677" i="38"/>
  <c r="H677" i="38"/>
  <c r="K677" i="38"/>
  <c r="L677" i="38" s="1"/>
  <c r="M677" i="38"/>
  <c r="N677" i="38" s="1"/>
  <c r="S677" i="38"/>
  <c r="H25" i="105"/>
  <c r="G25" i="105"/>
  <c r="F25" i="105"/>
  <c r="M90" i="105"/>
  <c r="K90" i="105"/>
  <c r="H90" i="105"/>
  <c r="F90" i="105"/>
  <c r="C90" i="105"/>
  <c r="P61" i="105"/>
  <c r="P60" i="105"/>
  <c r="P59" i="105"/>
  <c r="P58" i="105"/>
  <c r="P57" i="105"/>
  <c r="P56" i="105"/>
  <c r="P55" i="105"/>
  <c r="P54" i="105"/>
  <c r="P53" i="105"/>
  <c r="P52" i="105"/>
  <c r="P51" i="105"/>
  <c r="P50" i="105"/>
  <c r="P49" i="105"/>
  <c r="P48" i="105"/>
  <c r="P47" i="105"/>
  <c r="P46" i="105"/>
  <c r="P45" i="105"/>
  <c r="P44" i="105"/>
  <c r="P43" i="105"/>
  <c r="P42" i="105"/>
  <c r="P41" i="105"/>
  <c r="M18" i="105"/>
  <c r="Q11" i="105"/>
  <c r="F2" i="105"/>
  <c r="F18" i="105" s="1"/>
  <c r="C28" i="88"/>
  <c r="F19" i="105"/>
  <c r="K91" i="105"/>
  <c r="H91" i="105"/>
  <c r="C19" i="105"/>
  <c r="M19" i="105"/>
  <c r="H19" i="105"/>
  <c r="M91" i="105"/>
  <c r="F91" i="105"/>
  <c r="K19" i="105"/>
  <c r="C91" i="105"/>
  <c r="M72" i="105" l="1"/>
  <c r="Q10" i="105" s="1"/>
  <c r="O677" i="38"/>
  <c r="Z677" i="38"/>
  <c r="P677" i="38"/>
  <c r="U677" i="38"/>
  <c r="Q2" i="105"/>
  <c r="Q5" i="105" s="1"/>
  <c r="G62" i="88"/>
  <c r="F62" i="88"/>
  <c r="H62" i="88"/>
  <c r="F15" i="88"/>
  <c r="A676" i="38"/>
  <c r="D676" i="38"/>
  <c r="E676" i="38"/>
  <c r="G676" i="38"/>
  <c r="H676" i="38"/>
  <c r="K676" i="38"/>
  <c r="L676" i="38" s="1"/>
  <c r="M676" i="38"/>
  <c r="N676" i="38" s="1"/>
  <c r="S676" i="38"/>
  <c r="Q3" i="105" l="1"/>
  <c r="Q6" i="105" s="1"/>
  <c r="Q8" i="105"/>
  <c r="Q7" i="105" s="1"/>
  <c r="O676" i="38"/>
  <c r="P676" i="38"/>
  <c r="Z676" i="38"/>
  <c r="F41" i="49"/>
  <c r="F42" i="49"/>
  <c r="F43" i="49"/>
  <c r="F39" i="49"/>
  <c r="H43" i="49"/>
  <c r="G43" i="49"/>
  <c r="F43" i="78"/>
  <c r="H43" i="78"/>
  <c r="G43" i="78"/>
  <c r="F34" i="31"/>
  <c r="H34" i="31"/>
  <c r="G34" i="31"/>
  <c r="Q9" i="105" l="1"/>
  <c r="F61" i="88"/>
  <c r="H61" i="88"/>
  <c r="G61" i="88"/>
  <c r="K7" i="88"/>
  <c r="F299" i="25"/>
  <c r="G299" i="25"/>
  <c r="H299" i="25"/>
  <c r="F84" i="25"/>
  <c r="F43" i="101"/>
  <c r="H43" i="101"/>
  <c r="G43" i="101"/>
  <c r="F8" i="101"/>
  <c r="F72" i="81"/>
  <c r="H72" i="81"/>
  <c r="G72" i="81"/>
  <c r="F20" i="81"/>
  <c r="A675" i="38"/>
  <c r="D675" i="38"/>
  <c r="E675" i="38"/>
  <c r="G675" i="38"/>
  <c r="H675" i="38"/>
  <c r="K675" i="38"/>
  <c r="L675" i="38" s="1"/>
  <c r="M675" i="38"/>
  <c r="U675" i="38" s="1"/>
  <c r="S675" i="38"/>
  <c r="N675" i="38" l="1"/>
  <c r="O675" i="38" s="1"/>
  <c r="P675" i="38"/>
  <c r="Z675" i="38" l="1"/>
  <c r="F45" i="45"/>
  <c r="G45" i="45"/>
  <c r="H45" i="45"/>
  <c r="F7" i="45"/>
  <c r="K5" i="45"/>
  <c r="F113" i="51"/>
  <c r="H113" i="51"/>
  <c r="G113" i="51"/>
  <c r="G139" i="58"/>
  <c r="F139" i="58"/>
  <c r="H139" i="58"/>
  <c r="K22" i="58"/>
  <c r="A674" i="38"/>
  <c r="D674" i="38"/>
  <c r="E674" i="38"/>
  <c r="G674" i="38"/>
  <c r="H674" i="38"/>
  <c r="K674" i="38"/>
  <c r="L674" i="38" s="1"/>
  <c r="M674" i="38"/>
  <c r="N674" i="38" s="1"/>
  <c r="S674" i="38"/>
  <c r="H19" i="45"/>
  <c r="O674" i="38" l="1"/>
  <c r="P674" i="38"/>
  <c r="U674" i="38"/>
  <c r="Z674" i="38"/>
  <c r="F34" i="103"/>
  <c r="H34" i="103"/>
  <c r="G34" i="103"/>
  <c r="F60" i="88"/>
  <c r="H60" i="88"/>
  <c r="G60" i="88"/>
  <c r="K6" i="88"/>
  <c r="F298" i="25"/>
  <c r="H298" i="25"/>
  <c r="G298" i="25"/>
  <c r="F83" i="25"/>
  <c r="F112" i="51"/>
  <c r="G112" i="51"/>
  <c r="H112" i="51"/>
  <c r="G138" i="58"/>
  <c r="F138" i="58"/>
  <c r="H138" i="58"/>
  <c r="A673" i="38"/>
  <c r="D673" i="38"/>
  <c r="E673" i="38"/>
  <c r="G673" i="38"/>
  <c r="H673" i="38"/>
  <c r="K673" i="38"/>
  <c r="L673" i="38" s="1"/>
  <c r="M673" i="38"/>
  <c r="N673" i="38" s="1"/>
  <c r="S673" i="38"/>
  <c r="C29" i="88"/>
  <c r="H29" i="88"/>
  <c r="O673" i="38" l="1"/>
  <c r="Z673" i="38"/>
  <c r="P673" i="38"/>
  <c r="U673" i="38"/>
  <c r="A672" i="38"/>
  <c r="D672" i="38"/>
  <c r="E672" i="38"/>
  <c r="G672" i="38"/>
  <c r="H672" i="38"/>
  <c r="K672" i="38"/>
  <c r="L672" i="38" s="1"/>
  <c r="M672" i="38"/>
  <c r="N672" i="38" s="1"/>
  <c r="S672" i="38"/>
  <c r="F68" i="84"/>
  <c r="H68" i="84"/>
  <c r="G68" i="84"/>
  <c r="K8" i="84"/>
  <c r="F71" i="81"/>
  <c r="H71" i="81"/>
  <c r="G71" i="81"/>
  <c r="K13" i="81"/>
  <c r="F40" i="47"/>
  <c r="H40" i="47"/>
  <c r="G40" i="47"/>
  <c r="K8" i="47"/>
  <c r="F37" i="99"/>
  <c r="H37" i="99"/>
  <c r="G37" i="99"/>
  <c r="K4" i="99"/>
  <c r="F42" i="101"/>
  <c r="H42" i="101"/>
  <c r="G42" i="101"/>
  <c r="K6" i="101"/>
  <c r="F297" i="25"/>
  <c r="G297" i="25"/>
  <c r="H297" i="25"/>
  <c r="K65" i="25"/>
  <c r="G27" i="104"/>
  <c r="H27" i="104"/>
  <c r="O672" i="38" l="1"/>
  <c r="Z672" i="38"/>
  <c r="P672" i="38"/>
  <c r="U672" i="38"/>
  <c r="A671" i="38"/>
  <c r="D671" i="38"/>
  <c r="E671" i="38"/>
  <c r="G671" i="38"/>
  <c r="H671" i="38"/>
  <c r="K671" i="38"/>
  <c r="L671" i="38" s="1"/>
  <c r="M671" i="38"/>
  <c r="N671" i="38" s="1"/>
  <c r="S671" i="38"/>
  <c r="O671" i="38" l="1"/>
  <c r="Z671" i="38"/>
  <c r="P671" i="38"/>
  <c r="U671" i="38"/>
  <c r="G137" i="58"/>
  <c r="F137" i="58"/>
  <c r="H137" i="58"/>
  <c r="F26" i="58"/>
  <c r="A670" i="38" l="1"/>
  <c r="D670" i="38"/>
  <c r="E670" i="38"/>
  <c r="G670" i="38"/>
  <c r="H670" i="38"/>
  <c r="K670" i="38"/>
  <c r="L670" i="38" s="1"/>
  <c r="M670" i="38"/>
  <c r="N670" i="38" s="1"/>
  <c r="S670" i="38"/>
  <c r="F296" i="25"/>
  <c r="H296" i="25"/>
  <c r="G296" i="25"/>
  <c r="K64" i="25"/>
  <c r="F111" i="51"/>
  <c r="G111" i="51"/>
  <c r="H111" i="51"/>
  <c r="F36" i="99"/>
  <c r="H36" i="99"/>
  <c r="G36" i="99"/>
  <c r="F6" i="99"/>
  <c r="O670" i="38" l="1"/>
  <c r="Z670" i="38"/>
  <c r="P670" i="38"/>
  <c r="U670" i="38"/>
  <c r="F67" i="84"/>
  <c r="H67" i="84"/>
  <c r="G67" i="84"/>
  <c r="A669" i="38" l="1"/>
  <c r="D669" i="38"/>
  <c r="E669" i="38"/>
  <c r="G669" i="38"/>
  <c r="H669" i="38"/>
  <c r="K669" i="38"/>
  <c r="L669" i="38" s="1"/>
  <c r="M669" i="38"/>
  <c r="N669" i="38" s="1"/>
  <c r="S669" i="38"/>
  <c r="F295" i="25"/>
  <c r="H295" i="25"/>
  <c r="G295" i="25"/>
  <c r="F82" i="25"/>
  <c r="F43" i="86"/>
  <c r="H43" i="86"/>
  <c r="G43" i="86"/>
  <c r="F7" i="86"/>
  <c r="F294" i="25"/>
  <c r="H294" i="25"/>
  <c r="G294" i="25"/>
  <c r="F81" i="25"/>
  <c r="F80" i="25"/>
  <c r="F110" i="51"/>
  <c r="H110" i="51"/>
  <c r="G110" i="51"/>
  <c r="F33" i="96"/>
  <c r="H33" i="96"/>
  <c r="G33" i="96"/>
  <c r="F82" i="46"/>
  <c r="H82" i="46"/>
  <c r="M42" i="46"/>
  <c r="G82" i="46"/>
  <c r="P669" i="38" l="1"/>
  <c r="O669" i="38"/>
  <c r="Z669" i="38"/>
  <c r="U669" i="38"/>
  <c r="F35" i="99"/>
  <c r="H35" i="99"/>
  <c r="G35" i="99"/>
  <c r="K3" i="99"/>
  <c r="G39" i="93"/>
  <c r="F39" i="93"/>
  <c r="H39" i="93"/>
  <c r="K4" i="93"/>
  <c r="A668" i="38"/>
  <c r="D668" i="38"/>
  <c r="E668" i="38"/>
  <c r="G668" i="38"/>
  <c r="H668" i="38"/>
  <c r="K668" i="38"/>
  <c r="L668" i="38" s="1"/>
  <c r="M668" i="38"/>
  <c r="U668" i="38" s="1"/>
  <c r="S668" i="38"/>
  <c r="N668" i="38" l="1"/>
  <c r="Z668" i="38" s="1"/>
  <c r="P668" i="38"/>
  <c r="F109" i="51"/>
  <c r="H109" i="51"/>
  <c r="G109" i="51"/>
  <c r="F63" i="57"/>
  <c r="G63" i="57"/>
  <c r="H63" i="57"/>
  <c r="K11" i="57"/>
  <c r="G38" i="93"/>
  <c r="F38" i="93"/>
  <c r="H38" i="93"/>
  <c r="F5" i="93"/>
  <c r="A666" i="38"/>
  <c r="A667" i="38"/>
  <c r="D667" i="38"/>
  <c r="E667" i="38"/>
  <c r="G667" i="38"/>
  <c r="H667" i="38"/>
  <c r="K667" i="38"/>
  <c r="L667" i="38" s="1"/>
  <c r="M667" i="38"/>
  <c r="N667" i="38" s="1"/>
  <c r="S667" i="38"/>
  <c r="O668" i="38" l="1"/>
  <c r="O667" i="38"/>
  <c r="P667" i="38"/>
  <c r="U667" i="38"/>
  <c r="Z667" i="38"/>
  <c r="F59" i="88"/>
  <c r="G59" i="88"/>
  <c r="H59" i="88"/>
  <c r="G37" i="93"/>
  <c r="F37" i="93"/>
  <c r="H37" i="93"/>
  <c r="K3" i="93"/>
  <c r="F66" i="84"/>
  <c r="H66" i="84"/>
  <c r="G66" i="84"/>
  <c r="D666" i="38"/>
  <c r="E666" i="38"/>
  <c r="G666" i="38"/>
  <c r="H666" i="38"/>
  <c r="K666" i="38"/>
  <c r="L666" i="38" s="1"/>
  <c r="M666" i="38"/>
  <c r="N666" i="38" s="1"/>
  <c r="S666" i="38"/>
  <c r="O666" i="38" l="1"/>
  <c r="Z666" i="38"/>
  <c r="P666" i="38"/>
  <c r="U666" i="38"/>
  <c r="F31" i="95"/>
  <c r="H31" i="95"/>
  <c r="G31" i="95"/>
  <c r="F293" i="25"/>
  <c r="G293" i="25"/>
  <c r="H293" i="25"/>
  <c r="K63" i="25"/>
  <c r="G81" i="46"/>
  <c r="F81" i="46"/>
  <c r="H81" i="46"/>
  <c r="K12" i="46"/>
  <c r="F40" i="91"/>
  <c r="H40" i="91"/>
  <c r="G40" i="91"/>
  <c r="A665" i="38"/>
  <c r="D665" i="38"/>
  <c r="E665" i="38"/>
  <c r="G665" i="38"/>
  <c r="H665" i="38"/>
  <c r="K665" i="38"/>
  <c r="L665" i="38" s="1"/>
  <c r="M665" i="38"/>
  <c r="N665" i="38" s="1"/>
  <c r="S665" i="38"/>
  <c r="O665" i="38" l="1"/>
  <c r="Z665" i="38"/>
  <c r="P665" i="38"/>
  <c r="U665" i="38"/>
  <c r="F34" i="99"/>
  <c r="G34" i="99"/>
  <c r="H34" i="99"/>
  <c r="K4" i="74" l="1"/>
  <c r="F62" i="57"/>
  <c r="G62" i="57"/>
  <c r="H62" i="57"/>
  <c r="K10" i="57"/>
  <c r="H26" i="104"/>
  <c r="G26" i="104"/>
  <c r="F3" i="104"/>
  <c r="K2" i="104"/>
  <c r="F108" i="51"/>
  <c r="H108" i="51"/>
  <c r="G108" i="51"/>
  <c r="A664" i="38"/>
  <c r="D664" i="38"/>
  <c r="E664" i="38"/>
  <c r="G664" i="38"/>
  <c r="H664" i="38"/>
  <c r="K664" i="38"/>
  <c r="L664" i="38" s="1"/>
  <c r="M664" i="38"/>
  <c r="N664" i="38" s="1"/>
  <c r="S664" i="38"/>
  <c r="O664" i="38" l="1"/>
  <c r="P664" i="38"/>
  <c r="U664" i="38"/>
  <c r="Z664" i="38"/>
  <c r="F39" i="90"/>
  <c r="H39" i="90"/>
  <c r="G39" i="90"/>
  <c r="K4" i="90"/>
  <c r="A663" i="38"/>
  <c r="D663" i="38"/>
  <c r="E663" i="38"/>
  <c r="G663" i="38"/>
  <c r="H663" i="38"/>
  <c r="K663" i="38"/>
  <c r="L663" i="38" s="1"/>
  <c r="M663" i="38"/>
  <c r="N663" i="38" s="1"/>
  <c r="S663" i="38"/>
  <c r="P663" i="38" l="1"/>
  <c r="O663" i="38"/>
  <c r="Z663" i="38"/>
  <c r="F136" i="58"/>
  <c r="H136" i="58"/>
  <c r="G136" i="58"/>
  <c r="K21" i="58"/>
  <c r="K20" i="58"/>
  <c r="F61" i="57"/>
  <c r="H61" i="57"/>
  <c r="G61" i="57"/>
  <c r="K9" i="57"/>
  <c r="A662" i="38"/>
  <c r="D662" i="38"/>
  <c r="E662" i="38"/>
  <c r="G662" i="38"/>
  <c r="H662" i="38"/>
  <c r="K662" i="38"/>
  <c r="L662" i="38" s="1"/>
  <c r="M662" i="38"/>
  <c r="N662" i="38" s="1"/>
  <c r="S662" i="38"/>
  <c r="O662" i="38" l="1"/>
  <c r="Z662" i="38"/>
  <c r="P662" i="38"/>
  <c r="U662" i="38"/>
  <c r="F30" i="95"/>
  <c r="H30" i="95"/>
  <c r="G30" i="95"/>
  <c r="K2" i="95"/>
  <c r="D661" i="38"/>
  <c r="A661" i="38"/>
  <c r="E661" i="38"/>
  <c r="G661" i="38"/>
  <c r="H661" i="38"/>
  <c r="K661" i="38"/>
  <c r="L661" i="38" s="1"/>
  <c r="M661" i="38"/>
  <c r="N661" i="38" s="1"/>
  <c r="S661" i="38"/>
  <c r="P661" i="38" l="1"/>
  <c r="O661" i="38"/>
  <c r="Z661" i="38"/>
  <c r="U661" i="38"/>
  <c r="S660" i="38"/>
  <c r="G659" i="38"/>
  <c r="D659" i="38"/>
  <c r="K659" i="38"/>
  <c r="L659" i="38" s="1"/>
  <c r="A660" i="38"/>
  <c r="D660" i="38"/>
  <c r="E660" i="38"/>
  <c r="G660" i="38"/>
  <c r="H660" i="38"/>
  <c r="K660" i="38"/>
  <c r="L660" i="38" s="1"/>
  <c r="M660" i="38"/>
  <c r="N660" i="38" s="1"/>
  <c r="A659" i="38"/>
  <c r="E659" i="38"/>
  <c r="H659" i="38"/>
  <c r="M659" i="38"/>
  <c r="N659" i="38" s="1"/>
  <c r="S659" i="38"/>
  <c r="O660" i="38" l="1"/>
  <c r="P660" i="38"/>
  <c r="P659" i="38"/>
  <c r="O659" i="38"/>
  <c r="U660" i="38"/>
  <c r="Z660" i="38"/>
  <c r="U659" i="38"/>
  <c r="Z659" i="38"/>
  <c r="C59" i="82"/>
  <c r="H59" i="82"/>
  <c r="F49" i="82"/>
  <c r="F48" i="82"/>
  <c r="K47" i="82"/>
  <c r="F47" i="82"/>
  <c r="K46" i="82"/>
  <c r="F46" i="82"/>
  <c r="K45" i="82"/>
  <c r="F45" i="82"/>
  <c r="K44" i="82"/>
  <c r="F44" i="82"/>
  <c r="K43" i="82"/>
  <c r="F43" i="82"/>
  <c r="F80" i="46"/>
  <c r="G80" i="46"/>
  <c r="H80" i="46"/>
  <c r="F59" i="82" l="1"/>
  <c r="K59" i="82"/>
  <c r="F60" i="57"/>
  <c r="H60" i="57"/>
  <c r="G60" i="57"/>
  <c r="R11" i="57"/>
  <c r="F41" i="101" l="1"/>
  <c r="H41" i="101"/>
  <c r="G41" i="101"/>
  <c r="K5" i="101"/>
  <c r="G42" i="49"/>
  <c r="H42" i="49"/>
  <c r="F107" i="51"/>
  <c r="G107" i="51"/>
  <c r="H107" i="51"/>
  <c r="F44" i="45"/>
  <c r="G44" i="45"/>
  <c r="H44" i="45"/>
  <c r="A658" i="38" l="1"/>
  <c r="D658" i="38"/>
  <c r="E658" i="38"/>
  <c r="G658" i="38"/>
  <c r="H658" i="38"/>
  <c r="K658" i="38"/>
  <c r="L658" i="38" s="1"/>
  <c r="M658" i="38"/>
  <c r="N658" i="38" s="1"/>
  <c r="S658" i="38"/>
  <c r="H25" i="82"/>
  <c r="G25" i="82"/>
  <c r="F25" i="82"/>
  <c r="O658" i="38" l="1"/>
  <c r="Z658" i="38"/>
  <c r="P658" i="38"/>
  <c r="U658" i="38"/>
  <c r="F59" i="57"/>
  <c r="H59" i="57"/>
  <c r="G59" i="57"/>
  <c r="F292" i="25"/>
  <c r="G292" i="25"/>
  <c r="H292" i="25"/>
  <c r="G58" i="88"/>
  <c r="F58" i="88"/>
  <c r="H58" i="88"/>
  <c r="A657" i="38"/>
  <c r="D657" i="38"/>
  <c r="E657" i="38"/>
  <c r="G657" i="38"/>
  <c r="H657" i="38"/>
  <c r="K657" i="38"/>
  <c r="L657" i="38" s="1"/>
  <c r="M657" i="38"/>
  <c r="U657" i="38" s="1"/>
  <c r="S657" i="38"/>
  <c r="K11" i="77"/>
  <c r="H18" i="77"/>
  <c r="N657" i="38" l="1"/>
  <c r="O657" i="38" s="1"/>
  <c r="P657" i="38"/>
  <c r="K10" i="70"/>
  <c r="F29" i="95"/>
  <c r="H29" i="95"/>
  <c r="G29" i="95"/>
  <c r="F3" i="95"/>
  <c r="F43" i="45"/>
  <c r="G43" i="45"/>
  <c r="H43" i="45"/>
  <c r="F79" i="46"/>
  <c r="H79" i="46"/>
  <c r="G79" i="46"/>
  <c r="F19" i="46"/>
  <c r="A656" i="38"/>
  <c r="D656" i="38"/>
  <c r="E656" i="38"/>
  <c r="G656" i="38"/>
  <c r="H656" i="38"/>
  <c r="K656" i="38"/>
  <c r="L656" i="38" s="1"/>
  <c r="M656" i="38"/>
  <c r="N656" i="38" s="1"/>
  <c r="S656" i="38"/>
  <c r="F2" i="68"/>
  <c r="F62" i="77"/>
  <c r="G62" i="77"/>
  <c r="H62" i="77"/>
  <c r="P656" i="38" l="1"/>
  <c r="Z657" i="38"/>
  <c r="O656" i="38"/>
  <c r="Z656" i="38"/>
  <c r="U656" i="38"/>
  <c r="AI17" i="88"/>
  <c r="AG17" i="88"/>
  <c r="AF17" i="88"/>
  <c r="AD17" i="88"/>
  <c r="AC17" i="88"/>
  <c r="AA17" i="88"/>
  <c r="Z17" i="88"/>
  <c r="AI16" i="88"/>
  <c r="AG16" i="88"/>
  <c r="AF16" i="88"/>
  <c r="AD16" i="88"/>
  <c r="AC16" i="88"/>
  <c r="AA16" i="88"/>
  <c r="Z16" i="88"/>
  <c r="AI15" i="88"/>
  <c r="AG15" i="88"/>
  <c r="AF15" i="88"/>
  <c r="AD15" i="88"/>
  <c r="AC15" i="88"/>
  <c r="AA15" i="88"/>
  <c r="Z15" i="88"/>
  <c r="AI14" i="88"/>
  <c r="AG14" i="88"/>
  <c r="AF14" i="88"/>
  <c r="AD14" i="88"/>
  <c r="AC14" i="88"/>
  <c r="Z14" i="88"/>
  <c r="AI13" i="88"/>
  <c r="AG13" i="88"/>
  <c r="AF13" i="88"/>
  <c r="AD13" i="88"/>
  <c r="AC13" i="88"/>
  <c r="Z13" i="88"/>
  <c r="AI12" i="88"/>
  <c r="AG12" i="88"/>
  <c r="AF12" i="88"/>
  <c r="AD12" i="88"/>
  <c r="AC12" i="88"/>
  <c r="Z12" i="88"/>
  <c r="AI11" i="88"/>
  <c r="AG11" i="88"/>
  <c r="AF11" i="88"/>
  <c r="AD11" i="88"/>
  <c r="AC11" i="88"/>
  <c r="Z11" i="88"/>
  <c r="AI10" i="88"/>
  <c r="AG10" i="88"/>
  <c r="AF10" i="88"/>
  <c r="AD10" i="88"/>
  <c r="AC10" i="88"/>
  <c r="Z10" i="88"/>
  <c r="AI9" i="88"/>
  <c r="AG9" i="88"/>
  <c r="AF9" i="88"/>
  <c r="AD9" i="88"/>
  <c r="AC9" i="88"/>
  <c r="Z9" i="88"/>
  <c r="AI8" i="88"/>
  <c r="AG8" i="88"/>
  <c r="AF8" i="88"/>
  <c r="AD8" i="88"/>
  <c r="AC8" i="88"/>
  <c r="Z8" i="88"/>
  <c r="AI7" i="88"/>
  <c r="AG7" i="88"/>
  <c r="AF7" i="88"/>
  <c r="AD7" i="88"/>
  <c r="AC7" i="88"/>
  <c r="Z7" i="88"/>
  <c r="AI6" i="88"/>
  <c r="AG6" i="88"/>
  <c r="AF6" i="88"/>
  <c r="AD6" i="88"/>
  <c r="AC6" i="88"/>
  <c r="Z6" i="88"/>
  <c r="AI5" i="88"/>
  <c r="AG5" i="88"/>
  <c r="AF5" i="88"/>
  <c r="AC5" i="88"/>
  <c r="Z5" i="88"/>
  <c r="AI4" i="88"/>
  <c r="AG4" i="88"/>
  <c r="AF4" i="88"/>
  <c r="AC4" i="88"/>
  <c r="Z4" i="88"/>
  <c r="AI3" i="88"/>
  <c r="AG3" i="88"/>
  <c r="AF3" i="88"/>
  <c r="AC3" i="88"/>
  <c r="Z3" i="88"/>
  <c r="AI2" i="88"/>
  <c r="AG2" i="88"/>
  <c r="AF2" i="88"/>
  <c r="AC2" i="88"/>
  <c r="Z2" i="88"/>
  <c r="AI2" i="86"/>
  <c r="AG3" i="86"/>
  <c r="AG4" i="86"/>
  <c r="AG5" i="86"/>
  <c r="AG6" i="86"/>
  <c r="AG7" i="86"/>
  <c r="AG8" i="86"/>
  <c r="AG9" i="86"/>
  <c r="AG10" i="86"/>
  <c r="AG11" i="86"/>
  <c r="AG12" i="86"/>
  <c r="AG13" i="86"/>
  <c r="AG14" i="86"/>
  <c r="AG15" i="86"/>
  <c r="AG16" i="86"/>
  <c r="AG17" i="86"/>
  <c r="AG2" i="86"/>
  <c r="AF3" i="86"/>
  <c r="AF4" i="86"/>
  <c r="AF5" i="86"/>
  <c r="AF6" i="86"/>
  <c r="AF7" i="86"/>
  <c r="AF8" i="86"/>
  <c r="AF9" i="86"/>
  <c r="AF10" i="86"/>
  <c r="AF11" i="86"/>
  <c r="AF12" i="86"/>
  <c r="AF13" i="86"/>
  <c r="AF14" i="86"/>
  <c r="AF15" i="86"/>
  <c r="AF16" i="86"/>
  <c r="AF17" i="86"/>
  <c r="AF2" i="86"/>
  <c r="AD4" i="86"/>
  <c r="AD5" i="86"/>
  <c r="AD6" i="86"/>
  <c r="AD7" i="86"/>
  <c r="AD8" i="86"/>
  <c r="AD9" i="86"/>
  <c r="AD10" i="86"/>
  <c r="AD11" i="86"/>
  <c r="AD12" i="86"/>
  <c r="AD13" i="86"/>
  <c r="AD14" i="86"/>
  <c r="AD15" i="86"/>
  <c r="AD16" i="86"/>
  <c r="AD17" i="86"/>
  <c r="AC3" i="86"/>
  <c r="AC4" i="86"/>
  <c r="AC5" i="86"/>
  <c r="AC6" i="86"/>
  <c r="AC7" i="86"/>
  <c r="AC8" i="86"/>
  <c r="AC9" i="86"/>
  <c r="AC10" i="86"/>
  <c r="AC11" i="86"/>
  <c r="AC12" i="86"/>
  <c r="AC13" i="86"/>
  <c r="AC14" i="86"/>
  <c r="AC15" i="86"/>
  <c r="AC16" i="86"/>
  <c r="AC17" i="86"/>
  <c r="AC2" i="86"/>
  <c r="AA7" i="86"/>
  <c r="AA8" i="86"/>
  <c r="AA9" i="86"/>
  <c r="AA10" i="86"/>
  <c r="AA11" i="86"/>
  <c r="AA12" i="86"/>
  <c r="AA13" i="86"/>
  <c r="AA14" i="86"/>
  <c r="AA15" i="86"/>
  <c r="AA16" i="86"/>
  <c r="AA17" i="86"/>
  <c r="Z3" i="86"/>
  <c r="Z4" i="86"/>
  <c r="Z5" i="86"/>
  <c r="Z6" i="86"/>
  <c r="Z7" i="86"/>
  <c r="Z8" i="86"/>
  <c r="Z9" i="86"/>
  <c r="Z10" i="86"/>
  <c r="Z11" i="86"/>
  <c r="Z12" i="86"/>
  <c r="Z13" i="86"/>
  <c r="Z14" i="86"/>
  <c r="Z15" i="86"/>
  <c r="Z16" i="86"/>
  <c r="Z17" i="86"/>
  <c r="Z2" i="86"/>
  <c r="AB14" i="86" l="1"/>
  <c r="AE17" i="86"/>
  <c r="AE12" i="88"/>
  <c r="AE9" i="86"/>
  <c r="AB15" i="88"/>
  <c r="AH17" i="86"/>
  <c r="AH13" i="86"/>
  <c r="AE5" i="86"/>
  <c r="AH12" i="86"/>
  <c r="AH3" i="88"/>
  <c r="AH6" i="88"/>
  <c r="AH10" i="88"/>
  <c r="AH2" i="88"/>
  <c r="AH8" i="88"/>
  <c r="AE11" i="88"/>
  <c r="AH9" i="86"/>
  <c r="AB10" i="86"/>
  <c r="AE13" i="86"/>
  <c r="AH5" i="86"/>
  <c r="AH4" i="88"/>
  <c r="AE10" i="88"/>
  <c r="AH12" i="88"/>
  <c r="AH4" i="86"/>
  <c r="AH11" i="88"/>
  <c r="AE12" i="86"/>
  <c r="AE4" i="86"/>
  <c r="AB15" i="86"/>
  <c r="AB7" i="86"/>
  <c r="AE10" i="86"/>
  <c r="AB12" i="86"/>
  <c r="AE15" i="86"/>
  <c r="AE7" i="86"/>
  <c r="AH7" i="86"/>
  <c r="AB16" i="88"/>
  <c r="AH15" i="86"/>
  <c r="AH14" i="86"/>
  <c r="AB13" i="86"/>
  <c r="AE16" i="86"/>
  <c r="AE8" i="86"/>
  <c r="AH16" i="88"/>
  <c r="AH15" i="88"/>
  <c r="AH6" i="86"/>
  <c r="AB11" i="86"/>
  <c r="AE14" i="86"/>
  <c r="AE6" i="86"/>
  <c r="AH11" i="86"/>
  <c r="AH3" i="86"/>
  <c r="AH14" i="88"/>
  <c r="AH17" i="88"/>
  <c r="AH2" i="86"/>
  <c r="AH10" i="86"/>
  <c r="AH5" i="88"/>
  <c r="AB17" i="88"/>
  <c r="AH7" i="88"/>
  <c r="AB17" i="86"/>
  <c r="AB9" i="86"/>
  <c r="AH13" i="88"/>
  <c r="AB16" i="86"/>
  <c r="AB8" i="86"/>
  <c r="AE11" i="86"/>
  <c r="AH16" i="86"/>
  <c r="AH8" i="86"/>
  <c r="AH9" i="88"/>
  <c r="AE13" i="88"/>
  <c r="AE14" i="88"/>
  <c r="AE15" i="88"/>
  <c r="AE16" i="88"/>
  <c r="AE17" i="88"/>
  <c r="AE6" i="88"/>
  <c r="AE7" i="88"/>
  <c r="AE8" i="88"/>
  <c r="AE9" i="88"/>
  <c r="A655" i="38"/>
  <c r="D655" i="38"/>
  <c r="E655" i="38"/>
  <c r="G655" i="38"/>
  <c r="H655" i="38"/>
  <c r="K655" i="38"/>
  <c r="L655" i="38" s="1"/>
  <c r="M655" i="38"/>
  <c r="N655" i="38" s="1"/>
  <c r="S655" i="38"/>
  <c r="F33" i="99"/>
  <c r="H33" i="99"/>
  <c r="G33" i="99"/>
  <c r="F3" i="99"/>
  <c r="K2" i="99"/>
  <c r="K18" i="99" s="1"/>
  <c r="F291" i="25"/>
  <c r="H291" i="25"/>
  <c r="G291" i="25"/>
  <c r="F79" i="25"/>
  <c r="F78" i="25"/>
  <c r="F42" i="78"/>
  <c r="H42" i="78"/>
  <c r="G42" i="78"/>
  <c r="P655" i="38" l="1"/>
  <c r="Z655" i="38"/>
  <c r="O655" i="38"/>
  <c r="U655" i="38"/>
  <c r="F42" i="45"/>
  <c r="G42" i="45"/>
  <c r="H42" i="45"/>
  <c r="F8" i="45"/>
  <c r="F34" i="98"/>
  <c r="H34" i="98"/>
  <c r="G34" i="98"/>
  <c r="K4" i="98"/>
  <c r="A654" i="38"/>
  <c r="D654" i="38"/>
  <c r="E654" i="38"/>
  <c r="G654" i="38"/>
  <c r="H654" i="38"/>
  <c r="K654" i="38"/>
  <c r="L654" i="38" s="1"/>
  <c r="M654" i="38"/>
  <c r="U654" i="38" s="1"/>
  <c r="S654" i="38"/>
  <c r="N654" i="38" l="1"/>
  <c r="O654" i="38" s="1"/>
  <c r="P654" i="38"/>
  <c r="F106" i="51"/>
  <c r="H106" i="51"/>
  <c r="G106" i="51"/>
  <c r="F42" i="86"/>
  <c r="H42" i="86"/>
  <c r="G42" i="86"/>
  <c r="F6" i="86"/>
  <c r="AA6" i="86" s="1"/>
  <c r="AB6" i="86" s="1"/>
  <c r="F33" i="98"/>
  <c r="H33" i="98"/>
  <c r="G33" i="98"/>
  <c r="K3" i="98"/>
  <c r="A653" i="38"/>
  <c r="D653" i="38"/>
  <c r="E653" i="38"/>
  <c r="G653" i="38"/>
  <c r="H653" i="38"/>
  <c r="K653" i="38"/>
  <c r="L653" i="38" s="1"/>
  <c r="M653" i="38"/>
  <c r="N653" i="38" s="1"/>
  <c r="S653" i="38"/>
  <c r="O653" i="38" l="1"/>
  <c r="Z654" i="38"/>
  <c r="P653" i="38"/>
  <c r="U653" i="38"/>
  <c r="Z653" i="38"/>
  <c r="F41" i="45"/>
  <c r="G41" i="45"/>
  <c r="H41" i="45"/>
  <c r="K4" i="45"/>
  <c r="A652" i="38"/>
  <c r="D652" i="38"/>
  <c r="E652" i="38"/>
  <c r="G652" i="38"/>
  <c r="H652" i="38"/>
  <c r="K652" i="38"/>
  <c r="L652" i="38" s="1"/>
  <c r="P652" i="38" s="1"/>
  <c r="M652" i="38"/>
  <c r="N652" i="38" s="1"/>
  <c r="S652" i="38"/>
  <c r="O652" i="38" l="1"/>
  <c r="Z652" i="38"/>
  <c r="U652" i="38"/>
  <c r="F32" i="96"/>
  <c r="H32" i="96"/>
  <c r="G32" i="96"/>
  <c r="F78" i="46"/>
  <c r="G78" i="46"/>
  <c r="H78" i="46"/>
  <c r="F57" i="88"/>
  <c r="H57" i="88"/>
  <c r="G57" i="88"/>
  <c r="F105" i="51"/>
  <c r="G105" i="51"/>
  <c r="H105" i="51"/>
  <c r="F65" i="84"/>
  <c r="H65" i="84"/>
  <c r="G65" i="84"/>
  <c r="F290" i="25"/>
  <c r="H290" i="25"/>
  <c r="G290" i="25"/>
  <c r="A651" i="38"/>
  <c r="D651" i="38"/>
  <c r="E651" i="38"/>
  <c r="G651" i="38"/>
  <c r="H651" i="38"/>
  <c r="K651" i="38"/>
  <c r="L651" i="38" s="1"/>
  <c r="M651" i="38"/>
  <c r="N651" i="38" s="1"/>
  <c r="S651" i="38"/>
  <c r="K62" i="25"/>
  <c r="O651" i="38" l="1"/>
  <c r="P651" i="38"/>
  <c r="U651" i="38"/>
  <c r="Z651" i="38"/>
  <c r="Q13" i="90"/>
  <c r="F28" i="95"/>
  <c r="G28" i="95"/>
  <c r="H28" i="95"/>
  <c r="F104" i="51"/>
  <c r="G104" i="51"/>
  <c r="H104" i="51"/>
  <c r="A650" i="38" l="1"/>
  <c r="D650" i="38"/>
  <c r="E650" i="38"/>
  <c r="G650" i="38"/>
  <c r="H650" i="38"/>
  <c r="K650" i="38"/>
  <c r="L650" i="38" s="1"/>
  <c r="M650" i="38"/>
  <c r="N650" i="38" s="1"/>
  <c r="S650" i="38"/>
  <c r="O650" i="38" l="1"/>
  <c r="Z650" i="38"/>
  <c r="P650" i="38"/>
  <c r="U650" i="38"/>
  <c r="F40" i="45"/>
  <c r="G40" i="45"/>
  <c r="H40" i="45"/>
  <c r="F6" i="45"/>
  <c r="F103" i="51"/>
  <c r="H103" i="51"/>
  <c r="G103" i="51"/>
  <c r="A649" i="38"/>
  <c r="D649" i="38"/>
  <c r="E649" i="38"/>
  <c r="G649" i="38"/>
  <c r="H649" i="38"/>
  <c r="K649" i="38"/>
  <c r="L649" i="38" s="1"/>
  <c r="M649" i="38"/>
  <c r="N649" i="38" s="1"/>
  <c r="S649" i="38"/>
  <c r="O649" i="38" l="1"/>
  <c r="Z649" i="38"/>
  <c r="P649" i="38"/>
  <c r="U649" i="38"/>
  <c r="F41" i="86"/>
  <c r="H41" i="86"/>
  <c r="G41" i="86"/>
  <c r="K3" i="86"/>
  <c r="AD3" i="86" l="1"/>
  <c r="AE3" i="86" s="1"/>
  <c r="F39" i="47"/>
  <c r="G39" i="47"/>
  <c r="H39" i="47"/>
  <c r="F40" i="101"/>
  <c r="H40" i="101"/>
  <c r="G40" i="101"/>
  <c r="F32" i="99"/>
  <c r="H32" i="99"/>
  <c r="G32" i="99"/>
  <c r="F64" i="84"/>
  <c r="H64" i="84"/>
  <c r="G64" i="84"/>
  <c r="F38" i="90"/>
  <c r="H38" i="90"/>
  <c r="G38" i="90"/>
  <c r="A648" i="38"/>
  <c r="D648" i="38"/>
  <c r="E648" i="38"/>
  <c r="G648" i="38"/>
  <c r="H648" i="38"/>
  <c r="K648" i="38"/>
  <c r="L648" i="38" s="1"/>
  <c r="M648" i="38"/>
  <c r="N648" i="38" s="1"/>
  <c r="S648" i="38"/>
  <c r="P648" i="38" l="1"/>
  <c r="O648" i="38"/>
  <c r="Z648" i="38"/>
  <c r="U648" i="38"/>
  <c r="G52" i="74"/>
  <c r="F52" i="74"/>
  <c r="H52" i="74"/>
  <c r="F31" i="96"/>
  <c r="H31" i="96"/>
  <c r="G31" i="96"/>
  <c r="A647" i="38"/>
  <c r="D647" i="38"/>
  <c r="E647" i="38"/>
  <c r="G647" i="38"/>
  <c r="H647" i="38"/>
  <c r="K647" i="38"/>
  <c r="L647" i="38" s="1"/>
  <c r="M647" i="38"/>
  <c r="U647" i="38" s="1"/>
  <c r="S647" i="38"/>
  <c r="N647" i="38" l="1"/>
  <c r="O647" i="38" s="1"/>
  <c r="P647" i="38"/>
  <c r="F33" i="103"/>
  <c r="H33" i="103"/>
  <c r="G33" i="103"/>
  <c r="F289" i="25"/>
  <c r="G289" i="25"/>
  <c r="H289" i="25"/>
  <c r="K61" i="25"/>
  <c r="F135" i="58"/>
  <c r="H135" i="58"/>
  <c r="G135" i="58"/>
  <c r="H68" i="58"/>
  <c r="K19" i="58"/>
  <c r="A646" i="38"/>
  <c r="D646" i="38"/>
  <c r="E646" i="38"/>
  <c r="G646" i="38"/>
  <c r="H646" i="38"/>
  <c r="K646" i="38"/>
  <c r="L646" i="38" s="1"/>
  <c r="M646" i="38"/>
  <c r="N646" i="38" s="1"/>
  <c r="S646" i="38"/>
  <c r="Z647" i="38" l="1"/>
  <c r="O646" i="38"/>
  <c r="Z646" i="38"/>
  <c r="P646" i="38"/>
  <c r="U646" i="38"/>
  <c r="Q11" i="92"/>
  <c r="Q11" i="104"/>
  <c r="Q13" i="45"/>
  <c r="F102" i="51"/>
  <c r="G102" i="51"/>
  <c r="H102" i="51"/>
  <c r="A645" i="38" l="1"/>
  <c r="D645" i="38"/>
  <c r="E645" i="38"/>
  <c r="G645" i="38"/>
  <c r="H645" i="38"/>
  <c r="K645" i="38"/>
  <c r="L645" i="38" s="1"/>
  <c r="M645" i="38"/>
  <c r="N645" i="38" s="1"/>
  <c r="S645" i="38"/>
  <c r="P645" i="38" l="1"/>
  <c r="Z645" i="38"/>
  <c r="O645" i="38"/>
  <c r="U645" i="38"/>
  <c r="A644" i="38"/>
  <c r="D644" i="38"/>
  <c r="E644" i="38"/>
  <c r="G644" i="38"/>
  <c r="H644" i="38"/>
  <c r="K644" i="38"/>
  <c r="L644" i="38" s="1"/>
  <c r="M644" i="38"/>
  <c r="N644" i="38" s="1"/>
  <c r="S644" i="38"/>
  <c r="F39" i="45"/>
  <c r="G39" i="45"/>
  <c r="H39" i="45"/>
  <c r="K3" i="45"/>
  <c r="G39" i="91"/>
  <c r="F39" i="91"/>
  <c r="H39" i="91"/>
  <c r="K6" i="91"/>
  <c r="P644" i="38" l="1"/>
  <c r="O644" i="38"/>
  <c r="Z644" i="38"/>
  <c r="U644" i="38"/>
  <c r="F41" i="78"/>
  <c r="H41" i="78"/>
  <c r="G41" i="78"/>
  <c r="F53" i="70"/>
  <c r="H53" i="70"/>
  <c r="G53" i="70"/>
  <c r="F61" i="77"/>
  <c r="H61" i="77"/>
  <c r="G61" i="77"/>
  <c r="F288" i="25"/>
  <c r="G288" i="25"/>
  <c r="H288" i="25"/>
  <c r="K60" i="25"/>
  <c r="G41" i="49"/>
  <c r="H41" i="49"/>
  <c r="F3" i="49"/>
  <c r="A643" i="38"/>
  <c r="D643" i="38"/>
  <c r="E643" i="38"/>
  <c r="G643" i="38"/>
  <c r="H643" i="38"/>
  <c r="K643" i="38"/>
  <c r="L643" i="38" s="1"/>
  <c r="M643" i="38"/>
  <c r="N643" i="38" s="1"/>
  <c r="S643" i="38"/>
  <c r="P643" i="38" l="1"/>
  <c r="Z643" i="38"/>
  <c r="O643" i="38"/>
  <c r="U643" i="38"/>
  <c r="F32" i="103"/>
  <c r="H32" i="103"/>
  <c r="G32" i="103"/>
  <c r="F4" i="103"/>
  <c r="F63" i="84"/>
  <c r="H63" i="84"/>
  <c r="G63" i="84"/>
  <c r="F14" i="84"/>
  <c r="F56" i="88"/>
  <c r="H56" i="88"/>
  <c r="G56" i="88"/>
  <c r="F14" i="88"/>
  <c r="AA14" i="88" s="1"/>
  <c r="AB14" i="88" s="1"/>
  <c r="F134" i="58"/>
  <c r="H134" i="58"/>
  <c r="G134" i="58"/>
  <c r="F25" i="58"/>
  <c r="F31" i="99"/>
  <c r="H31" i="99"/>
  <c r="G31" i="99"/>
  <c r="F5" i="99"/>
  <c r="A642" i="38"/>
  <c r="D642" i="38"/>
  <c r="E642" i="38"/>
  <c r="G642" i="38"/>
  <c r="H642" i="38"/>
  <c r="K642" i="38"/>
  <c r="L642" i="38" s="1"/>
  <c r="M642" i="38"/>
  <c r="N642" i="38" s="1"/>
  <c r="S642" i="38"/>
  <c r="F31" i="103"/>
  <c r="H31" i="103"/>
  <c r="G31" i="103"/>
  <c r="AB14" i="58"/>
  <c r="AC14" i="58"/>
  <c r="AD14" i="58"/>
  <c r="AB35" i="58"/>
  <c r="AC35" i="58"/>
  <c r="AD35" i="58"/>
  <c r="AD53" i="58"/>
  <c r="AD54" i="58" s="1"/>
  <c r="F133" i="58"/>
  <c r="H133" i="58"/>
  <c r="G133" i="58"/>
  <c r="F24" i="58"/>
  <c r="P642" i="38" l="1"/>
  <c r="O642" i="38"/>
  <c r="Z642" i="38"/>
  <c r="U642" i="38"/>
  <c r="F51" i="74"/>
  <c r="G51" i="74"/>
  <c r="H51" i="74"/>
  <c r="H50" i="74"/>
  <c r="A641" i="38"/>
  <c r="D641" i="38"/>
  <c r="E641" i="38"/>
  <c r="G641" i="38"/>
  <c r="H641" i="38"/>
  <c r="K641" i="38"/>
  <c r="L641" i="38" s="1"/>
  <c r="M641" i="38"/>
  <c r="N641" i="38" s="1"/>
  <c r="S641" i="38"/>
  <c r="K2" i="97"/>
  <c r="K18" i="97" s="1"/>
  <c r="F38" i="47"/>
  <c r="G38" i="47"/>
  <c r="H38" i="47"/>
  <c r="K7" i="47"/>
  <c r="F287" i="25"/>
  <c r="H287" i="25"/>
  <c r="G287" i="25"/>
  <c r="C158" i="25"/>
  <c r="F77" i="25"/>
  <c r="K59" i="25"/>
  <c r="P641" i="38" l="1"/>
  <c r="O641" i="38"/>
  <c r="Z641" i="38"/>
  <c r="U641" i="38"/>
  <c r="F33" i="31"/>
  <c r="G33" i="31"/>
  <c r="H33" i="31"/>
  <c r="F62" i="84"/>
  <c r="H62" i="84"/>
  <c r="G62" i="84"/>
  <c r="Q13" i="25"/>
  <c r="F40" i="51"/>
  <c r="H40" i="51"/>
  <c r="H101" i="51"/>
  <c r="F101" i="51"/>
  <c r="G101" i="51"/>
  <c r="F30" i="98"/>
  <c r="G30" i="98"/>
  <c r="H30" i="98"/>
  <c r="F31" i="98"/>
  <c r="G31" i="98"/>
  <c r="H31" i="98"/>
  <c r="F32" i="98"/>
  <c r="G32" i="98"/>
  <c r="H32" i="98"/>
  <c r="F50" i="74" l="1"/>
  <c r="G50" i="74"/>
  <c r="K3" i="74"/>
  <c r="A640" i="38" l="1"/>
  <c r="D640" i="38"/>
  <c r="E640" i="38"/>
  <c r="G640" i="38"/>
  <c r="H640" i="38"/>
  <c r="K640" i="38"/>
  <c r="L640" i="38" s="1"/>
  <c r="M640" i="38"/>
  <c r="N640" i="38" s="1"/>
  <c r="S640" i="38"/>
  <c r="F49" i="74"/>
  <c r="H49" i="74"/>
  <c r="G49" i="74"/>
  <c r="F6" i="74"/>
  <c r="F286" i="25"/>
  <c r="H286" i="25"/>
  <c r="G286" i="25"/>
  <c r="K58" i="25"/>
  <c r="F132" i="58"/>
  <c r="H132" i="58"/>
  <c r="G132" i="58"/>
  <c r="K18" i="58"/>
  <c r="P640" i="38" l="1"/>
  <c r="O640" i="38"/>
  <c r="Z640" i="38"/>
  <c r="U640" i="38"/>
  <c r="C18" i="47"/>
  <c r="D555" i="38"/>
  <c r="A639" i="38"/>
  <c r="D639" i="38"/>
  <c r="E639" i="38"/>
  <c r="G639" i="38"/>
  <c r="H639" i="38"/>
  <c r="K639" i="38"/>
  <c r="L639" i="38" s="1"/>
  <c r="M639" i="38"/>
  <c r="N639" i="38" s="1"/>
  <c r="S639" i="38"/>
  <c r="F30" i="103"/>
  <c r="G30" i="103"/>
  <c r="H30" i="103"/>
  <c r="F48" i="74"/>
  <c r="H48" i="74"/>
  <c r="G48" i="74"/>
  <c r="G77" i="46"/>
  <c r="F77" i="46"/>
  <c r="H77" i="46"/>
  <c r="F18" i="46"/>
  <c r="F285" i="25"/>
  <c r="H285" i="25"/>
  <c r="G285" i="25"/>
  <c r="K57" i="25"/>
  <c r="F37" i="47"/>
  <c r="H37" i="47"/>
  <c r="G37" i="47"/>
  <c r="F11" i="47"/>
  <c r="F47" i="74"/>
  <c r="H47" i="74"/>
  <c r="G47" i="74"/>
  <c r="K2" i="74"/>
  <c r="O639" i="38" l="1"/>
  <c r="Z639" i="38"/>
  <c r="U639" i="38"/>
  <c r="P639" i="38"/>
  <c r="F30" i="96"/>
  <c r="H30" i="96"/>
  <c r="G30" i="96"/>
  <c r="A638" i="38"/>
  <c r="D638" i="38"/>
  <c r="E638" i="38"/>
  <c r="G638" i="38"/>
  <c r="H638" i="38"/>
  <c r="K638" i="38"/>
  <c r="L638" i="38" s="1"/>
  <c r="M638" i="38"/>
  <c r="N638" i="38" s="1"/>
  <c r="S638" i="38"/>
  <c r="F76" i="46"/>
  <c r="H76" i="46"/>
  <c r="G76" i="46"/>
  <c r="K11" i="46"/>
  <c r="G36" i="93"/>
  <c r="F36" i="93"/>
  <c r="H36" i="93"/>
  <c r="F4" i="93"/>
  <c r="F35" i="93"/>
  <c r="G35" i="93"/>
  <c r="H35" i="93"/>
  <c r="F71" i="43"/>
  <c r="G71" i="43"/>
  <c r="H71" i="43"/>
  <c r="M84" i="104"/>
  <c r="K84" i="104"/>
  <c r="H84" i="104"/>
  <c r="F84" i="104"/>
  <c r="C84" i="104"/>
  <c r="P37" i="104"/>
  <c r="P36" i="104"/>
  <c r="P35" i="104"/>
  <c r="P34" i="104"/>
  <c r="P33" i="104"/>
  <c r="P32" i="104"/>
  <c r="P31" i="104"/>
  <c r="P30" i="104"/>
  <c r="P29" i="104"/>
  <c r="P28" i="104"/>
  <c r="P27" i="104"/>
  <c r="P26" i="104"/>
  <c r="P25" i="104"/>
  <c r="H25" i="104"/>
  <c r="G25" i="104"/>
  <c r="F25" i="104"/>
  <c r="P24" i="104"/>
  <c r="P23" i="104"/>
  <c r="P22" i="104"/>
  <c r="P21" i="104"/>
  <c r="P20" i="104"/>
  <c r="P19" i="104"/>
  <c r="P18" i="104"/>
  <c r="M18" i="104"/>
  <c r="K18" i="104"/>
  <c r="H18" i="104"/>
  <c r="C18" i="104"/>
  <c r="P17" i="104"/>
  <c r="F2" i="104"/>
  <c r="F18" i="104" s="1"/>
  <c r="C85" i="104"/>
  <c r="F85" i="104"/>
  <c r="M19" i="104"/>
  <c r="C19" i="104"/>
  <c r="K19" i="104"/>
  <c r="K85" i="104"/>
  <c r="H85" i="104"/>
  <c r="F19" i="104"/>
  <c r="M85" i="104"/>
  <c r="H19" i="104"/>
  <c r="P638" i="38" l="1"/>
  <c r="M66" i="104"/>
  <c r="Q10" i="104" s="1"/>
  <c r="O638" i="38"/>
  <c r="Z638" i="38"/>
  <c r="U638" i="38"/>
  <c r="Q2" i="104"/>
  <c r="Q8" i="104" s="1"/>
  <c r="A637" i="38"/>
  <c r="D637" i="38"/>
  <c r="E637" i="38"/>
  <c r="G637" i="38"/>
  <c r="H637" i="38"/>
  <c r="K637" i="38"/>
  <c r="L637" i="38" s="1"/>
  <c r="M637" i="38"/>
  <c r="N637" i="38" s="1"/>
  <c r="S637" i="38"/>
  <c r="F36" i="47"/>
  <c r="H36" i="47"/>
  <c r="G36" i="47"/>
  <c r="F4" i="98"/>
  <c r="F75" i="46"/>
  <c r="H75" i="46"/>
  <c r="G75" i="46"/>
  <c r="F17" i="46"/>
  <c r="F100" i="51"/>
  <c r="G100" i="51"/>
  <c r="H100" i="51"/>
  <c r="Q7" i="104" l="1"/>
  <c r="Q3" i="104"/>
  <c r="Q6" i="104" s="1"/>
  <c r="Q9" i="104" s="1"/>
  <c r="Q5" i="104"/>
  <c r="P637" i="38"/>
  <c r="O637" i="38"/>
  <c r="Z637" i="38"/>
  <c r="U637" i="38"/>
  <c r="M18" i="99"/>
  <c r="F284" i="25"/>
  <c r="G284" i="25"/>
  <c r="H284" i="25"/>
  <c r="K56" i="25"/>
  <c r="H99" i="51"/>
  <c r="G99" i="51"/>
  <c r="F99" i="51"/>
  <c r="F98" i="51"/>
  <c r="G98" i="51"/>
  <c r="H98" i="51"/>
  <c r="F55" i="88"/>
  <c r="H55" i="88"/>
  <c r="G55" i="88"/>
  <c r="F13" i="88"/>
  <c r="AA13" i="88" s="1"/>
  <c r="AB13" i="88" s="1"/>
  <c r="A636" i="38"/>
  <c r="D636" i="38"/>
  <c r="E636" i="38"/>
  <c r="G636" i="38"/>
  <c r="H636" i="38"/>
  <c r="M636" i="38"/>
  <c r="S636" i="38"/>
  <c r="N636" i="38" l="1"/>
  <c r="U636" i="38"/>
  <c r="M77" i="75"/>
  <c r="O636" i="38" l="1"/>
  <c r="Z636" i="38"/>
  <c r="I635" i="38"/>
  <c r="K636" i="38" s="1"/>
  <c r="L636" i="38" s="1"/>
  <c r="P636" i="38" s="1"/>
  <c r="F54" i="88"/>
  <c r="G54" i="88"/>
  <c r="H54" i="88"/>
  <c r="F61" i="84"/>
  <c r="G61" i="84"/>
  <c r="H61" i="84"/>
  <c r="F70" i="81"/>
  <c r="H70" i="81"/>
  <c r="G70" i="81"/>
  <c r="H69" i="81"/>
  <c r="F60" i="77" l="1"/>
  <c r="H60" i="77"/>
  <c r="G60" i="77"/>
  <c r="F53" i="88"/>
  <c r="H53" i="88"/>
  <c r="G53" i="88"/>
  <c r="K5" i="88"/>
  <c r="F30" i="99"/>
  <c r="H30" i="99"/>
  <c r="G30" i="99"/>
  <c r="F4" i="99"/>
  <c r="A635" i="38"/>
  <c r="D635" i="38"/>
  <c r="E635" i="38"/>
  <c r="G635" i="38"/>
  <c r="H635" i="38"/>
  <c r="K635" i="38"/>
  <c r="L635" i="38" s="1"/>
  <c r="M635" i="38"/>
  <c r="N635" i="38" s="1"/>
  <c r="S635" i="38"/>
  <c r="K2" i="75"/>
  <c r="F34" i="93"/>
  <c r="G34" i="93"/>
  <c r="H34" i="93"/>
  <c r="K2" i="93"/>
  <c r="K10" i="77"/>
  <c r="F3" i="98"/>
  <c r="K2" i="98"/>
  <c r="K18" i="98" s="1"/>
  <c r="F283" i="25"/>
  <c r="G283" i="25"/>
  <c r="H283" i="25"/>
  <c r="F76" i="25"/>
  <c r="F39" i="101"/>
  <c r="H39" i="101"/>
  <c r="G39" i="101"/>
  <c r="F7" i="101"/>
  <c r="F74" i="46"/>
  <c r="H74" i="46"/>
  <c r="G74" i="46"/>
  <c r="K10" i="46"/>
  <c r="F4" i="90"/>
  <c r="F37" i="90"/>
  <c r="G37" i="90"/>
  <c r="H37" i="90"/>
  <c r="K3" i="90"/>
  <c r="K26" i="93"/>
  <c r="K25" i="93" l="1"/>
  <c r="AD5" i="88"/>
  <c r="AE5" i="88" s="1"/>
  <c r="P635" i="38"/>
  <c r="O635" i="38"/>
  <c r="Z635" i="38"/>
  <c r="U635" i="38"/>
  <c r="F46" i="74"/>
  <c r="G46" i="74"/>
  <c r="H46" i="74"/>
  <c r="F38" i="45"/>
  <c r="G38" i="45"/>
  <c r="H38" i="45"/>
  <c r="F73" i="46"/>
  <c r="G73" i="46"/>
  <c r="H73" i="46"/>
  <c r="F131" i="58"/>
  <c r="G131" i="58"/>
  <c r="H131" i="58"/>
  <c r="F58" i="57"/>
  <c r="G58" i="57"/>
  <c r="H58" i="57"/>
  <c r="F52" i="88"/>
  <c r="H52" i="88"/>
  <c r="G52" i="88"/>
  <c r="F282" i="25"/>
  <c r="G282" i="25"/>
  <c r="H282" i="25"/>
  <c r="F28" i="102"/>
  <c r="G28" i="102"/>
  <c r="H28" i="102"/>
  <c r="A634" i="38"/>
  <c r="D634" i="38"/>
  <c r="E634" i="38"/>
  <c r="G634" i="38"/>
  <c r="H634" i="38"/>
  <c r="K634" i="38"/>
  <c r="L634" i="38" s="1"/>
  <c r="M634" i="38"/>
  <c r="N634" i="38" s="1"/>
  <c r="S634" i="38"/>
  <c r="F36" i="90"/>
  <c r="H36" i="90"/>
  <c r="G36" i="90"/>
  <c r="F6" i="90"/>
  <c r="G69" i="81"/>
  <c r="F69" i="81"/>
  <c r="K12" i="81"/>
  <c r="F38" i="101"/>
  <c r="H38" i="101"/>
  <c r="G38" i="101"/>
  <c r="K4" i="101"/>
  <c r="F33" i="93"/>
  <c r="G33" i="93"/>
  <c r="H33" i="93"/>
  <c r="F3" i="93"/>
  <c r="P634" i="38" l="1"/>
  <c r="O634" i="38"/>
  <c r="Z634" i="38"/>
  <c r="U634" i="38"/>
  <c r="F29" i="99"/>
  <c r="H29" i="99"/>
  <c r="G29" i="99"/>
  <c r="A633" i="38"/>
  <c r="D633" i="38"/>
  <c r="E633" i="38"/>
  <c r="G633" i="38"/>
  <c r="H633" i="38"/>
  <c r="K633" i="38"/>
  <c r="L633" i="38" s="1"/>
  <c r="M633" i="38"/>
  <c r="N633" i="38" s="1"/>
  <c r="S633" i="38"/>
  <c r="P633" i="38" l="1"/>
  <c r="O633" i="38"/>
  <c r="Z633" i="38"/>
  <c r="U633" i="38"/>
  <c r="F97" i="51"/>
  <c r="G97" i="51"/>
  <c r="H97" i="51"/>
  <c r="F37" i="101"/>
  <c r="H37" i="101"/>
  <c r="G37" i="101"/>
  <c r="F6" i="101"/>
  <c r="G38" i="91"/>
  <c r="F38" i="91"/>
  <c r="H38" i="91"/>
  <c r="F8" i="91"/>
  <c r="F35" i="47"/>
  <c r="H35" i="47"/>
  <c r="G35" i="47"/>
  <c r="F10" i="47"/>
  <c r="A632" i="38"/>
  <c r="D632" i="38"/>
  <c r="E632" i="38"/>
  <c r="G632" i="38"/>
  <c r="H632" i="38"/>
  <c r="K632" i="38"/>
  <c r="L632" i="38" s="1"/>
  <c r="M632" i="38"/>
  <c r="N632" i="38" s="1"/>
  <c r="S632" i="38"/>
  <c r="P632" i="38" l="1"/>
  <c r="O632" i="38"/>
  <c r="Z632" i="38"/>
  <c r="U632" i="38"/>
  <c r="K2" i="90"/>
  <c r="K18" i="90" s="1"/>
  <c r="F35" i="90"/>
  <c r="H35" i="90"/>
  <c r="G35" i="90"/>
  <c r="F96" i="51"/>
  <c r="G96" i="51"/>
  <c r="H96" i="51"/>
  <c r="H17" i="51"/>
  <c r="A631" i="38"/>
  <c r="D631" i="38"/>
  <c r="E631" i="38"/>
  <c r="G631" i="38"/>
  <c r="H631" i="38"/>
  <c r="K631" i="38"/>
  <c r="L631" i="38" s="1"/>
  <c r="M631" i="38"/>
  <c r="N631" i="38" s="1"/>
  <c r="S631" i="38"/>
  <c r="O631" i="38" l="1"/>
  <c r="P631" i="38"/>
  <c r="Z631" i="38"/>
  <c r="U631" i="38"/>
  <c r="F51" i="88"/>
  <c r="G51" i="88"/>
  <c r="H51" i="88"/>
  <c r="K2" i="100" l="1"/>
  <c r="A630" i="38"/>
  <c r="D630" i="38"/>
  <c r="E630" i="38"/>
  <c r="G630" i="38"/>
  <c r="H630" i="38"/>
  <c r="K630" i="38"/>
  <c r="L630" i="38" s="1"/>
  <c r="M630" i="38"/>
  <c r="N630" i="38" s="1"/>
  <c r="S630" i="38"/>
  <c r="F34" i="90"/>
  <c r="H34" i="90"/>
  <c r="G34" i="90"/>
  <c r="F5" i="90"/>
  <c r="F68" i="81"/>
  <c r="H68" i="81"/>
  <c r="G68" i="81"/>
  <c r="K11" i="81"/>
  <c r="H29" i="81"/>
  <c r="G67" i="81"/>
  <c r="F67" i="81"/>
  <c r="H67" i="81"/>
  <c r="F19" i="81"/>
  <c r="K2" i="49"/>
  <c r="F66" i="81"/>
  <c r="H66" i="81"/>
  <c r="G66" i="81"/>
  <c r="K10" i="81"/>
  <c r="F95" i="51"/>
  <c r="G95" i="51"/>
  <c r="H95" i="51"/>
  <c r="F94" i="51"/>
  <c r="G94" i="51"/>
  <c r="H94" i="51"/>
  <c r="F40" i="86"/>
  <c r="H40" i="86"/>
  <c r="G40" i="86"/>
  <c r="F5" i="86"/>
  <c r="AA5" i="86" s="1"/>
  <c r="AB5" i="86" s="1"/>
  <c r="F3" i="86"/>
  <c r="AA3" i="86" s="1"/>
  <c r="AB3" i="86" s="1"/>
  <c r="K2" i="86"/>
  <c r="K24" i="86" s="1"/>
  <c r="K30" i="49"/>
  <c r="K25" i="86"/>
  <c r="AD2" i="86" l="1"/>
  <c r="AE2" i="86" s="1"/>
  <c r="P630" i="38"/>
  <c r="Z630" i="38"/>
  <c r="O630" i="38"/>
  <c r="U630" i="38"/>
  <c r="F27" i="102"/>
  <c r="G27" i="102"/>
  <c r="H27" i="102"/>
  <c r="F3" i="102"/>
  <c r="F93" i="51"/>
  <c r="G93" i="51"/>
  <c r="H93" i="51"/>
  <c r="A629" i="38"/>
  <c r="D629" i="38"/>
  <c r="E629" i="38"/>
  <c r="G629" i="38"/>
  <c r="H629" i="38"/>
  <c r="K629" i="38"/>
  <c r="L629" i="38" s="1"/>
  <c r="M629" i="38"/>
  <c r="N629" i="38" s="1"/>
  <c r="S629" i="38"/>
  <c r="U629" i="38" l="1"/>
  <c r="P629" i="38"/>
  <c r="O629" i="38"/>
  <c r="Z629" i="38"/>
  <c r="F29" i="100"/>
  <c r="G29" i="100"/>
  <c r="H29" i="100"/>
  <c r="F130" i="58"/>
  <c r="G130" i="58"/>
  <c r="H130" i="58"/>
  <c r="F281" i="25"/>
  <c r="H281" i="25"/>
  <c r="G281" i="25"/>
  <c r="A628" i="38"/>
  <c r="D628" i="38"/>
  <c r="E628" i="38"/>
  <c r="G628" i="38"/>
  <c r="H628" i="38"/>
  <c r="K628" i="38"/>
  <c r="L628" i="38" s="1"/>
  <c r="M628" i="38"/>
  <c r="N628" i="38" s="1"/>
  <c r="S628" i="38"/>
  <c r="F92" i="51"/>
  <c r="G92" i="51"/>
  <c r="H92" i="51"/>
  <c r="P628" i="38" l="1"/>
  <c r="O628" i="38"/>
  <c r="Z628" i="38"/>
  <c r="U628" i="38"/>
  <c r="F52" i="70"/>
  <c r="H52" i="70"/>
  <c r="G52" i="70"/>
  <c r="F59" i="77"/>
  <c r="H59" i="77"/>
  <c r="G59" i="77"/>
  <c r="F37" i="91"/>
  <c r="H37" i="91"/>
  <c r="G37" i="91"/>
  <c r="A627" i="38"/>
  <c r="D627" i="38"/>
  <c r="E627" i="38"/>
  <c r="G627" i="38"/>
  <c r="H627" i="38"/>
  <c r="K627" i="38"/>
  <c r="L627" i="38" s="1"/>
  <c r="M627" i="38"/>
  <c r="N627" i="38" s="1"/>
  <c r="S627" i="38"/>
  <c r="P627" i="38" l="1"/>
  <c r="O627" i="38"/>
  <c r="Z627" i="38"/>
  <c r="U627" i="38"/>
  <c r="F28" i="100"/>
  <c r="G28" i="100"/>
  <c r="H28" i="100"/>
  <c r="F29" i="98"/>
  <c r="H29" i="98"/>
  <c r="G29" i="98"/>
  <c r="F60" i="84"/>
  <c r="G60" i="84"/>
  <c r="H60" i="84"/>
  <c r="F34" i="47"/>
  <c r="H34" i="47"/>
  <c r="G34" i="47"/>
  <c r="F36" i="91"/>
  <c r="H36" i="91"/>
  <c r="G36" i="91"/>
  <c r="K5" i="91"/>
  <c r="K6" i="47"/>
  <c r="A626" i="38"/>
  <c r="D626" i="38"/>
  <c r="E626" i="38"/>
  <c r="G626" i="38"/>
  <c r="H626" i="38"/>
  <c r="K626" i="38"/>
  <c r="L626" i="38" s="1"/>
  <c r="M626" i="38"/>
  <c r="N626" i="38" s="1"/>
  <c r="S626" i="38"/>
  <c r="P626" i="38" l="1"/>
  <c r="O626" i="38"/>
  <c r="Z626" i="38"/>
  <c r="U626" i="38"/>
  <c r="F29" i="103"/>
  <c r="H29" i="103"/>
  <c r="G29" i="103"/>
  <c r="C18" i="77"/>
  <c r="Q13" i="95"/>
  <c r="F37" i="45"/>
  <c r="G37" i="45"/>
  <c r="H37" i="45"/>
  <c r="A625" i="38"/>
  <c r="D625" i="38"/>
  <c r="E625" i="38"/>
  <c r="G625" i="38"/>
  <c r="H625" i="38"/>
  <c r="K625" i="38"/>
  <c r="L625" i="38" s="1"/>
  <c r="M625" i="38"/>
  <c r="N625" i="38" s="1"/>
  <c r="S625" i="38"/>
  <c r="P625" i="38" l="1"/>
  <c r="O625" i="38"/>
  <c r="Z625" i="38"/>
  <c r="U625" i="38"/>
  <c r="F36" i="101"/>
  <c r="G36" i="101"/>
  <c r="H36" i="101"/>
  <c r="F40" i="78"/>
  <c r="H40" i="78"/>
  <c r="G40" i="78"/>
  <c r="K3" i="78"/>
  <c r="A624" i="38"/>
  <c r="D624" i="38"/>
  <c r="E624" i="38"/>
  <c r="G624" i="38"/>
  <c r="H624" i="38"/>
  <c r="K624" i="38"/>
  <c r="L624" i="38" s="1"/>
  <c r="M624" i="38"/>
  <c r="N624" i="38" s="1"/>
  <c r="S624" i="38"/>
  <c r="O624" i="38" l="1"/>
  <c r="Z624" i="38"/>
  <c r="P624" i="38"/>
  <c r="U624" i="38"/>
  <c r="A623" i="38"/>
  <c r="D623" i="38"/>
  <c r="E623" i="38"/>
  <c r="G623" i="38"/>
  <c r="H623" i="38"/>
  <c r="K623" i="38"/>
  <c r="L623" i="38" s="1"/>
  <c r="M623" i="38"/>
  <c r="N623" i="38" s="1"/>
  <c r="S623" i="38"/>
  <c r="O623" i="38" l="1"/>
  <c r="Z623" i="38"/>
  <c r="P623" i="38"/>
  <c r="U623" i="38"/>
  <c r="F28" i="99"/>
  <c r="G28" i="99"/>
  <c r="H28" i="99"/>
  <c r="A622" i="38"/>
  <c r="D622" i="38"/>
  <c r="E622" i="38"/>
  <c r="G622" i="38"/>
  <c r="H622" i="38"/>
  <c r="K622" i="38"/>
  <c r="L622" i="38" s="1"/>
  <c r="M622" i="38"/>
  <c r="N622" i="38" s="1"/>
  <c r="S622" i="38"/>
  <c r="F280" i="25"/>
  <c r="H280" i="25"/>
  <c r="G280" i="25"/>
  <c r="K55" i="25"/>
  <c r="F33" i="47"/>
  <c r="H33" i="47"/>
  <c r="G33" i="47"/>
  <c r="K5" i="47"/>
  <c r="F129" i="58"/>
  <c r="H129" i="58"/>
  <c r="G129" i="58"/>
  <c r="K17" i="58"/>
  <c r="F35" i="101"/>
  <c r="G35" i="101"/>
  <c r="H35" i="101"/>
  <c r="K3" i="101"/>
  <c r="P622" i="38" l="1"/>
  <c r="U622" i="38"/>
  <c r="O622" i="38"/>
  <c r="Z622" i="38"/>
  <c r="R11" i="49"/>
  <c r="Q11" i="49" s="1"/>
  <c r="C29" i="81"/>
  <c r="F35" i="91"/>
  <c r="H35" i="91"/>
  <c r="G35" i="91"/>
  <c r="K4" i="91"/>
  <c r="F5" i="47"/>
  <c r="F32" i="47"/>
  <c r="H32" i="47"/>
  <c r="G32" i="47"/>
  <c r="K4" i="47"/>
  <c r="A621" i="38"/>
  <c r="D621" i="38"/>
  <c r="E621" i="38"/>
  <c r="G621" i="38"/>
  <c r="H621" i="38"/>
  <c r="K621" i="38"/>
  <c r="L621" i="38" s="1"/>
  <c r="M621" i="38"/>
  <c r="S621" i="38"/>
  <c r="Q13" i="89"/>
  <c r="Q13" i="75"/>
  <c r="Q13" i="31"/>
  <c r="Q13" i="97"/>
  <c r="Q13" i="100"/>
  <c r="Q11" i="100"/>
  <c r="Q13" i="86"/>
  <c r="Q13" i="99"/>
  <c r="Q13" i="70"/>
  <c r="F28" i="103"/>
  <c r="G28" i="103"/>
  <c r="H28" i="103"/>
  <c r="Q13" i="77"/>
  <c r="Q13" i="78"/>
  <c r="Q13" i="92"/>
  <c r="Q13" i="74"/>
  <c r="F36" i="45"/>
  <c r="G36" i="45"/>
  <c r="H36" i="45"/>
  <c r="Q13" i="98"/>
  <c r="H70" i="43"/>
  <c r="G70" i="43"/>
  <c r="F70" i="43"/>
  <c r="F33" i="90"/>
  <c r="G33" i="90"/>
  <c r="H33" i="90"/>
  <c r="Q13" i="81"/>
  <c r="F57" i="57"/>
  <c r="H57" i="57"/>
  <c r="G57" i="57"/>
  <c r="Q13" i="57"/>
  <c r="F59" i="84"/>
  <c r="G59" i="84"/>
  <c r="H59" i="84"/>
  <c r="F91" i="51"/>
  <c r="G91" i="51"/>
  <c r="H91" i="51"/>
  <c r="N621" i="38" l="1"/>
  <c r="O621" i="38" s="1"/>
  <c r="U621" i="38"/>
  <c r="P621" i="38"/>
  <c r="Q13" i="88"/>
  <c r="F58" i="77"/>
  <c r="H58" i="77"/>
  <c r="G58" i="77"/>
  <c r="Z621" i="38" l="1"/>
  <c r="F27" i="100"/>
  <c r="G27" i="100"/>
  <c r="H27" i="100"/>
  <c r="F63" i="25"/>
  <c r="A620" i="38"/>
  <c r="D620" i="38"/>
  <c r="E620" i="38"/>
  <c r="G620" i="38"/>
  <c r="H620" i="38"/>
  <c r="K620" i="38"/>
  <c r="L620" i="38" s="1"/>
  <c r="M620" i="38"/>
  <c r="N620" i="38" s="1"/>
  <c r="S620" i="38"/>
  <c r="F65" i="81"/>
  <c r="H65" i="81"/>
  <c r="G65" i="81"/>
  <c r="K9" i="81"/>
  <c r="F16" i="81"/>
  <c r="F50" i="88"/>
  <c r="H50" i="88"/>
  <c r="G50" i="88"/>
  <c r="K4" i="88"/>
  <c r="F57" i="77"/>
  <c r="H57" i="77"/>
  <c r="G57" i="77"/>
  <c r="F12" i="77"/>
  <c r="F128" i="58"/>
  <c r="H128" i="58"/>
  <c r="G128" i="58"/>
  <c r="F23" i="58"/>
  <c r="F34" i="101"/>
  <c r="H34" i="101"/>
  <c r="G34" i="101"/>
  <c r="F5" i="101"/>
  <c r="F279" i="25"/>
  <c r="H279" i="25"/>
  <c r="G279" i="25"/>
  <c r="F75" i="25"/>
  <c r="F31" i="47"/>
  <c r="H31" i="47"/>
  <c r="G31" i="47"/>
  <c r="F9" i="47"/>
  <c r="F34" i="91"/>
  <c r="H34" i="91"/>
  <c r="G34" i="91"/>
  <c r="F7" i="91"/>
  <c r="F64" i="81"/>
  <c r="H64" i="81"/>
  <c r="G64" i="81"/>
  <c r="F18" i="81"/>
  <c r="F127" i="58"/>
  <c r="H127" i="58"/>
  <c r="G127" i="58"/>
  <c r="F22" i="58"/>
  <c r="F278" i="25"/>
  <c r="G278" i="25"/>
  <c r="H278" i="25"/>
  <c r="F74" i="25"/>
  <c r="F63" i="81"/>
  <c r="H63" i="81"/>
  <c r="G63" i="81"/>
  <c r="K8" i="81"/>
  <c r="AD4" i="88" l="1"/>
  <c r="AE4" i="88" s="1"/>
  <c r="P620" i="38"/>
  <c r="O620" i="38"/>
  <c r="Z620" i="38"/>
  <c r="U620" i="38"/>
  <c r="A619" i="38"/>
  <c r="D619" i="38"/>
  <c r="E619" i="38"/>
  <c r="G619" i="38"/>
  <c r="H619" i="38"/>
  <c r="K619" i="38"/>
  <c r="L619" i="38" s="1"/>
  <c r="M619" i="38"/>
  <c r="U619" i="38" s="1"/>
  <c r="S619" i="38"/>
  <c r="F277" i="25"/>
  <c r="H277" i="25"/>
  <c r="G277" i="25"/>
  <c r="K54" i="25"/>
  <c r="F126" i="58"/>
  <c r="H126" i="58"/>
  <c r="G126" i="58"/>
  <c r="K16" i="58"/>
  <c r="N619" i="38" l="1"/>
  <c r="Z619" i="38" s="1"/>
  <c r="P619" i="38"/>
  <c r="A618" i="38"/>
  <c r="D618" i="38"/>
  <c r="E618" i="38"/>
  <c r="G618" i="38"/>
  <c r="H618" i="38"/>
  <c r="K618" i="38"/>
  <c r="L618" i="38" s="1"/>
  <c r="M618" i="38"/>
  <c r="N618" i="38" s="1"/>
  <c r="S618" i="38"/>
  <c r="F33" i="91"/>
  <c r="H33" i="91"/>
  <c r="G33" i="91"/>
  <c r="F3" i="91"/>
  <c r="K3" i="91"/>
  <c r="F30" i="47"/>
  <c r="H30" i="47"/>
  <c r="G30" i="47"/>
  <c r="F4" i="47"/>
  <c r="K3" i="47"/>
  <c r="K18" i="94"/>
  <c r="F72" i="46"/>
  <c r="G72" i="46"/>
  <c r="H72" i="46"/>
  <c r="K9" i="46"/>
  <c r="F90" i="51"/>
  <c r="G90" i="51"/>
  <c r="H90" i="51"/>
  <c r="O619" i="38" l="1"/>
  <c r="Z618" i="38"/>
  <c r="P618" i="38"/>
  <c r="O618" i="38"/>
  <c r="U618" i="38"/>
  <c r="A617" i="38"/>
  <c r="D617" i="38"/>
  <c r="E617" i="38"/>
  <c r="G617" i="38"/>
  <c r="H617" i="38"/>
  <c r="K617" i="38"/>
  <c r="L617" i="38" s="1"/>
  <c r="M617" i="38"/>
  <c r="N617" i="38" s="1"/>
  <c r="S617" i="38"/>
  <c r="F276" i="25"/>
  <c r="H276" i="25"/>
  <c r="G276" i="25"/>
  <c r="K53" i="25"/>
  <c r="A616" i="38"/>
  <c r="D616" i="38"/>
  <c r="E616" i="38"/>
  <c r="G616" i="38"/>
  <c r="H616" i="38"/>
  <c r="K616" i="38"/>
  <c r="L616" i="38" s="1"/>
  <c r="M616" i="38"/>
  <c r="N616" i="38" s="1"/>
  <c r="F125" i="58"/>
  <c r="H125" i="58"/>
  <c r="G125" i="58"/>
  <c r="F21" i="58"/>
  <c r="F29" i="47"/>
  <c r="H29" i="47"/>
  <c r="G29" i="47"/>
  <c r="F8" i="47"/>
  <c r="H275" i="25"/>
  <c r="G275" i="25"/>
  <c r="F275" i="25"/>
  <c r="F274" i="25"/>
  <c r="G274" i="25"/>
  <c r="H274" i="25"/>
  <c r="P617" i="38" l="1"/>
  <c r="O617" i="38"/>
  <c r="Z617" i="38"/>
  <c r="U617" i="38"/>
  <c r="O616" i="38"/>
  <c r="Z616" i="38"/>
  <c r="P616" i="38"/>
  <c r="F73" i="25"/>
  <c r="F72" i="25"/>
  <c r="F32" i="31" l="1"/>
  <c r="G32" i="31"/>
  <c r="H32" i="31"/>
  <c r="F27" i="95"/>
  <c r="G27" i="95"/>
  <c r="H27" i="95"/>
  <c r="Q11" i="95"/>
  <c r="F273" i="25" l="1"/>
  <c r="H273" i="25"/>
  <c r="G273" i="25"/>
  <c r="K52" i="25"/>
  <c r="F124" i="58"/>
  <c r="H124" i="58"/>
  <c r="G124" i="58"/>
  <c r="K15" i="58"/>
  <c r="F89" i="51"/>
  <c r="G89" i="51"/>
  <c r="H89" i="51"/>
  <c r="A615" i="38" l="1"/>
  <c r="D615" i="38"/>
  <c r="E615" i="38"/>
  <c r="G615" i="38"/>
  <c r="H615" i="38"/>
  <c r="K615" i="38"/>
  <c r="L615" i="38" s="1"/>
  <c r="M615" i="38"/>
  <c r="N615" i="38" s="1"/>
  <c r="S615" i="38"/>
  <c r="F272" i="25"/>
  <c r="H272" i="25"/>
  <c r="G272" i="25"/>
  <c r="K51" i="25"/>
  <c r="P615" i="38" l="1"/>
  <c r="O615" i="38"/>
  <c r="Z615" i="38"/>
  <c r="U615" i="38"/>
  <c r="A614" i="38"/>
  <c r="D614" i="38"/>
  <c r="E614" i="38"/>
  <c r="G614" i="38"/>
  <c r="H614" i="38"/>
  <c r="K614" i="38"/>
  <c r="L614" i="38" s="1"/>
  <c r="M614" i="38"/>
  <c r="N614" i="38" s="1"/>
  <c r="S614" i="38"/>
  <c r="F123" i="58"/>
  <c r="H123" i="58"/>
  <c r="G123" i="58"/>
  <c r="F20" i="58"/>
  <c r="F271" i="25"/>
  <c r="H271" i="25"/>
  <c r="G271" i="25"/>
  <c r="F71" i="25"/>
  <c r="P614" i="38" l="1"/>
  <c r="O614" i="38"/>
  <c r="Z614" i="38"/>
  <c r="U614" i="38"/>
  <c r="F27" i="103"/>
  <c r="G27" i="103"/>
  <c r="H27" i="103"/>
  <c r="F27" i="99"/>
  <c r="G27" i="99"/>
  <c r="H27" i="99"/>
  <c r="F39" i="86"/>
  <c r="G39" i="86"/>
  <c r="H39" i="86"/>
  <c r="F29" i="96"/>
  <c r="G29" i="96"/>
  <c r="H29" i="96"/>
  <c r="F33" i="101"/>
  <c r="G33" i="101"/>
  <c r="H33" i="101"/>
  <c r="F32" i="90"/>
  <c r="G32" i="90"/>
  <c r="H32" i="90"/>
  <c r="F35" i="45"/>
  <c r="G35" i="45"/>
  <c r="H35" i="45"/>
  <c r="F58" i="84"/>
  <c r="G58" i="84"/>
  <c r="H58" i="84"/>
  <c r="F28" i="47"/>
  <c r="G28" i="47"/>
  <c r="H28" i="47"/>
  <c r="F270" i="25"/>
  <c r="G270" i="25"/>
  <c r="H270" i="25"/>
  <c r="F62" i="81"/>
  <c r="G62" i="81"/>
  <c r="H62" i="81"/>
  <c r="A613" i="38"/>
  <c r="D613" i="38"/>
  <c r="E613" i="38"/>
  <c r="G613" i="38"/>
  <c r="H613" i="38"/>
  <c r="K613" i="38"/>
  <c r="L613" i="38" s="1"/>
  <c r="M613" i="38"/>
  <c r="N613" i="38" s="1"/>
  <c r="S613" i="38"/>
  <c r="F71" i="46"/>
  <c r="H71" i="46"/>
  <c r="G71" i="46"/>
  <c r="F16" i="46"/>
  <c r="P613" i="38" l="1"/>
  <c r="O613" i="38"/>
  <c r="Z613" i="38"/>
  <c r="U613" i="38"/>
  <c r="F26" i="75"/>
  <c r="G26" i="75"/>
  <c r="H26" i="75"/>
  <c r="F31" i="31"/>
  <c r="G31" i="31"/>
  <c r="H31" i="31"/>
  <c r="F56" i="77"/>
  <c r="G56" i="77"/>
  <c r="H56" i="77"/>
  <c r="F26" i="100"/>
  <c r="G26" i="100"/>
  <c r="H26" i="100"/>
  <c r="G39" i="49"/>
  <c r="H39" i="49"/>
  <c r="F51" i="70"/>
  <c r="G51" i="70"/>
  <c r="H51" i="70"/>
  <c r="F26" i="103"/>
  <c r="G26" i="103"/>
  <c r="H26" i="103"/>
  <c r="F38" i="86"/>
  <c r="G38" i="86"/>
  <c r="H38" i="86"/>
  <c r="F28" i="96"/>
  <c r="G28" i="96"/>
  <c r="H28" i="96"/>
  <c r="F39" i="78"/>
  <c r="G39" i="78"/>
  <c r="H39" i="78"/>
  <c r="F45" i="74"/>
  <c r="G45" i="74"/>
  <c r="H45" i="74"/>
  <c r="F26" i="98"/>
  <c r="G26" i="98"/>
  <c r="H26" i="98"/>
  <c r="F27" i="98"/>
  <c r="G27" i="98"/>
  <c r="H27" i="98"/>
  <c r="F28" i="98"/>
  <c r="G28" i="98"/>
  <c r="H28" i="98"/>
  <c r="H25" i="98"/>
  <c r="G25" i="98"/>
  <c r="F25" i="98"/>
  <c r="H69" i="43"/>
  <c r="G69" i="43"/>
  <c r="F69" i="43"/>
  <c r="H32" i="101"/>
  <c r="G32" i="101"/>
  <c r="F32" i="101"/>
  <c r="F31" i="90"/>
  <c r="G31" i="90"/>
  <c r="H31" i="90"/>
  <c r="F34" i="45"/>
  <c r="G34" i="45"/>
  <c r="H34" i="45"/>
  <c r="F70" i="46"/>
  <c r="H70" i="46"/>
  <c r="G70" i="46"/>
  <c r="F32" i="91"/>
  <c r="H32" i="91"/>
  <c r="G32" i="91"/>
  <c r="F122" i="58"/>
  <c r="G122" i="58"/>
  <c r="H122" i="58"/>
  <c r="H61" i="81"/>
  <c r="G61" i="81"/>
  <c r="F61" i="81"/>
  <c r="F269" i="25"/>
  <c r="G269" i="25"/>
  <c r="H269" i="25"/>
  <c r="A612" i="38"/>
  <c r="D612" i="38"/>
  <c r="E612" i="38"/>
  <c r="G612" i="38"/>
  <c r="H612" i="38"/>
  <c r="K612" i="38"/>
  <c r="L612" i="38" s="1"/>
  <c r="M612" i="38"/>
  <c r="N612" i="38" s="1"/>
  <c r="S612" i="38"/>
  <c r="P612" i="38" l="1"/>
  <c r="Z612" i="38"/>
  <c r="O612" i="38"/>
  <c r="U612" i="38"/>
  <c r="H25" i="75"/>
  <c r="H24" i="75"/>
  <c r="G25" i="75"/>
  <c r="G24" i="75"/>
  <c r="F25" i="75"/>
  <c r="H26" i="102"/>
  <c r="G26" i="102"/>
  <c r="F26" i="102"/>
  <c r="H68" i="43"/>
  <c r="G68" i="43"/>
  <c r="F68" i="43"/>
  <c r="H30" i="90"/>
  <c r="G30" i="90"/>
  <c r="F30" i="90"/>
  <c r="H225" i="31"/>
  <c r="G225" i="31"/>
  <c r="F225" i="31"/>
  <c r="H224" i="31"/>
  <c r="G224" i="31"/>
  <c r="F224" i="31"/>
  <c r="H223" i="31"/>
  <c r="G223" i="31"/>
  <c r="F223" i="31"/>
  <c r="H222" i="31"/>
  <c r="G222" i="31"/>
  <c r="F222" i="31"/>
  <c r="H221" i="31"/>
  <c r="G221" i="31"/>
  <c r="F221" i="31"/>
  <c r="H220" i="31"/>
  <c r="G220" i="31"/>
  <c r="F220" i="31"/>
  <c r="H219" i="31"/>
  <c r="G219" i="31"/>
  <c r="F219" i="31"/>
  <c r="H218" i="31"/>
  <c r="G218" i="31"/>
  <c r="F218" i="31"/>
  <c r="H217" i="31"/>
  <c r="G217" i="31"/>
  <c r="F217" i="31"/>
  <c r="H216" i="31"/>
  <c r="G216" i="31"/>
  <c r="F216" i="31"/>
  <c r="H215" i="31"/>
  <c r="G215" i="31"/>
  <c r="F215" i="31"/>
  <c r="H214" i="31"/>
  <c r="G214" i="31"/>
  <c r="F214" i="31"/>
  <c r="H213" i="31"/>
  <c r="G213" i="31"/>
  <c r="F213" i="31"/>
  <c r="H212" i="31"/>
  <c r="G212" i="31"/>
  <c r="F212" i="31"/>
  <c r="H211" i="31"/>
  <c r="G211" i="31"/>
  <c r="F211" i="31"/>
  <c r="H210" i="31"/>
  <c r="G210" i="31"/>
  <c r="F210" i="31"/>
  <c r="H209" i="31"/>
  <c r="G209" i="31"/>
  <c r="F209" i="31"/>
  <c r="H208" i="31"/>
  <c r="G208" i="31"/>
  <c r="F208" i="31"/>
  <c r="H207" i="31"/>
  <c r="G207" i="31"/>
  <c r="F207" i="31"/>
  <c r="H37" i="86"/>
  <c r="G37" i="86"/>
  <c r="F37" i="86"/>
  <c r="R11" i="98"/>
  <c r="Q11" i="98" s="1"/>
  <c r="F31" i="91"/>
  <c r="G31" i="91"/>
  <c r="H31" i="91"/>
  <c r="F38" i="49"/>
  <c r="G38" i="49"/>
  <c r="H38" i="49"/>
  <c r="F38" i="78"/>
  <c r="G38" i="78"/>
  <c r="H38" i="78"/>
  <c r="F55" i="77"/>
  <c r="G55" i="77"/>
  <c r="H55" i="77"/>
  <c r="F50" i="70"/>
  <c r="G50" i="70"/>
  <c r="H50" i="70"/>
  <c r="F26" i="99"/>
  <c r="G26" i="99"/>
  <c r="H26" i="99"/>
  <c r="F27" i="96"/>
  <c r="G27" i="96"/>
  <c r="H27" i="96"/>
  <c r="A611" i="38" l="1"/>
  <c r="D611" i="38"/>
  <c r="E611" i="38"/>
  <c r="G611" i="38"/>
  <c r="H611" i="38"/>
  <c r="K611" i="38"/>
  <c r="L611" i="38" s="1"/>
  <c r="M611" i="38"/>
  <c r="U611" i="38" s="1"/>
  <c r="S611" i="38"/>
  <c r="F49" i="88"/>
  <c r="H49" i="88"/>
  <c r="G49" i="88"/>
  <c r="F6" i="88"/>
  <c r="AA6" i="88" s="1"/>
  <c r="AB6" i="88" s="1"/>
  <c r="K3" i="88"/>
  <c r="F12" i="88"/>
  <c r="AA12" i="88" s="1"/>
  <c r="AB12" i="88" s="1"/>
  <c r="F88" i="51"/>
  <c r="G88" i="51"/>
  <c r="H88" i="51"/>
  <c r="F268" i="25"/>
  <c r="H268" i="25"/>
  <c r="G268" i="25"/>
  <c r="F70" i="25"/>
  <c r="AD3" i="88" l="1"/>
  <c r="AE3" i="88" s="1"/>
  <c r="P611" i="38"/>
  <c r="N611" i="38"/>
  <c r="Z611" i="38" s="1"/>
  <c r="F48" i="88"/>
  <c r="H48" i="88"/>
  <c r="G48" i="88"/>
  <c r="F11" i="88"/>
  <c r="AA11" i="88" s="1"/>
  <c r="AB11" i="88" s="1"/>
  <c r="F27" i="47"/>
  <c r="H27" i="47"/>
  <c r="G27" i="47"/>
  <c r="F7" i="47"/>
  <c r="F30" i="91"/>
  <c r="G30" i="91"/>
  <c r="H30" i="91"/>
  <c r="F6" i="91"/>
  <c r="O611" i="38" l="1"/>
  <c r="A610" i="38"/>
  <c r="D610" i="38"/>
  <c r="E610" i="38"/>
  <c r="G610" i="38"/>
  <c r="H610" i="38"/>
  <c r="K610" i="38"/>
  <c r="L610" i="38" s="1"/>
  <c r="M610" i="38"/>
  <c r="N610" i="38" s="1"/>
  <c r="S610" i="38"/>
  <c r="M90" i="103"/>
  <c r="K90" i="103"/>
  <c r="H90" i="103"/>
  <c r="F90" i="103"/>
  <c r="C90" i="103"/>
  <c r="P43" i="103"/>
  <c r="P42" i="103"/>
  <c r="P41" i="103"/>
  <c r="P40" i="103"/>
  <c r="P39" i="103"/>
  <c r="P38" i="103"/>
  <c r="P37" i="103"/>
  <c r="P36" i="103"/>
  <c r="P35" i="103"/>
  <c r="P34" i="103"/>
  <c r="P33" i="103"/>
  <c r="P32" i="103"/>
  <c r="P31" i="103"/>
  <c r="P30" i="103"/>
  <c r="P29" i="103"/>
  <c r="P28" i="103"/>
  <c r="P27" i="103"/>
  <c r="P26" i="103"/>
  <c r="P25" i="103"/>
  <c r="H25" i="103"/>
  <c r="G25" i="103"/>
  <c r="F25" i="103"/>
  <c r="P24" i="103"/>
  <c r="P23" i="103"/>
  <c r="M18" i="103"/>
  <c r="C18" i="103"/>
  <c r="F2" i="103"/>
  <c r="F18" i="103" s="1"/>
  <c r="Q11" i="101"/>
  <c r="F31" i="101"/>
  <c r="G31" i="101"/>
  <c r="H31" i="101"/>
  <c r="F4" i="101"/>
  <c r="F37" i="78"/>
  <c r="H37" i="78"/>
  <c r="G37" i="78"/>
  <c r="F4" i="78"/>
  <c r="M18" i="89"/>
  <c r="C18" i="89"/>
  <c r="F33" i="45"/>
  <c r="G33" i="45"/>
  <c r="H33" i="45"/>
  <c r="F5" i="45"/>
  <c r="F267" i="25"/>
  <c r="H267" i="25"/>
  <c r="G267" i="25"/>
  <c r="K50" i="25"/>
  <c r="F30" i="101"/>
  <c r="G30" i="101"/>
  <c r="H30" i="101"/>
  <c r="K2" i="101"/>
  <c r="K21" i="101" s="1"/>
  <c r="F26" i="96"/>
  <c r="G26" i="96"/>
  <c r="H26" i="96"/>
  <c r="F3" i="96"/>
  <c r="F29" i="101"/>
  <c r="G29" i="101"/>
  <c r="H29" i="101"/>
  <c r="F3" i="101"/>
  <c r="F266" i="25"/>
  <c r="H266" i="25"/>
  <c r="G266" i="25"/>
  <c r="F69" i="25"/>
  <c r="F19" i="103"/>
  <c r="H91" i="103"/>
  <c r="K91" i="103"/>
  <c r="C91" i="103"/>
  <c r="F91" i="103"/>
  <c r="C19" i="103"/>
  <c r="M91" i="103"/>
  <c r="K19" i="89"/>
  <c r="M19" i="103"/>
  <c r="K19" i="103"/>
  <c r="H19" i="103"/>
  <c r="Q2" i="103" l="1"/>
  <c r="Q3" i="103" s="1"/>
  <c r="Q6" i="103" s="1"/>
  <c r="K18" i="89"/>
  <c r="M72" i="103"/>
  <c r="Q10" i="103" s="1"/>
  <c r="Z610" i="38"/>
  <c r="O610" i="38"/>
  <c r="P610" i="38"/>
  <c r="U610" i="38"/>
  <c r="R11" i="96"/>
  <c r="Q11" i="96" s="1"/>
  <c r="A609" i="38"/>
  <c r="D609" i="38"/>
  <c r="E609" i="38"/>
  <c r="G609" i="38"/>
  <c r="H609" i="38"/>
  <c r="K609" i="38"/>
  <c r="L609" i="38" s="1"/>
  <c r="M609" i="38"/>
  <c r="N609" i="38" s="1"/>
  <c r="S609" i="38"/>
  <c r="F265" i="25"/>
  <c r="H265" i="25"/>
  <c r="G265" i="25"/>
  <c r="K49" i="25"/>
  <c r="C18" i="82"/>
  <c r="M94" i="102"/>
  <c r="K94" i="102"/>
  <c r="H94" i="102"/>
  <c r="F94" i="102"/>
  <c r="C94" i="102"/>
  <c r="P37" i="102"/>
  <c r="P36" i="102"/>
  <c r="P35" i="102"/>
  <c r="P34" i="102"/>
  <c r="P33" i="102"/>
  <c r="P32" i="102"/>
  <c r="P31" i="102"/>
  <c r="P30" i="102"/>
  <c r="P29" i="102"/>
  <c r="P28" i="102"/>
  <c r="P27" i="102"/>
  <c r="P26" i="102"/>
  <c r="P25" i="102"/>
  <c r="H25" i="102"/>
  <c r="G25" i="102"/>
  <c r="F25" i="102"/>
  <c r="P24" i="102"/>
  <c r="P23" i="102"/>
  <c r="P22" i="102"/>
  <c r="P21" i="102"/>
  <c r="P20" i="102"/>
  <c r="P19" i="102"/>
  <c r="P18" i="102"/>
  <c r="M18" i="102"/>
  <c r="P17" i="102"/>
  <c r="F2" i="102"/>
  <c r="F18" i="102" s="1"/>
  <c r="F56" i="57"/>
  <c r="H56" i="57"/>
  <c r="G56" i="57"/>
  <c r="K8" i="57"/>
  <c r="F264" i="25"/>
  <c r="H264" i="25"/>
  <c r="G264" i="25"/>
  <c r="K48" i="25"/>
  <c r="F69" i="87"/>
  <c r="K69" i="87"/>
  <c r="K19" i="102"/>
  <c r="H95" i="102"/>
  <c r="M95" i="102"/>
  <c r="C95" i="102"/>
  <c r="C19" i="102"/>
  <c r="K95" i="102"/>
  <c r="H19" i="102"/>
  <c r="F19" i="102"/>
  <c r="F95" i="102"/>
  <c r="M19" i="102"/>
  <c r="Q5" i="103" l="1"/>
  <c r="Q8" i="103"/>
  <c r="Q7" i="103" s="1"/>
  <c r="P609" i="38"/>
  <c r="M76" i="102"/>
  <c r="Q10" i="102" s="1"/>
  <c r="Q2" i="102"/>
  <c r="Q8" i="102" s="1"/>
  <c r="U609" i="38"/>
  <c r="O609" i="38"/>
  <c r="Z609" i="38"/>
  <c r="S608" i="38"/>
  <c r="A608" i="38"/>
  <c r="D608" i="38"/>
  <c r="E608" i="38"/>
  <c r="G608" i="38"/>
  <c r="H608" i="38"/>
  <c r="K608" i="38"/>
  <c r="L608" i="38" s="1"/>
  <c r="M608" i="38"/>
  <c r="N608" i="38" s="1"/>
  <c r="J69" i="102" l="1"/>
  <c r="J70" i="102"/>
  <c r="J67" i="102"/>
  <c r="J68" i="102"/>
  <c r="J65" i="102"/>
  <c r="J66" i="102"/>
  <c r="J64" i="102"/>
  <c r="J63" i="102"/>
  <c r="J61" i="102"/>
  <c r="J62" i="102"/>
  <c r="J60" i="102"/>
  <c r="J59" i="102"/>
  <c r="J58" i="102"/>
  <c r="J57" i="102"/>
  <c r="J56" i="102"/>
  <c r="J55" i="102"/>
  <c r="J54" i="102"/>
  <c r="J53" i="102"/>
  <c r="J52" i="102"/>
  <c r="J51" i="102"/>
  <c r="J50" i="102"/>
  <c r="Q7" i="102"/>
  <c r="Q9" i="103"/>
  <c r="O608" i="38"/>
  <c r="U608" i="38"/>
  <c r="Q3" i="102"/>
  <c r="Q6" i="102" s="1"/>
  <c r="Q9" i="102" s="1"/>
  <c r="Q5" i="102"/>
  <c r="P608" i="38"/>
  <c r="Z608" i="38"/>
  <c r="F32" i="45" l="1"/>
  <c r="G32" i="45"/>
  <c r="H32" i="45"/>
  <c r="F29" i="90"/>
  <c r="G29" i="90"/>
  <c r="H29" i="90"/>
  <c r="F26" i="47"/>
  <c r="H26" i="47"/>
  <c r="G26" i="47"/>
  <c r="F57" i="84"/>
  <c r="G57" i="84"/>
  <c r="H57" i="84"/>
  <c r="F44" i="74"/>
  <c r="H44" i="74"/>
  <c r="G44" i="74"/>
  <c r="F5" i="74"/>
  <c r="F67" i="43"/>
  <c r="H67" i="43"/>
  <c r="G67" i="43"/>
  <c r="F16" i="43"/>
  <c r="F36" i="86"/>
  <c r="H36" i="86"/>
  <c r="A607" i="38"/>
  <c r="D607" i="38"/>
  <c r="E607" i="38"/>
  <c r="G607" i="38"/>
  <c r="H607" i="38"/>
  <c r="K607" i="38"/>
  <c r="L607" i="38" s="1"/>
  <c r="M607" i="38"/>
  <c r="N607" i="38" s="1"/>
  <c r="G36" i="86"/>
  <c r="F4" i="86"/>
  <c r="AA4" i="86" s="1"/>
  <c r="AB4" i="86" s="1"/>
  <c r="G60" i="81"/>
  <c r="F60" i="81"/>
  <c r="H60" i="81"/>
  <c r="F17" i="81"/>
  <c r="M89" i="101"/>
  <c r="K89" i="101"/>
  <c r="H89" i="101"/>
  <c r="F89" i="101"/>
  <c r="C89" i="101"/>
  <c r="P43" i="101"/>
  <c r="P42" i="101"/>
  <c r="P41" i="101"/>
  <c r="P40" i="101"/>
  <c r="P39" i="101"/>
  <c r="P38" i="101"/>
  <c r="P37" i="101"/>
  <c r="P36" i="101"/>
  <c r="P35" i="101"/>
  <c r="P34" i="101"/>
  <c r="P33" i="101"/>
  <c r="P32" i="101"/>
  <c r="P31" i="101"/>
  <c r="P30" i="101"/>
  <c r="P29" i="101"/>
  <c r="P28" i="101"/>
  <c r="P27" i="101"/>
  <c r="P26" i="101"/>
  <c r="P25" i="101"/>
  <c r="H28" i="101"/>
  <c r="G28" i="101"/>
  <c r="F28" i="101"/>
  <c r="P24" i="101"/>
  <c r="P23" i="101"/>
  <c r="M21" i="101"/>
  <c r="F2" i="101"/>
  <c r="F21" i="101" s="1"/>
  <c r="M84" i="100"/>
  <c r="K84" i="100"/>
  <c r="H84" i="100"/>
  <c r="F84" i="100"/>
  <c r="C84" i="100"/>
  <c r="P43" i="100"/>
  <c r="P42" i="100"/>
  <c r="P41" i="100"/>
  <c r="P40" i="100"/>
  <c r="P39" i="100"/>
  <c r="P38" i="100"/>
  <c r="P37" i="100"/>
  <c r="P36" i="100"/>
  <c r="P35" i="100"/>
  <c r="P34" i="100"/>
  <c r="P33" i="100"/>
  <c r="P32" i="100"/>
  <c r="P31" i="100"/>
  <c r="P30" i="100"/>
  <c r="P29" i="100"/>
  <c r="P28" i="100"/>
  <c r="P27" i="100"/>
  <c r="P26" i="100"/>
  <c r="P25" i="100"/>
  <c r="H25" i="100"/>
  <c r="G25" i="100"/>
  <c r="F25" i="100"/>
  <c r="P24" i="100"/>
  <c r="P23" i="100"/>
  <c r="M18" i="100"/>
  <c r="K18" i="100"/>
  <c r="H18" i="100"/>
  <c r="C18" i="100"/>
  <c r="F2" i="100"/>
  <c r="F18" i="100" s="1"/>
  <c r="M84" i="99"/>
  <c r="K84" i="99"/>
  <c r="H84" i="99"/>
  <c r="F84" i="99"/>
  <c r="C84" i="99"/>
  <c r="P43" i="99"/>
  <c r="P42" i="99"/>
  <c r="P41" i="99"/>
  <c r="P40" i="99"/>
  <c r="P39" i="99"/>
  <c r="P38" i="99"/>
  <c r="P37" i="99"/>
  <c r="P36" i="99"/>
  <c r="P35" i="99"/>
  <c r="P34" i="99"/>
  <c r="P33" i="99"/>
  <c r="P32" i="99"/>
  <c r="P31" i="99"/>
  <c r="P30" i="99"/>
  <c r="P29" i="99"/>
  <c r="P28" i="99"/>
  <c r="P27" i="99"/>
  <c r="P26" i="99"/>
  <c r="P25" i="99"/>
  <c r="H25" i="99"/>
  <c r="G25" i="99"/>
  <c r="F25" i="99"/>
  <c r="P24" i="99"/>
  <c r="P23" i="99"/>
  <c r="F2" i="99"/>
  <c r="F18" i="99" s="1"/>
  <c r="F69" i="46"/>
  <c r="H69" i="46"/>
  <c r="G69" i="46"/>
  <c r="F15" i="46"/>
  <c r="F121" i="58"/>
  <c r="H121" i="58"/>
  <c r="G121" i="58"/>
  <c r="F19" i="58"/>
  <c r="F47" i="88"/>
  <c r="H47" i="88"/>
  <c r="G47" i="88"/>
  <c r="F10" i="88"/>
  <c r="AA10" i="88" s="1"/>
  <c r="AB10" i="88" s="1"/>
  <c r="K85" i="99"/>
  <c r="C19" i="100"/>
  <c r="H85" i="100"/>
  <c r="M85" i="99"/>
  <c r="M22" i="101"/>
  <c r="H22" i="101"/>
  <c r="M19" i="99"/>
  <c r="H19" i="100"/>
  <c r="C85" i="100"/>
  <c r="K19" i="99"/>
  <c r="F90" i="101"/>
  <c r="C90" i="101"/>
  <c r="F19" i="100"/>
  <c r="M90" i="101"/>
  <c r="M19" i="100"/>
  <c r="H90" i="101"/>
  <c r="K22" i="101"/>
  <c r="K19" i="100"/>
  <c r="F19" i="99"/>
  <c r="M85" i="100"/>
  <c r="K90" i="101"/>
  <c r="C19" i="99"/>
  <c r="C22" i="101"/>
  <c r="K85" i="100"/>
  <c r="F85" i="99"/>
  <c r="H19" i="99"/>
  <c r="F22" i="101"/>
  <c r="C85" i="99"/>
  <c r="H85" i="99"/>
  <c r="F85" i="100"/>
  <c r="Q2" i="99" l="1"/>
  <c r="Q3" i="99" s="1"/>
  <c r="Q6" i="99" s="1"/>
  <c r="M71" i="101"/>
  <c r="Q10" i="101" s="1"/>
  <c r="Q2" i="100"/>
  <c r="Q5" i="100" s="1"/>
  <c r="M66" i="99"/>
  <c r="Q10" i="99" s="1"/>
  <c r="P607" i="38"/>
  <c r="M66" i="100"/>
  <c r="Q10" i="100" s="1"/>
  <c r="O607" i="38"/>
  <c r="Z607" i="38"/>
  <c r="Q2" i="101"/>
  <c r="Q5" i="101" s="1"/>
  <c r="F28" i="90"/>
  <c r="G28" i="90"/>
  <c r="H28" i="90"/>
  <c r="F46" i="88"/>
  <c r="G46" i="88"/>
  <c r="H46" i="88"/>
  <c r="F56" i="84"/>
  <c r="G56" i="84"/>
  <c r="H56" i="84"/>
  <c r="J62" i="101" l="1"/>
  <c r="J63" i="101"/>
  <c r="J61" i="101"/>
  <c r="J60" i="101"/>
  <c r="J59" i="101"/>
  <c r="J58" i="101"/>
  <c r="J57" i="101"/>
  <c r="J56" i="101"/>
  <c r="J55" i="101"/>
  <c r="J53" i="101"/>
  <c r="J54" i="101"/>
  <c r="J51" i="101"/>
  <c r="J52" i="101"/>
  <c r="J49" i="101"/>
  <c r="J50" i="101"/>
  <c r="Q8" i="99"/>
  <c r="Q7" i="99" s="1"/>
  <c r="Q5" i="99"/>
  <c r="Q3" i="100"/>
  <c r="Q6" i="100" s="1"/>
  <c r="Q8" i="100"/>
  <c r="Q7" i="100" s="1"/>
  <c r="Q3" i="101"/>
  <c r="Q6" i="101" s="1"/>
  <c r="Q8" i="101"/>
  <c r="Q7" i="101" s="1"/>
  <c r="F59" i="81"/>
  <c r="H59" i="81"/>
  <c r="G59" i="81"/>
  <c r="K7" i="81"/>
  <c r="A606" i="38"/>
  <c r="D606" i="38"/>
  <c r="E606" i="38"/>
  <c r="G606" i="38"/>
  <c r="H606" i="38"/>
  <c r="K606" i="38"/>
  <c r="L606" i="38" s="1"/>
  <c r="M606" i="38"/>
  <c r="N606" i="38" s="1"/>
  <c r="S606" i="38"/>
  <c r="Q9" i="99" l="1"/>
  <c r="Q9" i="100"/>
  <c r="Q9" i="101"/>
  <c r="P606" i="38"/>
  <c r="O606" i="38"/>
  <c r="Z606" i="38"/>
  <c r="A605" i="38"/>
  <c r="D605" i="38"/>
  <c r="E605" i="38"/>
  <c r="G605" i="38"/>
  <c r="H605" i="38"/>
  <c r="K605" i="38"/>
  <c r="L605" i="38" s="1"/>
  <c r="M605" i="38"/>
  <c r="N605" i="38" s="1"/>
  <c r="S605" i="38"/>
  <c r="Z605" i="38" l="1"/>
  <c r="O605" i="38"/>
  <c r="P605" i="38"/>
  <c r="F55" i="57"/>
  <c r="H55" i="57"/>
  <c r="G55" i="57"/>
  <c r="F13" i="57"/>
  <c r="A604" i="38"/>
  <c r="D604" i="38"/>
  <c r="E604" i="38"/>
  <c r="G604" i="38"/>
  <c r="H604" i="38"/>
  <c r="K604" i="38"/>
  <c r="L604" i="38" s="1"/>
  <c r="M604" i="38"/>
  <c r="N604" i="38" s="1"/>
  <c r="S604" i="38"/>
  <c r="P604" i="38" l="1"/>
  <c r="O604" i="38"/>
  <c r="Z604" i="38"/>
  <c r="U604" i="38"/>
  <c r="F26" i="97"/>
  <c r="F37" i="49"/>
  <c r="G37" i="49"/>
  <c r="H37" i="49"/>
  <c r="F49" i="70"/>
  <c r="G49" i="70"/>
  <c r="H49" i="70"/>
  <c r="F66" i="43"/>
  <c r="G66" i="43"/>
  <c r="H66" i="43"/>
  <c r="F68" i="46"/>
  <c r="G68" i="46"/>
  <c r="H68" i="46"/>
  <c r="F54" i="57"/>
  <c r="G54" i="57"/>
  <c r="H54" i="57"/>
  <c r="F58" i="81"/>
  <c r="H58" i="81"/>
  <c r="G58" i="81"/>
  <c r="A603" i="38"/>
  <c r="D603" i="38"/>
  <c r="E603" i="38"/>
  <c r="G603" i="38"/>
  <c r="H603" i="38"/>
  <c r="K603" i="38"/>
  <c r="L603" i="38" s="1"/>
  <c r="M603" i="38"/>
  <c r="U603" i="38" s="1"/>
  <c r="S603" i="38"/>
  <c r="F54" i="77"/>
  <c r="H54" i="77"/>
  <c r="G54" i="77"/>
  <c r="K9" i="77"/>
  <c r="F15" i="81"/>
  <c r="F27" i="90"/>
  <c r="G27" i="90"/>
  <c r="H27" i="90"/>
  <c r="F3" i="90"/>
  <c r="F55" i="84"/>
  <c r="H55" i="84"/>
  <c r="G55" i="84"/>
  <c r="F263" i="25"/>
  <c r="H263" i="25"/>
  <c r="G263" i="25"/>
  <c r="F57" i="81"/>
  <c r="H57" i="81"/>
  <c r="G57" i="81"/>
  <c r="K6" i="81"/>
  <c r="F19" i="89"/>
  <c r="F18" i="89" l="1"/>
  <c r="N603" i="38"/>
  <c r="Z603" i="38" s="1"/>
  <c r="P603" i="38"/>
  <c r="A602" i="38"/>
  <c r="D602" i="38"/>
  <c r="E602" i="38"/>
  <c r="G602" i="38"/>
  <c r="H602" i="38"/>
  <c r="K602" i="38"/>
  <c r="L602" i="38" s="1"/>
  <c r="M602" i="38"/>
  <c r="N602" i="38" s="1"/>
  <c r="S602" i="38"/>
  <c r="O603" i="38" l="1"/>
  <c r="P602" i="38"/>
  <c r="O602" i="38"/>
  <c r="Z602" i="38"/>
  <c r="U602" i="38"/>
  <c r="F53" i="57"/>
  <c r="G53" i="57"/>
  <c r="H53" i="57"/>
  <c r="F54" i="84"/>
  <c r="G54" i="84"/>
  <c r="H54" i="84"/>
  <c r="F87" i="51"/>
  <c r="G87" i="51"/>
  <c r="H87" i="51"/>
  <c r="F262" i="25"/>
  <c r="G262" i="25"/>
  <c r="H262" i="25"/>
  <c r="A601" i="38"/>
  <c r="D601" i="38"/>
  <c r="E601" i="38"/>
  <c r="G601" i="38"/>
  <c r="H601" i="38"/>
  <c r="K601" i="38"/>
  <c r="L601" i="38" s="1"/>
  <c r="M601" i="38"/>
  <c r="N601" i="38" s="1"/>
  <c r="S601" i="38"/>
  <c r="P601" i="38" l="1"/>
  <c r="O601" i="38"/>
  <c r="Z601" i="38"/>
  <c r="U601" i="38"/>
  <c r="F52" i="57"/>
  <c r="G52" i="57"/>
  <c r="H52" i="57"/>
  <c r="A600" i="38"/>
  <c r="D600" i="38"/>
  <c r="E600" i="38"/>
  <c r="G600" i="38"/>
  <c r="H600" i="38"/>
  <c r="K600" i="38"/>
  <c r="L600" i="38" s="1"/>
  <c r="M600" i="38"/>
  <c r="N600" i="38" s="1"/>
  <c r="S600" i="38"/>
  <c r="P600" i="38" l="1"/>
  <c r="O600" i="38"/>
  <c r="Z600" i="38"/>
  <c r="U600" i="38"/>
  <c r="F86" i="51"/>
  <c r="G86" i="51"/>
  <c r="H86" i="51"/>
  <c r="F85" i="51"/>
  <c r="G85" i="51"/>
  <c r="H85" i="51"/>
  <c r="F84" i="51"/>
  <c r="G84" i="51"/>
  <c r="H84" i="51"/>
  <c r="K29" i="92"/>
  <c r="F56" i="81"/>
  <c r="H56" i="81"/>
  <c r="G56" i="81"/>
  <c r="F10" i="81"/>
  <c r="K5" i="81"/>
  <c r="A599" i="38" l="1"/>
  <c r="D599" i="38"/>
  <c r="E599" i="38"/>
  <c r="G599" i="38"/>
  <c r="H599" i="38"/>
  <c r="K599" i="38"/>
  <c r="L599" i="38" s="1"/>
  <c r="M599" i="38"/>
  <c r="N599" i="38" s="1"/>
  <c r="S599" i="38"/>
  <c r="P599" i="38" l="1"/>
  <c r="O599" i="38"/>
  <c r="Z599" i="38"/>
  <c r="U599" i="38"/>
  <c r="F83" i="51"/>
  <c r="G83" i="51"/>
  <c r="H83" i="51"/>
  <c r="F53" i="84"/>
  <c r="H53" i="84"/>
  <c r="G53" i="84"/>
  <c r="F13" i="84"/>
  <c r="F52" i="84"/>
  <c r="H52" i="84"/>
  <c r="G52" i="84"/>
  <c r="K7" i="84"/>
  <c r="F120" i="58" l="1"/>
  <c r="G120" i="58"/>
  <c r="H120" i="58"/>
  <c r="F55" i="81"/>
  <c r="G55" i="81"/>
  <c r="H55" i="81"/>
  <c r="F82" i="51"/>
  <c r="G82" i="51"/>
  <c r="H82" i="51"/>
  <c r="F261" i="25"/>
  <c r="H261" i="25"/>
  <c r="G261" i="25"/>
  <c r="F51" i="57"/>
  <c r="H51" i="57"/>
  <c r="G51" i="57"/>
  <c r="F12" i="57"/>
  <c r="F24" i="75"/>
  <c r="F2" i="75"/>
  <c r="F51" i="84"/>
  <c r="H51" i="84"/>
  <c r="G51" i="84"/>
  <c r="F12" i="84"/>
  <c r="A598" i="38"/>
  <c r="D598" i="38"/>
  <c r="E598" i="38"/>
  <c r="G598" i="38"/>
  <c r="H598" i="38"/>
  <c r="K598" i="38"/>
  <c r="L598" i="38" s="1"/>
  <c r="M598" i="38"/>
  <c r="N598" i="38" s="1"/>
  <c r="S598" i="38"/>
  <c r="P598" i="38" l="1"/>
  <c r="O598" i="38"/>
  <c r="Z598" i="38"/>
  <c r="U598" i="38"/>
  <c r="A597" i="38"/>
  <c r="D597" i="38"/>
  <c r="E597" i="38"/>
  <c r="G597" i="38"/>
  <c r="H597" i="38"/>
  <c r="K597" i="38"/>
  <c r="L597" i="38" s="1"/>
  <c r="M597" i="38"/>
  <c r="U597" i="38" s="1"/>
  <c r="S597" i="38"/>
  <c r="N597" i="38" l="1"/>
  <c r="Z597" i="38" s="1"/>
  <c r="P597" i="38"/>
  <c r="O597" i="38" l="1"/>
  <c r="F50" i="57"/>
  <c r="H50" i="57"/>
  <c r="G50" i="57"/>
  <c r="F36" i="78"/>
  <c r="H36" i="78"/>
  <c r="G36" i="78"/>
  <c r="F48" i="70"/>
  <c r="H48" i="70"/>
  <c r="G48" i="70"/>
  <c r="K9" i="70"/>
  <c r="A596" i="38"/>
  <c r="D596" i="38"/>
  <c r="E596" i="38"/>
  <c r="G596" i="38"/>
  <c r="H596" i="38"/>
  <c r="K596" i="38"/>
  <c r="L596" i="38" s="1"/>
  <c r="M596" i="38"/>
  <c r="N596" i="38" s="1"/>
  <c r="S596" i="38"/>
  <c r="C30" i="81"/>
  <c r="P596" i="38" l="1"/>
  <c r="O596" i="38"/>
  <c r="Z596" i="38"/>
  <c r="U596" i="38"/>
  <c r="F45" i="88"/>
  <c r="H45" i="88"/>
  <c r="G45" i="88"/>
  <c r="K2" i="88"/>
  <c r="K28" i="88" s="1"/>
  <c r="K8" i="70"/>
  <c r="M84" i="98"/>
  <c r="K84" i="98"/>
  <c r="H84" i="98"/>
  <c r="F84" i="98"/>
  <c r="C84" i="98"/>
  <c r="P37" i="98"/>
  <c r="P36" i="98"/>
  <c r="P35" i="98"/>
  <c r="P34" i="98"/>
  <c r="P33" i="98"/>
  <c r="P32" i="98"/>
  <c r="P31" i="98"/>
  <c r="P30" i="98"/>
  <c r="P29" i="98"/>
  <c r="P28" i="98"/>
  <c r="P27" i="98"/>
  <c r="P26" i="98"/>
  <c r="P25" i="98"/>
  <c r="P24" i="98"/>
  <c r="P23" i="98"/>
  <c r="P22" i="98"/>
  <c r="P21" i="98"/>
  <c r="P20" i="98"/>
  <c r="P19" i="98"/>
  <c r="P18" i="98"/>
  <c r="P17" i="98"/>
  <c r="M18" i="98"/>
  <c r="F2" i="98"/>
  <c r="F18" i="98" s="1"/>
  <c r="M84" i="97"/>
  <c r="K84" i="97"/>
  <c r="H84" i="97"/>
  <c r="F84" i="97"/>
  <c r="C84" i="97"/>
  <c r="P42" i="97"/>
  <c r="P41" i="97"/>
  <c r="P40" i="97"/>
  <c r="P39" i="97"/>
  <c r="P38" i="97"/>
  <c r="P37" i="97"/>
  <c r="P36" i="97"/>
  <c r="P35" i="97"/>
  <c r="P34" i="97"/>
  <c r="P33" i="97"/>
  <c r="P32" i="97"/>
  <c r="P31" i="97"/>
  <c r="P30" i="97"/>
  <c r="P29" i="97"/>
  <c r="P28" i="97"/>
  <c r="P27" i="97"/>
  <c r="P26" i="97"/>
  <c r="P25" i="97"/>
  <c r="P24" i="97"/>
  <c r="P23" i="97"/>
  <c r="P22" i="97"/>
  <c r="M18" i="97"/>
  <c r="C18" i="97"/>
  <c r="F2" i="97"/>
  <c r="F18" i="97" s="1"/>
  <c r="F54" i="81"/>
  <c r="H54" i="81"/>
  <c r="G54" i="81"/>
  <c r="F14" i="81"/>
  <c r="M19" i="98"/>
  <c r="F19" i="98"/>
  <c r="F85" i="98"/>
  <c r="M85" i="97"/>
  <c r="C19" i="97"/>
  <c r="M85" i="98"/>
  <c r="H19" i="97"/>
  <c r="C85" i="98"/>
  <c r="H85" i="97"/>
  <c r="H19" i="98"/>
  <c r="K85" i="98"/>
  <c r="K85" i="97"/>
  <c r="F85" i="97"/>
  <c r="K19" i="98"/>
  <c r="M19" i="97"/>
  <c r="K29" i="88"/>
  <c r="K19" i="97"/>
  <c r="F19" i="97"/>
  <c r="C85" i="97"/>
  <c r="H85" i="98"/>
  <c r="C19" i="98"/>
  <c r="AD2" i="88" l="1"/>
  <c r="AE2" i="88" s="1"/>
  <c r="Q2" i="98"/>
  <c r="Q5" i="98" s="1"/>
  <c r="Q2" i="97"/>
  <c r="Q8" i="97" s="1"/>
  <c r="M66" i="97"/>
  <c r="Q10" i="97" s="1"/>
  <c r="M66" i="98"/>
  <c r="Q10" i="98" s="1"/>
  <c r="C18" i="70"/>
  <c r="Q3" i="98" l="1"/>
  <c r="Q6" i="98" s="1"/>
  <c r="Q8" i="98"/>
  <c r="Q7" i="98" s="1"/>
  <c r="Q3" i="97"/>
  <c r="Q6" i="97" s="1"/>
  <c r="Q9" i="97" s="1"/>
  <c r="Q5" i="97"/>
  <c r="Q7" i="97"/>
  <c r="F44" i="88"/>
  <c r="H44" i="88"/>
  <c r="G44" i="88"/>
  <c r="F43" i="88"/>
  <c r="H43" i="88"/>
  <c r="G43" i="88"/>
  <c r="F42" i="88"/>
  <c r="H42" i="88"/>
  <c r="G42" i="88"/>
  <c r="F9" i="88"/>
  <c r="AA9" i="88" s="1"/>
  <c r="AB9" i="88" s="1"/>
  <c r="F8" i="88"/>
  <c r="AA8" i="88" s="1"/>
  <c r="AB8" i="88" s="1"/>
  <c r="F7" i="88"/>
  <c r="AA7" i="88" s="1"/>
  <c r="AB7" i="88" s="1"/>
  <c r="R11" i="94"/>
  <c r="Q11" i="94" s="1"/>
  <c r="A595" i="38"/>
  <c r="D595" i="38"/>
  <c r="E595" i="38"/>
  <c r="G595" i="38"/>
  <c r="H595" i="38"/>
  <c r="K595" i="38"/>
  <c r="L595" i="38" s="1"/>
  <c r="M595" i="38"/>
  <c r="N595" i="38" s="1"/>
  <c r="S595" i="38"/>
  <c r="Q9" i="98" l="1"/>
  <c r="O595" i="38"/>
  <c r="P595" i="38"/>
  <c r="Z595" i="38"/>
  <c r="U595" i="38"/>
  <c r="A594" i="38"/>
  <c r="D594" i="38"/>
  <c r="E594" i="38"/>
  <c r="G594" i="38"/>
  <c r="H594" i="38"/>
  <c r="K594" i="38"/>
  <c r="L594" i="38" s="1"/>
  <c r="M594" i="38"/>
  <c r="N594" i="38" s="1"/>
  <c r="S594" i="38"/>
  <c r="O594" i="38" l="1"/>
  <c r="P594" i="38"/>
  <c r="Z594" i="38"/>
  <c r="F260" i="25"/>
  <c r="H260" i="25"/>
  <c r="G260" i="25"/>
  <c r="F68" i="25"/>
  <c r="F67" i="46" l="1"/>
  <c r="G67" i="46"/>
  <c r="H67" i="46"/>
  <c r="F43" i="74"/>
  <c r="G43" i="74"/>
  <c r="H43" i="74"/>
  <c r="F47" i="70"/>
  <c r="H47" i="70"/>
  <c r="G47" i="70"/>
  <c r="F53" i="77"/>
  <c r="G53" i="77"/>
  <c r="H53" i="77"/>
  <c r="H119" i="58"/>
  <c r="G119" i="58"/>
  <c r="F119" i="58"/>
  <c r="F118" i="58"/>
  <c r="H118" i="58"/>
  <c r="G118" i="58"/>
  <c r="A593" i="38"/>
  <c r="D593" i="38"/>
  <c r="E593" i="38"/>
  <c r="G593" i="38"/>
  <c r="H593" i="38"/>
  <c r="K593" i="38"/>
  <c r="L593" i="38" s="1"/>
  <c r="M593" i="38"/>
  <c r="U593" i="38" s="1"/>
  <c r="S593" i="38"/>
  <c r="N593" i="38" l="1"/>
  <c r="Z593" i="38" s="1"/>
  <c r="P593" i="38"/>
  <c r="F53" i="81"/>
  <c r="H53" i="81"/>
  <c r="G53" i="81"/>
  <c r="F13" i="81"/>
  <c r="A592" i="38"/>
  <c r="D592" i="38"/>
  <c r="E592" i="38"/>
  <c r="G592" i="38"/>
  <c r="H592" i="38"/>
  <c r="K592" i="38"/>
  <c r="L592" i="38" s="1"/>
  <c r="M592" i="38"/>
  <c r="N592" i="38" s="1"/>
  <c r="S592" i="38"/>
  <c r="O593" i="38" l="1"/>
  <c r="O592" i="38"/>
  <c r="P592" i="38"/>
  <c r="Z592" i="38"/>
  <c r="U592" i="38"/>
  <c r="F52" i="81"/>
  <c r="G52" i="81"/>
  <c r="H52" i="81"/>
  <c r="F259" i="25"/>
  <c r="G259" i="25"/>
  <c r="H259" i="25"/>
  <c r="A591" i="38" l="1"/>
  <c r="D591" i="38"/>
  <c r="E591" i="38"/>
  <c r="G591" i="38"/>
  <c r="H591" i="38"/>
  <c r="K591" i="38"/>
  <c r="L591" i="38" s="1"/>
  <c r="M591" i="38"/>
  <c r="N591" i="38" s="1"/>
  <c r="S591" i="38"/>
  <c r="F49" i="57"/>
  <c r="H49" i="57"/>
  <c r="G49" i="57"/>
  <c r="K7" i="57"/>
  <c r="O591" i="38" l="1"/>
  <c r="P591" i="38"/>
  <c r="Z591" i="38"/>
  <c r="U591" i="38"/>
  <c r="A590" i="38"/>
  <c r="D590" i="38"/>
  <c r="E590" i="38"/>
  <c r="G590" i="38"/>
  <c r="H590" i="38"/>
  <c r="K590" i="38"/>
  <c r="L590" i="38" s="1"/>
  <c r="M590" i="38"/>
  <c r="N590" i="38" s="1"/>
  <c r="S590" i="38"/>
  <c r="O590" i="38" l="1"/>
  <c r="P590" i="38"/>
  <c r="Z590" i="38"/>
  <c r="U590" i="38"/>
  <c r="A589" i="38"/>
  <c r="D589" i="38"/>
  <c r="E589" i="38"/>
  <c r="G589" i="38"/>
  <c r="H589" i="38"/>
  <c r="K589" i="38"/>
  <c r="L589" i="38" s="1"/>
  <c r="M589" i="38"/>
  <c r="N589" i="38" s="1"/>
  <c r="S589" i="38"/>
  <c r="F258" i="25"/>
  <c r="H258" i="25"/>
  <c r="G258" i="25"/>
  <c r="F67" i="25"/>
  <c r="F52" i="77"/>
  <c r="H52" i="77"/>
  <c r="G52" i="77"/>
  <c r="K8" i="77"/>
  <c r="O589" i="38" l="1"/>
  <c r="P589" i="38"/>
  <c r="Z589" i="38"/>
  <c r="U589" i="38"/>
  <c r="F26" i="87"/>
  <c r="G26" i="87"/>
  <c r="H26" i="87"/>
  <c r="F26" i="95"/>
  <c r="G26" i="95"/>
  <c r="H26" i="95"/>
  <c r="F35" i="78"/>
  <c r="G35" i="78"/>
  <c r="H35" i="78"/>
  <c r="F81" i="51"/>
  <c r="G81" i="51"/>
  <c r="H81" i="51"/>
  <c r="P16" i="70"/>
  <c r="P17" i="70"/>
  <c r="P18" i="70"/>
  <c r="P42" i="70"/>
  <c r="P43" i="70"/>
  <c r="P44" i="70"/>
  <c r="P19" i="70"/>
  <c r="P20" i="70"/>
  <c r="P21" i="70"/>
  <c r="P22" i="70"/>
  <c r="P23" i="70"/>
  <c r="F46" i="70"/>
  <c r="G46" i="70"/>
  <c r="H46" i="70"/>
  <c r="A588" i="38"/>
  <c r="D588" i="38"/>
  <c r="E588" i="38"/>
  <c r="G588" i="38"/>
  <c r="H588" i="38"/>
  <c r="K588" i="38"/>
  <c r="L588" i="38" s="1"/>
  <c r="M588" i="38"/>
  <c r="N588" i="38" s="1"/>
  <c r="O588" i="38" l="1"/>
  <c r="P588" i="38"/>
  <c r="Z588" i="38"/>
  <c r="F257" i="25"/>
  <c r="H257" i="25"/>
  <c r="G257" i="25"/>
  <c r="F66" i="25"/>
  <c r="M105" i="96"/>
  <c r="K105" i="96"/>
  <c r="H105" i="96"/>
  <c r="F105" i="96"/>
  <c r="C105" i="96"/>
  <c r="P42" i="96"/>
  <c r="P41" i="96"/>
  <c r="P40" i="96"/>
  <c r="P39" i="96"/>
  <c r="P38" i="96"/>
  <c r="P37" i="96"/>
  <c r="P36" i="96"/>
  <c r="P35" i="96"/>
  <c r="P34" i="96"/>
  <c r="P33" i="96"/>
  <c r="P32" i="96"/>
  <c r="P31" i="96"/>
  <c r="P30" i="96"/>
  <c r="P29" i="96"/>
  <c r="P28" i="96"/>
  <c r="P27" i="96"/>
  <c r="P26" i="96"/>
  <c r="P25" i="96"/>
  <c r="P24" i="96"/>
  <c r="P23" i="96"/>
  <c r="P22" i="96"/>
  <c r="H25" i="96"/>
  <c r="G25" i="96"/>
  <c r="F25" i="96"/>
  <c r="M18" i="96"/>
  <c r="F2" i="96"/>
  <c r="F18" i="96" s="1"/>
  <c r="F42" i="74"/>
  <c r="H42" i="74"/>
  <c r="G42" i="74"/>
  <c r="F4" i="74"/>
  <c r="F51" i="77"/>
  <c r="H51" i="77"/>
  <c r="G51" i="77"/>
  <c r="F11" i="77"/>
  <c r="F48" i="57"/>
  <c r="H48" i="57"/>
  <c r="G48" i="57"/>
  <c r="F11" i="57"/>
  <c r="F47" i="57"/>
  <c r="H47" i="57"/>
  <c r="G47" i="57"/>
  <c r="F10" i="57"/>
  <c r="H18" i="82"/>
  <c r="F256" i="25"/>
  <c r="H256" i="25"/>
  <c r="G256" i="25"/>
  <c r="K47" i="25"/>
  <c r="F117" i="58"/>
  <c r="H117" i="58"/>
  <c r="G117" i="58"/>
  <c r="K14" i="58"/>
  <c r="F116" i="58"/>
  <c r="H116" i="58"/>
  <c r="G116" i="58"/>
  <c r="K13" i="58"/>
  <c r="C106" i="96"/>
  <c r="H106" i="96"/>
  <c r="K106" i="96"/>
  <c r="M19" i="96"/>
  <c r="C19" i="96"/>
  <c r="K19" i="96"/>
  <c r="F106" i="96"/>
  <c r="H19" i="96"/>
  <c r="M106" i="96"/>
  <c r="F19" i="96"/>
  <c r="Q2" i="96" l="1"/>
  <c r="M87" i="96"/>
  <c r="Q10" i="96" s="1"/>
  <c r="AC54" i="58"/>
  <c r="Q5" i="96" l="1"/>
  <c r="Q3" i="96"/>
  <c r="Q6" i="96" s="1"/>
  <c r="Q8" i="96"/>
  <c r="Q7" i="96" s="1"/>
  <c r="F41" i="74"/>
  <c r="G41" i="74"/>
  <c r="H41" i="74"/>
  <c r="F51" i="81"/>
  <c r="G51" i="81"/>
  <c r="H51" i="81"/>
  <c r="Q9" i="96" l="1"/>
  <c r="A587" i="38"/>
  <c r="D587" i="38"/>
  <c r="E587" i="38"/>
  <c r="G587" i="38"/>
  <c r="H587" i="38"/>
  <c r="K587" i="38"/>
  <c r="L587" i="38" s="1"/>
  <c r="M587" i="38"/>
  <c r="N587" i="38" s="1"/>
  <c r="S587" i="38"/>
  <c r="F255" i="25"/>
  <c r="H255" i="25"/>
  <c r="G255" i="25"/>
  <c r="F65" i="25"/>
  <c r="F26" i="90"/>
  <c r="G26" i="90"/>
  <c r="H26" i="90"/>
  <c r="P587" i="38" l="1"/>
  <c r="O587" i="38"/>
  <c r="Z587" i="38"/>
  <c r="U587" i="38"/>
  <c r="F50" i="77"/>
  <c r="H50" i="77"/>
  <c r="G50" i="77"/>
  <c r="F115" i="58"/>
  <c r="H115" i="58"/>
  <c r="G115" i="58"/>
  <c r="F80" i="51"/>
  <c r="G80" i="51"/>
  <c r="H80" i="51"/>
  <c r="F254" i="25"/>
  <c r="H254" i="25"/>
  <c r="G254" i="25"/>
  <c r="K46" i="25"/>
  <c r="K45" i="25"/>
  <c r="F64" i="25"/>
  <c r="F62" i="25"/>
  <c r="A586" i="38"/>
  <c r="D586" i="38"/>
  <c r="E586" i="38"/>
  <c r="G586" i="38"/>
  <c r="H586" i="38"/>
  <c r="K586" i="38"/>
  <c r="L586" i="38" s="1"/>
  <c r="M586" i="38"/>
  <c r="N586" i="38" s="1"/>
  <c r="S586" i="38"/>
  <c r="O586" i="38" l="1"/>
  <c r="P586" i="38"/>
  <c r="U586" i="38"/>
  <c r="Z586" i="38"/>
  <c r="F46" i="57"/>
  <c r="H46" i="57"/>
  <c r="G46" i="57"/>
  <c r="K6" i="57"/>
  <c r="A585" i="38"/>
  <c r="D585" i="38"/>
  <c r="E585" i="38"/>
  <c r="G585" i="38"/>
  <c r="H585" i="38"/>
  <c r="K585" i="38"/>
  <c r="L585" i="38" s="1"/>
  <c r="M585" i="38"/>
  <c r="N585" i="38" s="1"/>
  <c r="S585" i="38"/>
  <c r="O585" i="38" l="1"/>
  <c r="P585" i="38"/>
  <c r="Z585" i="38"/>
  <c r="U585" i="38"/>
  <c r="A584" i="38"/>
  <c r="D584" i="38"/>
  <c r="E584" i="38"/>
  <c r="G584" i="38"/>
  <c r="H584" i="38"/>
  <c r="K584" i="38"/>
  <c r="L584" i="38" s="1"/>
  <c r="M584" i="38"/>
  <c r="U584" i="38" s="1"/>
  <c r="S584" i="38"/>
  <c r="P584" i="38" l="1"/>
  <c r="N584" i="38"/>
  <c r="F50" i="81"/>
  <c r="H50" i="81"/>
  <c r="G50" i="81"/>
  <c r="F12" i="81"/>
  <c r="F45" i="57"/>
  <c r="H45" i="57"/>
  <c r="G45" i="57"/>
  <c r="F9" i="57"/>
  <c r="F253" i="25"/>
  <c r="H253" i="25"/>
  <c r="G253" i="25"/>
  <c r="K44" i="25"/>
  <c r="A583" i="38"/>
  <c r="D583" i="38"/>
  <c r="E583" i="38"/>
  <c r="G583" i="38"/>
  <c r="H583" i="38"/>
  <c r="K583" i="38"/>
  <c r="L583" i="38" s="1"/>
  <c r="M583" i="38"/>
  <c r="N583" i="38" s="1"/>
  <c r="S583" i="38"/>
  <c r="O584" i="38" l="1"/>
  <c r="P583" i="38"/>
  <c r="Z584" i="38"/>
  <c r="Z583" i="38"/>
  <c r="O583" i="38"/>
  <c r="U583" i="38"/>
  <c r="F66" i="46"/>
  <c r="G66" i="46"/>
  <c r="H66" i="46"/>
  <c r="A582" i="38" l="1"/>
  <c r="D582" i="38"/>
  <c r="E582" i="38"/>
  <c r="G582" i="38"/>
  <c r="H582" i="38"/>
  <c r="K582" i="38"/>
  <c r="L582" i="38" s="1"/>
  <c r="M582" i="38"/>
  <c r="N582" i="38" s="1"/>
  <c r="S582" i="38"/>
  <c r="H25" i="87"/>
  <c r="G25" i="87"/>
  <c r="F25" i="87"/>
  <c r="H212" i="49"/>
  <c r="G212" i="49"/>
  <c r="F212" i="49"/>
  <c r="H211" i="49"/>
  <c r="G211" i="49"/>
  <c r="F211" i="49"/>
  <c r="H210" i="49"/>
  <c r="G210" i="49"/>
  <c r="F210" i="49"/>
  <c r="H209" i="49"/>
  <c r="G209" i="49"/>
  <c r="F209" i="49"/>
  <c r="H208" i="49"/>
  <c r="G208" i="49"/>
  <c r="F208" i="49"/>
  <c r="H207" i="49"/>
  <c r="G207" i="49"/>
  <c r="F207" i="49"/>
  <c r="H206" i="49"/>
  <c r="G206" i="49"/>
  <c r="F206" i="49"/>
  <c r="H205" i="49"/>
  <c r="G205" i="49"/>
  <c r="F205" i="49"/>
  <c r="H204" i="49"/>
  <c r="G204" i="49"/>
  <c r="F204" i="49"/>
  <c r="H203" i="49"/>
  <c r="G203" i="49"/>
  <c r="F203" i="49"/>
  <c r="H202" i="49"/>
  <c r="G202" i="49"/>
  <c r="F202" i="49"/>
  <c r="H201" i="49"/>
  <c r="G201" i="49"/>
  <c r="F201" i="49"/>
  <c r="H200" i="49"/>
  <c r="G200" i="49"/>
  <c r="F200" i="49"/>
  <c r="H199" i="49"/>
  <c r="G199" i="49"/>
  <c r="F199" i="49"/>
  <c r="H198" i="49"/>
  <c r="G198" i="49"/>
  <c r="F198" i="49"/>
  <c r="H197" i="49"/>
  <c r="G197" i="49"/>
  <c r="F197" i="49"/>
  <c r="H196" i="49"/>
  <c r="G196" i="49"/>
  <c r="F196" i="49"/>
  <c r="H195" i="49"/>
  <c r="G195" i="49"/>
  <c r="F195" i="49"/>
  <c r="H194" i="49"/>
  <c r="G194" i="49"/>
  <c r="F194" i="49"/>
  <c r="H193" i="49"/>
  <c r="G193" i="49"/>
  <c r="F193" i="49"/>
  <c r="H192" i="49"/>
  <c r="G192" i="49"/>
  <c r="F192" i="49"/>
  <c r="H191" i="49"/>
  <c r="G191" i="49"/>
  <c r="F191" i="49"/>
  <c r="H190" i="49"/>
  <c r="G190" i="49"/>
  <c r="F190" i="49"/>
  <c r="H189" i="49"/>
  <c r="G189" i="49"/>
  <c r="F189" i="49"/>
  <c r="H188" i="49"/>
  <c r="G188" i="49"/>
  <c r="F188" i="49"/>
  <c r="H187" i="49"/>
  <c r="G187" i="49"/>
  <c r="F187" i="49"/>
  <c r="H186" i="49"/>
  <c r="G186" i="49"/>
  <c r="F186" i="49"/>
  <c r="H185" i="49"/>
  <c r="G185" i="49"/>
  <c r="F185" i="49"/>
  <c r="H184" i="49"/>
  <c r="G184" i="49"/>
  <c r="F184" i="49"/>
  <c r="H183" i="49"/>
  <c r="G183" i="49"/>
  <c r="F183" i="49"/>
  <c r="H182" i="49"/>
  <c r="G182" i="49"/>
  <c r="F182" i="49"/>
  <c r="H181" i="49"/>
  <c r="G181" i="49"/>
  <c r="F181" i="49"/>
  <c r="H180" i="49"/>
  <c r="G180" i="49"/>
  <c r="F180" i="49"/>
  <c r="H179" i="49"/>
  <c r="G179" i="49"/>
  <c r="F179" i="49"/>
  <c r="H178" i="49"/>
  <c r="G178" i="49"/>
  <c r="F178" i="49"/>
  <c r="H177" i="49"/>
  <c r="G177" i="49"/>
  <c r="F177" i="49"/>
  <c r="H176" i="49"/>
  <c r="G176" i="49"/>
  <c r="F176" i="49"/>
  <c r="H175" i="49"/>
  <c r="G175" i="49"/>
  <c r="F175" i="49"/>
  <c r="H174" i="49"/>
  <c r="G174" i="49"/>
  <c r="F174" i="49"/>
  <c r="H173" i="49"/>
  <c r="G173" i="49"/>
  <c r="F173" i="49"/>
  <c r="H172" i="49"/>
  <c r="G172" i="49"/>
  <c r="F172" i="49"/>
  <c r="H171" i="49"/>
  <c r="G171" i="49"/>
  <c r="F171" i="49"/>
  <c r="H170" i="49"/>
  <c r="G170" i="49"/>
  <c r="F170" i="49"/>
  <c r="H169" i="49"/>
  <c r="G169" i="49"/>
  <c r="F169" i="49"/>
  <c r="H168" i="49"/>
  <c r="G168" i="49"/>
  <c r="F168" i="49"/>
  <c r="H167" i="49"/>
  <c r="G167" i="49"/>
  <c r="F167" i="49"/>
  <c r="H166" i="49"/>
  <c r="G166" i="49"/>
  <c r="F166" i="49"/>
  <c r="H165" i="49"/>
  <c r="G165" i="49"/>
  <c r="F165" i="49"/>
  <c r="H164" i="49"/>
  <c r="G164" i="49"/>
  <c r="F164" i="49"/>
  <c r="H163" i="49"/>
  <c r="G163" i="49"/>
  <c r="F163" i="49"/>
  <c r="H162" i="49"/>
  <c r="G162" i="49"/>
  <c r="F162" i="49"/>
  <c r="H161" i="49"/>
  <c r="G161" i="49"/>
  <c r="F161" i="49"/>
  <c r="H160" i="49"/>
  <c r="G160" i="49"/>
  <c r="F160" i="49"/>
  <c r="F49" i="81"/>
  <c r="H49" i="81"/>
  <c r="F48" i="81"/>
  <c r="H48" i="81"/>
  <c r="F27" i="91"/>
  <c r="G27" i="91"/>
  <c r="H27" i="91"/>
  <c r="F28" i="91"/>
  <c r="G28" i="91"/>
  <c r="H28" i="91"/>
  <c r="K2" i="91"/>
  <c r="K18" i="91" s="1"/>
  <c r="F114" i="58"/>
  <c r="H114" i="58"/>
  <c r="F113" i="58"/>
  <c r="H113" i="58"/>
  <c r="G114" i="58"/>
  <c r="K12" i="58"/>
  <c r="F44" i="57"/>
  <c r="H44" i="57"/>
  <c r="G44" i="57"/>
  <c r="K5" i="57"/>
  <c r="F252" i="25"/>
  <c r="G252" i="25"/>
  <c r="H252" i="25"/>
  <c r="F251" i="25"/>
  <c r="H251" i="25"/>
  <c r="F250" i="25"/>
  <c r="H250" i="25"/>
  <c r="F249" i="25"/>
  <c r="H249" i="25"/>
  <c r="K43" i="25"/>
  <c r="F25" i="47"/>
  <c r="G25" i="47"/>
  <c r="H25" i="47"/>
  <c r="F24" i="47"/>
  <c r="G24" i="47"/>
  <c r="H24" i="47"/>
  <c r="K2" i="47"/>
  <c r="K18" i="47" s="1"/>
  <c r="G251" i="25"/>
  <c r="F61" i="25"/>
  <c r="G49" i="81"/>
  <c r="K4" i="81"/>
  <c r="G250" i="25"/>
  <c r="K42" i="25"/>
  <c r="F6" i="47"/>
  <c r="F5" i="91"/>
  <c r="G48" i="81"/>
  <c r="F11" i="81"/>
  <c r="F8" i="57"/>
  <c r="G249" i="25"/>
  <c r="F2" i="49"/>
  <c r="G113" i="58"/>
  <c r="F18" i="58"/>
  <c r="F60" i="25"/>
  <c r="AE11" i="31"/>
  <c r="AG11" i="31"/>
  <c r="AG8" i="31"/>
  <c r="AG9" i="31"/>
  <c r="AF11" i="31"/>
  <c r="AF9" i="31"/>
  <c r="AF8" i="31"/>
  <c r="AF22" i="31"/>
  <c r="AF23" i="31"/>
  <c r="AF25" i="31" s="1"/>
  <c r="AG22" i="31"/>
  <c r="AG23" i="31"/>
  <c r="AG25" i="31" s="1"/>
  <c r="K19" i="47"/>
  <c r="O582" i="38" l="1"/>
  <c r="Z582" i="38"/>
  <c r="AG10" i="31"/>
  <c r="P582" i="38"/>
  <c r="U582" i="38"/>
  <c r="F79" i="51"/>
  <c r="G79" i="51"/>
  <c r="H79" i="51"/>
  <c r="A581" i="38"/>
  <c r="D581" i="38"/>
  <c r="E581" i="38"/>
  <c r="G581" i="38"/>
  <c r="H581" i="38"/>
  <c r="K581" i="38"/>
  <c r="L581" i="38" s="1"/>
  <c r="M581" i="38"/>
  <c r="N581" i="38" s="1"/>
  <c r="S581" i="38"/>
  <c r="F40" i="74"/>
  <c r="G40" i="74"/>
  <c r="H40" i="74"/>
  <c r="F3" i="74"/>
  <c r="F248" i="25"/>
  <c r="H248" i="25"/>
  <c r="G248" i="25"/>
  <c r="F59" i="25"/>
  <c r="F50" i="84"/>
  <c r="H50" i="84"/>
  <c r="G50" i="84"/>
  <c r="F11" i="84"/>
  <c r="M84" i="95"/>
  <c r="K84" i="95"/>
  <c r="H84" i="95"/>
  <c r="F84" i="95"/>
  <c r="C84" i="95"/>
  <c r="P43" i="95"/>
  <c r="P42" i="95"/>
  <c r="P41" i="95"/>
  <c r="P40" i="95"/>
  <c r="P39" i="95"/>
  <c r="P38" i="95"/>
  <c r="P37" i="95"/>
  <c r="P36" i="95"/>
  <c r="P35" i="95"/>
  <c r="P34" i="95"/>
  <c r="P33" i="95"/>
  <c r="P32" i="95"/>
  <c r="P31" i="95"/>
  <c r="P30" i="95"/>
  <c r="P29" i="95"/>
  <c r="P28" i="95"/>
  <c r="P27" i="95"/>
  <c r="P26" i="95"/>
  <c r="P25" i="95"/>
  <c r="H25" i="95"/>
  <c r="G25" i="95"/>
  <c r="F25" i="95"/>
  <c r="P24" i="95"/>
  <c r="P23" i="95"/>
  <c r="M18" i="95"/>
  <c r="K18" i="95"/>
  <c r="H18" i="95"/>
  <c r="C18" i="95"/>
  <c r="F2" i="95"/>
  <c r="F18" i="95" s="1"/>
  <c r="F19" i="95"/>
  <c r="H19" i="95"/>
  <c r="C19" i="95"/>
  <c r="C85" i="95"/>
  <c r="K85" i="95"/>
  <c r="F85" i="95"/>
  <c r="M85" i="95"/>
  <c r="K19" i="95"/>
  <c r="H85" i="95"/>
  <c r="M19" i="95"/>
  <c r="Q2" i="95" l="1"/>
  <c r="Q5" i="95" s="1"/>
  <c r="Z581" i="38"/>
  <c r="P581" i="38"/>
  <c r="M66" i="95"/>
  <c r="Q10" i="95" s="1"/>
  <c r="O581" i="38"/>
  <c r="U581" i="38"/>
  <c r="A580" i="38"/>
  <c r="D580" i="38"/>
  <c r="E580" i="38"/>
  <c r="G580" i="38"/>
  <c r="H580" i="38"/>
  <c r="K580" i="38"/>
  <c r="L580" i="38" s="1"/>
  <c r="M580" i="38"/>
  <c r="N580" i="38" s="1"/>
  <c r="S580" i="38"/>
  <c r="Q8" i="95" l="1"/>
  <c r="Q7" i="95" s="1"/>
  <c r="Q3" i="95"/>
  <c r="Q6" i="95" s="1"/>
  <c r="P580" i="38"/>
  <c r="Z580" i="38"/>
  <c r="O580" i="38"/>
  <c r="U580" i="38"/>
  <c r="G45" i="70"/>
  <c r="F45" i="70"/>
  <c r="H45" i="70"/>
  <c r="F41" i="88"/>
  <c r="H41" i="88"/>
  <c r="G41" i="88"/>
  <c r="A579" i="38"/>
  <c r="D579" i="38"/>
  <c r="E579" i="38"/>
  <c r="G579" i="38"/>
  <c r="H579" i="38"/>
  <c r="K579" i="38"/>
  <c r="L579" i="38" s="1"/>
  <c r="M579" i="38"/>
  <c r="N579" i="38" s="1"/>
  <c r="S579" i="38"/>
  <c r="P37" i="94"/>
  <c r="P36" i="94"/>
  <c r="P35" i="94"/>
  <c r="P34" i="94"/>
  <c r="P33" i="94"/>
  <c r="P32" i="94"/>
  <c r="P31" i="94"/>
  <c r="P30" i="94"/>
  <c r="P29" i="94"/>
  <c r="P28" i="94"/>
  <c r="P27" i="94"/>
  <c r="P26" i="94"/>
  <c r="P25" i="94"/>
  <c r="P24" i="94"/>
  <c r="P23" i="94"/>
  <c r="P22" i="94"/>
  <c r="P21" i="94"/>
  <c r="P20" i="94"/>
  <c r="P19" i="94"/>
  <c r="P18" i="94"/>
  <c r="P17" i="94"/>
  <c r="M18" i="94"/>
  <c r="C18" i="94"/>
  <c r="F18" i="94"/>
  <c r="F47" i="81"/>
  <c r="H47" i="81"/>
  <c r="G47" i="81"/>
  <c r="F9" i="81"/>
  <c r="F78" i="51"/>
  <c r="G78" i="51"/>
  <c r="H78" i="51"/>
  <c r="M19" i="94"/>
  <c r="F85" i="94"/>
  <c r="H85" i="94"/>
  <c r="H19" i="94"/>
  <c r="C85" i="94"/>
  <c r="K19" i="94"/>
  <c r="F19" i="94"/>
  <c r="M85" i="94"/>
  <c r="C19" i="94"/>
  <c r="Q9" i="95" l="1"/>
  <c r="Q2" i="94"/>
  <c r="Q5" i="94" s="1"/>
  <c r="Z579" i="38"/>
  <c r="Q10" i="94"/>
  <c r="O579" i="38"/>
  <c r="P579" i="38"/>
  <c r="U579" i="38"/>
  <c r="F31" i="45"/>
  <c r="G31" i="45"/>
  <c r="H31" i="45"/>
  <c r="F4" i="45"/>
  <c r="F23" i="47"/>
  <c r="G23" i="47"/>
  <c r="H23" i="47"/>
  <c r="F3" i="47"/>
  <c r="F26" i="91"/>
  <c r="G26" i="91"/>
  <c r="H26" i="91"/>
  <c r="F4" i="91"/>
  <c r="M112" i="93"/>
  <c r="K112" i="93"/>
  <c r="H112" i="93"/>
  <c r="F112" i="93"/>
  <c r="C112" i="93"/>
  <c r="P38" i="93"/>
  <c r="P37" i="93"/>
  <c r="P36" i="93"/>
  <c r="P35" i="93"/>
  <c r="P34" i="93"/>
  <c r="P33" i="93"/>
  <c r="P32" i="93"/>
  <c r="P31" i="93"/>
  <c r="P30" i="93"/>
  <c r="P29" i="93"/>
  <c r="P28" i="93"/>
  <c r="P27" i="93"/>
  <c r="P26" i="93"/>
  <c r="P25" i="93"/>
  <c r="P24" i="93"/>
  <c r="P23" i="93"/>
  <c r="P22" i="93"/>
  <c r="P21" i="93"/>
  <c r="P20" i="93"/>
  <c r="P19" i="93"/>
  <c r="P18" i="93"/>
  <c r="H32" i="93"/>
  <c r="G32" i="93"/>
  <c r="F32" i="93"/>
  <c r="M25" i="93"/>
  <c r="F2" i="93"/>
  <c r="F25" i="93" s="1"/>
  <c r="A578" i="38"/>
  <c r="D578" i="38"/>
  <c r="E578" i="38"/>
  <c r="G578" i="38"/>
  <c r="H578" i="38"/>
  <c r="K578" i="38"/>
  <c r="L578" i="38" s="1"/>
  <c r="M578" i="38"/>
  <c r="N578" i="38" s="1"/>
  <c r="S578" i="38"/>
  <c r="F49" i="84"/>
  <c r="H49" i="84"/>
  <c r="G49" i="84"/>
  <c r="F10" i="84"/>
  <c r="F113" i="93"/>
  <c r="H26" i="93"/>
  <c r="K113" i="93"/>
  <c r="C113" i="93"/>
  <c r="H113" i="93"/>
  <c r="M113" i="93"/>
  <c r="M26" i="93"/>
  <c r="F26" i="93"/>
  <c r="Q8" i="94" l="1"/>
  <c r="Q7" i="94" s="1"/>
  <c r="Q3" i="94"/>
  <c r="Q6" i="94" s="1"/>
  <c r="Z578" i="38"/>
  <c r="O578" i="38"/>
  <c r="P578" i="38"/>
  <c r="M94" i="93"/>
  <c r="Q10" i="93" s="1"/>
  <c r="Q2" i="93"/>
  <c r="U578" i="38"/>
  <c r="A577" i="38"/>
  <c r="D577" i="38"/>
  <c r="E577" i="38"/>
  <c r="G577" i="38"/>
  <c r="H577" i="38"/>
  <c r="K577" i="38"/>
  <c r="L577" i="38" s="1"/>
  <c r="M577" i="38"/>
  <c r="N577" i="38" s="1"/>
  <c r="S577" i="38"/>
  <c r="F77" i="51"/>
  <c r="G77" i="51"/>
  <c r="H77" i="51"/>
  <c r="F65" i="43"/>
  <c r="H65" i="43"/>
  <c r="G65" i="43"/>
  <c r="F15" i="43"/>
  <c r="P39" i="92"/>
  <c r="P38" i="92"/>
  <c r="P37" i="92"/>
  <c r="P36" i="92"/>
  <c r="P35" i="92"/>
  <c r="P34" i="92"/>
  <c r="P33" i="92"/>
  <c r="P32" i="92"/>
  <c r="P31" i="92"/>
  <c r="P30" i="92"/>
  <c r="P29" i="92"/>
  <c r="P28" i="92"/>
  <c r="P27" i="92"/>
  <c r="P26" i="92"/>
  <c r="P25" i="92"/>
  <c r="P24" i="92"/>
  <c r="P23" i="92"/>
  <c r="P22" i="92"/>
  <c r="P21" i="92"/>
  <c r="P20" i="92"/>
  <c r="P19" i="92"/>
  <c r="M29" i="92"/>
  <c r="F29" i="92"/>
  <c r="F112" i="58"/>
  <c r="G112" i="58"/>
  <c r="H112" i="58"/>
  <c r="Q2" i="58"/>
  <c r="F17" i="58"/>
  <c r="M84" i="91"/>
  <c r="K84" i="91"/>
  <c r="H84" i="91"/>
  <c r="F84" i="91"/>
  <c r="C84" i="91"/>
  <c r="P43" i="91"/>
  <c r="P42" i="91"/>
  <c r="P41" i="91"/>
  <c r="P40" i="91"/>
  <c r="P39" i="91"/>
  <c r="P38" i="91"/>
  <c r="P37" i="91"/>
  <c r="P36" i="91"/>
  <c r="P35" i="91"/>
  <c r="P34" i="91"/>
  <c r="P33" i="91"/>
  <c r="P32" i="91"/>
  <c r="P31" i="91"/>
  <c r="P30" i="91"/>
  <c r="P29" i="91"/>
  <c r="P28" i="91"/>
  <c r="P27" i="91"/>
  <c r="P26" i="91"/>
  <c r="P25" i="91"/>
  <c r="P24" i="91"/>
  <c r="P23" i="91"/>
  <c r="H25" i="91"/>
  <c r="G25" i="91"/>
  <c r="F25" i="91"/>
  <c r="M18" i="91"/>
  <c r="F2" i="91"/>
  <c r="F18" i="91" s="1"/>
  <c r="H77" i="47"/>
  <c r="G77" i="47"/>
  <c r="F77" i="47"/>
  <c r="H76" i="47"/>
  <c r="G76" i="47"/>
  <c r="F76" i="47"/>
  <c r="H75" i="47"/>
  <c r="G75" i="47"/>
  <c r="F75" i="47"/>
  <c r="H74" i="47"/>
  <c r="G74" i="47"/>
  <c r="F74" i="47"/>
  <c r="H73" i="47"/>
  <c r="G73" i="47"/>
  <c r="F73" i="47"/>
  <c r="H72" i="47"/>
  <c r="G72" i="47"/>
  <c r="F72" i="47"/>
  <c r="H71" i="47"/>
  <c r="G71" i="47"/>
  <c r="F71" i="47"/>
  <c r="H70" i="47"/>
  <c r="G70" i="47"/>
  <c r="F70" i="47"/>
  <c r="F2" i="47"/>
  <c r="F247" i="25"/>
  <c r="H247" i="25"/>
  <c r="G247" i="25"/>
  <c r="F58" i="25"/>
  <c r="A576" i="38"/>
  <c r="D576" i="38"/>
  <c r="E576" i="38"/>
  <c r="G576" i="38"/>
  <c r="H576" i="38"/>
  <c r="K576" i="38"/>
  <c r="L576" i="38" s="1"/>
  <c r="M576" i="38"/>
  <c r="N576" i="38" s="1"/>
  <c r="S576" i="38"/>
  <c r="F46" i="81"/>
  <c r="H46" i="81"/>
  <c r="G46" i="81"/>
  <c r="F8" i="81"/>
  <c r="F40" i="88"/>
  <c r="H40" i="88"/>
  <c r="G40" i="88"/>
  <c r="F5" i="88"/>
  <c r="AA5" i="88" s="1"/>
  <c r="AB5" i="88" s="1"/>
  <c r="F44" i="70"/>
  <c r="H44" i="70"/>
  <c r="G44" i="70"/>
  <c r="F14" i="70"/>
  <c r="F19" i="47"/>
  <c r="M85" i="91"/>
  <c r="C19" i="91"/>
  <c r="K19" i="91"/>
  <c r="H19" i="91"/>
  <c r="M30" i="92"/>
  <c r="M19" i="91"/>
  <c r="F85" i="91"/>
  <c r="F19" i="91"/>
  <c r="H30" i="92"/>
  <c r="H85" i="91"/>
  <c r="C30" i="92"/>
  <c r="K85" i="91"/>
  <c r="F30" i="92"/>
  <c r="K30" i="92"/>
  <c r="C85" i="91"/>
  <c r="Q3" i="93" l="1"/>
  <c r="Q6" i="93" s="1"/>
  <c r="F18" i="47"/>
  <c r="Q9" i="94"/>
  <c r="Q2" i="92"/>
  <c r="Q5" i="92" s="1"/>
  <c r="Q5" i="93"/>
  <c r="Z577" i="38"/>
  <c r="Z576" i="38"/>
  <c r="P577" i="38"/>
  <c r="Q8" i="93"/>
  <c r="Q7" i="93" s="1"/>
  <c r="Q2" i="91"/>
  <c r="Q3" i="91" s="1"/>
  <c r="Q6" i="91" s="1"/>
  <c r="O577" i="38"/>
  <c r="O576" i="38"/>
  <c r="U577" i="38"/>
  <c r="M66" i="91"/>
  <c r="Q10" i="91" s="1"/>
  <c r="P576" i="38"/>
  <c r="U576" i="38"/>
  <c r="A575" i="38"/>
  <c r="D575" i="38"/>
  <c r="E575" i="38"/>
  <c r="G575" i="38"/>
  <c r="H575" i="38"/>
  <c r="K575" i="38"/>
  <c r="L575" i="38" s="1"/>
  <c r="M575" i="38"/>
  <c r="N575" i="38" s="1"/>
  <c r="S575" i="38"/>
  <c r="F111" i="58"/>
  <c r="H111" i="58"/>
  <c r="G111" i="58"/>
  <c r="F16" i="58"/>
  <c r="G43" i="70"/>
  <c r="F43" i="70"/>
  <c r="H43" i="70"/>
  <c r="F13" i="70"/>
  <c r="F76" i="51"/>
  <c r="G76" i="51"/>
  <c r="H76" i="51"/>
  <c r="Q3" i="92" l="1"/>
  <c r="Q6" i="92" s="1"/>
  <c r="Q8" i="92"/>
  <c r="Q7" i="92" s="1"/>
  <c r="Q8" i="91"/>
  <c r="Q9" i="91" s="1"/>
  <c r="Q5" i="91"/>
  <c r="Q9" i="93"/>
  <c r="Z575" i="38"/>
  <c r="O575" i="38"/>
  <c r="P575" i="38"/>
  <c r="U575" i="38"/>
  <c r="A574" i="38"/>
  <c r="D574" i="38"/>
  <c r="E574" i="38"/>
  <c r="G574" i="38"/>
  <c r="H574" i="38"/>
  <c r="K574" i="38"/>
  <c r="L574" i="38" s="1"/>
  <c r="M574" i="38"/>
  <c r="N574" i="38" s="1"/>
  <c r="S574" i="38"/>
  <c r="F246" i="25"/>
  <c r="H246" i="25"/>
  <c r="G246" i="25"/>
  <c r="F57" i="25"/>
  <c r="F56" i="25"/>
  <c r="F49" i="77"/>
  <c r="H49" i="77"/>
  <c r="G49" i="77"/>
  <c r="F10" i="77"/>
  <c r="F43" i="57"/>
  <c r="H43" i="57"/>
  <c r="G43" i="57"/>
  <c r="F7" i="57"/>
  <c r="F39" i="88"/>
  <c r="H39" i="88"/>
  <c r="G39" i="88"/>
  <c r="F3" i="88"/>
  <c r="AA3" i="88" s="1"/>
  <c r="AB3" i="88" s="1"/>
  <c r="F4" i="88"/>
  <c r="AA4" i="88" s="1"/>
  <c r="AB4" i="88" s="1"/>
  <c r="Q7" i="91" l="1"/>
  <c r="Z574" i="38"/>
  <c r="Q9" i="92"/>
  <c r="P574" i="38"/>
  <c r="O574" i="38"/>
  <c r="U574" i="38"/>
  <c r="F38" i="88"/>
  <c r="G38" i="88"/>
  <c r="H38" i="88"/>
  <c r="A573" i="38"/>
  <c r="D573" i="38"/>
  <c r="E573" i="38"/>
  <c r="G573" i="38"/>
  <c r="H573" i="38"/>
  <c r="K573" i="38"/>
  <c r="L573" i="38" s="1"/>
  <c r="M573" i="38"/>
  <c r="U573" i="38" s="1"/>
  <c r="S573" i="38"/>
  <c r="K68" i="87"/>
  <c r="F68" i="87"/>
  <c r="N573" i="38" l="1"/>
  <c r="P573" i="38"/>
  <c r="F245" i="25"/>
  <c r="G245" i="25"/>
  <c r="H245" i="25"/>
  <c r="O573" i="38" l="1"/>
  <c r="Z573" i="38"/>
  <c r="A572" i="38"/>
  <c r="D572" i="38"/>
  <c r="E572" i="38"/>
  <c r="G572" i="38"/>
  <c r="H572" i="38"/>
  <c r="K572" i="38"/>
  <c r="L572" i="38" s="1"/>
  <c r="M572" i="38"/>
  <c r="N572" i="38" s="1"/>
  <c r="S572" i="38"/>
  <c r="F75" i="51"/>
  <c r="G75" i="51"/>
  <c r="H75" i="51"/>
  <c r="F110" i="58"/>
  <c r="H110" i="58"/>
  <c r="G110" i="58"/>
  <c r="K11" i="58"/>
  <c r="F42" i="70"/>
  <c r="H42" i="70"/>
  <c r="G42" i="70"/>
  <c r="K7" i="70"/>
  <c r="F65" i="46"/>
  <c r="H65" i="46"/>
  <c r="G65" i="46"/>
  <c r="K8" i="46"/>
  <c r="K88" i="31"/>
  <c r="F88" i="31"/>
  <c r="K87" i="31"/>
  <c r="F87" i="31"/>
  <c r="K86" i="31"/>
  <c r="F86" i="31"/>
  <c r="K85" i="31"/>
  <c r="F85" i="31"/>
  <c r="K84" i="31"/>
  <c r="F84" i="31"/>
  <c r="K83" i="31"/>
  <c r="F83" i="31"/>
  <c r="F64" i="46"/>
  <c r="H64" i="46"/>
  <c r="G64" i="46"/>
  <c r="F11" i="46"/>
  <c r="K7" i="46"/>
  <c r="AE8" i="31"/>
  <c r="AE9" i="31"/>
  <c r="AF10" i="31" s="1"/>
  <c r="AE22" i="31"/>
  <c r="AE23" i="31"/>
  <c r="AF24" i="31" s="1"/>
  <c r="F74" i="51"/>
  <c r="H74" i="51"/>
  <c r="G74" i="51"/>
  <c r="F63" i="46"/>
  <c r="H63" i="46"/>
  <c r="G63" i="46"/>
  <c r="F14" i="46"/>
  <c r="F244" i="25"/>
  <c r="G244" i="25"/>
  <c r="H244" i="25"/>
  <c r="A571" i="38"/>
  <c r="D571" i="38"/>
  <c r="E571" i="38"/>
  <c r="G571" i="38"/>
  <c r="H571" i="38"/>
  <c r="K571" i="38"/>
  <c r="L571" i="38" s="1"/>
  <c r="M571" i="38"/>
  <c r="N571" i="38" s="1"/>
  <c r="S571" i="38"/>
  <c r="F55" i="25"/>
  <c r="Z572" i="38" l="1"/>
  <c r="Z571" i="38"/>
  <c r="O572" i="38"/>
  <c r="P572" i="38"/>
  <c r="AE25" i="31"/>
  <c r="AG24" i="31"/>
  <c r="U572" i="38"/>
  <c r="O571" i="38"/>
  <c r="P571" i="38"/>
  <c r="U571" i="38"/>
  <c r="F39" i="74"/>
  <c r="G39" i="74"/>
  <c r="H39" i="74"/>
  <c r="F45" i="81"/>
  <c r="G45" i="81"/>
  <c r="H45" i="81"/>
  <c r="F42" i="57"/>
  <c r="H42" i="57"/>
  <c r="G42" i="57"/>
  <c r="F35" i="86"/>
  <c r="H35" i="86"/>
  <c r="G35" i="86"/>
  <c r="F48" i="77"/>
  <c r="H48" i="77"/>
  <c r="G48" i="77"/>
  <c r="K7" i="77"/>
  <c r="A570" i="38"/>
  <c r="D570" i="38"/>
  <c r="E570" i="38"/>
  <c r="G570" i="38"/>
  <c r="H570" i="38"/>
  <c r="K570" i="38"/>
  <c r="L570" i="38" s="1"/>
  <c r="M570" i="38"/>
  <c r="N570" i="38" s="1"/>
  <c r="S570" i="38"/>
  <c r="Z570" i="38" l="1"/>
  <c r="O570" i="38"/>
  <c r="P570" i="38"/>
  <c r="U570" i="38"/>
  <c r="F41" i="57"/>
  <c r="H41" i="57"/>
  <c r="G41" i="57"/>
  <c r="F54" i="25"/>
  <c r="F73" i="51"/>
  <c r="G73" i="51"/>
  <c r="H73" i="51"/>
  <c r="F243" i="25"/>
  <c r="H243" i="25"/>
  <c r="G243" i="25"/>
  <c r="K41" i="25"/>
  <c r="F44" i="81"/>
  <c r="H44" i="81"/>
  <c r="G44" i="81"/>
  <c r="F7" i="81"/>
  <c r="A569" i="38"/>
  <c r="D569" i="38"/>
  <c r="E569" i="38"/>
  <c r="G569" i="38"/>
  <c r="H569" i="38"/>
  <c r="K569" i="38"/>
  <c r="L569" i="38" s="1"/>
  <c r="M569" i="38"/>
  <c r="N569" i="38" s="1"/>
  <c r="S569" i="38"/>
  <c r="Z569" i="38" l="1"/>
  <c r="O569" i="38"/>
  <c r="P569" i="38"/>
  <c r="U569" i="38"/>
  <c r="A568" i="38"/>
  <c r="D568" i="38"/>
  <c r="E568" i="38"/>
  <c r="G568" i="38"/>
  <c r="H568" i="38"/>
  <c r="K568" i="38"/>
  <c r="L568" i="38" s="1"/>
  <c r="M568" i="38"/>
  <c r="N568" i="38" s="1"/>
  <c r="S568" i="38"/>
  <c r="F72" i="51"/>
  <c r="G72" i="51"/>
  <c r="H72" i="51"/>
  <c r="F43" i="81"/>
  <c r="H43" i="81"/>
  <c r="G43" i="81"/>
  <c r="F6" i="81"/>
  <c r="Z568" i="38" l="1"/>
  <c r="O568" i="38"/>
  <c r="P568" i="38"/>
  <c r="U568" i="38"/>
  <c r="F40" i="57"/>
  <c r="H40" i="57"/>
  <c r="G40" i="57"/>
  <c r="F109" i="58"/>
  <c r="H109" i="58"/>
  <c r="G109" i="58"/>
  <c r="AD8" i="31" l="1"/>
  <c r="AD9" i="31"/>
  <c r="AE10" i="31" s="1"/>
  <c r="AD11" i="31"/>
  <c r="AD22" i="31"/>
  <c r="AD23" i="31"/>
  <c r="AD25" i="31" l="1"/>
  <c r="AE24" i="31"/>
  <c r="A567" i="38"/>
  <c r="D567" i="38"/>
  <c r="E567" i="38"/>
  <c r="G567" i="38"/>
  <c r="H567" i="38"/>
  <c r="K567" i="38"/>
  <c r="L567" i="38" s="1"/>
  <c r="P567" i="38" s="1"/>
  <c r="M567" i="38"/>
  <c r="N567" i="38" s="1"/>
  <c r="S567" i="38"/>
  <c r="F71" i="51"/>
  <c r="G71" i="51"/>
  <c r="H71" i="51"/>
  <c r="Z567" i="38" l="1"/>
  <c r="O567" i="38"/>
  <c r="U567" i="38"/>
  <c r="F108" i="58"/>
  <c r="H108" i="58"/>
  <c r="G108" i="58"/>
  <c r="K10" i="58"/>
  <c r="A566" i="38"/>
  <c r="D566" i="38"/>
  <c r="E566" i="38"/>
  <c r="G566" i="38"/>
  <c r="H566" i="38"/>
  <c r="K566" i="38"/>
  <c r="L566" i="38" s="1"/>
  <c r="M566" i="38"/>
  <c r="N566" i="38" s="1"/>
  <c r="S566" i="38"/>
  <c r="Z566" i="38" l="1"/>
  <c r="P566" i="38"/>
  <c r="O566" i="38"/>
  <c r="U566" i="38"/>
  <c r="F92" i="87"/>
  <c r="G92" i="87"/>
  <c r="H92" i="87"/>
  <c r="F34" i="78"/>
  <c r="H34" i="78"/>
  <c r="G34" i="78"/>
  <c r="F48" i="84"/>
  <c r="G48" i="84"/>
  <c r="H48" i="84"/>
  <c r="F37" i="88"/>
  <c r="G37" i="88"/>
  <c r="H37" i="88"/>
  <c r="F30" i="45"/>
  <c r="G30" i="45"/>
  <c r="H30" i="45"/>
  <c r="F70" i="51"/>
  <c r="G70" i="51"/>
  <c r="H70" i="51"/>
  <c r="F34" i="86"/>
  <c r="G34" i="86"/>
  <c r="H34" i="86"/>
  <c r="A565" i="38"/>
  <c r="D565" i="38"/>
  <c r="E565" i="38"/>
  <c r="G565" i="38"/>
  <c r="H565" i="38"/>
  <c r="K565" i="38"/>
  <c r="L565" i="38" s="1"/>
  <c r="M565" i="38"/>
  <c r="N565" i="38" s="1"/>
  <c r="S565" i="38"/>
  <c r="F242" i="25"/>
  <c r="H242" i="25"/>
  <c r="G242" i="25"/>
  <c r="K40" i="25"/>
  <c r="F241" i="25"/>
  <c r="H241" i="25"/>
  <c r="G241" i="25"/>
  <c r="K39" i="25"/>
  <c r="F53" i="25"/>
  <c r="Z565" i="38" l="1"/>
  <c r="O565" i="38"/>
  <c r="U565" i="38"/>
  <c r="P565" i="38"/>
  <c r="Q11" i="89"/>
  <c r="F240" i="25"/>
  <c r="H240" i="25"/>
  <c r="G240" i="25"/>
  <c r="F52" i="25"/>
  <c r="A564" i="38"/>
  <c r="D564" i="38"/>
  <c r="E564" i="38"/>
  <c r="G564" i="38"/>
  <c r="H564" i="38"/>
  <c r="K564" i="38"/>
  <c r="L564" i="38" s="1"/>
  <c r="M564" i="38"/>
  <c r="N564" i="38" s="1"/>
  <c r="S564" i="38"/>
  <c r="F239" i="25"/>
  <c r="H239" i="25"/>
  <c r="G239" i="25"/>
  <c r="F51" i="25"/>
  <c r="F107" i="58"/>
  <c r="H107" i="58"/>
  <c r="G107" i="58"/>
  <c r="F15" i="58"/>
  <c r="H38" i="74"/>
  <c r="G38" i="74"/>
  <c r="F38" i="74"/>
  <c r="F2" i="74"/>
  <c r="Z564" i="38" l="1"/>
  <c r="P564" i="38"/>
  <c r="O564" i="38"/>
  <c r="U564" i="38"/>
  <c r="R11" i="84"/>
  <c r="Q11" i="84" s="1"/>
  <c r="R11" i="46" l="1"/>
  <c r="Q11" i="46" s="1"/>
  <c r="Q11" i="51"/>
  <c r="R11" i="25"/>
  <c r="Q11" i="25" s="1"/>
  <c r="R11" i="88"/>
  <c r="Q11" i="88" s="1"/>
  <c r="Q11" i="57"/>
  <c r="Q11" i="86"/>
  <c r="AC8" i="31"/>
  <c r="AC9" i="31"/>
  <c r="AD10" i="31" s="1"/>
  <c r="AC11" i="31"/>
  <c r="AC22" i="31"/>
  <c r="AC23" i="31"/>
  <c r="AD24" i="31" s="1"/>
  <c r="P41" i="70"/>
  <c r="P40" i="70"/>
  <c r="P39" i="70"/>
  <c r="P38" i="70"/>
  <c r="P37" i="70"/>
  <c r="P36" i="70"/>
  <c r="P35" i="70"/>
  <c r="P34" i="70"/>
  <c r="P33" i="70"/>
  <c r="P32" i="70"/>
  <c r="P31" i="70"/>
  <c r="P30" i="70"/>
  <c r="P29" i="70"/>
  <c r="P28" i="70"/>
  <c r="P27" i="70"/>
  <c r="P26" i="70"/>
  <c r="P25" i="70"/>
  <c r="P24" i="70"/>
  <c r="F106" i="58"/>
  <c r="G106" i="58"/>
  <c r="H106" i="58"/>
  <c r="AC25" i="31" l="1"/>
  <c r="F238" i="25"/>
  <c r="H238" i="25"/>
  <c r="G238" i="25"/>
  <c r="K38" i="25"/>
  <c r="F69" i="51"/>
  <c r="G69" i="51"/>
  <c r="H69" i="51"/>
  <c r="K131" i="74"/>
  <c r="F131" i="74"/>
  <c r="K130" i="74"/>
  <c r="F130" i="74"/>
  <c r="K129" i="74"/>
  <c r="F129" i="74"/>
  <c r="K128" i="74"/>
  <c r="F128" i="74"/>
  <c r="M127" i="74"/>
  <c r="M140" i="74" s="1"/>
  <c r="K127" i="74"/>
  <c r="F127" i="74"/>
  <c r="K126" i="74"/>
  <c r="F126" i="74"/>
  <c r="K125" i="74"/>
  <c r="F125" i="74"/>
  <c r="K124" i="74"/>
  <c r="F124" i="74"/>
  <c r="K123" i="74"/>
  <c r="F123" i="74"/>
  <c r="H170" i="74"/>
  <c r="G170" i="74"/>
  <c r="F170" i="74"/>
  <c r="H169" i="74"/>
  <c r="G169" i="74"/>
  <c r="F169" i="74"/>
  <c r="H168" i="74"/>
  <c r="G168" i="74"/>
  <c r="F168" i="74"/>
  <c r="H167" i="74"/>
  <c r="G167" i="74"/>
  <c r="F167" i="74"/>
  <c r="H166" i="74"/>
  <c r="G166" i="74"/>
  <c r="F166" i="74"/>
  <c r="H165" i="74"/>
  <c r="G165" i="74"/>
  <c r="F165" i="74"/>
  <c r="H164" i="74"/>
  <c r="G164" i="74"/>
  <c r="F164" i="74"/>
  <c r="H163" i="74"/>
  <c r="G163" i="74"/>
  <c r="F163" i="74"/>
  <c r="H162" i="74"/>
  <c r="G162" i="74"/>
  <c r="F162" i="74"/>
  <c r="H161" i="74"/>
  <c r="G161" i="74"/>
  <c r="F161" i="74"/>
  <c r="H160" i="74"/>
  <c r="G160" i="74"/>
  <c r="F160" i="74"/>
  <c r="H159" i="74"/>
  <c r="G159" i="74"/>
  <c r="F159" i="74"/>
  <c r="H158" i="74"/>
  <c r="G158" i="74"/>
  <c r="F158" i="74"/>
  <c r="H157" i="74"/>
  <c r="G157" i="74"/>
  <c r="F157" i="74"/>
  <c r="H156" i="74"/>
  <c r="G156" i="74"/>
  <c r="F156" i="74"/>
  <c r="H155" i="74"/>
  <c r="G155" i="74"/>
  <c r="F155" i="74"/>
  <c r="H154" i="74"/>
  <c r="G154" i="74"/>
  <c r="F154" i="74"/>
  <c r="H153" i="74"/>
  <c r="G153" i="74"/>
  <c r="F153" i="74"/>
  <c r="H152" i="74"/>
  <c r="G152" i="74"/>
  <c r="F152" i="74"/>
  <c r="H151" i="74"/>
  <c r="G151" i="74"/>
  <c r="F151" i="74"/>
  <c r="H149" i="74"/>
  <c r="G149" i="74"/>
  <c r="F149" i="74"/>
  <c r="H148" i="74"/>
  <c r="G148" i="74"/>
  <c r="F148" i="74"/>
  <c r="H147" i="74"/>
  <c r="G147" i="74"/>
  <c r="F147" i="74"/>
  <c r="Q11" i="43"/>
  <c r="F4" i="81"/>
  <c r="F42" i="81"/>
  <c r="H42" i="81"/>
  <c r="G42" i="81"/>
  <c r="K3" i="81"/>
  <c r="F47" i="77"/>
  <c r="H47" i="77"/>
  <c r="G47" i="77"/>
  <c r="K6" i="77"/>
  <c r="A563" i="38"/>
  <c r="D563" i="38"/>
  <c r="E563" i="38"/>
  <c r="G563" i="38"/>
  <c r="H563" i="38"/>
  <c r="K563" i="38"/>
  <c r="L563" i="38" s="1"/>
  <c r="M563" i="38"/>
  <c r="N563" i="38" s="1"/>
  <c r="S563" i="38"/>
  <c r="Z563" i="38" l="1"/>
  <c r="P563" i="38"/>
  <c r="O563" i="38"/>
  <c r="U563" i="38"/>
  <c r="F237" i="25"/>
  <c r="H237" i="25"/>
  <c r="G237" i="25"/>
  <c r="K37" i="25"/>
  <c r="K36" i="25"/>
  <c r="K70" i="75"/>
  <c r="F70" i="75"/>
  <c r="H112" i="75"/>
  <c r="G112" i="75"/>
  <c r="F112" i="75"/>
  <c r="H111" i="75"/>
  <c r="G111" i="75"/>
  <c r="F111" i="75"/>
  <c r="H110" i="75"/>
  <c r="G110" i="75"/>
  <c r="F110" i="75"/>
  <c r="H109" i="75"/>
  <c r="G109" i="75"/>
  <c r="F109" i="75"/>
  <c r="H108" i="75"/>
  <c r="G108" i="75"/>
  <c r="F108" i="75"/>
  <c r="A562" i="38"/>
  <c r="D562" i="38"/>
  <c r="E562" i="38"/>
  <c r="G562" i="38"/>
  <c r="H562" i="38"/>
  <c r="K562" i="38"/>
  <c r="L562" i="38" s="1"/>
  <c r="M562" i="38"/>
  <c r="N562" i="38" s="1"/>
  <c r="S562" i="38"/>
  <c r="Z562" i="38" l="1"/>
  <c r="P562" i="38"/>
  <c r="O562" i="38"/>
  <c r="U562" i="38"/>
  <c r="G41" i="70"/>
  <c r="F41" i="70"/>
  <c r="H41" i="70"/>
  <c r="F105" i="58"/>
  <c r="H105" i="58"/>
  <c r="G105" i="58"/>
  <c r="F62" i="46"/>
  <c r="G62" i="46"/>
  <c r="H62" i="46"/>
  <c r="A561" i="38"/>
  <c r="D561" i="38"/>
  <c r="E561" i="38"/>
  <c r="G561" i="38"/>
  <c r="H561" i="38"/>
  <c r="K561" i="38"/>
  <c r="L561" i="38" s="1"/>
  <c r="M561" i="38"/>
  <c r="N561" i="38" s="1"/>
  <c r="S561" i="38"/>
  <c r="Z561" i="38" l="1"/>
  <c r="P561" i="38"/>
  <c r="O561" i="38"/>
  <c r="U561" i="38"/>
  <c r="R11" i="31"/>
  <c r="Q11" i="31" s="1"/>
  <c r="AB8" i="31"/>
  <c r="AB9" i="31"/>
  <c r="AC10" i="31" s="1"/>
  <c r="AB11" i="31"/>
  <c r="AB22" i="31"/>
  <c r="AB23" i="31"/>
  <c r="AC24" i="31" s="1"/>
  <c r="AA22" i="31"/>
  <c r="F236" i="25"/>
  <c r="G236" i="25"/>
  <c r="H236" i="25"/>
  <c r="AB25" i="31" l="1"/>
  <c r="A560" i="38"/>
  <c r="D560" i="38"/>
  <c r="E560" i="38"/>
  <c r="G560" i="38"/>
  <c r="H560" i="38"/>
  <c r="K560" i="38"/>
  <c r="L560" i="38" s="1"/>
  <c r="M560" i="38"/>
  <c r="N560" i="38" s="1"/>
  <c r="S560" i="38"/>
  <c r="Z560" i="38" l="1"/>
  <c r="O560" i="38"/>
  <c r="U560" i="38"/>
  <c r="P560" i="38"/>
  <c r="F91" i="87"/>
  <c r="G91" i="87"/>
  <c r="H91" i="87"/>
  <c r="F47" i="84"/>
  <c r="G47" i="84"/>
  <c r="H47" i="84"/>
  <c r="F29" i="45"/>
  <c r="G29" i="45"/>
  <c r="H29" i="45"/>
  <c r="F40" i="70"/>
  <c r="G40" i="70"/>
  <c r="H40" i="70"/>
  <c r="F68" i="51"/>
  <c r="G68" i="51"/>
  <c r="H68" i="51"/>
  <c r="F41" i="81"/>
  <c r="H41" i="81"/>
  <c r="G41" i="81"/>
  <c r="F5" i="81"/>
  <c r="A559" i="38"/>
  <c r="D559" i="38"/>
  <c r="E559" i="38"/>
  <c r="G559" i="38"/>
  <c r="H559" i="38"/>
  <c r="K559" i="38"/>
  <c r="L559" i="38" s="1"/>
  <c r="M559" i="38"/>
  <c r="N559" i="38" s="1"/>
  <c r="S559" i="38"/>
  <c r="Z559" i="38" l="1"/>
  <c r="P559" i="38"/>
  <c r="O559" i="38"/>
  <c r="U559" i="38"/>
  <c r="F90" i="87"/>
  <c r="G90" i="87"/>
  <c r="H90" i="87"/>
  <c r="F33" i="78"/>
  <c r="G33" i="78"/>
  <c r="H33" i="78"/>
  <c r="F40" i="81"/>
  <c r="G40" i="81"/>
  <c r="H40" i="81"/>
  <c r="F33" i="86"/>
  <c r="G33" i="86"/>
  <c r="H33" i="86"/>
  <c r="F36" i="88"/>
  <c r="G36" i="88"/>
  <c r="H36" i="88"/>
  <c r="F39" i="57"/>
  <c r="G39" i="57"/>
  <c r="H39" i="57"/>
  <c r="F46" i="77"/>
  <c r="G46" i="77"/>
  <c r="H46" i="77"/>
  <c r="F235" i="25"/>
  <c r="G235" i="25"/>
  <c r="H235" i="25"/>
  <c r="A558" i="38"/>
  <c r="D558" i="38"/>
  <c r="E558" i="38"/>
  <c r="G558" i="38"/>
  <c r="H558" i="38"/>
  <c r="K558" i="38"/>
  <c r="L558" i="38" s="1"/>
  <c r="M558" i="38"/>
  <c r="N558" i="38" s="1"/>
  <c r="S558" i="38"/>
  <c r="K50" i="79"/>
  <c r="F50" i="79"/>
  <c r="H75" i="79"/>
  <c r="G75" i="79"/>
  <c r="F75" i="79"/>
  <c r="H74" i="79"/>
  <c r="G74" i="79"/>
  <c r="F74" i="79"/>
  <c r="F46" i="84"/>
  <c r="H46" i="84"/>
  <c r="G46" i="84"/>
  <c r="K6" i="84"/>
  <c r="R11" i="90"/>
  <c r="Q11" i="90" s="1"/>
  <c r="M84" i="90"/>
  <c r="K84" i="90"/>
  <c r="H84" i="90"/>
  <c r="F84" i="90"/>
  <c r="C84" i="90"/>
  <c r="P39" i="90"/>
  <c r="P38" i="90"/>
  <c r="P37" i="90"/>
  <c r="P36" i="90"/>
  <c r="P35" i="90"/>
  <c r="P34" i="90"/>
  <c r="P33" i="90"/>
  <c r="P32" i="90"/>
  <c r="P31" i="90"/>
  <c r="P30" i="90"/>
  <c r="P29" i="90"/>
  <c r="P28" i="90"/>
  <c r="P27" i="90"/>
  <c r="P26" i="90"/>
  <c r="P25" i="90"/>
  <c r="P24" i="90"/>
  <c r="P23" i="90"/>
  <c r="P22" i="90"/>
  <c r="P21" i="90"/>
  <c r="P20" i="90"/>
  <c r="P19" i="90"/>
  <c r="H25" i="90"/>
  <c r="G25" i="90"/>
  <c r="F25" i="90"/>
  <c r="M18" i="90"/>
  <c r="F2" i="90"/>
  <c r="F18" i="90" s="1"/>
  <c r="F67" i="51"/>
  <c r="G67" i="51"/>
  <c r="H67" i="51"/>
  <c r="M19" i="90"/>
  <c r="F85" i="90"/>
  <c r="F19" i="90"/>
  <c r="K19" i="90"/>
  <c r="M85" i="90"/>
  <c r="C19" i="90"/>
  <c r="H85" i="90"/>
  <c r="H19" i="90"/>
  <c r="C85" i="90"/>
  <c r="K85" i="90"/>
  <c r="Z558" i="38" l="1"/>
  <c r="Q2" i="90"/>
  <c r="Q5" i="90" s="1"/>
  <c r="M66" i="90"/>
  <c r="Q10" i="90" s="1"/>
  <c r="O558" i="38"/>
  <c r="P558" i="38"/>
  <c r="U558" i="38"/>
  <c r="A557" i="38"/>
  <c r="D557" i="38"/>
  <c r="E557" i="38"/>
  <c r="G557" i="38"/>
  <c r="H557" i="38"/>
  <c r="K557" i="38"/>
  <c r="L557" i="38" s="1"/>
  <c r="M557" i="38"/>
  <c r="U557" i="38" s="1"/>
  <c r="S557" i="38"/>
  <c r="F45" i="77"/>
  <c r="G45" i="77"/>
  <c r="H45" i="77"/>
  <c r="F7" i="77"/>
  <c r="K5" i="77"/>
  <c r="F45" i="84"/>
  <c r="H45" i="84"/>
  <c r="G45" i="84"/>
  <c r="F9" i="84"/>
  <c r="F234" i="25"/>
  <c r="H234" i="25"/>
  <c r="G234" i="25"/>
  <c r="K35" i="25"/>
  <c r="F66" i="51"/>
  <c r="G66" i="51"/>
  <c r="H66" i="51"/>
  <c r="F65" i="51"/>
  <c r="G65" i="51"/>
  <c r="H65" i="51"/>
  <c r="Q8" i="90" l="1"/>
  <c r="Q7" i="90" s="1"/>
  <c r="N557" i="38"/>
  <c r="Z557" i="38" s="1"/>
  <c r="Q3" i="90"/>
  <c r="Q6" i="90" s="1"/>
  <c r="Q9" i="90" s="1"/>
  <c r="P557" i="38"/>
  <c r="F32" i="86"/>
  <c r="G32" i="86"/>
  <c r="H32" i="86"/>
  <c r="F61" i="46"/>
  <c r="G61" i="46"/>
  <c r="H61" i="46"/>
  <c r="F64" i="51"/>
  <c r="G64" i="51"/>
  <c r="H64" i="51"/>
  <c r="F233" i="25"/>
  <c r="G233" i="25"/>
  <c r="H233" i="25"/>
  <c r="A556" i="38"/>
  <c r="D556" i="38"/>
  <c r="E556" i="38"/>
  <c r="G556" i="38"/>
  <c r="H556" i="38"/>
  <c r="K556" i="38"/>
  <c r="L556" i="38" s="1"/>
  <c r="M556" i="38"/>
  <c r="N556" i="38" s="1"/>
  <c r="S556" i="38"/>
  <c r="F39" i="81"/>
  <c r="G39" i="81"/>
  <c r="H39" i="81"/>
  <c r="K2" i="81"/>
  <c r="K29" i="81" s="1"/>
  <c r="F39" i="70"/>
  <c r="H39" i="70"/>
  <c r="G39" i="70"/>
  <c r="F12" i="70"/>
  <c r="K30" i="81"/>
  <c r="O557" i="38" l="1"/>
  <c r="Z556" i="38"/>
  <c r="O556" i="38"/>
  <c r="U556" i="38"/>
  <c r="P556" i="38"/>
  <c r="F38" i="81"/>
  <c r="G38" i="81"/>
  <c r="H38" i="81"/>
  <c r="F38" i="57"/>
  <c r="H38" i="57"/>
  <c r="G38" i="57"/>
  <c r="F44" i="77"/>
  <c r="H44" i="77"/>
  <c r="G44" i="77"/>
  <c r="F232" i="25"/>
  <c r="H232" i="25"/>
  <c r="G232" i="25"/>
  <c r="K34" i="25"/>
  <c r="R11" i="58"/>
  <c r="Q11" i="58" s="1"/>
  <c r="F104" i="58"/>
  <c r="H104" i="58"/>
  <c r="G104" i="58"/>
  <c r="K9" i="58"/>
  <c r="F63" i="51"/>
  <c r="G63" i="51"/>
  <c r="H63" i="51"/>
  <c r="P39" i="89"/>
  <c r="P38" i="89"/>
  <c r="P37" i="89"/>
  <c r="P36" i="89"/>
  <c r="P35" i="89"/>
  <c r="P34" i="89"/>
  <c r="P33" i="89"/>
  <c r="P32" i="89"/>
  <c r="P31" i="89"/>
  <c r="P30" i="89"/>
  <c r="P29" i="89"/>
  <c r="P28" i="89"/>
  <c r="P27" i="89"/>
  <c r="P26" i="89"/>
  <c r="P25" i="89"/>
  <c r="P24" i="89"/>
  <c r="P23" i="89"/>
  <c r="P22" i="89"/>
  <c r="P21" i="89"/>
  <c r="P20" i="89"/>
  <c r="P19" i="89"/>
  <c r="H25" i="89"/>
  <c r="G25" i="89"/>
  <c r="F25" i="89"/>
  <c r="H18" i="89"/>
  <c r="A555" i="38"/>
  <c r="E555" i="38"/>
  <c r="G555" i="38"/>
  <c r="H555" i="38"/>
  <c r="K555" i="38"/>
  <c r="L555" i="38" s="1"/>
  <c r="M555" i="38"/>
  <c r="U555" i="38" s="1"/>
  <c r="S555" i="38"/>
  <c r="H85" i="89"/>
  <c r="C85" i="89"/>
  <c r="F85" i="89"/>
  <c r="H19" i="89"/>
  <c r="K85" i="89"/>
  <c r="M19" i="89"/>
  <c r="M85" i="89"/>
  <c r="H18" i="51"/>
  <c r="Q2" i="89" l="1"/>
  <c r="Q5" i="89" s="1"/>
  <c r="M66" i="89"/>
  <c r="P555" i="38"/>
  <c r="N555" i="38"/>
  <c r="A554" i="38"/>
  <c r="D554" i="38"/>
  <c r="E554" i="38"/>
  <c r="G554" i="38"/>
  <c r="H554" i="38"/>
  <c r="K554" i="38"/>
  <c r="L554" i="38" s="1"/>
  <c r="M554" i="38"/>
  <c r="N554" i="38" s="1"/>
  <c r="S554" i="38"/>
  <c r="F2" i="31"/>
  <c r="M123" i="88"/>
  <c r="K123" i="88"/>
  <c r="H123" i="88"/>
  <c r="F123" i="88"/>
  <c r="C123" i="88"/>
  <c r="P39" i="88"/>
  <c r="P38" i="88"/>
  <c r="P37" i="88"/>
  <c r="P36" i="88"/>
  <c r="P35" i="88"/>
  <c r="P34" i="88"/>
  <c r="P33" i="88"/>
  <c r="P32" i="88"/>
  <c r="P31" i="88"/>
  <c r="P30" i="88"/>
  <c r="P29" i="88"/>
  <c r="P28" i="88"/>
  <c r="P27" i="88"/>
  <c r="P26" i="88"/>
  <c r="P25" i="88"/>
  <c r="P24" i="88"/>
  <c r="P23" i="88"/>
  <c r="P22" i="88"/>
  <c r="P21" i="88"/>
  <c r="P20" i="88"/>
  <c r="P19" i="88"/>
  <c r="H35" i="88"/>
  <c r="G35" i="88"/>
  <c r="F35" i="88"/>
  <c r="M28" i="88"/>
  <c r="F2" i="88"/>
  <c r="F28" i="88" s="1"/>
  <c r="M84" i="87"/>
  <c r="K84" i="87"/>
  <c r="H84" i="87"/>
  <c r="F84" i="87"/>
  <c r="C84" i="87"/>
  <c r="P35" i="87"/>
  <c r="P34" i="87"/>
  <c r="P33" i="87"/>
  <c r="P32" i="87"/>
  <c r="P31" i="87"/>
  <c r="P30" i="87"/>
  <c r="P29" i="87"/>
  <c r="P28" i="87"/>
  <c r="P27" i="87"/>
  <c r="P26" i="87"/>
  <c r="P25" i="87"/>
  <c r="P24" i="87"/>
  <c r="P23" i="87"/>
  <c r="P22" i="87"/>
  <c r="P21" i="87"/>
  <c r="P20" i="87"/>
  <c r="P19" i="87"/>
  <c r="P18" i="87"/>
  <c r="P17" i="87"/>
  <c r="P16" i="87"/>
  <c r="P15" i="87"/>
  <c r="H89" i="87"/>
  <c r="G89" i="87"/>
  <c r="F89" i="87"/>
  <c r="M18" i="87"/>
  <c r="H18" i="87"/>
  <c r="C18" i="87"/>
  <c r="K18" i="87"/>
  <c r="K124" i="88"/>
  <c r="F29" i="88"/>
  <c r="M19" i="87"/>
  <c r="K19" i="87"/>
  <c r="F19" i="87"/>
  <c r="M85" i="87"/>
  <c r="H19" i="87"/>
  <c r="F124" i="88"/>
  <c r="K85" i="87"/>
  <c r="C85" i="87"/>
  <c r="H85" i="87"/>
  <c r="M29" i="88"/>
  <c r="C124" i="88"/>
  <c r="F85" i="87"/>
  <c r="C19" i="87"/>
  <c r="H124" i="88"/>
  <c r="M124" i="88"/>
  <c r="Q10" i="89" l="1"/>
  <c r="K26" i="89"/>
  <c r="K25" i="89"/>
  <c r="AA2" i="88"/>
  <c r="AB2" i="88" s="1"/>
  <c r="M66" i="87"/>
  <c r="Q10" i="87" s="1"/>
  <c r="O555" i="38"/>
  <c r="Z554" i="38"/>
  <c r="Z555" i="38"/>
  <c r="Q2" i="87"/>
  <c r="Q5" i="87" s="1"/>
  <c r="Q3" i="89"/>
  <c r="Q6" i="89" s="1"/>
  <c r="Q8" i="89"/>
  <c r="P554" i="38"/>
  <c r="Q2" i="88"/>
  <c r="M105" i="88"/>
  <c r="Q10" i="88" s="1"/>
  <c r="AM2" i="88" s="1"/>
  <c r="O554" i="38"/>
  <c r="U554" i="38"/>
  <c r="Q7" i="89" l="1"/>
  <c r="Q5" i="88"/>
  <c r="AJ17" i="88"/>
  <c r="AJ16" i="88"/>
  <c r="AJ15" i="88"/>
  <c r="AJ14" i="88"/>
  <c r="AJ13" i="88"/>
  <c r="AJ12" i="88"/>
  <c r="AJ3" i="88"/>
  <c r="AJ11" i="88"/>
  <c r="AJ10" i="88"/>
  <c r="AJ9" i="88"/>
  <c r="AJ8" i="88"/>
  <c r="AJ7" i="88"/>
  <c r="AJ6" i="88"/>
  <c r="AJ5" i="88"/>
  <c r="AJ4" i="88"/>
  <c r="AJ2" i="88"/>
  <c r="AK2" i="88" s="1"/>
  <c r="AO2" i="88" s="1"/>
  <c r="Q9" i="89"/>
  <c r="Q8" i="88"/>
  <c r="Q7" i="88" s="1"/>
  <c r="Q3" i="88"/>
  <c r="Q6" i="88" s="1"/>
  <c r="Z9" i="31"/>
  <c r="AA9" i="31"/>
  <c r="AB10" i="31" s="1"/>
  <c r="Y9" i="31"/>
  <c r="AA8" i="31"/>
  <c r="AA11" i="31"/>
  <c r="AA23" i="31"/>
  <c r="AB24" i="31" s="1"/>
  <c r="Z23" i="31"/>
  <c r="Z25" i="31" s="1"/>
  <c r="Y23" i="31"/>
  <c r="Y25" i="31" s="1"/>
  <c r="AA25" i="31" l="1"/>
  <c r="Q9" i="88"/>
  <c r="AA24" i="31"/>
  <c r="Z24" i="31"/>
  <c r="AA10" i="31"/>
  <c r="Z10" i="31"/>
  <c r="A553" i="38"/>
  <c r="D553" i="38"/>
  <c r="E553" i="38"/>
  <c r="G553" i="38"/>
  <c r="H553" i="38"/>
  <c r="K553" i="38"/>
  <c r="L553" i="38" s="1"/>
  <c r="M553" i="38"/>
  <c r="N553" i="38" s="1"/>
  <c r="S553" i="38"/>
  <c r="F60" i="46"/>
  <c r="H60" i="46"/>
  <c r="G60" i="46"/>
  <c r="K6" i="46"/>
  <c r="Z553" i="38" l="1"/>
  <c r="P553" i="38"/>
  <c r="O553" i="38"/>
  <c r="U553" i="38"/>
  <c r="Z22" i="31"/>
  <c r="Z8" i="31"/>
  <c r="Z11" i="31"/>
  <c r="Y11" i="31"/>
  <c r="P24" i="25"/>
  <c r="P25" i="25"/>
  <c r="P26" i="25"/>
  <c r="P27" i="25"/>
  <c r="P28" i="25"/>
  <c r="P29" i="25"/>
  <c r="P30" i="25"/>
  <c r="P31" i="25"/>
  <c r="P32" i="25"/>
  <c r="P33" i="25"/>
  <c r="P34" i="25"/>
  <c r="P35" i="25"/>
  <c r="P36" i="25"/>
  <c r="P37" i="25"/>
  <c r="F231" i="25"/>
  <c r="G231" i="25"/>
  <c r="H231" i="25"/>
  <c r="A552" i="38"/>
  <c r="D552" i="38"/>
  <c r="E552" i="38"/>
  <c r="G552" i="38"/>
  <c r="H552" i="38"/>
  <c r="K552" i="38"/>
  <c r="L552" i="38" s="1"/>
  <c r="M552" i="38"/>
  <c r="N552" i="38" s="1"/>
  <c r="S552" i="38"/>
  <c r="C18" i="51"/>
  <c r="Z552" i="38" l="1"/>
  <c r="P552" i="38"/>
  <c r="O552" i="38"/>
  <c r="U552" i="38"/>
  <c r="I550" i="38"/>
  <c r="K551" i="38" s="1"/>
  <c r="L551" i="38" s="1"/>
  <c r="F550" i="38"/>
  <c r="G551" i="38" s="1"/>
  <c r="C550" i="38"/>
  <c r="D551" i="38" s="1"/>
  <c r="A551" i="38"/>
  <c r="E551" i="38"/>
  <c r="H551" i="38"/>
  <c r="M551" i="38"/>
  <c r="N551" i="38" s="1"/>
  <c r="S551" i="38"/>
  <c r="Z551" i="38" l="1"/>
  <c r="U551" i="38"/>
  <c r="P551" i="38"/>
  <c r="O551" i="38"/>
  <c r="F62" i="51"/>
  <c r="G62" i="51"/>
  <c r="H62" i="51"/>
  <c r="F38" i="70"/>
  <c r="H38" i="70"/>
  <c r="G38" i="70"/>
  <c r="F2" i="86"/>
  <c r="F24" i="86" s="1"/>
  <c r="M94" i="86"/>
  <c r="K94" i="86"/>
  <c r="H94" i="86"/>
  <c r="F94" i="86"/>
  <c r="C94" i="86"/>
  <c r="P41" i="86"/>
  <c r="P40" i="86"/>
  <c r="P39" i="86"/>
  <c r="P38" i="86"/>
  <c r="P37" i="86"/>
  <c r="P36" i="86"/>
  <c r="P35" i="86"/>
  <c r="P34" i="86"/>
  <c r="P33" i="86"/>
  <c r="P32" i="86"/>
  <c r="P31" i="86"/>
  <c r="P30" i="86"/>
  <c r="P29" i="86"/>
  <c r="P28" i="86"/>
  <c r="P27" i="86"/>
  <c r="P26" i="86"/>
  <c r="P25" i="86"/>
  <c r="P24" i="86"/>
  <c r="P23" i="86"/>
  <c r="P22" i="86"/>
  <c r="P21" i="86"/>
  <c r="H31" i="86"/>
  <c r="G31" i="86"/>
  <c r="F31" i="86"/>
  <c r="K6" i="70"/>
  <c r="H25" i="86"/>
  <c r="H95" i="86"/>
  <c r="C25" i="86"/>
  <c r="F25" i="86"/>
  <c r="M95" i="86"/>
  <c r="K95" i="86"/>
  <c r="C95" i="86"/>
  <c r="M25" i="86"/>
  <c r="F95" i="86"/>
  <c r="AA2" i="86" l="1"/>
  <c r="AB2" i="86" s="1"/>
  <c r="Q2" i="86"/>
  <c r="M76" i="86"/>
  <c r="Q10" i="86" s="1"/>
  <c r="F37" i="70"/>
  <c r="H37" i="70"/>
  <c r="G37" i="70"/>
  <c r="F11" i="70"/>
  <c r="G63" i="43"/>
  <c r="G64" i="43"/>
  <c r="F64" i="43"/>
  <c r="H64" i="43"/>
  <c r="F14" i="43"/>
  <c r="K10" i="43"/>
  <c r="F61" i="51"/>
  <c r="G61" i="51"/>
  <c r="H61" i="51"/>
  <c r="A550" i="38"/>
  <c r="D550" i="38"/>
  <c r="E550" i="38"/>
  <c r="G550" i="38"/>
  <c r="H550" i="38"/>
  <c r="K550" i="38"/>
  <c r="L550" i="38" s="1"/>
  <c r="M550" i="38"/>
  <c r="N550" i="38" s="1"/>
  <c r="C28" i="43"/>
  <c r="M28" i="43"/>
  <c r="H28" i="43"/>
  <c r="AM2" i="86" l="1"/>
  <c r="J67" i="86"/>
  <c r="J68" i="86"/>
  <c r="J70" i="86"/>
  <c r="J69" i="86"/>
  <c r="J66" i="86"/>
  <c r="J65" i="86"/>
  <c r="J64" i="86"/>
  <c r="J63" i="86"/>
  <c r="J62" i="86"/>
  <c r="J61" i="86"/>
  <c r="J60" i="86"/>
  <c r="J59" i="86"/>
  <c r="J58" i="86"/>
  <c r="J57" i="86"/>
  <c r="J56" i="86"/>
  <c r="J55" i="86"/>
  <c r="J54" i="86"/>
  <c r="J53" i="86"/>
  <c r="J52" i="86"/>
  <c r="J51" i="86"/>
  <c r="J50" i="86"/>
  <c r="J49" i="86"/>
  <c r="J48" i="86"/>
  <c r="J47" i="86"/>
  <c r="J46" i="86"/>
  <c r="J45" i="86"/>
  <c r="J44" i="86"/>
  <c r="J43" i="86"/>
  <c r="J42" i="86"/>
  <c r="J41" i="86"/>
  <c r="J40" i="86"/>
  <c r="J39" i="86"/>
  <c r="J38" i="86"/>
  <c r="J37" i="86"/>
  <c r="J36" i="86"/>
  <c r="J35" i="86"/>
  <c r="J34" i="86"/>
  <c r="J33" i="86"/>
  <c r="J32" i="86"/>
  <c r="J31" i="86"/>
  <c r="Q5" i="86"/>
  <c r="AJ2" i="86"/>
  <c r="AK2" i="86" s="1"/>
  <c r="AO2" i="86" s="1"/>
  <c r="Z550" i="38"/>
  <c r="Q3" i="86"/>
  <c r="Q6" i="86" s="1"/>
  <c r="Q8" i="86"/>
  <c r="Q7" i="86" s="1"/>
  <c r="P550" i="38"/>
  <c r="O550" i="38"/>
  <c r="F59" i="46"/>
  <c r="H59" i="46"/>
  <c r="G59" i="46"/>
  <c r="K5" i="46"/>
  <c r="F103" i="58"/>
  <c r="H103" i="58"/>
  <c r="G103" i="58"/>
  <c r="F10" i="58"/>
  <c r="K8" i="58"/>
  <c r="F230" i="25"/>
  <c r="H230" i="25"/>
  <c r="G230" i="25"/>
  <c r="K33" i="25"/>
  <c r="F44" i="84"/>
  <c r="H44" i="84"/>
  <c r="G44" i="84"/>
  <c r="K5" i="84"/>
  <c r="F229" i="25"/>
  <c r="G229" i="25"/>
  <c r="H229" i="25"/>
  <c r="K32" i="25"/>
  <c r="K31" i="25"/>
  <c r="A549" i="38"/>
  <c r="D549" i="38"/>
  <c r="E549" i="38"/>
  <c r="G549" i="38"/>
  <c r="H549" i="38"/>
  <c r="K549" i="38"/>
  <c r="L549" i="38" s="1"/>
  <c r="M549" i="38"/>
  <c r="N549" i="38" s="1"/>
  <c r="S549" i="38"/>
  <c r="F228" i="25"/>
  <c r="H228" i="25"/>
  <c r="Z549" i="38" l="1"/>
  <c r="Q9" i="86"/>
  <c r="P549" i="38"/>
  <c r="O549" i="38"/>
  <c r="U549" i="38"/>
  <c r="F60" i="51"/>
  <c r="G60" i="51"/>
  <c r="H60" i="51"/>
  <c r="F36" i="70"/>
  <c r="H36" i="70"/>
  <c r="G36" i="70"/>
  <c r="F10" i="70"/>
  <c r="F58" i="46"/>
  <c r="H58" i="46"/>
  <c r="G58" i="46"/>
  <c r="F13" i="46"/>
  <c r="A548" i="38"/>
  <c r="D548" i="38"/>
  <c r="E548" i="38"/>
  <c r="G548" i="38"/>
  <c r="H548" i="38"/>
  <c r="K548" i="38"/>
  <c r="L548" i="38" s="1"/>
  <c r="M548" i="38"/>
  <c r="N548" i="38" s="1"/>
  <c r="S548" i="38"/>
  <c r="G228" i="25"/>
  <c r="K30" i="25"/>
  <c r="Z548" i="38" l="1"/>
  <c r="P548" i="38"/>
  <c r="O548" i="38"/>
  <c r="U548" i="38"/>
  <c r="F227" i="25"/>
  <c r="G227" i="25"/>
  <c r="H227" i="25"/>
  <c r="A547" i="38" l="1"/>
  <c r="D547" i="38"/>
  <c r="E547" i="38"/>
  <c r="G547" i="38"/>
  <c r="H547" i="38"/>
  <c r="K547" i="38"/>
  <c r="L547" i="38" s="1"/>
  <c r="M547" i="38"/>
  <c r="N547" i="38" s="1"/>
  <c r="S547" i="38"/>
  <c r="K29" i="25"/>
  <c r="Z547" i="38" l="1"/>
  <c r="P547" i="38"/>
  <c r="O547" i="38"/>
  <c r="U547" i="38"/>
  <c r="F226" i="25"/>
  <c r="H226" i="25"/>
  <c r="G226" i="25"/>
  <c r="K28" i="25"/>
  <c r="A320" i="38"/>
  <c r="A321" i="38"/>
  <c r="A322" i="38"/>
  <c r="A323" i="38"/>
  <c r="A324" i="38"/>
  <c r="A325" i="38"/>
  <c r="A326" i="38"/>
  <c r="A327" i="38"/>
  <c r="A328" i="38"/>
  <c r="A329" i="38"/>
  <c r="A330" i="38"/>
  <c r="A331" i="38"/>
  <c r="A332" i="38"/>
  <c r="A333" i="38"/>
  <c r="A334" i="38"/>
  <c r="A335" i="38"/>
  <c r="A336" i="38"/>
  <c r="A337" i="38"/>
  <c r="A338" i="38"/>
  <c r="A339" i="38"/>
  <c r="A340" i="38"/>
  <c r="A341" i="38"/>
  <c r="A342" i="38"/>
  <c r="A343" i="38"/>
  <c r="A344" i="38"/>
  <c r="A345" i="38"/>
  <c r="A346" i="38"/>
  <c r="A347" i="38"/>
  <c r="A348" i="38"/>
  <c r="A349" i="38"/>
  <c r="A350" i="38"/>
  <c r="A351" i="38"/>
  <c r="A352" i="38"/>
  <c r="A353" i="38"/>
  <c r="A354" i="38"/>
  <c r="A355" i="38"/>
  <c r="A356" i="38"/>
  <c r="A357" i="38"/>
  <c r="A358" i="38"/>
  <c r="A359" i="38"/>
  <c r="A360" i="38"/>
  <c r="A361" i="38"/>
  <c r="A362" i="38"/>
  <c r="A363" i="38"/>
  <c r="A364" i="38"/>
  <c r="A365" i="38"/>
  <c r="A366" i="38"/>
  <c r="A367" i="38"/>
  <c r="A368" i="38"/>
  <c r="A369" i="38"/>
  <c r="A370" i="38"/>
  <c r="A371" i="38"/>
  <c r="A372" i="38"/>
  <c r="A373" i="38"/>
  <c r="A374" i="38"/>
  <c r="A375" i="38"/>
  <c r="A376" i="38"/>
  <c r="A377" i="38"/>
  <c r="A378" i="38"/>
  <c r="A379" i="38"/>
  <c r="A380" i="38"/>
  <c r="A381" i="38"/>
  <c r="A382" i="38"/>
  <c r="A383" i="38"/>
  <c r="A384" i="38"/>
  <c r="A385" i="38"/>
  <c r="A386" i="38"/>
  <c r="A387" i="38"/>
  <c r="A388" i="38"/>
  <c r="A389" i="38"/>
  <c r="A390" i="38"/>
  <c r="A391" i="38"/>
  <c r="A392" i="38"/>
  <c r="A393" i="38"/>
  <c r="A394" i="38"/>
  <c r="A395" i="38"/>
  <c r="A396" i="38"/>
  <c r="A397" i="38"/>
  <c r="A398" i="38"/>
  <c r="A399" i="38"/>
  <c r="A400" i="38"/>
  <c r="A401" i="38"/>
  <c r="A402" i="38"/>
  <c r="A403" i="38"/>
  <c r="A404" i="38"/>
  <c r="A405" i="38"/>
  <c r="A406" i="38"/>
  <c r="A407" i="38"/>
  <c r="A408" i="38"/>
  <c r="A409" i="38"/>
  <c r="A410" i="38"/>
  <c r="A411" i="38"/>
  <c r="A412" i="38"/>
  <c r="A413" i="38"/>
  <c r="A414" i="38"/>
  <c r="A415" i="38"/>
  <c r="A416" i="38"/>
  <c r="A417" i="38"/>
  <c r="A418" i="38"/>
  <c r="A419" i="38"/>
  <c r="A420" i="38"/>
  <c r="A421" i="38"/>
  <c r="A422" i="38"/>
  <c r="A423" i="38"/>
  <c r="A424" i="38"/>
  <c r="A425" i="38"/>
  <c r="A426" i="38"/>
  <c r="A427" i="38"/>
  <c r="A428" i="38"/>
  <c r="A429" i="38"/>
  <c r="A430" i="38"/>
  <c r="A431" i="38"/>
  <c r="A432" i="38"/>
  <c r="A433" i="38"/>
  <c r="A434" i="38"/>
  <c r="A435" i="38"/>
  <c r="A436" i="38"/>
  <c r="A437" i="38"/>
  <c r="A438" i="38"/>
  <c r="A439" i="38"/>
  <c r="A440" i="38"/>
  <c r="A441" i="38"/>
  <c r="A442" i="38"/>
  <c r="A443" i="38"/>
  <c r="A444" i="38"/>
  <c r="A445" i="38"/>
  <c r="A446" i="38"/>
  <c r="A447" i="38"/>
  <c r="A448" i="38"/>
  <c r="A449" i="38"/>
  <c r="A450" i="38"/>
  <c r="A451" i="38"/>
  <c r="A452" i="38"/>
  <c r="A453" i="38"/>
  <c r="A454" i="38"/>
  <c r="A455" i="38"/>
  <c r="A456" i="38"/>
  <c r="A457" i="38"/>
  <c r="A458" i="38"/>
  <c r="A459" i="38"/>
  <c r="A460" i="38"/>
  <c r="A461" i="38"/>
  <c r="A462" i="38"/>
  <c r="A463" i="38"/>
  <c r="A464" i="38"/>
  <c r="A465" i="38"/>
  <c r="A466" i="38"/>
  <c r="A467" i="38"/>
  <c r="A468" i="38"/>
  <c r="A469" i="38"/>
  <c r="A470" i="38"/>
  <c r="A471" i="38"/>
  <c r="A472" i="38"/>
  <c r="A473" i="38"/>
  <c r="A474" i="38"/>
  <c r="A475" i="38"/>
  <c r="A476" i="38"/>
  <c r="A477" i="38"/>
  <c r="A478" i="38"/>
  <c r="A479" i="38"/>
  <c r="A480" i="38"/>
  <c r="A481" i="38"/>
  <c r="A482" i="38"/>
  <c r="A483" i="38"/>
  <c r="A484" i="38"/>
  <c r="A485" i="38"/>
  <c r="A486" i="38"/>
  <c r="A487" i="38"/>
  <c r="A488" i="38"/>
  <c r="A489" i="38"/>
  <c r="A490" i="38"/>
  <c r="A491" i="38"/>
  <c r="A492" i="38"/>
  <c r="A493" i="38"/>
  <c r="A494" i="38"/>
  <c r="A495" i="38"/>
  <c r="A496" i="38"/>
  <c r="A497" i="38"/>
  <c r="A498" i="38"/>
  <c r="A499" i="38"/>
  <c r="A500" i="38"/>
  <c r="A501" i="38"/>
  <c r="A502" i="38"/>
  <c r="A503" i="38"/>
  <c r="A504" i="38"/>
  <c r="A505" i="38"/>
  <c r="A506" i="38"/>
  <c r="A507" i="38"/>
  <c r="A508" i="38"/>
  <c r="A509" i="38"/>
  <c r="A510" i="38"/>
  <c r="A511" i="38"/>
  <c r="A512" i="38"/>
  <c r="A513" i="38"/>
  <c r="A514" i="38"/>
  <c r="A515" i="38"/>
  <c r="A516" i="38"/>
  <c r="A517" i="38"/>
  <c r="A518" i="38"/>
  <c r="A519" i="38"/>
  <c r="A520" i="38"/>
  <c r="A521" i="38"/>
  <c r="A522" i="38"/>
  <c r="A523" i="38"/>
  <c r="A524" i="38"/>
  <c r="A525" i="38"/>
  <c r="A526" i="38"/>
  <c r="A527" i="38"/>
  <c r="A528" i="38"/>
  <c r="A529" i="38"/>
  <c r="A530" i="38"/>
  <c r="A531" i="38"/>
  <c r="A532" i="38"/>
  <c r="A533" i="38"/>
  <c r="A534" i="38"/>
  <c r="A535" i="38"/>
  <c r="A536" i="38"/>
  <c r="A537" i="38"/>
  <c r="A538" i="38"/>
  <c r="A539" i="38"/>
  <c r="A540" i="38"/>
  <c r="A541" i="38"/>
  <c r="A542" i="38"/>
  <c r="A543" i="38"/>
  <c r="A544" i="38"/>
  <c r="A545" i="38"/>
  <c r="A546" i="38"/>
  <c r="A301" i="38"/>
  <c r="A302" i="38"/>
  <c r="A303" i="38"/>
  <c r="A304" i="38"/>
  <c r="A305" i="38"/>
  <c r="A306" i="38"/>
  <c r="A307" i="38"/>
  <c r="A308" i="38"/>
  <c r="A309" i="38"/>
  <c r="A310" i="38"/>
  <c r="A311" i="38"/>
  <c r="A312" i="38"/>
  <c r="A313" i="38"/>
  <c r="A314" i="38"/>
  <c r="A315" i="38"/>
  <c r="A316" i="38"/>
  <c r="A317" i="38"/>
  <c r="A318" i="38"/>
  <c r="A319" i="38"/>
  <c r="A277" i="38"/>
  <c r="A278" i="38"/>
  <c r="A279" i="38"/>
  <c r="A280" i="38"/>
  <c r="A281" i="38"/>
  <c r="A282" i="38"/>
  <c r="A283" i="38"/>
  <c r="A284" i="38"/>
  <c r="A285" i="38"/>
  <c r="A286" i="38"/>
  <c r="A287" i="38"/>
  <c r="A288" i="38"/>
  <c r="A289" i="38"/>
  <c r="A290" i="38"/>
  <c r="A291" i="38"/>
  <c r="A292" i="38"/>
  <c r="A293" i="38"/>
  <c r="A294" i="38"/>
  <c r="A295" i="38"/>
  <c r="A296" i="38"/>
  <c r="A297" i="38"/>
  <c r="A298" i="38"/>
  <c r="A299" i="38"/>
  <c r="A300" i="38"/>
  <c r="A251" i="38"/>
  <c r="A252" i="38"/>
  <c r="A253" i="38"/>
  <c r="A254" i="38"/>
  <c r="A255" i="38"/>
  <c r="A256" i="38"/>
  <c r="A257" i="38"/>
  <c r="A258" i="38"/>
  <c r="A259" i="38"/>
  <c r="A260" i="38"/>
  <c r="A261" i="38"/>
  <c r="A262" i="38"/>
  <c r="A263" i="38"/>
  <c r="A264" i="38"/>
  <c r="A265" i="38"/>
  <c r="A266" i="38"/>
  <c r="A267" i="38"/>
  <c r="A268" i="38"/>
  <c r="A269" i="38"/>
  <c r="A270" i="38"/>
  <c r="A271" i="38"/>
  <c r="A272" i="38"/>
  <c r="A273" i="38"/>
  <c r="A274" i="38"/>
  <c r="A275" i="38"/>
  <c r="A276" i="38"/>
  <c r="A7" i="38"/>
  <c r="A8" i="38"/>
  <c r="A9" i="38"/>
  <c r="A10" i="38"/>
  <c r="A11" i="38"/>
  <c r="A12" i="38"/>
  <c r="A13" i="38"/>
  <c r="A14" i="38"/>
  <c r="A15" i="38"/>
  <c r="A16" i="38"/>
  <c r="A17" i="38"/>
  <c r="A18" i="38"/>
  <c r="A19" i="38"/>
  <c r="A20" i="38"/>
  <c r="A21" i="38"/>
  <c r="A22" i="38"/>
  <c r="A23" i="38"/>
  <c r="A24" i="38"/>
  <c r="A25" i="38"/>
  <c r="A26" i="38"/>
  <c r="A27" i="38"/>
  <c r="A28" i="38"/>
  <c r="A29" i="38"/>
  <c r="A30" i="38"/>
  <c r="A31" i="38"/>
  <c r="A32" i="38"/>
  <c r="A33" i="38"/>
  <c r="A34" i="38"/>
  <c r="A35" i="38"/>
  <c r="A36" i="38"/>
  <c r="A37" i="38"/>
  <c r="A38" i="38"/>
  <c r="A39" i="38"/>
  <c r="A40" i="38"/>
  <c r="A41" i="38"/>
  <c r="A42" i="38"/>
  <c r="A43" i="38"/>
  <c r="A44" i="38"/>
  <c r="A45" i="38"/>
  <c r="A46" i="38"/>
  <c r="A47" i="38"/>
  <c r="A48" i="38"/>
  <c r="A49" i="38"/>
  <c r="A50" i="38"/>
  <c r="A51" i="38"/>
  <c r="A52" i="38"/>
  <c r="A53" i="38"/>
  <c r="A54" i="38"/>
  <c r="A55" i="38"/>
  <c r="A56" i="38"/>
  <c r="A57" i="38"/>
  <c r="A58" i="38"/>
  <c r="A59" i="38"/>
  <c r="A60" i="38"/>
  <c r="A61" i="38"/>
  <c r="A62" i="38"/>
  <c r="A63" i="38"/>
  <c r="A64" i="38"/>
  <c r="A65" i="38"/>
  <c r="A66" i="38"/>
  <c r="A67" i="38"/>
  <c r="A68" i="38"/>
  <c r="A69" i="38"/>
  <c r="A70" i="38"/>
  <c r="A71" i="38"/>
  <c r="A72" i="38"/>
  <c r="A73" i="38"/>
  <c r="A74" i="38"/>
  <c r="A75" i="38"/>
  <c r="A76" i="38"/>
  <c r="A77" i="38"/>
  <c r="A78" i="38"/>
  <c r="A79" i="38"/>
  <c r="A80" i="38"/>
  <c r="A81" i="38"/>
  <c r="A82" i="38"/>
  <c r="A83" i="38"/>
  <c r="A84" i="38"/>
  <c r="A85" i="38"/>
  <c r="A86" i="38"/>
  <c r="A87" i="38"/>
  <c r="A88" i="38"/>
  <c r="A89" i="38"/>
  <c r="A90" i="38"/>
  <c r="A91" i="38"/>
  <c r="A92" i="38"/>
  <c r="A93" i="38"/>
  <c r="A94" i="38"/>
  <c r="A95" i="38"/>
  <c r="A96" i="38"/>
  <c r="A97" i="38"/>
  <c r="A98" i="38"/>
  <c r="A99" i="38"/>
  <c r="A100" i="38"/>
  <c r="A101" i="38"/>
  <c r="A102" i="38"/>
  <c r="A103" i="38"/>
  <c r="A104" i="38"/>
  <c r="A105" i="38"/>
  <c r="A106" i="38"/>
  <c r="A107" i="38"/>
  <c r="A108" i="38"/>
  <c r="A109" i="38"/>
  <c r="A110" i="38"/>
  <c r="A111" i="38"/>
  <c r="A112" i="38"/>
  <c r="A113" i="38"/>
  <c r="A114" i="38"/>
  <c r="A115" i="38"/>
  <c r="A116" i="38"/>
  <c r="A117" i="38"/>
  <c r="A118" i="38"/>
  <c r="A119" i="38"/>
  <c r="A120" i="38"/>
  <c r="A121" i="38"/>
  <c r="A122" i="38"/>
  <c r="A123" i="38"/>
  <c r="A124" i="38"/>
  <c r="A125" i="38"/>
  <c r="A126" i="38"/>
  <c r="A127" i="38"/>
  <c r="A128" i="38"/>
  <c r="A129" i="38"/>
  <c r="A130" i="38"/>
  <c r="A131" i="38"/>
  <c r="A132" i="38"/>
  <c r="A133" i="38"/>
  <c r="A134" i="38"/>
  <c r="A135" i="38"/>
  <c r="A136" i="38"/>
  <c r="A137" i="38"/>
  <c r="A138" i="38"/>
  <c r="A139" i="38"/>
  <c r="A140" i="38"/>
  <c r="A141" i="38"/>
  <c r="A142" i="38"/>
  <c r="A143" i="38"/>
  <c r="A144" i="38"/>
  <c r="A145" i="38"/>
  <c r="A146" i="38"/>
  <c r="A147" i="38"/>
  <c r="A148" i="38"/>
  <c r="A149" i="38"/>
  <c r="A150" i="38"/>
  <c r="A151" i="38"/>
  <c r="A152" i="38"/>
  <c r="A153" i="38"/>
  <c r="A154" i="38"/>
  <c r="A155" i="38"/>
  <c r="A156" i="38"/>
  <c r="A157" i="38"/>
  <c r="A158" i="38"/>
  <c r="A159" i="38"/>
  <c r="A160" i="38"/>
  <c r="A161" i="38"/>
  <c r="A162" i="38"/>
  <c r="A163" i="38"/>
  <c r="A164" i="38"/>
  <c r="A165" i="38"/>
  <c r="A166" i="38"/>
  <c r="A167" i="38"/>
  <c r="A168" i="38"/>
  <c r="A169" i="38"/>
  <c r="A170" i="38"/>
  <c r="A171" i="38"/>
  <c r="A172" i="38"/>
  <c r="A173" i="38"/>
  <c r="A174" i="38"/>
  <c r="A175" i="38"/>
  <c r="A176" i="38"/>
  <c r="A177" i="38"/>
  <c r="A178" i="38"/>
  <c r="A179" i="38"/>
  <c r="A180" i="38"/>
  <c r="A181" i="38"/>
  <c r="A182" i="38"/>
  <c r="A183" i="38"/>
  <c r="A184" i="38"/>
  <c r="A185" i="38"/>
  <c r="A186" i="38"/>
  <c r="A187" i="38"/>
  <c r="A188" i="38"/>
  <c r="A189" i="38"/>
  <c r="A190" i="38"/>
  <c r="A191" i="38"/>
  <c r="A192" i="38"/>
  <c r="A193" i="38"/>
  <c r="A194" i="38"/>
  <c r="A195" i="38"/>
  <c r="A196" i="38"/>
  <c r="A197" i="38"/>
  <c r="A198" i="38"/>
  <c r="A199" i="38"/>
  <c r="A200" i="38"/>
  <c r="A201" i="38"/>
  <c r="A202" i="38"/>
  <c r="A203" i="38"/>
  <c r="A204" i="38"/>
  <c r="A205" i="38"/>
  <c r="A206" i="38"/>
  <c r="A207" i="38"/>
  <c r="A208" i="38"/>
  <c r="A209" i="38"/>
  <c r="A210" i="38"/>
  <c r="A211" i="38"/>
  <c r="A212" i="38"/>
  <c r="A213" i="38"/>
  <c r="A214" i="38"/>
  <c r="A215" i="38"/>
  <c r="A216" i="38"/>
  <c r="A217" i="38"/>
  <c r="A218" i="38"/>
  <c r="A219" i="38"/>
  <c r="A220" i="38"/>
  <c r="A221" i="38"/>
  <c r="A222" i="38"/>
  <c r="A223" i="38"/>
  <c r="A224" i="38"/>
  <c r="A225" i="38"/>
  <c r="A226" i="38"/>
  <c r="A227" i="38"/>
  <c r="A228" i="38"/>
  <c r="A229" i="38"/>
  <c r="A230" i="38"/>
  <c r="A231" i="38"/>
  <c r="A232" i="38"/>
  <c r="A233" i="38"/>
  <c r="A234" i="38"/>
  <c r="A235" i="38"/>
  <c r="A236" i="38"/>
  <c r="A237" i="38"/>
  <c r="A238" i="38"/>
  <c r="A239" i="38"/>
  <c r="A240" i="38"/>
  <c r="A241" i="38"/>
  <c r="A242" i="38"/>
  <c r="A243" i="38"/>
  <c r="A244" i="38"/>
  <c r="A245" i="38"/>
  <c r="A246" i="38"/>
  <c r="A247" i="38"/>
  <c r="A248" i="38"/>
  <c r="A249" i="38"/>
  <c r="A250" i="38"/>
  <c r="A6" i="38"/>
  <c r="D546" i="38"/>
  <c r="E546" i="38"/>
  <c r="G546" i="38"/>
  <c r="H546" i="38"/>
  <c r="K546" i="38"/>
  <c r="L546" i="38" s="1"/>
  <c r="M546" i="38"/>
  <c r="U546" i="38" s="1"/>
  <c r="S546" i="38"/>
  <c r="F59" i="51"/>
  <c r="G59" i="51"/>
  <c r="H59" i="51"/>
  <c r="F225" i="25"/>
  <c r="H225" i="25"/>
  <c r="G225" i="25"/>
  <c r="K27" i="25"/>
  <c r="H57" i="46"/>
  <c r="F57" i="46"/>
  <c r="G57" i="46"/>
  <c r="F63" i="43"/>
  <c r="H63" i="43"/>
  <c r="F13" i="43"/>
  <c r="K9" i="43"/>
  <c r="P546" i="38" l="1"/>
  <c r="N546" i="38"/>
  <c r="D545" i="38"/>
  <c r="E545" i="38"/>
  <c r="G545" i="38"/>
  <c r="H545" i="38"/>
  <c r="K545" i="38"/>
  <c r="L545" i="38" s="1"/>
  <c r="M545" i="38"/>
  <c r="U545" i="38" s="1"/>
  <c r="S545" i="38"/>
  <c r="O546" i="38" l="1"/>
  <c r="Z546" i="38"/>
  <c r="P545" i="38"/>
  <c r="N545" i="38"/>
  <c r="D544" i="38"/>
  <c r="E544" i="38"/>
  <c r="G544" i="38"/>
  <c r="H544" i="38"/>
  <c r="K544" i="38"/>
  <c r="L544" i="38" s="1"/>
  <c r="M544" i="38"/>
  <c r="U544" i="38" s="1"/>
  <c r="S544" i="38"/>
  <c r="O545" i="38" l="1"/>
  <c r="Z545" i="38"/>
  <c r="N544" i="38"/>
  <c r="P544" i="38"/>
  <c r="F43" i="84"/>
  <c r="H43" i="84"/>
  <c r="G43" i="84"/>
  <c r="D543" i="38"/>
  <c r="E543" i="38"/>
  <c r="G543" i="38"/>
  <c r="H543" i="38"/>
  <c r="K543" i="38"/>
  <c r="L543" i="38" s="1"/>
  <c r="M543" i="38"/>
  <c r="U543" i="38" s="1"/>
  <c r="S543" i="38"/>
  <c r="O544" i="38" l="1"/>
  <c r="Z544" i="38"/>
  <c r="P543" i="38"/>
  <c r="N543" i="38"/>
  <c r="F102" i="58"/>
  <c r="G102" i="58"/>
  <c r="H102" i="58"/>
  <c r="F224" i="25"/>
  <c r="H224" i="25"/>
  <c r="G224" i="25"/>
  <c r="D542" i="38"/>
  <c r="E542" i="38"/>
  <c r="G542" i="38"/>
  <c r="H542" i="38"/>
  <c r="K542" i="38"/>
  <c r="L542" i="38" s="1"/>
  <c r="M542" i="38"/>
  <c r="U542" i="38" s="1"/>
  <c r="S542" i="38"/>
  <c r="O543" i="38" l="1"/>
  <c r="Z543" i="38"/>
  <c r="P542" i="38"/>
  <c r="N542" i="38"/>
  <c r="D541" i="38"/>
  <c r="E541" i="38"/>
  <c r="G541" i="38"/>
  <c r="H541" i="38"/>
  <c r="K541" i="38"/>
  <c r="L541" i="38" s="1"/>
  <c r="M541" i="38"/>
  <c r="U541" i="38" s="1"/>
  <c r="S541" i="38"/>
  <c r="O542" i="38" l="1"/>
  <c r="Z542" i="38"/>
  <c r="P541" i="38"/>
  <c r="N541" i="38"/>
  <c r="O541" i="38" l="1"/>
  <c r="Z541" i="38"/>
  <c r="Q11" i="74"/>
  <c r="F58" i="51" l="1"/>
  <c r="G58" i="51"/>
  <c r="H58" i="51"/>
  <c r="K68" i="85"/>
  <c r="F68" i="85"/>
  <c r="K80" i="64"/>
  <c r="F80" i="64"/>
  <c r="D540" i="38"/>
  <c r="E540" i="38"/>
  <c r="G540" i="38"/>
  <c r="H540" i="38"/>
  <c r="K540" i="38"/>
  <c r="L540" i="38" s="1"/>
  <c r="M540" i="38"/>
  <c r="U540" i="38" s="1"/>
  <c r="S540" i="38"/>
  <c r="P540" i="38" l="1"/>
  <c r="N540" i="38"/>
  <c r="D539" i="38"/>
  <c r="E539" i="38"/>
  <c r="G539" i="38"/>
  <c r="H539" i="38"/>
  <c r="K539" i="38"/>
  <c r="L539" i="38" s="1"/>
  <c r="M539" i="38"/>
  <c r="N539" i="38" s="1"/>
  <c r="S539" i="38"/>
  <c r="O539" i="38" l="1"/>
  <c r="O540" i="38"/>
  <c r="Z539" i="38"/>
  <c r="Z540" i="38"/>
  <c r="P539" i="38"/>
  <c r="D538" i="38"/>
  <c r="E538" i="38"/>
  <c r="G538" i="38"/>
  <c r="H538" i="38"/>
  <c r="K538" i="38"/>
  <c r="L538" i="38" s="1"/>
  <c r="M538" i="38"/>
  <c r="U538" i="38" s="1"/>
  <c r="D537" i="38"/>
  <c r="E537" i="38"/>
  <c r="G537" i="38"/>
  <c r="H537" i="38"/>
  <c r="K537" i="38"/>
  <c r="L537" i="38" s="1"/>
  <c r="M537" i="38"/>
  <c r="U537" i="38" s="1"/>
  <c r="S537" i="38"/>
  <c r="H56" i="46"/>
  <c r="F56" i="46"/>
  <c r="G56" i="46"/>
  <c r="P537" i="38" l="1"/>
  <c r="N538" i="38"/>
  <c r="P538" i="38"/>
  <c r="N537" i="38"/>
  <c r="D536" i="38"/>
  <c r="E536" i="38"/>
  <c r="G536" i="38"/>
  <c r="H536" i="38"/>
  <c r="K536" i="38"/>
  <c r="L536" i="38" s="1"/>
  <c r="M536" i="38"/>
  <c r="N536" i="38" s="1"/>
  <c r="S536" i="38"/>
  <c r="Z536" i="38" l="1"/>
  <c r="O537" i="38"/>
  <c r="O536" i="38"/>
  <c r="O538" i="38"/>
  <c r="Z538" i="38"/>
  <c r="Z537" i="38"/>
  <c r="P536" i="38"/>
  <c r="U536" i="38"/>
  <c r="F32" i="78"/>
  <c r="H32" i="78"/>
  <c r="G32" i="78"/>
  <c r="F57" i="51"/>
  <c r="G57" i="51"/>
  <c r="H57" i="51"/>
  <c r="F28" i="45"/>
  <c r="G28" i="45"/>
  <c r="H28" i="45"/>
  <c r="R287" i="1" l="1"/>
  <c r="F37" i="57"/>
  <c r="G37" i="57"/>
  <c r="H37" i="57"/>
  <c r="F223" i="25"/>
  <c r="H223" i="25"/>
  <c r="G223" i="25"/>
  <c r="K26" i="25"/>
  <c r="G528" i="38"/>
  <c r="G529" i="38"/>
  <c r="G530" i="38"/>
  <c r="G531" i="38"/>
  <c r="G532" i="38"/>
  <c r="G533" i="38"/>
  <c r="G534" i="38"/>
  <c r="G535" i="38"/>
  <c r="D531" i="38"/>
  <c r="D532" i="38"/>
  <c r="D533" i="38"/>
  <c r="D534" i="38"/>
  <c r="D535" i="38"/>
  <c r="S535" i="38"/>
  <c r="M535" i="38"/>
  <c r="N535" i="38" s="1"/>
  <c r="K535" i="38"/>
  <c r="L535" i="38" s="1"/>
  <c r="H535" i="38"/>
  <c r="E535" i="38"/>
  <c r="O535" i="38" l="1"/>
  <c r="Z535" i="38"/>
  <c r="U535" i="38"/>
  <c r="P535" i="38"/>
  <c r="K2" i="45"/>
  <c r="E534" i="38"/>
  <c r="H534" i="38"/>
  <c r="K534" i="38"/>
  <c r="L534" i="38" s="1"/>
  <c r="M534" i="38"/>
  <c r="U534" i="38" s="1"/>
  <c r="S534" i="38"/>
  <c r="F35" i="70"/>
  <c r="H35" i="70"/>
  <c r="G35" i="70"/>
  <c r="K5" i="70"/>
  <c r="K18" i="82"/>
  <c r="K4" i="46"/>
  <c r="F42" i="84"/>
  <c r="H42" i="84"/>
  <c r="G42" i="84"/>
  <c r="K4" i="84"/>
  <c r="F222" i="25"/>
  <c r="H222" i="25"/>
  <c r="G222" i="25"/>
  <c r="F221" i="25"/>
  <c r="H221" i="25"/>
  <c r="G221" i="25"/>
  <c r="G62" i="43"/>
  <c r="F62" i="43"/>
  <c r="H62" i="43"/>
  <c r="K8" i="43"/>
  <c r="F50" i="25"/>
  <c r="F27" i="45"/>
  <c r="G27" i="45"/>
  <c r="H27" i="45"/>
  <c r="F36" i="57"/>
  <c r="H36" i="57"/>
  <c r="G36" i="57"/>
  <c r="K4" i="57"/>
  <c r="K19" i="45"/>
  <c r="K19" i="82"/>
  <c r="P534" i="38" l="1"/>
  <c r="N534" i="38"/>
  <c r="F56" i="51"/>
  <c r="G56" i="51"/>
  <c r="H56" i="51"/>
  <c r="F55" i="51"/>
  <c r="G55" i="51"/>
  <c r="H55" i="51"/>
  <c r="O534" i="38" l="1"/>
  <c r="Z534" i="38"/>
  <c r="E533" i="38"/>
  <c r="H533" i="38"/>
  <c r="K533" i="38"/>
  <c r="L533" i="38" s="1"/>
  <c r="M533" i="38"/>
  <c r="U533" i="38" s="1"/>
  <c r="S533" i="38"/>
  <c r="F101" i="58"/>
  <c r="H101" i="58"/>
  <c r="G101" i="58"/>
  <c r="K7" i="58"/>
  <c r="F43" i="77"/>
  <c r="H43" i="77"/>
  <c r="G43" i="77"/>
  <c r="K4" i="77"/>
  <c r="F61" i="43"/>
  <c r="H61" i="43"/>
  <c r="G61" i="43"/>
  <c r="F11" i="43"/>
  <c r="K7" i="43"/>
  <c r="N533" i="38" l="1"/>
  <c r="P533" i="38"/>
  <c r="E532" i="38"/>
  <c r="H532" i="38"/>
  <c r="K532" i="38"/>
  <c r="L532" i="38" s="1"/>
  <c r="M532" i="38"/>
  <c r="U532" i="38" s="1"/>
  <c r="S532" i="38"/>
  <c r="O533" i="38" l="1"/>
  <c r="Z533" i="38"/>
  <c r="P532" i="38"/>
  <c r="N532" i="38"/>
  <c r="F7" i="46"/>
  <c r="F55" i="46"/>
  <c r="H55" i="46"/>
  <c r="G55" i="46"/>
  <c r="K3" i="46"/>
  <c r="E531" i="38"/>
  <c r="H531" i="38"/>
  <c r="K531" i="38"/>
  <c r="M531" i="38"/>
  <c r="U531" i="38" s="1"/>
  <c r="S531" i="38"/>
  <c r="O532" i="38" l="1"/>
  <c r="Z532" i="38"/>
  <c r="L531" i="38"/>
  <c r="P531" i="38" s="1"/>
  <c r="N531" i="38"/>
  <c r="F35" i="57"/>
  <c r="H35" i="57"/>
  <c r="G35" i="57"/>
  <c r="F6" i="57"/>
  <c r="D530" i="38"/>
  <c r="E530" i="38"/>
  <c r="H530" i="38"/>
  <c r="K530" i="38"/>
  <c r="L530" i="38" s="1"/>
  <c r="M530" i="38"/>
  <c r="U530" i="38" s="1"/>
  <c r="S530" i="38"/>
  <c r="O531" i="38" l="1"/>
  <c r="Z531" i="38"/>
  <c r="P530" i="38"/>
  <c r="N530" i="38"/>
  <c r="D529" i="38"/>
  <c r="E529" i="38"/>
  <c r="H529" i="38"/>
  <c r="K529" i="38"/>
  <c r="L529" i="38" s="1"/>
  <c r="M529" i="38"/>
  <c r="N529" i="38" s="1"/>
  <c r="S529" i="38"/>
  <c r="K25" i="25"/>
  <c r="O529" i="38" l="1"/>
  <c r="O530" i="38"/>
  <c r="Z529" i="38"/>
  <c r="Z530" i="38"/>
  <c r="P529" i="38"/>
  <c r="U529" i="38"/>
  <c r="D528" i="38"/>
  <c r="E528" i="38"/>
  <c r="H528" i="38"/>
  <c r="K528" i="38"/>
  <c r="M528" i="38"/>
  <c r="U528" i="38" s="1"/>
  <c r="S528" i="38"/>
  <c r="F220" i="25"/>
  <c r="H220" i="25"/>
  <c r="G220" i="25"/>
  <c r="F49" i="25"/>
  <c r="N528" i="38" l="1"/>
  <c r="L528" i="38"/>
  <c r="P528" i="38" s="1"/>
  <c r="D527" i="38"/>
  <c r="E527" i="38"/>
  <c r="G527" i="38"/>
  <c r="H527" i="38"/>
  <c r="K527" i="38"/>
  <c r="M527" i="38"/>
  <c r="U527" i="38" s="1"/>
  <c r="S527" i="38"/>
  <c r="F41" i="84"/>
  <c r="H41" i="84"/>
  <c r="G41" i="84"/>
  <c r="F8" i="84"/>
  <c r="F48" i="25"/>
  <c r="O528" i="38" l="1"/>
  <c r="Z528" i="38"/>
  <c r="L527" i="38"/>
  <c r="P527" i="38" s="1"/>
  <c r="N527" i="38"/>
  <c r="F42" i="77"/>
  <c r="G42" i="77"/>
  <c r="H42" i="77"/>
  <c r="O527" i="38" l="1"/>
  <c r="Z527" i="38"/>
  <c r="F54" i="51"/>
  <c r="G54" i="51"/>
  <c r="H54" i="51"/>
  <c r="D526" i="38" l="1"/>
  <c r="E526" i="38"/>
  <c r="G526" i="38"/>
  <c r="H526" i="38"/>
  <c r="K526" i="38"/>
  <c r="L526" i="38" s="1"/>
  <c r="M526" i="38"/>
  <c r="U526" i="38" s="1"/>
  <c r="S526" i="38"/>
  <c r="N526" i="38" l="1"/>
  <c r="P526" i="38"/>
  <c r="D525" i="38"/>
  <c r="E525" i="38"/>
  <c r="G525" i="38"/>
  <c r="H525" i="38"/>
  <c r="K525" i="38"/>
  <c r="L525" i="38" s="1"/>
  <c r="M525" i="38"/>
  <c r="U525" i="38" s="1"/>
  <c r="S525" i="38"/>
  <c r="O526" i="38" l="1"/>
  <c r="Z526" i="38"/>
  <c r="P525" i="38"/>
  <c r="N525" i="38"/>
  <c r="D524" i="38"/>
  <c r="E524" i="38"/>
  <c r="G524" i="38"/>
  <c r="H524" i="38"/>
  <c r="K524" i="38"/>
  <c r="L524" i="38" s="1"/>
  <c r="M524" i="38"/>
  <c r="U524" i="38" s="1"/>
  <c r="S524" i="38"/>
  <c r="O525" i="38" l="1"/>
  <c r="Z525" i="38"/>
  <c r="N524" i="38"/>
  <c r="P524" i="38"/>
  <c r="F41" i="77"/>
  <c r="H41" i="77"/>
  <c r="G41" i="77"/>
  <c r="K3" i="77"/>
  <c r="F219" i="25"/>
  <c r="H219" i="25"/>
  <c r="G219" i="25"/>
  <c r="F47" i="25"/>
  <c r="D523" i="38"/>
  <c r="E523" i="38"/>
  <c r="G523" i="38"/>
  <c r="H523" i="38"/>
  <c r="K523" i="38"/>
  <c r="L523" i="38" s="1"/>
  <c r="M523" i="38"/>
  <c r="U523" i="38" s="1"/>
  <c r="S523" i="38"/>
  <c r="O524" i="38" l="1"/>
  <c r="Z524" i="38"/>
  <c r="N523" i="38"/>
  <c r="P523" i="38"/>
  <c r="D522" i="38"/>
  <c r="E522" i="38"/>
  <c r="G522" i="38"/>
  <c r="H522" i="38"/>
  <c r="K522" i="38"/>
  <c r="L522" i="38" s="1"/>
  <c r="M522" i="38"/>
  <c r="U522" i="38" s="1"/>
  <c r="S522" i="38"/>
  <c r="F54" i="46"/>
  <c r="H54" i="46"/>
  <c r="G54" i="46"/>
  <c r="F12" i="46"/>
  <c r="F40" i="84"/>
  <c r="H40" i="84"/>
  <c r="G40" i="84"/>
  <c r="K3" i="84"/>
  <c r="O523" i="38" l="1"/>
  <c r="Z523" i="38"/>
  <c r="N522" i="38"/>
  <c r="P522" i="38"/>
  <c r="F53" i="51"/>
  <c r="G53" i="51"/>
  <c r="H53" i="51"/>
  <c r="F100" i="58"/>
  <c r="G100" i="58"/>
  <c r="H100" i="58"/>
  <c r="O522" i="38" l="1"/>
  <c r="Z522" i="38"/>
  <c r="D521" i="38"/>
  <c r="E521" i="38"/>
  <c r="G521" i="38"/>
  <c r="H521" i="38"/>
  <c r="K521" i="38"/>
  <c r="L521" i="38" s="1"/>
  <c r="M521" i="38"/>
  <c r="U521" i="38" s="1"/>
  <c r="S521" i="38"/>
  <c r="N521" i="38" l="1"/>
  <c r="P521" i="38"/>
  <c r="D520" i="38"/>
  <c r="E520" i="38"/>
  <c r="G520" i="38"/>
  <c r="H520" i="38"/>
  <c r="K520" i="38"/>
  <c r="L520" i="38" s="1"/>
  <c r="M520" i="38"/>
  <c r="U520" i="38" s="1"/>
  <c r="S520" i="38"/>
  <c r="F34" i="57"/>
  <c r="H34" i="57"/>
  <c r="G34" i="57"/>
  <c r="F34" i="70"/>
  <c r="H34" i="70"/>
  <c r="G34" i="70"/>
  <c r="F9" i="70"/>
  <c r="F53" i="46"/>
  <c r="H53" i="46"/>
  <c r="G53" i="46"/>
  <c r="F10" i="46"/>
  <c r="O521" i="38" l="1"/>
  <c r="Z521" i="38"/>
  <c r="N520" i="38"/>
  <c r="P520" i="38"/>
  <c r="D519" i="38"/>
  <c r="E519" i="38"/>
  <c r="G519" i="38"/>
  <c r="H519" i="38"/>
  <c r="K519" i="38"/>
  <c r="L519" i="38" s="1"/>
  <c r="M519" i="38"/>
  <c r="U519" i="38" s="1"/>
  <c r="S519" i="38"/>
  <c r="F5" i="46"/>
  <c r="F52" i="46"/>
  <c r="H52" i="46"/>
  <c r="G52" i="46"/>
  <c r="K2" i="46"/>
  <c r="F218" i="25"/>
  <c r="H218" i="25"/>
  <c r="G218" i="25"/>
  <c r="F46" i="25"/>
  <c r="F60" i="43"/>
  <c r="H60" i="43"/>
  <c r="G60" i="43"/>
  <c r="M27" i="43"/>
  <c r="H27" i="43"/>
  <c r="K6" i="43"/>
  <c r="K43" i="46"/>
  <c r="M43" i="46"/>
  <c r="O520" i="38" l="1"/>
  <c r="Z520" i="38"/>
  <c r="P519" i="38"/>
  <c r="N519" i="38"/>
  <c r="K5" i="43"/>
  <c r="D518" i="38"/>
  <c r="E518" i="38"/>
  <c r="G518" i="38"/>
  <c r="H518" i="38"/>
  <c r="K518" i="38"/>
  <c r="L518" i="38" s="1"/>
  <c r="M518" i="38"/>
  <c r="N518" i="38" s="1"/>
  <c r="S518" i="38"/>
  <c r="O519" i="38" l="1"/>
  <c r="O518" i="38"/>
  <c r="Z518" i="38"/>
  <c r="Z519" i="38"/>
  <c r="U518" i="38"/>
  <c r="P518" i="38"/>
  <c r="D517" i="38"/>
  <c r="E517" i="38"/>
  <c r="G517" i="38"/>
  <c r="H517" i="38"/>
  <c r="K517" i="38"/>
  <c r="L517" i="38" s="1"/>
  <c r="M517" i="38"/>
  <c r="N517" i="38" s="1"/>
  <c r="S517" i="38"/>
  <c r="F217" i="25"/>
  <c r="H217" i="25"/>
  <c r="G217" i="25"/>
  <c r="K24" i="25"/>
  <c r="F40" i="77"/>
  <c r="H40" i="77"/>
  <c r="G40" i="77"/>
  <c r="F9" i="77"/>
  <c r="F51" i="46"/>
  <c r="H51" i="46"/>
  <c r="G51" i="46"/>
  <c r="F9" i="46"/>
  <c r="F8" i="46"/>
  <c r="F59" i="43"/>
  <c r="H59" i="43"/>
  <c r="G59" i="43"/>
  <c r="F12" i="43"/>
  <c r="F43" i="46"/>
  <c r="O517" i="38" l="1"/>
  <c r="Z517" i="38"/>
  <c r="P517" i="38"/>
  <c r="U517" i="38"/>
  <c r="F39" i="77" l="1"/>
  <c r="H39" i="77"/>
  <c r="G39" i="77"/>
  <c r="D516" i="38" l="1"/>
  <c r="E516" i="38"/>
  <c r="G516" i="38"/>
  <c r="H516" i="38"/>
  <c r="K516" i="38"/>
  <c r="L516" i="38" s="1"/>
  <c r="M516" i="38"/>
  <c r="U516" i="38" s="1"/>
  <c r="S516" i="38"/>
  <c r="F50" i="46"/>
  <c r="H50" i="46"/>
  <c r="G50" i="46"/>
  <c r="F216" i="25"/>
  <c r="H216" i="25"/>
  <c r="G216" i="25"/>
  <c r="K23" i="25"/>
  <c r="K68" i="83"/>
  <c r="F68" i="83"/>
  <c r="P516" i="38" l="1"/>
  <c r="N516" i="38"/>
  <c r="D515" i="38"/>
  <c r="E515" i="38"/>
  <c r="G515" i="38"/>
  <c r="H515" i="38"/>
  <c r="K515" i="38"/>
  <c r="L515" i="38" s="1"/>
  <c r="M515" i="38"/>
  <c r="N515" i="38" s="1"/>
  <c r="S515" i="38"/>
  <c r="F6" i="46"/>
  <c r="O515" i="38" l="1"/>
  <c r="O516" i="38"/>
  <c r="Z515" i="38"/>
  <c r="Z516" i="38"/>
  <c r="P515" i="38"/>
  <c r="U515" i="38"/>
  <c r="F7" i="70"/>
  <c r="F33" i="70"/>
  <c r="H33" i="70"/>
  <c r="G33" i="70"/>
  <c r="K4" i="70"/>
  <c r="F215" i="25"/>
  <c r="H215" i="25"/>
  <c r="G215" i="25"/>
  <c r="K22" i="25"/>
  <c r="F39" i="84"/>
  <c r="H39" i="84"/>
  <c r="G39" i="84"/>
  <c r="K2" i="84"/>
  <c r="K24" i="84" s="1"/>
  <c r="D514" i="38"/>
  <c r="E514" i="38"/>
  <c r="G514" i="38"/>
  <c r="H514" i="38"/>
  <c r="K514" i="38"/>
  <c r="L514" i="38" s="1"/>
  <c r="M514" i="38"/>
  <c r="N514" i="38" s="1"/>
  <c r="S514" i="38"/>
  <c r="K25" i="84"/>
  <c r="O514" i="38" l="1"/>
  <c r="Z514" i="38"/>
  <c r="P514" i="38"/>
  <c r="AB54" i="58"/>
  <c r="D513" i="38"/>
  <c r="E513" i="38"/>
  <c r="G513" i="38"/>
  <c r="H513" i="38"/>
  <c r="K513" i="38"/>
  <c r="L513" i="38" s="1"/>
  <c r="M513" i="38"/>
  <c r="N513" i="38" s="1"/>
  <c r="S513" i="38"/>
  <c r="O513" i="38" l="1"/>
  <c r="Z513" i="38"/>
  <c r="P513" i="38"/>
  <c r="U513" i="38"/>
  <c r="D512" i="38"/>
  <c r="E512" i="38"/>
  <c r="G512" i="38"/>
  <c r="H512" i="38"/>
  <c r="K512" i="38"/>
  <c r="L512" i="38" s="1"/>
  <c r="M512" i="38"/>
  <c r="U512" i="38" s="1"/>
  <c r="S512" i="38"/>
  <c r="N512" i="38" l="1"/>
  <c r="P512" i="38"/>
  <c r="D511" i="38"/>
  <c r="E511" i="38"/>
  <c r="G511" i="38"/>
  <c r="H511" i="38"/>
  <c r="K511" i="38"/>
  <c r="L511" i="38" s="1"/>
  <c r="M511" i="38"/>
  <c r="U511" i="38" s="1"/>
  <c r="S511" i="38"/>
  <c r="F38" i="84"/>
  <c r="H38" i="84"/>
  <c r="G38" i="84"/>
  <c r="F7" i="84"/>
  <c r="F32" i="70"/>
  <c r="H32" i="70"/>
  <c r="G32" i="70"/>
  <c r="F8" i="70"/>
  <c r="O512" i="38" l="1"/>
  <c r="Z512" i="38"/>
  <c r="N511" i="38"/>
  <c r="P511" i="38"/>
  <c r="D510" i="38"/>
  <c r="E510" i="38"/>
  <c r="G510" i="38"/>
  <c r="H510" i="38"/>
  <c r="K510" i="38"/>
  <c r="L510" i="38" s="1"/>
  <c r="M510" i="38"/>
  <c r="U510" i="38" s="1"/>
  <c r="S510" i="38"/>
  <c r="O511" i="38" l="1"/>
  <c r="Z511" i="38"/>
  <c r="N510" i="38"/>
  <c r="P510" i="38"/>
  <c r="F43" i="64"/>
  <c r="H43" i="64"/>
  <c r="G43" i="64"/>
  <c r="D509" i="38"/>
  <c r="E509" i="38"/>
  <c r="G509" i="38"/>
  <c r="H509" i="38"/>
  <c r="K509" i="38"/>
  <c r="L509" i="38" s="1"/>
  <c r="M509" i="38"/>
  <c r="U509" i="38" s="1"/>
  <c r="S509" i="38"/>
  <c r="G33" i="57"/>
  <c r="F33" i="57"/>
  <c r="H33" i="57"/>
  <c r="F5" i="57"/>
  <c r="O510" i="38" l="1"/>
  <c r="Z510" i="38"/>
  <c r="P509" i="38"/>
  <c r="N509" i="38"/>
  <c r="F37" i="84"/>
  <c r="H37" i="84"/>
  <c r="G37" i="84"/>
  <c r="F6" i="84"/>
  <c r="D508" i="38"/>
  <c r="E508" i="38"/>
  <c r="G508" i="38"/>
  <c r="H508" i="38"/>
  <c r="K508" i="38"/>
  <c r="L508" i="38" s="1"/>
  <c r="M508" i="38"/>
  <c r="U508" i="38" s="1"/>
  <c r="S508" i="38"/>
  <c r="O509" i="38" l="1"/>
  <c r="Z509" i="38"/>
  <c r="P508" i="38"/>
  <c r="N508" i="38"/>
  <c r="D507" i="38"/>
  <c r="E507" i="38"/>
  <c r="G507" i="38"/>
  <c r="H507" i="38"/>
  <c r="K507" i="38"/>
  <c r="L507" i="38" s="1"/>
  <c r="M507" i="38"/>
  <c r="U507" i="38" s="1"/>
  <c r="S507" i="38"/>
  <c r="F26" i="83"/>
  <c r="G26" i="83"/>
  <c r="H26" i="83"/>
  <c r="F26" i="85"/>
  <c r="G26" i="85"/>
  <c r="H26" i="85"/>
  <c r="F37" i="81"/>
  <c r="G37" i="81"/>
  <c r="H37" i="81"/>
  <c r="F26" i="45"/>
  <c r="G26" i="45"/>
  <c r="H26" i="45"/>
  <c r="F38" i="77"/>
  <c r="G38" i="77"/>
  <c r="H38" i="77"/>
  <c r="F99" i="58"/>
  <c r="G99" i="58"/>
  <c r="H99" i="58"/>
  <c r="F52" i="51"/>
  <c r="G52" i="51"/>
  <c r="H52" i="51"/>
  <c r="F214" i="25"/>
  <c r="G214" i="25"/>
  <c r="H214" i="25"/>
  <c r="O508" i="38" l="1"/>
  <c r="Z508" i="38"/>
  <c r="P507" i="38"/>
  <c r="N507" i="38"/>
  <c r="F213" i="25"/>
  <c r="G213" i="25"/>
  <c r="H213" i="25"/>
  <c r="F58" i="43"/>
  <c r="H58" i="43"/>
  <c r="G58" i="43"/>
  <c r="K4" i="43"/>
  <c r="F37" i="77"/>
  <c r="G37" i="77"/>
  <c r="H37" i="77"/>
  <c r="O507" i="38" l="1"/>
  <c r="Z507" i="38"/>
  <c r="D506" i="38"/>
  <c r="E506" i="38"/>
  <c r="G506" i="38"/>
  <c r="H506" i="38"/>
  <c r="K506" i="38"/>
  <c r="L506" i="38" s="1"/>
  <c r="M506" i="38"/>
  <c r="U506" i="38" s="1"/>
  <c r="S506" i="38"/>
  <c r="F49" i="46"/>
  <c r="G49" i="46"/>
  <c r="H49" i="46"/>
  <c r="F4" i="46"/>
  <c r="F32" i="57"/>
  <c r="G32" i="57"/>
  <c r="H32" i="57"/>
  <c r="K3" i="57"/>
  <c r="F31" i="78"/>
  <c r="H31" i="78"/>
  <c r="G31" i="78"/>
  <c r="K2" i="78"/>
  <c r="F31" i="57"/>
  <c r="G31" i="57"/>
  <c r="H31" i="57"/>
  <c r="K2" i="57"/>
  <c r="P506" i="38" l="1"/>
  <c r="N506" i="38"/>
  <c r="D505" i="38"/>
  <c r="E505" i="38"/>
  <c r="G505" i="38"/>
  <c r="H505" i="38"/>
  <c r="K505" i="38"/>
  <c r="L505" i="38" s="1"/>
  <c r="M505" i="38"/>
  <c r="U505" i="38" s="1"/>
  <c r="S505" i="38"/>
  <c r="O506" i="38" l="1"/>
  <c r="Z506" i="38"/>
  <c r="P505" i="38"/>
  <c r="N505" i="38"/>
  <c r="D504" i="38"/>
  <c r="E504" i="38"/>
  <c r="G504" i="38"/>
  <c r="H504" i="38"/>
  <c r="K504" i="38"/>
  <c r="L504" i="38" s="1"/>
  <c r="M504" i="38"/>
  <c r="U504" i="38" s="1"/>
  <c r="S504" i="38"/>
  <c r="O505" i="38" l="1"/>
  <c r="Z505" i="38"/>
  <c r="N504" i="38"/>
  <c r="P504" i="38"/>
  <c r="D503" i="38"/>
  <c r="E503" i="38"/>
  <c r="G503" i="38"/>
  <c r="H503" i="38"/>
  <c r="K503" i="38"/>
  <c r="L503" i="38" s="1"/>
  <c r="M503" i="38"/>
  <c r="U503" i="38" s="1"/>
  <c r="S503" i="38"/>
  <c r="O504" i="38" l="1"/>
  <c r="Z504" i="38"/>
  <c r="P503" i="38"/>
  <c r="N503" i="38"/>
  <c r="D502" i="38"/>
  <c r="E502" i="38"/>
  <c r="G502" i="38"/>
  <c r="H502" i="38"/>
  <c r="K502" i="38"/>
  <c r="L502" i="38" s="1"/>
  <c r="M502" i="38"/>
  <c r="U502" i="38" s="1"/>
  <c r="S502" i="38"/>
  <c r="O503" i="38" l="1"/>
  <c r="Z503" i="38"/>
  <c r="P502" i="38"/>
  <c r="N502" i="38"/>
  <c r="F36" i="84"/>
  <c r="G36" i="84"/>
  <c r="H36" i="84"/>
  <c r="F35" i="84"/>
  <c r="G35" i="84"/>
  <c r="H35" i="84"/>
  <c r="F31" i="70"/>
  <c r="G31" i="70"/>
  <c r="H31" i="70"/>
  <c r="F36" i="77"/>
  <c r="G36" i="77"/>
  <c r="H36" i="77"/>
  <c r="F57" i="43"/>
  <c r="G57" i="43"/>
  <c r="H57" i="43"/>
  <c r="F98" i="58"/>
  <c r="H98" i="58"/>
  <c r="G98" i="58"/>
  <c r="F51" i="51"/>
  <c r="G51" i="51"/>
  <c r="H51" i="51"/>
  <c r="F212" i="25"/>
  <c r="G212" i="25"/>
  <c r="H212" i="25"/>
  <c r="O502" i="38" l="1"/>
  <c r="Z502" i="38"/>
  <c r="D501" i="38"/>
  <c r="E501" i="38"/>
  <c r="G501" i="38"/>
  <c r="H501" i="38"/>
  <c r="K501" i="38"/>
  <c r="L501" i="38" s="1"/>
  <c r="M501" i="38"/>
  <c r="U501" i="38" s="1"/>
  <c r="S501" i="38"/>
  <c r="K75" i="61"/>
  <c r="F75" i="61"/>
  <c r="H202" i="61"/>
  <c r="G202" i="61"/>
  <c r="F202" i="61"/>
  <c r="F25" i="45"/>
  <c r="G25" i="45"/>
  <c r="H25" i="45"/>
  <c r="F3" i="45"/>
  <c r="H36" i="81"/>
  <c r="G36" i="81"/>
  <c r="F36" i="81"/>
  <c r="F3" i="81"/>
  <c r="F2" i="81"/>
  <c r="F29" i="81" l="1"/>
  <c r="P501" i="38"/>
  <c r="N501" i="38"/>
  <c r="D500" i="38"/>
  <c r="E500" i="38"/>
  <c r="G500" i="38"/>
  <c r="H500" i="38"/>
  <c r="K500" i="38"/>
  <c r="L500" i="38" s="1"/>
  <c r="M500" i="38"/>
  <c r="U500" i="38" s="1"/>
  <c r="S500" i="38"/>
  <c r="F35" i="77"/>
  <c r="H35" i="77"/>
  <c r="G35" i="77"/>
  <c r="F8" i="77"/>
  <c r="O501" i="38" l="1"/>
  <c r="Z501" i="38"/>
  <c r="P500" i="38"/>
  <c r="N500" i="38"/>
  <c r="O500" i="38" l="1"/>
  <c r="Z500" i="38"/>
  <c r="D499" i="38"/>
  <c r="E499" i="38"/>
  <c r="G499" i="38"/>
  <c r="H499" i="38"/>
  <c r="K499" i="38"/>
  <c r="L499" i="38" s="1"/>
  <c r="M499" i="38"/>
  <c r="N499" i="38" s="1"/>
  <c r="S499" i="38"/>
  <c r="F30" i="57"/>
  <c r="G30" i="57"/>
  <c r="H30" i="57"/>
  <c r="F4" i="57"/>
  <c r="O499" i="38" l="1"/>
  <c r="Z499" i="38"/>
  <c r="P499" i="38"/>
  <c r="U499" i="38"/>
  <c r="D498" i="38"/>
  <c r="E498" i="38"/>
  <c r="G498" i="38"/>
  <c r="H498" i="38"/>
  <c r="K498" i="38"/>
  <c r="L498" i="38" s="1"/>
  <c r="M498" i="38"/>
  <c r="U498" i="38" s="1"/>
  <c r="S498" i="38"/>
  <c r="N498" i="38" l="1"/>
  <c r="P498" i="38"/>
  <c r="D497" i="38"/>
  <c r="E497" i="38"/>
  <c r="G497" i="38"/>
  <c r="H497" i="38"/>
  <c r="K497" i="38"/>
  <c r="L497" i="38" s="1"/>
  <c r="M497" i="38"/>
  <c r="N497" i="38" s="1"/>
  <c r="S497" i="38"/>
  <c r="F34" i="84"/>
  <c r="G34" i="84"/>
  <c r="H34" i="84"/>
  <c r="F5" i="84"/>
  <c r="F34" i="77"/>
  <c r="H34" i="77"/>
  <c r="G34" i="77"/>
  <c r="F6" i="77"/>
  <c r="F56" i="43"/>
  <c r="H56" i="43"/>
  <c r="G56" i="43"/>
  <c r="F10" i="43"/>
  <c r="O497" i="38" l="1"/>
  <c r="O498" i="38"/>
  <c r="Z497" i="38"/>
  <c r="Z498" i="38"/>
  <c r="U497" i="38"/>
  <c r="P497" i="38"/>
  <c r="D496" i="38"/>
  <c r="E496" i="38"/>
  <c r="G496" i="38"/>
  <c r="H496" i="38"/>
  <c r="K496" i="38"/>
  <c r="L496" i="38" s="1"/>
  <c r="M496" i="38"/>
  <c r="U496" i="38" s="1"/>
  <c r="S496" i="38"/>
  <c r="F105" i="45"/>
  <c r="K104" i="45"/>
  <c r="F104" i="45"/>
  <c r="K103" i="45"/>
  <c r="F103" i="45"/>
  <c r="K102" i="45"/>
  <c r="F102" i="45"/>
  <c r="K101" i="45"/>
  <c r="F101" i="45"/>
  <c r="K100" i="45"/>
  <c r="F100" i="45"/>
  <c r="K78" i="64"/>
  <c r="F78" i="64"/>
  <c r="K68" i="78"/>
  <c r="F68" i="78"/>
  <c r="N496" i="38" l="1"/>
  <c r="P496" i="38"/>
  <c r="F33" i="84"/>
  <c r="G33" i="84"/>
  <c r="H33" i="84"/>
  <c r="F4" i="84"/>
  <c r="C18" i="64"/>
  <c r="F32" i="84"/>
  <c r="G32" i="84"/>
  <c r="H32" i="84"/>
  <c r="F3" i="84"/>
  <c r="F30" i="78"/>
  <c r="H30" i="78"/>
  <c r="G30" i="78"/>
  <c r="F3" i="78"/>
  <c r="O496" i="38" l="1"/>
  <c r="Z496" i="38"/>
  <c r="D495" i="38"/>
  <c r="E495" i="38"/>
  <c r="G495" i="38"/>
  <c r="H495" i="38"/>
  <c r="K495" i="38"/>
  <c r="L495" i="38" s="1"/>
  <c r="M495" i="38"/>
  <c r="U495" i="38" s="1"/>
  <c r="S495" i="38"/>
  <c r="N495" i="38" l="1"/>
  <c r="P495" i="38"/>
  <c r="D494" i="38"/>
  <c r="E494" i="38"/>
  <c r="G494" i="38"/>
  <c r="H494" i="38"/>
  <c r="K494" i="38"/>
  <c r="L494" i="38" s="1"/>
  <c r="M494" i="38"/>
  <c r="U494" i="38" s="1"/>
  <c r="S494" i="38"/>
  <c r="O495" i="38" l="1"/>
  <c r="Z495" i="38"/>
  <c r="P494" i="38"/>
  <c r="N494" i="38"/>
  <c r="F50" i="51"/>
  <c r="H50" i="51"/>
  <c r="G50" i="51"/>
  <c r="D493" i="38"/>
  <c r="E493" i="38"/>
  <c r="G493" i="38"/>
  <c r="H493" i="38"/>
  <c r="K493" i="38"/>
  <c r="L493" i="38" s="1"/>
  <c r="M493" i="38"/>
  <c r="U493" i="38" s="1"/>
  <c r="S493" i="38"/>
  <c r="F211" i="25"/>
  <c r="H211" i="25"/>
  <c r="G211" i="25"/>
  <c r="K21" i="25"/>
  <c r="O494" i="38" l="1"/>
  <c r="Z494" i="38"/>
  <c r="P493" i="38"/>
  <c r="N493" i="38"/>
  <c r="D492" i="38"/>
  <c r="E492" i="38"/>
  <c r="G492" i="38"/>
  <c r="H492" i="38"/>
  <c r="K492" i="38"/>
  <c r="L492" i="38" s="1"/>
  <c r="M492" i="38"/>
  <c r="U492" i="38" s="1"/>
  <c r="S492" i="38"/>
  <c r="F41" i="64"/>
  <c r="H41" i="64"/>
  <c r="G41" i="64"/>
  <c r="O493" i="38" l="1"/>
  <c r="Z493" i="38"/>
  <c r="N492" i="38"/>
  <c r="P492" i="38"/>
  <c r="H200" i="61"/>
  <c r="G200" i="61"/>
  <c r="F200" i="61"/>
  <c r="H199" i="61"/>
  <c r="G199" i="61"/>
  <c r="F199" i="61"/>
  <c r="H198" i="61"/>
  <c r="G198" i="61"/>
  <c r="F198" i="61"/>
  <c r="F24" i="61"/>
  <c r="G24" i="61"/>
  <c r="H24" i="61"/>
  <c r="K74" i="61"/>
  <c r="F74" i="61"/>
  <c r="F33" i="77"/>
  <c r="H33" i="77"/>
  <c r="G33" i="77"/>
  <c r="O492" i="38" l="1"/>
  <c r="Z492" i="38"/>
  <c r="F55" i="43"/>
  <c r="H55" i="43"/>
  <c r="G55" i="43"/>
  <c r="F97" i="58"/>
  <c r="H97" i="58"/>
  <c r="G97" i="58"/>
  <c r="D491" i="38" l="1"/>
  <c r="E491" i="38"/>
  <c r="G491" i="38"/>
  <c r="H491" i="38"/>
  <c r="K491" i="38"/>
  <c r="L491" i="38" s="1"/>
  <c r="M491" i="38"/>
  <c r="U491" i="38" s="1"/>
  <c r="S491" i="38"/>
  <c r="K40" i="56"/>
  <c r="F40" i="56"/>
  <c r="H64" i="63"/>
  <c r="C64" i="63"/>
  <c r="K52" i="63"/>
  <c r="F52" i="63"/>
  <c r="P491" i="38" l="1"/>
  <c r="N491" i="38"/>
  <c r="D490" i="38"/>
  <c r="E490" i="38"/>
  <c r="G490" i="38"/>
  <c r="H490" i="38"/>
  <c r="K490" i="38"/>
  <c r="L490" i="38" s="1"/>
  <c r="M490" i="38"/>
  <c r="U490" i="38" s="1"/>
  <c r="S490" i="38"/>
  <c r="F210" i="25"/>
  <c r="H210" i="25"/>
  <c r="G210" i="25"/>
  <c r="F45" i="25"/>
  <c r="F2" i="45"/>
  <c r="O491" i="38" l="1"/>
  <c r="Z491" i="38"/>
  <c r="P490" i="38"/>
  <c r="N490" i="38"/>
  <c r="D489" i="38"/>
  <c r="E489" i="38"/>
  <c r="G489" i="38"/>
  <c r="H489" i="38"/>
  <c r="K489" i="38"/>
  <c r="L489" i="38" s="1"/>
  <c r="M489" i="38"/>
  <c r="U489" i="38" s="1"/>
  <c r="S489" i="38"/>
  <c r="F209" i="25"/>
  <c r="H209" i="25"/>
  <c r="G209" i="25"/>
  <c r="K20" i="25"/>
  <c r="H115" i="81"/>
  <c r="G115" i="81"/>
  <c r="F115" i="81"/>
  <c r="H114" i="81"/>
  <c r="G114" i="81"/>
  <c r="F114" i="81"/>
  <c r="K93" i="81"/>
  <c r="F93" i="81"/>
  <c r="H150" i="57"/>
  <c r="G150" i="57"/>
  <c r="F150" i="57"/>
  <c r="H149" i="57"/>
  <c r="G149" i="57"/>
  <c r="F149" i="57"/>
  <c r="H148" i="57"/>
  <c r="G148" i="57"/>
  <c r="F148" i="57"/>
  <c r="H147" i="57"/>
  <c r="G147" i="57"/>
  <c r="F147" i="57"/>
  <c r="H146" i="57"/>
  <c r="G146" i="57"/>
  <c r="F146" i="57"/>
  <c r="H145" i="57"/>
  <c r="G145" i="57"/>
  <c r="F145" i="57"/>
  <c r="H144" i="57"/>
  <c r="G144" i="57"/>
  <c r="F144" i="57"/>
  <c r="H143" i="57"/>
  <c r="G143" i="57"/>
  <c r="F143" i="57"/>
  <c r="H142" i="57"/>
  <c r="G142" i="57"/>
  <c r="F142" i="57"/>
  <c r="H141" i="57"/>
  <c r="G141" i="57"/>
  <c r="F141" i="57"/>
  <c r="H140" i="57"/>
  <c r="G140" i="57"/>
  <c r="F140" i="57"/>
  <c r="H139" i="57"/>
  <c r="G139" i="57"/>
  <c r="F139" i="57"/>
  <c r="H138" i="57"/>
  <c r="G138" i="57"/>
  <c r="F138" i="57"/>
  <c r="H137" i="57"/>
  <c r="G137" i="57"/>
  <c r="F137" i="57"/>
  <c r="H136" i="57"/>
  <c r="G136" i="57"/>
  <c r="F136" i="57"/>
  <c r="H135" i="57"/>
  <c r="G135" i="57"/>
  <c r="F135" i="57"/>
  <c r="H134" i="57"/>
  <c r="G134" i="57"/>
  <c r="F134" i="57"/>
  <c r="H133" i="57"/>
  <c r="G133" i="57"/>
  <c r="F133" i="57"/>
  <c r="H132" i="57"/>
  <c r="G132" i="57"/>
  <c r="F132" i="57"/>
  <c r="H131" i="57"/>
  <c r="G131" i="57"/>
  <c r="F131" i="57"/>
  <c r="H130" i="57"/>
  <c r="G130" i="57"/>
  <c r="F130" i="57"/>
  <c r="H129" i="57"/>
  <c r="G129" i="57"/>
  <c r="F129" i="57"/>
  <c r="H128" i="57"/>
  <c r="G128" i="57"/>
  <c r="F128" i="57"/>
  <c r="H127" i="57"/>
  <c r="G127" i="57"/>
  <c r="F127" i="57"/>
  <c r="H126" i="57"/>
  <c r="G126" i="57"/>
  <c r="F126" i="57"/>
  <c r="H125" i="57"/>
  <c r="G125" i="57"/>
  <c r="F125" i="57"/>
  <c r="H124" i="57"/>
  <c r="G124" i="57"/>
  <c r="F124" i="57"/>
  <c r="H123" i="57"/>
  <c r="G123" i="57"/>
  <c r="F123" i="57"/>
  <c r="H122" i="57"/>
  <c r="G122" i="57"/>
  <c r="F122" i="57"/>
  <c r="H121" i="57"/>
  <c r="G121" i="57"/>
  <c r="F121" i="57"/>
  <c r="H120" i="57"/>
  <c r="G120" i="57"/>
  <c r="F120" i="57"/>
  <c r="F179" i="57"/>
  <c r="K179" i="57"/>
  <c r="F180" i="57"/>
  <c r="K180" i="57"/>
  <c r="F181" i="57"/>
  <c r="K181" i="57"/>
  <c r="F182" i="57"/>
  <c r="K182" i="57"/>
  <c r="F183" i="57"/>
  <c r="K183" i="57"/>
  <c r="M212" i="57"/>
  <c r="H212" i="57"/>
  <c r="C212" i="57"/>
  <c r="F204" i="57"/>
  <c r="F203" i="57"/>
  <c r="F202" i="57"/>
  <c r="F201" i="57"/>
  <c r="F200" i="57"/>
  <c r="F199" i="57"/>
  <c r="F198" i="57"/>
  <c r="F197" i="57"/>
  <c r="K196" i="57"/>
  <c r="F196" i="57"/>
  <c r="K195" i="57"/>
  <c r="F195" i="57"/>
  <c r="K194" i="57"/>
  <c r="F194" i="57"/>
  <c r="K193" i="57"/>
  <c r="F193" i="57"/>
  <c r="K192" i="57"/>
  <c r="F192" i="57"/>
  <c r="K191" i="57"/>
  <c r="F191" i="57"/>
  <c r="K190" i="57"/>
  <c r="F190" i="57"/>
  <c r="K189" i="57"/>
  <c r="F189" i="57"/>
  <c r="K188" i="57"/>
  <c r="F188" i="57"/>
  <c r="O490" i="38" l="1"/>
  <c r="Z490" i="38"/>
  <c r="P489" i="38"/>
  <c r="N489" i="38"/>
  <c r="D488" i="38"/>
  <c r="E488" i="38"/>
  <c r="G488" i="38"/>
  <c r="H488" i="38"/>
  <c r="K488" i="38"/>
  <c r="L488" i="38" s="1"/>
  <c r="M488" i="38"/>
  <c r="U488" i="38" s="1"/>
  <c r="S488" i="38"/>
  <c r="F208" i="25"/>
  <c r="H208" i="25"/>
  <c r="G208" i="25"/>
  <c r="K19" i="25"/>
  <c r="M159" i="25"/>
  <c r="O489" i="38" l="1"/>
  <c r="Z489" i="38"/>
  <c r="P488" i="38"/>
  <c r="N488" i="38"/>
  <c r="D487" i="38"/>
  <c r="E487" i="38"/>
  <c r="G487" i="38"/>
  <c r="H487" i="38"/>
  <c r="K487" i="38"/>
  <c r="L487" i="38" s="1"/>
  <c r="M487" i="38"/>
  <c r="N487" i="38" s="1"/>
  <c r="S487" i="38"/>
  <c r="Z487" i="38" l="1"/>
  <c r="O487" i="38"/>
  <c r="O488" i="38"/>
  <c r="Z488" i="38"/>
  <c r="P487" i="38"/>
  <c r="U487" i="38"/>
  <c r="F40" i="64"/>
  <c r="H40" i="64"/>
  <c r="G40" i="64"/>
  <c r="K76" i="64"/>
  <c r="F76" i="64"/>
  <c r="AA54" i="58" l="1"/>
  <c r="D486" i="38" l="1"/>
  <c r="E486" i="38"/>
  <c r="G486" i="38"/>
  <c r="H486" i="38"/>
  <c r="K486" i="38"/>
  <c r="L486" i="38" s="1"/>
  <c r="M486" i="38"/>
  <c r="U486" i="38" s="1"/>
  <c r="S486" i="38"/>
  <c r="F207" i="25"/>
  <c r="H207" i="25"/>
  <c r="G207" i="25"/>
  <c r="K18" i="25"/>
  <c r="F206" i="25"/>
  <c r="H206" i="25"/>
  <c r="G206" i="25"/>
  <c r="K17" i="25"/>
  <c r="P486" i="38" l="1"/>
  <c r="N486" i="38"/>
  <c r="F205" i="25"/>
  <c r="G205" i="25"/>
  <c r="H205" i="25"/>
  <c r="F48" i="46"/>
  <c r="G48" i="46"/>
  <c r="H48" i="46"/>
  <c r="F30" i="70"/>
  <c r="H30" i="70"/>
  <c r="G30" i="70"/>
  <c r="F49" i="51"/>
  <c r="G49" i="51"/>
  <c r="H49" i="51"/>
  <c r="D485" i="38"/>
  <c r="E485" i="38"/>
  <c r="G485" i="38"/>
  <c r="H485" i="38"/>
  <c r="K485" i="38"/>
  <c r="L485" i="38" s="1"/>
  <c r="M485" i="38"/>
  <c r="U485" i="38" s="1"/>
  <c r="S485" i="38"/>
  <c r="O486" i="38" l="1"/>
  <c r="Z486" i="38"/>
  <c r="P485" i="38"/>
  <c r="N485" i="38"/>
  <c r="H21" i="56"/>
  <c r="G21" i="56"/>
  <c r="F21" i="56"/>
  <c r="D484" i="38"/>
  <c r="E484" i="38"/>
  <c r="G484" i="38"/>
  <c r="H484" i="38"/>
  <c r="K484" i="38"/>
  <c r="L484" i="38" s="1"/>
  <c r="M484" i="38"/>
  <c r="U484" i="38" s="1"/>
  <c r="S484" i="38"/>
  <c r="M84" i="85"/>
  <c r="K84" i="85"/>
  <c r="H84" i="85"/>
  <c r="F84" i="85"/>
  <c r="C84" i="85"/>
  <c r="P61" i="85"/>
  <c r="P60" i="85"/>
  <c r="P59" i="85"/>
  <c r="P58" i="85"/>
  <c r="P57" i="85"/>
  <c r="P56" i="85"/>
  <c r="P55" i="85"/>
  <c r="P54" i="85"/>
  <c r="P53" i="85"/>
  <c r="P52" i="85"/>
  <c r="P51" i="85"/>
  <c r="P50" i="85"/>
  <c r="P49" i="85"/>
  <c r="P48" i="85"/>
  <c r="P47" i="85"/>
  <c r="P46" i="85"/>
  <c r="P45" i="85"/>
  <c r="P44" i="85"/>
  <c r="P43" i="85"/>
  <c r="P42" i="85"/>
  <c r="P41" i="85"/>
  <c r="H25" i="85"/>
  <c r="G25" i="85"/>
  <c r="F25" i="85"/>
  <c r="M18" i="85"/>
  <c r="K18" i="85"/>
  <c r="H18" i="85"/>
  <c r="C18" i="85"/>
  <c r="F18" i="85"/>
  <c r="F3" i="57"/>
  <c r="C22" i="57"/>
  <c r="F2" i="57"/>
  <c r="K19" i="85"/>
  <c r="C85" i="85"/>
  <c r="M85" i="85"/>
  <c r="H85" i="85"/>
  <c r="F85" i="85"/>
  <c r="H19" i="85"/>
  <c r="F19" i="85"/>
  <c r="C19" i="85"/>
  <c r="K85" i="85"/>
  <c r="M19" i="85"/>
  <c r="O485" i="38" l="1"/>
  <c r="Z485" i="38"/>
  <c r="Q2" i="85"/>
  <c r="Q8" i="85" s="1"/>
  <c r="M66" i="85"/>
  <c r="Q10" i="85" s="1"/>
  <c r="N484" i="38"/>
  <c r="P484" i="38"/>
  <c r="H71" i="79"/>
  <c r="G71" i="79"/>
  <c r="F71" i="79"/>
  <c r="H70" i="79"/>
  <c r="G70" i="79"/>
  <c r="F70" i="79"/>
  <c r="K48" i="79"/>
  <c r="F48" i="79"/>
  <c r="K68" i="80"/>
  <c r="F68" i="80"/>
  <c r="F38" i="64"/>
  <c r="G38" i="64"/>
  <c r="H38" i="64"/>
  <c r="F18" i="64"/>
  <c r="M109" i="84"/>
  <c r="K109" i="84"/>
  <c r="H109" i="84"/>
  <c r="F109" i="84"/>
  <c r="C109" i="84"/>
  <c r="P42" i="84"/>
  <c r="P41" i="84"/>
  <c r="P40" i="84"/>
  <c r="P39" i="84"/>
  <c r="P38" i="84"/>
  <c r="P37" i="84"/>
  <c r="P36" i="84"/>
  <c r="P35" i="84"/>
  <c r="P34" i="84"/>
  <c r="P33" i="84"/>
  <c r="P32" i="84"/>
  <c r="P31" i="84"/>
  <c r="P30" i="84"/>
  <c r="P29" i="84"/>
  <c r="P28" i="84"/>
  <c r="P27" i="84"/>
  <c r="P26" i="84"/>
  <c r="P25" i="84"/>
  <c r="P24" i="84"/>
  <c r="P23" i="84"/>
  <c r="P22" i="84"/>
  <c r="H31" i="84"/>
  <c r="G31" i="84"/>
  <c r="F31" i="84"/>
  <c r="M24" i="84"/>
  <c r="F2" i="84"/>
  <c r="F24" i="84" s="1"/>
  <c r="D483" i="38"/>
  <c r="E483" i="38"/>
  <c r="G483" i="38"/>
  <c r="H483" i="38"/>
  <c r="K483" i="38"/>
  <c r="L483" i="38" s="1"/>
  <c r="M483" i="38"/>
  <c r="U483" i="38" s="1"/>
  <c r="S483" i="38"/>
  <c r="M84" i="83"/>
  <c r="K84" i="83"/>
  <c r="H84" i="83"/>
  <c r="F84" i="83"/>
  <c r="C84" i="83"/>
  <c r="P61" i="83"/>
  <c r="P60" i="83"/>
  <c r="P59" i="83"/>
  <c r="P58" i="83"/>
  <c r="P57" i="83"/>
  <c r="P56" i="83"/>
  <c r="P55" i="83"/>
  <c r="P54" i="83"/>
  <c r="P53" i="83"/>
  <c r="P52" i="83"/>
  <c r="P51" i="83"/>
  <c r="P50" i="83"/>
  <c r="P49" i="83"/>
  <c r="P48" i="83"/>
  <c r="P47" i="83"/>
  <c r="P46" i="83"/>
  <c r="P45" i="83"/>
  <c r="P44" i="83"/>
  <c r="P43" i="83"/>
  <c r="P42" i="83"/>
  <c r="P41" i="83"/>
  <c r="H25" i="83"/>
  <c r="G25" i="83"/>
  <c r="F25" i="83"/>
  <c r="M18" i="83"/>
  <c r="K18" i="83"/>
  <c r="H18" i="83"/>
  <c r="C18" i="83"/>
  <c r="F18" i="83"/>
  <c r="K19" i="83"/>
  <c r="C110" i="84"/>
  <c r="F110" i="84"/>
  <c r="M85" i="83"/>
  <c r="H25" i="84"/>
  <c r="K110" i="84"/>
  <c r="C19" i="83"/>
  <c r="M19" i="83"/>
  <c r="H85" i="83"/>
  <c r="H19" i="83"/>
  <c r="C85" i="83"/>
  <c r="H110" i="84"/>
  <c r="K85" i="83"/>
  <c r="F25" i="84"/>
  <c r="F19" i="83"/>
  <c r="F85" i="83"/>
  <c r="M110" i="84"/>
  <c r="C25" i="84"/>
  <c r="M25" i="84"/>
  <c r="O484" i="38" l="1"/>
  <c r="Z484" i="38"/>
  <c r="Q5" i="85"/>
  <c r="Q3" i="85"/>
  <c r="Q6" i="85" s="1"/>
  <c r="Q7" i="85"/>
  <c r="M91" i="84"/>
  <c r="Q10" i="84" s="1"/>
  <c r="M66" i="83"/>
  <c r="Q10" i="83" s="1"/>
  <c r="Q9" i="85"/>
  <c r="N483" i="38"/>
  <c r="P483" i="38"/>
  <c r="Q2" i="84"/>
  <c r="Q8" i="84" s="1"/>
  <c r="Q2" i="83"/>
  <c r="Q5" i="83" s="1"/>
  <c r="O483" i="38" l="1"/>
  <c r="Z483" i="38"/>
  <c r="Q7" i="84"/>
  <c r="Q3" i="84"/>
  <c r="Q6" i="84" s="1"/>
  <c r="Q9" i="84" s="1"/>
  <c r="Q5" i="84"/>
  <c r="Q8" i="83"/>
  <c r="Q7" i="83" s="1"/>
  <c r="Q3" i="83"/>
  <c r="Q6" i="83" s="1"/>
  <c r="F96" i="58"/>
  <c r="G96" i="58"/>
  <c r="H96" i="58"/>
  <c r="F48" i="51"/>
  <c r="G48" i="51"/>
  <c r="H48" i="51"/>
  <c r="K42" i="54"/>
  <c r="F42" i="54"/>
  <c r="H100" i="54"/>
  <c r="G100" i="54"/>
  <c r="F100" i="54"/>
  <c r="H99" i="54"/>
  <c r="G99" i="54"/>
  <c r="F99" i="54"/>
  <c r="F204" i="25"/>
  <c r="G204" i="25"/>
  <c r="H204" i="25"/>
  <c r="K16" i="25"/>
  <c r="M34" i="74"/>
  <c r="C34" i="74"/>
  <c r="M59" i="82"/>
  <c r="P37" i="82"/>
  <c r="P36" i="82"/>
  <c r="P35" i="82"/>
  <c r="P34" i="82"/>
  <c r="P33" i="82"/>
  <c r="P32" i="82"/>
  <c r="P31" i="82"/>
  <c r="P30" i="82"/>
  <c r="P29" i="82"/>
  <c r="P28" i="82"/>
  <c r="P27" i="82"/>
  <c r="P26" i="82"/>
  <c r="P25" i="82"/>
  <c r="P24" i="82"/>
  <c r="P23" i="82"/>
  <c r="P22" i="82"/>
  <c r="P21" i="82"/>
  <c r="P20" i="82"/>
  <c r="P19" i="82"/>
  <c r="P18" i="82"/>
  <c r="P17" i="82"/>
  <c r="M18" i="82"/>
  <c r="F18" i="82"/>
  <c r="D482" i="38"/>
  <c r="E482" i="38"/>
  <c r="G482" i="38"/>
  <c r="H482" i="38"/>
  <c r="K482" i="38"/>
  <c r="L482" i="38" s="1"/>
  <c r="M482" i="38"/>
  <c r="U482" i="38" s="1"/>
  <c r="S482" i="38"/>
  <c r="C60" i="82"/>
  <c r="C35" i="74"/>
  <c r="M35" i="74"/>
  <c r="F60" i="82"/>
  <c r="F19" i="82"/>
  <c r="H35" i="74"/>
  <c r="M19" i="82"/>
  <c r="M60" i="82"/>
  <c r="H60" i="82"/>
  <c r="C19" i="82"/>
  <c r="H19" i="82"/>
  <c r="K60" i="82"/>
  <c r="Q2" i="82" l="1"/>
  <c r="Q5" i="82" s="1"/>
  <c r="Q9" i="83"/>
  <c r="N482" i="38"/>
  <c r="M41" i="82"/>
  <c r="P482" i="38"/>
  <c r="K31" i="82" l="1"/>
  <c r="K32" i="82"/>
  <c r="Q10" i="82"/>
  <c r="K28" i="82" s="1"/>
  <c r="K30" i="82"/>
  <c r="O482" i="38"/>
  <c r="Z482" i="38"/>
  <c r="Q3" i="82"/>
  <c r="Q6" i="82" s="1"/>
  <c r="Q8" i="82"/>
  <c r="F47" i="46"/>
  <c r="G47" i="46"/>
  <c r="H47" i="46"/>
  <c r="F3" i="46"/>
  <c r="D481" i="38"/>
  <c r="E481" i="38"/>
  <c r="G481" i="38"/>
  <c r="H481" i="38"/>
  <c r="K481" i="38"/>
  <c r="L481" i="38" s="1"/>
  <c r="M481" i="38"/>
  <c r="U481" i="38" s="1"/>
  <c r="S481" i="38"/>
  <c r="Q7" i="82" l="1"/>
  <c r="K25" i="82"/>
  <c r="K26" i="82"/>
  <c r="Q9" i="82"/>
  <c r="N481" i="38"/>
  <c r="P481" i="38"/>
  <c r="D480" i="38"/>
  <c r="E480" i="38"/>
  <c r="G480" i="38"/>
  <c r="H480" i="38"/>
  <c r="K480" i="38"/>
  <c r="L480" i="38" s="1"/>
  <c r="M480" i="38"/>
  <c r="U480" i="38" s="1"/>
  <c r="S480" i="38"/>
  <c r="O481" i="38" l="1"/>
  <c r="Z481" i="38"/>
  <c r="N480" i="38"/>
  <c r="P480" i="38"/>
  <c r="D479" i="38"/>
  <c r="E479" i="38"/>
  <c r="G479" i="38"/>
  <c r="H479" i="38"/>
  <c r="K479" i="38"/>
  <c r="L479" i="38" s="1"/>
  <c r="M479" i="38"/>
  <c r="U479" i="38" s="1"/>
  <c r="S479" i="38"/>
  <c r="H105" i="75"/>
  <c r="G105" i="75"/>
  <c r="F105" i="75"/>
  <c r="K68" i="75"/>
  <c r="F68" i="75"/>
  <c r="F37" i="64"/>
  <c r="H37" i="64"/>
  <c r="G37" i="64"/>
  <c r="O480" i="38" l="1"/>
  <c r="Z480" i="38"/>
  <c r="N479" i="38"/>
  <c r="P479" i="38"/>
  <c r="D478" i="38"/>
  <c r="E478" i="38"/>
  <c r="G478" i="38"/>
  <c r="H478" i="38"/>
  <c r="K478" i="38"/>
  <c r="L478" i="38" s="1"/>
  <c r="M478" i="38"/>
  <c r="U478" i="38" s="1"/>
  <c r="S478" i="38"/>
  <c r="K445" i="17"/>
  <c r="F445" i="17"/>
  <c r="K444" i="17"/>
  <c r="F444" i="17"/>
  <c r="O479" i="38" l="1"/>
  <c r="Z479" i="38"/>
  <c r="P478" i="38"/>
  <c r="N478" i="38"/>
  <c r="D477" i="38"/>
  <c r="E477" i="38"/>
  <c r="G477" i="38"/>
  <c r="H477" i="38"/>
  <c r="K477" i="38"/>
  <c r="L477" i="38" s="1"/>
  <c r="M477" i="38"/>
  <c r="U477" i="38" s="1"/>
  <c r="S477" i="38"/>
  <c r="H23" i="57"/>
  <c r="O478" i="38" l="1"/>
  <c r="Z478" i="38"/>
  <c r="N477" i="38"/>
  <c r="P477" i="38"/>
  <c r="F32" i="77"/>
  <c r="H32" i="77"/>
  <c r="G32" i="77"/>
  <c r="O477" i="38" l="1"/>
  <c r="Z477" i="38"/>
  <c r="L47" i="51"/>
  <c r="D476" i="38" l="1"/>
  <c r="E476" i="38"/>
  <c r="G476" i="38"/>
  <c r="H476" i="38"/>
  <c r="K476" i="38"/>
  <c r="L476" i="38" s="1"/>
  <c r="M476" i="38"/>
  <c r="N476" i="38" s="1"/>
  <c r="S476" i="38"/>
  <c r="F47" i="51"/>
  <c r="G47" i="51"/>
  <c r="H47" i="51"/>
  <c r="F46" i="51"/>
  <c r="G46" i="51"/>
  <c r="H46" i="51"/>
  <c r="F203" i="25"/>
  <c r="G203" i="25"/>
  <c r="H203" i="25"/>
  <c r="K15" i="25"/>
  <c r="F29" i="78"/>
  <c r="H29" i="78"/>
  <c r="G29" i="78"/>
  <c r="F29" i="70"/>
  <c r="H29" i="70"/>
  <c r="G29" i="70"/>
  <c r="F6" i="70"/>
  <c r="F202" i="25"/>
  <c r="H202" i="25"/>
  <c r="G202" i="25"/>
  <c r="F44" i="25"/>
  <c r="F28" i="78"/>
  <c r="G28" i="78"/>
  <c r="H28" i="78"/>
  <c r="F2" i="78"/>
  <c r="K3" i="70"/>
  <c r="O476" i="38" l="1"/>
  <c r="Z476" i="38"/>
  <c r="P476" i="38"/>
  <c r="U476" i="38"/>
  <c r="D475" i="38"/>
  <c r="E475" i="38"/>
  <c r="G475" i="38"/>
  <c r="H475" i="38"/>
  <c r="K475" i="38"/>
  <c r="L475" i="38" s="1"/>
  <c r="M475" i="38"/>
  <c r="U475" i="38" s="1"/>
  <c r="S475" i="38"/>
  <c r="H167" i="46"/>
  <c r="G167" i="46"/>
  <c r="F167" i="46"/>
  <c r="H166" i="46"/>
  <c r="G166" i="46"/>
  <c r="F166" i="46"/>
  <c r="H165" i="46"/>
  <c r="G165" i="46"/>
  <c r="F165" i="46"/>
  <c r="H164" i="46"/>
  <c r="G164" i="46"/>
  <c r="F164" i="46"/>
  <c r="H163" i="46"/>
  <c r="G163" i="46"/>
  <c r="F163" i="46"/>
  <c r="H162" i="46"/>
  <c r="G162" i="46"/>
  <c r="F162" i="46"/>
  <c r="H161" i="46"/>
  <c r="G161" i="46"/>
  <c r="F161" i="46"/>
  <c r="H160" i="46"/>
  <c r="G160" i="46"/>
  <c r="F160" i="46"/>
  <c r="H159" i="46"/>
  <c r="G159" i="46"/>
  <c r="F159" i="46"/>
  <c r="H158" i="46"/>
  <c r="G158" i="46"/>
  <c r="F158" i="46"/>
  <c r="H157" i="46"/>
  <c r="G157" i="46"/>
  <c r="F157" i="46"/>
  <c r="F2" i="46"/>
  <c r="P475" i="38" l="1"/>
  <c r="N475" i="38"/>
  <c r="O475" i="38" l="1"/>
  <c r="Z475" i="38"/>
  <c r="M80" i="61"/>
  <c r="H80" i="61"/>
  <c r="D474" i="38"/>
  <c r="E474" i="38"/>
  <c r="G474" i="38"/>
  <c r="H474" i="38"/>
  <c r="K474" i="38"/>
  <c r="L474" i="38" s="1"/>
  <c r="M474" i="38"/>
  <c r="U474" i="38" s="1"/>
  <c r="S474" i="38"/>
  <c r="K72" i="61"/>
  <c r="F72" i="61"/>
  <c r="K71" i="61"/>
  <c r="F71" i="61"/>
  <c r="K70" i="61"/>
  <c r="F70" i="61"/>
  <c r="K69" i="61"/>
  <c r="F69" i="61"/>
  <c r="K68" i="61"/>
  <c r="F68" i="61"/>
  <c r="K67" i="61"/>
  <c r="F67" i="61"/>
  <c r="K66" i="61"/>
  <c r="F66" i="61"/>
  <c r="K65" i="61"/>
  <c r="F65" i="61"/>
  <c r="K64" i="61"/>
  <c r="F64" i="61"/>
  <c r="K63" i="61"/>
  <c r="F63" i="61"/>
  <c r="K62" i="61"/>
  <c r="F62" i="61"/>
  <c r="H196" i="61"/>
  <c r="G196" i="61"/>
  <c r="F196" i="61"/>
  <c r="H195" i="61"/>
  <c r="G195" i="61"/>
  <c r="F195" i="61"/>
  <c r="H194" i="61"/>
  <c r="G194" i="61"/>
  <c r="F194" i="61"/>
  <c r="H193" i="61"/>
  <c r="G193" i="61"/>
  <c r="F193" i="61"/>
  <c r="H192" i="61"/>
  <c r="G192" i="61"/>
  <c r="F192" i="61"/>
  <c r="H191" i="61"/>
  <c r="G191" i="61"/>
  <c r="F191" i="61"/>
  <c r="H190" i="61"/>
  <c r="G190" i="61"/>
  <c r="F190" i="61"/>
  <c r="H189" i="61"/>
  <c r="G189" i="61"/>
  <c r="F189" i="61"/>
  <c r="H188" i="61"/>
  <c r="G188" i="61"/>
  <c r="F188" i="61"/>
  <c r="H187" i="61"/>
  <c r="G187" i="61"/>
  <c r="F187" i="61"/>
  <c r="H186" i="61"/>
  <c r="G186" i="61"/>
  <c r="F186" i="61"/>
  <c r="H185" i="61"/>
  <c r="G185" i="61"/>
  <c r="F185" i="61"/>
  <c r="H184" i="61"/>
  <c r="G184" i="61"/>
  <c r="F184" i="61"/>
  <c r="H183" i="61"/>
  <c r="G183" i="61"/>
  <c r="F183" i="61"/>
  <c r="H182" i="61"/>
  <c r="G182" i="61"/>
  <c r="F182" i="61"/>
  <c r="H181" i="61"/>
  <c r="G181" i="61"/>
  <c r="F181" i="61"/>
  <c r="H180" i="61"/>
  <c r="G180" i="61"/>
  <c r="F180" i="61"/>
  <c r="H179" i="61"/>
  <c r="G179" i="61"/>
  <c r="F179" i="61"/>
  <c r="H178" i="61"/>
  <c r="G178" i="61"/>
  <c r="F178" i="61"/>
  <c r="H177" i="61"/>
  <c r="G177" i="61"/>
  <c r="F177" i="61"/>
  <c r="H176" i="61"/>
  <c r="G176" i="61"/>
  <c r="F176" i="61"/>
  <c r="H175" i="61"/>
  <c r="G175" i="61"/>
  <c r="F175" i="61"/>
  <c r="H174" i="61"/>
  <c r="G174" i="61"/>
  <c r="F174" i="61"/>
  <c r="H173" i="61"/>
  <c r="G173" i="61"/>
  <c r="F173" i="61"/>
  <c r="H172" i="61"/>
  <c r="G172" i="61"/>
  <c r="F172" i="61"/>
  <c r="H171" i="61"/>
  <c r="G171" i="61"/>
  <c r="F171" i="61"/>
  <c r="H170" i="61"/>
  <c r="G170" i="61"/>
  <c r="F170" i="61"/>
  <c r="H169" i="61"/>
  <c r="G169" i="61"/>
  <c r="F169" i="61"/>
  <c r="H168" i="61"/>
  <c r="G168" i="61"/>
  <c r="F168" i="61"/>
  <c r="H167" i="61"/>
  <c r="G167" i="61"/>
  <c r="F167" i="61"/>
  <c r="F95" i="58"/>
  <c r="G95" i="58"/>
  <c r="H95" i="58"/>
  <c r="K6" i="58"/>
  <c r="F4" i="70"/>
  <c r="F3" i="70"/>
  <c r="F28" i="70"/>
  <c r="G28" i="70"/>
  <c r="H28" i="70"/>
  <c r="K2" i="70"/>
  <c r="H103" i="75"/>
  <c r="G103" i="75"/>
  <c r="F103" i="75"/>
  <c r="H102" i="75"/>
  <c r="G102" i="75"/>
  <c r="F102" i="75"/>
  <c r="H101" i="75"/>
  <c r="G101" i="75"/>
  <c r="F101" i="75"/>
  <c r="H100" i="75"/>
  <c r="G100" i="75"/>
  <c r="F100" i="75"/>
  <c r="H99" i="75"/>
  <c r="G99" i="75"/>
  <c r="F99" i="75"/>
  <c r="H98" i="75"/>
  <c r="G98" i="75"/>
  <c r="F98" i="75"/>
  <c r="H97" i="75"/>
  <c r="G97" i="75"/>
  <c r="F97" i="75"/>
  <c r="H96" i="75"/>
  <c r="G96" i="75"/>
  <c r="F96" i="75"/>
  <c r="H95" i="75"/>
  <c r="G95" i="75"/>
  <c r="F95" i="75"/>
  <c r="H94" i="75"/>
  <c r="G94" i="75"/>
  <c r="F94" i="75"/>
  <c r="H93" i="75"/>
  <c r="G93" i="75"/>
  <c r="F93" i="75"/>
  <c r="H92" i="75"/>
  <c r="G92" i="75"/>
  <c r="F92" i="75"/>
  <c r="H91" i="75"/>
  <c r="G91" i="75"/>
  <c r="F91" i="75"/>
  <c r="H90" i="75"/>
  <c r="G90" i="75"/>
  <c r="F90" i="75"/>
  <c r="H89" i="75"/>
  <c r="G89" i="75"/>
  <c r="F89" i="75"/>
  <c r="H88" i="75"/>
  <c r="G88" i="75"/>
  <c r="F88" i="75"/>
  <c r="H87" i="75"/>
  <c r="G87" i="75"/>
  <c r="F87" i="75"/>
  <c r="H86" i="75"/>
  <c r="G86" i="75"/>
  <c r="F86" i="75"/>
  <c r="H85" i="75"/>
  <c r="G85" i="75"/>
  <c r="F85" i="75"/>
  <c r="H84" i="75"/>
  <c r="G84" i="75"/>
  <c r="F84" i="75"/>
  <c r="H77" i="75"/>
  <c r="C77" i="75"/>
  <c r="F66" i="75"/>
  <c r="F65" i="75"/>
  <c r="F64" i="75"/>
  <c r="K63" i="75"/>
  <c r="F63" i="75"/>
  <c r="K62" i="75"/>
  <c r="F62" i="75"/>
  <c r="K61" i="75"/>
  <c r="F61" i="75"/>
  <c r="H243" i="17"/>
  <c r="G243" i="17"/>
  <c r="L243" i="17" s="1"/>
  <c r="F243" i="17"/>
  <c r="H242" i="17"/>
  <c r="G242" i="17"/>
  <c r="L242" i="17" s="1"/>
  <c r="F242" i="17"/>
  <c r="H241" i="17"/>
  <c r="G241" i="17"/>
  <c r="L241" i="17" s="1"/>
  <c r="F241" i="17"/>
  <c r="H240" i="17"/>
  <c r="G240" i="17"/>
  <c r="L240" i="17" s="1"/>
  <c r="F240" i="17"/>
  <c r="H239" i="17"/>
  <c r="G239" i="17"/>
  <c r="L239" i="17" s="1"/>
  <c r="F239" i="17"/>
  <c r="H238" i="17"/>
  <c r="G238" i="17"/>
  <c r="L238" i="17" s="1"/>
  <c r="F238" i="17"/>
  <c r="H237" i="17"/>
  <c r="G237" i="17"/>
  <c r="L237" i="17" s="1"/>
  <c r="F237" i="17"/>
  <c r="H236" i="17"/>
  <c r="G236" i="17"/>
  <c r="L236" i="17" s="1"/>
  <c r="F236" i="17"/>
  <c r="H235" i="17"/>
  <c r="G235" i="17"/>
  <c r="L235" i="17" s="1"/>
  <c r="F235" i="17"/>
  <c r="H234" i="17"/>
  <c r="G234" i="17"/>
  <c r="L234" i="17" s="1"/>
  <c r="F234" i="17"/>
  <c r="H233" i="17"/>
  <c r="G233" i="17"/>
  <c r="L233" i="17" s="1"/>
  <c r="F233" i="17"/>
  <c r="H232" i="17"/>
  <c r="G232" i="17"/>
  <c r="L232" i="17" s="1"/>
  <c r="F232" i="17"/>
  <c r="H231" i="17"/>
  <c r="G231" i="17"/>
  <c r="L231" i="17" s="1"/>
  <c r="F231" i="17"/>
  <c r="H230" i="17"/>
  <c r="G230" i="17"/>
  <c r="L230" i="17" s="1"/>
  <c r="F230" i="17"/>
  <c r="H229" i="17"/>
  <c r="G229" i="17"/>
  <c r="L229" i="17" s="1"/>
  <c r="F229" i="17"/>
  <c r="H228" i="17"/>
  <c r="G228" i="17"/>
  <c r="L228" i="17" s="1"/>
  <c r="F228" i="17"/>
  <c r="H227" i="17"/>
  <c r="G227" i="17"/>
  <c r="L227" i="17" s="1"/>
  <c r="F227" i="17"/>
  <c r="H226" i="17"/>
  <c r="G226" i="17"/>
  <c r="L226" i="17" s="1"/>
  <c r="F226" i="17"/>
  <c r="H225" i="17"/>
  <c r="G225" i="17"/>
  <c r="L225" i="17" s="1"/>
  <c r="F225" i="17"/>
  <c r="H224" i="17"/>
  <c r="G224" i="17"/>
  <c r="L224" i="17" s="1"/>
  <c r="F224" i="17"/>
  <c r="H223" i="17"/>
  <c r="G223" i="17"/>
  <c r="L223" i="17" s="1"/>
  <c r="F223" i="17"/>
  <c r="H222" i="17"/>
  <c r="G222" i="17"/>
  <c r="L222" i="17" s="1"/>
  <c r="F222" i="17"/>
  <c r="H221" i="17"/>
  <c r="G221" i="17"/>
  <c r="L221" i="17" s="1"/>
  <c r="F221" i="17"/>
  <c r="H220" i="17"/>
  <c r="G220" i="17"/>
  <c r="L220" i="17" s="1"/>
  <c r="F220" i="17"/>
  <c r="H219" i="17"/>
  <c r="G219" i="17"/>
  <c r="L219" i="17" s="1"/>
  <c r="F219" i="17"/>
  <c r="H218" i="17"/>
  <c r="G218" i="17"/>
  <c r="L218" i="17" s="1"/>
  <c r="F218" i="17"/>
  <c r="H217" i="17"/>
  <c r="G217" i="17"/>
  <c r="L217" i="17" s="1"/>
  <c r="F217" i="17"/>
  <c r="H216" i="17"/>
  <c r="G216" i="17"/>
  <c r="L216" i="17" s="1"/>
  <c r="F216" i="17"/>
  <c r="H215" i="17"/>
  <c r="G215" i="17"/>
  <c r="L215" i="17" s="1"/>
  <c r="F215" i="17"/>
  <c r="H214" i="17"/>
  <c r="G214" i="17"/>
  <c r="L214" i="17" s="1"/>
  <c r="F214" i="17"/>
  <c r="H213" i="17"/>
  <c r="G213" i="17"/>
  <c r="F213" i="17"/>
  <c r="H212" i="17"/>
  <c r="G212" i="17"/>
  <c r="F212" i="17"/>
  <c r="H211" i="17"/>
  <c r="G211" i="17"/>
  <c r="F211" i="17"/>
  <c r="H210" i="17"/>
  <c r="G210" i="17"/>
  <c r="F210" i="17"/>
  <c r="H209" i="17"/>
  <c r="G209" i="17"/>
  <c r="F209" i="17"/>
  <c r="H208" i="17"/>
  <c r="G208" i="17"/>
  <c r="F208" i="17"/>
  <c r="H207" i="17"/>
  <c r="G207" i="17"/>
  <c r="F207" i="17"/>
  <c r="H206" i="17"/>
  <c r="G206" i="17"/>
  <c r="F206" i="17"/>
  <c r="H205" i="17"/>
  <c r="G205" i="17"/>
  <c r="F205" i="17"/>
  <c r="H204" i="17"/>
  <c r="G204" i="17"/>
  <c r="F204" i="17"/>
  <c r="H203" i="17"/>
  <c r="G203" i="17"/>
  <c r="F203" i="17"/>
  <c r="H202" i="17"/>
  <c r="G202" i="17"/>
  <c r="F202" i="17"/>
  <c r="H201" i="17"/>
  <c r="G201" i="17"/>
  <c r="F201" i="17"/>
  <c r="K442" i="17"/>
  <c r="F442" i="17"/>
  <c r="K441" i="17"/>
  <c r="F441" i="17"/>
  <c r="K440" i="17"/>
  <c r="F440" i="17"/>
  <c r="K439" i="17"/>
  <c r="F439" i="17"/>
  <c r="K438" i="17"/>
  <c r="F438" i="17"/>
  <c r="H204" i="31"/>
  <c r="G204" i="31"/>
  <c r="F204" i="31"/>
  <c r="H203" i="31"/>
  <c r="F203" i="31"/>
  <c r="H202" i="31"/>
  <c r="G202" i="31"/>
  <c r="F202" i="31"/>
  <c r="H201" i="31"/>
  <c r="G201" i="31"/>
  <c r="F201" i="31"/>
  <c r="H200" i="31"/>
  <c r="G200" i="31"/>
  <c r="F200" i="31"/>
  <c r="H199" i="31"/>
  <c r="G199" i="31"/>
  <c r="F199" i="31"/>
  <c r="H198" i="31"/>
  <c r="G198" i="31"/>
  <c r="F198" i="31"/>
  <c r="H197" i="31"/>
  <c r="G197" i="31"/>
  <c r="F197" i="31"/>
  <c r="H196" i="31"/>
  <c r="G196" i="31"/>
  <c r="F196" i="31"/>
  <c r="H195" i="31"/>
  <c r="G195" i="31"/>
  <c r="F195" i="31"/>
  <c r="H194" i="31"/>
  <c r="G194" i="31"/>
  <c r="F194" i="31"/>
  <c r="H193" i="31"/>
  <c r="G193" i="31"/>
  <c r="F193" i="31"/>
  <c r="H192" i="31"/>
  <c r="G192" i="31"/>
  <c r="F192" i="31"/>
  <c r="H191" i="31"/>
  <c r="G191" i="31"/>
  <c r="F191" i="31"/>
  <c r="H190" i="31"/>
  <c r="G190" i="31"/>
  <c r="F190" i="31"/>
  <c r="H189" i="31"/>
  <c r="G189" i="31"/>
  <c r="F189" i="31"/>
  <c r="H188" i="31"/>
  <c r="G188" i="31"/>
  <c r="F188" i="31"/>
  <c r="H187" i="31"/>
  <c r="G187" i="31"/>
  <c r="F187" i="31"/>
  <c r="H186" i="31"/>
  <c r="G186" i="31"/>
  <c r="F186" i="31"/>
  <c r="H185" i="31"/>
  <c r="G185" i="31"/>
  <c r="F185" i="31"/>
  <c r="H184" i="31"/>
  <c r="G184" i="31"/>
  <c r="F184" i="31"/>
  <c r="H183" i="31"/>
  <c r="G183" i="31"/>
  <c r="F183" i="31"/>
  <c r="H182" i="31"/>
  <c r="G182" i="31"/>
  <c r="F182" i="31"/>
  <c r="H181" i="31"/>
  <c r="G181" i="31"/>
  <c r="F181" i="31"/>
  <c r="H180" i="31"/>
  <c r="G180" i="31"/>
  <c r="F180" i="31"/>
  <c r="H179" i="31"/>
  <c r="G179" i="31"/>
  <c r="F179" i="31"/>
  <c r="H178" i="31"/>
  <c r="G178" i="31"/>
  <c r="F178" i="31"/>
  <c r="H177" i="31"/>
  <c r="G177" i="31"/>
  <c r="F177" i="31"/>
  <c r="H176" i="31"/>
  <c r="G176" i="31"/>
  <c r="F176" i="31"/>
  <c r="H175" i="31"/>
  <c r="G175" i="31"/>
  <c r="F175" i="31"/>
  <c r="H174" i="31"/>
  <c r="G174" i="31"/>
  <c r="F174" i="31"/>
  <c r="H173" i="31"/>
  <c r="G173" i="31"/>
  <c r="F173" i="31"/>
  <c r="H172" i="31"/>
  <c r="G172" i="31"/>
  <c r="F172" i="31"/>
  <c r="H171" i="31"/>
  <c r="G171" i="31"/>
  <c r="F171" i="31"/>
  <c r="H170" i="31"/>
  <c r="G170" i="31"/>
  <c r="F170" i="31"/>
  <c r="H169" i="31"/>
  <c r="G169" i="31"/>
  <c r="F169" i="31"/>
  <c r="H168" i="31"/>
  <c r="G168" i="31"/>
  <c r="F168" i="31"/>
  <c r="H167" i="31"/>
  <c r="G167" i="31"/>
  <c r="F167" i="31"/>
  <c r="H166" i="31"/>
  <c r="G166" i="31"/>
  <c r="F166" i="31"/>
  <c r="H165" i="31"/>
  <c r="G165" i="31"/>
  <c r="F165" i="31"/>
  <c r="H164" i="31"/>
  <c r="G164" i="31"/>
  <c r="F164" i="31"/>
  <c r="H163" i="31"/>
  <c r="G163" i="31"/>
  <c r="F163" i="31"/>
  <c r="H162" i="31"/>
  <c r="G162" i="31"/>
  <c r="F162" i="31"/>
  <c r="H161" i="31"/>
  <c r="G161" i="31"/>
  <c r="F161" i="31"/>
  <c r="H160" i="31"/>
  <c r="G160" i="31"/>
  <c r="F160" i="31"/>
  <c r="H159" i="31"/>
  <c r="G159" i="31"/>
  <c r="F159" i="31"/>
  <c r="H158" i="31"/>
  <c r="G158" i="31"/>
  <c r="F158" i="31"/>
  <c r="H157" i="31"/>
  <c r="G157" i="31"/>
  <c r="F157" i="31"/>
  <c r="H156" i="31"/>
  <c r="G156" i="31"/>
  <c r="F156" i="31"/>
  <c r="H155" i="31"/>
  <c r="G155" i="31"/>
  <c r="F155" i="31"/>
  <c r="H154" i="31"/>
  <c r="G154" i="31"/>
  <c r="F154" i="31"/>
  <c r="H153" i="31"/>
  <c r="G153" i="31"/>
  <c r="F153" i="31"/>
  <c r="H152" i="31"/>
  <c r="G152" i="31"/>
  <c r="F152" i="31"/>
  <c r="H151" i="31"/>
  <c r="G151" i="31"/>
  <c r="F151" i="31"/>
  <c r="H150" i="31"/>
  <c r="G150" i="31"/>
  <c r="F150" i="31"/>
  <c r="H149" i="31"/>
  <c r="G149" i="31"/>
  <c r="F149" i="31"/>
  <c r="H148" i="31"/>
  <c r="G148" i="31"/>
  <c r="F148" i="31"/>
  <c r="H147" i="31"/>
  <c r="G147" i="31"/>
  <c r="F147" i="31"/>
  <c r="H146" i="31"/>
  <c r="G146" i="31"/>
  <c r="F146" i="31"/>
  <c r="H145" i="31"/>
  <c r="G145" i="31"/>
  <c r="F145" i="31"/>
  <c r="H144" i="31"/>
  <c r="G144" i="31"/>
  <c r="F144" i="31"/>
  <c r="H143" i="31"/>
  <c r="G143" i="31"/>
  <c r="F143" i="31"/>
  <c r="H142" i="31"/>
  <c r="G142" i="31"/>
  <c r="F142" i="31"/>
  <c r="H141" i="31"/>
  <c r="G141" i="31"/>
  <c r="F141" i="31"/>
  <c r="H140" i="31"/>
  <c r="G140" i="31"/>
  <c r="F140" i="31"/>
  <c r="H139" i="31"/>
  <c r="G139" i="31"/>
  <c r="F139" i="31"/>
  <c r="H138" i="31"/>
  <c r="G138" i="31"/>
  <c r="F138" i="31"/>
  <c r="H137" i="31"/>
  <c r="G137" i="31"/>
  <c r="F137" i="31"/>
  <c r="H136" i="31"/>
  <c r="G136" i="31"/>
  <c r="F136" i="31"/>
  <c r="H135" i="31"/>
  <c r="G135" i="31"/>
  <c r="F135" i="31"/>
  <c r="H134" i="31"/>
  <c r="G134" i="31"/>
  <c r="F134" i="31"/>
  <c r="H133" i="31"/>
  <c r="G133" i="31"/>
  <c r="F133" i="31"/>
  <c r="H132" i="31"/>
  <c r="G132" i="31"/>
  <c r="F132" i="31"/>
  <c r="H131" i="31"/>
  <c r="G131" i="31"/>
  <c r="F131" i="31"/>
  <c r="H130" i="31"/>
  <c r="G130" i="31"/>
  <c r="F130" i="31"/>
  <c r="H129" i="31"/>
  <c r="G129" i="31"/>
  <c r="F129" i="31"/>
  <c r="H128" i="31"/>
  <c r="G128" i="31"/>
  <c r="F128" i="31"/>
  <c r="H127" i="31"/>
  <c r="G127" i="31"/>
  <c r="F127" i="31"/>
  <c r="H126" i="31"/>
  <c r="G126" i="31"/>
  <c r="F126" i="31"/>
  <c r="H125" i="31"/>
  <c r="G125" i="31"/>
  <c r="F125" i="31"/>
  <c r="H124" i="31"/>
  <c r="G124" i="31"/>
  <c r="F124" i="31"/>
  <c r="H123" i="31"/>
  <c r="G123" i="31"/>
  <c r="F123" i="31"/>
  <c r="H122" i="31"/>
  <c r="G122" i="31"/>
  <c r="F122" i="31"/>
  <c r="H121" i="31"/>
  <c r="G121" i="31"/>
  <c r="F121" i="31"/>
  <c r="H120" i="31"/>
  <c r="G120" i="31"/>
  <c r="F120" i="31"/>
  <c r="H119" i="31"/>
  <c r="G119" i="31"/>
  <c r="F119" i="31"/>
  <c r="H118" i="31"/>
  <c r="G118" i="31"/>
  <c r="F118" i="31"/>
  <c r="H117" i="31"/>
  <c r="G117" i="31"/>
  <c r="F117" i="31"/>
  <c r="H116" i="31"/>
  <c r="G116" i="31"/>
  <c r="F116" i="31"/>
  <c r="H115" i="31"/>
  <c r="G115" i="31"/>
  <c r="F115" i="31"/>
  <c r="H114" i="31"/>
  <c r="G114" i="31"/>
  <c r="F114" i="31"/>
  <c r="H113" i="31"/>
  <c r="G113" i="31"/>
  <c r="F113" i="31"/>
  <c r="H112" i="31"/>
  <c r="G112" i="31"/>
  <c r="F112" i="31"/>
  <c r="H111" i="31"/>
  <c r="G111" i="31"/>
  <c r="F111" i="31"/>
  <c r="H110" i="31"/>
  <c r="G110" i="31"/>
  <c r="F110" i="31"/>
  <c r="H109" i="31"/>
  <c r="G109" i="31"/>
  <c r="F109" i="31"/>
  <c r="H108" i="31"/>
  <c r="G108" i="31"/>
  <c r="F108" i="31"/>
  <c r="H107" i="31"/>
  <c r="G107" i="31"/>
  <c r="F107" i="31"/>
  <c r="H106" i="31"/>
  <c r="G106" i="31"/>
  <c r="F106" i="31"/>
  <c r="H105" i="31"/>
  <c r="G105" i="31"/>
  <c r="F105" i="31"/>
  <c r="M95" i="31"/>
  <c r="H95" i="31"/>
  <c r="C95" i="31"/>
  <c r="F81" i="31"/>
  <c r="K80" i="31"/>
  <c r="F80" i="31"/>
  <c r="K79" i="31"/>
  <c r="F79" i="31"/>
  <c r="K78" i="31"/>
  <c r="F78" i="31"/>
  <c r="K77" i="31"/>
  <c r="F77" i="31"/>
  <c r="K76" i="31"/>
  <c r="F76" i="31"/>
  <c r="K75" i="31"/>
  <c r="F75" i="31"/>
  <c r="K74" i="31"/>
  <c r="F74" i="31"/>
  <c r="K73" i="31"/>
  <c r="F73" i="31"/>
  <c r="K72" i="31"/>
  <c r="F72" i="31"/>
  <c r="K71" i="31"/>
  <c r="F71" i="31"/>
  <c r="K70" i="31"/>
  <c r="F70" i="31"/>
  <c r="K69" i="31"/>
  <c r="F69" i="31"/>
  <c r="K68" i="31"/>
  <c r="F68" i="31"/>
  <c r="K67" i="31"/>
  <c r="F67" i="31"/>
  <c r="K66" i="31"/>
  <c r="F66" i="31"/>
  <c r="K65" i="31"/>
  <c r="F65" i="31"/>
  <c r="F64" i="31"/>
  <c r="F63" i="31"/>
  <c r="F62" i="31"/>
  <c r="F61" i="31"/>
  <c r="K60" i="31"/>
  <c r="F60" i="31"/>
  <c r="K59" i="31"/>
  <c r="F59" i="31"/>
  <c r="K58" i="31"/>
  <c r="F58" i="31"/>
  <c r="K57" i="31"/>
  <c r="F57" i="31"/>
  <c r="K56" i="31"/>
  <c r="F56" i="31"/>
  <c r="F201" i="25"/>
  <c r="H201" i="25"/>
  <c r="G201" i="25"/>
  <c r="K14" i="25"/>
  <c r="F78" i="75"/>
  <c r="F96" i="31"/>
  <c r="M78" i="75"/>
  <c r="H78" i="75"/>
  <c r="H96" i="31"/>
  <c r="C78" i="75"/>
  <c r="K78" i="75"/>
  <c r="K96" i="31"/>
  <c r="C96" i="31"/>
  <c r="M96" i="31"/>
  <c r="P474" i="38" l="1"/>
  <c r="N474" i="38"/>
  <c r="F77" i="75"/>
  <c r="K77" i="75"/>
  <c r="F95" i="31"/>
  <c r="K95" i="31"/>
  <c r="C84" i="64"/>
  <c r="M84" i="64"/>
  <c r="H84" i="64"/>
  <c r="K74" i="64"/>
  <c r="F74" i="64"/>
  <c r="K73" i="64"/>
  <c r="F73" i="64"/>
  <c r="K72" i="64"/>
  <c r="F72" i="64"/>
  <c r="F27" i="70"/>
  <c r="G27" i="70"/>
  <c r="H27" i="70"/>
  <c r="F29" i="63"/>
  <c r="G29" i="63"/>
  <c r="H29" i="63"/>
  <c r="F31" i="77"/>
  <c r="G31" i="77"/>
  <c r="H31" i="77"/>
  <c r="D473" i="38"/>
  <c r="E473" i="38"/>
  <c r="G473" i="38"/>
  <c r="H473" i="38"/>
  <c r="K473" i="38"/>
  <c r="L473" i="38" s="1"/>
  <c r="M473" i="38"/>
  <c r="U473" i="38" s="1"/>
  <c r="S473" i="38"/>
  <c r="F94" i="58"/>
  <c r="G94" i="58"/>
  <c r="H94" i="58"/>
  <c r="F14" i="58"/>
  <c r="H18" i="64"/>
  <c r="F36" i="64"/>
  <c r="G36" i="64"/>
  <c r="H36" i="64"/>
  <c r="M85" i="64"/>
  <c r="K85" i="64"/>
  <c r="H85" i="64"/>
  <c r="M19" i="64"/>
  <c r="H19" i="64"/>
  <c r="K19" i="64"/>
  <c r="O474" i="38" l="1"/>
  <c r="Z474" i="38"/>
  <c r="M54" i="31"/>
  <c r="Q10" i="31" s="1"/>
  <c r="M59" i="75"/>
  <c r="Q10" i="75" s="1"/>
  <c r="N473" i="38"/>
  <c r="P473" i="38"/>
  <c r="F27" i="78"/>
  <c r="G27" i="78"/>
  <c r="H27" i="78"/>
  <c r="S472" i="38"/>
  <c r="O473" i="38" l="1"/>
  <c r="Z473" i="38"/>
  <c r="F45" i="51"/>
  <c r="G45" i="51"/>
  <c r="H45" i="51"/>
  <c r="D472" i="38" l="1"/>
  <c r="E472" i="38"/>
  <c r="G472" i="38"/>
  <c r="H472" i="38"/>
  <c r="K472" i="38"/>
  <c r="L472" i="38" s="1"/>
  <c r="M472" i="38"/>
  <c r="P472" i="38" l="1"/>
  <c r="N472" i="38"/>
  <c r="U472" i="38"/>
  <c r="D471" i="38"/>
  <c r="E471" i="38"/>
  <c r="G471" i="38"/>
  <c r="H471" i="38"/>
  <c r="K471" i="38"/>
  <c r="L471" i="38" s="1"/>
  <c r="M471" i="38"/>
  <c r="N471" i="38" s="1"/>
  <c r="S471" i="38"/>
  <c r="K50" i="63"/>
  <c r="F50" i="63"/>
  <c r="F54" i="43"/>
  <c r="H54" i="43"/>
  <c r="G54" i="43"/>
  <c r="K3" i="43"/>
  <c r="F200" i="25"/>
  <c r="H200" i="25"/>
  <c r="G200" i="25"/>
  <c r="K13" i="25"/>
  <c r="F28" i="63"/>
  <c r="G28" i="63"/>
  <c r="H28" i="63"/>
  <c r="F9" i="43"/>
  <c r="Z471" i="38" l="1"/>
  <c r="O472" i="38"/>
  <c r="O471" i="38"/>
  <c r="Z472" i="38"/>
  <c r="P471" i="38"/>
  <c r="F26" i="70"/>
  <c r="G26" i="70"/>
  <c r="H26" i="70"/>
  <c r="H25" i="70"/>
  <c r="G25" i="70"/>
  <c r="F25" i="70"/>
  <c r="F5" i="70"/>
  <c r="D470" i="38"/>
  <c r="E470" i="38"/>
  <c r="G470" i="38"/>
  <c r="H470" i="38"/>
  <c r="K470" i="38"/>
  <c r="L470" i="38" s="1"/>
  <c r="M470" i="38"/>
  <c r="N470" i="38" s="1"/>
  <c r="S470" i="38"/>
  <c r="O470" i="38" l="1"/>
  <c r="Z470" i="38"/>
  <c r="P470" i="38"/>
  <c r="D469" i="38"/>
  <c r="E469" i="38"/>
  <c r="G469" i="38"/>
  <c r="H469" i="38"/>
  <c r="K469" i="38"/>
  <c r="L469" i="38" s="1"/>
  <c r="M469" i="38"/>
  <c r="N469" i="38" s="1"/>
  <c r="S469" i="38"/>
  <c r="O469" i="38" l="1"/>
  <c r="Z469" i="38"/>
  <c r="P469" i="38"/>
  <c r="F30" i="77"/>
  <c r="G30" i="77"/>
  <c r="H30" i="77"/>
  <c r="G467" i="38" l="1"/>
  <c r="G468" i="38"/>
  <c r="D468" i="38"/>
  <c r="E468" i="38"/>
  <c r="H468" i="38"/>
  <c r="K468" i="38"/>
  <c r="L468" i="38" s="1"/>
  <c r="M468" i="38"/>
  <c r="N468" i="38" s="1"/>
  <c r="S468" i="38"/>
  <c r="M109" i="81"/>
  <c r="K109" i="81"/>
  <c r="H109" i="81"/>
  <c r="F109" i="81"/>
  <c r="C109" i="81"/>
  <c r="P40" i="81"/>
  <c r="P39" i="81"/>
  <c r="P38" i="81"/>
  <c r="P37" i="81"/>
  <c r="P36" i="81"/>
  <c r="P35" i="81"/>
  <c r="P34" i="81"/>
  <c r="P33" i="81"/>
  <c r="P32" i="81"/>
  <c r="P31" i="81"/>
  <c r="P30" i="81"/>
  <c r="P29" i="81"/>
  <c r="P28" i="81"/>
  <c r="P27" i="81"/>
  <c r="P26" i="81"/>
  <c r="P25" i="81"/>
  <c r="P24" i="81"/>
  <c r="P23" i="81"/>
  <c r="P22" i="81"/>
  <c r="P21" i="81"/>
  <c r="P20" i="81"/>
  <c r="M29" i="81"/>
  <c r="F27" i="63"/>
  <c r="G27" i="63"/>
  <c r="H27" i="63"/>
  <c r="F30" i="81"/>
  <c r="H110" i="81"/>
  <c r="C110" i="81"/>
  <c r="M110" i="81"/>
  <c r="F110" i="81"/>
  <c r="M30" i="81"/>
  <c r="K110" i="81"/>
  <c r="H30" i="81"/>
  <c r="O468" i="38" l="1"/>
  <c r="Z468" i="38"/>
  <c r="M91" i="81"/>
  <c r="J40" i="81" s="1"/>
  <c r="P468" i="38"/>
  <c r="Q2" i="81"/>
  <c r="Q5" i="81" s="1"/>
  <c r="H467" i="38"/>
  <c r="D467" i="38"/>
  <c r="E467" i="38"/>
  <c r="K467" i="38"/>
  <c r="L467" i="38" s="1"/>
  <c r="M467" i="38"/>
  <c r="N467" i="38" s="1"/>
  <c r="S467" i="38"/>
  <c r="F2" i="70"/>
  <c r="F18" i="70" s="1"/>
  <c r="O467" i="38" l="1"/>
  <c r="Z467" i="38"/>
  <c r="Q10" i="81"/>
  <c r="J39" i="81"/>
  <c r="J38" i="81"/>
  <c r="Q3" i="81"/>
  <c r="Q6" i="81" s="1"/>
  <c r="Q8" i="81"/>
  <c r="P467" i="38"/>
  <c r="D466" i="38"/>
  <c r="E466" i="38"/>
  <c r="G466" i="38"/>
  <c r="H466" i="38"/>
  <c r="K466" i="38"/>
  <c r="L466" i="38" s="1"/>
  <c r="M466" i="38"/>
  <c r="N466" i="38" s="1"/>
  <c r="S466" i="38"/>
  <c r="F199" i="25"/>
  <c r="H199" i="25"/>
  <c r="G199" i="25"/>
  <c r="F43" i="25"/>
  <c r="M84" i="80"/>
  <c r="H84" i="80"/>
  <c r="C84" i="80"/>
  <c r="K84" i="80"/>
  <c r="F84" i="80"/>
  <c r="P61" i="80"/>
  <c r="P60" i="80"/>
  <c r="P59" i="80"/>
  <c r="P58" i="80"/>
  <c r="P57" i="80"/>
  <c r="P56" i="80"/>
  <c r="P55" i="80"/>
  <c r="P54" i="80"/>
  <c r="P53" i="80"/>
  <c r="P52" i="80"/>
  <c r="P51" i="80"/>
  <c r="P50" i="80"/>
  <c r="P49" i="80"/>
  <c r="P48" i="80"/>
  <c r="P47" i="80"/>
  <c r="P46" i="80"/>
  <c r="P45" i="80"/>
  <c r="P44" i="80"/>
  <c r="P43" i="80"/>
  <c r="P42" i="80"/>
  <c r="P41" i="80"/>
  <c r="H25" i="80"/>
  <c r="G25" i="80"/>
  <c r="F25" i="80"/>
  <c r="M18" i="80"/>
  <c r="H18" i="80"/>
  <c r="C18" i="80"/>
  <c r="K18" i="80"/>
  <c r="F18" i="80"/>
  <c r="H95" i="54"/>
  <c r="G95" i="54"/>
  <c r="F95" i="54"/>
  <c r="H94" i="54"/>
  <c r="G94" i="54"/>
  <c r="F94" i="54"/>
  <c r="H93" i="54"/>
  <c r="G93" i="54"/>
  <c r="F93" i="54"/>
  <c r="H92" i="54"/>
  <c r="G92" i="54"/>
  <c r="F92" i="54"/>
  <c r="H91" i="54"/>
  <c r="G91" i="54"/>
  <c r="F91" i="54"/>
  <c r="H90" i="54"/>
  <c r="G90" i="54"/>
  <c r="F90" i="54"/>
  <c r="H89" i="54"/>
  <c r="G89" i="54"/>
  <c r="F89" i="54"/>
  <c r="H88" i="54"/>
  <c r="G88" i="54"/>
  <c r="F88" i="54"/>
  <c r="H87" i="54"/>
  <c r="G87" i="54"/>
  <c r="F87" i="54"/>
  <c r="H86" i="54"/>
  <c r="G86" i="54"/>
  <c r="F86" i="54"/>
  <c r="H85" i="54"/>
  <c r="G85" i="54"/>
  <c r="F85" i="54"/>
  <c r="H84" i="54"/>
  <c r="G84" i="54"/>
  <c r="F84" i="54"/>
  <c r="H83" i="54"/>
  <c r="G83" i="54"/>
  <c r="F83" i="54"/>
  <c r="H82" i="54"/>
  <c r="G82" i="54"/>
  <c r="F82" i="54"/>
  <c r="H81" i="54"/>
  <c r="G81" i="54"/>
  <c r="F81" i="54"/>
  <c r="H80" i="54"/>
  <c r="G80" i="54"/>
  <c r="F80" i="54"/>
  <c r="H79" i="54"/>
  <c r="G79" i="54"/>
  <c r="F79" i="54"/>
  <c r="H78" i="54"/>
  <c r="G78" i="54"/>
  <c r="F78" i="54"/>
  <c r="H77" i="54"/>
  <c r="G77" i="54"/>
  <c r="F77" i="54"/>
  <c r="H76" i="54"/>
  <c r="G76" i="54"/>
  <c r="F76" i="54"/>
  <c r="H75" i="54"/>
  <c r="G75" i="54"/>
  <c r="F75" i="54"/>
  <c r="H74" i="54"/>
  <c r="G74" i="54"/>
  <c r="F74" i="54"/>
  <c r="H73" i="54"/>
  <c r="G73" i="54"/>
  <c r="F73" i="54"/>
  <c r="H72" i="54"/>
  <c r="G72" i="54"/>
  <c r="F72" i="54"/>
  <c r="H71" i="54"/>
  <c r="G71" i="54"/>
  <c r="F71" i="54"/>
  <c r="H70" i="54"/>
  <c r="G70" i="54"/>
  <c r="F70" i="54"/>
  <c r="H69" i="54"/>
  <c r="G69" i="54"/>
  <c r="F69" i="54"/>
  <c r="H68" i="54"/>
  <c r="G68" i="54"/>
  <c r="F68" i="54"/>
  <c r="H67" i="54"/>
  <c r="G67" i="54"/>
  <c r="F67" i="54"/>
  <c r="H66" i="54"/>
  <c r="G66" i="54"/>
  <c r="F66" i="54"/>
  <c r="H65" i="54"/>
  <c r="G65" i="54"/>
  <c r="F65" i="54"/>
  <c r="H64" i="54"/>
  <c r="G64" i="54"/>
  <c r="F64" i="54"/>
  <c r="H63" i="54"/>
  <c r="G63" i="54"/>
  <c r="F63" i="54"/>
  <c r="H62" i="54"/>
  <c r="G62" i="54"/>
  <c r="F62" i="54"/>
  <c r="H61" i="54"/>
  <c r="G61" i="54"/>
  <c r="F61" i="54"/>
  <c r="H60" i="54"/>
  <c r="G60" i="54"/>
  <c r="F60" i="54"/>
  <c r="H59" i="54"/>
  <c r="G59" i="54"/>
  <c r="F59" i="54"/>
  <c r="H58" i="54"/>
  <c r="G58" i="54"/>
  <c r="F58" i="54"/>
  <c r="H57" i="54"/>
  <c r="G57" i="54"/>
  <c r="F57" i="54"/>
  <c r="M19" i="80"/>
  <c r="H19" i="80"/>
  <c r="K85" i="80"/>
  <c r="C19" i="80"/>
  <c r="H85" i="80"/>
  <c r="C85" i="80"/>
  <c r="K19" i="80"/>
  <c r="M85" i="80"/>
  <c r="F85" i="80"/>
  <c r="F19" i="80"/>
  <c r="O466" i="38" l="1"/>
  <c r="Z466" i="38"/>
  <c r="Q9" i="81"/>
  <c r="P466" i="38"/>
  <c r="Q7" i="81"/>
  <c r="Q2" i="80"/>
  <c r="Q5" i="80" s="1"/>
  <c r="M66" i="80"/>
  <c r="Q10" i="80" s="1"/>
  <c r="D465" i="38"/>
  <c r="E465" i="38"/>
  <c r="G465" i="38"/>
  <c r="H465" i="38"/>
  <c r="K465" i="38"/>
  <c r="L465" i="38" s="1"/>
  <c r="M465" i="38"/>
  <c r="N465" i="38" s="1"/>
  <c r="S465" i="38"/>
  <c r="Z465" i="38" l="1"/>
  <c r="O465" i="38"/>
  <c r="Q3" i="80"/>
  <c r="Q6" i="80" s="1"/>
  <c r="Q8" i="80"/>
  <c r="Q9" i="80" s="1"/>
  <c r="P465" i="38"/>
  <c r="D464" i="38"/>
  <c r="E464" i="38"/>
  <c r="G464" i="38"/>
  <c r="H464" i="38"/>
  <c r="K464" i="38"/>
  <c r="L464" i="38" s="1"/>
  <c r="M464" i="38"/>
  <c r="N464" i="38" s="1"/>
  <c r="S464" i="38"/>
  <c r="F29" i="77"/>
  <c r="G29" i="77"/>
  <c r="H29" i="77"/>
  <c r="K2" i="77"/>
  <c r="K18" i="77" s="1"/>
  <c r="F42" i="25"/>
  <c r="K19" i="77"/>
  <c r="Z464" i="38" l="1"/>
  <c r="O464" i="38"/>
  <c r="Q7" i="80"/>
  <c r="P464" i="38"/>
  <c r="F41" i="25"/>
  <c r="F40" i="25"/>
  <c r="M64" i="79"/>
  <c r="H64" i="79"/>
  <c r="C64" i="79"/>
  <c r="P61" i="79"/>
  <c r="P60" i="79"/>
  <c r="P59" i="79"/>
  <c r="P58" i="79"/>
  <c r="P57" i="79"/>
  <c r="P56" i="79"/>
  <c r="P55" i="79"/>
  <c r="P54" i="79"/>
  <c r="P53" i="79"/>
  <c r="P52" i="79"/>
  <c r="P51" i="79"/>
  <c r="P50" i="79"/>
  <c r="P49" i="79"/>
  <c r="P48" i="79"/>
  <c r="K64" i="79"/>
  <c r="F64" i="79"/>
  <c r="P47" i="79"/>
  <c r="P46" i="79"/>
  <c r="P45" i="79"/>
  <c r="P44" i="79"/>
  <c r="P43" i="79"/>
  <c r="P42" i="79"/>
  <c r="P41" i="79"/>
  <c r="M18" i="79"/>
  <c r="K18" i="79"/>
  <c r="H18" i="79"/>
  <c r="C18" i="79"/>
  <c r="F18" i="79"/>
  <c r="F28" i="77"/>
  <c r="G28" i="77"/>
  <c r="H28" i="77"/>
  <c r="F5" i="77"/>
  <c r="F44" i="51"/>
  <c r="G44" i="51"/>
  <c r="H44" i="51"/>
  <c r="D463" i="38"/>
  <c r="E463" i="38"/>
  <c r="G463" i="38"/>
  <c r="H463" i="38"/>
  <c r="K463" i="38"/>
  <c r="L463" i="38" s="1"/>
  <c r="M463" i="38"/>
  <c r="N463" i="38" s="1"/>
  <c r="S463" i="38"/>
  <c r="K19" i="79"/>
  <c r="H19" i="79"/>
  <c r="C19" i="79"/>
  <c r="F65" i="79"/>
  <c r="F19" i="79"/>
  <c r="H65" i="79"/>
  <c r="M65" i="79"/>
  <c r="K65" i="79"/>
  <c r="M19" i="79"/>
  <c r="C65" i="79"/>
  <c r="O463" i="38" l="1"/>
  <c r="Z463" i="38"/>
  <c r="P463" i="38"/>
  <c r="Q2" i="79"/>
  <c r="Q8" i="79" s="1"/>
  <c r="M46" i="79"/>
  <c r="Q10" i="79" s="1"/>
  <c r="Q3" i="79" l="1"/>
  <c r="Q6" i="79" s="1"/>
  <c r="Q9" i="79" s="1"/>
  <c r="Q5" i="79"/>
  <c r="Q7" i="79"/>
  <c r="D462" i="38"/>
  <c r="E462" i="38"/>
  <c r="G462" i="38"/>
  <c r="H462" i="38"/>
  <c r="K462" i="38"/>
  <c r="L462" i="38" s="1"/>
  <c r="M462" i="38"/>
  <c r="N462" i="38" s="1"/>
  <c r="S462" i="38"/>
  <c r="O462" i="38" l="1"/>
  <c r="Z462" i="38"/>
  <c r="U462" i="38"/>
  <c r="P462" i="38"/>
  <c r="D461" i="38"/>
  <c r="E461" i="38"/>
  <c r="G461" i="38"/>
  <c r="H461" i="38"/>
  <c r="K461" i="38"/>
  <c r="L461" i="38" s="1"/>
  <c r="M461" i="38"/>
  <c r="U461" i="38" s="1"/>
  <c r="S461" i="38"/>
  <c r="N461" i="38" l="1"/>
  <c r="P461" i="38"/>
  <c r="D460" i="38"/>
  <c r="E460" i="38"/>
  <c r="G460" i="38"/>
  <c r="H460" i="38"/>
  <c r="K460" i="38"/>
  <c r="L460" i="38" s="1"/>
  <c r="M460" i="38"/>
  <c r="U460" i="38" s="1"/>
  <c r="S460" i="38"/>
  <c r="O461" i="38" l="1"/>
  <c r="Z461" i="38"/>
  <c r="N460" i="38"/>
  <c r="P460" i="38"/>
  <c r="D459" i="38"/>
  <c r="E459" i="38"/>
  <c r="G459" i="38"/>
  <c r="H459" i="38"/>
  <c r="K459" i="38"/>
  <c r="L459" i="38" s="1"/>
  <c r="M459" i="38"/>
  <c r="U459" i="38" s="1"/>
  <c r="S459" i="38"/>
  <c r="O460" i="38" l="1"/>
  <c r="Z460" i="38"/>
  <c r="N459" i="38"/>
  <c r="P459" i="38"/>
  <c r="F198" i="25"/>
  <c r="G198" i="25"/>
  <c r="H198" i="25"/>
  <c r="O459" i="38" l="1"/>
  <c r="Z459" i="38"/>
  <c r="D458" i="38"/>
  <c r="E458" i="38"/>
  <c r="G458" i="38"/>
  <c r="H458" i="38"/>
  <c r="K458" i="38"/>
  <c r="L458" i="38" s="1"/>
  <c r="M458" i="38"/>
  <c r="U458" i="38" s="1"/>
  <c r="S458" i="38"/>
  <c r="P458" i="38" l="1"/>
  <c r="N458" i="38"/>
  <c r="D457" i="38"/>
  <c r="E457" i="38"/>
  <c r="G457" i="38"/>
  <c r="H457" i="38"/>
  <c r="K457" i="38"/>
  <c r="L457" i="38" s="1"/>
  <c r="M457" i="38"/>
  <c r="U457" i="38" s="1"/>
  <c r="S457" i="38"/>
  <c r="F197" i="25"/>
  <c r="H197" i="25"/>
  <c r="G197" i="25"/>
  <c r="F39" i="25"/>
  <c r="K12" i="25"/>
  <c r="O458" i="38" l="1"/>
  <c r="Z458" i="38"/>
  <c r="P457" i="38"/>
  <c r="N457" i="38"/>
  <c r="F53" i="43"/>
  <c r="G53" i="43"/>
  <c r="H53" i="43"/>
  <c r="D456" i="38"/>
  <c r="E456" i="38"/>
  <c r="G456" i="38"/>
  <c r="H456" i="38"/>
  <c r="K456" i="38"/>
  <c r="L456" i="38" s="1"/>
  <c r="M456" i="38"/>
  <c r="N456" i="38" s="1"/>
  <c r="S456" i="38"/>
  <c r="O456" i="38" l="1"/>
  <c r="O457" i="38"/>
  <c r="Z456" i="38"/>
  <c r="Z457" i="38"/>
  <c r="P456" i="38"/>
  <c r="F93" i="58"/>
  <c r="H93" i="58"/>
  <c r="G93" i="58"/>
  <c r="F13" i="58"/>
  <c r="F12" i="58"/>
  <c r="D455" i="38" l="1"/>
  <c r="E455" i="38"/>
  <c r="G455" i="38"/>
  <c r="H455" i="38"/>
  <c r="K455" i="38"/>
  <c r="L455" i="38" s="1"/>
  <c r="M455" i="38"/>
  <c r="N455" i="38" s="1"/>
  <c r="S455" i="38"/>
  <c r="F26" i="78"/>
  <c r="G26" i="78"/>
  <c r="H26" i="78"/>
  <c r="F26" i="63"/>
  <c r="G26" i="63"/>
  <c r="H26" i="63"/>
  <c r="H26" i="77"/>
  <c r="F27" i="77"/>
  <c r="G27" i="77"/>
  <c r="H27" i="77"/>
  <c r="O455" i="38" l="1"/>
  <c r="Z455" i="38"/>
  <c r="P455" i="38"/>
  <c r="D454" i="38"/>
  <c r="E454" i="38"/>
  <c r="G454" i="38"/>
  <c r="H454" i="38"/>
  <c r="K454" i="38"/>
  <c r="L454" i="38" s="1"/>
  <c r="M454" i="38"/>
  <c r="N454" i="38" s="1"/>
  <c r="S454" i="38"/>
  <c r="F196" i="25"/>
  <c r="G196" i="25"/>
  <c r="H196" i="25"/>
  <c r="K11" i="25"/>
  <c r="F43" i="51"/>
  <c r="G43" i="51"/>
  <c r="H43" i="51"/>
  <c r="O454" i="38" l="1"/>
  <c r="Z454" i="38"/>
  <c r="P454" i="38"/>
  <c r="D453" i="38"/>
  <c r="E453" i="38"/>
  <c r="G453" i="38"/>
  <c r="H453" i="38"/>
  <c r="K453" i="38"/>
  <c r="L453" i="38" s="1"/>
  <c r="M453" i="38"/>
  <c r="N453" i="38" s="1"/>
  <c r="S453" i="38"/>
  <c r="F195" i="25"/>
  <c r="H195" i="25"/>
  <c r="G195" i="25"/>
  <c r="F38" i="25"/>
  <c r="H25" i="63"/>
  <c r="G25" i="63"/>
  <c r="F25" i="63"/>
  <c r="H78" i="63"/>
  <c r="G78" i="63"/>
  <c r="F78" i="63"/>
  <c r="H77" i="63"/>
  <c r="G77" i="63"/>
  <c r="F77" i="63"/>
  <c r="H76" i="63"/>
  <c r="G76" i="63"/>
  <c r="F76" i="63"/>
  <c r="H75" i="63"/>
  <c r="G75" i="63"/>
  <c r="F75" i="63"/>
  <c r="H74" i="63"/>
  <c r="G74" i="63"/>
  <c r="F74" i="63"/>
  <c r="H73" i="63"/>
  <c r="G73" i="63"/>
  <c r="F73" i="63"/>
  <c r="H72" i="63"/>
  <c r="G72" i="63"/>
  <c r="F72" i="63"/>
  <c r="H71" i="63"/>
  <c r="G71" i="63"/>
  <c r="F71" i="63"/>
  <c r="H70" i="63"/>
  <c r="G70" i="63"/>
  <c r="F70" i="63"/>
  <c r="O453" i="38" l="1"/>
  <c r="Z453" i="38"/>
  <c r="P453" i="38"/>
  <c r="F35" i="64"/>
  <c r="H35" i="64"/>
  <c r="G35" i="64"/>
  <c r="D452" i="38"/>
  <c r="E452" i="38"/>
  <c r="G452" i="38"/>
  <c r="H452" i="38"/>
  <c r="K452" i="38"/>
  <c r="L452" i="38" s="1"/>
  <c r="M452" i="38"/>
  <c r="N452" i="38" s="1"/>
  <c r="S452" i="38"/>
  <c r="O452" i="38" l="1"/>
  <c r="Z452" i="38"/>
  <c r="P452" i="38"/>
  <c r="F92" i="58"/>
  <c r="H92" i="58"/>
  <c r="G92" i="58"/>
  <c r="F11" i="58"/>
  <c r="D451" i="38" l="1"/>
  <c r="E451" i="38"/>
  <c r="G451" i="38"/>
  <c r="H451" i="38"/>
  <c r="K451" i="38"/>
  <c r="L451" i="38" s="1"/>
  <c r="M451" i="38"/>
  <c r="N451" i="38" s="1"/>
  <c r="S451" i="38"/>
  <c r="F91" i="58"/>
  <c r="H91" i="58"/>
  <c r="G91" i="58"/>
  <c r="F90" i="58"/>
  <c r="H90" i="58"/>
  <c r="G90" i="58"/>
  <c r="K5" i="58"/>
  <c r="O451" i="38" l="1"/>
  <c r="Z451" i="38"/>
  <c r="P451" i="38"/>
  <c r="D450" i="38"/>
  <c r="E450" i="38"/>
  <c r="G450" i="38"/>
  <c r="H450" i="38"/>
  <c r="K450" i="38"/>
  <c r="L450" i="38" s="1"/>
  <c r="M450" i="38"/>
  <c r="N450" i="38" s="1"/>
  <c r="S450" i="38"/>
  <c r="O450" i="38" l="1"/>
  <c r="Z450" i="38"/>
  <c r="P450" i="38"/>
  <c r="F42" i="51"/>
  <c r="G42" i="51"/>
  <c r="H42" i="51"/>
  <c r="F52" i="43"/>
  <c r="G52" i="43"/>
  <c r="H52" i="43"/>
  <c r="F194" i="25"/>
  <c r="G194" i="25"/>
  <c r="H194" i="25"/>
  <c r="D449" i="38"/>
  <c r="E449" i="38"/>
  <c r="G449" i="38"/>
  <c r="H449" i="38"/>
  <c r="K449" i="38"/>
  <c r="L449" i="38" s="1"/>
  <c r="M449" i="38"/>
  <c r="N449" i="38" s="1"/>
  <c r="S449" i="38"/>
  <c r="Z449" i="38" l="1"/>
  <c r="O449" i="38"/>
  <c r="P449" i="38"/>
  <c r="Q11" i="78"/>
  <c r="D448" i="38"/>
  <c r="E448" i="38"/>
  <c r="G448" i="38"/>
  <c r="H448" i="38"/>
  <c r="K448" i="38"/>
  <c r="L448" i="38" s="1"/>
  <c r="M448" i="38"/>
  <c r="N448" i="38" s="1"/>
  <c r="S448" i="38"/>
  <c r="O448" i="38" l="1"/>
  <c r="Z448" i="38"/>
  <c r="P448" i="38"/>
  <c r="F9" i="58" l="1"/>
  <c r="D447" i="38"/>
  <c r="E447" i="38"/>
  <c r="G447" i="38"/>
  <c r="H447" i="38"/>
  <c r="K447" i="38"/>
  <c r="L447" i="38" s="1"/>
  <c r="M447" i="38"/>
  <c r="N447" i="38" s="1"/>
  <c r="S447" i="38"/>
  <c r="O447" i="38" l="1"/>
  <c r="Z447" i="38"/>
  <c r="P447" i="38"/>
  <c r="M84" i="78"/>
  <c r="K84" i="78"/>
  <c r="H84" i="78"/>
  <c r="F84" i="78"/>
  <c r="C84" i="78"/>
  <c r="P45" i="78"/>
  <c r="P44" i="78"/>
  <c r="P43" i="78"/>
  <c r="P42" i="78"/>
  <c r="P41" i="78"/>
  <c r="P40" i="78"/>
  <c r="P39" i="78"/>
  <c r="P38" i="78"/>
  <c r="P37" i="78"/>
  <c r="P36" i="78"/>
  <c r="P35" i="78"/>
  <c r="P34" i="78"/>
  <c r="P33" i="78"/>
  <c r="P32" i="78"/>
  <c r="P31" i="78"/>
  <c r="P30" i="78"/>
  <c r="P29" i="78"/>
  <c r="P28" i="78"/>
  <c r="P27" i="78"/>
  <c r="P26" i="78"/>
  <c r="P25" i="78"/>
  <c r="H25" i="78"/>
  <c r="G25" i="78"/>
  <c r="F25" i="78"/>
  <c r="M18" i="78"/>
  <c r="K18" i="78"/>
  <c r="H18" i="78"/>
  <c r="C18" i="78"/>
  <c r="F18" i="78"/>
  <c r="F26" i="77"/>
  <c r="G26" i="77"/>
  <c r="F4" i="77"/>
  <c r="F3" i="77"/>
  <c r="F89" i="58"/>
  <c r="H89" i="58"/>
  <c r="G89" i="58"/>
  <c r="K4" i="58"/>
  <c r="F436" i="17"/>
  <c r="K435" i="17"/>
  <c r="F435" i="17"/>
  <c r="K434" i="17"/>
  <c r="F434" i="17"/>
  <c r="K433" i="17"/>
  <c r="F433" i="17"/>
  <c r="K432" i="17"/>
  <c r="F432" i="17"/>
  <c r="K431" i="17"/>
  <c r="F431" i="17"/>
  <c r="K430" i="17"/>
  <c r="F430" i="17"/>
  <c r="K429" i="17"/>
  <c r="F429" i="17"/>
  <c r="K85" i="78"/>
  <c r="F85" i="78"/>
  <c r="M85" i="78"/>
  <c r="M19" i="78"/>
  <c r="H85" i="78"/>
  <c r="C85" i="78"/>
  <c r="C19" i="78"/>
  <c r="F19" i="78"/>
  <c r="K19" i="78"/>
  <c r="H19" i="78"/>
  <c r="Q2" i="78" l="1"/>
  <c r="Q3" i="78" s="1"/>
  <c r="Q6" i="78" s="1"/>
  <c r="M66" i="78"/>
  <c r="Q10" i="78" s="1"/>
  <c r="D446" i="38"/>
  <c r="E446" i="38"/>
  <c r="G446" i="38"/>
  <c r="H446" i="38"/>
  <c r="K446" i="38"/>
  <c r="L446" i="38" s="1"/>
  <c r="M446" i="38"/>
  <c r="U446" i="38" s="1"/>
  <c r="S446" i="38"/>
  <c r="K48" i="50"/>
  <c r="F48" i="50"/>
  <c r="Q8" i="78" l="1"/>
  <c r="Q7" i="78" s="1"/>
  <c r="Q5" i="78"/>
  <c r="N446" i="38"/>
  <c r="P446" i="38"/>
  <c r="D445" i="38"/>
  <c r="E445" i="38"/>
  <c r="G445" i="38"/>
  <c r="H445" i="38"/>
  <c r="K445" i="38"/>
  <c r="L445" i="38" s="1"/>
  <c r="M445" i="38"/>
  <c r="U445" i="38" s="1"/>
  <c r="S445" i="38"/>
  <c r="O446" i="38" l="1"/>
  <c r="Z446" i="38"/>
  <c r="Q9" i="78"/>
  <c r="P445" i="38"/>
  <c r="N445" i="38"/>
  <c r="H41" i="51"/>
  <c r="G41" i="51"/>
  <c r="F41" i="51"/>
  <c r="F88" i="58"/>
  <c r="G88" i="58"/>
  <c r="H88" i="58"/>
  <c r="D444" i="38"/>
  <c r="E444" i="38"/>
  <c r="G444" i="38"/>
  <c r="H444" i="38"/>
  <c r="K444" i="38"/>
  <c r="L444" i="38" s="1"/>
  <c r="M444" i="38"/>
  <c r="U444" i="38" s="1"/>
  <c r="S444" i="38"/>
  <c r="O445" i="38" l="1"/>
  <c r="Z445" i="38"/>
  <c r="P444" i="38"/>
  <c r="N444" i="38"/>
  <c r="D443" i="38"/>
  <c r="E443" i="38"/>
  <c r="G443" i="38"/>
  <c r="H443" i="38"/>
  <c r="K443" i="38"/>
  <c r="L443" i="38" s="1"/>
  <c r="M443" i="38"/>
  <c r="U443" i="38" s="1"/>
  <c r="S443" i="38"/>
  <c r="G40" i="51"/>
  <c r="O444" i="38" l="1"/>
  <c r="Z444" i="38"/>
  <c r="P443" i="38"/>
  <c r="N443" i="38"/>
  <c r="D442" i="38"/>
  <c r="E442" i="38"/>
  <c r="G442" i="38"/>
  <c r="H442" i="38"/>
  <c r="K442" i="38"/>
  <c r="L442" i="38" s="1"/>
  <c r="M442" i="38"/>
  <c r="N442" i="38" s="1"/>
  <c r="S442" i="38"/>
  <c r="F87" i="58"/>
  <c r="H87" i="58"/>
  <c r="G87" i="58"/>
  <c r="F51" i="43"/>
  <c r="H51" i="43"/>
  <c r="G51" i="43"/>
  <c r="F8" i="43"/>
  <c r="K2" i="43"/>
  <c r="F8" i="58"/>
  <c r="K28" i="43"/>
  <c r="Z442" i="38" l="1"/>
  <c r="O442" i="38"/>
  <c r="O443" i="38"/>
  <c r="Z443" i="38"/>
  <c r="K27" i="43"/>
  <c r="P442" i="38"/>
  <c r="U442" i="38"/>
  <c r="M158" i="25"/>
  <c r="F193" i="25"/>
  <c r="H193" i="25"/>
  <c r="G193" i="25"/>
  <c r="G436" i="38"/>
  <c r="G437" i="38"/>
  <c r="G438" i="38"/>
  <c r="G439" i="38"/>
  <c r="G440" i="38"/>
  <c r="G441" i="38"/>
  <c r="D438" i="38"/>
  <c r="D439" i="38"/>
  <c r="D440" i="38"/>
  <c r="D441" i="38"/>
  <c r="E441" i="38"/>
  <c r="H441" i="38"/>
  <c r="K441" i="38"/>
  <c r="L441" i="38" s="1"/>
  <c r="M441" i="38"/>
  <c r="U441" i="38" s="1"/>
  <c r="S441" i="38"/>
  <c r="N441" i="38" l="1"/>
  <c r="P441" i="38"/>
  <c r="E440" i="38"/>
  <c r="H440" i="38"/>
  <c r="K440" i="38"/>
  <c r="L440" i="38" s="1"/>
  <c r="M440" i="38"/>
  <c r="U440" i="38" s="1"/>
  <c r="S440" i="38"/>
  <c r="F86" i="58"/>
  <c r="H86" i="58"/>
  <c r="G86" i="58"/>
  <c r="K3" i="58"/>
  <c r="O441" i="38" l="1"/>
  <c r="Z441" i="38"/>
  <c r="N440" i="38"/>
  <c r="P440" i="38"/>
  <c r="E439" i="38"/>
  <c r="H439" i="38"/>
  <c r="K439" i="38"/>
  <c r="L439" i="38" s="1"/>
  <c r="P439" i="38" s="1"/>
  <c r="M439" i="38"/>
  <c r="U439" i="38" s="1"/>
  <c r="S439" i="38"/>
  <c r="O440" i="38" l="1"/>
  <c r="Z440" i="38"/>
  <c r="N439" i="38"/>
  <c r="E438" i="38"/>
  <c r="H438" i="38"/>
  <c r="K438" i="38"/>
  <c r="L438" i="38" s="1"/>
  <c r="P438" i="38" s="1"/>
  <c r="M438" i="38"/>
  <c r="U438" i="38" s="1"/>
  <c r="S438" i="38"/>
  <c r="O439" i="38" l="1"/>
  <c r="Z439" i="38"/>
  <c r="N438" i="38"/>
  <c r="G429" i="38"/>
  <c r="G430" i="38"/>
  <c r="G431" i="38"/>
  <c r="G432" i="38"/>
  <c r="G433" i="38"/>
  <c r="G434" i="38"/>
  <c r="G435" i="38"/>
  <c r="D431" i="38"/>
  <c r="D432" i="38"/>
  <c r="D433" i="38"/>
  <c r="D434" i="38"/>
  <c r="D435" i="38"/>
  <c r="D436" i="38"/>
  <c r="D437" i="38"/>
  <c r="E437" i="38"/>
  <c r="H437" i="38"/>
  <c r="K437" i="38"/>
  <c r="L437" i="38" s="1"/>
  <c r="M437" i="38"/>
  <c r="U437" i="38" s="1"/>
  <c r="S437" i="38"/>
  <c r="O438" i="38" l="1"/>
  <c r="Z438" i="38"/>
  <c r="P437" i="38"/>
  <c r="N437" i="38"/>
  <c r="E436" i="38"/>
  <c r="H436" i="38"/>
  <c r="K436" i="38"/>
  <c r="L436" i="38" s="1"/>
  <c r="M436" i="38"/>
  <c r="U436" i="38" s="1"/>
  <c r="S436" i="38"/>
  <c r="M88" i="77"/>
  <c r="H88" i="77"/>
  <c r="C88" i="77"/>
  <c r="K88" i="77"/>
  <c r="F88" i="77"/>
  <c r="P38" i="77"/>
  <c r="P37" i="77"/>
  <c r="P36" i="77"/>
  <c r="P35" i="77"/>
  <c r="P34" i="77"/>
  <c r="P33" i="77"/>
  <c r="P32" i="77"/>
  <c r="P31" i="77"/>
  <c r="P30" i="77"/>
  <c r="P29" i="77"/>
  <c r="P28" i="77"/>
  <c r="P27" i="77"/>
  <c r="P26" i="77"/>
  <c r="P25" i="77"/>
  <c r="P24" i="77"/>
  <c r="P23" i="77"/>
  <c r="P22" i="77"/>
  <c r="P21" i="77"/>
  <c r="P20" i="77"/>
  <c r="P19" i="77"/>
  <c r="P18" i="77"/>
  <c r="H25" i="77"/>
  <c r="G25" i="77"/>
  <c r="F25" i="77"/>
  <c r="M18" i="77"/>
  <c r="F2" i="77"/>
  <c r="F18" i="77" s="1"/>
  <c r="E435" i="38"/>
  <c r="H435" i="38"/>
  <c r="K435" i="38"/>
  <c r="L435" i="38" s="1"/>
  <c r="M435" i="38"/>
  <c r="U435" i="38" s="1"/>
  <c r="S435" i="38"/>
  <c r="C89" i="77"/>
  <c r="H89" i="77"/>
  <c r="K89" i="77"/>
  <c r="M19" i="77"/>
  <c r="M89" i="77"/>
  <c r="H19" i="77"/>
  <c r="F19" i="77"/>
  <c r="C19" i="77"/>
  <c r="F89" i="77"/>
  <c r="O437" i="38" l="1"/>
  <c r="Z437" i="38"/>
  <c r="Q2" i="77"/>
  <c r="Q3" i="77" s="1"/>
  <c r="Q6" i="77" s="1"/>
  <c r="N436" i="38"/>
  <c r="P435" i="38"/>
  <c r="P436" i="38"/>
  <c r="M70" i="77"/>
  <c r="Q10" i="77" s="1"/>
  <c r="N435" i="38"/>
  <c r="E434" i="38"/>
  <c r="H434" i="38"/>
  <c r="K434" i="38"/>
  <c r="L434" i="38" s="1"/>
  <c r="P434" i="38" s="1"/>
  <c r="M434" i="38"/>
  <c r="U434" i="38" s="1"/>
  <c r="S434" i="38"/>
  <c r="F37" i="25"/>
  <c r="F36" i="25"/>
  <c r="O436" i="38" l="1"/>
  <c r="O435" i="38"/>
  <c r="Z435" i="38"/>
  <c r="Z436" i="38"/>
  <c r="Q8" i="77"/>
  <c r="Q9" i="77" s="1"/>
  <c r="Q5" i="77"/>
  <c r="N434" i="38"/>
  <c r="F34" i="64"/>
  <c r="H34" i="64"/>
  <c r="G34" i="64"/>
  <c r="E433" i="38"/>
  <c r="H433" i="38"/>
  <c r="K433" i="38"/>
  <c r="M433" i="38"/>
  <c r="N433" i="38" s="1"/>
  <c r="S433" i="38"/>
  <c r="O433" i="38" l="1"/>
  <c r="O434" i="38"/>
  <c r="Z433" i="38"/>
  <c r="Z434" i="38"/>
  <c r="Q7" i="77"/>
  <c r="L433" i="38"/>
  <c r="P433" i="38" s="1"/>
  <c r="U433" i="38"/>
  <c r="G426" i="38"/>
  <c r="G427" i="38"/>
  <c r="G428" i="38"/>
  <c r="E432" i="38"/>
  <c r="H432" i="38"/>
  <c r="K432" i="38"/>
  <c r="L432" i="38" s="1"/>
  <c r="P432" i="38" s="1"/>
  <c r="M432" i="38"/>
  <c r="U432" i="38" s="1"/>
  <c r="S432" i="38"/>
  <c r="N432" i="38" l="1"/>
  <c r="E431" i="38"/>
  <c r="H431" i="38"/>
  <c r="K431" i="38"/>
  <c r="L431" i="38" s="1"/>
  <c r="M431" i="38"/>
  <c r="U431" i="38" s="1"/>
  <c r="S431" i="38"/>
  <c r="O432" i="38" l="1"/>
  <c r="Z432" i="38"/>
  <c r="N431" i="38"/>
  <c r="P431" i="38"/>
  <c r="D430" i="38"/>
  <c r="E430" i="38"/>
  <c r="H430" i="38"/>
  <c r="K430" i="38"/>
  <c r="M430" i="38"/>
  <c r="U430" i="38" s="1"/>
  <c r="S430" i="38"/>
  <c r="O431" i="38" l="1"/>
  <c r="Z431" i="38"/>
  <c r="N430" i="38"/>
  <c r="L430" i="38"/>
  <c r="P430" i="38" s="1"/>
  <c r="D429" i="38"/>
  <c r="E429" i="38"/>
  <c r="H429" i="38"/>
  <c r="K429" i="38"/>
  <c r="L429" i="38" s="1"/>
  <c r="M429" i="38"/>
  <c r="N429" i="38" s="1"/>
  <c r="S429" i="38"/>
  <c r="F192" i="25"/>
  <c r="H192" i="25"/>
  <c r="G192" i="25"/>
  <c r="F35" i="25"/>
  <c r="F34" i="25"/>
  <c r="O430" i="38" l="1"/>
  <c r="O429" i="38"/>
  <c r="Z430" i="38"/>
  <c r="Z429" i="38"/>
  <c r="P429" i="38"/>
  <c r="U429" i="38"/>
  <c r="D428" i="38"/>
  <c r="E428" i="38"/>
  <c r="H428" i="38"/>
  <c r="K428" i="38"/>
  <c r="L428" i="38" s="1"/>
  <c r="M428" i="38"/>
  <c r="U428" i="38" s="1"/>
  <c r="S428" i="38"/>
  <c r="P428" i="38" l="1"/>
  <c r="N428" i="38"/>
  <c r="D427" i="38"/>
  <c r="E427" i="38"/>
  <c r="H427" i="38"/>
  <c r="K427" i="38"/>
  <c r="L427" i="38" s="1"/>
  <c r="M427" i="38"/>
  <c r="U427" i="38" s="1"/>
  <c r="S427" i="38"/>
  <c r="O428" i="38" l="1"/>
  <c r="Z428" i="38"/>
  <c r="P427" i="38"/>
  <c r="N427" i="38"/>
  <c r="G419" i="38"/>
  <c r="G420" i="38"/>
  <c r="G421" i="38"/>
  <c r="G422" i="38"/>
  <c r="G423" i="38"/>
  <c r="G424" i="38"/>
  <c r="G425" i="38"/>
  <c r="D422" i="38"/>
  <c r="D423" i="38"/>
  <c r="D424" i="38"/>
  <c r="D425" i="38"/>
  <c r="D426" i="38"/>
  <c r="E426" i="38"/>
  <c r="H426" i="38"/>
  <c r="K426" i="38"/>
  <c r="M426" i="38"/>
  <c r="N426" i="38" s="1"/>
  <c r="S426" i="38"/>
  <c r="F39" i="51"/>
  <c r="G39" i="51"/>
  <c r="H39" i="51"/>
  <c r="O426" i="38" l="1"/>
  <c r="O427" i="38"/>
  <c r="Z426" i="38"/>
  <c r="Z427" i="38"/>
  <c r="L426" i="38"/>
  <c r="P426" i="38" s="1"/>
  <c r="U426" i="38"/>
  <c r="E425" i="38"/>
  <c r="H425" i="38"/>
  <c r="K425" i="38"/>
  <c r="L425" i="38" s="1"/>
  <c r="P425" i="38" s="1"/>
  <c r="M425" i="38"/>
  <c r="U425" i="38" s="1"/>
  <c r="S425" i="38"/>
  <c r="F33" i="64"/>
  <c r="H33" i="64"/>
  <c r="G33" i="64"/>
  <c r="M91" i="76"/>
  <c r="H91" i="76"/>
  <c r="C91" i="76"/>
  <c r="K75" i="76"/>
  <c r="K91" i="76" s="1"/>
  <c r="F75" i="76"/>
  <c r="F91" i="76" s="1"/>
  <c r="F191" i="25"/>
  <c r="H191" i="25"/>
  <c r="G191" i="25"/>
  <c r="K10" i="25"/>
  <c r="E424" i="38"/>
  <c r="H424" i="38"/>
  <c r="K424" i="38"/>
  <c r="L424" i="38" s="1"/>
  <c r="P424" i="38" s="1"/>
  <c r="M424" i="38"/>
  <c r="U424" i="38" s="1"/>
  <c r="S424" i="38"/>
  <c r="N424" i="38" l="1"/>
  <c r="M73" i="76"/>
  <c r="Q10" i="76" s="1"/>
  <c r="N425" i="38"/>
  <c r="F190" i="25"/>
  <c r="H190" i="25"/>
  <c r="G190" i="25"/>
  <c r="F33" i="25"/>
  <c r="G23" i="50"/>
  <c r="K23" i="50" s="1"/>
  <c r="F23" i="50"/>
  <c r="M18" i="50"/>
  <c r="C18" i="50"/>
  <c r="F18" i="50"/>
  <c r="F189" i="25"/>
  <c r="H189" i="25"/>
  <c r="G189" i="25"/>
  <c r="K9" i="25"/>
  <c r="F32" i="25"/>
  <c r="O425" i="38" l="1"/>
  <c r="O424" i="38"/>
  <c r="Z424" i="38"/>
  <c r="Z425" i="38"/>
  <c r="E423" i="38"/>
  <c r="H423" i="38"/>
  <c r="K423" i="38"/>
  <c r="L423" i="38" s="1"/>
  <c r="P423" i="38" s="1"/>
  <c r="M423" i="38"/>
  <c r="U423" i="38" s="1"/>
  <c r="S423" i="38"/>
  <c r="F188" i="25"/>
  <c r="H188" i="25"/>
  <c r="G188" i="25"/>
  <c r="F31" i="25"/>
  <c r="N423" i="38" l="1"/>
  <c r="F32" i="64"/>
  <c r="H32" i="64"/>
  <c r="G32" i="64"/>
  <c r="E422" i="38"/>
  <c r="H422" i="38"/>
  <c r="K422" i="38"/>
  <c r="L422" i="38" s="1"/>
  <c r="M422" i="38"/>
  <c r="U422" i="38" s="1"/>
  <c r="S422" i="38"/>
  <c r="O423" i="38" l="1"/>
  <c r="Z423" i="38"/>
  <c r="P422" i="38"/>
  <c r="N422" i="38"/>
  <c r="G417" i="38"/>
  <c r="G418" i="38"/>
  <c r="D418" i="38"/>
  <c r="D419" i="38"/>
  <c r="D420" i="38"/>
  <c r="D421" i="38"/>
  <c r="E421" i="38"/>
  <c r="H421" i="38"/>
  <c r="K421" i="38"/>
  <c r="L421" i="38" s="1"/>
  <c r="M421" i="38"/>
  <c r="U421" i="38" s="1"/>
  <c r="S421" i="38"/>
  <c r="O422" i="38" l="1"/>
  <c r="Z422" i="38"/>
  <c r="N421" i="38"/>
  <c r="Z421" i="38" s="1"/>
  <c r="P421" i="38"/>
  <c r="E420" i="38"/>
  <c r="H420" i="38"/>
  <c r="K420" i="38"/>
  <c r="L420" i="38" s="1"/>
  <c r="M420" i="38"/>
  <c r="U420" i="38" s="1"/>
  <c r="S420" i="38"/>
  <c r="F85" i="58"/>
  <c r="H85" i="58"/>
  <c r="G85" i="58"/>
  <c r="F7" i="58"/>
  <c r="O421" i="38" l="1"/>
  <c r="P420" i="38"/>
  <c r="N420" i="38"/>
  <c r="E419" i="38"/>
  <c r="H419" i="38"/>
  <c r="K419" i="38"/>
  <c r="L419" i="38" s="1"/>
  <c r="M419" i="38"/>
  <c r="U419" i="38" s="1"/>
  <c r="S419" i="38"/>
  <c r="F187" i="25"/>
  <c r="H187" i="25"/>
  <c r="G187" i="25"/>
  <c r="F31" i="64"/>
  <c r="H31" i="64"/>
  <c r="G31" i="64"/>
  <c r="O420" i="38" l="1"/>
  <c r="Z420" i="38"/>
  <c r="P419" i="38"/>
  <c r="N419" i="38"/>
  <c r="H160" i="1"/>
  <c r="C160" i="1"/>
  <c r="F157" i="1"/>
  <c r="F156" i="1"/>
  <c r="F155" i="1"/>
  <c r="F154" i="1"/>
  <c r="F153" i="1"/>
  <c r="F152" i="1"/>
  <c r="F151" i="1"/>
  <c r="K150" i="1"/>
  <c r="F150" i="1"/>
  <c r="K149" i="1"/>
  <c r="F149" i="1"/>
  <c r="K148" i="1"/>
  <c r="F148" i="1"/>
  <c r="K147" i="1"/>
  <c r="F147" i="1"/>
  <c r="K146" i="1"/>
  <c r="F146" i="1"/>
  <c r="K145" i="1"/>
  <c r="F145" i="1"/>
  <c r="K144" i="1"/>
  <c r="F144" i="1"/>
  <c r="K143" i="1"/>
  <c r="F143" i="1"/>
  <c r="F162" i="1"/>
  <c r="F163" i="1" s="1"/>
  <c r="K162" i="1"/>
  <c r="K163" i="1" s="1"/>
  <c r="C163" i="1"/>
  <c r="H163" i="1"/>
  <c r="F165" i="1"/>
  <c r="K165" i="1"/>
  <c r="K167" i="1" s="1"/>
  <c r="F166" i="1"/>
  <c r="C167" i="1"/>
  <c r="H167" i="1"/>
  <c r="F169" i="1"/>
  <c r="K169" i="1"/>
  <c r="O419" i="38" l="1"/>
  <c r="Z419" i="38"/>
  <c r="F160" i="1"/>
  <c r="K160" i="1"/>
  <c r="F167" i="1"/>
  <c r="N167" i="1" s="1"/>
  <c r="O167" i="1" s="1"/>
  <c r="N163" i="1"/>
  <c r="O163" i="1" s="1"/>
  <c r="E418" i="38"/>
  <c r="H418" i="38"/>
  <c r="K418" i="38"/>
  <c r="L418" i="38" s="1"/>
  <c r="M418" i="38"/>
  <c r="N418" i="38" s="1"/>
  <c r="S418" i="38"/>
  <c r="Z418" i="38" l="1"/>
  <c r="O418" i="38"/>
  <c r="N160" i="1"/>
  <c r="O160" i="1" s="1"/>
  <c r="P418" i="38"/>
  <c r="U418" i="38"/>
  <c r="G413" i="38"/>
  <c r="G414" i="38"/>
  <c r="G415" i="38"/>
  <c r="G416" i="38"/>
  <c r="D415" i="38"/>
  <c r="D416" i="38"/>
  <c r="D417" i="38"/>
  <c r="E417" i="38"/>
  <c r="H417" i="38"/>
  <c r="K417" i="38"/>
  <c r="L417" i="38" s="1"/>
  <c r="M417" i="38"/>
  <c r="N417" i="38" s="1"/>
  <c r="S417" i="38"/>
  <c r="F50" i="43"/>
  <c r="H50" i="43"/>
  <c r="G50" i="43"/>
  <c r="F7" i="43"/>
  <c r="H120" i="70"/>
  <c r="G120" i="70"/>
  <c r="K120" i="70" s="1"/>
  <c r="F120" i="70"/>
  <c r="H119" i="70"/>
  <c r="G119" i="70"/>
  <c r="K119" i="70" s="1"/>
  <c r="F119" i="70"/>
  <c r="H118" i="70"/>
  <c r="G118" i="70"/>
  <c r="K118" i="70" s="1"/>
  <c r="F118" i="70"/>
  <c r="H117" i="70"/>
  <c r="G117" i="70"/>
  <c r="K117" i="70" s="1"/>
  <c r="F117" i="70"/>
  <c r="H116" i="70"/>
  <c r="G116" i="70"/>
  <c r="K116" i="70" s="1"/>
  <c r="F116" i="70"/>
  <c r="H115" i="70"/>
  <c r="G115" i="70"/>
  <c r="K115" i="70" s="1"/>
  <c r="F115" i="70"/>
  <c r="H114" i="70"/>
  <c r="G114" i="70"/>
  <c r="K114" i="70" s="1"/>
  <c r="F114" i="70"/>
  <c r="H113" i="70"/>
  <c r="G113" i="70"/>
  <c r="K113" i="70" s="1"/>
  <c r="F113" i="70"/>
  <c r="H112" i="70"/>
  <c r="G112" i="70"/>
  <c r="K112" i="70" s="1"/>
  <c r="F112" i="70"/>
  <c r="H111" i="70"/>
  <c r="G111" i="70"/>
  <c r="F111" i="70"/>
  <c r="H110" i="70"/>
  <c r="G110" i="70"/>
  <c r="F110" i="70"/>
  <c r="H109" i="70"/>
  <c r="G109" i="70"/>
  <c r="F109" i="70"/>
  <c r="H108" i="70"/>
  <c r="G108" i="70"/>
  <c r="F108" i="70"/>
  <c r="H107" i="70"/>
  <c r="G107" i="70"/>
  <c r="F107" i="70"/>
  <c r="H106" i="70"/>
  <c r="G106" i="70"/>
  <c r="F106" i="70"/>
  <c r="H105" i="70"/>
  <c r="G105" i="70"/>
  <c r="F105" i="70"/>
  <c r="H104" i="70"/>
  <c r="G104" i="70"/>
  <c r="F104" i="70"/>
  <c r="H103" i="70"/>
  <c r="G103" i="70"/>
  <c r="F103" i="70"/>
  <c r="H102" i="70"/>
  <c r="G102" i="70"/>
  <c r="F102" i="70"/>
  <c r="H101" i="70"/>
  <c r="G101" i="70"/>
  <c r="F101" i="70"/>
  <c r="H100" i="70"/>
  <c r="G100" i="70"/>
  <c r="F100" i="70"/>
  <c r="H99" i="70"/>
  <c r="G99" i="70"/>
  <c r="F99" i="70"/>
  <c r="H98" i="70"/>
  <c r="G98" i="70"/>
  <c r="F98" i="70"/>
  <c r="H97" i="70"/>
  <c r="G97" i="70"/>
  <c r="F97" i="70"/>
  <c r="H96" i="70"/>
  <c r="G96" i="70"/>
  <c r="F96" i="70"/>
  <c r="C76" i="70"/>
  <c r="H76" i="70"/>
  <c r="F74" i="70"/>
  <c r="F73" i="70"/>
  <c r="K72" i="70"/>
  <c r="F72" i="70"/>
  <c r="K71" i="70"/>
  <c r="F71" i="70"/>
  <c r="K70" i="70"/>
  <c r="F70" i="70"/>
  <c r="K69" i="70"/>
  <c r="F69" i="70"/>
  <c r="K68" i="70"/>
  <c r="F68" i="70"/>
  <c r="K67" i="70"/>
  <c r="F67" i="70"/>
  <c r="K66" i="70"/>
  <c r="F66" i="70"/>
  <c r="K65" i="70"/>
  <c r="F65" i="70"/>
  <c r="K64" i="70"/>
  <c r="F64" i="70"/>
  <c r="M76" i="70"/>
  <c r="K18" i="70"/>
  <c r="H18" i="70"/>
  <c r="O417" i="38" l="1"/>
  <c r="Z417" i="38"/>
  <c r="P417" i="38"/>
  <c r="U417" i="38"/>
  <c r="E416" i="38"/>
  <c r="H416" i="38"/>
  <c r="K416" i="38"/>
  <c r="L416" i="38" s="1"/>
  <c r="M416" i="38"/>
  <c r="U416" i="38" s="1"/>
  <c r="S416" i="38"/>
  <c r="F186" i="25"/>
  <c r="H186" i="25"/>
  <c r="G186" i="25"/>
  <c r="K8" i="25"/>
  <c r="P416" i="38" l="1"/>
  <c r="N416" i="38"/>
  <c r="F49" i="43"/>
  <c r="H49" i="43"/>
  <c r="G49" i="43"/>
  <c r="F84" i="58"/>
  <c r="H84" i="58"/>
  <c r="G84" i="58"/>
  <c r="F38" i="51"/>
  <c r="G38" i="51"/>
  <c r="H38" i="51"/>
  <c r="F185" i="25"/>
  <c r="H185" i="25"/>
  <c r="G185" i="25"/>
  <c r="O416" i="38" l="1"/>
  <c r="Z416" i="38"/>
  <c r="E415" i="38"/>
  <c r="H415" i="38"/>
  <c r="K415" i="38"/>
  <c r="L415" i="38" s="1"/>
  <c r="P415" i="38" s="1"/>
  <c r="M415" i="38"/>
  <c r="U415" i="38" s="1"/>
  <c r="S415" i="38"/>
  <c r="F184" i="25"/>
  <c r="H184" i="25"/>
  <c r="G184" i="25"/>
  <c r="F30" i="25"/>
  <c r="F29" i="25"/>
  <c r="N415" i="38" l="1"/>
  <c r="D414" i="38"/>
  <c r="E414" i="38"/>
  <c r="H414" i="38"/>
  <c r="K414" i="38"/>
  <c r="L414" i="38" s="1"/>
  <c r="M414" i="38"/>
  <c r="U414" i="38" s="1"/>
  <c r="S414" i="38"/>
  <c r="O415" i="38" l="1"/>
  <c r="Z415" i="38"/>
  <c r="N414" i="38"/>
  <c r="P414" i="38"/>
  <c r="D413" i="38"/>
  <c r="E413" i="38"/>
  <c r="H413" i="38"/>
  <c r="K413" i="38"/>
  <c r="M413" i="38"/>
  <c r="U413" i="38" s="1"/>
  <c r="S413" i="38"/>
  <c r="F83" i="58"/>
  <c r="H83" i="58"/>
  <c r="G83" i="58"/>
  <c r="F6" i="58"/>
  <c r="O414" i="38" l="1"/>
  <c r="Z414" i="38"/>
  <c r="N413" i="38"/>
  <c r="L413" i="38"/>
  <c r="P413" i="38" s="1"/>
  <c r="D412" i="38"/>
  <c r="E412" i="38"/>
  <c r="G412" i="38"/>
  <c r="H412" i="38"/>
  <c r="K412" i="38"/>
  <c r="L412" i="38" s="1"/>
  <c r="M412" i="38"/>
  <c r="U412" i="38" s="1"/>
  <c r="S412" i="38"/>
  <c r="F48" i="43"/>
  <c r="H48" i="43"/>
  <c r="G48" i="43"/>
  <c r="F82" i="58"/>
  <c r="H82" i="58"/>
  <c r="G82" i="58"/>
  <c r="F5" i="58"/>
  <c r="O413" i="38" l="1"/>
  <c r="Z413" i="38"/>
  <c r="N412" i="38"/>
  <c r="P412" i="38"/>
  <c r="G409" i="38"/>
  <c r="G410" i="38"/>
  <c r="G411" i="38"/>
  <c r="D410" i="38"/>
  <c r="D411" i="38"/>
  <c r="E411" i="38"/>
  <c r="H411" i="38"/>
  <c r="K411" i="38"/>
  <c r="L411" i="38" s="1"/>
  <c r="M411" i="38"/>
  <c r="U411" i="38" s="1"/>
  <c r="S411" i="38"/>
  <c r="O412" i="38" l="1"/>
  <c r="Z412" i="38"/>
  <c r="N411" i="38"/>
  <c r="P411" i="38"/>
  <c r="F183" i="25"/>
  <c r="H183" i="25"/>
  <c r="G183" i="25"/>
  <c r="O411" i="38" l="1"/>
  <c r="Z411" i="38"/>
  <c r="E410" i="38"/>
  <c r="H410" i="38"/>
  <c r="K410" i="38"/>
  <c r="L410" i="38" s="1"/>
  <c r="P410" i="38" s="1"/>
  <c r="M410" i="38"/>
  <c r="N410" i="38" s="1"/>
  <c r="S410" i="38"/>
  <c r="O410" i="38" l="1"/>
  <c r="Z410" i="38"/>
  <c r="U410" i="38"/>
  <c r="D409" i="38"/>
  <c r="E409" i="38"/>
  <c r="H409" i="38"/>
  <c r="K409" i="38"/>
  <c r="M409" i="38"/>
  <c r="N409" i="38" s="1"/>
  <c r="S409" i="38"/>
  <c r="O409" i="38" l="1"/>
  <c r="Z409" i="38"/>
  <c r="L409" i="38"/>
  <c r="P409" i="38" s="1"/>
  <c r="U409" i="38"/>
  <c r="F30" i="64"/>
  <c r="H30" i="64"/>
  <c r="G30" i="64"/>
  <c r="F29" i="64"/>
  <c r="H29" i="64"/>
  <c r="G29" i="64"/>
  <c r="D408" i="38"/>
  <c r="E408" i="38"/>
  <c r="G408" i="38"/>
  <c r="H408" i="38"/>
  <c r="K408" i="38"/>
  <c r="L408" i="38" s="1"/>
  <c r="M408" i="38"/>
  <c r="N408" i="38" s="1"/>
  <c r="S408" i="38"/>
  <c r="O408" i="38" l="1"/>
  <c r="Z408" i="38"/>
  <c r="P408" i="38"/>
  <c r="U408" i="38"/>
  <c r="H117" i="69"/>
  <c r="G117" i="69"/>
  <c r="F117" i="69"/>
  <c r="H116" i="69"/>
  <c r="G116" i="69"/>
  <c r="F116" i="69"/>
  <c r="H115" i="69"/>
  <c r="G115" i="69"/>
  <c r="F115" i="69"/>
  <c r="H114" i="69"/>
  <c r="G114" i="69"/>
  <c r="F114" i="69"/>
  <c r="H113" i="69"/>
  <c r="G113" i="69"/>
  <c r="F113" i="69"/>
  <c r="H112" i="69"/>
  <c r="G112" i="69"/>
  <c r="F112" i="69"/>
  <c r="H111" i="69"/>
  <c r="G111" i="69"/>
  <c r="F111" i="69"/>
  <c r="H110" i="69"/>
  <c r="G110" i="69"/>
  <c r="F110" i="69"/>
  <c r="H109" i="69"/>
  <c r="G109" i="69"/>
  <c r="F109" i="69"/>
  <c r="H108" i="69"/>
  <c r="G108" i="69"/>
  <c r="F108" i="69"/>
  <c r="H107" i="69"/>
  <c r="G107" i="69"/>
  <c r="F107" i="69"/>
  <c r="H106" i="69"/>
  <c r="G106" i="69"/>
  <c r="F106" i="69"/>
  <c r="H105" i="69"/>
  <c r="G105" i="69"/>
  <c r="F105" i="69"/>
  <c r="H104" i="69"/>
  <c r="G104" i="69"/>
  <c r="F104" i="69"/>
  <c r="H103" i="69"/>
  <c r="G103" i="69"/>
  <c r="F103" i="69"/>
  <c r="H102" i="69"/>
  <c r="G102" i="69"/>
  <c r="F102" i="69"/>
  <c r="H101" i="69"/>
  <c r="G101" i="69"/>
  <c r="F101" i="69"/>
  <c r="H100" i="69"/>
  <c r="G100" i="69"/>
  <c r="F100" i="69"/>
  <c r="H99" i="69"/>
  <c r="G99" i="69"/>
  <c r="F99" i="69"/>
  <c r="H98" i="69"/>
  <c r="G98" i="69"/>
  <c r="F98" i="69"/>
  <c r="H97" i="69"/>
  <c r="G97" i="69"/>
  <c r="F97" i="69"/>
  <c r="H96" i="69"/>
  <c r="G96" i="69"/>
  <c r="F96" i="69"/>
  <c r="H95" i="69"/>
  <c r="G95" i="69"/>
  <c r="F95" i="69"/>
  <c r="H94" i="69"/>
  <c r="G94" i="69"/>
  <c r="F94" i="69"/>
  <c r="M86" i="69"/>
  <c r="H86" i="69"/>
  <c r="C86" i="69"/>
  <c r="F75" i="69"/>
  <c r="F74" i="69"/>
  <c r="K73" i="69"/>
  <c r="F73" i="69"/>
  <c r="K72" i="69"/>
  <c r="F72" i="69"/>
  <c r="K71" i="69"/>
  <c r="F71" i="69"/>
  <c r="K70" i="69"/>
  <c r="F70" i="69"/>
  <c r="D407" i="38"/>
  <c r="E407" i="38"/>
  <c r="G407" i="38"/>
  <c r="H407" i="38"/>
  <c r="K407" i="38"/>
  <c r="L407" i="38" s="1"/>
  <c r="M407" i="38"/>
  <c r="U407" i="38" s="1"/>
  <c r="S407" i="38"/>
  <c r="H87" i="69"/>
  <c r="M87" i="69"/>
  <c r="F87" i="69"/>
  <c r="C87" i="69"/>
  <c r="K87" i="69"/>
  <c r="N407" i="38" l="1"/>
  <c r="Z407" i="38" s="1"/>
  <c r="F86" i="69"/>
  <c r="K86" i="69"/>
  <c r="P407" i="38"/>
  <c r="G404" i="38"/>
  <c r="G405" i="38"/>
  <c r="G406" i="38"/>
  <c r="D404" i="38"/>
  <c r="D405" i="38"/>
  <c r="D406" i="38"/>
  <c r="E406" i="38"/>
  <c r="H406" i="38"/>
  <c r="K406" i="38"/>
  <c r="L406" i="38" s="1"/>
  <c r="M406" i="38"/>
  <c r="U406" i="38" s="1"/>
  <c r="S406" i="38"/>
  <c r="O407" i="38" l="1"/>
  <c r="N406" i="38"/>
  <c r="M68" i="69"/>
  <c r="Q10" i="69" s="1"/>
  <c r="P406" i="38"/>
  <c r="K60" i="69" l="1"/>
  <c r="K61" i="69"/>
  <c r="K58" i="69"/>
  <c r="K59" i="69"/>
  <c r="K56" i="69"/>
  <c r="K57" i="69"/>
  <c r="K54" i="69"/>
  <c r="K55" i="69"/>
  <c r="K52" i="69"/>
  <c r="K53" i="69"/>
  <c r="K49" i="69"/>
  <c r="K50" i="69"/>
  <c r="K51" i="69"/>
  <c r="K46" i="69"/>
  <c r="K47" i="69"/>
  <c r="K48" i="69"/>
  <c r="K42" i="69"/>
  <c r="K43" i="69"/>
  <c r="K40" i="69"/>
  <c r="K41" i="69"/>
  <c r="K38" i="69"/>
  <c r="K39" i="69"/>
  <c r="K36" i="69"/>
  <c r="K37" i="69"/>
  <c r="K34" i="69"/>
  <c r="K35" i="69"/>
  <c r="K32" i="69"/>
  <c r="K33" i="69"/>
  <c r="K29" i="69"/>
  <c r="K30" i="69"/>
  <c r="K31" i="69"/>
  <c r="K25" i="69"/>
  <c r="K26" i="69"/>
  <c r="K28" i="69"/>
  <c r="K27" i="69"/>
  <c r="O406" i="38"/>
  <c r="Z406" i="38"/>
  <c r="F47" i="43"/>
  <c r="H47" i="43"/>
  <c r="G47" i="43"/>
  <c r="F6" i="43"/>
  <c r="E405" i="38"/>
  <c r="H405" i="38"/>
  <c r="K405" i="38"/>
  <c r="L405" i="38" s="1"/>
  <c r="P405" i="38" s="1"/>
  <c r="M405" i="38"/>
  <c r="U405" i="38" s="1"/>
  <c r="S405" i="38"/>
  <c r="N405" i="38" l="1"/>
  <c r="E404" i="38"/>
  <c r="H404" i="38"/>
  <c r="K404" i="38"/>
  <c r="L404" i="38" s="1"/>
  <c r="P404" i="38" s="1"/>
  <c r="M404" i="38"/>
  <c r="U404" i="38" s="1"/>
  <c r="S404" i="38"/>
  <c r="O405" i="38" l="1"/>
  <c r="Z405" i="38"/>
  <c r="N404" i="38"/>
  <c r="F182" i="25"/>
  <c r="H182" i="25"/>
  <c r="G182" i="25"/>
  <c r="F28" i="25"/>
  <c r="D403" i="38"/>
  <c r="E403" i="38"/>
  <c r="G403" i="38"/>
  <c r="H403" i="38"/>
  <c r="K403" i="38"/>
  <c r="L403" i="38" s="1"/>
  <c r="M403" i="38"/>
  <c r="U403" i="38" s="1"/>
  <c r="S403" i="38"/>
  <c r="O404" i="38" l="1"/>
  <c r="Z404" i="38"/>
  <c r="N403" i="38"/>
  <c r="P403" i="38"/>
  <c r="D402" i="38"/>
  <c r="E402" i="38"/>
  <c r="G402" i="38"/>
  <c r="H402" i="38"/>
  <c r="K402" i="38"/>
  <c r="L402" i="38" s="1"/>
  <c r="M402" i="38"/>
  <c r="U402" i="38" s="1"/>
  <c r="S402" i="38"/>
  <c r="O403" i="38" l="1"/>
  <c r="Z403" i="38"/>
  <c r="N402" i="38"/>
  <c r="P402" i="38"/>
  <c r="F18" i="76"/>
  <c r="P61" i="76"/>
  <c r="P60" i="76"/>
  <c r="P59" i="76"/>
  <c r="P58" i="76"/>
  <c r="P57" i="76"/>
  <c r="P56" i="76"/>
  <c r="P55" i="76"/>
  <c r="P54" i="76"/>
  <c r="P53" i="76"/>
  <c r="P52" i="76"/>
  <c r="P51" i="76"/>
  <c r="P50" i="76"/>
  <c r="P49" i="76"/>
  <c r="P48" i="76"/>
  <c r="P47" i="76"/>
  <c r="P46" i="76"/>
  <c r="P45" i="76"/>
  <c r="P44" i="76"/>
  <c r="P43" i="76"/>
  <c r="P42" i="76"/>
  <c r="P41" i="76"/>
  <c r="H25" i="76"/>
  <c r="G25" i="76"/>
  <c r="F25" i="76"/>
  <c r="M18" i="76"/>
  <c r="H18" i="76"/>
  <c r="C18" i="76"/>
  <c r="K18" i="76"/>
  <c r="F19" i="76"/>
  <c r="K19" i="76"/>
  <c r="M19" i="76"/>
  <c r="C19" i="76"/>
  <c r="H19" i="76"/>
  <c r="O402" i="38" l="1"/>
  <c r="Z402" i="38"/>
  <c r="Q2" i="76"/>
  <c r="Q5" i="76" s="1"/>
  <c r="G398" i="38"/>
  <c r="G399" i="38"/>
  <c r="G400" i="38"/>
  <c r="G401" i="38"/>
  <c r="D400" i="38"/>
  <c r="D401" i="38"/>
  <c r="E401" i="38"/>
  <c r="H401" i="38"/>
  <c r="K401" i="38"/>
  <c r="L401" i="38" s="1"/>
  <c r="M401" i="38"/>
  <c r="U401" i="38" s="1"/>
  <c r="S401" i="38"/>
  <c r="Q8" i="76" l="1"/>
  <c r="Q7" i="76" s="1"/>
  <c r="Q3" i="76"/>
  <c r="Q6" i="76" s="1"/>
  <c r="P401" i="38"/>
  <c r="N401" i="38"/>
  <c r="O401" i="38" l="1"/>
  <c r="Z401" i="38"/>
  <c r="Q9" i="76"/>
  <c r="F181" i="25"/>
  <c r="H181" i="25"/>
  <c r="G181" i="25"/>
  <c r="F27" i="25"/>
  <c r="E400" i="38"/>
  <c r="H400" i="38"/>
  <c r="K400" i="38"/>
  <c r="L400" i="38" s="1"/>
  <c r="M400" i="38"/>
  <c r="U400" i="38" s="1"/>
  <c r="S400" i="38"/>
  <c r="N400" i="38" l="1"/>
  <c r="P400" i="38"/>
  <c r="D399" i="38"/>
  <c r="E399" i="38"/>
  <c r="H399" i="38"/>
  <c r="K399" i="38"/>
  <c r="L399" i="38" s="1"/>
  <c r="M399" i="38"/>
  <c r="U399" i="38" s="1"/>
  <c r="S399" i="38"/>
  <c r="O400" i="38" l="1"/>
  <c r="Z400" i="38"/>
  <c r="N399" i="38"/>
  <c r="P399" i="38"/>
  <c r="O399" i="38" l="1"/>
  <c r="Z399" i="38"/>
  <c r="F81" i="58"/>
  <c r="H81" i="58"/>
  <c r="G81" i="58"/>
  <c r="F4" i="58"/>
  <c r="G392" i="38"/>
  <c r="G393" i="38"/>
  <c r="G394" i="38"/>
  <c r="G395" i="38"/>
  <c r="G396" i="38"/>
  <c r="G397" i="38"/>
  <c r="D395" i="38"/>
  <c r="D396" i="38"/>
  <c r="D397" i="38"/>
  <c r="D398" i="38"/>
  <c r="E398" i="38"/>
  <c r="H398" i="38"/>
  <c r="K398" i="38"/>
  <c r="L398" i="38" s="1"/>
  <c r="M398" i="38"/>
  <c r="N398" i="38" s="1"/>
  <c r="S398" i="38"/>
  <c r="O398" i="38" l="1"/>
  <c r="Z398" i="38"/>
  <c r="P398" i="38"/>
  <c r="U398" i="38"/>
  <c r="E397" i="38"/>
  <c r="H397" i="38"/>
  <c r="K397" i="38"/>
  <c r="L397" i="38" s="1"/>
  <c r="M397" i="38"/>
  <c r="U397" i="38" s="1"/>
  <c r="S397" i="38"/>
  <c r="P397" i="38" l="1"/>
  <c r="N397" i="38"/>
  <c r="E396" i="38"/>
  <c r="H396" i="38"/>
  <c r="K396" i="38"/>
  <c r="L396" i="38" s="1"/>
  <c r="M396" i="38"/>
  <c r="U396" i="38" s="1"/>
  <c r="S396" i="38"/>
  <c r="O397" i="38" l="1"/>
  <c r="Z397" i="38"/>
  <c r="N396" i="38"/>
  <c r="P396" i="38"/>
  <c r="O396" i="38" l="1"/>
  <c r="Z396" i="38"/>
  <c r="E395" i="38"/>
  <c r="H395" i="38"/>
  <c r="K395" i="38"/>
  <c r="L395" i="38" s="1"/>
  <c r="M395" i="38"/>
  <c r="N395" i="38" s="1"/>
  <c r="S395" i="38"/>
  <c r="F46" i="43"/>
  <c r="H46" i="43"/>
  <c r="G46" i="43"/>
  <c r="F5" i="43"/>
  <c r="O395" i="38" l="1"/>
  <c r="Z395" i="38"/>
  <c r="P395" i="38"/>
  <c r="U395" i="38"/>
  <c r="D394" i="38"/>
  <c r="E394" i="38"/>
  <c r="H394" i="38"/>
  <c r="K394" i="38"/>
  <c r="L394" i="38" s="1"/>
  <c r="M394" i="38"/>
  <c r="U394" i="38" s="1"/>
  <c r="S394" i="38"/>
  <c r="F180" i="25"/>
  <c r="G180" i="25"/>
  <c r="H180" i="25"/>
  <c r="F26" i="25"/>
  <c r="K7" i="25"/>
  <c r="D393" i="38"/>
  <c r="E393" i="38"/>
  <c r="H393" i="38"/>
  <c r="K393" i="38"/>
  <c r="L393" i="38" s="1"/>
  <c r="M393" i="38"/>
  <c r="U393" i="38" s="1"/>
  <c r="S393" i="38"/>
  <c r="N393" i="38" l="1"/>
  <c r="P394" i="38"/>
  <c r="N394" i="38"/>
  <c r="P393" i="38"/>
  <c r="G390" i="38"/>
  <c r="G391" i="38"/>
  <c r="D391" i="38"/>
  <c r="D392" i="38"/>
  <c r="E392" i="38"/>
  <c r="H392" i="38"/>
  <c r="K392" i="38"/>
  <c r="L392" i="38" s="1"/>
  <c r="M392" i="38"/>
  <c r="U392" i="38" s="1"/>
  <c r="S392" i="38"/>
  <c r="O394" i="38" l="1"/>
  <c r="O393" i="38"/>
  <c r="Z393" i="38"/>
  <c r="Z394" i="38"/>
  <c r="N392" i="38"/>
  <c r="P392" i="38"/>
  <c r="E391" i="38"/>
  <c r="H391" i="38"/>
  <c r="K391" i="38"/>
  <c r="L391" i="38" s="1"/>
  <c r="M391" i="38"/>
  <c r="U391" i="38" s="1"/>
  <c r="S391" i="38"/>
  <c r="O392" i="38" l="1"/>
  <c r="Z392" i="38"/>
  <c r="P391" i="38"/>
  <c r="N391" i="38"/>
  <c r="D390" i="38"/>
  <c r="E390" i="38"/>
  <c r="H390" i="38"/>
  <c r="K390" i="38"/>
  <c r="L390" i="38" s="1"/>
  <c r="M390" i="38"/>
  <c r="U390" i="38" s="1"/>
  <c r="S390" i="38"/>
  <c r="O391" i="38" l="1"/>
  <c r="Z391" i="38"/>
  <c r="N390" i="38"/>
  <c r="P390" i="38"/>
  <c r="D389" i="38"/>
  <c r="E389" i="38"/>
  <c r="G389" i="38"/>
  <c r="H389" i="38"/>
  <c r="K389" i="38"/>
  <c r="L389" i="38" s="1"/>
  <c r="M389" i="38"/>
  <c r="U389" i="38" s="1"/>
  <c r="S389" i="38"/>
  <c r="F179" i="25"/>
  <c r="H179" i="25"/>
  <c r="G179" i="25"/>
  <c r="K6" i="25"/>
  <c r="O390" i="38" l="1"/>
  <c r="Z390" i="38"/>
  <c r="N389" i="38"/>
  <c r="P389" i="38"/>
  <c r="F178" i="25"/>
  <c r="G178" i="25"/>
  <c r="H178" i="25"/>
  <c r="D388" i="38"/>
  <c r="E388" i="38"/>
  <c r="G388" i="38"/>
  <c r="H388" i="38"/>
  <c r="K388" i="38"/>
  <c r="L388" i="38" s="1"/>
  <c r="M388" i="38"/>
  <c r="N388" i="38" s="1"/>
  <c r="S388" i="38"/>
  <c r="F177" i="25"/>
  <c r="G177" i="25"/>
  <c r="H177" i="25"/>
  <c r="G384" i="38"/>
  <c r="G385" i="38"/>
  <c r="G386" i="38"/>
  <c r="G387" i="38"/>
  <c r="D385" i="38"/>
  <c r="D386" i="38"/>
  <c r="D387" i="38"/>
  <c r="E387" i="38"/>
  <c r="H387" i="38"/>
  <c r="K387" i="38"/>
  <c r="L387" i="38" s="1"/>
  <c r="M387" i="38"/>
  <c r="U387" i="38" s="1"/>
  <c r="S387" i="38"/>
  <c r="O389" i="38" l="1"/>
  <c r="O388" i="38"/>
  <c r="Z388" i="38"/>
  <c r="Z389" i="38"/>
  <c r="U388" i="38"/>
  <c r="N387" i="38"/>
  <c r="P388" i="38"/>
  <c r="P387" i="38"/>
  <c r="M74" i="41"/>
  <c r="H74" i="41"/>
  <c r="C74" i="41"/>
  <c r="M170" i="1"/>
  <c r="H170" i="1"/>
  <c r="C170" i="1"/>
  <c r="K170" i="1"/>
  <c r="F170" i="1"/>
  <c r="F37" i="51"/>
  <c r="G37" i="51"/>
  <c r="H37" i="51"/>
  <c r="F176" i="25"/>
  <c r="G176" i="25"/>
  <c r="H176" i="25"/>
  <c r="K427" i="17"/>
  <c r="F427" i="17"/>
  <c r="O387" i="38" l="1"/>
  <c r="Z387" i="38"/>
  <c r="N170" i="1"/>
  <c r="O170" i="1" s="1"/>
  <c r="E386" i="38"/>
  <c r="H386" i="38"/>
  <c r="K386" i="38"/>
  <c r="L386" i="38" s="1"/>
  <c r="P386" i="38" s="1"/>
  <c r="M386" i="38"/>
  <c r="U386" i="38" s="1"/>
  <c r="S386" i="38"/>
  <c r="N386" i="38" l="1"/>
  <c r="E385" i="38"/>
  <c r="H385" i="38"/>
  <c r="K385" i="38"/>
  <c r="L385" i="38" s="1"/>
  <c r="P385" i="38" s="1"/>
  <c r="M385" i="38"/>
  <c r="U385" i="38" s="1"/>
  <c r="S385" i="38"/>
  <c r="O386" i="38" l="1"/>
  <c r="Z386" i="38"/>
  <c r="N385" i="38"/>
  <c r="D384" i="38"/>
  <c r="E384" i="38"/>
  <c r="H384" i="38"/>
  <c r="K384" i="38"/>
  <c r="L384" i="38" s="1"/>
  <c r="M384" i="38"/>
  <c r="U384" i="38" s="1"/>
  <c r="S384" i="38"/>
  <c r="F28" i="64"/>
  <c r="G28" i="64"/>
  <c r="H28" i="64"/>
  <c r="F175" i="25"/>
  <c r="G175" i="25"/>
  <c r="H175" i="25"/>
  <c r="F25" i="25"/>
  <c r="D383" i="38"/>
  <c r="E383" i="38"/>
  <c r="G383" i="38"/>
  <c r="H383" i="38"/>
  <c r="K383" i="38"/>
  <c r="L383" i="38" s="1"/>
  <c r="M383" i="38"/>
  <c r="U383" i="38" s="1"/>
  <c r="S383" i="38"/>
  <c r="O385" i="38" l="1"/>
  <c r="Z385" i="38"/>
  <c r="N384" i="38"/>
  <c r="P384" i="38"/>
  <c r="N383" i="38"/>
  <c r="P383" i="38"/>
  <c r="G375" i="38"/>
  <c r="G376" i="38"/>
  <c r="G377" i="38"/>
  <c r="G378" i="38"/>
  <c r="G379" i="38"/>
  <c r="G380" i="38"/>
  <c r="G381" i="38"/>
  <c r="G382" i="38"/>
  <c r="D379" i="38"/>
  <c r="D380" i="38"/>
  <c r="D381" i="38"/>
  <c r="D382" i="38"/>
  <c r="E382" i="38"/>
  <c r="H382" i="38"/>
  <c r="K382" i="38"/>
  <c r="M382" i="38"/>
  <c r="U382" i="38" s="1"/>
  <c r="S382" i="38"/>
  <c r="O383" i="38" l="1"/>
  <c r="O384" i="38"/>
  <c r="Z384" i="38"/>
  <c r="Z383" i="38"/>
  <c r="L382" i="38"/>
  <c r="P382" i="38" s="1"/>
  <c r="N382" i="38"/>
  <c r="E381" i="38"/>
  <c r="H381" i="38"/>
  <c r="K381" i="38"/>
  <c r="L381" i="38" s="1"/>
  <c r="M381" i="38"/>
  <c r="U381" i="38" s="1"/>
  <c r="S381" i="38"/>
  <c r="F80" i="58"/>
  <c r="G80" i="58"/>
  <c r="H80" i="58"/>
  <c r="O382" i="38" l="1"/>
  <c r="Z382" i="38"/>
  <c r="N381" i="38"/>
  <c r="P381" i="38"/>
  <c r="H161" i="61"/>
  <c r="G161" i="61"/>
  <c r="F161" i="61"/>
  <c r="H160" i="61"/>
  <c r="G160" i="61"/>
  <c r="F160" i="61"/>
  <c r="H159" i="61"/>
  <c r="G159" i="61"/>
  <c r="F159" i="61"/>
  <c r="H158" i="61"/>
  <c r="G158" i="61"/>
  <c r="F158" i="61"/>
  <c r="H157" i="61"/>
  <c r="G157" i="61"/>
  <c r="F157" i="61"/>
  <c r="H156" i="61"/>
  <c r="G156" i="61"/>
  <c r="F156" i="61"/>
  <c r="H155" i="61"/>
  <c r="G155" i="61"/>
  <c r="F155" i="61"/>
  <c r="H154" i="61"/>
  <c r="G154" i="61"/>
  <c r="F154" i="61"/>
  <c r="H151" i="61"/>
  <c r="G151" i="61"/>
  <c r="F151" i="61"/>
  <c r="H150" i="61"/>
  <c r="G150" i="61"/>
  <c r="F150" i="61"/>
  <c r="H149" i="61"/>
  <c r="G149" i="61"/>
  <c r="F149" i="61"/>
  <c r="H148" i="61"/>
  <c r="G148" i="61"/>
  <c r="F148" i="61"/>
  <c r="H147" i="61"/>
  <c r="G147" i="61"/>
  <c r="F147" i="61"/>
  <c r="H146" i="61"/>
  <c r="G146" i="61"/>
  <c r="F146" i="61"/>
  <c r="H145" i="61"/>
  <c r="G145" i="61"/>
  <c r="F145" i="61"/>
  <c r="H144" i="61"/>
  <c r="G144" i="61"/>
  <c r="F144" i="61"/>
  <c r="H143" i="61"/>
  <c r="G143" i="61"/>
  <c r="F143" i="61"/>
  <c r="H142" i="61"/>
  <c r="G142" i="61"/>
  <c r="F142" i="61"/>
  <c r="H141" i="61"/>
  <c r="G141" i="61"/>
  <c r="F141" i="61"/>
  <c r="H140" i="61"/>
  <c r="G140" i="61"/>
  <c r="F140" i="61"/>
  <c r="H139" i="61"/>
  <c r="G139" i="61"/>
  <c r="F139" i="61"/>
  <c r="H138" i="61"/>
  <c r="G138" i="61"/>
  <c r="F138" i="61"/>
  <c r="H137" i="61"/>
  <c r="G137" i="61"/>
  <c r="F137" i="61"/>
  <c r="H136" i="61"/>
  <c r="G136" i="61"/>
  <c r="F136" i="61"/>
  <c r="H135" i="61"/>
  <c r="G135" i="61"/>
  <c r="F135" i="61"/>
  <c r="H134" i="61"/>
  <c r="G134" i="61"/>
  <c r="F134" i="61"/>
  <c r="H133" i="61"/>
  <c r="G133" i="61"/>
  <c r="F133" i="61"/>
  <c r="H132" i="61"/>
  <c r="G132" i="61"/>
  <c r="F132" i="61"/>
  <c r="H131" i="61"/>
  <c r="G131" i="61"/>
  <c r="F131" i="61"/>
  <c r="H130" i="61"/>
  <c r="G130" i="61"/>
  <c r="F130" i="61"/>
  <c r="H129" i="61"/>
  <c r="G129" i="61"/>
  <c r="F129" i="61"/>
  <c r="H128" i="61"/>
  <c r="G128" i="61"/>
  <c r="F128" i="61"/>
  <c r="H127" i="61"/>
  <c r="G127" i="61"/>
  <c r="F127" i="61"/>
  <c r="H126" i="61"/>
  <c r="G126" i="61"/>
  <c r="F126" i="61"/>
  <c r="H125" i="61"/>
  <c r="G125" i="61"/>
  <c r="F125" i="61"/>
  <c r="H124" i="61"/>
  <c r="G124" i="61"/>
  <c r="F124" i="61"/>
  <c r="H123" i="61"/>
  <c r="G123" i="61"/>
  <c r="F123" i="61"/>
  <c r="H122" i="61"/>
  <c r="G122" i="61"/>
  <c r="F122" i="61"/>
  <c r="H121" i="61"/>
  <c r="G121" i="61"/>
  <c r="F121" i="61"/>
  <c r="H120" i="61"/>
  <c r="G120" i="61"/>
  <c r="F120" i="61"/>
  <c r="H119" i="61"/>
  <c r="G119" i="61"/>
  <c r="F119" i="61"/>
  <c r="H118" i="61"/>
  <c r="G118" i="61"/>
  <c r="F118" i="61"/>
  <c r="H117" i="61"/>
  <c r="G117" i="61"/>
  <c r="F117" i="61"/>
  <c r="H116" i="61"/>
  <c r="G116" i="61"/>
  <c r="F116" i="61"/>
  <c r="H115" i="61"/>
  <c r="G115" i="61"/>
  <c r="F115" i="61"/>
  <c r="H114" i="61"/>
  <c r="G114" i="61"/>
  <c r="F114" i="61"/>
  <c r="H113" i="61"/>
  <c r="G113" i="61"/>
  <c r="F113" i="61"/>
  <c r="H112" i="61"/>
  <c r="G112" i="61"/>
  <c r="F112" i="61"/>
  <c r="H111" i="61"/>
  <c r="G111" i="61"/>
  <c r="F111" i="61"/>
  <c r="H110" i="61"/>
  <c r="G110" i="61"/>
  <c r="F110" i="61"/>
  <c r="H109" i="61"/>
  <c r="G109" i="61"/>
  <c r="F109" i="61"/>
  <c r="H108" i="61"/>
  <c r="G108" i="61"/>
  <c r="F108" i="61"/>
  <c r="H107" i="61"/>
  <c r="G107" i="61"/>
  <c r="F107" i="61"/>
  <c r="H106" i="61"/>
  <c r="G106" i="61"/>
  <c r="F106" i="61"/>
  <c r="H105" i="61"/>
  <c r="G105" i="61"/>
  <c r="F105" i="61"/>
  <c r="H104" i="61"/>
  <c r="G104" i="61"/>
  <c r="F104" i="61"/>
  <c r="H103" i="61"/>
  <c r="G103" i="61"/>
  <c r="F103" i="61"/>
  <c r="H102" i="61"/>
  <c r="G102" i="61"/>
  <c r="F102" i="61"/>
  <c r="H101" i="61"/>
  <c r="G101" i="61"/>
  <c r="F101" i="61"/>
  <c r="H100" i="61"/>
  <c r="G100" i="61"/>
  <c r="F100" i="61"/>
  <c r="H99" i="61"/>
  <c r="G99" i="61"/>
  <c r="F99" i="61"/>
  <c r="H98" i="61"/>
  <c r="G98" i="61"/>
  <c r="F98" i="61"/>
  <c r="H97" i="61"/>
  <c r="G97" i="61"/>
  <c r="F97" i="61"/>
  <c r="H96" i="61"/>
  <c r="G96" i="61"/>
  <c r="F96" i="61"/>
  <c r="H95" i="61"/>
  <c r="G95" i="61"/>
  <c r="F95" i="61"/>
  <c r="H94" i="61"/>
  <c r="G94" i="61"/>
  <c r="F94" i="61"/>
  <c r="H93" i="61"/>
  <c r="G93" i="61"/>
  <c r="F93" i="61"/>
  <c r="H92" i="61"/>
  <c r="G92" i="61"/>
  <c r="F92" i="61"/>
  <c r="H91" i="61"/>
  <c r="G91" i="61"/>
  <c r="F91" i="61"/>
  <c r="H90" i="61"/>
  <c r="G90" i="61"/>
  <c r="F90" i="61"/>
  <c r="C80" i="61"/>
  <c r="F54" i="61"/>
  <c r="K59" i="61"/>
  <c r="F59" i="61"/>
  <c r="K58" i="61"/>
  <c r="F58" i="61"/>
  <c r="K57" i="61"/>
  <c r="F57" i="61"/>
  <c r="E380" i="38"/>
  <c r="H380" i="38"/>
  <c r="K380" i="38"/>
  <c r="L380" i="38" s="1"/>
  <c r="M380" i="38"/>
  <c r="U380" i="38" s="1"/>
  <c r="S380" i="38"/>
  <c r="O381" i="38" l="1"/>
  <c r="Z381" i="38"/>
  <c r="P380" i="38"/>
  <c r="N380" i="38"/>
  <c r="K98" i="45"/>
  <c r="F98" i="45"/>
  <c r="F425" i="17"/>
  <c r="K424" i="17"/>
  <c r="F424" i="17"/>
  <c r="K423" i="17"/>
  <c r="F423" i="17"/>
  <c r="K422" i="17"/>
  <c r="F422" i="17"/>
  <c r="K421" i="17"/>
  <c r="F421" i="17"/>
  <c r="K420" i="17"/>
  <c r="F420" i="17"/>
  <c r="F174" i="25"/>
  <c r="G174" i="25"/>
  <c r="H174" i="25"/>
  <c r="F79" i="58"/>
  <c r="G79" i="58"/>
  <c r="H79" i="58"/>
  <c r="F36" i="51"/>
  <c r="G36" i="51"/>
  <c r="H36" i="51"/>
  <c r="F45" i="43"/>
  <c r="G45" i="43"/>
  <c r="H45" i="43"/>
  <c r="F27" i="64"/>
  <c r="G27" i="64"/>
  <c r="H27" i="64"/>
  <c r="E379" i="38"/>
  <c r="H379" i="38"/>
  <c r="K379" i="38"/>
  <c r="L379" i="38" s="1"/>
  <c r="M379" i="38"/>
  <c r="N379" i="38" s="1"/>
  <c r="S379" i="38"/>
  <c r="K2" i="58"/>
  <c r="K68" i="58" l="1"/>
  <c r="O379" i="38"/>
  <c r="O380" i="38"/>
  <c r="Z379" i="38"/>
  <c r="Z380" i="38"/>
  <c r="P379" i="38"/>
  <c r="U379" i="38"/>
  <c r="F78" i="58"/>
  <c r="G78" i="58"/>
  <c r="H78" i="58"/>
  <c r="F35" i="51"/>
  <c r="G35" i="51"/>
  <c r="H35" i="51"/>
  <c r="F173" i="25"/>
  <c r="G173" i="25"/>
  <c r="H173" i="25"/>
  <c r="D378" i="38"/>
  <c r="E378" i="38"/>
  <c r="H378" i="38"/>
  <c r="K378" i="38"/>
  <c r="L378" i="38" s="1"/>
  <c r="M378" i="38"/>
  <c r="N378" i="38" s="1"/>
  <c r="S378" i="38"/>
  <c r="F3" i="58"/>
  <c r="K5" i="25"/>
  <c r="F24" i="25"/>
  <c r="Z378" i="38" l="1"/>
  <c r="O378" i="38"/>
  <c r="P378" i="38"/>
  <c r="U378" i="38"/>
  <c r="F172" i="25"/>
  <c r="G172" i="25"/>
  <c r="H172" i="25"/>
  <c r="G374" i="38"/>
  <c r="D375" i="38"/>
  <c r="D376" i="38"/>
  <c r="D377" i="38"/>
  <c r="D370" i="38"/>
  <c r="D371" i="38"/>
  <c r="D372" i="38"/>
  <c r="D373" i="38"/>
  <c r="D374" i="38"/>
  <c r="G372" i="38"/>
  <c r="G373" i="38"/>
  <c r="E377" i="38"/>
  <c r="H377" i="38"/>
  <c r="K377" i="38"/>
  <c r="L377" i="38" s="1"/>
  <c r="M377" i="38"/>
  <c r="N377" i="38" s="1"/>
  <c r="S377" i="38"/>
  <c r="O377" i="38" l="1"/>
  <c r="Z377" i="38"/>
  <c r="P377" i="38"/>
  <c r="U377" i="38"/>
  <c r="F171" i="25"/>
  <c r="G171" i="25"/>
  <c r="H171" i="25"/>
  <c r="E376" i="38" l="1"/>
  <c r="H376" i="38"/>
  <c r="K376" i="38"/>
  <c r="L376" i="38" s="1"/>
  <c r="M376" i="38"/>
  <c r="U376" i="38" s="1"/>
  <c r="S376" i="38"/>
  <c r="H59" i="16"/>
  <c r="G59" i="16"/>
  <c r="F59" i="16"/>
  <c r="C52" i="16"/>
  <c r="H52" i="16"/>
  <c r="K18" i="16"/>
  <c r="H18" i="16"/>
  <c r="K45" i="16"/>
  <c r="F45" i="16"/>
  <c r="K40" i="65"/>
  <c r="F40" i="65"/>
  <c r="H69" i="65"/>
  <c r="G69" i="65"/>
  <c r="F69" i="65"/>
  <c r="H67" i="65"/>
  <c r="G67" i="65"/>
  <c r="F67" i="65"/>
  <c r="H66" i="65"/>
  <c r="G66" i="65"/>
  <c r="F66" i="65"/>
  <c r="H65" i="65"/>
  <c r="G65" i="65"/>
  <c r="F65" i="65"/>
  <c r="H64" i="65"/>
  <c r="G64" i="65"/>
  <c r="F64" i="65"/>
  <c r="H63" i="65"/>
  <c r="G63" i="65"/>
  <c r="F63" i="65"/>
  <c r="H62" i="65"/>
  <c r="G62" i="65"/>
  <c r="F62" i="65"/>
  <c r="H61" i="65"/>
  <c r="G61" i="65"/>
  <c r="F61" i="65"/>
  <c r="H60" i="65"/>
  <c r="G60" i="65"/>
  <c r="F60" i="65"/>
  <c r="P376" i="38" l="1"/>
  <c r="N376" i="38"/>
  <c r="E375" i="38"/>
  <c r="H375" i="38"/>
  <c r="K375" i="38"/>
  <c r="L375" i="38" s="1"/>
  <c r="M375" i="38"/>
  <c r="U375" i="38" s="1"/>
  <c r="S375" i="38"/>
  <c r="H103" i="72"/>
  <c r="G103" i="72"/>
  <c r="F103" i="72"/>
  <c r="H102" i="72"/>
  <c r="G102" i="72"/>
  <c r="F102" i="72"/>
  <c r="H101" i="72"/>
  <c r="G101" i="72"/>
  <c r="F101" i="72"/>
  <c r="H100" i="72"/>
  <c r="G100" i="72"/>
  <c r="F100" i="72"/>
  <c r="K76" i="72"/>
  <c r="K75" i="72"/>
  <c r="F75" i="72"/>
  <c r="K74" i="72"/>
  <c r="F74" i="72"/>
  <c r="F170" i="25"/>
  <c r="G170" i="25"/>
  <c r="H170" i="25"/>
  <c r="K3" i="25"/>
  <c r="K4" i="25"/>
  <c r="C54" i="50"/>
  <c r="K44" i="50"/>
  <c r="F44" i="50"/>
  <c r="K43" i="50"/>
  <c r="F43" i="50"/>
  <c r="K46" i="50"/>
  <c r="F46" i="50"/>
  <c r="K45" i="50"/>
  <c r="F45" i="50"/>
  <c r="K48" i="48"/>
  <c r="K47" i="48"/>
  <c r="F47" i="48"/>
  <c r="K46" i="48"/>
  <c r="F46" i="48"/>
  <c r="O376" i="38" l="1"/>
  <c r="Z376" i="38"/>
  <c r="P375" i="38"/>
  <c r="N375" i="38"/>
  <c r="F169" i="25"/>
  <c r="H169" i="25"/>
  <c r="G169" i="25"/>
  <c r="F23" i="25"/>
  <c r="F22" i="25"/>
  <c r="G370" i="38"/>
  <c r="G371" i="38"/>
  <c r="E374" i="38"/>
  <c r="H374" i="38"/>
  <c r="K374" i="38"/>
  <c r="L374" i="38" s="1"/>
  <c r="M374" i="38"/>
  <c r="U374" i="38" s="1"/>
  <c r="S374" i="38"/>
  <c r="O375" i="38" l="1"/>
  <c r="Z375" i="38"/>
  <c r="N374" i="38"/>
  <c r="P374" i="38"/>
  <c r="E373" i="38"/>
  <c r="H373" i="38"/>
  <c r="K373" i="38"/>
  <c r="L373" i="38" s="1"/>
  <c r="M373" i="38"/>
  <c r="N373" i="38" s="1"/>
  <c r="S373" i="38"/>
  <c r="O374" i="38" l="1"/>
  <c r="O373" i="38"/>
  <c r="Z373" i="38"/>
  <c r="Z374" i="38"/>
  <c r="P373" i="38"/>
  <c r="U373" i="38"/>
  <c r="H98" i="72"/>
  <c r="G98" i="72"/>
  <c r="F98" i="72"/>
  <c r="H97" i="72"/>
  <c r="G97" i="72"/>
  <c r="F97" i="72"/>
  <c r="H96" i="72"/>
  <c r="G96" i="72"/>
  <c r="F96" i="72"/>
  <c r="F168" i="25"/>
  <c r="G168" i="25"/>
  <c r="H168" i="25"/>
  <c r="E372" i="38"/>
  <c r="H372" i="38"/>
  <c r="K372" i="38"/>
  <c r="L372" i="38" s="1"/>
  <c r="M372" i="38"/>
  <c r="U372" i="38" s="1"/>
  <c r="S372" i="38"/>
  <c r="N372" i="38" l="1"/>
  <c r="P372" i="38"/>
  <c r="F167" i="25"/>
  <c r="G167" i="25"/>
  <c r="H167" i="25"/>
  <c r="E371" i="38"/>
  <c r="H371" i="38"/>
  <c r="K371" i="38"/>
  <c r="L371" i="38" s="1"/>
  <c r="P371" i="38" s="1"/>
  <c r="M371" i="38"/>
  <c r="U371" i="38" s="1"/>
  <c r="S371" i="38"/>
  <c r="F34" i="51"/>
  <c r="G34" i="51"/>
  <c r="H34" i="51"/>
  <c r="O372" i="38" l="1"/>
  <c r="Z372" i="38"/>
  <c r="N371" i="38"/>
  <c r="H98" i="53"/>
  <c r="G98" i="53"/>
  <c r="F98" i="53"/>
  <c r="H96" i="53"/>
  <c r="G96" i="53"/>
  <c r="F96" i="53"/>
  <c r="H95" i="53"/>
  <c r="G95" i="53"/>
  <c r="F95" i="53"/>
  <c r="H94" i="53"/>
  <c r="G94" i="53"/>
  <c r="F94" i="53"/>
  <c r="H93" i="53"/>
  <c r="G93" i="53"/>
  <c r="F93" i="53"/>
  <c r="C85" i="53"/>
  <c r="M85" i="53"/>
  <c r="H85" i="53"/>
  <c r="E370" i="38"/>
  <c r="H370" i="38"/>
  <c r="K370" i="38"/>
  <c r="M370" i="38"/>
  <c r="U370" i="38" s="1"/>
  <c r="S370" i="38"/>
  <c r="H78" i="71"/>
  <c r="G78" i="71"/>
  <c r="F78" i="71"/>
  <c r="H77" i="71"/>
  <c r="G77" i="71"/>
  <c r="F77" i="71"/>
  <c r="H76" i="71"/>
  <c r="G76" i="71"/>
  <c r="F76" i="71"/>
  <c r="H75" i="71"/>
  <c r="G75" i="71"/>
  <c r="F75" i="71"/>
  <c r="H74" i="71"/>
  <c r="G74" i="71"/>
  <c r="F74" i="71"/>
  <c r="H73" i="71"/>
  <c r="G73" i="71"/>
  <c r="F73" i="71"/>
  <c r="H72" i="71"/>
  <c r="G72" i="71"/>
  <c r="F72" i="71"/>
  <c r="H71" i="71"/>
  <c r="G71" i="71"/>
  <c r="F71" i="71"/>
  <c r="K54" i="71"/>
  <c r="F54" i="71"/>
  <c r="H117" i="68"/>
  <c r="G117" i="68"/>
  <c r="F117" i="68"/>
  <c r="H116" i="68"/>
  <c r="G116" i="68"/>
  <c r="F116" i="68"/>
  <c r="H115" i="68"/>
  <c r="G115" i="68"/>
  <c r="F115" i="68"/>
  <c r="H114" i="68"/>
  <c r="G114" i="68"/>
  <c r="F114" i="68"/>
  <c r="H113" i="68"/>
  <c r="G113" i="68"/>
  <c r="F113" i="68"/>
  <c r="H112" i="68"/>
  <c r="G112" i="68"/>
  <c r="F112" i="68"/>
  <c r="H111" i="68"/>
  <c r="G111" i="68"/>
  <c r="F111" i="68"/>
  <c r="H110" i="68"/>
  <c r="G110" i="68"/>
  <c r="F110" i="68"/>
  <c r="H109" i="68"/>
  <c r="G109" i="68"/>
  <c r="F109" i="68"/>
  <c r="H108" i="68"/>
  <c r="G108" i="68"/>
  <c r="F108" i="68"/>
  <c r="H107" i="68"/>
  <c r="G107" i="68"/>
  <c r="F107" i="68"/>
  <c r="H106" i="68"/>
  <c r="G106" i="68"/>
  <c r="F106" i="68"/>
  <c r="H105" i="68"/>
  <c r="G105" i="68"/>
  <c r="F105" i="68"/>
  <c r="M92" i="68"/>
  <c r="H92" i="68"/>
  <c r="C92" i="68"/>
  <c r="F79" i="68"/>
  <c r="K78" i="68"/>
  <c r="F78" i="68"/>
  <c r="K77" i="68"/>
  <c r="F77" i="68"/>
  <c r="K76" i="68"/>
  <c r="F76" i="68"/>
  <c r="F166" i="25"/>
  <c r="G166" i="25"/>
  <c r="H166" i="25"/>
  <c r="F21" i="25"/>
  <c r="F33" i="51"/>
  <c r="G33" i="51"/>
  <c r="H33" i="51"/>
  <c r="M93" i="68"/>
  <c r="C93" i="68"/>
  <c r="F93" i="68"/>
  <c r="H93" i="68"/>
  <c r="K93" i="68"/>
  <c r="O371" i="38" l="1"/>
  <c r="Z371" i="38"/>
  <c r="N370" i="38"/>
  <c r="L370" i="38"/>
  <c r="P370" i="38" s="1"/>
  <c r="F92" i="68"/>
  <c r="K92" i="68"/>
  <c r="F26" i="64"/>
  <c r="G26" i="64"/>
  <c r="H26" i="64"/>
  <c r="D369" i="38"/>
  <c r="E369" i="38"/>
  <c r="G369" i="38"/>
  <c r="H369" i="38"/>
  <c r="K369" i="38"/>
  <c r="L369" i="38" s="1"/>
  <c r="M369" i="38"/>
  <c r="U369" i="38" s="1"/>
  <c r="S369" i="38"/>
  <c r="F165" i="25"/>
  <c r="G165" i="25"/>
  <c r="H165" i="25"/>
  <c r="K2" i="25"/>
  <c r="K158" i="25" s="1"/>
  <c r="K159" i="25"/>
  <c r="O370" i="38" l="1"/>
  <c r="Z370" i="38"/>
  <c r="M74" i="68"/>
  <c r="Q10" i="68" s="1"/>
  <c r="N369" i="38"/>
  <c r="P369" i="38"/>
  <c r="D368" i="38"/>
  <c r="E368" i="38"/>
  <c r="G368" i="38"/>
  <c r="H368" i="38"/>
  <c r="K368" i="38"/>
  <c r="L368" i="38" s="1"/>
  <c r="M368" i="38"/>
  <c r="U368" i="38" s="1"/>
  <c r="S368" i="38"/>
  <c r="H100" i="64"/>
  <c r="G100" i="64"/>
  <c r="F100" i="64"/>
  <c r="H99" i="64"/>
  <c r="G99" i="64"/>
  <c r="F99" i="64"/>
  <c r="H98" i="64"/>
  <c r="G98" i="64"/>
  <c r="F98" i="64"/>
  <c r="H97" i="64"/>
  <c r="G97" i="64"/>
  <c r="F97" i="64"/>
  <c r="H96" i="64"/>
  <c r="G96" i="64"/>
  <c r="F96" i="64"/>
  <c r="H95" i="64"/>
  <c r="G95" i="64"/>
  <c r="F95" i="64"/>
  <c r="H94" i="64"/>
  <c r="G94" i="64"/>
  <c r="F94" i="64"/>
  <c r="H93" i="64"/>
  <c r="G93" i="64"/>
  <c r="F93" i="64"/>
  <c r="H92" i="64"/>
  <c r="G92" i="64"/>
  <c r="F92" i="64"/>
  <c r="H91" i="64"/>
  <c r="G91" i="64"/>
  <c r="F91" i="64"/>
  <c r="H90" i="64"/>
  <c r="G90" i="64"/>
  <c r="F90" i="64"/>
  <c r="H89" i="64"/>
  <c r="G89" i="64"/>
  <c r="F89" i="64"/>
  <c r="O369" i="38" l="1"/>
  <c r="Z369" i="38"/>
  <c r="P368" i="38"/>
  <c r="N368" i="38"/>
  <c r="G363" i="38"/>
  <c r="G364" i="38"/>
  <c r="G365" i="38"/>
  <c r="G366" i="38"/>
  <c r="G367" i="38"/>
  <c r="D365" i="38"/>
  <c r="D366" i="38"/>
  <c r="D367" i="38"/>
  <c r="E367" i="38"/>
  <c r="H367" i="38"/>
  <c r="K367" i="38"/>
  <c r="L367" i="38" s="1"/>
  <c r="M367" i="38"/>
  <c r="U367" i="38" s="1"/>
  <c r="S367" i="38"/>
  <c r="F32" i="51"/>
  <c r="G32" i="51"/>
  <c r="H32" i="51"/>
  <c r="O368" i="38" l="1"/>
  <c r="Z368" i="38"/>
  <c r="P367" i="38"/>
  <c r="N367" i="38"/>
  <c r="O367" i="38" l="1"/>
  <c r="Z367" i="38"/>
  <c r="E366" i="38"/>
  <c r="H366" i="38"/>
  <c r="K366" i="38"/>
  <c r="L366" i="38" s="1"/>
  <c r="P366" i="38" s="1"/>
  <c r="M366" i="38"/>
  <c r="U366" i="38" s="1"/>
  <c r="S366" i="38"/>
  <c r="N366" i="38" l="1"/>
  <c r="E365" i="38"/>
  <c r="H365" i="38"/>
  <c r="K365" i="38"/>
  <c r="L365" i="38" s="1"/>
  <c r="M365" i="38"/>
  <c r="U365" i="38" s="1"/>
  <c r="S365" i="38"/>
  <c r="O366" i="38" l="1"/>
  <c r="Z366" i="38"/>
  <c r="P365" i="38"/>
  <c r="N365" i="38"/>
  <c r="K418" i="17"/>
  <c r="F418" i="17"/>
  <c r="K417" i="17"/>
  <c r="F417" i="17"/>
  <c r="O365" i="38" l="1"/>
  <c r="Z365" i="38"/>
  <c r="D364" i="38"/>
  <c r="E364" i="38"/>
  <c r="H364" i="38"/>
  <c r="K364" i="38"/>
  <c r="L364" i="38" s="1"/>
  <c r="M364" i="38"/>
  <c r="U364" i="38" s="1"/>
  <c r="S364" i="38"/>
  <c r="F164" i="25"/>
  <c r="G164" i="25"/>
  <c r="H164" i="25"/>
  <c r="F20" i="25"/>
  <c r="F31" i="51"/>
  <c r="G31" i="51"/>
  <c r="H31" i="51"/>
  <c r="P364" i="38" l="1"/>
  <c r="N364" i="38"/>
  <c r="H163" i="25"/>
  <c r="G163" i="25"/>
  <c r="F163" i="25"/>
  <c r="M968" i="25"/>
  <c r="H968" i="25"/>
  <c r="C968" i="25"/>
  <c r="F944" i="25"/>
  <c r="F943" i="25"/>
  <c r="F942" i="25"/>
  <c r="F941" i="25"/>
  <c r="F940" i="25"/>
  <c r="F939" i="25"/>
  <c r="F938" i="25"/>
  <c r="F937" i="25"/>
  <c r="K936" i="25"/>
  <c r="F936" i="25"/>
  <c r="K935" i="25"/>
  <c r="F935" i="25"/>
  <c r="K934" i="25"/>
  <c r="F934" i="25"/>
  <c r="K933" i="25"/>
  <c r="F933" i="25"/>
  <c r="K932" i="25"/>
  <c r="F932" i="25"/>
  <c r="K931" i="25"/>
  <c r="F931" i="25"/>
  <c r="K930" i="25"/>
  <c r="F930" i="25"/>
  <c r="K929" i="25"/>
  <c r="F929" i="25"/>
  <c r="K928" i="25"/>
  <c r="F928" i="25"/>
  <c r="K927" i="25"/>
  <c r="F927" i="25"/>
  <c r="K926" i="25"/>
  <c r="F926" i="25"/>
  <c r="K925" i="25"/>
  <c r="F925" i="25"/>
  <c r="K924" i="25"/>
  <c r="F924" i="25"/>
  <c r="K923" i="25"/>
  <c r="F923" i="25"/>
  <c r="K922" i="25"/>
  <c r="F922" i="25"/>
  <c r="K921" i="25"/>
  <c r="F921" i="25"/>
  <c r="K920" i="25"/>
  <c r="F920" i="25"/>
  <c r="K919" i="25"/>
  <c r="F919" i="25"/>
  <c r="K918" i="25"/>
  <c r="F918" i="25"/>
  <c r="K917" i="25"/>
  <c r="F917" i="25"/>
  <c r="K916" i="25"/>
  <c r="F916" i="25"/>
  <c r="K915" i="25"/>
  <c r="F915" i="25"/>
  <c r="K914" i="25"/>
  <c r="F914" i="25"/>
  <c r="K913" i="25"/>
  <c r="F913" i="25"/>
  <c r="K912" i="25"/>
  <c r="F912" i="25"/>
  <c r="K911" i="25"/>
  <c r="F911" i="25"/>
  <c r="K910" i="25"/>
  <c r="F910" i="25"/>
  <c r="K909" i="25"/>
  <c r="F909" i="25"/>
  <c r="K908" i="25"/>
  <c r="F908" i="25"/>
  <c r="K907" i="25"/>
  <c r="F907" i="25"/>
  <c r="K906" i="25"/>
  <c r="F906" i="25"/>
  <c r="K905" i="25"/>
  <c r="F905" i="25"/>
  <c r="K904" i="25"/>
  <c r="F904" i="25"/>
  <c r="K903" i="25"/>
  <c r="F903" i="25"/>
  <c r="K902" i="25"/>
  <c r="F902" i="25"/>
  <c r="K901" i="25"/>
  <c r="F901" i="25"/>
  <c r="K900" i="25"/>
  <c r="F900" i="25"/>
  <c r="K899" i="25"/>
  <c r="F899" i="25"/>
  <c r="K898" i="25"/>
  <c r="F898" i="25"/>
  <c r="K897" i="25"/>
  <c r="F897" i="25"/>
  <c r="K896" i="25"/>
  <c r="F896" i="25"/>
  <c r="K895" i="25"/>
  <c r="F895" i="25"/>
  <c r="K894" i="25"/>
  <c r="F894" i="25"/>
  <c r="K893" i="25"/>
  <c r="F893" i="25"/>
  <c r="K892" i="25"/>
  <c r="F892" i="25"/>
  <c r="K891" i="25"/>
  <c r="F891" i="25"/>
  <c r="K890" i="25"/>
  <c r="F890" i="25"/>
  <c r="K889" i="25"/>
  <c r="F889" i="25"/>
  <c r="K888" i="25"/>
  <c r="F888" i="25"/>
  <c r="K887" i="25"/>
  <c r="F887" i="25"/>
  <c r="K886" i="25"/>
  <c r="F886" i="25"/>
  <c r="K885" i="25"/>
  <c r="F885" i="25"/>
  <c r="K884" i="25"/>
  <c r="F884" i="25"/>
  <c r="K883" i="25"/>
  <c r="F883" i="25"/>
  <c r="K882" i="25"/>
  <c r="F882" i="25"/>
  <c r="K881" i="25"/>
  <c r="F881" i="25"/>
  <c r="K880" i="25"/>
  <c r="F880" i="25"/>
  <c r="K879" i="25"/>
  <c r="F879" i="25"/>
  <c r="K878" i="25"/>
  <c r="F878" i="25"/>
  <c r="K877" i="25"/>
  <c r="F877" i="25"/>
  <c r="K876" i="25"/>
  <c r="F876" i="25"/>
  <c r="K875" i="25"/>
  <c r="F875" i="25"/>
  <c r="K874" i="25"/>
  <c r="F874" i="25"/>
  <c r="K873" i="25"/>
  <c r="F873" i="25"/>
  <c r="K872" i="25"/>
  <c r="F872" i="25"/>
  <c r="K871" i="25"/>
  <c r="F871" i="25"/>
  <c r="K870" i="25"/>
  <c r="F870" i="25"/>
  <c r="K869" i="25"/>
  <c r="F869" i="25"/>
  <c r="K868" i="25"/>
  <c r="F868" i="25"/>
  <c r="K867" i="25"/>
  <c r="F867" i="25"/>
  <c r="K866" i="25"/>
  <c r="F866" i="25"/>
  <c r="K865" i="25"/>
  <c r="F865" i="25"/>
  <c r="K864" i="25"/>
  <c r="F864" i="25"/>
  <c r="K863" i="25"/>
  <c r="F863" i="25"/>
  <c r="K862" i="25"/>
  <c r="F862" i="25"/>
  <c r="K861" i="25"/>
  <c r="F861" i="25"/>
  <c r="K860" i="25"/>
  <c r="F860" i="25"/>
  <c r="K859" i="25"/>
  <c r="F859" i="25"/>
  <c r="K858" i="25"/>
  <c r="F858" i="25"/>
  <c r="K857" i="25"/>
  <c r="F857" i="25"/>
  <c r="K856" i="25"/>
  <c r="F856" i="25"/>
  <c r="K855" i="25"/>
  <c r="F855" i="25"/>
  <c r="K854" i="25"/>
  <c r="F854" i="25"/>
  <c r="K853" i="25"/>
  <c r="F853" i="25"/>
  <c r="K852" i="25"/>
  <c r="F852" i="25"/>
  <c r="K851" i="25"/>
  <c r="F851" i="25"/>
  <c r="F850" i="25"/>
  <c r="F849" i="25"/>
  <c r="F848" i="25"/>
  <c r="K847" i="25"/>
  <c r="F847" i="25"/>
  <c r="F846" i="25"/>
  <c r="F845" i="25"/>
  <c r="F844" i="25"/>
  <c r="F843" i="25"/>
  <c r="F842" i="25"/>
  <c r="F841" i="25"/>
  <c r="F840" i="25"/>
  <c r="F839" i="25"/>
  <c r="F838" i="25"/>
  <c r="F837" i="25"/>
  <c r="F836" i="25"/>
  <c r="F835" i="25"/>
  <c r="F834" i="25"/>
  <c r="F833" i="25"/>
  <c r="F832" i="25"/>
  <c r="F831" i="25"/>
  <c r="F830" i="25"/>
  <c r="F829" i="25"/>
  <c r="F828" i="25"/>
  <c r="F827" i="25"/>
  <c r="F826" i="25"/>
  <c r="F825" i="25"/>
  <c r="F824" i="25"/>
  <c r="F823" i="25"/>
  <c r="F822" i="25"/>
  <c r="F821" i="25"/>
  <c r="F820" i="25"/>
  <c r="F819" i="25"/>
  <c r="F818" i="25"/>
  <c r="F817" i="25"/>
  <c r="F816" i="25"/>
  <c r="F815" i="25"/>
  <c r="F814" i="25"/>
  <c r="F813" i="25"/>
  <c r="K812" i="25"/>
  <c r="F812" i="25"/>
  <c r="K811" i="25"/>
  <c r="F811" i="25"/>
  <c r="K810" i="25"/>
  <c r="F810" i="25"/>
  <c r="K809" i="25"/>
  <c r="F809" i="25"/>
  <c r="K808" i="25"/>
  <c r="F808" i="25"/>
  <c r="K807" i="25"/>
  <c r="F807" i="25"/>
  <c r="K806" i="25"/>
  <c r="F806" i="25"/>
  <c r="K805" i="25"/>
  <c r="F805" i="25"/>
  <c r="K804" i="25"/>
  <c r="F804" i="25"/>
  <c r="K803" i="25"/>
  <c r="F803" i="25"/>
  <c r="K802" i="25"/>
  <c r="F802" i="25"/>
  <c r="K801" i="25"/>
  <c r="F801" i="25"/>
  <c r="K800" i="25"/>
  <c r="F800" i="25"/>
  <c r="K799" i="25"/>
  <c r="F799" i="25"/>
  <c r="K798" i="25"/>
  <c r="F798" i="25"/>
  <c r="K797" i="25"/>
  <c r="F797" i="25"/>
  <c r="K796" i="25"/>
  <c r="F796" i="25"/>
  <c r="K795" i="25"/>
  <c r="F795" i="25"/>
  <c r="K794" i="25"/>
  <c r="F794" i="25"/>
  <c r="K793" i="25"/>
  <c r="F793" i="25"/>
  <c r="K792" i="25"/>
  <c r="F792" i="25"/>
  <c r="K791" i="25"/>
  <c r="F791" i="25"/>
  <c r="K790" i="25"/>
  <c r="F790" i="25"/>
  <c r="K789" i="25"/>
  <c r="F789" i="25"/>
  <c r="K788" i="25"/>
  <c r="F788" i="25"/>
  <c r="K787" i="25"/>
  <c r="F787" i="25"/>
  <c r="K786" i="25"/>
  <c r="F786" i="25"/>
  <c r="K785" i="25"/>
  <c r="F785" i="25"/>
  <c r="K784" i="25"/>
  <c r="F784" i="25"/>
  <c r="K783" i="25"/>
  <c r="F783" i="25"/>
  <c r="K782" i="25"/>
  <c r="F782" i="25"/>
  <c r="K781" i="25"/>
  <c r="F781" i="25"/>
  <c r="K780" i="25"/>
  <c r="F780" i="25"/>
  <c r="K779" i="25"/>
  <c r="F779" i="25"/>
  <c r="K778" i="25"/>
  <c r="F778" i="25"/>
  <c r="K777" i="25"/>
  <c r="F777" i="25"/>
  <c r="K776" i="25"/>
  <c r="F776" i="25"/>
  <c r="K775" i="25"/>
  <c r="F775" i="25"/>
  <c r="K774" i="25"/>
  <c r="F774" i="25"/>
  <c r="K773" i="25"/>
  <c r="F773" i="25"/>
  <c r="K772" i="25"/>
  <c r="F772" i="25"/>
  <c r="K771" i="25"/>
  <c r="F771" i="25"/>
  <c r="K770" i="25"/>
  <c r="F770" i="25"/>
  <c r="K769" i="25"/>
  <c r="F769" i="25"/>
  <c r="K768" i="25"/>
  <c r="F768" i="25"/>
  <c r="K767" i="25"/>
  <c r="F767" i="25"/>
  <c r="K766" i="25"/>
  <c r="F766" i="25"/>
  <c r="K765" i="25"/>
  <c r="F765" i="25"/>
  <c r="K764" i="25"/>
  <c r="F764" i="25"/>
  <c r="K763" i="25"/>
  <c r="F763" i="25"/>
  <c r="K762" i="25"/>
  <c r="F762" i="25"/>
  <c r="K761" i="25"/>
  <c r="F761" i="25"/>
  <c r="K760" i="25"/>
  <c r="F760" i="25"/>
  <c r="K759" i="25"/>
  <c r="F759" i="25"/>
  <c r="K758" i="25"/>
  <c r="F758" i="25"/>
  <c r="K757" i="25"/>
  <c r="F757" i="25"/>
  <c r="K756" i="25"/>
  <c r="F756" i="25"/>
  <c r="K755" i="25"/>
  <c r="F755" i="25"/>
  <c r="K754" i="25"/>
  <c r="F754" i="25"/>
  <c r="K753" i="25"/>
  <c r="F753" i="25"/>
  <c r="K752" i="25"/>
  <c r="F752" i="25"/>
  <c r="K751" i="25"/>
  <c r="F751" i="25"/>
  <c r="K750" i="25"/>
  <c r="F750" i="25"/>
  <c r="K749" i="25"/>
  <c r="F749" i="25"/>
  <c r="K748" i="25"/>
  <c r="F748" i="25"/>
  <c r="K747" i="25"/>
  <c r="F747" i="25"/>
  <c r="K746" i="25"/>
  <c r="F746" i="25"/>
  <c r="K745" i="25"/>
  <c r="F745" i="25"/>
  <c r="K744" i="25"/>
  <c r="F744" i="25"/>
  <c r="K743" i="25"/>
  <c r="F743" i="25"/>
  <c r="K742" i="25"/>
  <c r="F742" i="25"/>
  <c r="K741" i="25"/>
  <c r="F741" i="25"/>
  <c r="K740" i="25"/>
  <c r="F740" i="25"/>
  <c r="K739" i="25"/>
  <c r="F739" i="25"/>
  <c r="K738" i="25"/>
  <c r="F738" i="25"/>
  <c r="K737" i="25"/>
  <c r="F737" i="25"/>
  <c r="K736" i="25"/>
  <c r="F736" i="25"/>
  <c r="K735" i="25"/>
  <c r="F735" i="25"/>
  <c r="K734" i="25"/>
  <c r="F734" i="25"/>
  <c r="K733" i="25"/>
  <c r="F733" i="25"/>
  <c r="K732" i="25"/>
  <c r="F732" i="25"/>
  <c r="K731" i="25"/>
  <c r="F731" i="25"/>
  <c r="K730" i="25"/>
  <c r="F730" i="25"/>
  <c r="K729" i="25"/>
  <c r="F729" i="25"/>
  <c r="K728" i="25"/>
  <c r="F728" i="25"/>
  <c r="K727" i="25"/>
  <c r="F727" i="25"/>
  <c r="K726" i="25"/>
  <c r="F726" i="25"/>
  <c r="K725" i="25"/>
  <c r="F725" i="25"/>
  <c r="K724" i="25"/>
  <c r="F724" i="25"/>
  <c r="K723" i="25"/>
  <c r="F723" i="25"/>
  <c r="K722" i="25"/>
  <c r="F722" i="25"/>
  <c r="K721" i="25"/>
  <c r="F721" i="25"/>
  <c r="K720" i="25"/>
  <c r="F720" i="25"/>
  <c r="K719" i="25"/>
  <c r="F719" i="25"/>
  <c r="K718" i="25"/>
  <c r="F718" i="25"/>
  <c r="K717" i="25"/>
  <c r="F717" i="25"/>
  <c r="K716" i="25"/>
  <c r="F716" i="25"/>
  <c r="K715" i="25"/>
  <c r="F715" i="25"/>
  <c r="K714" i="25"/>
  <c r="F714" i="25"/>
  <c r="K713" i="25"/>
  <c r="F713" i="25"/>
  <c r="K712" i="25"/>
  <c r="F712" i="25"/>
  <c r="K711" i="25"/>
  <c r="F711" i="25"/>
  <c r="K710" i="25"/>
  <c r="F710" i="25"/>
  <c r="K709" i="25"/>
  <c r="F709" i="25"/>
  <c r="K708" i="25"/>
  <c r="F708" i="25"/>
  <c r="K707" i="25"/>
  <c r="F707" i="25"/>
  <c r="K96" i="45"/>
  <c r="F96" i="45"/>
  <c r="K95" i="45"/>
  <c r="F95" i="45"/>
  <c r="K94" i="45"/>
  <c r="F94" i="45"/>
  <c r="F77" i="58"/>
  <c r="G77" i="58"/>
  <c r="H77" i="58"/>
  <c r="G360" i="38"/>
  <c r="G361" i="38"/>
  <c r="G362" i="38"/>
  <c r="D361" i="38"/>
  <c r="D362" i="38"/>
  <c r="D363" i="38"/>
  <c r="E363" i="38"/>
  <c r="H363" i="38"/>
  <c r="K363" i="38"/>
  <c r="L363" i="38" s="1"/>
  <c r="M363" i="38"/>
  <c r="U363" i="38" s="1"/>
  <c r="S363" i="38"/>
  <c r="C64" i="71"/>
  <c r="H64" i="71"/>
  <c r="F53" i="71"/>
  <c r="F52" i="71"/>
  <c r="K51" i="71"/>
  <c r="F51" i="71"/>
  <c r="K50" i="71"/>
  <c r="F50" i="71"/>
  <c r="M969" i="25"/>
  <c r="H969" i="25"/>
  <c r="F969" i="25"/>
  <c r="K969" i="25"/>
  <c r="C969" i="25"/>
  <c r="O364" i="38" l="1"/>
  <c r="Z364" i="38"/>
  <c r="N363" i="38"/>
  <c r="F968" i="25"/>
  <c r="K968" i="25"/>
  <c r="P363" i="38"/>
  <c r="O363" i="38" l="1"/>
  <c r="Z363" i="38"/>
  <c r="M705" i="25"/>
  <c r="Q10" i="25" s="1"/>
  <c r="K437" i="25" s="1"/>
  <c r="E362" i="38"/>
  <c r="H362" i="38"/>
  <c r="K362" i="38"/>
  <c r="M362" i="38"/>
  <c r="U362" i="38" s="1"/>
  <c r="S362" i="38"/>
  <c r="K435" i="25" l="1"/>
  <c r="K436" i="25"/>
  <c r="K433" i="25"/>
  <c r="K434" i="25"/>
  <c r="K431" i="25"/>
  <c r="K432" i="25"/>
  <c r="K429" i="25"/>
  <c r="K430" i="25"/>
  <c r="K427" i="25"/>
  <c r="K428" i="25"/>
  <c r="K425" i="25"/>
  <c r="K426" i="25"/>
  <c r="K423" i="25"/>
  <c r="K424" i="25"/>
  <c r="K421" i="25"/>
  <c r="K422" i="25"/>
  <c r="K419" i="25"/>
  <c r="K420" i="25"/>
  <c r="K416" i="25"/>
  <c r="K417" i="25"/>
  <c r="K418" i="25"/>
  <c r="K414" i="25"/>
  <c r="K415" i="25"/>
  <c r="K412" i="25"/>
  <c r="K413" i="25"/>
  <c r="K410" i="25"/>
  <c r="K411" i="25"/>
  <c r="K408" i="25"/>
  <c r="K409" i="25"/>
  <c r="K406" i="25"/>
  <c r="K407" i="25"/>
  <c r="K404" i="25"/>
  <c r="K405" i="25"/>
  <c r="K402" i="25"/>
  <c r="K403" i="25"/>
  <c r="K400" i="25"/>
  <c r="K401" i="25"/>
  <c r="K398" i="25"/>
  <c r="K399" i="25"/>
  <c r="K396" i="25"/>
  <c r="K397" i="25"/>
  <c r="K394" i="25"/>
  <c r="K395" i="25"/>
  <c r="K392" i="25"/>
  <c r="K393" i="25"/>
  <c r="K391" i="25"/>
  <c r="K390" i="25"/>
  <c r="K388" i="25"/>
  <c r="K389" i="25"/>
  <c r="K385" i="25"/>
  <c r="K386" i="25"/>
  <c r="K387" i="25"/>
  <c r="K383" i="25"/>
  <c r="K384" i="25"/>
  <c r="K381" i="25"/>
  <c r="K382" i="25"/>
  <c r="K379" i="25"/>
  <c r="K380" i="25"/>
  <c r="K377" i="25"/>
  <c r="K378" i="25"/>
  <c r="K375" i="25"/>
  <c r="K376" i="25"/>
  <c r="K373" i="25"/>
  <c r="K374" i="25"/>
  <c r="K372" i="25"/>
  <c r="K371" i="25"/>
  <c r="K370" i="25"/>
  <c r="K369" i="25"/>
  <c r="K367" i="25"/>
  <c r="K368" i="25"/>
  <c r="K365" i="25"/>
  <c r="K366" i="25"/>
  <c r="K363" i="25"/>
  <c r="K364" i="25"/>
  <c r="K361" i="25"/>
  <c r="K362" i="25"/>
  <c r="K359" i="25"/>
  <c r="K360" i="25"/>
  <c r="K357" i="25"/>
  <c r="K358" i="25"/>
  <c r="K355" i="25"/>
  <c r="K356" i="25"/>
  <c r="K353" i="25"/>
  <c r="K354" i="25"/>
  <c r="K351" i="25"/>
  <c r="K352" i="25"/>
  <c r="K349" i="25"/>
  <c r="K350" i="25"/>
  <c r="K347" i="25"/>
  <c r="K348" i="25"/>
  <c r="K345" i="25"/>
  <c r="K346" i="25"/>
  <c r="K343" i="25"/>
  <c r="K344" i="25"/>
  <c r="K341" i="25"/>
  <c r="K342" i="25"/>
  <c r="K339" i="25"/>
  <c r="K340" i="25"/>
  <c r="K337" i="25"/>
  <c r="K338" i="25"/>
  <c r="K335" i="25"/>
  <c r="K336" i="25"/>
  <c r="K334" i="25"/>
  <c r="K333" i="25"/>
  <c r="K332" i="25"/>
  <c r="K331" i="25"/>
  <c r="K312" i="25"/>
  <c r="K313" i="25"/>
  <c r="K311" i="25"/>
  <c r="K310" i="25"/>
  <c r="K308" i="25"/>
  <c r="K309" i="25"/>
  <c r="K307" i="25"/>
  <c r="K306" i="25"/>
  <c r="K305" i="25"/>
  <c r="K303" i="25"/>
  <c r="K304" i="25"/>
  <c r="K301" i="25"/>
  <c r="K302" i="25"/>
  <c r="K300" i="25"/>
  <c r="K299" i="25"/>
  <c r="K298" i="25"/>
  <c r="K297" i="25"/>
  <c r="K296" i="25"/>
  <c r="K294" i="25"/>
  <c r="K295" i="25"/>
  <c r="K293" i="25"/>
  <c r="K292" i="25"/>
  <c r="K291" i="25"/>
  <c r="K290" i="25"/>
  <c r="K289" i="25"/>
  <c r="K288" i="25"/>
  <c r="K287" i="25"/>
  <c r="K286" i="25"/>
  <c r="K285" i="25"/>
  <c r="K284" i="25"/>
  <c r="K283" i="25"/>
  <c r="K282" i="25"/>
  <c r="K281" i="25"/>
  <c r="K280" i="25"/>
  <c r="K278" i="25"/>
  <c r="K279" i="25"/>
  <c r="K277" i="25"/>
  <c r="K274" i="25"/>
  <c r="K276" i="25"/>
  <c r="K275" i="25"/>
  <c r="K273" i="25"/>
  <c r="K272" i="25"/>
  <c r="K271" i="25"/>
  <c r="K270" i="25"/>
  <c r="K269" i="25"/>
  <c r="K268" i="25"/>
  <c r="K267" i="25"/>
  <c r="K266" i="25"/>
  <c r="K265" i="25"/>
  <c r="K264" i="25"/>
  <c r="K263" i="25"/>
  <c r="K262" i="25"/>
  <c r="K261" i="25"/>
  <c r="K260" i="25"/>
  <c r="K259" i="25"/>
  <c r="K258" i="25"/>
  <c r="K256" i="25"/>
  <c r="K257" i="25"/>
  <c r="K255" i="25"/>
  <c r="K254" i="25"/>
  <c r="K253" i="25"/>
  <c r="K249" i="25"/>
  <c r="K250" i="25"/>
  <c r="K252" i="25"/>
  <c r="K251" i="25"/>
  <c r="K248" i="25"/>
  <c r="K247" i="25"/>
  <c r="K246" i="25"/>
  <c r="K245" i="25"/>
  <c r="K244" i="25"/>
  <c r="K243" i="25"/>
  <c r="K242" i="25"/>
  <c r="K241" i="25"/>
  <c r="K240" i="25"/>
  <c r="K239" i="25"/>
  <c r="K238" i="25"/>
  <c r="K237" i="25"/>
  <c r="K236" i="25"/>
  <c r="K235" i="25"/>
  <c r="K234" i="25"/>
  <c r="K233" i="25"/>
  <c r="K232" i="25"/>
  <c r="K231" i="25"/>
  <c r="K228" i="25"/>
  <c r="K229" i="25"/>
  <c r="K230" i="25"/>
  <c r="K227" i="25"/>
  <c r="K226" i="25"/>
  <c r="K225" i="25"/>
  <c r="K224" i="25"/>
  <c r="K223" i="25"/>
  <c r="K222" i="25"/>
  <c r="K221" i="25"/>
  <c r="K220" i="25"/>
  <c r="K219" i="25"/>
  <c r="K218" i="25"/>
  <c r="K217" i="25"/>
  <c r="K216" i="25"/>
  <c r="K215" i="25"/>
  <c r="K214" i="25"/>
  <c r="K213" i="25"/>
  <c r="K212" i="25"/>
  <c r="K211" i="25"/>
  <c r="K210" i="25"/>
  <c r="K209" i="25"/>
  <c r="K208" i="25"/>
  <c r="K207" i="25"/>
  <c r="K206" i="25"/>
  <c r="K205" i="25"/>
  <c r="K204" i="25"/>
  <c r="K203" i="25"/>
  <c r="K202" i="25"/>
  <c r="K201" i="25"/>
  <c r="K200" i="25"/>
  <c r="K199" i="25"/>
  <c r="K198" i="25"/>
  <c r="K197" i="25"/>
  <c r="K196" i="25"/>
  <c r="K195" i="25"/>
  <c r="K194" i="25"/>
  <c r="K193" i="25"/>
  <c r="K192" i="25"/>
  <c r="K191" i="25"/>
  <c r="K190" i="25"/>
  <c r="K189" i="25"/>
  <c r="K188" i="25"/>
  <c r="K187" i="25"/>
  <c r="K186" i="25"/>
  <c r="K185" i="25"/>
  <c r="K184" i="25"/>
  <c r="K183" i="25"/>
  <c r="K182" i="25"/>
  <c r="K181" i="25"/>
  <c r="K180" i="25"/>
  <c r="K179" i="25"/>
  <c r="K178" i="25"/>
  <c r="K177" i="25"/>
  <c r="K176" i="25"/>
  <c r="K175" i="25"/>
  <c r="K174" i="25"/>
  <c r="K173" i="25"/>
  <c r="K172" i="25"/>
  <c r="K171" i="25"/>
  <c r="K170" i="25"/>
  <c r="K169" i="25"/>
  <c r="K168" i="25"/>
  <c r="K167" i="25"/>
  <c r="K166" i="25"/>
  <c r="K165" i="25"/>
  <c r="K164" i="25"/>
  <c r="K163" i="25"/>
  <c r="K330" i="25"/>
  <c r="K328" i="25"/>
  <c r="K329" i="25"/>
  <c r="K327" i="25"/>
  <c r="K326" i="25"/>
  <c r="K325" i="25"/>
  <c r="K324" i="25"/>
  <c r="K323" i="25"/>
  <c r="K322" i="25"/>
  <c r="K321" i="25"/>
  <c r="K320" i="25"/>
  <c r="K319" i="25"/>
  <c r="K318" i="25"/>
  <c r="K317" i="25"/>
  <c r="K316" i="25"/>
  <c r="K315" i="25"/>
  <c r="K314" i="25"/>
  <c r="L362" i="38"/>
  <c r="P362" i="38" s="1"/>
  <c r="N362" i="38"/>
  <c r="AE69" i="26"/>
  <c r="AD69" i="26"/>
  <c r="AE68" i="26"/>
  <c r="AD68" i="26"/>
  <c r="AE67" i="26"/>
  <c r="AD67" i="26"/>
  <c r="AE66" i="26"/>
  <c r="AD66" i="26"/>
  <c r="AE65" i="26"/>
  <c r="AD65" i="26"/>
  <c r="AE64" i="26"/>
  <c r="AD64" i="26"/>
  <c r="AE63" i="26"/>
  <c r="AD63" i="26"/>
  <c r="AE62" i="26"/>
  <c r="AD62" i="26"/>
  <c r="P62" i="26"/>
  <c r="AE61" i="26"/>
  <c r="AD61" i="26"/>
  <c r="P61" i="26"/>
  <c r="AE60" i="26"/>
  <c r="AD60" i="26"/>
  <c r="P60" i="26"/>
  <c r="AE59" i="26"/>
  <c r="AD59" i="26"/>
  <c r="P59" i="26"/>
  <c r="AE58" i="26"/>
  <c r="AD58" i="26"/>
  <c r="P58" i="26"/>
  <c r="AE57" i="26"/>
  <c r="AD57" i="26"/>
  <c r="P57" i="26"/>
  <c r="AE56" i="26"/>
  <c r="AD56" i="26"/>
  <c r="P56" i="26"/>
  <c r="AE55" i="26"/>
  <c r="AD55" i="26"/>
  <c r="P55" i="26"/>
  <c r="AE54" i="26"/>
  <c r="AD54" i="26"/>
  <c r="P54" i="26"/>
  <c r="AE53" i="26"/>
  <c r="AD53" i="26"/>
  <c r="P53" i="26"/>
  <c r="AE52" i="26"/>
  <c r="AD52" i="26"/>
  <c r="P52" i="26"/>
  <c r="AE51" i="26"/>
  <c r="AD51" i="26"/>
  <c r="P51" i="26"/>
  <c r="AE50" i="26"/>
  <c r="AD50" i="26"/>
  <c r="P50" i="26"/>
  <c r="AE49" i="26"/>
  <c r="AD49" i="26"/>
  <c r="P49" i="26"/>
  <c r="AE48" i="26"/>
  <c r="AD48" i="26"/>
  <c r="P48" i="26"/>
  <c r="AE47" i="26"/>
  <c r="AD47" i="26"/>
  <c r="P47" i="26"/>
  <c r="AE46" i="26"/>
  <c r="AD46" i="26"/>
  <c r="P46" i="26"/>
  <c r="AE45" i="26"/>
  <c r="AD45" i="26"/>
  <c r="P45" i="26"/>
  <c r="AE44" i="26"/>
  <c r="AD44" i="26"/>
  <c r="P44" i="26"/>
  <c r="M44" i="26"/>
  <c r="H44" i="26"/>
  <c r="C44" i="26"/>
  <c r="AE43" i="26"/>
  <c r="AD43" i="26"/>
  <c r="P43" i="26"/>
  <c r="AE42" i="26"/>
  <c r="AD42" i="26"/>
  <c r="P42" i="26"/>
  <c r="AE41" i="26"/>
  <c r="AD41" i="26"/>
  <c r="AE40" i="26"/>
  <c r="AD40" i="26"/>
  <c r="F40" i="26"/>
  <c r="AE39" i="26"/>
  <c r="AD39" i="26"/>
  <c r="K39" i="26"/>
  <c r="F39" i="26"/>
  <c r="AE38" i="26"/>
  <c r="AD38" i="26"/>
  <c r="K38" i="26"/>
  <c r="F38" i="26"/>
  <c r="AE37" i="26"/>
  <c r="AD37" i="26"/>
  <c r="K37" i="26"/>
  <c r="F37" i="26"/>
  <c r="AE36" i="26"/>
  <c r="AD36" i="26"/>
  <c r="K36" i="26"/>
  <c r="F36" i="26"/>
  <c r="AE35" i="26"/>
  <c r="AD35" i="26"/>
  <c r="K35" i="26"/>
  <c r="F35" i="26"/>
  <c r="AE34" i="26"/>
  <c r="AD34" i="26"/>
  <c r="AE33" i="26"/>
  <c r="AD33" i="26"/>
  <c r="AE32" i="26"/>
  <c r="AD32" i="26"/>
  <c r="AE31" i="26"/>
  <c r="AD31" i="26"/>
  <c r="AE30" i="26"/>
  <c r="AD30" i="26"/>
  <c r="AE29" i="26"/>
  <c r="AD29" i="26"/>
  <c r="AE28" i="26"/>
  <c r="AD28" i="26"/>
  <c r="AE27" i="26"/>
  <c r="AD27" i="26"/>
  <c r="H27" i="26"/>
  <c r="G27" i="26"/>
  <c r="AE26" i="26"/>
  <c r="AD26" i="26"/>
  <c r="AE25" i="26"/>
  <c r="AD25" i="26"/>
  <c r="H25" i="26"/>
  <c r="G25" i="26"/>
  <c r="AE24" i="26"/>
  <c r="AD24" i="26"/>
  <c r="H24" i="26"/>
  <c r="G24" i="26"/>
  <c r="AE23" i="26"/>
  <c r="AD23" i="26"/>
  <c r="H23" i="26"/>
  <c r="G23" i="26"/>
  <c r="F23" i="26"/>
  <c r="AE22" i="26"/>
  <c r="AD22" i="26"/>
  <c r="H22" i="26"/>
  <c r="G22" i="26"/>
  <c r="AE21" i="26"/>
  <c r="AD21" i="26"/>
  <c r="H21" i="26"/>
  <c r="G21" i="26"/>
  <c r="AE20" i="26"/>
  <c r="AD20" i="26"/>
  <c r="AE19" i="26"/>
  <c r="AD19" i="26"/>
  <c r="AE18" i="26"/>
  <c r="AD18" i="26"/>
  <c r="M18" i="26"/>
  <c r="K18" i="26"/>
  <c r="H18" i="26"/>
  <c r="F18" i="26"/>
  <c r="C18" i="26"/>
  <c r="AE17" i="26"/>
  <c r="AD17" i="26"/>
  <c r="AE16" i="26"/>
  <c r="AD16" i="26"/>
  <c r="AE15" i="26"/>
  <c r="AD15" i="26"/>
  <c r="AE14" i="26"/>
  <c r="AD14" i="26"/>
  <c r="AE13" i="26"/>
  <c r="AD13" i="26"/>
  <c r="AE12" i="26"/>
  <c r="AD12" i="26"/>
  <c r="AE11" i="26"/>
  <c r="AD11" i="26"/>
  <c r="Q11" i="26"/>
  <c r="AE10" i="26"/>
  <c r="AD10" i="26"/>
  <c r="AE9" i="26"/>
  <c r="AD9" i="26"/>
  <c r="AE8" i="26"/>
  <c r="AD8" i="26"/>
  <c r="AE7" i="26"/>
  <c r="AD7" i="26"/>
  <c r="AE6" i="26"/>
  <c r="AD6" i="26"/>
  <c r="AE5" i="26"/>
  <c r="AD5" i="26"/>
  <c r="AE4" i="26"/>
  <c r="AD4" i="26"/>
  <c r="AE3" i="26"/>
  <c r="AD3" i="26"/>
  <c r="AE2" i="26"/>
  <c r="AD2" i="26"/>
  <c r="AE69" i="30"/>
  <c r="AD69" i="30"/>
  <c r="AE68" i="30"/>
  <c r="AD68" i="30"/>
  <c r="AE67" i="30"/>
  <c r="AD67" i="30"/>
  <c r="AE66" i="30"/>
  <c r="AD66" i="30"/>
  <c r="AE65" i="30"/>
  <c r="AD65" i="30"/>
  <c r="AE64" i="30"/>
  <c r="AD64" i="30"/>
  <c r="AE63" i="30"/>
  <c r="AD63" i="30"/>
  <c r="AE62" i="30"/>
  <c r="AD62" i="30"/>
  <c r="AE61" i="30"/>
  <c r="AD61" i="30"/>
  <c r="AE60" i="30"/>
  <c r="AD60" i="30"/>
  <c r="Q60" i="30"/>
  <c r="AE59" i="30"/>
  <c r="AD59" i="30"/>
  <c r="Q59" i="30"/>
  <c r="AE58" i="30"/>
  <c r="AD58" i="30"/>
  <c r="Q58" i="30"/>
  <c r="AE57" i="30"/>
  <c r="AD57" i="30"/>
  <c r="Q57" i="30"/>
  <c r="AE56" i="30"/>
  <c r="AD56" i="30"/>
  <c r="Q56" i="30"/>
  <c r="AE55" i="30"/>
  <c r="AD55" i="30"/>
  <c r="Q55" i="30"/>
  <c r="AE54" i="30"/>
  <c r="AD54" i="30"/>
  <c r="Q54" i="30"/>
  <c r="AE53" i="30"/>
  <c r="AD53" i="30"/>
  <c r="Q53" i="30"/>
  <c r="AE52" i="30"/>
  <c r="AD52" i="30"/>
  <c r="Q52" i="30"/>
  <c r="AE51" i="30"/>
  <c r="AD51" i="30"/>
  <c r="Q51" i="30"/>
  <c r="AE50" i="30"/>
  <c r="AD50" i="30"/>
  <c r="Q50" i="30"/>
  <c r="AE49" i="30"/>
  <c r="AD49" i="30"/>
  <c r="Q49" i="30"/>
  <c r="AE48" i="30"/>
  <c r="AD48" i="30"/>
  <c r="Q48" i="30"/>
  <c r="AE47" i="30"/>
  <c r="AD47" i="30"/>
  <c r="Q47" i="30"/>
  <c r="AE46" i="30"/>
  <c r="AD46" i="30"/>
  <c r="Q46" i="30"/>
  <c r="AE45" i="30"/>
  <c r="AD45" i="30"/>
  <c r="Q45" i="30"/>
  <c r="AE44" i="30"/>
  <c r="AD44" i="30"/>
  <c r="Q44" i="30"/>
  <c r="AE43" i="30"/>
  <c r="AD43" i="30"/>
  <c r="Q43" i="30"/>
  <c r="AE42" i="30"/>
  <c r="AD42" i="30"/>
  <c r="Q42" i="30"/>
  <c r="AE41" i="30"/>
  <c r="AD41" i="30"/>
  <c r="Q41" i="30"/>
  <c r="AE40" i="30"/>
  <c r="AD40" i="30"/>
  <c r="Q40" i="30"/>
  <c r="AE39" i="30"/>
  <c r="AD39" i="30"/>
  <c r="AE38" i="30"/>
  <c r="AD38" i="30"/>
  <c r="AE37" i="30"/>
  <c r="AD37" i="30"/>
  <c r="AE36" i="30"/>
  <c r="AD36" i="30"/>
  <c r="AE35" i="30"/>
  <c r="AD35" i="30"/>
  <c r="M35" i="30"/>
  <c r="H35" i="30"/>
  <c r="C35" i="30"/>
  <c r="AE34" i="30"/>
  <c r="AD34" i="30"/>
  <c r="AE33" i="30"/>
  <c r="AD33" i="30"/>
  <c r="AE32" i="30"/>
  <c r="AD32" i="30"/>
  <c r="AE31" i="30"/>
  <c r="AD31" i="30"/>
  <c r="F31" i="30"/>
  <c r="AE30" i="30"/>
  <c r="AD30" i="30"/>
  <c r="K30" i="30"/>
  <c r="F30" i="30"/>
  <c r="AE29" i="30"/>
  <c r="AD29" i="30"/>
  <c r="K29" i="30"/>
  <c r="F29" i="30"/>
  <c r="AE28" i="30"/>
  <c r="AD28" i="30"/>
  <c r="AE27" i="30"/>
  <c r="AD27" i="30"/>
  <c r="AE26" i="30"/>
  <c r="AD26" i="30"/>
  <c r="AE25" i="30"/>
  <c r="AD25" i="30"/>
  <c r="AE24" i="30"/>
  <c r="AD24" i="30"/>
  <c r="AE23" i="30"/>
  <c r="AD23" i="30"/>
  <c r="AE22" i="30"/>
  <c r="AD22" i="30"/>
  <c r="AE21" i="30"/>
  <c r="AD21" i="30"/>
  <c r="AE20" i="30"/>
  <c r="AD20" i="30"/>
  <c r="AE19" i="30"/>
  <c r="AD19" i="30"/>
  <c r="AE18" i="30"/>
  <c r="AD18" i="30"/>
  <c r="M18" i="30"/>
  <c r="K18" i="30"/>
  <c r="H18" i="30"/>
  <c r="F18" i="30"/>
  <c r="C18" i="30"/>
  <c r="AE17" i="30"/>
  <c r="AD17" i="30"/>
  <c r="AE16" i="30"/>
  <c r="AD16" i="30"/>
  <c r="AE15" i="30"/>
  <c r="AD15" i="30"/>
  <c r="AE14" i="30"/>
  <c r="AD14" i="30"/>
  <c r="AE13" i="30"/>
  <c r="AD13" i="30"/>
  <c r="AE12" i="30"/>
  <c r="AD12" i="30"/>
  <c r="AE11" i="30"/>
  <c r="AD11" i="30"/>
  <c r="Q11" i="30"/>
  <c r="AE10" i="30"/>
  <c r="AD10" i="30"/>
  <c r="AE9" i="30"/>
  <c r="AD9" i="30"/>
  <c r="AE8" i="30"/>
  <c r="AD8" i="30"/>
  <c r="AE7" i="30"/>
  <c r="AD7" i="30"/>
  <c r="AE6" i="30"/>
  <c r="AD6" i="30"/>
  <c r="AE5" i="30"/>
  <c r="AD5" i="30"/>
  <c r="AE4" i="30"/>
  <c r="AD4" i="30"/>
  <c r="AE3" i="30"/>
  <c r="AD3" i="30"/>
  <c r="AE2" i="30"/>
  <c r="AD2" i="30"/>
  <c r="AE69" i="32"/>
  <c r="AD69" i="32"/>
  <c r="AE68" i="32"/>
  <c r="AD68" i="32"/>
  <c r="AE67" i="32"/>
  <c r="AD67" i="32"/>
  <c r="AE66" i="32"/>
  <c r="AD66" i="32"/>
  <c r="AE65" i="32"/>
  <c r="AD65" i="32"/>
  <c r="AE64" i="32"/>
  <c r="AD64" i="32"/>
  <c r="AE63" i="32"/>
  <c r="AD63" i="32"/>
  <c r="P63" i="32"/>
  <c r="AE62" i="32"/>
  <c r="AD62" i="32"/>
  <c r="P62" i="32"/>
  <c r="AE61" i="32"/>
  <c r="AD61" i="32"/>
  <c r="P61" i="32"/>
  <c r="AE60" i="32"/>
  <c r="AD60" i="32"/>
  <c r="P60" i="32"/>
  <c r="AE59" i="32"/>
  <c r="AD59" i="32"/>
  <c r="P59" i="32"/>
  <c r="AE58" i="32"/>
  <c r="AD58" i="32"/>
  <c r="P58" i="32"/>
  <c r="AE57" i="32"/>
  <c r="AD57" i="32"/>
  <c r="P57" i="32"/>
  <c r="AE56" i="32"/>
  <c r="AD56" i="32"/>
  <c r="P56" i="32"/>
  <c r="AE55" i="32"/>
  <c r="AD55" i="32"/>
  <c r="P55" i="32"/>
  <c r="AE54" i="32"/>
  <c r="AD54" i="32"/>
  <c r="P54" i="32"/>
  <c r="AE53" i="32"/>
  <c r="AD53" i="32"/>
  <c r="P53" i="32"/>
  <c r="AE52" i="32"/>
  <c r="AD52" i="32"/>
  <c r="P52" i="32"/>
  <c r="AE51" i="32"/>
  <c r="AD51" i="32"/>
  <c r="P51" i="32"/>
  <c r="AE50" i="32"/>
  <c r="AD50" i="32"/>
  <c r="P50" i="32"/>
  <c r="AE49" i="32"/>
  <c r="AD49" i="32"/>
  <c r="P49" i="32"/>
  <c r="AE48" i="32"/>
  <c r="AD48" i="32"/>
  <c r="P48" i="32"/>
  <c r="AE47" i="32"/>
  <c r="AD47" i="32"/>
  <c r="P47" i="32"/>
  <c r="M47" i="32"/>
  <c r="H47" i="32"/>
  <c r="C47" i="32"/>
  <c r="AE46" i="32"/>
  <c r="AD46" i="32"/>
  <c r="P46" i="32"/>
  <c r="AE45" i="32"/>
  <c r="AD45" i="32"/>
  <c r="P45" i="32"/>
  <c r="F45" i="32"/>
  <c r="AE44" i="32"/>
  <c r="AD44" i="32"/>
  <c r="P44" i="32"/>
  <c r="F44" i="32"/>
  <c r="AE43" i="32"/>
  <c r="AD43" i="32"/>
  <c r="P43" i="32"/>
  <c r="F43" i="32"/>
  <c r="AE42" i="32"/>
  <c r="AD42" i="32"/>
  <c r="K42" i="32"/>
  <c r="F42" i="32"/>
  <c r="AE41" i="32"/>
  <c r="AD41" i="32"/>
  <c r="K41" i="32"/>
  <c r="F41" i="32"/>
  <c r="AE40" i="32"/>
  <c r="AD40" i="32"/>
  <c r="K40" i="32"/>
  <c r="F40" i="32"/>
  <c r="AE39" i="32"/>
  <c r="AD39" i="32"/>
  <c r="K39" i="32"/>
  <c r="F39" i="32"/>
  <c r="AE38" i="32"/>
  <c r="AD38" i="32"/>
  <c r="K38" i="32"/>
  <c r="F38" i="32"/>
  <c r="AE37" i="32"/>
  <c r="AD37" i="32"/>
  <c r="AE36" i="32"/>
  <c r="AD36" i="32"/>
  <c r="AE35" i="32"/>
  <c r="AD35" i="32"/>
  <c r="AE34" i="32"/>
  <c r="AD34" i="32"/>
  <c r="AE33" i="32"/>
  <c r="AD33" i="32"/>
  <c r="AE32" i="32"/>
  <c r="AD32" i="32"/>
  <c r="AE31" i="32"/>
  <c r="AD31" i="32"/>
  <c r="H31" i="32"/>
  <c r="G31" i="32"/>
  <c r="AE30" i="32"/>
  <c r="AD30" i="32"/>
  <c r="H30" i="32"/>
  <c r="G30" i="32"/>
  <c r="AE29" i="32"/>
  <c r="AD29" i="32"/>
  <c r="H29" i="32"/>
  <c r="G29" i="32"/>
  <c r="AE28" i="32"/>
  <c r="AD28" i="32"/>
  <c r="H28" i="32"/>
  <c r="G28" i="32"/>
  <c r="AE27" i="32"/>
  <c r="AD27" i="32"/>
  <c r="H27" i="32"/>
  <c r="G27" i="32"/>
  <c r="AE26" i="32"/>
  <c r="AD26" i="32"/>
  <c r="H26" i="32"/>
  <c r="G26" i="32"/>
  <c r="AE25" i="32"/>
  <c r="AD25" i="32"/>
  <c r="H25" i="32"/>
  <c r="G25" i="32"/>
  <c r="AE24" i="32"/>
  <c r="AD24" i="32"/>
  <c r="H24" i="32"/>
  <c r="G24" i="32"/>
  <c r="AE23" i="32"/>
  <c r="AD23" i="32"/>
  <c r="H23" i="32"/>
  <c r="G23" i="32"/>
  <c r="AE22" i="32"/>
  <c r="AD22" i="32"/>
  <c r="H22" i="32"/>
  <c r="G22" i="32"/>
  <c r="AE21" i="32"/>
  <c r="AD21" i="32"/>
  <c r="H21" i="32"/>
  <c r="G21" i="32"/>
  <c r="AE20" i="32"/>
  <c r="AD20" i="32"/>
  <c r="AE19" i="32"/>
  <c r="AD19" i="32"/>
  <c r="AE18" i="32"/>
  <c r="AD18" i="32"/>
  <c r="M18" i="32"/>
  <c r="K18" i="32"/>
  <c r="H18" i="32"/>
  <c r="F18" i="32"/>
  <c r="C18" i="32"/>
  <c r="AE17" i="32"/>
  <c r="AD17" i="32"/>
  <c r="AE16" i="32"/>
  <c r="AD16" i="32"/>
  <c r="AE15" i="32"/>
  <c r="AD15" i="32"/>
  <c r="AE14" i="32"/>
  <c r="AD14" i="32"/>
  <c r="AE13" i="32"/>
  <c r="AD13" i="32"/>
  <c r="AE12" i="32"/>
  <c r="AD12" i="32"/>
  <c r="AE11" i="32"/>
  <c r="AD11" i="32"/>
  <c r="Q11" i="32"/>
  <c r="AE10" i="32"/>
  <c r="AD10" i="32"/>
  <c r="AE9" i="32"/>
  <c r="AD9" i="32"/>
  <c r="AE8" i="32"/>
  <c r="AD8" i="32"/>
  <c r="AE7" i="32"/>
  <c r="AD7" i="32"/>
  <c r="AE6" i="32"/>
  <c r="AD6" i="32"/>
  <c r="AE5" i="32"/>
  <c r="AD5" i="32"/>
  <c r="AE4" i="32"/>
  <c r="AD4" i="32"/>
  <c r="AE3" i="32"/>
  <c r="AD3" i="32"/>
  <c r="AE2" i="32"/>
  <c r="AD2" i="32"/>
  <c r="P66" i="48"/>
  <c r="P65" i="48"/>
  <c r="P64" i="48"/>
  <c r="P63" i="48"/>
  <c r="P62" i="48"/>
  <c r="P61" i="48"/>
  <c r="P60" i="48"/>
  <c r="P59" i="48"/>
  <c r="P58" i="48"/>
  <c r="P57" i="48"/>
  <c r="P56" i="48"/>
  <c r="P55" i="48"/>
  <c r="P54" i="48"/>
  <c r="M54" i="48"/>
  <c r="H54" i="48"/>
  <c r="C54" i="48"/>
  <c r="P53" i="48"/>
  <c r="P52" i="48"/>
  <c r="P51" i="48"/>
  <c r="P50" i="48"/>
  <c r="P49" i="48"/>
  <c r="P48" i="48"/>
  <c r="P47" i="48"/>
  <c r="P46" i="48"/>
  <c r="K45" i="48"/>
  <c r="K54" i="48" s="1"/>
  <c r="F45" i="48"/>
  <c r="F54" i="48" s="1"/>
  <c r="M18" i="48"/>
  <c r="H18" i="48"/>
  <c r="C18" i="48"/>
  <c r="Q11" i="48"/>
  <c r="AE69" i="29"/>
  <c r="AD69" i="29"/>
  <c r="AE68" i="29"/>
  <c r="AD68" i="29"/>
  <c r="AE67" i="29"/>
  <c r="AD67" i="29"/>
  <c r="AE66" i="29"/>
  <c r="AD66" i="29"/>
  <c r="AE65" i="29"/>
  <c r="AD65" i="29"/>
  <c r="AE64" i="29"/>
  <c r="AD64" i="29"/>
  <c r="AE63" i="29"/>
  <c r="AD63" i="29"/>
  <c r="AE62" i="29"/>
  <c r="AD62" i="29"/>
  <c r="P62" i="29"/>
  <c r="AE61" i="29"/>
  <c r="AD61" i="29"/>
  <c r="P61" i="29"/>
  <c r="AE60" i="29"/>
  <c r="AD60" i="29"/>
  <c r="P60" i="29"/>
  <c r="AE59" i="29"/>
  <c r="AD59" i="29"/>
  <c r="P59" i="29"/>
  <c r="AE58" i="29"/>
  <c r="AD58" i="29"/>
  <c r="P58" i="29"/>
  <c r="AE57" i="29"/>
  <c r="AD57" i="29"/>
  <c r="P57" i="29"/>
  <c r="AE56" i="29"/>
  <c r="AD56" i="29"/>
  <c r="P56" i="29"/>
  <c r="AE55" i="29"/>
  <c r="AD55" i="29"/>
  <c r="P55" i="29"/>
  <c r="AE54" i="29"/>
  <c r="AD54" i="29"/>
  <c r="P54" i="29"/>
  <c r="AE53" i="29"/>
  <c r="AD53" i="29"/>
  <c r="P53" i="29"/>
  <c r="AE52" i="29"/>
  <c r="AD52" i="29"/>
  <c r="P52" i="29"/>
  <c r="AE51" i="29"/>
  <c r="AD51" i="29"/>
  <c r="P51" i="29"/>
  <c r="AE50" i="29"/>
  <c r="AD50" i="29"/>
  <c r="P50" i="29"/>
  <c r="AE49" i="29"/>
  <c r="AD49" i="29"/>
  <c r="P49" i="29"/>
  <c r="AE48" i="29"/>
  <c r="AD48" i="29"/>
  <c r="P48" i="29"/>
  <c r="AE47" i="29"/>
  <c r="AD47" i="29"/>
  <c r="P47" i="29"/>
  <c r="M47" i="29"/>
  <c r="H47" i="29"/>
  <c r="C47" i="29"/>
  <c r="AE46" i="29"/>
  <c r="AD46" i="29"/>
  <c r="P46" i="29"/>
  <c r="AE45" i="29"/>
  <c r="AD45" i="29"/>
  <c r="P45" i="29"/>
  <c r="AE44" i="29"/>
  <c r="AD44" i="29"/>
  <c r="P44" i="29"/>
  <c r="AE43" i="29"/>
  <c r="AD43" i="29"/>
  <c r="P43" i="29"/>
  <c r="AE42" i="29"/>
  <c r="AD42" i="29"/>
  <c r="P42" i="29"/>
  <c r="AE41" i="29"/>
  <c r="AD41" i="29"/>
  <c r="AE40" i="29"/>
  <c r="AD40" i="29"/>
  <c r="AE39" i="29"/>
  <c r="AD39" i="29"/>
  <c r="AE38" i="29"/>
  <c r="AD38" i="29"/>
  <c r="AE37" i="29"/>
  <c r="AD37" i="29"/>
  <c r="AE36" i="29"/>
  <c r="AD36" i="29"/>
  <c r="AE35" i="29"/>
  <c r="AD35" i="29"/>
  <c r="AE34" i="29"/>
  <c r="AD34" i="29"/>
  <c r="F34" i="29"/>
  <c r="AE33" i="29"/>
  <c r="AD33" i="29"/>
  <c r="F33" i="29"/>
  <c r="AE32" i="29"/>
  <c r="AD32" i="29"/>
  <c r="K32" i="29"/>
  <c r="F32" i="29"/>
  <c r="AE31" i="29"/>
  <c r="AD31" i="29"/>
  <c r="K31" i="29"/>
  <c r="F31" i="29"/>
  <c r="AE30" i="29"/>
  <c r="AD30" i="29"/>
  <c r="AE29" i="29"/>
  <c r="AD29" i="29"/>
  <c r="AE28" i="29"/>
  <c r="AD28" i="29"/>
  <c r="AE27" i="29"/>
  <c r="AD27" i="29"/>
  <c r="AE26" i="29"/>
  <c r="AD26" i="29"/>
  <c r="AE25" i="29"/>
  <c r="AD25" i="29"/>
  <c r="AE24" i="29"/>
  <c r="AD24" i="29"/>
  <c r="AE23" i="29"/>
  <c r="AD23" i="29"/>
  <c r="AE22" i="29"/>
  <c r="AD22" i="29"/>
  <c r="AE21" i="29"/>
  <c r="AD21" i="29"/>
  <c r="AE20" i="29"/>
  <c r="AD20" i="29"/>
  <c r="AE19" i="29"/>
  <c r="AD19" i="29"/>
  <c r="AE18" i="29"/>
  <c r="AD18" i="29"/>
  <c r="M18" i="29"/>
  <c r="K18" i="29"/>
  <c r="H18" i="29"/>
  <c r="F18" i="29"/>
  <c r="C18" i="29"/>
  <c r="AE17" i="29"/>
  <c r="AD17" i="29"/>
  <c r="AE16" i="29"/>
  <c r="AD16" i="29"/>
  <c r="AE15" i="29"/>
  <c r="AD15" i="29"/>
  <c r="AE14" i="29"/>
  <c r="AD14" i="29"/>
  <c r="AE13" i="29"/>
  <c r="AD13" i="29"/>
  <c r="AE12" i="29"/>
  <c r="AD12" i="29"/>
  <c r="AE11" i="29"/>
  <c r="AD11" i="29"/>
  <c r="Q11" i="29"/>
  <c r="AE10" i="29"/>
  <c r="AD10" i="29"/>
  <c r="AE9" i="29"/>
  <c r="AD9" i="29"/>
  <c r="AE8" i="29"/>
  <c r="AD8" i="29"/>
  <c r="AE7" i="29"/>
  <c r="AD7" i="29"/>
  <c r="AE6" i="29"/>
  <c r="AD6" i="29"/>
  <c r="AE5" i="29"/>
  <c r="AD5" i="29"/>
  <c r="AE4" i="29"/>
  <c r="AD4" i="29"/>
  <c r="AE3" i="29"/>
  <c r="AD3" i="29"/>
  <c r="AE2" i="29"/>
  <c r="AD2" i="29"/>
  <c r="P38" i="43"/>
  <c r="P37" i="43"/>
  <c r="P36" i="43"/>
  <c r="P35" i="43"/>
  <c r="P34" i="43"/>
  <c r="P33" i="43"/>
  <c r="P32" i="43"/>
  <c r="P31" i="43"/>
  <c r="P30" i="43"/>
  <c r="P29" i="43"/>
  <c r="P28" i="43"/>
  <c r="P27" i="43"/>
  <c r="P26" i="43"/>
  <c r="P25" i="43"/>
  <c r="M110" i="43"/>
  <c r="H110" i="43"/>
  <c r="C110" i="43"/>
  <c r="P24" i="43"/>
  <c r="P23" i="43"/>
  <c r="P22" i="43"/>
  <c r="P21" i="43"/>
  <c r="P20" i="43"/>
  <c r="P19" i="43"/>
  <c r="P18" i="43"/>
  <c r="K103" i="43"/>
  <c r="K110" i="43" s="1"/>
  <c r="F103" i="43"/>
  <c r="F110" i="43" s="1"/>
  <c r="H44" i="43"/>
  <c r="G44" i="43"/>
  <c r="F44" i="43"/>
  <c r="G43" i="43"/>
  <c r="F43" i="43"/>
  <c r="H42" i="43"/>
  <c r="G42" i="43"/>
  <c r="F42" i="43"/>
  <c r="H41" i="43"/>
  <c r="G41" i="43"/>
  <c r="F41" i="43"/>
  <c r="H40" i="43"/>
  <c r="G40" i="43"/>
  <c r="F40" i="43"/>
  <c r="H39" i="43"/>
  <c r="G39" i="43"/>
  <c r="F39" i="43"/>
  <c r="H38" i="43"/>
  <c r="G38" i="43"/>
  <c r="F38" i="43"/>
  <c r="H37" i="43"/>
  <c r="G37" i="43"/>
  <c r="F37" i="43"/>
  <c r="H36" i="43"/>
  <c r="G36" i="43"/>
  <c r="F36" i="43"/>
  <c r="H35" i="43"/>
  <c r="G35" i="43"/>
  <c r="F35" i="43"/>
  <c r="H34" i="43"/>
  <c r="G34" i="43"/>
  <c r="F34" i="43"/>
  <c r="H33" i="43"/>
  <c r="G33" i="43"/>
  <c r="F33" i="43"/>
  <c r="H32" i="43"/>
  <c r="G32" i="43"/>
  <c r="F32" i="43"/>
  <c r="H31" i="43"/>
  <c r="G31" i="43"/>
  <c r="F31" i="43"/>
  <c r="C27" i="43"/>
  <c r="F4" i="43"/>
  <c r="F3" i="43"/>
  <c r="F2" i="43"/>
  <c r="AE69" i="28"/>
  <c r="AD69" i="28"/>
  <c r="AE68" i="28"/>
  <c r="AD68" i="28"/>
  <c r="AE67" i="28"/>
  <c r="AD67" i="28"/>
  <c r="AE66" i="28"/>
  <c r="AD66" i="28"/>
  <c r="AE65" i="28"/>
  <c r="AD65" i="28"/>
  <c r="AE64" i="28"/>
  <c r="AD64" i="28"/>
  <c r="AE63" i="28"/>
  <c r="AD63" i="28"/>
  <c r="P63" i="28"/>
  <c r="AE62" i="28"/>
  <c r="AD62" i="28"/>
  <c r="P62" i="28"/>
  <c r="AE61" i="28"/>
  <c r="AD61" i="28"/>
  <c r="P61" i="28"/>
  <c r="AE60" i="28"/>
  <c r="AD60" i="28"/>
  <c r="P60" i="28"/>
  <c r="AE59" i="28"/>
  <c r="AD59" i="28"/>
  <c r="P59" i="28"/>
  <c r="AE58" i="28"/>
  <c r="AD58" i="28"/>
  <c r="P58" i="28"/>
  <c r="AE57" i="28"/>
  <c r="AD57" i="28"/>
  <c r="P57" i="28"/>
  <c r="AE56" i="28"/>
  <c r="AD56" i="28"/>
  <c r="P56" i="28"/>
  <c r="AE55" i="28"/>
  <c r="AD55" i="28"/>
  <c r="P55" i="28"/>
  <c r="AE54" i="28"/>
  <c r="AD54" i="28"/>
  <c r="P54" i="28"/>
  <c r="AE53" i="28"/>
  <c r="AD53" i="28"/>
  <c r="P53" i="28"/>
  <c r="AE52" i="28"/>
  <c r="AD52" i="28"/>
  <c r="P52" i="28"/>
  <c r="AE51" i="28"/>
  <c r="AD51" i="28"/>
  <c r="P51" i="28"/>
  <c r="M51" i="28"/>
  <c r="H51" i="28"/>
  <c r="C51" i="28"/>
  <c r="AE50" i="28"/>
  <c r="AD50" i="28"/>
  <c r="P50" i="28"/>
  <c r="AE49" i="28"/>
  <c r="AD49" i="28"/>
  <c r="P49" i="28"/>
  <c r="AE48" i="28"/>
  <c r="AD48" i="28"/>
  <c r="P48" i="28"/>
  <c r="AE47" i="28"/>
  <c r="AD47" i="28"/>
  <c r="P47" i="28"/>
  <c r="AE46" i="28"/>
  <c r="AD46" i="28"/>
  <c r="P46" i="28"/>
  <c r="AE45" i="28"/>
  <c r="AD45" i="28"/>
  <c r="P45" i="28"/>
  <c r="AE44" i="28"/>
  <c r="AD44" i="28"/>
  <c r="P44" i="28"/>
  <c r="AE43" i="28"/>
  <c r="AD43" i="28"/>
  <c r="P43" i="28"/>
  <c r="AE42" i="28"/>
  <c r="AD42" i="28"/>
  <c r="AE41" i="28"/>
  <c r="AD41" i="28"/>
  <c r="AE40" i="28"/>
  <c r="AD40" i="28"/>
  <c r="AE39" i="28"/>
  <c r="AD39" i="28"/>
  <c r="AE38" i="28"/>
  <c r="AD38" i="28"/>
  <c r="AE37" i="28"/>
  <c r="AD37" i="28"/>
  <c r="F37" i="28"/>
  <c r="AE36" i="28"/>
  <c r="AD36" i="28"/>
  <c r="F36" i="28"/>
  <c r="AE35" i="28"/>
  <c r="AD35" i="28"/>
  <c r="K35" i="28"/>
  <c r="K51" i="28" s="1"/>
  <c r="F35" i="28"/>
  <c r="AE34" i="28"/>
  <c r="AD34" i="28"/>
  <c r="AE33" i="28"/>
  <c r="AD33" i="28"/>
  <c r="AE32" i="28"/>
  <c r="AD32" i="28"/>
  <c r="AE31" i="28"/>
  <c r="AD31" i="28"/>
  <c r="AE30" i="28"/>
  <c r="AD30" i="28"/>
  <c r="AE29" i="28"/>
  <c r="AD29" i="28"/>
  <c r="AE28" i="28"/>
  <c r="AD28" i="28"/>
  <c r="AE27" i="28"/>
  <c r="AD27" i="28"/>
  <c r="AE26" i="28"/>
  <c r="AD26" i="28"/>
  <c r="AE25" i="28"/>
  <c r="AD25" i="28"/>
  <c r="AE24" i="28"/>
  <c r="AD24" i="28"/>
  <c r="AE23" i="28"/>
  <c r="AD23" i="28"/>
  <c r="AE22" i="28"/>
  <c r="AD22" i="28"/>
  <c r="AE21" i="28"/>
  <c r="AD21" i="28"/>
  <c r="AE20" i="28"/>
  <c r="AD20" i="28"/>
  <c r="AE19" i="28"/>
  <c r="AD19" i="28"/>
  <c r="AE18" i="28"/>
  <c r="AD18" i="28"/>
  <c r="M18" i="28"/>
  <c r="K18" i="28"/>
  <c r="H18" i="28"/>
  <c r="F18" i="28"/>
  <c r="C18" i="28"/>
  <c r="AE17" i="28"/>
  <c r="AD17" i="28"/>
  <c r="AE16" i="28"/>
  <c r="AD16" i="28"/>
  <c r="AE15" i="28"/>
  <c r="AD15" i="28"/>
  <c r="AE14" i="28"/>
  <c r="AD14" i="28"/>
  <c r="AE13" i="28"/>
  <c r="AD13" i="28"/>
  <c r="AE12" i="28"/>
  <c r="AD12" i="28"/>
  <c r="AE11" i="28"/>
  <c r="AD11" i="28"/>
  <c r="Q11" i="28"/>
  <c r="AE10" i="28"/>
  <c r="AD10" i="28"/>
  <c r="AE9" i="28"/>
  <c r="AD9" i="28"/>
  <c r="AE8" i="28"/>
  <c r="AD8" i="28"/>
  <c r="AE7" i="28"/>
  <c r="AD7" i="28"/>
  <c r="AE6" i="28"/>
  <c r="AD6" i="28"/>
  <c r="AE5" i="28"/>
  <c r="AD5" i="28"/>
  <c r="AE4" i="28"/>
  <c r="AD4" i="28"/>
  <c r="AE3" i="28"/>
  <c r="AD3" i="28"/>
  <c r="AE2" i="28"/>
  <c r="AD2" i="28"/>
  <c r="P63" i="31"/>
  <c r="P62" i="31"/>
  <c r="P61" i="31"/>
  <c r="P60" i="31"/>
  <c r="P59" i="31"/>
  <c r="P58" i="31"/>
  <c r="P57" i="31"/>
  <c r="P56" i="31"/>
  <c r="P55" i="31"/>
  <c r="P54" i="31"/>
  <c r="P53" i="31"/>
  <c r="P52" i="31"/>
  <c r="P51" i="31"/>
  <c r="P50" i="31"/>
  <c r="P49" i="31"/>
  <c r="P48" i="31"/>
  <c r="P47" i="31"/>
  <c r="P46" i="31"/>
  <c r="P45" i="31"/>
  <c r="P44" i="31"/>
  <c r="P43" i="31"/>
  <c r="H30" i="31"/>
  <c r="G30" i="31"/>
  <c r="F30" i="31"/>
  <c r="M24" i="31"/>
  <c r="H24" i="31"/>
  <c r="C24" i="31"/>
  <c r="M99" i="34"/>
  <c r="H99" i="34"/>
  <c r="C99" i="34"/>
  <c r="F92" i="34"/>
  <c r="F91" i="34"/>
  <c r="F90" i="34"/>
  <c r="F89" i="34"/>
  <c r="K88" i="34"/>
  <c r="F88" i="34"/>
  <c r="K87" i="34"/>
  <c r="F87" i="34"/>
  <c r="K86" i="34"/>
  <c r="F86" i="34"/>
  <c r="K85" i="34"/>
  <c r="F85" i="34"/>
  <c r="K84" i="34"/>
  <c r="F84" i="34"/>
  <c r="K83" i="34"/>
  <c r="F83" i="34"/>
  <c r="AE69" i="34"/>
  <c r="AD69" i="34"/>
  <c r="AE68" i="34"/>
  <c r="AD68" i="34"/>
  <c r="AE67" i="34"/>
  <c r="AD67" i="34"/>
  <c r="AE66" i="34"/>
  <c r="AD66" i="34"/>
  <c r="AE65" i="34"/>
  <c r="AD65" i="34"/>
  <c r="H65" i="34"/>
  <c r="G65" i="34"/>
  <c r="F65" i="34"/>
  <c r="AE64" i="34"/>
  <c r="AD64" i="34"/>
  <c r="H64" i="34"/>
  <c r="G64" i="34"/>
  <c r="F64" i="34"/>
  <c r="AE63" i="34"/>
  <c r="AD63" i="34"/>
  <c r="H63" i="34"/>
  <c r="G63" i="34"/>
  <c r="F63" i="34"/>
  <c r="AE62" i="34"/>
  <c r="AD62" i="34"/>
  <c r="H62" i="34"/>
  <c r="G62" i="34"/>
  <c r="F62" i="34"/>
  <c r="AE61" i="34"/>
  <c r="AD61" i="34"/>
  <c r="P61" i="34"/>
  <c r="H61" i="34"/>
  <c r="G61" i="34"/>
  <c r="F61" i="34"/>
  <c r="AE60" i="34"/>
  <c r="AD60" i="34"/>
  <c r="P60" i="34"/>
  <c r="H60" i="34"/>
  <c r="G60" i="34"/>
  <c r="F60" i="34"/>
  <c r="AE59" i="34"/>
  <c r="AD59" i="34"/>
  <c r="P59" i="34"/>
  <c r="H59" i="34"/>
  <c r="G59" i="34"/>
  <c r="F59" i="34"/>
  <c r="AE58" i="34"/>
  <c r="AD58" i="34"/>
  <c r="P58" i="34"/>
  <c r="H58" i="34"/>
  <c r="G58" i="34"/>
  <c r="F58" i="34"/>
  <c r="AE57" i="34"/>
  <c r="AD57" i="34"/>
  <c r="P57" i="34"/>
  <c r="H57" i="34"/>
  <c r="G57" i="34"/>
  <c r="F57" i="34"/>
  <c r="AE56" i="34"/>
  <c r="AD56" i="34"/>
  <c r="P56" i="34"/>
  <c r="H56" i="34"/>
  <c r="G56" i="34"/>
  <c r="F56" i="34"/>
  <c r="AE55" i="34"/>
  <c r="AD55" i="34"/>
  <c r="P55" i="34"/>
  <c r="H55" i="34"/>
  <c r="G55" i="34"/>
  <c r="F55" i="34"/>
  <c r="AE54" i="34"/>
  <c r="AD54" i="34"/>
  <c r="P54" i="34"/>
  <c r="H54" i="34"/>
  <c r="G54" i="34"/>
  <c r="F54" i="34"/>
  <c r="AE53" i="34"/>
  <c r="AD53" i="34"/>
  <c r="P53" i="34"/>
  <c r="H53" i="34"/>
  <c r="G53" i="34"/>
  <c r="F53" i="34"/>
  <c r="AE52" i="34"/>
  <c r="AD52" i="34"/>
  <c r="P52" i="34"/>
  <c r="H52" i="34"/>
  <c r="G52" i="34"/>
  <c r="F52" i="34"/>
  <c r="AE51" i="34"/>
  <c r="AD51" i="34"/>
  <c r="P51" i="34"/>
  <c r="H51" i="34"/>
  <c r="G51" i="34"/>
  <c r="F51" i="34"/>
  <c r="AE50" i="34"/>
  <c r="AD50" i="34"/>
  <c r="P50" i="34"/>
  <c r="H50" i="34"/>
  <c r="G50" i="34"/>
  <c r="F50" i="34"/>
  <c r="AE49" i="34"/>
  <c r="AD49" i="34"/>
  <c r="P49" i="34"/>
  <c r="H49" i="34"/>
  <c r="G49" i="34"/>
  <c r="F49" i="34"/>
  <c r="AE48" i="34"/>
  <c r="AD48" i="34"/>
  <c r="P48" i="34"/>
  <c r="H48" i="34"/>
  <c r="G48" i="34"/>
  <c r="F48" i="34"/>
  <c r="AE47" i="34"/>
  <c r="AD47" i="34"/>
  <c r="P47" i="34"/>
  <c r="H47" i="34"/>
  <c r="G47" i="34"/>
  <c r="F47" i="34"/>
  <c r="AE46" i="34"/>
  <c r="AD46" i="34"/>
  <c r="P46" i="34"/>
  <c r="H46" i="34"/>
  <c r="G46" i="34"/>
  <c r="F46" i="34"/>
  <c r="AE45" i="34"/>
  <c r="AD45" i="34"/>
  <c r="P45" i="34"/>
  <c r="H45" i="34"/>
  <c r="G45" i="34"/>
  <c r="F45" i="34"/>
  <c r="AE44" i="34"/>
  <c r="AD44" i="34"/>
  <c r="P44" i="34"/>
  <c r="H44" i="34"/>
  <c r="G44" i="34"/>
  <c r="F44" i="34"/>
  <c r="AE43" i="34"/>
  <c r="AD43" i="34"/>
  <c r="P43" i="34"/>
  <c r="H43" i="34"/>
  <c r="G43" i="34"/>
  <c r="F43" i="34"/>
  <c r="AE42" i="34"/>
  <c r="AD42" i="34"/>
  <c r="P42" i="34"/>
  <c r="H42" i="34"/>
  <c r="G42" i="34"/>
  <c r="F42" i="34"/>
  <c r="AE41" i="34"/>
  <c r="AD41" i="34"/>
  <c r="P41" i="34"/>
  <c r="H41" i="34"/>
  <c r="G41" i="34"/>
  <c r="F41" i="34"/>
  <c r="AE40" i="34"/>
  <c r="AD40" i="34"/>
  <c r="H40" i="34"/>
  <c r="G40" i="34"/>
  <c r="F40" i="34"/>
  <c r="AE39" i="34"/>
  <c r="AD39" i="34"/>
  <c r="H39" i="34"/>
  <c r="G39" i="34"/>
  <c r="F39" i="34"/>
  <c r="AE38" i="34"/>
  <c r="AD38" i="34"/>
  <c r="H38" i="34"/>
  <c r="G38" i="34"/>
  <c r="F38" i="34"/>
  <c r="AE37" i="34"/>
  <c r="AD37" i="34"/>
  <c r="H37" i="34"/>
  <c r="G37" i="34"/>
  <c r="F37" i="34"/>
  <c r="AE36" i="34"/>
  <c r="AD36" i="34"/>
  <c r="H36" i="34"/>
  <c r="G36" i="34"/>
  <c r="F36" i="34"/>
  <c r="AE35" i="34"/>
  <c r="AD35" i="34"/>
  <c r="H35" i="34"/>
  <c r="G35" i="34"/>
  <c r="F35" i="34"/>
  <c r="AE34" i="34"/>
  <c r="AD34" i="34"/>
  <c r="H34" i="34"/>
  <c r="G34" i="34"/>
  <c r="F34" i="34"/>
  <c r="AE33" i="34"/>
  <c r="AD33" i="34"/>
  <c r="H33" i="34"/>
  <c r="G33" i="34"/>
  <c r="F33" i="34"/>
  <c r="AE32" i="34"/>
  <c r="AD32" i="34"/>
  <c r="H32" i="34"/>
  <c r="G32" i="34"/>
  <c r="F32" i="34"/>
  <c r="AE31" i="34"/>
  <c r="AD31" i="34"/>
  <c r="H31" i="34"/>
  <c r="G31" i="34"/>
  <c r="F31" i="34"/>
  <c r="AE30" i="34"/>
  <c r="AD30" i="34"/>
  <c r="H30" i="34"/>
  <c r="G30" i="34"/>
  <c r="F30" i="34"/>
  <c r="AE29" i="34"/>
  <c r="AD29" i="34"/>
  <c r="H29" i="34"/>
  <c r="G29" i="34"/>
  <c r="F29" i="34"/>
  <c r="AE28" i="34"/>
  <c r="AD28" i="34"/>
  <c r="H28" i="34"/>
  <c r="G28" i="34"/>
  <c r="F28" i="34"/>
  <c r="AE27" i="34"/>
  <c r="AD27" i="34"/>
  <c r="H27" i="34"/>
  <c r="G27" i="34"/>
  <c r="F27" i="34"/>
  <c r="AE26" i="34"/>
  <c r="AD26" i="34"/>
  <c r="H26" i="34"/>
  <c r="G26" i="34"/>
  <c r="F26" i="34"/>
  <c r="AE25" i="34"/>
  <c r="AD25" i="34"/>
  <c r="AE24" i="34"/>
  <c r="AD24" i="34"/>
  <c r="AE23" i="34"/>
  <c r="AD23" i="34"/>
  <c r="AE22" i="34"/>
  <c r="AD22" i="34"/>
  <c r="AE21" i="34"/>
  <c r="AD21" i="34"/>
  <c r="AE20" i="34"/>
  <c r="AD20" i="34"/>
  <c r="AE19" i="34"/>
  <c r="AD19" i="34"/>
  <c r="AE18" i="34"/>
  <c r="AD18" i="34"/>
  <c r="M18" i="34"/>
  <c r="K18" i="34"/>
  <c r="H18" i="34"/>
  <c r="F18" i="34"/>
  <c r="C18" i="34"/>
  <c r="AE17" i="34"/>
  <c r="AD17" i="34"/>
  <c r="AE16" i="34"/>
  <c r="AD16" i="34"/>
  <c r="AE15" i="34"/>
  <c r="AD15" i="34"/>
  <c r="AE14" i="34"/>
  <c r="AD14" i="34"/>
  <c r="AE13" i="34"/>
  <c r="AD13" i="34"/>
  <c r="AE12" i="34"/>
  <c r="AD12" i="34"/>
  <c r="AE11" i="34"/>
  <c r="AD11" i="34"/>
  <c r="Q11" i="34"/>
  <c r="AE10" i="34"/>
  <c r="AD10" i="34"/>
  <c r="AE9" i="34"/>
  <c r="AD9" i="34"/>
  <c r="AE8" i="34"/>
  <c r="AD8" i="34"/>
  <c r="AE7" i="34"/>
  <c r="AD7" i="34"/>
  <c r="AE6" i="34"/>
  <c r="AD6" i="34"/>
  <c r="AE5" i="34"/>
  <c r="AD5" i="34"/>
  <c r="AE4" i="34"/>
  <c r="AD4" i="34"/>
  <c r="AE3" i="34"/>
  <c r="AD3" i="34"/>
  <c r="AE2" i="34"/>
  <c r="AD2" i="34"/>
  <c r="P37" i="74"/>
  <c r="P36" i="74"/>
  <c r="P35" i="74"/>
  <c r="P34" i="74"/>
  <c r="P33" i="74"/>
  <c r="P32" i="74"/>
  <c r="P31" i="74"/>
  <c r="P30" i="74"/>
  <c r="P29" i="74"/>
  <c r="P28" i="74"/>
  <c r="P27" i="74"/>
  <c r="P26" i="74"/>
  <c r="P25" i="74"/>
  <c r="P24" i="74"/>
  <c r="K140" i="74"/>
  <c r="H140" i="74"/>
  <c r="F140" i="74"/>
  <c r="C140" i="74"/>
  <c r="P23" i="74"/>
  <c r="P22" i="74"/>
  <c r="P21" i="74"/>
  <c r="P20" i="74"/>
  <c r="P19" i="74"/>
  <c r="P18" i="74"/>
  <c r="P17" i="74"/>
  <c r="M155" i="49"/>
  <c r="H155" i="49"/>
  <c r="C155" i="49"/>
  <c r="F144" i="49"/>
  <c r="F143" i="49"/>
  <c r="K142" i="49"/>
  <c r="F142" i="49"/>
  <c r="K141" i="49"/>
  <c r="F141" i="49"/>
  <c r="K140" i="49"/>
  <c r="F140" i="49"/>
  <c r="K139" i="49"/>
  <c r="F139" i="49"/>
  <c r="K138" i="49"/>
  <c r="F138" i="49"/>
  <c r="K137" i="49"/>
  <c r="F137" i="49"/>
  <c r="K136" i="49"/>
  <c r="F136" i="49"/>
  <c r="F135" i="49"/>
  <c r="K134" i="49"/>
  <c r="F134" i="49"/>
  <c r="K133" i="49"/>
  <c r="F133" i="49"/>
  <c r="F132" i="49"/>
  <c r="K131" i="49"/>
  <c r="F131" i="49"/>
  <c r="K130" i="49"/>
  <c r="F130" i="49"/>
  <c r="K129" i="49"/>
  <c r="F129" i="49"/>
  <c r="F128" i="49"/>
  <c r="M122" i="49"/>
  <c r="H122" i="49"/>
  <c r="C122" i="49"/>
  <c r="K106" i="49"/>
  <c r="K122" i="49" s="1"/>
  <c r="F106" i="49"/>
  <c r="F122" i="49" s="1"/>
  <c r="P63" i="49"/>
  <c r="P62" i="49"/>
  <c r="P61" i="49"/>
  <c r="P60" i="49"/>
  <c r="P59" i="49"/>
  <c r="P58" i="49"/>
  <c r="P57" i="49"/>
  <c r="P56" i="49"/>
  <c r="P55" i="49"/>
  <c r="P54" i="49"/>
  <c r="P53" i="49"/>
  <c r="P52" i="49"/>
  <c r="P51" i="49"/>
  <c r="P50" i="49"/>
  <c r="P49" i="49"/>
  <c r="P48" i="49"/>
  <c r="P47" i="49"/>
  <c r="P46" i="49"/>
  <c r="P45" i="49"/>
  <c r="P44" i="49"/>
  <c r="P43" i="49"/>
  <c r="H36" i="49"/>
  <c r="G36" i="49"/>
  <c r="F36" i="49"/>
  <c r="M29" i="49"/>
  <c r="K29" i="49"/>
  <c r="H29" i="49"/>
  <c r="F29" i="49"/>
  <c r="C29" i="49"/>
  <c r="P47" i="53"/>
  <c r="P46" i="53"/>
  <c r="P45" i="53"/>
  <c r="P44" i="53"/>
  <c r="P43" i="53"/>
  <c r="P42" i="53"/>
  <c r="P41" i="53"/>
  <c r="P40" i="53"/>
  <c r="P39" i="53"/>
  <c r="P38" i="53"/>
  <c r="P37" i="53"/>
  <c r="P36" i="53"/>
  <c r="P35" i="53"/>
  <c r="P34" i="53"/>
  <c r="P33" i="53"/>
  <c r="P32" i="53"/>
  <c r="P31" i="53"/>
  <c r="P30" i="53"/>
  <c r="P29" i="53"/>
  <c r="P28" i="53"/>
  <c r="P27" i="53"/>
  <c r="M18" i="53"/>
  <c r="K18" i="53"/>
  <c r="H18" i="53"/>
  <c r="C18" i="53"/>
  <c r="M93" i="52"/>
  <c r="H93" i="52"/>
  <c r="C93" i="52"/>
  <c r="K85" i="52"/>
  <c r="F85" i="52"/>
  <c r="K84" i="52"/>
  <c r="F84" i="52"/>
  <c r="K83" i="52"/>
  <c r="F83" i="52"/>
  <c r="K82" i="52"/>
  <c r="F82" i="52"/>
  <c r="K81" i="52"/>
  <c r="F81" i="52"/>
  <c r="K80" i="52"/>
  <c r="F80" i="52"/>
  <c r="F79" i="52"/>
  <c r="F78" i="52"/>
  <c r="F77" i="52"/>
  <c r="AE69" i="52"/>
  <c r="AD69" i="52"/>
  <c r="AE68" i="52"/>
  <c r="AD68" i="52"/>
  <c r="AE67" i="52"/>
  <c r="AD67" i="52"/>
  <c r="AE66" i="52"/>
  <c r="AD66" i="52"/>
  <c r="AE65" i="52"/>
  <c r="AD65" i="52"/>
  <c r="AE64" i="52"/>
  <c r="AD64" i="52"/>
  <c r="AE63" i="52"/>
  <c r="AD63" i="52"/>
  <c r="AE62" i="52"/>
  <c r="AD62" i="52"/>
  <c r="AE61" i="52"/>
  <c r="AD61" i="52"/>
  <c r="P61" i="52"/>
  <c r="AE60" i="52"/>
  <c r="AD60" i="52"/>
  <c r="P60" i="52"/>
  <c r="AE59" i="52"/>
  <c r="AD59" i="52"/>
  <c r="P59" i="52"/>
  <c r="AE58" i="52"/>
  <c r="AD58" i="52"/>
  <c r="P58" i="52"/>
  <c r="AE57" i="52"/>
  <c r="AD57" i="52"/>
  <c r="P57" i="52"/>
  <c r="H57" i="52"/>
  <c r="G57" i="52"/>
  <c r="F57" i="52"/>
  <c r="AE56" i="52"/>
  <c r="AD56" i="52"/>
  <c r="P56" i="52"/>
  <c r="H56" i="52"/>
  <c r="G56" i="52"/>
  <c r="F56" i="52"/>
  <c r="AE55" i="52"/>
  <c r="AD55" i="52"/>
  <c r="P55" i="52"/>
  <c r="H55" i="52"/>
  <c r="G55" i="52"/>
  <c r="F55" i="52"/>
  <c r="AE54" i="52"/>
  <c r="AD54" i="52"/>
  <c r="P54" i="52"/>
  <c r="H54" i="52"/>
  <c r="G54" i="52"/>
  <c r="F54" i="52"/>
  <c r="AE53" i="52"/>
  <c r="AD53" i="52"/>
  <c r="P53" i="52"/>
  <c r="H53" i="52"/>
  <c r="G53" i="52"/>
  <c r="F53" i="52"/>
  <c r="AE52" i="52"/>
  <c r="AD52" i="52"/>
  <c r="P52" i="52"/>
  <c r="H52" i="52"/>
  <c r="G52" i="52"/>
  <c r="F52" i="52"/>
  <c r="AE51" i="52"/>
  <c r="AD51" i="52"/>
  <c r="P51" i="52"/>
  <c r="H51" i="52"/>
  <c r="G51" i="52"/>
  <c r="F51" i="52"/>
  <c r="AE50" i="52"/>
  <c r="AD50" i="52"/>
  <c r="P50" i="52"/>
  <c r="H50" i="52"/>
  <c r="G50" i="52"/>
  <c r="F50" i="52"/>
  <c r="AE49" i="52"/>
  <c r="AD49" i="52"/>
  <c r="P49" i="52"/>
  <c r="H49" i="52"/>
  <c r="G49" i="52"/>
  <c r="F49" i="52"/>
  <c r="AE48" i="52"/>
  <c r="AD48" i="52"/>
  <c r="P48" i="52"/>
  <c r="H48" i="52"/>
  <c r="G48" i="52"/>
  <c r="F48" i="52"/>
  <c r="AE47" i="52"/>
  <c r="AD47" i="52"/>
  <c r="P47" i="52"/>
  <c r="H47" i="52"/>
  <c r="G47" i="52"/>
  <c r="F47" i="52"/>
  <c r="AE46" i="52"/>
  <c r="AD46" i="52"/>
  <c r="P46" i="52"/>
  <c r="H46" i="52"/>
  <c r="G46" i="52"/>
  <c r="F46" i="52"/>
  <c r="AE45" i="52"/>
  <c r="AD45" i="52"/>
  <c r="P45" i="52"/>
  <c r="H45" i="52"/>
  <c r="G45" i="52"/>
  <c r="F45" i="52"/>
  <c r="AE44" i="52"/>
  <c r="AD44" i="52"/>
  <c r="P44" i="52"/>
  <c r="H44" i="52"/>
  <c r="G44" i="52"/>
  <c r="F44" i="52"/>
  <c r="AE43" i="52"/>
  <c r="AD43" i="52"/>
  <c r="P43" i="52"/>
  <c r="H43" i="52"/>
  <c r="G43" i="52"/>
  <c r="F43" i="52"/>
  <c r="AE42" i="52"/>
  <c r="AD42" i="52"/>
  <c r="P42" i="52"/>
  <c r="H42" i="52"/>
  <c r="G42" i="52"/>
  <c r="F42" i="52"/>
  <c r="AE41" i="52"/>
  <c r="AD41" i="52"/>
  <c r="P41" i="52"/>
  <c r="H41" i="52"/>
  <c r="G41" i="52"/>
  <c r="F41" i="52"/>
  <c r="AE40" i="52"/>
  <c r="AD40" i="52"/>
  <c r="H40" i="52"/>
  <c r="G40" i="52"/>
  <c r="F40" i="52"/>
  <c r="AE39" i="52"/>
  <c r="AD39" i="52"/>
  <c r="H39" i="52"/>
  <c r="G39" i="52"/>
  <c r="F39" i="52"/>
  <c r="AE38" i="52"/>
  <c r="AD38" i="52"/>
  <c r="H38" i="52"/>
  <c r="G38" i="52"/>
  <c r="F38" i="52"/>
  <c r="AE37" i="52"/>
  <c r="AD37" i="52"/>
  <c r="H37" i="52"/>
  <c r="G37" i="52"/>
  <c r="F37" i="52"/>
  <c r="AE36" i="52"/>
  <c r="AD36" i="52"/>
  <c r="H36" i="52"/>
  <c r="G36" i="52"/>
  <c r="F36" i="52"/>
  <c r="AE35" i="52"/>
  <c r="AD35" i="52"/>
  <c r="H35" i="52"/>
  <c r="G35" i="52"/>
  <c r="F35" i="52"/>
  <c r="AE34" i="52"/>
  <c r="AD34" i="52"/>
  <c r="H34" i="52"/>
  <c r="G34" i="52"/>
  <c r="F34" i="52"/>
  <c r="AE33" i="52"/>
  <c r="AD33" i="52"/>
  <c r="H33" i="52"/>
  <c r="G33" i="52"/>
  <c r="F33" i="52"/>
  <c r="AE32" i="52"/>
  <c r="AD32" i="52"/>
  <c r="H32" i="52"/>
  <c r="G32" i="52"/>
  <c r="F32" i="52"/>
  <c r="AE31" i="52"/>
  <c r="AD31" i="52"/>
  <c r="H31" i="52"/>
  <c r="G31" i="52"/>
  <c r="F31" i="52"/>
  <c r="AE30" i="52"/>
  <c r="AD30" i="52"/>
  <c r="H30" i="52"/>
  <c r="G30" i="52"/>
  <c r="F30" i="52"/>
  <c r="AE29" i="52"/>
  <c r="AD29" i="52"/>
  <c r="H29" i="52"/>
  <c r="G29" i="52"/>
  <c r="F29" i="52"/>
  <c r="AE28" i="52"/>
  <c r="AD28" i="52"/>
  <c r="H28" i="52"/>
  <c r="G28" i="52"/>
  <c r="F28" i="52"/>
  <c r="AE27" i="52"/>
  <c r="AD27" i="52"/>
  <c r="H27" i="52"/>
  <c r="G27" i="52"/>
  <c r="F27" i="52"/>
  <c r="AE26" i="52"/>
  <c r="AD26" i="52"/>
  <c r="H26" i="52"/>
  <c r="G26" i="52"/>
  <c r="F26" i="52"/>
  <c r="AE25" i="52"/>
  <c r="AD25" i="52"/>
  <c r="H25" i="52"/>
  <c r="G25" i="52"/>
  <c r="F25" i="52"/>
  <c r="AE24" i="52"/>
  <c r="AD24" i="52"/>
  <c r="AE23" i="52"/>
  <c r="AD23" i="52"/>
  <c r="AE22" i="52"/>
  <c r="AD22" i="52"/>
  <c r="AE21" i="52"/>
  <c r="AD21" i="52"/>
  <c r="AE20" i="52"/>
  <c r="AD20" i="52"/>
  <c r="AE19" i="52"/>
  <c r="AD19" i="52"/>
  <c r="AE18" i="52"/>
  <c r="AD18" i="52"/>
  <c r="M18" i="52"/>
  <c r="K18" i="52"/>
  <c r="H18" i="52"/>
  <c r="F18" i="52"/>
  <c r="C18" i="52"/>
  <c r="AE17" i="52"/>
  <c r="AD17" i="52"/>
  <c r="AE16" i="52"/>
  <c r="AD16" i="52"/>
  <c r="AE15" i="52"/>
  <c r="AD15" i="52"/>
  <c r="AE14" i="52"/>
  <c r="AD14" i="52"/>
  <c r="AE13" i="52"/>
  <c r="AD13" i="52"/>
  <c r="AE12" i="52"/>
  <c r="AD12" i="52"/>
  <c r="AE11" i="52"/>
  <c r="AD11" i="52"/>
  <c r="Q11" i="52"/>
  <c r="AE10" i="52"/>
  <c r="AD10" i="52"/>
  <c r="AE9" i="52"/>
  <c r="AD9" i="52"/>
  <c r="AE8" i="52"/>
  <c r="AD8" i="52"/>
  <c r="AE7" i="52"/>
  <c r="AD7" i="52"/>
  <c r="AE6" i="52"/>
  <c r="AD6" i="52"/>
  <c r="AE5" i="52"/>
  <c r="AD5" i="52"/>
  <c r="AE4" i="52"/>
  <c r="AD4" i="52"/>
  <c r="AE3" i="52"/>
  <c r="AD3" i="52"/>
  <c r="AE2" i="52"/>
  <c r="AD2" i="52"/>
  <c r="AE69" i="15"/>
  <c r="AD69" i="15"/>
  <c r="AE68" i="15"/>
  <c r="AD68" i="15"/>
  <c r="AE67" i="15"/>
  <c r="AD67" i="15"/>
  <c r="AE66" i="15"/>
  <c r="AD66" i="15"/>
  <c r="AE65" i="15"/>
  <c r="AD65" i="15"/>
  <c r="AE64" i="15"/>
  <c r="AD64" i="15"/>
  <c r="AE63" i="15"/>
  <c r="AD63" i="15"/>
  <c r="AE62" i="15"/>
  <c r="AD62" i="15"/>
  <c r="P62" i="15"/>
  <c r="AE61" i="15"/>
  <c r="AD61" i="15"/>
  <c r="P61" i="15"/>
  <c r="AE60" i="15"/>
  <c r="AD60" i="15"/>
  <c r="P60" i="15"/>
  <c r="AE59" i="15"/>
  <c r="AD59" i="15"/>
  <c r="P59" i="15"/>
  <c r="AE58" i="15"/>
  <c r="AD58" i="15"/>
  <c r="P58" i="15"/>
  <c r="AE57" i="15"/>
  <c r="AD57" i="15"/>
  <c r="P57" i="15"/>
  <c r="AE56" i="15"/>
  <c r="AD56" i="15"/>
  <c r="P56" i="15"/>
  <c r="AE55" i="15"/>
  <c r="AD55" i="15"/>
  <c r="P55" i="15"/>
  <c r="AE54" i="15"/>
  <c r="AD54" i="15"/>
  <c r="P54" i="15"/>
  <c r="AE53" i="15"/>
  <c r="AD53" i="15"/>
  <c r="P53" i="15"/>
  <c r="AE52" i="15"/>
  <c r="AD52" i="15"/>
  <c r="P52" i="15"/>
  <c r="AE51" i="15"/>
  <c r="AD51" i="15"/>
  <c r="P51" i="15"/>
  <c r="AE50" i="15"/>
  <c r="AD50" i="15"/>
  <c r="P50" i="15"/>
  <c r="M50" i="15"/>
  <c r="H50" i="15"/>
  <c r="C50" i="15"/>
  <c r="AE49" i="15"/>
  <c r="AD49" i="15"/>
  <c r="P49" i="15"/>
  <c r="AE48" i="15"/>
  <c r="AD48" i="15"/>
  <c r="P48" i="15"/>
  <c r="AE47" i="15"/>
  <c r="AD47" i="15"/>
  <c r="P47" i="15"/>
  <c r="AE46" i="15"/>
  <c r="AD46" i="15"/>
  <c r="P46" i="15"/>
  <c r="AE45" i="15"/>
  <c r="AD45" i="15"/>
  <c r="P45" i="15"/>
  <c r="AE44" i="15"/>
  <c r="AD44" i="15"/>
  <c r="P44" i="15"/>
  <c r="F44" i="15"/>
  <c r="AE43" i="15"/>
  <c r="AD43" i="15"/>
  <c r="P43" i="15"/>
  <c r="F43" i="15"/>
  <c r="AE42" i="15"/>
  <c r="AD42" i="15"/>
  <c r="P42" i="15"/>
  <c r="F42" i="15"/>
  <c r="AE41" i="15"/>
  <c r="AD41" i="15"/>
  <c r="F41" i="15"/>
  <c r="AE40" i="15"/>
  <c r="AD40" i="15"/>
  <c r="F40" i="15"/>
  <c r="AE39" i="15"/>
  <c r="AD39" i="15"/>
  <c r="F39" i="15"/>
  <c r="AE38" i="15"/>
  <c r="AD38" i="15"/>
  <c r="K38" i="15"/>
  <c r="F38" i="15"/>
  <c r="AE37" i="15"/>
  <c r="AD37" i="15"/>
  <c r="K37" i="15"/>
  <c r="F37" i="15"/>
  <c r="AE36" i="15"/>
  <c r="AD36" i="15"/>
  <c r="K36" i="15"/>
  <c r="F36" i="15"/>
  <c r="AE35" i="15"/>
  <c r="AD35" i="15"/>
  <c r="K35" i="15"/>
  <c r="F35" i="15"/>
  <c r="AE34" i="15"/>
  <c r="AD34" i="15"/>
  <c r="I34" i="15"/>
  <c r="K34" i="15" s="1"/>
  <c r="F34" i="15"/>
  <c r="AE33" i="15"/>
  <c r="AD33" i="15"/>
  <c r="AE32" i="15"/>
  <c r="AD32" i="15"/>
  <c r="AE31" i="15"/>
  <c r="AD31" i="15"/>
  <c r="AE30" i="15"/>
  <c r="AD30" i="15"/>
  <c r="AE29" i="15"/>
  <c r="AD29" i="15"/>
  <c r="AE28" i="15"/>
  <c r="AD28" i="15"/>
  <c r="AE27" i="15"/>
  <c r="AD27" i="15"/>
  <c r="AE26" i="15"/>
  <c r="AD26" i="15"/>
  <c r="AE25" i="15"/>
  <c r="AD25" i="15"/>
  <c r="AE24" i="15"/>
  <c r="AD24" i="15"/>
  <c r="AE23" i="15"/>
  <c r="AD23" i="15"/>
  <c r="AE22" i="15"/>
  <c r="AD22" i="15"/>
  <c r="AE21" i="15"/>
  <c r="AD21" i="15"/>
  <c r="AE20" i="15"/>
  <c r="AD20" i="15"/>
  <c r="AE19" i="15"/>
  <c r="AD19" i="15"/>
  <c r="AE18" i="15"/>
  <c r="AD18" i="15"/>
  <c r="M18" i="15"/>
  <c r="K18" i="15"/>
  <c r="H18" i="15"/>
  <c r="F18" i="15"/>
  <c r="C18" i="15"/>
  <c r="AE17" i="15"/>
  <c r="AD17" i="15"/>
  <c r="AE16" i="15"/>
  <c r="AD16" i="15"/>
  <c r="AE15" i="15"/>
  <c r="AD15" i="15"/>
  <c r="AE14" i="15"/>
  <c r="AD14" i="15"/>
  <c r="AE13" i="15"/>
  <c r="AD13" i="15"/>
  <c r="AE12" i="15"/>
  <c r="AD12" i="15"/>
  <c r="AE11" i="15"/>
  <c r="AD11" i="15"/>
  <c r="Q11" i="15"/>
  <c r="AE10" i="15"/>
  <c r="AD10" i="15"/>
  <c r="AE9" i="15"/>
  <c r="AD9" i="15"/>
  <c r="AE8" i="15"/>
  <c r="AD8" i="15"/>
  <c r="AE7" i="15"/>
  <c r="AD7" i="15"/>
  <c r="AE6" i="15"/>
  <c r="AD6" i="15"/>
  <c r="AE5" i="15"/>
  <c r="AD5" i="15"/>
  <c r="AE4" i="15"/>
  <c r="AD4" i="15"/>
  <c r="AE3" i="15"/>
  <c r="AD3" i="15"/>
  <c r="AE2" i="15"/>
  <c r="AD2" i="15"/>
  <c r="P35" i="24"/>
  <c r="P34" i="24"/>
  <c r="P33" i="24"/>
  <c r="P32" i="24"/>
  <c r="P31" i="24"/>
  <c r="P30" i="24"/>
  <c r="P29" i="24"/>
  <c r="P28" i="24"/>
  <c r="P27" i="24"/>
  <c r="P26" i="24"/>
  <c r="P25" i="24"/>
  <c r="P24" i="24"/>
  <c r="P23" i="24"/>
  <c r="M51" i="24"/>
  <c r="H51" i="24"/>
  <c r="C51" i="24"/>
  <c r="P22" i="24"/>
  <c r="P21" i="24"/>
  <c r="P20" i="24"/>
  <c r="P19" i="24"/>
  <c r="P18" i="24"/>
  <c r="P17" i="24"/>
  <c r="P16" i="24"/>
  <c r="P15" i="24"/>
  <c r="F40" i="24"/>
  <c r="F39" i="24"/>
  <c r="F38" i="24"/>
  <c r="F37" i="24"/>
  <c r="K36" i="24"/>
  <c r="F36" i="24"/>
  <c r="K35" i="24"/>
  <c r="F35" i="24"/>
  <c r="M18" i="24"/>
  <c r="K18" i="24"/>
  <c r="H18" i="24"/>
  <c r="F18" i="24"/>
  <c r="C18" i="24"/>
  <c r="AF69" i="22"/>
  <c r="AE69" i="22"/>
  <c r="AF68" i="22"/>
  <c r="AE68" i="22"/>
  <c r="AF67" i="22"/>
  <c r="AE67" i="22"/>
  <c r="AF66" i="22"/>
  <c r="AE66" i="22"/>
  <c r="AF65" i="22"/>
  <c r="AE65" i="22"/>
  <c r="AF64" i="22"/>
  <c r="AE64" i="22"/>
  <c r="AF63" i="22"/>
  <c r="AE63" i="22"/>
  <c r="AF62" i="22"/>
  <c r="AE62" i="22"/>
  <c r="AF61" i="22"/>
  <c r="AE61" i="22"/>
  <c r="AF60" i="22"/>
  <c r="AE60" i="22"/>
  <c r="AF59" i="22"/>
  <c r="AE59" i="22"/>
  <c r="AF58" i="22"/>
  <c r="AE58" i="22"/>
  <c r="AF57" i="22"/>
  <c r="AE57" i="22"/>
  <c r="AF56" i="22"/>
  <c r="AE56" i="22"/>
  <c r="P56" i="22"/>
  <c r="M56" i="22"/>
  <c r="H56" i="22"/>
  <c r="C56" i="22"/>
  <c r="AF55" i="22"/>
  <c r="AE55" i="22"/>
  <c r="P55" i="22"/>
  <c r="AF54" i="22"/>
  <c r="AE54" i="22"/>
  <c r="P54" i="22"/>
  <c r="AF53" i="22"/>
  <c r="AE53" i="22"/>
  <c r="P53" i="22"/>
  <c r="AF52" i="22"/>
  <c r="AE52" i="22"/>
  <c r="P52" i="22"/>
  <c r="AF51" i="22"/>
  <c r="AE51" i="22"/>
  <c r="P51" i="22"/>
  <c r="F51" i="22"/>
  <c r="AF50" i="22"/>
  <c r="AE50" i="22"/>
  <c r="P50" i="22"/>
  <c r="F50" i="22"/>
  <c r="AF49" i="22"/>
  <c r="AE49" i="22"/>
  <c r="P49" i="22"/>
  <c r="F49" i="22"/>
  <c r="AF48" i="22"/>
  <c r="AE48" i="22"/>
  <c r="P48" i="22"/>
  <c r="K48" i="22"/>
  <c r="F48" i="22"/>
  <c r="AF47" i="22"/>
  <c r="AE47" i="22"/>
  <c r="P47" i="22"/>
  <c r="K47" i="22"/>
  <c r="F47" i="22"/>
  <c r="AF46" i="22"/>
  <c r="AE46" i="22"/>
  <c r="P46" i="22"/>
  <c r="K46" i="22"/>
  <c r="F46" i="22"/>
  <c r="AF45" i="22"/>
  <c r="AE45" i="22"/>
  <c r="P45" i="22"/>
  <c r="K45" i="22"/>
  <c r="F45" i="22"/>
  <c r="AF44" i="22"/>
  <c r="AE44" i="22"/>
  <c r="P44" i="22"/>
  <c r="K44" i="22"/>
  <c r="F44" i="22"/>
  <c r="AF43" i="22"/>
  <c r="AE43" i="22"/>
  <c r="P43" i="22"/>
  <c r="K43" i="22"/>
  <c r="F43" i="22"/>
  <c r="AF42" i="22"/>
  <c r="AE42" i="22"/>
  <c r="P42" i="22"/>
  <c r="K42" i="22"/>
  <c r="F42" i="22"/>
  <c r="AF41" i="22"/>
  <c r="AE41" i="22"/>
  <c r="P41" i="22"/>
  <c r="AF40" i="22"/>
  <c r="AE40" i="22"/>
  <c r="P40" i="22"/>
  <c r="AF39" i="22"/>
  <c r="AE39" i="22"/>
  <c r="P39" i="22"/>
  <c r="AF38" i="22"/>
  <c r="AE38" i="22"/>
  <c r="P38" i="22"/>
  <c r="AF37" i="22"/>
  <c r="AE37" i="22"/>
  <c r="P37" i="22"/>
  <c r="AF36" i="22"/>
  <c r="AE36" i="22"/>
  <c r="P36" i="22"/>
  <c r="AF35" i="22"/>
  <c r="AE35" i="22"/>
  <c r="AF34" i="22"/>
  <c r="AE34" i="22"/>
  <c r="AF33" i="22"/>
  <c r="AE33" i="22"/>
  <c r="G33" i="22"/>
  <c r="AF32" i="22"/>
  <c r="AE32" i="22"/>
  <c r="H32" i="22"/>
  <c r="G32" i="22"/>
  <c r="AF31" i="22"/>
  <c r="AE31" i="22"/>
  <c r="G31" i="22"/>
  <c r="AF30" i="22"/>
  <c r="AE30" i="22"/>
  <c r="H30" i="22"/>
  <c r="G30" i="22"/>
  <c r="AF29" i="22"/>
  <c r="AE29" i="22"/>
  <c r="H29" i="22"/>
  <c r="G29" i="22"/>
  <c r="AF28" i="22"/>
  <c r="AE28" i="22"/>
  <c r="H28" i="22"/>
  <c r="G28" i="22"/>
  <c r="AF27" i="22"/>
  <c r="AE27" i="22"/>
  <c r="H27" i="22"/>
  <c r="G27" i="22"/>
  <c r="AF26" i="22"/>
  <c r="AE26" i="22"/>
  <c r="AF25" i="22"/>
  <c r="AE25" i="22"/>
  <c r="AF24" i="22"/>
  <c r="AE24" i="22"/>
  <c r="AF23" i="22"/>
  <c r="AE23" i="22"/>
  <c r="AF22" i="22"/>
  <c r="AE22" i="22"/>
  <c r="AF21" i="22"/>
  <c r="AE21" i="22"/>
  <c r="AF20" i="22"/>
  <c r="AE20" i="22"/>
  <c r="AF19" i="22"/>
  <c r="AE19" i="22"/>
  <c r="AF18" i="22"/>
  <c r="AE18" i="22"/>
  <c r="M18" i="22"/>
  <c r="K18" i="22"/>
  <c r="H18" i="22"/>
  <c r="F18" i="22"/>
  <c r="C18" i="22"/>
  <c r="AF17" i="22"/>
  <c r="AE17" i="22"/>
  <c r="AF16" i="22"/>
  <c r="AE16" i="22"/>
  <c r="AF15" i="22"/>
  <c r="AE15" i="22"/>
  <c r="AF14" i="22"/>
  <c r="AE14" i="22"/>
  <c r="AF13" i="22"/>
  <c r="AE13" i="22"/>
  <c r="AF12" i="22"/>
  <c r="AE12" i="22"/>
  <c r="AF11" i="22"/>
  <c r="AE11" i="22"/>
  <c r="Q11" i="22"/>
  <c r="AF10" i="22"/>
  <c r="AE10" i="22"/>
  <c r="AF9" i="22"/>
  <c r="AE9" i="22"/>
  <c r="AF8" i="22"/>
  <c r="AE8" i="22"/>
  <c r="AF7" i="22"/>
  <c r="AE7" i="22"/>
  <c r="AF6" i="22"/>
  <c r="AE6" i="22"/>
  <c r="AF5" i="22"/>
  <c r="AE5" i="22"/>
  <c r="AF4" i="22"/>
  <c r="AE4" i="22"/>
  <c r="AF3" i="22"/>
  <c r="AE3" i="22"/>
  <c r="AF2" i="22"/>
  <c r="AE2" i="22"/>
  <c r="AE68" i="16"/>
  <c r="AD68" i="16"/>
  <c r="AE67" i="16"/>
  <c r="AD67" i="16"/>
  <c r="AE66" i="16"/>
  <c r="AD66" i="16"/>
  <c r="AE65" i="16"/>
  <c r="AD65" i="16"/>
  <c r="F44" i="16"/>
  <c r="AE64" i="16"/>
  <c r="AD64" i="16"/>
  <c r="F43" i="16"/>
  <c r="AE63" i="16"/>
  <c r="AD63" i="16"/>
  <c r="P63" i="16"/>
  <c r="K42" i="16"/>
  <c r="F42" i="16"/>
  <c r="AE62" i="16"/>
  <c r="AD62" i="16"/>
  <c r="P62" i="16"/>
  <c r="K41" i="16"/>
  <c r="F41" i="16"/>
  <c r="AE61" i="16"/>
  <c r="AD61" i="16"/>
  <c r="P61" i="16"/>
  <c r="K40" i="16"/>
  <c r="F40" i="16"/>
  <c r="AE60" i="16"/>
  <c r="AD60" i="16"/>
  <c r="P60" i="16"/>
  <c r="K39" i="16"/>
  <c r="F39" i="16"/>
  <c r="AE59" i="16"/>
  <c r="AD59" i="16"/>
  <c r="P59" i="16"/>
  <c r="K38" i="16"/>
  <c r="F38" i="16"/>
  <c r="AE58" i="16"/>
  <c r="AD58" i="16"/>
  <c r="P58" i="16"/>
  <c r="K37" i="16"/>
  <c r="F37" i="16"/>
  <c r="AE57" i="16"/>
  <c r="AD57" i="16"/>
  <c r="P57" i="16"/>
  <c r="K36" i="16"/>
  <c r="F36" i="16"/>
  <c r="AE56" i="16"/>
  <c r="AD56" i="16"/>
  <c r="P56" i="16"/>
  <c r="K35" i="16"/>
  <c r="F35" i="16"/>
  <c r="AE55" i="16"/>
  <c r="AD55" i="16"/>
  <c r="P55" i="16"/>
  <c r="K34" i="16"/>
  <c r="F34" i="16"/>
  <c r="AE54" i="16"/>
  <c r="AD54" i="16"/>
  <c r="P54" i="16"/>
  <c r="K33" i="16"/>
  <c r="F33" i="16"/>
  <c r="AE53" i="16"/>
  <c r="AD53" i="16"/>
  <c r="P53" i="16"/>
  <c r="K32" i="16"/>
  <c r="F32" i="16"/>
  <c r="AE52" i="16"/>
  <c r="AD52" i="16"/>
  <c r="P52" i="16"/>
  <c r="AE51" i="16"/>
  <c r="AD51" i="16"/>
  <c r="P51" i="16"/>
  <c r="AE50" i="16"/>
  <c r="AD50" i="16"/>
  <c r="P50" i="16"/>
  <c r="AE49" i="16"/>
  <c r="AD49" i="16"/>
  <c r="P49" i="16"/>
  <c r="AE48" i="16"/>
  <c r="AD48" i="16"/>
  <c r="P48" i="16"/>
  <c r="AE47" i="16"/>
  <c r="AD47" i="16"/>
  <c r="P47" i="16"/>
  <c r="AE46" i="16"/>
  <c r="AD46" i="16"/>
  <c r="P46" i="16"/>
  <c r="AE45" i="16"/>
  <c r="AD45" i="16"/>
  <c r="P45" i="16"/>
  <c r="AE44" i="16"/>
  <c r="AD44" i="16"/>
  <c r="P44" i="16"/>
  <c r="AE43" i="16"/>
  <c r="AD43" i="16"/>
  <c r="P43" i="16"/>
  <c r="AE42" i="16"/>
  <c r="AD42" i="16"/>
  <c r="AE41" i="16"/>
  <c r="AD41" i="16"/>
  <c r="AE40" i="16"/>
  <c r="AD40" i="16"/>
  <c r="AE39" i="16"/>
  <c r="AD39" i="16"/>
  <c r="AE38" i="16"/>
  <c r="AD38" i="16"/>
  <c r="AE37" i="16"/>
  <c r="AD37" i="16"/>
  <c r="AE36" i="16"/>
  <c r="AD36" i="16"/>
  <c r="AE35" i="16"/>
  <c r="AD35" i="16"/>
  <c r="AE34" i="16"/>
  <c r="AD34" i="16"/>
  <c r="AE33" i="16"/>
  <c r="AD33" i="16"/>
  <c r="AE32" i="16"/>
  <c r="AD32" i="16"/>
  <c r="AE31" i="16"/>
  <c r="AD31" i="16"/>
  <c r="AE30" i="16"/>
  <c r="AD30" i="16"/>
  <c r="AE29" i="16"/>
  <c r="AD29" i="16"/>
  <c r="AE28" i="16"/>
  <c r="AD28" i="16"/>
  <c r="AE27" i="16"/>
  <c r="AD27" i="16"/>
  <c r="AE26" i="16"/>
  <c r="AD26" i="16"/>
  <c r="AE25" i="16"/>
  <c r="AD25" i="16"/>
  <c r="AE24" i="16"/>
  <c r="AD24" i="16"/>
  <c r="AE23" i="16"/>
  <c r="AD23" i="16"/>
  <c r="AE22" i="16"/>
  <c r="AD22" i="16"/>
  <c r="AE21" i="16"/>
  <c r="AD21" i="16"/>
  <c r="AE20" i="16"/>
  <c r="AD20" i="16"/>
  <c r="AE19" i="16"/>
  <c r="AD19" i="16"/>
  <c r="AE18" i="16"/>
  <c r="AD18" i="16"/>
  <c r="C18" i="16"/>
  <c r="AE17" i="16"/>
  <c r="AD17" i="16"/>
  <c r="AE16" i="16"/>
  <c r="AD16" i="16"/>
  <c r="AE15" i="16"/>
  <c r="AD15" i="16"/>
  <c r="AE14" i="16"/>
  <c r="AD14" i="16"/>
  <c r="AE13" i="16"/>
  <c r="AD13" i="16"/>
  <c r="AE12" i="16"/>
  <c r="AD12" i="16"/>
  <c r="AE11" i="16"/>
  <c r="AD11" i="16"/>
  <c r="Q11" i="16"/>
  <c r="AE10" i="16"/>
  <c r="AD10" i="16"/>
  <c r="AE9" i="16"/>
  <c r="AD9" i="16"/>
  <c r="AE8" i="16"/>
  <c r="AD8" i="16"/>
  <c r="AE7" i="16"/>
  <c r="AD7" i="16"/>
  <c r="AE6" i="16"/>
  <c r="AD6" i="16"/>
  <c r="AE5" i="16"/>
  <c r="AD5" i="16"/>
  <c r="AE4" i="16"/>
  <c r="AD4" i="16"/>
  <c r="AE3" i="16"/>
  <c r="AD3" i="16"/>
  <c r="AE2" i="16"/>
  <c r="AD2" i="16"/>
  <c r="F18" i="16"/>
  <c r="P39" i="46"/>
  <c r="P38" i="46"/>
  <c r="P37" i="46"/>
  <c r="P36" i="46"/>
  <c r="P35" i="46"/>
  <c r="P34" i="46"/>
  <c r="P33" i="46"/>
  <c r="P32" i="46"/>
  <c r="P31" i="46"/>
  <c r="P30" i="46"/>
  <c r="P29" i="46"/>
  <c r="P28" i="46"/>
  <c r="P27" i="46"/>
  <c r="P26" i="46"/>
  <c r="M153" i="46"/>
  <c r="H153" i="46"/>
  <c r="C153" i="46"/>
  <c r="P25" i="46"/>
  <c r="P24" i="46"/>
  <c r="P23" i="46"/>
  <c r="P22" i="46"/>
  <c r="P21" i="46"/>
  <c r="P20" i="46"/>
  <c r="P19" i="46"/>
  <c r="K143" i="46"/>
  <c r="K142" i="46"/>
  <c r="F142" i="46"/>
  <c r="K141" i="46"/>
  <c r="F141" i="46"/>
  <c r="H46" i="46"/>
  <c r="G46" i="46"/>
  <c r="F46" i="46"/>
  <c r="K42" i="46"/>
  <c r="H42" i="46"/>
  <c r="F42" i="46"/>
  <c r="C42" i="46"/>
  <c r="P61" i="75"/>
  <c r="P60" i="75"/>
  <c r="P59" i="75"/>
  <c r="P58" i="75"/>
  <c r="P57" i="75"/>
  <c r="P56" i="75"/>
  <c r="P55" i="75"/>
  <c r="P54" i="75"/>
  <c r="P53" i="75"/>
  <c r="P52" i="75"/>
  <c r="P51" i="75"/>
  <c r="P50" i="75"/>
  <c r="P49" i="75"/>
  <c r="P48" i="75"/>
  <c r="P47" i="75"/>
  <c r="P46" i="75"/>
  <c r="P45" i="75"/>
  <c r="P44" i="75"/>
  <c r="P43" i="75"/>
  <c r="P42" i="75"/>
  <c r="P41" i="75"/>
  <c r="M18" i="75"/>
  <c r="K18" i="75"/>
  <c r="H18" i="75"/>
  <c r="C18" i="75"/>
  <c r="Q11" i="75"/>
  <c r="F18" i="75"/>
  <c r="K55" i="61"/>
  <c r="F55" i="61"/>
  <c r="K54" i="61"/>
  <c r="K53" i="61"/>
  <c r="F53" i="61"/>
  <c r="K52" i="61"/>
  <c r="F52" i="61"/>
  <c r="K51" i="61"/>
  <c r="F51" i="61"/>
  <c r="K50" i="61"/>
  <c r="F50" i="61"/>
  <c r="K49" i="61"/>
  <c r="F49" i="61"/>
  <c r="K48" i="61"/>
  <c r="F48" i="61"/>
  <c r="K47" i="61"/>
  <c r="F47" i="61"/>
  <c r="K46" i="61"/>
  <c r="F46" i="61"/>
  <c r="K45" i="61"/>
  <c r="F45" i="61"/>
  <c r="K44" i="61"/>
  <c r="F44" i="61"/>
  <c r="P49" i="61"/>
  <c r="P48" i="61"/>
  <c r="P47" i="61"/>
  <c r="P46" i="61"/>
  <c r="P45" i="61"/>
  <c r="P44" i="61"/>
  <c r="P43" i="61"/>
  <c r="P42" i="61"/>
  <c r="P41" i="61"/>
  <c r="P40" i="61"/>
  <c r="P39" i="61"/>
  <c r="P38" i="61"/>
  <c r="P37" i="61"/>
  <c r="P36" i="61"/>
  <c r="P35" i="61"/>
  <c r="P34" i="61"/>
  <c r="P33" i="61"/>
  <c r="P32" i="61"/>
  <c r="P31" i="61"/>
  <c r="P30" i="61"/>
  <c r="P29" i="61"/>
  <c r="M18" i="61"/>
  <c r="K18" i="61"/>
  <c r="H18" i="61"/>
  <c r="C18" i="61"/>
  <c r="Q11" i="61"/>
  <c r="H127" i="3"/>
  <c r="G127" i="3"/>
  <c r="F127" i="3"/>
  <c r="H126" i="3"/>
  <c r="G126" i="3"/>
  <c r="F126" i="3"/>
  <c r="H125" i="3"/>
  <c r="G125" i="3"/>
  <c r="F125" i="3"/>
  <c r="H124" i="3"/>
  <c r="G124" i="3"/>
  <c r="F124" i="3"/>
  <c r="H123" i="3"/>
  <c r="G123" i="3"/>
  <c r="F123" i="3"/>
  <c r="H122" i="3"/>
  <c r="G122" i="3"/>
  <c r="F122" i="3"/>
  <c r="H121" i="3"/>
  <c r="G121" i="3"/>
  <c r="F121" i="3"/>
  <c r="H120" i="3"/>
  <c r="G120" i="3"/>
  <c r="F120" i="3"/>
  <c r="H119" i="3"/>
  <c r="G119" i="3"/>
  <c r="F119" i="3"/>
  <c r="H118" i="3"/>
  <c r="G118" i="3"/>
  <c r="F118" i="3"/>
  <c r="H117" i="3"/>
  <c r="G117" i="3"/>
  <c r="F117" i="3"/>
  <c r="H114" i="3"/>
  <c r="G114" i="3"/>
  <c r="F114" i="3"/>
  <c r="H113" i="3"/>
  <c r="G113" i="3"/>
  <c r="F113" i="3"/>
  <c r="H112" i="3"/>
  <c r="G112" i="3"/>
  <c r="F112" i="3"/>
  <c r="H111" i="3"/>
  <c r="G111" i="3"/>
  <c r="F111" i="3"/>
  <c r="H110" i="3"/>
  <c r="G110" i="3"/>
  <c r="F110" i="3"/>
  <c r="H109" i="3"/>
  <c r="G109" i="3"/>
  <c r="F109" i="3"/>
  <c r="H107" i="3"/>
  <c r="G107" i="3"/>
  <c r="F107" i="3"/>
  <c r="H106" i="3"/>
  <c r="G106" i="3"/>
  <c r="F106" i="3"/>
  <c r="H105" i="3"/>
  <c r="G105" i="3"/>
  <c r="F105" i="3"/>
  <c r="H104" i="3"/>
  <c r="G104" i="3"/>
  <c r="F104" i="3"/>
  <c r="H103" i="3"/>
  <c r="G103" i="3"/>
  <c r="F103" i="3"/>
  <c r="H102" i="3"/>
  <c r="G102" i="3"/>
  <c r="F102" i="3"/>
  <c r="H101" i="3"/>
  <c r="G101" i="3"/>
  <c r="F101" i="3"/>
  <c r="H100" i="3"/>
  <c r="G100" i="3"/>
  <c r="F100" i="3"/>
  <c r="H99" i="3"/>
  <c r="G99" i="3"/>
  <c r="F99" i="3"/>
  <c r="H98" i="3"/>
  <c r="G98" i="3"/>
  <c r="F98" i="3"/>
  <c r="H97" i="3"/>
  <c r="G97" i="3"/>
  <c r="F97" i="3"/>
  <c r="H96" i="3"/>
  <c r="G96" i="3"/>
  <c r="F96" i="3"/>
  <c r="H95" i="3"/>
  <c r="G95" i="3"/>
  <c r="F95" i="3"/>
  <c r="H94" i="3"/>
  <c r="G94" i="3"/>
  <c r="F94" i="3"/>
  <c r="H93" i="3"/>
  <c r="G93" i="3"/>
  <c r="F93" i="3"/>
  <c r="H92" i="3"/>
  <c r="G92" i="3"/>
  <c r="F92" i="3"/>
  <c r="H91" i="3"/>
  <c r="G91" i="3"/>
  <c r="F91" i="3"/>
  <c r="H90" i="3"/>
  <c r="G90" i="3"/>
  <c r="F90" i="3"/>
  <c r="H89" i="3"/>
  <c r="G89" i="3"/>
  <c r="F89" i="3"/>
  <c r="M85" i="3"/>
  <c r="H85" i="3"/>
  <c r="C85" i="3"/>
  <c r="K83" i="3"/>
  <c r="K82" i="3"/>
  <c r="F82" i="3"/>
  <c r="F79" i="3"/>
  <c r="F78" i="3"/>
  <c r="F77" i="3"/>
  <c r="F76" i="3"/>
  <c r="F75" i="3"/>
  <c r="F74" i="3"/>
  <c r="F73" i="3"/>
  <c r="F72" i="3"/>
  <c r="F71" i="3"/>
  <c r="F70" i="3"/>
  <c r="F69" i="3"/>
  <c r="F68" i="3"/>
  <c r="K67" i="3"/>
  <c r="F67" i="3"/>
  <c r="K66" i="3"/>
  <c r="F66" i="3"/>
  <c r="K65" i="3"/>
  <c r="F65" i="3"/>
  <c r="K64" i="3"/>
  <c r="F64" i="3"/>
  <c r="K63" i="3"/>
  <c r="F63" i="3"/>
  <c r="K62" i="3"/>
  <c r="F62" i="3"/>
  <c r="K61" i="3"/>
  <c r="F61" i="3"/>
  <c r="Q60" i="3"/>
  <c r="K60" i="3"/>
  <c r="F60" i="3"/>
  <c r="Q59" i="3"/>
  <c r="K59" i="3"/>
  <c r="F59" i="3"/>
  <c r="Q58" i="3"/>
  <c r="K58" i="3"/>
  <c r="F58" i="3"/>
  <c r="Q57" i="3"/>
  <c r="K57" i="3"/>
  <c r="F57" i="3"/>
  <c r="Q56" i="3"/>
  <c r="K56" i="3"/>
  <c r="F56" i="3"/>
  <c r="Q55" i="3"/>
  <c r="K55" i="3"/>
  <c r="F55" i="3"/>
  <c r="Q54" i="3"/>
  <c r="K54" i="3"/>
  <c r="F54" i="3"/>
  <c r="Q53" i="3"/>
  <c r="K53" i="3"/>
  <c r="F53" i="3"/>
  <c r="Q52" i="3"/>
  <c r="K52" i="3"/>
  <c r="F52" i="3"/>
  <c r="Q51" i="3"/>
  <c r="K51" i="3"/>
  <c r="F51" i="3"/>
  <c r="Q50" i="3"/>
  <c r="K50" i="3"/>
  <c r="F50" i="3"/>
  <c r="Q49" i="3"/>
  <c r="K49" i="3"/>
  <c r="F49" i="3"/>
  <c r="Q48" i="3"/>
  <c r="K48" i="3"/>
  <c r="F48" i="3"/>
  <c r="Q47" i="3"/>
  <c r="K47" i="3"/>
  <c r="F47" i="3"/>
  <c r="Q46" i="3"/>
  <c r="K46" i="3"/>
  <c r="F46" i="3"/>
  <c r="Q45" i="3"/>
  <c r="K45" i="3"/>
  <c r="F45" i="3"/>
  <c r="Q44" i="3"/>
  <c r="K44" i="3"/>
  <c r="F44" i="3"/>
  <c r="Q43" i="3"/>
  <c r="Q42" i="3"/>
  <c r="AE41" i="3"/>
  <c r="AD41" i="3"/>
  <c r="Q41" i="3"/>
  <c r="AE40" i="3"/>
  <c r="AD40" i="3"/>
  <c r="Q40" i="3"/>
  <c r="AE39" i="3"/>
  <c r="AD39" i="3"/>
  <c r="AE38" i="3"/>
  <c r="AD38" i="3"/>
  <c r="AE37" i="3"/>
  <c r="AD37" i="3"/>
  <c r="AE36" i="3"/>
  <c r="AD36" i="3"/>
  <c r="AE35" i="3"/>
  <c r="AD35" i="3"/>
  <c r="AE34" i="3"/>
  <c r="AD34" i="3"/>
  <c r="AE33" i="3"/>
  <c r="AD33" i="3"/>
  <c r="AE32" i="3"/>
  <c r="AD32" i="3"/>
  <c r="AE31" i="3"/>
  <c r="AD31" i="3"/>
  <c r="AE30" i="3"/>
  <c r="AD30" i="3"/>
  <c r="AE29" i="3"/>
  <c r="AD29" i="3"/>
  <c r="AE28" i="3"/>
  <c r="AD28" i="3"/>
  <c r="AE27" i="3"/>
  <c r="AD27" i="3"/>
  <c r="AE26" i="3"/>
  <c r="AD26" i="3"/>
  <c r="AE25" i="3"/>
  <c r="AD25" i="3"/>
  <c r="AE24" i="3"/>
  <c r="AD24" i="3"/>
  <c r="AE23" i="3"/>
  <c r="AD23" i="3"/>
  <c r="AE22" i="3"/>
  <c r="AD22" i="3"/>
  <c r="AE21" i="3"/>
  <c r="AD21" i="3"/>
  <c r="AE20" i="3"/>
  <c r="AD20" i="3"/>
  <c r="AE19" i="3"/>
  <c r="AD19" i="3"/>
  <c r="AE18" i="3"/>
  <c r="AD18" i="3"/>
  <c r="M18" i="3"/>
  <c r="K18" i="3"/>
  <c r="H18" i="3"/>
  <c r="F18" i="3"/>
  <c r="C18" i="3"/>
  <c r="AE17" i="3"/>
  <c r="AD17" i="3"/>
  <c r="AE16" i="3"/>
  <c r="AD16" i="3"/>
  <c r="AE15" i="3"/>
  <c r="AD15" i="3"/>
  <c r="AE14" i="3"/>
  <c r="AD14" i="3"/>
  <c r="AE13" i="3"/>
  <c r="AD13" i="3"/>
  <c r="AE12" i="3"/>
  <c r="AD12" i="3"/>
  <c r="AE11" i="3"/>
  <c r="AD11" i="3"/>
  <c r="Q11" i="3"/>
  <c r="AE10" i="3"/>
  <c r="AD10" i="3"/>
  <c r="AE9" i="3"/>
  <c r="AD9" i="3"/>
  <c r="AE8" i="3"/>
  <c r="AD8" i="3"/>
  <c r="AE7" i="3"/>
  <c r="AD7" i="3"/>
  <c r="AE6" i="3"/>
  <c r="AD6" i="3"/>
  <c r="AE5" i="3"/>
  <c r="AD5" i="3"/>
  <c r="AE4" i="3"/>
  <c r="AD4" i="3"/>
  <c r="AE3" i="3"/>
  <c r="AD3" i="3"/>
  <c r="AE2" i="3"/>
  <c r="AD2" i="3"/>
  <c r="M120" i="45"/>
  <c r="H120" i="45"/>
  <c r="C120" i="45"/>
  <c r="K92" i="45"/>
  <c r="F92" i="45"/>
  <c r="K91" i="45"/>
  <c r="F91" i="45"/>
  <c r="K90" i="45"/>
  <c r="F90" i="45"/>
  <c r="F89" i="45"/>
  <c r="K88" i="45"/>
  <c r="F88" i="45"/>
  <c r="K87" i="45"/>
  <c r="F87" i="45"/>
  <c r="K86" i="45"/>
  <c r="F86" i="45"/>
  <c r="K85" i="45"/>
  <c r="F85" i="45"/>
  <c r="K84" i="45"/>
  <c r="F84" i="45"/>
  <c r="K83" i="45"/>
  <c r="F83" i="45"/>
  <c r="K82" i="45"/>
  <c r="F82" i="45"/>
  <c r="F81" i="45"/>
  <c r="Q37" i="45"/>
  <c r="Q36" i="45"/>
  <c r="Q35" i="45"/>
  <c r="Q34" i="45"/>
  <c r="Q33" i="45"/>
  <c r="Q32" i="45"/>
  <c r="Q31" i="45"/>
  <c r="Q30" i="45"/>
  <c r="Q29" i="45"/>
  <c r="Q28" i="45"/>
  <c r="Q27" i="45"/>
  <c r="Q26" i="45"/>
  <c r="Q25" i="45"/>
  <c r="Q24" i="45"/>
  <c r="Q23" i="45"/>
  <c r="Q22" i="45"/>
  <c r="Q21" i="45"/>
  <c r="Q20" i="45"/>
  <c r="Q19" i="45"/>
  <c r="Q18" i="45"/>
  <c r="Q17" i="45"/>
  <c r="H24" i="45"/>
  <c r="G24" i="45"/>
  <c r="F24" i="45"/>
  <c r="M18" i="45"/>
  <c r="H18" i="45"/>
  <c r="C18" i="45"/>
  <c r="K18" i="45"/>
  <c r="AE68" i="42"/>
  <c r="AD68" i="42"/>
  <c r="AE67" i="42"/>
  <c r="AD67" i="42"/>
  <c r="AE66" i="42"/>
  <c r="AD66" i="42"/>
  <c r="AE65" i="42"/>
  <c r="AD65" i="42"/>
  <c r="AE64" i="42"/>
  <c r="AD64" i="42"/>
  <c r="AE63" i="42"/>
  <c r="AD63" i="42"/>
  <c r="P63" i="42"/>
  <c r="AE62" i="42"/>
  <c r="AD62" i="42"/>
  <c r="P62" i="42"/>
  <c r="AE61" i="42"/>
  <c r="AD61" i="42"/>
  <c r="P61" i="42"/>
  <c r="AE60" i="42"/>
  <c r="AD60" i="42"/>
  <c r="P60" i="42"/>
  <c r="AE59" i="42"/>
  <c r="AD59" i="42"/>
  <c r="P59" i="42"/>
  <c r="AE58" i="42"/>
  <c r="AD58" i="42"/>
  <c r="P58" i="42"/>
  <c r="AE57" i="42"/>
  <c r="AD57" i="42"/>
  <c r="P57" i="42"/>
  <c r="AE56" i="42"/>
  <c r="AD56" i="42"/>
  <c r="P56" i="42"/>
  <c r="AE55" i="42"/>
  <c r="AD55" i="42"/>
  <c r="P55" i="42"/>
  <c r="AE54" i="42"/>
  <c r="AD54" i="42"/>
  <c r="P54" i="42"/>
  <c r="H54" i="42"/>
  <c r="C54" i="42"/>
  <c r="AE53" i="42"/>
  <c r="AD53" i="42"/>
  <c r="P53" i="42"/>
  <c r="AE52" i="42"/>
  <c r="AD52" i="42"/>
  <c r="P52" i="42"/>
  <c r="AE51" i="42"/>
  <c r="AD51" i="42"/>
  <c r="P51" i="42"/>
  <c r="AE50" i="42"/>
  <c r="AD50" i="42"/>
  <c r="P50" i="42"/>
  <c r="AE49" i="42"/>
  <c r="AD49" i="42"/>
  <c r="P49" i="42"/>
  <c r="AE48" i="42"/>
  <c r="AD48" i="42"/>
  <c r="P48" i="42"/>
  <c r="AE47" i="42"/>
  <c r="AD47" i="42"/>
  <c r="P47" i="42"/>
  <c r="AE46" i="42"/>
  <c r="AD46" i="42"/>
  <c r="P46" i="42"/>
  <c r="AE45" i="42"/>
  <c r="AD45" i="42"/>
  <c r="P45" i="42"/>
  <c r="AE44" i="42"/>
  <c r="AD44" i="42"/>
  <c r="P44" i="42"/>
  <c r="AE43" i="42"/>
  <c r="AD43" i="42"/>
  <c r="P43" i="42"/>
  <c r="AE42" i="42"/>
  <c r="AD42" i="42"/>
  <c r="AE41" i="42"/>
  <c r="AD41" i="42"/>
  <c r="AE40" i="42"/>
  <c r="AD40" i="42"/>
  <c r="AE39" i="42"/>
  <c r="AD39" i="42"/>
  <c r="AE38" i="42"/>
  <c r="AD38" i="42"/>
  <c r="K38" i="42"/>
  <c r="K54" i="42" s="1"/>
  <c r="F38" i="42"/>
  <c r="F54" i="42" s="1"/>
  <c r="AE37" i="42"/>
  <c r="AD37" i="42"/>
  <c r="AE36" i="42"/>
  <c r="AD36" i="42"/>
  <c r="AE35" i="42"/>
  <c r="AD35" i="42"/>
  <c r="AE34" i="42"/>
  <c r="AD34" i="42"/>
  <c r="AE33" i="42"/>
  <c r="AD33" i="42"/>
  <c r="AE32" i="42"/>
  <c r="AD32" i="42"/>
  <c r="AE31" i="42"/>
  <c r="AD31" i="42"/>
  <c r="AE30" i="42"/>
  <c r="AD30" i="42"/>
  <c r="AE29" i="42"/>
  <c r="AD29" i="42"/>
  <c r="AE28" i="42"/>
  <c r="AD28" i="42"/>
  <c r="AE27" i="42"/>
  <c r="AD27" i="42"/>
  <c r="AE26" i="42"/>
  <c r="AD26" i="42"/>
  <c r="AE25" i="42"/>
  <c r="AD25" i="42"/>
  <c r="AE24" i="42"/>
  <c r="AD24" i="42"/>
  <c r="H24" i="42"/>
  <c r="G24" i="42"/>
  <c r="F24" i="42"/>
  <c r="AE23" i="42"/>
  <c r="AD23" i="42"/>
  <c r="H23" i="42"/>
  <c r="G23" i="42"/>
  <c r="F23" i="42"/>
  <c r="AE22" i="42"/>
  <c r="AD22" i="42"/>
  <c r="AE21" i="42"/>
  <c r="AD21" i="42"/>
  <c r="AE20" i="42"/>
  <c r="AD20" i="42"/>
  <c r="AE19" i="42"/>
  <c r="AD19" i="42"/>
  <c r="AE18" i="42"/>
  <c r="AD18" i="42"/>
  <c r="K18" i="42"/>
  <c r="H18" i="42"/>
  <c r="G18" i="42"/>
  <c r="F18" i="42"/>
  <c r="C18" i="42"/>
  <c r="AE17" i="42"/>
  <c r="AD17" i="42"/>
  <c r="AE16" i="42"/>
  <c r="AD16" i="42"/>
  <c r="AE15" i="42"/>
  <c r="AD15" i="42"/>
  <c r="AE14" i="42"/>
  <c r="AD14" i="42"/>
  <c r="AE13" i="42"/>
  <c r="AD13" i="42"/>
  <c r="AE12" i="42"/>
  <c r="AD12" i="42"/>
  <c r="AE11" i="42"/>
  <c r="AD11" i="42"/>
  <c r="Q11" i="42"/>
  <c r="AE10" i="42"/>
  <c r="AD10" i="42"/>
  <c r="AE9" i="42"/>
  <c r="AD9" i="42"/>
  <c r="AE8" i="42"/>
  <c r="AD8" i="42"/>
  <c r="AE7" i="42"/>
  <c r="AD7" i="42"/>
  <c r="AE6" i="42"/>
  <c r="AD6" i="42"/>
  <c r="AE5" i="42"/>
  <c r="AD5" i="42"/>
  <c r="AE4" i="42"/>
  <c r="AD4" i="42"/>
  <c r="AE3" i="42"/>
  <c r="AD3" i="42"/>
  <c r="AE2" i="42"/>
  <c r="AD2" i="42"/>
  <c r="AE69" i="41"/>
  <c r="AD69" i="41"/>
  <c r="AE68" i="41"/>
  <c r="AD68" i="41"/>
  <c r="AE67" i="41"/>
  <c r="AD67" i="41"/>
  <c r="AE66" i="41"/>
  <c r="AD66" i="41"/>
  <c r="K61" i="41"/>
  <c r="F61" i="41"/>
  <c r="AE65" i="41"/>
  <c r="AD65" i="41"/>
  <c r="K60" i="41"/>
  <c r="F60" i="41"/>
  <c r="AE64" i="41"/>
  <c r="AD64" i="41"/>
  <c r="K59" i="41"/>
  <c r="F59" i="41"/>
  <c r="AE63" i="41"/>
  <c r="AD63" i="41"/>
  <c r="K58" i="41"/>
  <c r="F58" i="41"/>
  <c r="AE62" i="41"/>
  <c r="AD62" i="41"/>
  <c r="AE61" i="41"/>
  <c r="AD61" i="41"/>
  <c r="AE60" i="41"/>
  <c r="AD60" i="41"/>
  <c r="AE59" i="41"/>
  <c r="AD59" i="41"/>
  <c r="AE58" i="41"/>
  <c r="AD58" i="41"/>
  <c r="AE57" i="41"/>
  <c r="AD57" i="41"/>
  <c r="Q57" i="41"/>
  <c r="AE56" i="41"/>
  <c r="AD56" i="41"/>
  <c r="Q56" i="41"/>
  <c r="AE55" i="41"/>
  <c r="AD55" i="41"/>
  <c r="Q55" i="41"/>
  <c r="K55" i="41"/>
  <c r="F55" i="41"/>
  <c r="AE54" i="41"/>
  <c r="AD54" i="41"/>
  <c r="Q54" i="41"/>
  <c r="K54" i="41"/>
  <c r="F54" i="41"/>
  <c r="AE53" i="41"/>
  <c r="AD53" i="41"/>
  <c r="Q53" i="41"/>
  <c r="K53" i="41"/>
  <c r="F53" i="41"/>
  <c r="AE52" i="41"/>
  <c r="AD52" i="41"/>
  <c r="Q52" i="41"/>
  <c r="K52" i="41"/>
  <c r="F52" i="41"/>
  <c r="AE51" i="41"/>
  <c r="AD51" i="41"/>
  <c r="Q51" i="41"/>
  <c r="K51" i="41"/>
  <c r="F51" i="41"/>
  <c r="AE50" i="41"/>
  <c r="AD50" i="41"/>
  <c r="Q50" i="41"/>
  <c r="K50" i="41"/>
  <c r="F50" i="41"/>
  <c r="AE49" i="41"/>
  <c r="AD49" i="41"/>
  <c r="Q49" i="41"/>
  <c r="AE48" i="41"/>
  <c r="AD48" i="41"/>
  <c r="Q48" i="41"/>
  <c r="AE47" i="41"/>
  <c r="AD47" i="41"/>
  <c r="Q47" i="41"/>
  <c r="AE46" i="41"/>
  <c r="AD46" i="41"/>
  <c r="Q46" i="41"/>
  <c r="AE45" i="41"/>
  <c r="AD45" i="41"/>
  <c r="Q45" i="41"/>
  <c r="AE44" i="41"/>
  <c r="AD44" i="41"/>
  <c r="Q44" i="41"/>
  <c r="AE43" i="41"/>
  <c r="AD43" i="41"/>
  <c r="Q43" i="41"/>
  <c r="AE42" i="41"/>
  <c r="AD42" i="41"/>
  <c r="Q42" i="41"/>
  <c r="H42" i="41"/>
  <c r="G42" i="41"/>
  <c r="F42" i="41"/>
  <c r="AE41" i="41"/>
  <c r="AD41" i="41"/>
  <c r="Q41" i="41"/>
  <c r="H41" i="41"/>
  <c r="G41" i="41"/>
  <c r="F41" i="41"/>
  <c r="AE40" i="41"/>
  <c r="AD40" i="41"/>
  <c r="Q40" i="41"/>
  <c r="H40" i="41"/>
  <c r="G40" i="41"/>
  <c r="F40" i="41"/>
  <c r="AE39" i="41"/>
  <c r="AD39" i="41"/>
  <c r="Q39" i="41"/>
  <c r="H39" i="41"/>
  <c r="G39" i="41"/>
  <c r="F39" i="41"/>
  <c r="AE38" i="41"/>
  <c r="AD38" i="41"/>
  <c r="Q38" i="41"/>
  <c r="H38" i="41"/>
  <c r="G38" i="41"/>
  <c r="F38" i="41"/>
  <c r="AE37" i="41"/>
  <c r="AD37" i="41"/>
  <c r="Q37" i="41"/>
  <c r="H37" i="41"/>
  <c r="G37" i="41"/>
  <c r="F37" i="41"/>
  <c r="AE36" i="41"/>
  <c r="AD36" i="41"/>
  <c r="H36" i="41"/>
  <c r="G36" i="41"/>
  <c r="F36" i="41"/>
  <c r="AE35" i="41"/>
  <c r="AD35" i="41"/>
  <c r="H35" i="41"/>
  <c r="G35" i="41"/>
  <c r="F35" i="41"/>
  <c r="AE34" i="41"/>
  <c r="AD34" i="41"/>
  <c r="H34" i="41"/>
  <c r="G34" i="41"/>
  <c r="F34" i="41"/>
  <c r="AE33" i="41"/>
  <c r="AD33" i="41"/>
  <c r="H33" i="41"/>
  <c r="G33" i="41"/>
  <c r="F33" i="41"/>
  <c r="AE32" i="41"/>
  <c r="AD32" i="41"/>
  <c r="H32" i="41"/>
  <c r="G32" i="41"/>
  <c r="F32" i="41"/>
  <c r="AE31" i="41"/>
  <c r="AD31" i="41"/>
  <c r="H31" i="41"/>
  <c r="G31" i="41"/>
  <c r="F31" i="41"/>
  <c r="AE30" i="41"/>
  <c r="AD30" i="41"/>
  <c r="H30" i="41"/>
  <c r="G30" i="41"/>
  <c r="F30" i="41"/>
  <c r="AE29" i="41"/>
  <c r="AD29" i="41"/>
  <c r="H29" i="41"/>
  <c r="G29" i="41"/>
  <c r="F29" i="41"/>
  <c r="AE28" i="41"/>
  <c r="AD28" i="41"/>
  <c r="H28" i="41"/>
  <c r="G28" i="41"/>
  <c r="F28" i="41"/>
  <c r="AE27" i="41"/>
  <c r="AD27" i="41"/>
  <c r="H27" i="41"/>
  <c r="G27" i="41"/>
  <c r="F27" i="41"/>
  <c r="AE26" i="41"/>
  <c r="AD26" i="41"/>
  <c r="H26" i="41"/>
  <c r="G26" i="41"/>
  <c r="F26" i="41"/>
  <c r="AE25" i="41"/>
  <c r="AD25" i="41"/>
  <c r="H25" i="41"/>
  <c r="G25" i="41"/>
  <c r="F25" i="41"/>
  <c r="AE24" i="41"/>
  <c r="AD24" i="41"/>
  <c r="H24" i="41"/>
  <c r="G24" i="41"/>
  <c r="F24" i="41"/>
  <c r="AE23" i="41"/>
  <c r="AD23" i="41"/>
  <c r="H23" i="41"/>
  <c r="G23" i="41"/>
  <c r="F23" i="41"/>
  <c r="AE22" i="41"/>
  <c r="AD22" i="41"/>
  <c r="AE21" i="41"/>
  <c r="AD21" i="41"/>
  <c r="AE20" i="41"/>
  <c r="AD20" i="41"/>
  <c r="AE19" i="41"/>
  <c r="AD19" i="41"/>
  <c r="AE18" i="41"/>
  <c r="AD18" i="41"/>
  <c r="M18" i="41"/>
  <c r="K18" i="41"/>
  <c r="H18" i="41"/>
  <c r="F18" i="41"/>
  <c r="C18" i="41"/>
  <c r="AE17" i="41"/>
  <c r="AD17" i="41"/>
  <c r="AE16" i="41"/>
  <c r="AD16" i="41"/>
  <c r="AE15" i="41"/>
  <c r="AD15" i="41"/>
  <c r="AE14" i="41"/>
  <c r="AD14" i="41"/>
  <c r="AE13" i="41"/>
  <c r="AD13" i="41"/>
  <c r="AE12" i="41"/>
  <c r="AD12" i="41"/>
  <c r="AE11" i="41"/>
  <c r="AD11" i="41"/>
  <c r="Q11" i="41"/>
  <c r="AE10" i="41"/>
  <c r="AD10" i="41"/>
  <c r="AE9" i="41"/>
  <c r="AD9" i="41"/>
  <c r="AE8" i="41"/>
  <c r="AD8" i="41"/>
  <c r="AE7" i="41"/>
  <c r="AD7" i="41"/>
  <c r="AE6" i="41"/>
  <c r="AD6" i="41"/>
  <c r="AE5" i="41"/>
  <c r="AD5" i="41"/>
  <c r="AE4" i="41"/>
  <c r="AD4" i="41"/>
  <c r="AE3" i="41"/>
  <c r="AD3" i="41"/>
  <c r="AE2" i="41"/>
  <c r="AD2" i="41"/>
  <c r="Q38" i="47"/>
  <c r="Q37" i="47"/>
  <c r="Q36" i="47"/>
  <c r="Q35" i="47"/>
  <c r="Q34" i="47"/>
  <c r="Q33" i="47"/>
  <c r="M67" i="47"/>
  <c r="H67" i="47"/>
  <c r="C67" i="47"/>
  <c r="Q32" i="47"/>
  <c r="Q31" i="47"/>
  <c r="Q30" i="47"/>
  <c r="Q29" i="47"/>
  <c r="Q28" i="47"/>
  <c r="Q27" i="47"/>
  <c r="Q26" i="47"/>
  <c r="Q25" i="47"/>
  <c r="Q24" i="47"/>
  <c r="Q23" i="47"/>
  <c r="Q22" i="47"/>
  <c r="Q21" i="47"/>
  <c r="Q20" i="47"/>
  <c r="K54" i="47"/>
  <c r="F54" i="47"/>
  <c r="Q19" i="47"/>
  <c r="K53" i="47"/>
  <c r="F53" i="47"/>
  <c r="Q18" i="47"/>
  <c r="K52" i="47"/>
  <c r="F52" i="47"/>
  <c r="K51" i="47"/>
  <c r="F51" i="47"/>
  <c r="H22" i="47"/>
  <c r="G22" i="47"/>
  <c r="F22" i="47"/>
  <c r="M18" i="47"/>
  <c r="AE69" i="67"/>
  <c r="AD69" i="67"/>
  <c r="AE68" i="67"/>
  <c r="AD68" i="67"/>
  <c r="AE67" i="67"/>
  <c r="AD67" i="67"/>
  <c r="AE66" i="67"/>
  <c r="AD66" i="67"/>
  <c r="AE65" i="67"/>
  <c r="AD65" i="67"/>
  <c r="AE64" i="67"/>
  <c r="AD64" i="67"/>
  <c r="AE63" i="67"/>
  <c r="AD63" i="67"/>
  <c r="AE62" i="67"/>
  <c r="AD62" i="67"/>
  <c r="AE61" i="67"/>
  <c r="AD61" i="67"/>
  <c r="AE60" i="67"/>
  <c r="AD60" i="67"/>
  <c r="Q60" i="67"/>
  <c r="AE59" i="67"/>
  <c r="AD59" i="67"/>
  <c r="Q59" i="67"/>
  <c r="AE58" i="67"/>
  <c r="AD58" i="67"/>
  <c r="Q58" i="67"/>
  <c r="AE57" i="67"/>
  <c r="AD57" i="67"/>
  <c r="Q57" i="67"/>
  <c r="AE56" i="67"/>
  <c r="AD56" i="67"/>
  <c r="Q56" i="67"/>
  <c r="AE55" i="67"/>
  <c r="AD55" i="67"/>
  <c r="Q55" i="67"/>
  <c r="M55" i="67"/>
  <c r="H55" i="67"/>
  <c r="C55" i="67"/>
  <c r="AE54" i="67"/>
  <c r="AD54" i="67"/>
  <c r="Q54" i="67"/>
  <c r="AE53" i="67"/>
  <c r="AD53" i="67"/>
  <c r="Q53" i="67"/>
  <c r="AE52" i="67"/>
  <c r="AD52" i="67"/>
  <c r="Q52" i="67"/>
  <c r="AE51" i="67"/>
  <c r="AD51" i="67"/>
  <c r="Q51" i="67"/>
  <c r="AE50" i="67"/>
  <c r="AD50" i="67"/>
  <c r="Q50" i="67"/>
  <c r="AE49" i="67"/>
  <c r="AD49" i="67"/>
  <c r="Q49" i="67"/>
  <c r="AE48" i="67"/>
  <c r="AD48" i="67"/>
  <c r="Q48" i="67"/>
  <c r="AE47" i="67"/>
  <c r="AD47" i="67"/>
  <c r="Q47" i="67"/>
  <c r="AE46" i="67"/>
  <c r="AD46" i="67"/>
  <c r="Q46" i="67"/>
  <c r="AE45" i="67"/>
  <c r="AD45" i="67"/>
  <c r="Q45" i="67"/>
  <c r="AE44" i="67"/>
  <c r="AD44" i="67"/>
  <c r="Q44" i="67"/>
  <c r="AE43" i="67"/>
  <c r="AD43" i="67"/>
  <c r="Q43" i="67"/>
  <c r="AE42" i="67"/>
  <c r="AD42" i="67"/>
  <c r="Q42" i="67"/>
  <c r="AE41" i="67"/>
  <c r="AD41" i="67"/>
  <c r="Q41" i="67"/>
  <c r="AE40" i="67"/>
  <c r="AD40" i="67"/>
  <c r="Q40" i="67"/>
  <c r="K40" i="67"/>
  <c r="F40" i="67"/>
  <c r="AE39" i="67"/>
  <c r="AD39" i="67"/>
  <c r="K39" i="67"/>
  <c r="F39" i="67"/>
  <c r="AE38" i="67"/>
  <c r="AD38" i="67"/>
  <c r="AE37" i="67"/>
  <c r="AD37" i="67"/>
  <c r="AE36" i="67"/>
  <c r="AD36" i="67"/>
  <c r="AE35" i="67"/>
  <c r="AD35" i="67"/>
  <c r="AE34" i="67"/>
  <c r="AD34" i="67"/>
  <c r="AE33" i="67"/>
  <c r="AD33" i="67"/>
  <c r="AE32" i="67"/>
  <c r="AD32" i="67"/>
  <c r="H32" i="67"/>
  <c r="G32" i="67"/>
  <c r="F32" i="67"/>
  <c r="AE31" i="67"/>
  <c r="AD31" i="67"/>
  <c r="H31" i="67"/>
  <c r="G31" i="67"/>
  <c r="F31" i="67"/>
  <c r="AE30" i="67"/>
  <c r="AD30" i="67"/>
  <c r="H30" i="67"/>
  <c r="G30" i="67"/>
  <c r="F30" i="67"/>
  <c r="AE29" i="67"/>
  <c r="AD29" i="67"/>
  <c r="H29" i="67"/>
  <c r="G29" i="67"/>
  <c r="F29" i="67"/>
  <c r="AE28" i="67"/>
  <c r="AD28" i="67"/>
  <c r="AE27" i="67"/>
  <c r="AD27" i="67"/>
  <c r="H27" i="67"/>
  <c r="G27" i="67"/>
  <c r="F27" i="67"/>
  <c r="AE26" i="67"/>
  <c r="AD26" i="67"/>
  <c r="H26" i="67"/>
  <c r="G26" i="67"/>
  <c r="F26" i="67"/>
  <c r="AE25" i="67"/>
  <c r="AD25" i="67"/>
  <c r="H25" i="67"/>
  <c r="G25" i="67"/>
  <c r="F25" i="67"/>
  <c r="AE24" i="67"/>
  <c r="AD24" i="67"/>
  <c r="H24" i="67"/>
  <c r="G24" i="67"/>
  <c r="F24" i="67"/>
  <c r="AE23" i="67"/>
  <c r="AD23" i="67"/>
  <c r="H23" i="67"/>
  <c r="G23" i="67"/>
  <c r="F23" i="67"/>
  <c r="AE22" i="67"/>
  <c r="AD22" i="67"/>
  <c r="H22" i="67"/>
  <c r="G22" i="67"/>
  <c r="F22" i="67"/>
  <c r="AE21" i="67"/>
  <c r="AD21" i="67"/>
  <c r="H21" i="67"/>
  <c r="G21" i="67"/>
  <c r="F21" i="67"/>
  <c r="AE20" i="67"/>
  <c r="AD20" i="67"/>
  <c r="AE19" i="67"/>
  <c r="AD19" i="67"/>
  <c r="AE18" i="67"/>
  <c r="AD18" i="67"/>
  <c r="M18" i="67"/>
  <c r="K18" i="67"/>
  <c r="H18" i="67"/>
  <c r="F18" i="67"/>
  <c r="C18" i="67"/>
  <c r="AE17" i="67"/>
  <c r="AD17" i="67"/>
  <c r="AE16" i="67"/>
  <c r="AD16" i="67"/>
  <c r="AE15" i="67"/>
  <c r="AD15" i="67"/>
  <c r="AE14" i="67"/>
  <c r="AD14" i="67"/>
  <c r="AE13" i="67"/>
  <c r="AD13" i="67"/>
  <c r="AE12" i="67"/>
  <c r="AD12" i="67"/>
  <c r="AE11" i="67"/>
  <c r="AD11" i="67"/>
  <c r="AE10" i="67"/>
  <c r="AD10" i="67"/>
  <c r="AE9" i="67"/>
  <c r="AD9" i="67"/>
  <c r="AE8" i="67"/>
  <c r="AD8" i="67"/>
  <c r="AE7" i="67"/>
  <c r="AD7" i="67"/>
  <c r="AE6" i="67"/>
  <c r="AD6" i="67"/>
  <c r="AE5" i="67"/>
  <c r="AD5" i="67"/>
  <c r="AE4" i="67"/>
  <c r="AD4" i="67"/>
  <c r="AE3" i="67"/>
  <c r="AD3" i="67"/>
  <c r="AE2" i="67"/>
  <c r="AD2" i="67"/>
  <c r="P67" i="20"/>
  <c r="P66" i="20"/>
  <c r="P65" i="20"/>
  <c r="P64" i="20"/>
  <c r="P63" i="20"/>
  <c r="P62" i="20"/>
  <c r="P61" i="20"/>
  <c r="P60" i="20"/>
  <c r="P59" i="20"/>
  <c r="P58" i="20"/>
  <c r="P57" i="20"/>
  <c r="P56" i="20"/>
  <c r="P55" i="20"/>
  <c r="P54" i="20"/>
  <c r="P53" i="20"/>
  <c r="P52" i="20"/>
  <c r="P51" i="20"/>
  <c r="P50" i="20"/>
  <c r="P49" i="20"/>
  <c r="M49" i="20"/>
  <c r="H49" i="20"/>
  <c r="C49" i="20"/>
  <c r="P48" i="20"/>
  <c r="P47" i="20"/>
  <c r="F45" i="20"/>
  <c r="F44" i="20"/>
  <c r="F43" i="20"/>
  <c r="F42" i="20"/>
  <c r="F41" i="20"/>
  <c r="F40" i="20"/>
  <c r="K39" i="20"/>
  <c r="F39" i="20"/>
  <c r="K38" i="20"/>
  <c r="F38" i="20"/>
  <c r="K37" i="20"/>
  <c r="F37" i="20"/>
  <c r="K36" i="20"/>
  <c r="F36" i="20"/>
  <c r="H26" i="20"/>
  <c r="G26" i="20"/>
  <c r="H25" i="20"/>
  <c r="G25" i="20"/>
  <c r="G24" i="20"/>
  <c r="M18" i="20"/>
  <c r="K18" i="20"/>
  <c r="H18" i="20"/>
  <c r="F18" i="20"/>
  <c r="C18" i="20"/>
  <c r="Q11" i="20"/>
  <c r="M128" i="10"/>
  <c r="H128" i="10"/>
  <c r="C128" i="10"/>
  <c r="F126" i="10"/>
  <c r="F125" i="10"/>
  <c r="F124" i="10"/>
  <c r="F123" i="10"/>
  <c r="F122" i="10"/>
  <c r="F121" i="10"/>
  <c r="F120" i="10"/>
  <c r="F119" i="10"/>
  <c r="F118" i="10"/>
  <c r="F117" i="10"/>
  <c r="F116" i="10"/>
  <c r="F115" i="10"/>
  <c r="F114" i="10"/>
  <c r="F113" i="10"/>
  <c r="K112" i="10"/>
  <c r="F112" i="10"/>
  <c r="K111" i="10"/>
  <c r="F111" i="10"/>
  <c r="K110" i="10"/>
  <c r="F110" i="10"/>
  <c r="K109" i="10"/>
  <c r="F109" i="10"/>
  <c r="K108" i="10"/>
  <c r="F108" i="10"/>
  <c r="K107" i="10"/>
  <c r="F107" i="10"/>
  <c r="K106" i="10"/>
  <c r="F106" i="10"/>
  <c r="K105" i="10"/>
  <c r="F105" i="10"/>
  <c r="K104" i="10"/>
  <c r="F104" i="10"/>
  <c r="K103" i="10"/>
  <c r="F103" i="10"/>
  <c r="K102" i="10"/>
  <c r="F102" i="10"/>
  <c r="K101" i="10"/>
  <c r="F101" i="10"/>
  <c r="K100" i="10"/>
  <c r="F100" i="10"/>
  <c r="K99" i="10"/>
  <c r="F99" i="10"/>
  <c r="K98" i="10"/>
  <c r="F98" i="10"/>
  <c r="K97" i="10"/>
  <c r="F97" i="10"/>
  <c r="K96" i="10"/>
  <c r="F96" i="10"/>
  <c r="K95" i="10"/>
  <c r="F95" i="10"/>
  <c r="K94" i="10"/>
  <c r="F94" i="10"/>
  <c r="K93" i="10"/>
  <c r="F93" i="10"/>
  <c r="K92" i="10"/>
  <c r="F92" i="10"/>
  <c r="K91" i="10"/>
  <c r="F91" i="10"/>
  <c r="K90" i="10"/>
  <c r="F90" i="10"/>
  <c r="K89" i="10"/>
  <c r="F89" i="10"/>
  <c r="K88" i="10"/>
  <c r="F88" i="10"/>
  <c r="K87" i="10"/>
  <c r="F87" i="10"/>
  <c r="K86" i="10"/>
  <c r="F86" i="10"/>
  <c r="K85" i="10"/>
  <c r="F85" i="10"/>
  <c r="K84" i="10"/>
  <c r="F84" i="10"/>
  <c r="K83" i="10"/>
  <c r="F83" i="10"/>
  <c r="K82" i="10"/>
  <c r="F82" i="10"/>
  <c r="K81" i="10"/>
  <c r="F81" i="10"/>
  <c r="K80" i="10"/>
  <c r="F80" i="10"/>
  <c r="K79" i="10"/>
  <c r="F79" i="10"/>
  <c r="K78" i="10"/>
  <c r="F78" i="10"/>
  <c r="K77" i="10"/>
  <c r="F77" i="10"/>
  <c r="AE69" i="10"/>
  <c r="AD69" i="10"/>
  <c r="AE68" i="10"/>
  <c r="AD68" i="10"/>
  <c r="AE67" i="10"/>
  <c r="AD67" i="10"/>
  <c r="AE66" i="10"/>
  <c r="AD66" i="10"/>
  <c r="AE65" i="10"/>
  <c r="AD65" i="10"/>
  <c r="P65" i="10"/>
  <c r="AE64" i="10"/>
  <c r="AD64" i="10"/>
  <c r="P64" i="10"/>
  <c r="AE63" i="10"/>
  <c r="AD63" i="10"/>
  <c r="P63" i="10"/>
  <c r="AE62" i="10"/>
  <c r="AD62" i="10"/>
  <c r="P62" i="10"/>
  <c r="G62" i="10"/>
  <c r="F62" i="10"/>
  <c r="AE61" i="10"/>
  <c r="AD61" i="10"/>
  <c r="P61" i="10"/>
  <c r="G61" i="10"/>
  <c r="F61" i="10"/>
  <c r="AE60" i="10"/>
  <c r="AD60" i="10"/>
  <c r="P60" i="10"/>
  <c r="G60" i="10"/>
  <c r="F60" i="10"/>
  <c r="AE59" i="10"/>
  <c r="AD59" i="10"/>
  <c r="P59" i="10"/>
  <c r="G59" i="10"/>
  <c r="F59" i="10"/>
  <c r="AE58" i="10"/>
  <c r="AD58" i="10"/>
  <c r="P58" i="10"/>
  <c r="H58" i="10"/>
  <c r="G58" i="10"/>
  <c r="F58" i="10"/>
  <c r="AE57" i="10"/>
  <c r="AD57" i="10"/>
  <c r="P57" i="10"/>
  <c r="G57" i="10"/>
  <c r="F57" i="10"/>
  <c r="AE56" i="10"/>
  <c r="AD56" i="10"/>
  <c r="P56" i="10"/>
  <c r="H56" i="10"/>
  <c r="G56" i="10"/>
  <c r="F56" i="10"/>
  <c r="AE55" i="10"/>
  <c r="AD55" i="10"/>
  <c r="P55" i="10"/>
  <c r="G55" i="10"/>
  <c r="F55" i="10"/>
  <c r="AE54" i="10"/>
  <c r="AD54" i="10"/>
  <c r="P54" i="10"/>
  <c r="H54" i="10"/>
  <c r="G54" i="10"/>
  <c r="F54" i="10"/>
  <c r="AE53" i="10"/>
  <c r="AD53" i="10"/>
  <c r="P53" i="10"/>
  <c r="H53" i="10"/>
  <c r="G53" i="10"/>
  <c r="F53" i="10"/>
  <c r="AE52" i="10"/>
  <c r="AD52" i="10"/>
  <c r="P52" i="10"/>
  <c r="H52" i="10"/>
  <c r="G52" i="10"/>
  <c r="F52" i="10"/>
  <c r="AE51" i="10"/>
  <c r="AD51" i="10"/>
  <c r="P51" i="10"/>
  <c r="H51" i="10"/>
  <c r="G51" i="10"/>
  <c r="F51" i="10"/>
  <c r="AE50" i="10"/>
  <c r="AD50" i="10"/>
  <c r="P50" i="10"/>
  <c r="H50" i="10"/>
  <c r="G50" i="10"/>
  <c r="F50" i="10"/>
  <c r="AE49" i="10"/>
  <c r="AD49" i="10"/>
  <c r="P49" i="10"/>
  <c r="H49" i="10"/>
  <c r="G49" i="10"/>
  <c r="F49" i="10"/>
  <c r="AE48" i="10"/>
  <c r="AD48" i="10"/>
  <c r="P48" i="10"/>
  <c r="H48" i="10"/>
  <c r="G48" i="10"/>
  <c r="F48" i="10"/>
  <c r="AE47" i="10"/>
  <c r="AD47" i="10"/>
  <c r="P47" i="10"/>
  <c r="H47" i="10"/>
  <c r="G47" i="10"/>
  <c r="F47" i="10"/>
  <c r="AE46" i="10"/>
  <c r="AD46" i="10"/>
  <c r="P46" i="10"/>
  <c r="H46" i="10"/>
  <c r="G46" i="10"/>
  <c r="F46" i="10"/>
  <c r="AE45" i="10"/>
  <c r="AD45" i="10"/>
  <c r="P45" i="10"/>
  <c r="H45" i="10"/>
  <c r="G45" i="10"/>
  <c r="F45" i="10"/>
  <c r="AE44" i="10"/>
  <c r="AD44" i="10"/>
  <c r="H44" i="10"/>
  <c r="G44" i="10"/>
  <c r="F44" i="10"/>
  <c r="AE43" i="10"/>
  <c r="AD43" i="10"/>
  <c r="H43" i="10"/>
  <c r="G43" i="10"/>
  <c r="F43" i="10"/>
  <c r="AE42" i="10"/>
  <c r="AD42" i="10"/>
  <c r="H42" i="10"/>
  <c r="G42" i="10"/>
  <c r="F42" i="10"/>
  <c r="AE41" i="10"/>
  <c r="AD41" i="10"/>
  <c r="H41" i="10"/>
  <c r="G41" i="10"/>
  <c r="F41" i="10"/>
  <c r="AE40" i="10"/>
  <c r="AD40" i="10"/>
  <c r="H40" i="10"/>
  <c r="G40" i="10"/>
  <c r="F40" i="10"/>
  <c r="AE39" i="10"/>
  <c r="AD39" i="10"/>
  <c r="H39" i="10"/>
  <c r="G39" i="10"/>
  <c r="F39" i="10"/>
  <c r="AE38" i="10"/>
  <c r="AD38" i="10"/>
  <c r="H38" i="10"/>
  <c r="G38" i="10"/>
  <c r="F38" i="10"/>
  <c r="AE37" i="10"/>
  <c r="AD37" i="10"/>
  <c r="H37" i="10"/>
  <c r="G37" i="10"/>
  <c r="F37" i="10"/>
  <c r="AE36" i="10"/>
  <c r="AD36" i="10"/>
  <c r="H36" i="10"/>
  <c r="G36" i="10"/>
  <c r="F36" i="10"/>
  <c r="AE35" i="10"/>
  <c r="AD35" i="10"/>
  <c r="H35" i="10"/>
  <c r="G35" i="10"/>
  <c r="F35" i="10"/>
  <c r="AE34" i="10"/>
  <c r="AD34" i="10"/>
  <c r="H34" i="10"/>
  <c r="G34" i="10"/>
  <c r="F34" i="10"/>
  <c r="AE33" i="10"/>
  <c r="AD33" i="10"/>
  <c r="H33" i="10"/>
  <c r="G33" i="10"/>
  <c r="F33" i="10"/>
  <c r="AE32" i="10"/>
  <c r="AD32" i="10"/>
  <c r="H32" i="10"/>
  <c r="G32" i="10"/>
  <c r="F32" i="10"/>
  <c r="AE31" i="10"/>
  <c r="AD31" i="10"/>
  <c r="H31" i="10"/>
  <c r="G31" i="10"/>
  <c r="F31" i="10"/>
  <c r="AE30" i="10"/>
  <c r="AD30" i="10"/>
  <c r="H30" i="10"/>
  <c r="G30" i="10"/>
  <c r="F30" i="10"/>
  <c r="AE29" i="10"/>
  <c r="AD29" i="10"/>
  <c r="H29" i="10"/>
  <c r="G29" i="10"/>
  <c r="F29" i="10"/>
  <c r="AE28" i="10"/>
  <c r="AD28" i="10"/>
  <c r="H28" i="10"/>
  <c r="G28" i="10"/>
  <c r="F28" i="10"/>
  <c r="AE27" i="10"/>
  <c r="AD27" i="10"/>
  <c r="H27" i="10"/>
  <c r="G27" i="10"/>
  <c r="F27" i="10"/>
  <c r="AE26" i="10"/>
  <c r="AD26" i="10"/>
  <c r="H26" i="10"/>
  <c r="G26" i="10"/>
  <c r="F26" i="10"/>
  <c r="AE25" i="10"/>
  <c r="AD25" i="10"/>
  <c r="H25" i="10"/>
  <c r="G25" i="10"/>
  <c r="F25" i="10"/>
  <c r="AE24" i="10"/>
  <c r="AD24" i="10"/>
  <c r="H24" i="10"/>
  <c r="G24" i="10"/>
  <c r="F24" i="10"/>
  <c r="AE23" i="10"/>
  <c r="AD23" i="10"/>
  <c r="H23" i="10"/>
  <c r="G23" i="10"/>
  <c r="F23" i="10"/>
  <c r="AE22" i="10"/>
  <c r="AD22" i="10"/>
  <c r="H22" i="10"/>
  <c r="G22" i="10"/>
  <c r="F22" i="10"/>
  <c r="AE21" i="10"/>
  <c r="AD21" i="10"/>
  <c r="G21" i="10"/>
  <c r="F21" i="10"/>
  <c r="AE20" i="10"/>
  <c r="AD20" i="10"/>
  <c r="AE19" i="10"/>
  <c r="AD19" i="10"/>
  <c r="AE18" i="10"/>
  <c r="AD18" i="10"/>
  <c r="M18" i="10"/>
  <c r="K18" i="10"/>
  <c r="H18" i="10"/>
  <c r="F18" i="10"/>
  <c r="C18" i="10"/>
  <c r="AE17" i="10"/>
  <c r="AD17" i="10"/>
  <c r="AE16" i="10"/>
  <c r="AD16" i="10"/>
  <c r="AE15" i="10"/>
  <c r="AD15" i="10"/>
  <c r="AE14" i="10"/>
  <c r="AD14" i="10"/>
  <c r="AE13" i="10"/>
  <c r="AD13" i="10"/>
  <c r="AE12" i="10"/>
  <c r="AD12" i="10"/>
  <c r="AE11" i="10"/>
  <c r="AD11" i="10"/>
  <c r="Q11" i="10"/>
  <c r="AE10" i="10"/>
  <c r="AD10" i="10"/>
  <c r="AE9" i="10"/>
  <c r="AD9" i="10"/>
  <c r="AE8" i="10"/>
  <c r="AD8" i="10"/>
  <c r="AE7" i="10"/>
  <c r="AD7" i="10"/>
  <c r="AE6" i="10"/>
  <c r="AD6" i="10"/>
  <c r="AE5" i="10"/>
  <c r="AD5" i="10"/>
  <c r="AE4" i="10"/>
  <c r="AD4" i="10"/>
  <c r="AE3" i="10"/>
  <c r="AD3" i="10"/>
  <c r="AE2" i="10"/>
  <c r="AD2" i="10"/>
  <c r="AE69" i="13"/>
  <c r="AD69" i="13"/>
  <c r="AE68" i="13"/>
  <c r="AD68" i="13"/>
  <c r="AE67" i="13"/>
  <c r="AD67" i="13"/>
  <c r="AE66" i="13"/>
  <c r="AD66" i="13"/>
  <c r="AE65" i="13"/>
  <c r="AD65" i="13"/>
  <c r="AE64" i="13"/>
  <c r="AD64" i="13"/>
  <c r="AE63" i="13"/>
  <c r="AD63" i="13"/>
  <c r="AE62" i="13"/>
  <c r="AD62" i="13"/>
  <c r="AE61" i="13"/>
  <c r="AD61" i="13"/>
  <c r="P61" i="13"/>
  <c r="AE60" i="13"/>
  <c r="AD60" i="13"/>
  <c r="P60" i="13"/>
  <c r="AE59" i="13"/>
  <c r="AD59" i="13"/>
  <c r="P59" i="13"/>
  <c r="AE58" i="13"/>
  <c r="AD58" i="13"/>
  <c r="P58" i="13"/>
  <c r="AE57" i="13"/>
  <c r="AD57" i="13"/>
  <c r="P57" i="13"/>
  <c r="AE56" i="13"/>
  <c r="AD56" i="13"/>
  <c r="P56" i="13"/>
  <c r="M56" i="13"/>
  <c r="H56" i="13"/>
  <c r="C56" i="13"/>
  <c r="AE55" i="13"/>
  <c r="AD55" i="13"/>
  <c r="P55" i="13"/>
  <c r="AE54" i="13"/>
  <c r="AD54" i="13"/>
  <c r="P54" i="13"/>
  <c r="AE53" i="13"/>
  <c r="AD53" i="13"/>
  <c r="P53" i="13"/>
  <c r="AE52" i="13"/>
  <c r="AD52" i="13"/>
  <c r="P52" i="13"/>
  <c r="AE51" i="13"/>
  <c r="AD51" i="13"/>
  <c r="P51" i="13"/>
  <c r="F51" i="13"/>
  <c r="AE50" i="13"/>
  <c r="AD50" i="13"/>
  <c r="P50" i="13"/>
  <c r="F50" i="13"/>
  <c r="AE49" i="13"/>
  <c r="AD49" i="13"/>
  <c r="P49" i="13"/>
  <c r="F49" i="13"/>
  <c r="AE48" i="13"/>
  <c r="AD48" i="13"/>
  <c r="P48" i="13"/>
  <c r="F48" i="13"/>
  <c r="AE47" i="13"/>
  <c r="AD47" i="13"/>
  <c r="P47" i="13"/>
  <c r="F47" i="13"/>
  <c r="AE46" i="13"/>
  <c r="AD46" i="13"/>
  <c r="P46" i="13"/>
  <c r="F46" i="13"/>
  <c r="AE45" i="13"/>
  <c r="AD45" i="13"/>
  <c r="P45" i="13"/>
  <c r="F45" i="13"/>
  <c r="AE44" i="13"/>
  <c r="AD44" i="13"/>
  <c r="P44" i="13"/>
  <c r="F44" i="13"/>
  <c r="AE43" i="13"/>
  <c r="AD43" i="13"/>
  <c r="P43" i="13"/>
  <c r="K43" i="13"/>
  <c r="F43" i="13"/>
  <c r="AE42" i="13"/>
  <c r="AD42" i="13"/>
  <c r="P42" i="13"/>
  <c r="K42" i="13"/>
  <c r="F42" i="13"/>
  <c r="AE41" i="13"/>
  <c r="AD41" i="13"/>
  <c r="P41" i="13"/>
  <c r="K41" i="13"/>
  <c r="F41" i="13"/>
  <c r="AE40" i="13"/>
  <c r="AD40" i="13"/>
  <c r="K40" i="13"/>
  <c r="F40" i="13"/>
  <c r="AE39" i="13"/>
  <c r="AD39" i="13"/>
  <c r="K39" i="13"/>
  <c r="F39" i="13"/>
  <c r="AE38" i="13"/>
  <c r="AD38" i="13"/>
  <c r="K38" i="13"/>
  <c r="F38" i="13"/>
  <c r="AE37" i="13"/>
  <c r="AD37" i="13"/>
  <c r="K37" i="13"/>
  <c r="F37" i="13"/>
  <c r="AE36" i="13"/>
  <c r="AD36" i="13"/>
  <c r="K36" i="13"/>
  <c r="F36" i="13"/>
  <c r="AE35" i="13"/>
  <c r="AD35" i="13"/>
  <c r="K35" i="13"/>
  <c r="F35" i="13"/>
  <c r="AE34" i="13"/>
  <c r="AD34" i="13"/>
  <c r="AE33" i="13"/>
  <c r="AD33" i="13"/>
  <c r="AE32" i="13"/>
  <c r="AD32" i="13"/>
  <c r="AE31" i="13"/>
  <c r="AD31" i="13"/>
  <c r="AE30" i="13"/>
  <c r="AD30" i="13"/>
  <c r="AE29" i="13"/>
  <c r="AD29" i="13"/>
  <c r="AE28" i="13"/>
  <c r="AD28" i="13"/>
  <c r="AE27" i="13"/>
  <c r="AD27" i="13"/>
  <c r="AE26" i="13"/>
  <c r="AD26" i="13"/>
  <c r="AE25" i="13"/>
  <c r="AD25" i="13"/>
  <c r="AE24" i="13"/>
  <c r="AD24" i="13"/>
  <c r="AE23" i="13"/>
  <c r="AD23" i="13"/>
  <c r="AE22" i="13"/>
  <c r="AD22" i="13"/>
  <c r="AE21" i="13"/>
  <c r="AD21" i="13"/>
  <c r="AE20" i="13"/>
  <c r="AD20" i="13"/>
  <c r="AE19" i="13"/>
  <c r="AD19" i="13"/>
  <c r="AE18" i="13"/>
  <c r="AD18" i="13"/>
  <c r="M18" i="13"/>
  <c r="K18" i="13"/>
  <c r="H18" i="13"/>
  <c r="F18" i="13"/>
  <c r="C18" i="13"/>
  <c r="AE17" i="13"/>
  <c r="AD17" i="13"/>
  <c r="AE16" i="13"/>
  <c r="AD16" i="13"/>
  <c r="AE15" i="13"/>
  <c r="AD15" i="13"/>
  <c r="AE14" i="13"/>
  <c r="AD14" i="13"/>
  <c r="AE13" i="13"/>
  <c r="AD13" i="13"/>
  <c r="AE12" i="13"/>
  <c r="AD12" i="13"/>
  <c r="AE11" i="13"/>
  <c r="AD11" i="13"/>
  <c r="Q11" i="13"/>
  <c r="AE10" i="13"/>
  <c r="AD10" i="13"/>
  <c r="AE9" i="13"/>
  <c r="AD9" i="13"/>
  <c r="AE8" i="13"/>
  <c r="AD8" i="13"/>
  <c r="AE7" i="13"/>
  <c r="AD7" i="13"/>
  <c r="AE6" i="13"/>
  <c r="AD6" i="13"/>
  <c r="AE5" i="13"/>
  <c r="AD5" i="13"/>
  <c r="AE4" i="13"/>
  <c r="AD4" i="13"/>
  <c r="AE3" i="13"/>
  <c r="AD3" i="13"/>
  <c r="AE2" i="13"/>
  <c r="AD2" i="13"/>
  <c r="AE69" i="44"/>
  <c r="AD69" i="44"/>
  <c r="AE68" i="44"/>
  <c r="AD68" i="44"/>
  <c r="AE67" i="44"/>
  <c r="AD67" i="44"/>
  <c r="AE66" i="44"/>
  <c r="AD66" i="44"/>
  <c r="AE65" i="44"/>
  <c r="AD65" i="44"/>
  <c r="AE64" i="44"/>
  <c r="AD64" i="44"/>
  <c r="AE63" i="44"/>
  <c r="AD63" i="44"/>
  <c r="AE62" i="44"/>
  <c r="AD62" i="44"/>
  <c r="AE61" i="44"/>
  <c r="AD61" i="44"/>
  <c r="P61" i="44"/>
  <c r="AE60" i="44"/>
  <c r="AD60" i="44"/>
  <c r="P60" i="44"/>
  <c r="AE59" i="44"/>
  <c r="AD59" i="44"/>
  <c r="P59" i="44"/>
  <c r="AE58" i="44"/>
  <c r="AD58" i="44"/>
  <c r="P58" i="44"/>
  <c r="AE57" i="44"/>
  <c r="AD57" i="44"/>
  <c r="P57" i="44"/>
  <c r="AE56" i="44"/>
  <c r="AD56" i="44"/>
  <c r="P56" i="44"/>
  <c r="AE55" i="44"/>
  <c r="AD55" i="44"/>
  <c r="P55" i="44"/>
  <c r="AE54" i="44"/>
  <c r="AD54" i="44"/>
  <c r="P54" i="44"/>
  <c r="AE53" i="44"/>
  <c r="AD53" i="44"/>
  <c r="P53" i="44"/>
  <c r="AE52" i="44"/>
  <c r="AD52" i="44"/>
  <c r="P52" i="44"/>
  <c r="AE51" i="44"/>
  <c r="AD51" i="44"/>
  <c r="P51" i="44"/>
  <c r="AE50" i="44"/>
  <c r="AD50" i="44"/>
  <c r="P50" i="44"/>
  <c r="AE49" i="44"/>
  <c r="AD49" i="44"/>
  <c r="P49" i="44"/>
  <c r="AE48" i="44"/>
  <c r="AD48" i="44"/>
  <c r="P48" i="44"/>
  <c r="AE47" i="44"/>
  <c r="AD47" i="44"/>
  <c r="P47" i="44"/>
  <c r="AE46" i="44"/>
  <c r="AD46" i="44"/>
  <c r="P46" i="44"/>
  <c r="AE45" i="44"/>
  <c r="AD45" i="44"/>
  <c r="P45" i="44"/>
  <c r="AE44" i="44"/>
  <c r="AD44" i="44"/>
  <c r="P44" i="44"/>
  <c r="AE43" i="44"/>
  <c r="AD43" i="44"/>
  <c r="P43" i="44"/>
  <c r="AE42" i="44"/>
  <c r="AD42" i="44"/>
  <c r="P42" i="44"/>
  <c r="AE41" i="44"/>
  <c r="AD41" i="44"/>
  <c r="P41" i="44"/>
  <c r="AE40" i="44"/>
  <c r="AD40" i="44"/>
  <c r="AE39" i="44"/>
  <c r="AD39" i="44"/>
  <c r="AE38" i="44"/>
  <c r="AD38" i="44"/>
  <c r="AE37" i="44"/>
  <c r="AD37" i="44"/>
  <c r="M37" i="44"/>
  <c r="H37" i="44"/>
  <c r="C37" i="44"/>
  <c r="AE36" i="44"/>
  <c r="AD36" i="44"/>
  <c r="AE35" i="44"/>
  <c r="AD35" i="44"/>
  <c r="AE34" i="44"/>
  <c r="AD34" i="44"/>
  <c r="AE33" i="44"/>
  <c r="AD33" i="44"/>
  <c r="AE32" i="44"/>
  <c r="AD32" i="44"/>
  <c r="K32" i="44"/>
  <c r="K37" i="44" s="1"/>
  <c r="F32" i="44"/>
  <c r="F37" i="44" s="1"/>
  <c r="AE31" i="44"/>
  <c r="AD31" i="44"/>
  <c r="AE30" i="44"/>
  <c r="AD30" i="44"/>
  <c r="AE29" i="44"/>
  <c r="AD29" i="44"/>
  <c r="AE28" i="44"/>
  <c r="AD28" i="44"/>
  <c r="AE27" i="44"/>
  <c r="AD27" i="44"/>
  <c r="AE26" i="44"/>
  <c r="AD26" i="44"/>
  <c r="H26" i="44"/>
  <c r="G26" i="44"/>
  <c r="F26" i="44"/>
  <c r="AE25" i="44"/>
  <c r="AD25" i="44"/>
  <c r="H25" i="44"/>
  <c r="G25" i="44"/>
  <c r="F25" i="44"/>
  <c r="AE24" i="44"/>
  <c r="AD24" i="44"/>
  <c r="H24" i="44"/>
  <c r="G24" i="44"/>
  <c r="F24" i="44"/>
  <c r="AE23" i="44"/>
  <c r="AD23" i="44"/>
  <c r="H23" i="44"/>
  <c r="G23" i="44"/>
  <c r="F23" i="44"/>
  <c r="AE22" i="44"/>
  <c r="AD22" i="44"/>
  <c r="AE21" i="44"/>
  <c r="AD21" i="44"/>
  <c r="AE20" i="44"/>
  <c r="AD20" i="44"/>
  <c r="AE19" i="44"/>
  <c r="AD19" i="44"/>
  <c r="AE18" i="44"/>
  <c r="AD18" i="44"/>
  <c r="M18" i="44"/>
  <c r="K18" i="44"/>
  <c r="H18" i="44"/>
  <c r="F18" i="44"/>
  <c r="C18" i="44"/>
  <c r="AE17" i="44"/>
  <c r="AD17" i="44"/>
  <c r="AE16" i="44"/>
  <c r="AD16" i="44"/>
  <c r="AE15" i="44"/>
  <c r="AD15" i="44"/>
  <c r="AE14" i="44"/>
  <c r="AD14" i="44"/>
  <c r="AE13" i="44"/>
  <c r="AD13" i="44"/>
  <c r="AE12" i="44"/>
  <c r="AD12" i="44"/>
  <c r="AE11" i="44"/>
  <c r="AD11" i="44"/>
  <c r="Q11" i="44"/>
  <c r="AE10" i="44"/>
  <c r="AD10" i="44"/>
  <c r="AE9" i="44"/>
  <c r="AD9" i="44"/>
  <c r="AE8" i="44"/>
  <c r="AD8" i="44"/>
  <c r="AE7" i="44"/>
  <c r="AD7" i="44"/>
  <c r="AE6" i="44"/>
  <c r="AD6" i="44"/>
  <c r="AE5" i="44"/>
  <c r="AD5" i="44"/>
  <c r="AE4" i="44"/>
  <c r="AD4" i="44"/>
  <c r="AE3" i="44"/>
  <c r="AD3" i="44"/>
  <c r="AE2" i="44"/>
  <c r="AD2" i="44"/>
  <c r="M450" i="17"/>
  <c r="H450" i="17"/>
  <c r="C450" i="17"/>
  <c r="F416" i="17"/>
  <c r="K415" i="17"/>
  <c r="F415" i="17"/>
  <c r="K414" i="17"/>
  <c r="F414" i="17"/>
  <c r="K413" i="17"/>
  <c r="F413" i="17"/>
  <c r="K411" i="17"/>
  <c r="K410" i="17"/>
  <c r="K409" i="17"/>
  <c r="K408" i="17"/>
  <c r="K407" i="17"/>
  <c r="F407" i="17"/>
  <c r="K406" i="17"/>
  <c r="F406" i="17"/>
  <c r="K405" i="17"/>
  <c r="F405" i="17"/>
  <c r="K404" i="17"/>
  <c r="F404" i="17"/>
  <c r="K403" i="17"/>
  <c r="F403" i="17"/>
  <c r="K402" i="17"/>
  <c r="F402" i="17"/>
  <c r="K401" i="17"/>
  <c r="F401" i="17"/>
  <c r="K400" i="17"/>
  <c r="F400" i="17"/>
  <c r="K399" i="17"/>
  <c r="F399" i="17"/>
  <c r="K398" i="17"/>
  <c r="F398" i="17"/>
  <c r="K397" i="17"/>
  <c r="F397" i="17"/>
  <c r="K396" i="17"/>
  <c r="F396" i="17"/>
  <c r="K395" i="17"/>
  <c r="F395" i="17"/>
  <c r="K394" i="17"/>
  <c r="F394" i="17"/>
  <c r="K393" i="17"/>
  <c r="F393" i="17"/>
  <c r="K392" i="17"/>
  <c r="F392" i="17"/>
  <c r="K391" i="17"/>
  <c r="F391" i="17"/>
  <c r="K390" i="17"/>
  <c r="F390" i="17"/>
  <c r="K389" i="17"/>
  <c r="F389" i="17"/>
  <c r="K388" i="17"/>
  <c r="F388" i="17"/>
  <c r="K387" i="17"/>
  <c r="F387" i="17"/>
  <c r="K386" i="17"/>
  <c r="F386" i="17"/>
  <c r="K385" i="17"/>
  <c r="F385" i="17"/>
  <c r="K384" i="17"/>
  <c r="F384" i="17"/>
  <c r="K383" i="17"/>
  <c r="F383" i="17"/>
  <c r="K382" i="17"/>
  <c r="F382" i="17"/>
  <c r="K381" i="17"/>
  <c r="F381" i="17"/>
  <c r="K380" i="17"/>
  <c r="F380" i="17"/>
  <c r="K379" i="17"/>
  <c r="F379" i="17"/>
  <c r="F378" i="17"/>
  <c r="F377" i="17"/>
  <c r="K376" i="17"/>
  <c r="F376" i="17"/>
  <c r="K375" i="17"/>
  <c r="F375" i="17"/>
  <c r="K374" i="17"/>
  <c r="F374" i="17"/>
  <c r="K373" i="17"/>
  <c r="F373" i="17"/>
  <c r="K372" i="17"/>
  <c r="F372" i="17"/>
  <c r="K371" i="17"/>
  <c r="F371" i="17"/>
  <c r="K370" i="17"/>
  <c r="F370" i="17"/>
  <c r="K369" i="17"/>
  <c r="F369" i="17"/>
  <c r="F368" i="17"/>
  <c r="K367" i="17"/>
  <c r="F367" i="17"/>
  <c r="K366" i="17"/>
  <c r="F366" i="17"/>
  <c r="K365" i="17"/>
  <c r="F365" i="17"/>
  <c r="K364" i="17"/>
  <c r="F364" i="17"/>
  <c r="K363" i="17"/>
  <c r="F363" i="17"/>
  <c r="F362" i="17"/>
  <c r="F361" i="17"/>
  <c r="F360" i="17"/>
  <c r="F359" i="17"/>
  <c r="F358" i="17"/>
  <c r="F357" i="17"/>
  <c r="F356" i="17"/>
  <c r="F355" i="17"/>
  <c r="F354" i="17"/>
  <c r="F353" i="17"/>
  <c r="F352" i="17"/>
  <c r="F351" i="17"/>
  <c r="F350" i="17"/>
  <c r="F349" i="17"/>
  <c r="F348" i="17"/>
  <c r="F347" i="17"/>
  <c r="F346" i="17"/>
  <c r="F345" i="17"/>
  <c r="F344" i="17"/>
  <c r="F343" i="17"/>
  <c r="F342" i="17"/>
  <c r="F341" i="17"/>
  <c r="F340" i="17"/>
  <c r="F339" i="17"/>
  <c r="F338" i="17"/>
  <c r="F337" i="17"/>
  <c r="F336" i="17"/>
  <c r="F335" i="17"/>
  <c r="F334" i="17"/>
  <c r="F333" i="17"/>
  <c r="F332" i="17"/>
  <c r="F331" i="17"/>
  <c r="F330" i="17"/>
  <c r="F329" i="17"/>
  <c r="F328" i="17"/>
  <c r="F327" i="17"/>
  <c r="F326" i="17"/>
  <c r="F325" i="17"/>
  <c r="F324" i="17"/>
  <c r="F323" i="17"/>
  <c r="F322" i="17"/>
  <c r="F321" i="17"/>
  <c r="F320" i="17"/>
  <c r="K319" i="17"/>
  <c r="F319" i="17"/>
  <c r="K318" i="17"/>
  <c r="F318" i="17"/>
  <c r="K317" i="17"/>
  <c r="F317" i="17"/>
  <c r="K316" i="17"/>
  <c r="F316" i="17"/>
  <c r="K315" i="17"/>
  <c r="F315" i="17"/>
  <c r="K314" i="17"/>
  <c r="F314" i="17"/>
  <c r="K313" i="17"/>
  <c r="F313" i="17"/>
  <c r="K312" i="17"/>
  <c r="F312" i="17"/>
  <c r="K311" i="17"/>
  <c r="F311" i="17"/>
  <c r="K310" i="17"/>
  <c r="F310" i="17"/>
  <c r="K309" i="17"/>
  <c r="F309" i="17"/>
  <c r="K308" i="17"/>
  <c r="F308" i="17"/>
  <c r="K307" i="17"/>
  <c r="F307" i="17"/>
  <c r="K306" i="17"/>
  <c r="F306" i="17"/>
  <c r="K305" i="17"/>
  <c r="F305" i="17"/>
  <c r="K304" i="17"/>
  <c r="F304" i="17"/>
  <c r="K303" i="17"/>
  <c r="F303" i="17"/>
  <c r="K302" i="17"/>
  <c r="F302" i="17"/>
  <c r="K301" i="17"/>
  <c r="F301" i="17"/>
  <c r="K300" i="17"/>
  <c r="F300" i="17"/>
  <c r="K299" i="17"/>
  <c r="F299" i="17"/>
  <c r="K298" i="17"/>
  <c r="F298" i="17"/>
  <c r="K297" i="17"/>
  <c r="F297" i="17"/>
  <c r="K296" i="17"/>
  <c r="F296" i="17"/>
  <c r="K295" i="17"/>
  <c r="F295" i="17"/>
  <c r="K294" i="17"/>
  <c r="F294" i="17"/>
  <c r="K293" i="17"/>
  <c r="F293" i="17"/>
  <c r="K292" i="17"/>
  <c r="F292" i="17"/>
  <c r="K291" i="17"/>
  <c r="F291" i="17"/>
  <c r="K290" i="17"/>
  <c r="F290" i="17"/>
  <c r="K289" i="17"/>
  <c r="F289" i="17"/>
  <c r="K288" i="17"/>
  <c r="F288" i="17"/>
  <c r="K287" i="17"/>
  <c r="F287" i="17"/>
  <c r="K286" i="17"/>
  <c r="F286" i="17"/>
  <c r="K285" i="17"/>
  <c r="F285" i="17"/>
  <c r="K284" i="17"/>
  <c r="F284" i="17"/>
  <c r="K283" i="17"/>
  <c r="F283" i="17"/>
  <c r="K282" i="17"/>
  <c r="F282" i="17"/>
  <c r="K281" i="17"/>
  <c r="F281" i="17"/>
  <c r="K280" i="17"/>
  <c r="F280" i="17"/>
  <c r="K279" i="17"/>
  <c r="F279" i="17"/>
  <c r="K278" i="17"/>
  <c r="F278" i="17"/>
  <c r="K277" i="17"/>
  <c r="F277" i="17"/>
  <c r="K276" i="17"/>
  <c r="F276" i="17"/>
  <c r="K275" i="17"/>
  <c r="F275" i="17"/>
  <c r="K274" i="17"/>
  <c r="F274" i="17"/>
  <c r="K273" i="17"/>
  <c r="F273" i="17"/>
  <c r="K272" i="17"/>
  <c r="F272" i="17"/>
  <c r="K271" i="17"/>
  <c r="F271" i="17"/>
  <c r="K270" i="17"/>
  <c r="F270" i="17"/>
  <c r="K269" i="17"/>
  <c r="F269" i="17"/>
  <c r="K268" i="17"/>
  <c r="F268" i="17"/>
  <c r="K267" i="17"/>
  <c r="F267" i="17"/>
  <c r="K266" i="17"/>
  <c r="F266" i="17"/>
  <c r="K265" i="17"/>
  <c r="F265" i="17"/>
  <c r="K264" i="17"/>
  <c r="F264" i="17"/>
  <c r="K263" i="17"/>
  <c r="F263" i="17"/>
  <c r="K262" i="17"/>
  <c r="F262" i="17"/>
  <c r="K261" i="17"/>
  <c r="F261" i="17"/>
  <c r="H194" i="17"/>
  <c r="G194" i="17"/>
  <c r="F194" i="17"/>
  <c r="H193" i="17"/>
  <c r="G193" i="17"/>
  <c r="F193" i="17"/>
  <c r="H192" i="17"/>
  <c r="G192" i="17"/>
  <c r="F192" i="17"/>
  <c r="H191" i="17"/>
  <c r="G191" i="17"/>
  <c r="F191" i="17"/>
  <c r="H190" i="17"/>
  <c r="G190" i="17"/>
  <c r="F190" i="17"/>
  <c r="H189" i="17"/>
  <c r="G189" i="17"/>
  <c r="F189" i="17"/>
  <c r="H188" i="17"/>
  <c r="G188" i="17"/>
  <c r="F188" i="17"/>
  <c r="H187" i="17"/>
  <c r="G187" i="17"/>
  <c r="F187" i="17"/>
  <c r="H186" i="17"/>
  <c r="G186" i="17"/>
  <c r="F186" i="17"/>
  <c r="H185" i="17"/>
  <c r="G185" i="17"/>
  <c r="F185" i="17"/>
  <c r="H184" i="17"/>
  <c r="G184" i="17"/>
  <c r="F184" i="17"/>
  <c r="H183" i="17"/>
  <c r="G183" i="17"/>
  <c r="F183" i="17"/>
  <c r="H182" i="17"/>
  <c r="G182" i="17"/>
  <c r="F182" i="17"/>
  <c r="H181" i="17"/>
  <c r="G181" i="17"/>
  <c r="F181" i="17"/>
  <c r="H180" i="17"/>
  <c r="G180" i="17"/>
  <c r="F180" i="17"/>
  <c r="H179" i="17"/>
  <c r="G179" i="17"/>
  <c r="F179" i="17"/>
  <c r="H178" i="17"/>
  <c r="G178" i="17"/>
  <c r="F178" i="17"/>
  <c r="H177" i="17"/>
  <c r="G177" i="17"/>
  <c r="F177" i="17"/>
  <c r="H176" i="17"/>
  <c r="G176" i="17"/>
  <c r="F176" i="17"/>
  <c r="H175" i="17"/>
  <c r="G175" i="17"/>
  <c r="F175" i="17"/>
  <c r="H174" i="17"/>
  <c r="G174" i="17"/>
  <c r="F174" i="17"/>
  <c r="H173" i="17"/>
  <c r="G173" i="17"/>
  <c r="F173" i="17"/>
  <c r="H172" i="17"/>
  <c r="G172" i="17"/>
  <c r="F172" i="17"/>
  <c r="H171" i="17"/>
  <c r="G171" i="17"/>
  <c r="F171" i="17"/>
  <c r="H170" i="17"/>
  <c r="G170" i="17"/>
  <c r="F170" i="17"/>
  <c r="H169" i="17"/>
  <c r="G169" i="17"/>
  <c r="F169" i="17"/>
  <c r="H168" i="17"/>
  <c r="G168" i="17"/>
  <c r="F168" i="17"/>
  <c r="H167" i="17"/>
  <c r="G167" i="17"/>
  <c r="F167" i="17"/>
  <c r="H166" i="17"/>
  <c r="G166" i="17"/>
  <c r="F166" i="17"/>
  <c r="H165" i="17"/>
  <c r="G165" i="17"/>
  <c r="F165" i="17"/>
  <c r="H164" i="17"/>
  <c r="G164" i="17"/>
  <c r="F164" i="17"/>
  <c r="H163" i="17"/>
  <c r="G163" i="17"/>
  <c r="F163" i="17"/>
  <c r="H162" i="17"/>
  <c r="G162" i="17"/>
  <c r="F162" i="17"/>
  <c r="H161" i="17"/>
  <c r="G161" i="17"/>
  <c r="F161" i="17"/>
  <c r="H160" i="17"/>
  <c r="G160" i="17"/>
  <c r="F160" i="17"/>
  <c r="H159" i="17"/>
  <c r="G159" i="17"/>
  <c r="F159" i="17"/>
  <c r="H158" i="17"/>
  <c r="G158" i="17"/>
  <c r="F158" i="17"/>
  <c r="H157" i="17"/>
  <c r="G157" i="17"/>
  <c r="F157" i="17"/>
  <c r="H156" i="17"/>
  <c r="G156" i="17"/>
  <c r="F156" i="17"/>
  <c r="H155" i="17"/>
  <c r="G155" i="17"/>
  <c r="F155" i="17"/>
  <c r="H154" i="17"/>
  <c r="G154" i="17"/>
  <c r="F154" i="17"/>
  <c r="H153" i="17"/>
  <c r="G153" i="17"/>
  <c r="F153" i="17"/>
  <c r="H152" i="17"/>
  <c r="G152" i="17"/>
  <c r="F152" i="17"/>
  <c r="H151" i="17"/>
  <c r="G151" i="17"/>
  <c r="F151" i="17"/>
  <c r="H150" i="17"/>
  <c r="G150" i="17"/>
  <c r="F150" i="17"/>
  <c r="H149" i="17"/>
  <c r="G149" i="17"/>
  <c r="F149" i="17"/>
  <c r="H148" i="17"/>
  <c r="G148" i="17"/>
  <c r="F148" i="17"/>
  <c r="H147" i="17"/>
  <c r="G147" i="17"/>
  <c r="F147" i="17"/>
  <c r="H146" i="17"/>
  <c r="G146" i="17"/>
  <c r="F146" i="17"/>
  <c r="H145" i="17"/>
  <c r="G145" i="17"/>
  <c r="F145" i="17"/>
  <c r="H144" i="17"/>
  <c r="G144" i="17"/>
  <c r="F144" i="17"/>
  <c r="H143" i="17"/>
  <c r="G143" i="17"/>
  <c r="F143" i="17"/>
  <c r="H142" i="17"/>
  <c r="G142" i="17"/>
  <c r="F142" i="17"/>
  <c r="H141" i="17"/>
  <c r="G141" i="17"/>
  <c r="F141" i="17"/>
  <c r="H140" i="17"/>
  <c r="G140" i="17"/>
  <c r="F140" i="17"/>
  <c r="H139" i="17"/>
  <c r="G139" i="17"/>
  <c r="F139" i="17"/>
  <c r="H138" i="17"/>
  <c r="G138" i="17"/>
  <c r="F138" i="17"/>
  <c r="H137" i="17"/>
  <c r="G137" i="17"/>
  <c r="F137" i="17"/>
  <c r="H136" i="17"/>
  <c r="G136" i="17"/>
  <c r="F136" i="17"/>
  <c r="H135" i="17"/>
  <c r="G135" i="17"/>
  <c r="F135" i="17"/>
  <c r="H134" i="17"/>
  <c r="G134" i="17"/>
  <c r="F134" i="17"/>
  <c r="H133" i="17"/>
  <c r="G133" i="17"/>
  <c r="F133" i="17"/>
  <c r="H132" i="17"/>
  <c r="G132" i="17"/>
  <c r="F132" i="17"/>
  <c r="H131" i="17"/>
  <c r="G131" i="17"/>
  <c r="F131" i="17"/>
  <c r="H130" i="17"/>
  <c r="G130" i="17"/>
  <c r="F130" i="17"/>
  <c r="H129" i="17"/>
  <c r="G129" i="17"/>
  <c r="F129" i="17"/>
  <c r="H128" i="17"/>
  <c r="G128" i="17"/>
  <c r="F128" i="17"/>
  <c r="H127" i="17"/>
  <c r="G127" i="17"/>
  <c r="F127" i="17"/>
  <c r="H126" i="17"/>
  <c r="G126" i="17"/>
  <c r="F126" i="17"/>
  <c r="H125" i="17"/>
  <c r="G125" i="17"/>
  <c r="F125" i="17"/>
  <c r="H124" i="17"/>
  <c r="G124" i="17"/>
  <c r="F124" i="17"/>
  <c r="H123" i="17"/>
  <c r="G123" i="17"/>
  <c r="F123" i="17"/>
  <c r="H122" i="17"/>
  <c r="G122" i="17"/>
  <c r="F122" i="17"/>
  <c r="H121" i="17"/>
  <c r="G121" i="17"/>
  <c r="F121" i="17"/>
  <c r="H120" i="17"/>
  <c r="G120" i="17"/>
  <c r="F120" i="17"/>
  <c r="H119" i="17"/>
  <c r="G119" i="17"/>
  <c r="F119" i="17"/>
  <c r="H118" i="17"/>
  <c r="G118" i="17"/>
  <c r="F118" i="17"/>
  <c r="H117" i="17"/>
  <c r="G117" i="17"/>
  <c r="F117" i="17"/>
  <c r="H116" i="17"/>
  <c r="G116" i="17"/>
  <c r="F116" i="17"/>
  <c r="H115" i="17"/>
  <c r="G115" i="17"/>
  <c r="F115" i="17"/>
  <c r="H114" i="17"/>
  <c r="G114" i="17"/>
  <c r="F114" i="17"/>
  <c r="H113" i="17"/>
  <c r="G113" i="17"/>
  <c r="F113" i="17"/>
  <c r="H112" i="17"/>
  <c r="G112" i="17"/>
  <c r="F112" i="17"/>
  <c r="H111" i="17"/>
  <c r="G111" i="17"/>
  <c r="F111" i="17"/>
  <c r="H110" i="17"/>
  <c r="G110" i="17"/>
  <c r="F110" i="17"/>
  <c r="H109" i="17"/>
  <c r="G109" i="17"/>
  <c r="F109" i="17"/>
  <c r="H108" i="17"/>
  <c r="G108" i="17"/>
  <c r="F108" i="17"/>
  <c r="H107" i="17"/>
  <c r="G107" i="17"/>
  <c r="F107" i="17"/>
  <c r="H106" i="17"/>
  <c r="G106" i="17"/>
  <c r="F106" i="17"/>
  <c r="H105" i="17"/>
  <c r="G105" i="17"/>
  <c r="F105" i="17"/>
  <c r="H104" i="17"/>
  <c r="G104" i="17"/>
  <c r="F104" i="17"/>
  <c r="H103" i="17"/>
  <c r="G103" i="17"/>
  <c r="F103" i="17"/>
  <c r="H102" i="17"/>
  <c r="G102" i="17"/>
  <c r="F102" i="17"/>
  <c r="H101" i="17"/>
  <c r="G101" i="17"/>
  <c r="F101" i="17"/>
  <c r="H100" i="17"/>
  <c r="G100" i="17"/>
  <c r="F100" i="17"/>
  <c r="H99" i="17"/>
  <c r="G99" i="17"/>
  <c r="F99" i="17"/>
  <c r="H98" i="17"/>
  <c r="G98" i="17"/>
  <c r="F98" i="17"/>
  <c r="H97" i="17"/>
  <c r="G97" i="17"/>
  <c r="F97" i="17"/>
  <c r="H96" i="17"/>
  <c r="G96" i="17"/>
  <c r="F96" i="17"/>
  <c r="H95" i="17"/>
  <c r="G95" i="17"/>
  <c r="F95" i="17"/>
  <c r="H94" i="17"/>
  <c r="G94" i="17"/>
  <c r="F94" i="17"/>
  <c r="H93" i="17"/>
  <c r="G93" i="17"/>
  <c r="F93" i="17"/>
  <c r="H92" i="17"/>
  <c r="G92" i="17"/>
  <c r="F92" i="17"/>
  <c r="H91" i="17"/>
  <c r="G91" i="17"/>
  <c r="F91" i="17"/>
  <c r="H90" i="17"/>
  <c r="G90" i="17"/>
  <c r="F90" i="17"/>
  <c r="H89" i="17"/>
  <c r="G89" i="17"/>
  <c r="F89" i="17"/>
  <c r="H88" i="17"/>
  <c r="G88" i="17"/>
  <c r="F88" i="17"/>
  <c r="H87" i="17"/>
  <c r="G87" i="17"/>
  <c r="F87" i="17"/>
  <c r="H86" i="17"/>
  <c r="G86" i="17"/>
  <c r="F86" i="17"/>
  <c r="H85" i="17"/>
  <c r="G85" i="17"/>
  <c r="F85" i="17"/>
  <c r="H84" i="17"/>
  <c r="G84" i="17"/>
  <c r="F84" i="17"/>
  <c r="H83" i="17"/>
  <c r="G83" i="17"/>
  <c r="F83" i="17"/>
  <c r="H82" i="17"/>
  <c r="G82" i="17"/>
  <c r="F82" i="17"/>
  <c r="H81" i="17"/>
  <c r="G81" i="17"/>
  <c r="F81" i="17"/>
  <c r="H80" i="17"/>
  <c r="G80" i="17"/>
  <c r="F80" i="17"/>
  <c r="H79" i="17"/>
  <c r="G79" i="17"/>
  <c r="F79" i="17"/>
  <c r="H78" i="17"/>
  <c r="G78" i="17"/>
  <c r="F78" i="17"/>
  <c r="H77" i="17"/>
  <c r="G77" i="17"/>
  <c r="F77" i="17"/>
  <c r="H76" i="17"/>
  <c r="G76" i="17"/>
  <c r="F76" i="17"/>
  <c r="H75" i="17"/>
  <c r="G75" i="17"/>
  <c r="F75" i="17"/>
  <c r="H74" i="17"/>
  <c r="G74" i="17"/>
  <c r="F74" i="17"/>
  <c r="H73" i="17"/>
  <c r="G73" i="17"/>
  <c r="F73" i="17"/>
  <c r="H72" i="17"/>
  <c r="G72" i="17"/>
  <c r="F72" i="17"/>
  <c r="H71" i="17"/>
  <c r="G71" i="17"/>
  <c r="F71" i="17"/>
  <c r="H70" i="17"/>
  <c r="G70" i="17"/>
  <c r="F70" i="17"/>
  <c r="H69" i="17"/>
  <c r="G69" i="17"/>
  <c r="F69" i="17"/>
  <c r="H68" i="17"/>
  <c r="G68" i="17"/>
  <c r="F68" i="17"/>
  <c r="H67" i="17"/>
  <c r="G67" i="17"/>
  <c r="F67" i="17"/>
  <c r="H66" i="17"/>
  <c r="G66" i="17"/>
  <c r="F66" i="17"/>
  <c r="H65" i="17"/>
  <c r="G65" i="17"/>
  <c r="F65" i="17"/>
  <c r="H64" i="17"/>
  <c r="G64" i="17"/>
  <c r="F64" i="17"/>
  <c r="H63" i="17"/>
  <c r="G63" i="17"/>
  <c r="F63" i="17"/>
  <c r="H62" i="17"/>
  <c r="G62" i="17"/>
  <c r="F62" i="17"/>
  <c r="H61" i="17"/>
  <c r="G61" i="17"/>
  <c r="F61" i="17"/>
  <c r="H60" i="17"/>
  <c r="G60" i="17"/>
  <c r="F60" i="17"/>
  <c r="H59" i="17"/>
  <c r="G59" i="17"/>
  <c r="F59" i="17"/>
  <c r="H58" i="17"/>
  <c r="G58" i="17"/>
  <c r="F58" i="17"/>
  <c r="H57" i="17"/>
  <c r="G57" i="17"/>
  <c r="F57" i="17"/>
  <c r="H56" i="17"/>
  <c r="G56" i="17"/>
  <c r="F56" i="17"/>
  <c r="H55" i="17"/>
  <c r="G55" i="17"/>
  <c r="F55" i="17"/>
  <c r="H54" i="17"/>
  <c r="G54" i="17"/>
  <c r="F54" i="17"/>
  <c r="H53" i="17"/>
  <c r="G53" i="17"/>
  <c r="F53" i="17"/>
  <c r="H52" i="17"/>
  <c r="G52" i="17"/>
  <c r="F52" i="17"/>
  <c r="H51" i="17"/>
  <c r="G51" i="17"/>
  <c r="F51" i="17"/>
  <c r="H50" i="17"/>
  <c r="G50" i="17"/>
  <c r="F50" i="17"/>
  <c r="H49" i="17"/>
  <c r="G49" i="17"/>
  <c r="F49" i="17"/>
  <c r="H48" i="17"/>
  <c r="G48" i="17"/>
  <c r="F48" i="17"/>
  <c r="H47" i="17"/>
  <c r="G47" i="17"/>
  <c r="F47" i="17"/>
  <c r="P45" i="17"/>
  <c r="P44" i="17"/>
  <c r="P43" i="17"/>
  <c r="P42" i="17"/>
  <c r="P41" i="17"/>
  <c r="P40" i="17"/>
  <c r="P39" i="17"/>
  <c r="P38" i="17"/>
  <c r="P37" i="17"/>
  <c r="P36" i="17"/>
  <c r="P35" i="17"/>
  <c r="P34" i="17"/>
  <c r="P33" i="17"/>
  <c r="P32" i="17"/>
  <c r="P31" i="17"/>
  <c r="P30" i="17"/>
  <c r="P29" i="17"/>
  <c r="P28" i="17"/>
  <c r="P27" i="17"/>
  <c r="P26" i="17"/>
  <c r="P25" i="17"/>
  <c r="M22" i="17"/>
  <c r="H22" i="17"/>
  <c r="C22" i="17"/>
  <c r="M71" i="59"/>
  <c r="H71" i="59"/>
  <c r="C71" i="59"/>
  <c r="AE69" i="59"/>
  <c r="AD69" i="59"/>
  <c r="AE68" i="59"/>
  <c r="AD68" i="59"/>
  <c r="AE67" i="59"/>
  <c r="AD67" i="59"/>
  <c r="AE66" i="59"/>
  <c r="AD66" i="59"/>
  <c r="AE65" i="59"/>
  <c r="AD65" i="59"/>
  <c r="AE64" i="59"/>
  <c r="AD64" i="59"/>
  <c r="AE63" i="59"/>
  <c r="AD63" i="59"/>
  <c r="AE62" i="59"/>
  <c r="AD62" i="59"/>
  <c r="AE61" i="59"/>
  <c r="AD61" i="59"/>
  <c r="P61" i="59"/>
  <c r="AE60" i="59"/>
  <c r="AD60" i="59"/>
  <c r="P60" i="59"/>
  <c r="AE59" i="59"/>
  <c r="AD59" i="59"/>
  <c r="P59" i="59"/>
  <c r="AE58" i="59"/>
  <c r="AD58" i="59"/>
  <c r="P58" i="59"/>
  <c r="AE57" i="59"/>
  <c r="AD57" i="59"/>
  <c r="P57" i="59"/>
  <c r="AE56" i="59"/>
  <c r="AD56" i="59"/>
  <c r="P56" i="59"/>
  <c r="K56" i="59"/>
  <c r="AE55" i="59"/>
  <c r="AD55" i="59"/>
  <c r="P55" i="59"/>
  <c r="K55" i="59"/>
  <c r="F55" i="59"/>
  <c r="F71" i="59" s="1"/>
  <c r="AE54" i="59"/>
  <c r="AD54" i="59"/>
  <c r="P54" i="59"/>
  <c r="AE53" i="59"/>
  <c r="AD53" i="59"/>
  <c r="P53" i="59"/>
  <c r="AE52" i="59"/>
  <c r="AD52" i="59"/>
  <c r="P52" i="59"/>
  <c r="AE51" i="59"/>
  <c r="AD51" i="59"/>
  <c r="P51" i="59"/>
  <c r="AE50" i="59"/>
  <c r="AD50" i="59"/>
  <c r="P50" i="59"/>
  <c r="AE49" i="59"/>
  <c r="AD49" i="59"/>
  <c r="P49" i="59"/>
  <c r="AE48" i="59"/>
  <c r="AD48" i="59"/>
  <c r="P48" i="59"/>
  <c r="AE47" i="59"/>
  <c r="AD47" i="59"/>
  <c r="P47" i="59"/>
  <c r="AE46" i="59"/>
  <c r="AD46" i="59"/>
  <c r="P46" i="59"/>
  <c r="AE45" i="59"/>
  <c r="AD45" i="59"/>
  <c r="P45" i="59"/>
  <c r="AE44" i="59"/>
  <c r="AD44" i="59"/>
  <c r="P44" i="59"/>
  <c r="AE43" i="59"/>
  <c r="AD43" i="59"/>
  <c r="P43" i="59"/>
  <c r="AE42" i="59"/>
  <c r="AD42" i="59"/>
  <c r="P42" i="59"/>
  <c r="AE41" i="59"/>
  <c r="AD41" i="59"/>
  <c r="P41" i="59"/>
  <c r="AE40" i="59"/>
  <c r="AD40" i="59"/>
  <c r="AE39" i="59"/>
  <c r="AD39" i="59"/>
  <c r="AE38" i="59"/>
  <c r="AD38" i="59"/>
  <c r="AE37" i="59"/>
  <c r="AD37" i="59"/>
  <c r="H37" i="59"/>
  <c r="G37" i="59"/>
  <c r="F37" i="59"/>
  <c r="AE36" i="59"/>
  <c r="AD36" i="59"/>
  <c r="H36" i="59"/>
  <c r="G36" i="59"/>
  <c r="F36" i="59"/>
  <c r="AE35" i="59"/>
  <c r="AD35" i="59"/>
  <c r="H35" i="59"/>
  <c r="G35" i="59"/>
  <c r="F35" i="59"/>
  <c r="AE34" i="59"/>
  <c r="AD34" i="59"/>
  <c r="H34" i="59"/>
  <c r="G34" i="59"/>
  <c r="F34" i="59"/>
  <c r="AE33" i="59"/>
  <c r="AD33" i="59"/>
  <c r="H33" i="59"/>
  <c r="G33" i="59"/>
  <c r="F33" i="59"/>
  <c r="AE32" i="59"/>
  <c r="AD32" i="59"/>
  <c r="H32" i="59"/>
  <c r="G32" i="59"/>
  <c r="F32" i="59"/>
  <c r="AE31" i="59"/>
  <c r="AD31" i="59"/>
  <c r="H31" i="59"/>
  <c r="G31" i="59"/>
  <c r="F31" i="59"/>
  <c r="AE30" i="59"/>
  <c r="AD30" i="59"/>
  <c r="H30" i="59"/>
  <c r="G30" i="59"/>
  <c r="F30" i="59"/>
  <c r="AE29" i="59"/>
  <c r="AD29" i="59"/>
  <c r="H29" i="59"/>
  <c r="G29" i="59"/>
  <c r="F29" i="59"/>
  <c r="AE28" i="59"/>
  <c r="AD28" i="59"/>
  <c r="H28" i="59"/>
  <c r="G28" i="59"/>
  <c r="F28" i="59"/>
  <c r="AE27" i="59"/>
  <c r="AD27" i="59"/>
  <c r="H27" i="59"/>
  <c r="G27" i="59"/>
  <c r="F27" i="59"/>
  <c r="AE26" i="59"/>
  <c r="AD26" i="59"/>
  <c r="H26" i="59"/>
  <c r="G26" i="59"/>
  <c r="F26" i="59"/>
  <c r="AE25" i="59"/>
  <c r="AD25" i="59"/>
  <c r="H25" i="59"/>
  <c r="G25" i="59"/>
  <c r="F25" i="59"/>
  <c r="AE24" i="59"/>
  <c r="AD24" i="59"/>
  <c r="AE23" i="59"/>
  <c r="AD23" i="59"/>
  <c r="AE22" i="59"/>
  <c r="AD22" i="59"/>
  <c r="AE21" i="59"/>
  <c r="AD21" i="59"/>
  <c r="AE20" i="59"/>
  <c r="AD20" i="59"/>
  <c r="AE19" i="59"/>
  <c r="AD19" i="59"/>
  <c r="AE18" i="59"/>
  <c r="AD18" i="59"/>
  <c r="M18" i="59"/>
  <c r="K18" i="59"/>
  <c r="H18" i="59"/>
  <c r="F18" i="59"/>
  <c r="C18" i="59"/>
  <c r="AE17" i="59"/>
  <c r="AD17" i="59"/>
  <c r="AE16" i="59"/>
  <c r="AD16" i="59"/>
  <c r="AE15" i="59"/>
  <c r="AD15" i="59"/>
  <c r="AE14" i="59"/>
  <c r="AD14" i="59"/>
  <c r="AE13" i="59"/>
  <c r="AD13" i="59"/>
  <c r="AE12" i="59"/>
  <c r="AD12" i="59"/>
  <c r="AE11" i="59"/>
  <c r="AD11" i="59"/>
  <c r="AE10" i="59"/>
  <c r="AD10" i="59"/>
  <c r="AE9" i="59"/>
  <c r="AD9" i="59"/>
  <c r="AE8" i="59"/>
  <c r="AD8" i="59"/>
  <c r="AE7" i="59"/>
  <c r="AD7" i="59"/>
  <c r="AE6" i="59"/>
  <c r="AD6" i="59"/>
  <c r="AE5" i="59"/>
  <c r="AD5" i="59"/>
  <c r="AE4" i="59"/>
  <c r="AD4" i="59"/>
  <c r="AE3" i="59"/>
  <c r="AD3" i="59"/>
  <c r="AE2" i="59"/>
  <c r="AD2" i="59"/>
  <c r="M291" i="58"/>
  <c r="H291" i="58"/>
  <c r="C291" i="58"/>
  <c r="K282" i="58"/>
  <c r="F282" i="58"/>
  <c r="K281" i="58"/>
  <c r="F281" i="58"/>
  <c r="K275" i="58"/>
  <c r="F275" i="58"/>
  <c r="H265" i="58"/>
  <c r="G265" i="58"/>
  <c r="F265" i="58"/>
  <c r="H264" i="58"/>
  <c r="G264" i="58"/>
  <c r="F264" i="58"/>
  <c r="H263" i="58"/>
  <c r="G263" i="58"/>
  <c r="F263" i="58"/>
  <c r="H262" i="58"/>
  <c r="G262" i="58"/>
  <c r="F262" i="58"/>
  <c r="H261" i="58"/>
  <c r="G261" i="58"/>
  <c r="F261" i="58"/>
  <c r="H260" i="58"/>
  <c r="G260" i="58"/>
  <c r="F260" i="58"/>
  <c r="H259" i="58"/>
  <c r="G259" i="58"/>
  <c r="F259" i="58"/>
  <c r="H258" i="58"/>
  <c r="G258" i="58"/>
  <c r="F258" i="58"/>
  <c r="H257" i="58"/>
  <c r="G257" i="58"/>
  <c r="F257" i="58"/>
  <c r="H256" i="58"/>
  <c r="G256" i="58"/>
  <c r="F256" i="58"/>
  <c r="H255" i="58"/>
  <c r="G255" i="58"/>
  <c r="F255" i="58"/>
  <c r="H254" i="58"/>
  <c r="G254" i="58"/>
  <c r="F254" i="58"/>
  <c r="H253" i="58"/>
  <c r="G253" i="58"/>
  <c r="F253" i="58"/>
  <c r="H252" i="58"/>
  <c r="G252" i="58"/>
  <c r="F252" i="58"/>
  <c r="H251" i="58"/>
  <c r="G251" i="58"/>
  <c r="F251" i="58"/>
  <c r="P39" i="58"/>
  <c r="H250" i="58"/>
  <c r="G250" i="58"/>
  <c r="F250" i="58"/>
  <c r="P38" i="58"/>
  <c r="H249" i="58"/>
  <c r="G249" i="58"/>
  <c r="F249" i="58"/>
  <c r="P37" i="58"/>
  <c r="H248" i="58"/>
  <c r="G248" i="58"/>
  <c r="F248" i="58"/>
  <c r="P36" i="58"/>
  <c r="H247" i="58"/>
  <c r="G247" i="58"/>
  <c r="F247" i="58"/>
  <c r="P35" i="58"/>
  <c r="P34" i="58"/>
  <c r="P33" i="58"/>
  <c r="P32" i="58"/>
  <c r="H243" i="58"/>
  <c r="G243" i="58"/>
  <c r="F243" i="58"/>
  <c r="P31" i="58"/>
  <c r="H242" i="58"/>
  <c r="G242" i="58"/>
  <c r="F242" i="58"/>
  <c r="P30" i="58"/>
  <c r="H241" i="58"/>
  <c r="G241" i="58"/>
  <c r="F241" i="58"/>
  <c r="P29" i="58"/>
  <c r="H240" i="58"/>
  <c r="G240" i="58"/>
  <c r="F240" i="58"/>
  <c r="P28" i="58"/>
  <c r="H239" i="58"/>
  <c r="G239" i="58"/>
  <c r="F239" i="58"/>
  <c r="P27" i="58"/>
  <c r="H238" i="58"/>
  <c r="G238" i="58"/>
  <c r="F238" i="58"/>
  <c r="P26" i="58"/>
  <c r="H237" i="58"/>
  <c r="G237" i="58"/>
  <c r="F237" i="58"/>
  <c r="P25" i="58"/>
  <c r="H236" i="58"/>
  <c r="G236" i="58"/>
  <c r="F236" i="58"/>
  <c r="P24" i="58"/>
  <c r="H235" i="58"/>
  <c r="G235" i="58"/>
  <c r="F235" i="58"/>
  <c r="P23" i="58"/>
  <c r="H234" i="58"/>
  <c r="G234" i="58"/>
  <c r="F234" i="58"/>
  <c r="P22" i="58"/>
  <c r="H233" i="58"/>
  <c r="G233" i="58"/>
  <c r="F233" i="58"/>
  <c r="P21" i="58"/>
  <c r="H232" i="58"/>
  <c r="G232" i="58"/>
  <c r="F232" i="58"/>
  <c r="P20" i="58"/>
  <c r="H231" i="58"/>
  <c r="G231" i="58"/>
  <c r="F231" i="58"/>
  <c r="P19" i="58"/>
  <c r="H76" i="58"/>
  <c r="G76" i="58"/>
  <c r="F76" i="58"/>
  <c r="H75" i="58"/>
  <c r="G75" i="58"/>
  <c r="F75" i="58"/>
  <c r="H74" i="58"/>
  <c r="G74" i="58"/>
  <c r="F74" i="58"/>
  <c r="H73" i="58"/>
  <c r="G73" i="58"/>
  <c r="F73" i="58"/>
  <c r="F2" i="58"/>
  <c r="F68" i="58" s="1"/>
  <c r="M54" i="50"/>
  <c r="H54" i="50"/>
  <c r="K42" i="50"/>
  <c r="F42" i="50"/>
  <c r="K41" i="50"/>
  <c r="F41" i="50"/>
  <c r="F40" i="50"/>
  <c r="F39" i="50"/>
  <c r="P65" i="50"/>
  <c r="K38" i="50"/>
  <c r="F38" i="50"/>
  <c r="P64" i="50"/>
  <c r="P63" i="50"/>
  <c r="P62" i="50"/>
  <c r="P61" i="50"/>
  <c r="P60" i="50"/>
  <c r="P59" i="50"/>
  <c r="P58" i="50"/>
  <c r="P57" i="50"/>
  <c r="P56" i="50"/>
  <c r="P55" i="50"/>
  <c r="P54" i="50"/>
  <c r="P53" i="50"/>
  <c r="P52" i="50"/>
  <c r="P51" i="50"/>
  <c r="P50" i="50"/>
  <c r="P49" i="50"/>
  <c r="P48" i="50"/>
  <c r="P47" i="50"/>
  <c r="P46" i="50"/>
  <c r="P45" i="50"/>
  <c r="H18" i="50"/>
  <c r="Q2" i="50" s="1"/>
  <c r="Q11" i="50"/>
  <c r="K18" i="50"/>
  <c r="M89" i="72"/>
  <c r="H89" i="72"/>
  <c r="C89" i="72"/>
  <c r="K73" i="72"/>
  <c r="K89" i="72" s="1"/>
  <c r="F73" i="72"/>
  <c r="F89" i="72" s="1"/>
  <c r="AE69" i="72"/>
  <c r="AD69" i="72"/>
  <c r="AE68" i="72"/>
  <c r="AD68" i="72"/>
  <c r="AE67" i="72"/>
  <c r="AD67" i="72"/>
  <c r="AE66" i="72"/>
  <c r="AD66" i="72"/>
  <c r="AE65" i="72"/>
  <c r="AD65" i="72"/>
  <c r="AE64" i="72"/>
  <c r="AD64" i="72"/>
  <c r="AE63" i="72"/>
  <c r="AD63" i="72"/>
  <c r="AE62" i="72"/>
  <c r="AD62" i="72"/>
  <c r="AE61" i="72"/>
  <c r="AD61" i="72"/>
  <c r="P61" i="72"/>
  <c r="AE60" i="72"/>
  <c r="AD60" i="72"/>
  <c r="P60" i="72"/>
  <c r="AE59" i="72"/>
  <c r="AD59" i="72"/>
  <c r="P59" i="72"/>
  <c r="AE58" i="72"/>
  <c r="AD58" i="72"/>
  <c r="P58" i="72"/>
  <c r="AE57" i="72"/>
  <c r="AD57" i="72"/>
  <c r="P57" i="72"/>
  <c r="AE56" i="72"/>
  <c r="AD56" i="72"/>
  <c r="P56" i="72"/>
  <c r="AE55" i="72"/>
  <c r="AD55" i="72"/>
  <c r="P55" i="72"/>
  <c r="AE54" i="72"/>
  <c r="AD54" i="72"/>
  <c r="P54" i="72"/>
  <c r="AE53" i="72"/>
  <c r="AD53" i="72"/>
  <c r="P53" i="72"/>
  <c r="AE52" i="72"/>
  <c r="AD52" i="72"/>
  <c r="P52" i="72"/>
  <c r="AE51" i="72"/>
  <c r="AD51" i="72"/>
  <c r="P51" i="72"/>
  <c r="AE50" i="72"/>
  <c r="AD50" i="72"/>
  <c r="P50" i="72"/>
  <c r="AE49" i="72"/>
  <c r="AD49" i="72"/>
  <c r="P49" i="72"/>
  <c r="AE48" i="72"/>
  <c r="AD48" i="72"/>
  <c r="P48" i="72"/>
  <c r="AE47" i="72"/>
  <c r="AD47" i="72"/>
  <c r="P47" i="72"/>
  <c r="AE46" i="72"/>
  <c r="AD46" i="72"/>
  <c r="P46" i="72"/>
  <c r="AE45" i="72"/>
  <c r="AD45" i="72"/>
  <c r="P45" i="72"/>
  <c r="AE44" i="72"/>
  <c r="AD44" i="72"/>
  <c r="P44" i="72"/>
  <c r="AE43" i="72"/>
  <c r="AD43" i="72"/>
  <c r="P43" i="72"/>
  <c r="AE42" i="72"/>
  <c r="AD42" i="72"/>
  <c r="P42" i="72"/>
  <c r="AE41" i="72"/>
  <c r="AD41" i="72"/>
  <c r="P41" i="72"/>
  <c r="AE40" i="72"/>
  <c r="AD40" i="72"/>
  <c r="AE39" i="72"/>
  <c r="AD39" i="72"/>
  <c r="AE38" i="72"/>
  <c r="AD38" i="72"/>
  <c r="AE37" i="72"/>
  <c r="AD37" i="72"/>
  <c r="AE36" i="72"/>
  <c r="AD36" i="72"/>
  <c r="AE35" i="72"/>
  <c r="AD35" i="72"/>
  <c r="AE34" i="72"/>
  <c r="AD34" i="72"/>
  <c r="AE33" i="72"/>
  <c r="AD33" i="72"/>
  <c r="AE32" i="72"/>
  <c r="AD32" i="72"/>
  <c r="AE31" i="72"/>
  <c r="AD31" i="72"/>
  <c r="AE30" i="72"/>
  <c r="AD30" i="72"/>
  <c r="AE29" i="72"/>
  <c r="AD29" i="72"/>
  <c r="AE28" i="72"/>
  <c r="AD28" i="72"/>
  <c r="AE27" i="72"/>
  <c r="AD27" i="72"/>
  <c r="AE26" i="72"/>
  <c r="AD26" i="72"/>
  <c r="AE25" i="72"/>
  <c r="AD25" i="72"/>
  <c r="AE24" i="72"/>
  <c r="AD24" i="72"/>
  <c r="AE23" i="72"/>
  <c r="AD23" i="72"/>
  <c r="AE22" i="72"/>
  <c r="AD22" i="72"/>
  <c r="AE21" i="72"/>
  <c r="AD21" i="72"/>
  <c r="AE20" i="72"/>
  <c r="AD20" i="72"/>
  <c r="AE19" i="72"/>
  <c r="AD19" i="72"/>
  <c r="AE18" i="72"/>
  <c r="AD18" i="72"/>
  <c r="M18" i="72"/>
  <c r="K18" i="72"/>
  <c r="H18" i="72"/>
  <c r="C18" i="72"/>
  <c r="AE17" i="72"/>
  <c r="AD17" i="72"/>
  <c r="AE16" i="72"/>
  <c r="AD16" i="72"/>
  <c r="AE15" i="72"/>
  <c r="AD15" i="72"/>
  <c r="AE14" i="72"/>
  <c r="AD14" i="72"/>
  <c r="AE13" i="72"/>
  <c r="AD13" i="72"/>
  <c r="AE12" i="72"/>
  <c r="AD12" i="72"/>
  <c r="AE11" i="72"/>
  <c r="AD11" i="72"/>
  <c r="Q11" i="72"/>
  <c r="AE10" i="72"/>
  <c r="AD10" i="72"/>
  <c r="AE9" i="72"/>
  <c r="AD9" i="72"/>
  <c r="AE8" i="72"/>
  <c r="AD8" i="72"/>
  <c r="AE7" i="72"/>
  <c r="AD7" i="72"/>
  <c r="AE6" i="72"/>
  <c r="AD6" i="72"/>
  <c r="AE5" i="72"/>
  <c r="AD5" i="72"/>
  <c r="AE4" i="72"/>
  <c r="AD4" i="72"/>
  <c r="AE3" i="72"/>
  <c r="AD3" i="72"/>
  <c r="AE2" i="72"/>
  <c r="AD2" i="72"/>
  <c r="P61" i="68"/>
  <c r="P60" i="68"/>
  <c r="P59" i="68"/>
  <c r="P58" i="68"/>
  <c r="P57" i="68"/>
  <c r="P56" i="68"/>
  <c r="P55" i="68"/>
  <c r="P54" i="68"/>
  <c r="P53" i="68"/>
  <c r="P52" i="68"/>
  <c r="P51" i="68"/>
  <c r="P50" i="68"/>
  <c r="P49" i="68"/>
  <c r="P48" i="68"/>
  <c r="P47" i="68"/>
  <c r="P46" i="68"/>
  <c r="P45" i="68"/>
  <c r="P44" i="68"/>
  <c r="P43" i="68"/>
  <c r="P42" i="68"/>
  <c r="P41" i="68"/>
  <c r="M18" i="68"/>
  <c r="H18" i="68"/>
  <c r="C18" i="68"/>
  <c r="Q11" i="68"/>
  <c r="M50" i="54"/>
  <c r="H50" i="54"/>
  <c r="C50" i="54"/>
  <c r="F40" i="54"/>
  <c r="K39" i="54"/>
  <c r="F39" i="54"/>
  <c r="K38" i="54"/>
  <c r="F38" i="54"/>
  <c r="K37" i="54"/>
  <c r="F37" i="54"/>
  <c r="K36" i="54"/>
  <c r="F36" i="54"/>
  <c r="K35" i="54"/>
  <c r="F35" i="54"/>
  <c r="K34" i="54"/>
  <c r="F34" i="54"/>
  <c r="AE69" i="54"/>
  <c r="AD69" i="54"/>
  <c r="AE68" i="54"/>
  <c r="AD68" i="54"/>
  <c r="AE67" i="54"/>
  <c r="AD67" i="54"/>
  <c r="AE66" i="54"/>
  <c r="AD66" i="54"/>
  <c r="AE65" i="54"/>
  <c r="AD65" i="54"/>
  <c r="AE64" i="54"/>
  <c r="AD64" i="54"/>
  <c r="AE63" i="54"/>
  <c r="AD63" i="54"/>
  <c r="AE62" i="54"/>
  <c r="AD62" i="54"/>
  <c r="AE61" i="54"/>
  <c r="AD61" i="54"/>
  <c r="P61" i="54"/>
  <c r="AE60" i="54"/>
  <c r="AD60" i="54"/>
  <c r="P60" i="54"/>
  <c r="AE59" i="54"/>
  <c r="AD59" i="54"/>
  <c r="P59" i="54"/>
  <c r="AE58" i="54"/>
  <c r="AD58" i="54"/>
  <c r="P58" i="54"/>
  <c r="AE57" i="54"/>
  <c r="AD57" i="54"/>
  <c r="P57" i="54"/>
  <c r="AE56" i="54"/>
  <c r="AD56" i="54"/>
  <c r="P56" i="54"/>
  <c r="AE55" i="54"/>
  <c r="AD55" i="54"/>
  <c r="P55" i="54"/>
  <c r="AE54" i="54"/>
  <c r="AD54" i="54"/>
  <c r="P54" i="54"/>
  <c r="AE53" i="54"/>
  <c r="AD53" i="54"/>
  <c r="P53" i="54"/>
  <c r="AE52" i="54"/>
  <c r="AD52" i="54"/>
  <c r="P52" i="54"/>
  <c r="AE51" i="54"/>
  <c r="AD51" i="54"/>
  <c r="P51" i="54"/>
  <c r="AE50" i="54"/>
  <c r="AD50" i="54"/>
  <c r="P50" i="54"/>
  <c r="AE49" i="54"/>
  <c r="AD49" i="54"/>
  <c r="P49" i="54"/>
  <c r="AE48" i="54"/>
  <c r="AD48" i="54"/>
  <c r="P48" i="54"/>
  <c r="AE47" i="54"/>
  <c r="AD47" i="54"/>
  <c r="P47" i="54"/>
  <c r="AE46" i="54"/>
  <c r="AD46" i="54"/>
  <c r="P46" i="54"/>
  <c r="AE45" i="54"/>
  <c r="AD45" i="54"/>
  <c r="P45" i="54"/>
  <c r="AE44" i="54"/>
  <c r="AD44" i="54"/>
  <c r="P44" i="54"/>
  <c r="AE43" i="54"/>
  <c r="AD43" i="54"/>
  <c r="P43" i="54"/>
  <c r="AE42" i="54"/>
  <c r="AD42" i="54"/>
  <c r="P42" i="54"/>
  <c r="AE41" i="54"/>
  <c r="AD41" i="54"/>
  <c r="P41" i="54"/>
  <c r="AE40" i="54"/>
  <c r="AD40" i="54"/>
  <c r="AE39" i="54"/>
  <c r="AD39" i="54"/>
  <c r="AE38" i="54"/>
  <c r="AD38" i="54"/>
  <c r="AE37" i="54"/>
  <c r="AD37" i="54"/>
  <c r="AE36" i="54"/>
  <c r="AD36" i="54"/>
  <c r="AE35" i="54"/>
  <c r="AD35" i="54"/>
  <c r="AE34" i="54"/>
  <c r="AD34" i="54"/>
  <c r="AE33" i="54"/>
  <c r="AD33" i="54"/>
  <c r="AE32" i="54"/>
  <c r="AD32" i="54"/>
  <c r="AE31" i="54"/>
  <c r="AD31" i="54"/>
  <c r="AE30" i="54"/>
  <c r="AD30" i="54"/>
  <c r="AE29" i="54"/>
  <c r="AD29" i="54"/>
  <c r="AE28" i="54"/>
  <c r="AD28" i="54"/>
  <c r="AE27" i="54"/>
  <c r="AD27" i="54"/>
  <c r="AE26" i="54"/>
  <c r="AD26" i="54"/>
  <c r="AE25" i="54"/>
  <c r="AD25" i="54"/>
  <c r="AE24" i="54"/>
  <c r="AD24" i="54"/>
  <c r="AE23" i="54"/>
  <c r="AD23" i="54"/>
  <c r="AE22" i="54"/>
  <c r="AD22" i="54"/>
  <c r="AE21" i="54"/>
  <c r="AD21" i="54"/>
  <c r="AE20" i="54"/>
  <c r="AD20" i="54"/>
  <c r="AE19" i="54"/>
  <c r="AD19" i="54"/>
  <c r="AE18" i="54"/>
  <c r="AD18" i="54"/>
  <c r="M18" i="54"/>
  <c r="K18" i="54"/>
  <c r="H18" i="54"/>
  <c r="F18" i="54"/>
  <c r="C18" i="54"/>
  <c r="AE17" i="54"/>
  <c r="AD17" i="54"/>
  <c r="AE16" i="54"/>
  <c r="AD16" i="54"/>
  <c r="AE15" i="54"/>
  <c r="AD15" i="54"/>
  <c r="AE14" i="54"/>
  <c r="AD14" i="54"/>
  <c r="AE13" i="54"/>
  <c r="AD13" i="54"/>
  <c r="AE12" i="54"/>
  <c r="AD12" i="54"/>
  <c r="AE11" i="54"/>
  <c r="AD11" i="54"/>
  <c r="Q11" i="54"/>
  <c r="AE10" i="54"/>
  <c r="AD10" i="54"/>
  <c r="AE9" i="54"/>
  <c r="AD9" i="54"/>
  <c r="AE8" i="54"/>
  <c r="AD8" i="54"/>
  <c r="AE7" i="54"/>
  <c r="AD7" i="54"/>
  <c r="AE6" i="54"/>
  <c r="AD6" i="54"/>
  <c r="AE5" i="54"/>
  <c r="AD5" i="54"/>
  <c r="AE4" i="54"/>
  <c r="AD4" i="54"/>
  <c r="AE3" i="54"/>
  <c r="AD3" i="54"/>
  <c r="AE2" i="54"/>
  <c r="AD2" i="54"/>
  <c r="M266" i="51"/>
  <c r="H266" i="51"/>
  <c r="C266" i="51"/>
  <c r="F260" i="51"/>
  <c r="F259" i="51"/>
  <c r="F258" i="51"/>
  <c r="K257" i="51"/>
  <c r="F257" i="51"/>
  <c r="K256" i="51"/>
  <c r="F256" i="51"/>
  <c r="K255" i="51"/>
  <c r="F255" i="51"/>
  <c r="K254" i="51"/>
  <c r="F254" i="51"/>
  <c r="K253" i="51"/>
  <c r="F253" i="51"/>
  <c r="K252" i="51"/>
  <c r="F252" i="51"/>
  <c r="K251" i="51"/>
  <c r="F251" i="51"/>
  <c r="K250" i="51"/>
  <c r="F250" i="51"/>
  <c r="K249" i="51"/>
  <c r="F249" i="51"/>
  <c r="K248" i="51"/>
  <c r="F248" i="51"/>
  <c r="K247" i="51"/>
  <c r="F247" i="51"/>
  <c r="K246" i="51"/>
  <c r="F246" i="51"/>
  <c r="K245" i="51"/>
  <c r="F245" i="51"/>
  <c r="K244" i="51"/>
  <c r="F244" i="51"/>
  <c r="K243" i="51"/>
  <c r="F243" i="51"/>
  <c r="K242" i="51"/>
  <c r="F242" i="51"/>
  <c r="F241" i="51"/>
  <c r="K240" i="51"/>
  <c r="F240" i="51"/>
  <c r="H220" i="51"/>
  <c r="G220" i="51"/>
  <c r="F220" i="51"/>
  <c r="H219" i="51"/>
  <c r="G219" i="51"/>
  <c r="F219" i="51"/>
  <c r="H218" i="51"/>
  <c r="G218" i="51"/>
  <c r="F218" i="51"/>
  <c r="H217" i="51"/>
  <c r="G217" i="51"/>
  <c r="F217" i="51"/>
  <c r="H216" i="51"/>
  <c r="G216" i="51"/>
  <c r="F216" i="51"/>
  <c r="H215" i="51"/>
  <c r="G215" i="51"/>
  <c r="F215" i="51"/>
  <c r="H214" i="51"/>
  <c r="G214" i="51"/>
  <c r="F214" i="51"/>
  <c r="H213" i="51"/>
  <c r="G213" i="51"/>
  <c r="F213" i="51"/>
  <c r="H212" i="51"/>
  <c r="G212" i="51"/>
  <c r="F212" i="51"/>
  <c r="H211" i="51"/>
  <c r="G211" i="51"/>
  <c r="F211" i="51"/>
  <c r="H210" i="51"/>
  <c r="G210" i="51"/>
  <c r="F210" i="51"/>
  <c r="H209" i="51"/>
  <c r="G209" i="51"/>
  <c r="F209" i="51"/>
  <c r="H208" i="51"/>
  <c r="G208" i="51"/>
  <c r="F208" i="51"/>
  <c r="H207" i="51"/>
  <c r="G207" i="51"/>
  <c r="F207" i="51"/>
  <c r="H206" i="51"/>
  <c r="G206" i="51"/>
  <c r="F206" i="51"/>
  <c r="H205" i="51"/>
  <c r="G205" i="51"/>
  <c r="F205" i="51"/>
  <c r="H204" i="51"/>
  <c r="G204" i="51"/>
  <c r="F204" i="51"/>
  <c r="H203" i="51"/>
  <c r="G203" i="51"/>
  <c r="F203" i="51"/>
  <c r="H202" i="51"/>
  <c r="G202" i="51"/>
  <c r="F202" i="51"/>
  <c r="H201" i="51"/>
  <c r="G201" i="51"/>
  <c r="F201" i="51"/>
  <c r="H200" i="51"/>
  <c r="G200" i="51"/>
  <c r="F200" i="51"/>
  <c r="H199" i="51"/>
  <c r="G199" i="51"/>
  <c r="F199" i="51"/>
  <c r="H198" i="51"/>
  <c r="G198" i="51"/>
  <c r="F198" i="51"/>
  <c r="H197" i="51"/>
  <c r="G197" i="51"/>
  <c r="F197" i="51"/>
  <c r="H196" i="51"/>
  <c r="G196" i="51"/>
  <c r="F196" i="51"/>
  <c r="H195" i="51"/>
  <c r="G195" i="51"/>
  <c r="F195" i="51"/>
  <c r="H194" i="51"/>
  <c r="G194" i="51"/>
  <c r="F194" i="51"/>
  <c r="H193" i="51"/>
  <c r="G193" i="51"/>
  <c r="F193" i="51"/>
  <c r="H192" i="51"/>
  <c r="G192" i="51"/>
  <c r="F192" i="51"/>
  <c r="H191" i="51"/>
  <c r="G191" i="51"/>
  <c r="F191" i="51"/>
  <c r="H190" i="51"/>
  <c r="G190" i="51"/>
  <c r="F190" i="51"/>
  <c r="H189" i="51"/>
  <c r="G189" i="51"/>
  <c r="F189" i="51"/>
  <c r="H188" i="51"/>
  <c r="G188" i="51"/>
  <c r="F188" i="51"/>
  <c r="H187" i="51"/>
  <c r="G187" i="51"/>
  <c r="F187" i="51"/>
  <c r="H186" i="51"/>
  <c r="G186" i="51"/>
  <c r="F186" i="51"/>
  <c r="H185" i="51"/>
  <c r="G185" i="51"/>
  <c r="F185" i="51"/>
  <c r="H184" i="51"/>
  <c r="G184" i="51"/>
  <c r="F184" i="51"/>
  <c r="H183" i="51"/>
  <c r="G183" i="51"/>
  <c r="F183" i="51"/>
  <c r="H182" i="51"/>
  <c r="G182" i="51"/>
  <c r="F182" i="51"/>
  <c r="H181" i="51"/>
  <c r="G181" i="51"/>
  <c r="F181" i="51"/>
  <c r="H180" i="51"/>
  <c r="G180" i="51"/>
  <c r="F180" i="51"/>
  <c r="H179" i="51"/>
  <c r="G179" i="51"/>
  <c r="F179" i="51"/>
  <c r="H178" i="51"/>
  <c r="G178" i="51"/>
  <c r="F178" i="51"/>
  <c r="H177" i="51"/>
  <c r="G177" i="51"/>
  <c r="F177" i="51"/>
  <c r="H176" i="51"/>
  <c r="G176" i="51"/>
  <c r="F176" i="51"/>
  <c r="H175" i="51"/>
  <c r="G175" i="51"/>
  <c r="F175" i="51"/>
  <c r="H174" i="51"/>
  <c r="G174" i="51"/>
  <c r="F174" i="51"/>
  <c r="H173" i="51"/>
  <c r="G173" i="51"/>
  <c r="F173" i="51"/>
  <c r="H172" i="51"/>
  <c r="G172" i="51"/>
  <c r="F172" i="51"/>
  <c r="H171" i="51"/>
  <c r="G171" i="51"/>
  <c r="F171" i="51"/>
  <c r="H170" i="51"/>
  <c r="G170" i="51"/>
  <c r="F170" i="51"/>
  <c r="H169" i="51"/>
  <c r="G169" i="51"/>
  <c r="F169" i="51"/>
  <c r="H168" i="51"/>
  <c r="G168" i="51"/>
  <c r="F168" i="51"/>
  <c r="H167" i="51"/>
  <c r="G167" i="51"/>
  <c r="F167" i="51"/>
  <c r="H166" i="51"/>
  <c r="G166" i="51"/>
  <c r="F166" i="51"/>
  <c r="H165" i="51"/>
  <c r="G165" i="51"/>
  <c r="F165" i="51"/>
  <c r="H164" i="51"/>
  <c r="G164" i="51"/>
  <c r="F164" i="51"/>
  <c r="H163" i="51"/>
  <c r="G163" i="51"/>
  <c r="F163" i="51"/>
  <c r="H162" i="51"/>
  <c r="G162" i="51"/>
  <c r="F162" i="51"/>
  <c r="P43" i="51"/>
  <c r="H161" i="51"/>
  <c r="G161" i="51"/>
  <c r="F161" i="51"/>
  <c r="P42" i="51"/>
  <c r="H160" i="51"/>
  <c r="G160" i="51"/>
  <c r="F160" i="51"/>
  <c r="P41" i="51"/>
  <c r="H159" i="51"/>
  <c r="G159" i="51"/>
  <c r="F159" i="51"/>
  <c r="P40" i="51"/>
  <c r="H158" i="51"/>
  <c r="G158" i="51"/>
  <c r="F158" i="51"/>
  <c r="P39" i="51"/>
  <c r="H157" i="51"/>
  <c r="G157" i="51"/>
  <c r="F157" i="51"/>
  <c r="P38" i="51"/>
  <c r="H156" i="51"/>
  <c r="G156" i="51"/>
  <c r="F156" i="51"/>
  <c r="P37" i="51"/>
  <c r="H155" i="51"/>
  <c r="G155" i="51"/>
  <c r="F155" i="51"/>
  <c r="P36" i="51"/>
  <c r="H154" i="51"/>
  <c r="G154" i="51"/>
  <c r="F154" i="51"/>
  <c r="P35" i="51"/>
  <c r="H153" i="51"/>
  <c r="G153" i="51"/>
  <c r="F153" i="51"/>
  <c r="P34" i="51"/>
  <c r="H152" i="51"/>
  <c r="G152" i="51"/>
  <c r="F152" i="51"/>
  <c r="P33" i="51"/>
  <c r="H151" i="51"/>
  <c r="G151" i="51"/>
  <c r="F151" i="51"/>
  <c r="P32" i="51"/>
  <c r="H150" i="51"/>
  <c r="G150" i="51"/>
  <c r="F150" i="51"/>
  <c r="P31" i="51"/>
  <c r="H149" i="51"/>
  <c r="G149" i="51"/>
  <c r="F149" i="51"/>
  <c r="P30" i="51"/>
  <c r="H148" i="51"/>
  <c r="G148" i="51"/>
  <c r="F148" i="51"/>
  <c r="P29" i="51"/>
  <c r="H147" i="51"/>
  <c r="G147" i="51"/>
  <c r="F147" i="51"/>
  <c r="P28" i="51"/>
  <c r="P27" i="51"/>
  <c r="P26" i="51"/>
  <c r="P25" i="51"/>
  <c r="P24" i="51"/>
  <c r="P23" i="51"/>
  <c r="H30" i="51"/>
  <c r="G30" i="51"/>
  <c r="F30" i="51"/>
  <c r="H29" i="51"/>
  <c r="G29" i="51"/>
  <c r="F29" i="51"/>
  <c r="H28" i="51"/>
  <c r="G28" i="51"/>
  <c r="F28" i="51"/>
  <c r="H27" i="51"/>
  <c r="G27" i="51"/>
  <c r="F27" i="51"/>
  <c r="H26" i="51"/>
  <c r="G26" i="51"/>
  <c r="F26" i="51"/>
  <c r="H25" i="51"/>
  <c r="G25" i="51"/>
  <c r="F25" i="51"/>
  <c r="H24" i="51"/>
  <c r="G24" i="51"/>
  <c r="F24" i="51"/>
  <c r="M17" i="51"/>
  <c r="H697" i="25"/>
  <c r="G697" i="25"/>
  <c r="F697" i="25"/>
  <c r="H696" i="25"/>
  <c r="G696" i="25"/>
  <c r="F696" i="25"/>
  <c r="H695" i="25"/>
  <c r="G695" i="25"/>
  <c r="F695" i="25"/>
  <c r="H694" i="25"/>
  <c r="G694" i="25"/>
  <c r="F694" i="25"/>
  <c r="H693" i="25"/>
  <c r="G693" i="25"/>
  <c r="F693" i="25"/>
  <c r="H692" i="25"/>
  <c r="G692" i="25"/>
  <c r="F692" i="25"/>
  <c r="H691" i="25"/>
  <c r="G691" i="25"/>
  <c r="F691" i="25"/>
  <c r="H690" i="25"/>
  <c r="G690" i="25"/>
  <c r="F690" i="25"/>
  <c r="H689" i="25"/>
  <c r="G689" i="25"/>
  <c r="F689" i="25"/>
  <c r="H688" i="25"/>
  <c r="G688" i="25"/>
  <c r="F688" i="25"/>
  <c r="H687" i="25"/>
  <c r="G687" i="25"/>
  <c r="F687" i="25"/>
  <c r="H686" i="25"/>
  <c r="G686" i="25"/>
  <c r="F686" i="25"/>
  <c r="H685" i="25"/>
  <c r="G685" i="25"/>
  <c r="F685" i="25"/>
  <c r="H684" i="25"/>
  <c r="G684" i="25"/>
  <c r="F684" i="25"/>
  <c r="H683" i="25"/>
  <c r="G683" i="25"/>
  <c r="F683" i="25"/>
  <c r="H682" i="25"/>
  <c r="G682" i="25"/>
  <c r="F682" i="25"/>
  <c r="H681" i="25"/>
  <c r="G681" i="25"/>
  <c r="F681" i="25"/>
  <c r="H680" i="25"/>
  <c r="G680" i="25"/>
  <c r="F680" i="25"/>
  <c r="H679" i="25"/>
  <c r="G679" i="25"/>
  <c r="F679" i="25"/>
  <c r="H678" i="25"/>
  <c r="G678" i="25"/>
  <c r="F678" i="25"/>
  <c r="H677" i="25"/>
  <c r="G677" i="25"/>
  <c r="F677" i="25"/>
  <c r="H676" i="25"/>
  <c r="G676" i="25"/>
  <c r="F676" i="25"/>
  <c r="H675" i="25"/>
  <c r="G675" i="25"/>
  <c r="F675" i="25"/>
  <c r="H674" i="25"/>
  <c r="G674" i="25"/>
  <c r="F674" i="25"/>
  <c r="H673" i="25"/>
  <c r="G673" i="25"/>
  <c r="F673" i="25"/>
  <c r="H672" i="25"/>
  <c r="G672" i="25"/>
  <c r="F672" i="25"/>
  <c r="H671" i="25"/>
  <c r="G671" i="25"/>
  <c r="F671" i="25"/>
  <c r="H670" i="25"/>
  <c r="G670" i="25"/>
  <c r="F670" i="25"/>
  <c r="H669" i="25"/>
  <c r="G669" i="25"/>
  <c r="F669" i="25"/>
  <c r="H668" i="25"/>
  <c r="G668" i="25"/>
  <c r="F668" i="25"/>
  <c r="H667" i="25"/>
  <c r="G667" i="25"/>
  <c r="F667" i="25"/>
  <c r="H666" i="25"/>
  <c r="G666" i="25"/>
  <c r="F666" i="25"/>
  <c r="H665" i="25"/>
  <c r="G665" i="25"/>
  <c r="F665" i="25"/>
  <c r="H664" i="25"/>
  <c r="G664" i="25"/>
  <c r="F664" i="25"/>
  <c r="H663" i="25"/>
  <c r="G663" i="25"/>
  <c r="F663" i="25"/>
  <c r="H662" i="25"/>
  <c r="G662" i="25"/>
  <c r="F662" i="25"/>
  <c r="H661" i="25"/>
  <c r="G661" i="25"/>
  <c r="F661" i="25"/>
  <c r="H660" i="25"/>
  <c r="G660" i="25"/>
  <c r="F660" i="25"/>
  <c r="H659" i="25"/>
  <c r="G659" i="25"/>
  <c r="F659" i="25"/>
  <c r="H658" i="25"/>
  <c r="G658" i="25"/>
  <c r="F658" i="25"/>
  <c r="H657" i="25"/>
  <c r="G657" i="25"/>
  <c r="F657" i="25"/>
  <c r="H656" i="25"/>
  <c r="G656" i="25"/>
  <c r="F656" i="25"/>
  <c r="H655" i="25"/>
  <c r="G655" i="25"/>
  <c r="F655" i="25"/>
  <c r="H654" i="25"/>
  <c r="G654" i="25"/>
  <c r="F654" i="25"/>
  <c r="H653" i="25"/>
  <c r="G653" i="25"/>
  <c r="F653" i="25"/>
  <c r="H652" i="25"/>
  <c r="G652" i="25"/>
  <c r="F652" i="25"/>
  <c r="H651" i="25"/>
  <c r="G651" i="25"/>
  <c r="F651" i="25"/>
  <c r="H650" i="25"/>
  <c r="G650" i="25"/>
  <c r="F650" i="25"/>
  <c r="H649" i="25"/>
  <c r="G649" i="25"/>
  <c r="F649" i="25"/>
  <c r="H648" i="25"/>
  <c r="G648" i="25"/>
  <c r="F648" i="25"/>
  <c r="H647" i="25"/>
  <c r="G647" i="25"/>
  <c r="F647" i="25"/>
  <c r="H646" i="25"/>
  <c r="G646" i="25"/>
  <c r="F646" i="25"/>
  <c r="H645" i="25"/>
  <c r="G645" i="25"/>
  <c r="F645" i="25"/>
  <c r="H644" i="25"/>
  <c r="G644" i="25"/>
  <c r="F644" i="25"/>
  <c r="H643" i="25"/>
  <c r="G643" i="25"/>
  <c r="F643" i="25"/>
  <c r="H642" i="25"/>
  <c r="G642" i="25"/>
  <c r="F642" i="25"/>
  <c r="H641" i="25"/>
  <c r="G641" i="25"/>
  <c r="F641" i="25"/>
  <c r="H640" i="25"/>
  <c r="G640" i="25"/>
  <c r="F640" i="25"/>
  <c r="H639" i="25"/>
  <c r="G639" i="25"/>
  <c r="F639" i="25"/>
  <c r="H638" i="25"/>
  <c r="G638" i="25"/>
  <c r="F638" i="25"/>
  <c r="H637" i="25"/>
  <c r="G637" i="25"/>
  <c r="F637" i="25"/>
  <c r="H636" i="25"/>
  <c r="G636" i="25"/>
  <c r="F636" i="25"/>
  <c r="H635" i="25"/>
  <c r="G635" i="25"/>
  <c r="F635" i="25"/>
  <c r="H634" i="25"/>
  <c r="G634" i="25"/>
  <c r="F634" i="25"/>
  <c r="H633" i="25"/>
  <c r="G633" i="25"/>
  <c r="F633" i="25"/>
  <c r="H632" i="25"/>
  <c r="G632" i="25"/>
  <c r="F632" i="25"/>
  <c r="H631" i="25"/>
  <c r="G631" i="25"/>
  <c r="F631" i="25"/>
  <c r="H630" i="25"/>
  <c r="G630" i="25"/>
  <c r="F630" i="25"/>
  <c r="H629" i="25"/>
  <c r="G629" i="25"/>
  <c r="F629" i="25"/>
  <c r="H628" i="25"/>
  <c r="G628" i="25"/>
  <c r="F628" i="25"/>
  <c r="H627" i="25"/>
  <c r="G627" i="25"/>
  <c r="F627" i="25"/>
  <c r="H626" i="25"/>
  <c r="G626" i="25"/>
  <c r="F626" i="25"/>
  <c r="H625" i="25"/>
  <c r="G625" i="25"/>
  <c r="F625" i="25"/>
  <c r="H624" i="25"/>
  <c r="G624" i="25"/>
  <c r="F624" i="25"/>
  <c r="H623" i="25"/>
  <c r="G623" i="25"/>
  <c r="F623" i="25"/>
  <c r="H622" i="25"/>
  <c r="G622" i="25"/>
  <c r="F622" i="25"/>
  <c r="H621" i="25"/>
  <c r="G621" i="25"/>
  <c r="F621" i="25"/>
  <c r="H620" i="25"/>
  <c r="G620" i="25"/>
  <c r="F620" i="25"/>
  <c r="H619" i="25"/>
  <c r="G619" i="25"/>
  <c r="F619" i="25"/>
  <c r="H618" i="25"/>
  <c r="G618" i="25"/>
  <c r="F618" i="25"/>
  <c r="H617" i="25"/>
  <c r="G617" i="25"/>
  <c r="F617" i="25"/>
  <c r="H616" i="25"/>
  <c r="G616" i="25"/>
  <c r="F616" i="25"/>
  <c r="H615" i="25"/>
  <c r="G615" i="25"/>
  <c r="F615" i="25"/>
  <c r="H614" i="25"/>
  <c r="G614" i="25"/>
  <c r="F614" i="25"/>
  <c r="H613" i="25"/>
  <c r="G613" i="25"/>
  <c r="F613" i="25"/>
  <c r="H612" i="25"/>
  <c r="G612" i="25"/>
  <c r="F612" i="25"/>
  <c r="H611" i="25"/>
  <c r="G611" i="25"/>
  <c r="F611" i="25"/>
  <c r="H610" i="25"/>
  <c r="G610" i="25"/>
  <c r="F610" i="25"/>
  <c r="H609" i="25"/>
  <c r="G609" i="25"/>
  <c r="F609" i="25"/>
  <c r="H608" i="25"/>
  <c r="G608" i="25"/>
  <c r="F608" i="25"/>
  <c r="H607" i="25"/>
  <c r="G607" i="25"/>
  <c r="F607" i="25"/>
  <c r="H606" i="25"/>
  <c r="G606" i="25"/>
  <c r="F606" i="25"/>
  <c r="H605" i="25"/>
  <c r="G605" i="25"/>
  <c r="F605" i="25"/>
  <c r="H604" i="25"/>
  <c r="G604" i="25"/>
  <c r="F604" i="25"/>
  <c r="H603" i="25"/>
  <c r="G603" i="25"/>
  <c r="F603" i="25"/>
  <c r="H602" i="25"/>
  <c r="G602" i="25"/>
  <c r="F602" i="25"/>
  <c r="H601" i="25"/>
  <c r="G601" i="25"/>
  <c r="F601" i="25"/>
  <c r="H600" i="25"/>
  <c r="G600" i="25"/>
  <c r="F600" i="25"/>
  <c r="H599" i="25"/>
  <c r="G599" i="25"/>
  <c r="F599" i="25"/>
  <c r="H598" i="25"/>
  <c r="G598" i="25"/>
  <c r="F598" i="25"/>
  <c r="H597" i="25"/>
  <c r="G597" i="25"/>
  <c r="F597" i="25"/>
  <c r="H596" i="25"/>
  <c r="G596" i="25"/>
  <c r="F596" i="25"/>
  <c r="H595" i="25"/>
  <c r="G595" i="25"/>
  <c r="F595" i="25"/>
  <c r="H594" i="25"/>
  <c r="G594" i="25"/>
  <c r="F594" i="25"/>
  <c r="H593" i="25"/>
  <c r="G593" i="25"/>
  <c r="F593" i="25"/>
  <c r="H592" i="25"/>
  <c r="G592" i="25"/>
  <c r="F592" i="25"/>
  <c r="H591" i="25"/>
  <c r="G591" i="25"/>
  <c r="F591" i="25"/>
  <c r="H590" i="25"/>
  <c r="G590" i="25"/>
  <c r="F590" i="25"/>
  <c r="H589" i="25"/>
  <c r="G589" i="25"/>
  <c r="F589" i="25"/>
  <c r="H588" i="25"/>
  <c r="G588" i="25"/>
  <c r="F588" i="25"/>
  <c r="H587" i="25"/>
  <c r="G587" i="25"/>
  <c r="F587" i="25"/>
  <c r="H586" i="25"/>
  <c r="G586" i="25"/>
  <c r="F586" i="25"/>
  <c r="H585" i="25"/>
  <c r="G585" i="25"/>
  <c r="F585" i="25"/>
  <c r="H584" i="25"/>
  <c r="G584" i="25"/>
  <c r="F584" i="25"/>
  <c r="H583" i="25"/>
  <c r="G583" i="25"/>
  <c r="F583" i="25"/>
  <c r="H582" i="25"/>
  <c r="G582" i="25"/>
  <c r="F582" i="25"/>
  <c r="H581" i="25"/>
  <c r="G581" i="25"/>
  <c r="F581" i="25"/>
  <c r="H580" i="25"/>
  <c r="G580" i="25"/>
  <c r="F580" i="25"/>
  <c r="H579" i="25"/>
  <c r="G579" i="25"/>
  <c r="F579" i="25"/>
  <c r="H578" i="25"/>
  <c r="G578" i="25"/>
  <c r="F578" i="25"/>
  <c r="H577" i="25"/>
  <c r="G577" i="25"/>
  <c r="F577" i="25"/>
  <c r="H576" i="25"/>
  <c r="G576" i="25"/>
  <c r="F576" i="25"/>
  <c r="H575" i="25"/>
  <c r="G575" i="25"/>
  <c r="F575" i="25"/>
  <c r="H574" i="25"/>
  <c r="G574" i="25"/>
  <c r="F574" i="25"/>
  <c r="H573" i="25"/>
  <c r="G573" i="25"/>
  <c r="F573" i="25"/>
  <c r="H572" i="25"/>
  <c r="G572" i="25"/>
  <c r="F572" i="25"/>
  <c r="H571" i="25"/>
  <c r="G571" i="25"/>
  <c r="F571" i="25"/>
  <c r="H570" i="25"/>
  <c r="G570" i="25"/>
  <c r="F570" i="25"/>
  <c r="H569" i="25"/>
  <c r="G569" i="25"/>
  <c r="F569" i="25"/>
  <c r="H568" i="25"/>
  <c r="G568" i="25"/>
  <c r="F568" i="25"/>
  <c r="H567" i="25"/>
  <c r="G567" i="25"/>
  <c r="F567" i="25"/>
  <c r="H566" i="25"/>
  <c r="G566" i="25"/>
  <c r="F566" i="25"/>
  <c r="H565" i="25"/>
  <c r="G565" i="25"/>
  <c r="F565" i="25"/>
  <c r="H564" i="25"/>
  <c r="G564" i="25"/>
  <c r="F564" i="25"/>
  <c r="H563" i="25"/>
  <c r="G563" i="25"/>
  <c r="F563" i="25"/>
  <c r="H562" i="25"/>
  <c r="G562" i="25"/>
  <c r="F562" i="25"/>
  <c r="H561" i="25"/>
  <c r="G561" i="25"/>
  <c r="F561" i="25"/>
  <c r="H560" i="25"/>
  <c r="G560" i="25"/>
  <c r="F560" i="25"/>
  <c r="H559" i="25"/>
  <c r="G559" i="25"/>
  <c r="F559" i="25"/>
  <c r="H558" i="25"/>
  <c r="G558" i="25"/>
  <c r="F558" i="25"/>
  <c r="H557" i="25"/>
  <c r="G557" i="25"/>
  <c r="F557" i="25"/>
  <c r="H556" i="25"/>
  <c r="G556" i="25"/>
  <c r="F556" i="25"/>
  <c r="H555" i="25"/>
  <c r="G555" i="25"/>
  <c r="F555" i="25"/>
  <c r="H554" i="25"/>
  <c r="G554" i="25"/>
  <c r="F554" i="25"/>
  <c r="H553" i="25"/>
  <c r="G553" i="25"/>
  <c r="F553" i="25"/>
  <c r="H552" i="25"/>
  <c r="G552" i="25"/>
  <c r="F552" i="25"/>
  <c r="H551" i="25"/>
  <c r="G551" i="25"/>
  <c r="F551" i="25"/>
  <c r="H550" i="25"/>
  <c r="G550" i="25"/>
  <c r="F550" i="25"/>
  <c r="H549" i="25"/>
  <c r="G549" i="25"/>
  <c r="F549" i="25"/>
  <c r="H548" i="25"/>
  <c r="G548" i="25"/>
  <c r="F548" i="25"/>
  <c r="H547" i="25"/>
  <c r="G547" i="25"/>
  <c r="F547" i="25"/>
  <c r="H546" i="25"/>
  <c r="G546" i="25"/>
  <c r="F546" i="25"/>
  <c r="H545" i="25"/>
  <c r="G545" i="25"/>
  <c r="F545" i="25"/>
  <c r="H544" i="25"/>
  <c r="G544" i="25"/>
  <c r="F544" i="25"/>
  <c r="H543" i="25"/>
  <c r="G543" i="25"/>
  <c r="F543" i="25"/>
  <c r="H542" i="25"/>
  <c r="G542" i="25"/>
  <c r="F542" i="25"/>
  <c r="H541" i="25"/>
  <c r="G541" i="25"/>
  <c r="F541" i="25"/>
  <c r="H540" i="25"/>
  <c r="G540" i="25"/>
  <c r="F540" i="25"/>
  <c r="H539" i="25"/>
  <c r="G539" i="25"/>
  <c r="F539" i="25"/>
  <c r="H538" i="25"/>
  <c r="G538" i="25"/>
  <c r="F538" i="25"/>
  <c r="H537" i="25"/>
  <c r="G537" i="25"/>
  <c r="F537" i="25"/>
  <c r="H536" i="25"/>
  <c r="G536" i="25"/>
  <c r="F536" i="25"/>
  <c r="H535" i="25"/>
  <c r="G535" i="25"/>
  <c r="F535" i="25"/>
  <c r="H534" i="25"/>
  <c r="G534" i="25"/>
  <c r="F534" i="25"/>
  <c r="H533" i="25"/>
  <c r="G533" i="25"/>
  <c r="F533" i="25"/>
  <c r="H532" i="25"/>
  <c r="G532" i="25"/>
  <c r="F532" i="25"/>
  <c r="H531" i="25"/>
  <c r="G531" i="25"/>
  <c r="F531" i="25"/>
  <c r="H530" i="25"/>
  <c r="G530" i="25"/>
  <c r="F530" i="25"/>
  <c r="H529" i="25"/>
  <c r="G529" i="25"/>
  <c r="F529" i="25"/>
  <c r="H528" i="25"/>
  <c r="G528" i="25"/>
  <c r="F528" i="25"/>
  <c r="H527" i="25"/>
  <c r="G527" i="25"/>
  <c r="F527" i="25"/>
  <c r="H526" i="25"/>
  <c r="G526" i="25"/>
  <c r="F526" i="25"/>
  <c r="H525" i="25"/>
  <c r="G525" i="25"/>
  <c r="F525" i="25"/>
  <c r="H524" i="25"/>
  <c r="G524" i="25"/>
  <c r="F524" i="25"/>
  <c r="H523" i="25"/>
  <c r="G523" i="25"/>
  <c r="F523" i="25"/>
  <c r="H522" i="25"/>
  <c r="G522" i="25"/>
  <c r="F522" i="25"/>
  <c r="H521" i="25"/>
  <c r="G521" i="25"/>
  <c r="F521" i="25"/>
  <c r="H520" i="25"/>
  <c r="G520" i="25"/>
  <c r="F520" i="25"/>
  <c r="H519" i="25"/>
  <c r="G519" i="25"/>
  <c r="F519" i="25"/>
  <c r="H518" i="25"/>
  <c r="G518" i="25"/>
  <c r="F518" i="25"/>
  <c r="H517" i="25"/>
  <c r="G517" i="25"/>
  <c r="F517" i="25"/>
  <c r="H516" i="25"/>
  <c r="G516" i="25"/>
  <c r="F516" i="25"/>
  <c r="H515" i="25"/>
  <c r="G515" i="25"/>
  <c r="F515" i="25"/>
  <c r="H514" i="25"/>
  <c r="G514" i="25"/>
  <c r="F514" i="25"/>
  <c r="H513" i="25"/>
  <c r="G513" i="25"/>
  <c r="F513" i="25"/>
  <c r="H512" i="25"/>
  <c r="G512" i="25"/>
  <c r="F512" i="25"/>
  <c r="H511" i="25"/>
  <c r="G511" i="25"/>
  <c r="F511" i="25"/>
  <c r="H510" i="25"/>
  <c r="G510" i="25"/>
  <c r="F510" i="25"/>
  <c r="H509" i="25"/>
  <c r="G509" i="25"/>
  <c r="F509" i="25"/>
  <c r="H508" i="25"/>
  <c r="G508" i="25"/>
  <c r="F508" i="25"/>
  <c r="H507" i="25"/>
  <c r="G507" i="25"/>
  <c r="F507" i="25"/>
  <c r="H506" i="25"/>
  <c r="G506" i="25"/>
  <c r="F506" i="25"/>
  <c r="H505" i="25"/>
  <c r="G505" i="25"/>
  <c r="F505" i="25"/>
  <c r="H504" i="25"/>
  <c r="G504" i="25"/>
  <c r="F504" i="25"/>
  <c r="H503" i="25"/>
  <c r="G503" i="25"/>
  <c r="F503" i="25"/>
  <c r="H502" i="25"/>
  <c r="G502" i="25"/>
  <c r="F502" i="25"/>
  <c r="H501" i="25"/>
  <c r="G501" i="25"/>
  <c r="F501" i="25"/>
  <c r="H500" i="25"/>
  <c r="G500" i="25"/>
  <c r="F500" i="25"/>
  <c r="H499" i="25"/>
  <c r="G499" i="25"/>
  <c r="F499" i="25"/>
  <c r="H498" i="25"/>
  <c r="G498" i="25"/>
  <c r="F498" i="25"/>
  <c r="H497" i="25"/>
  <c r="G497" i="25"/>
  <c r="F497" i="25"/>
  <c r="H496" i="25"/>
  <c r="G496" i="25"/>
  <c r="F496" i="25"/>
  <c r="H495" i="25"/>
  <c r="G495" i="25"/>
  <c r="F495" i="25"/>
  <c r="H494" i="25"/>
  <c r="G494" i="25"/>
  <c r="F494" i="25"/>
  <c r="H493" i="25"/>
  <c r="G493" i="25"/>
  <c r="F493" i="25"/>
  <c r="H492" i="25"/>
  <c r="G492" i="25"/>
  <c r="F492" i="25"/>
  <c r="H491" i="25"/>
  <c r="G491" i="25"/>
  <c r="F491" i="25"/>
  <c r="H490" i="25"/>
  <c r="G490" i="25"/>
  <c r="F490" i="25"/>
  <c r="H489" i="25"/>
  <c r="G489" i="25"/>
  <c r="F489" i="25"/>
  <c r="H488" i="25"/>
  <c r="G488" i="25"/>
  <c r="F488" i="25"/>
  <c r="H487" i="25"/>
  <c r="G487" i="25"/>
  <c r="F487" i="25"/>
  <c r="H486" i="25"/>
  <c r="G486" i="25"/>
  <c r="F486" i="25"/>
  <c r="H485" i="25"/>
  <c r="G485" i="25"/>
  <c r="F485" i="25"/>
  <c r="H484" i="25"/>
  <c r="G484" i="25"/>
  <c r="F484" i="25"/>
  <c r="H483" i="25"/>
  <c r="G483" i="25"/>
  <c r="F483" i="25"/>
  <c r="H482" i="25"/>
  <c r="G482" i="25"/>
  <c r="F482" i="25"/>
  <c r="H481" i="25"/>
  <c r="G481" i="25"/>
  <c r="F481" i="25"/>
  <c r="H480" i="25"/>
  <c r="G480" i="25"/>
  <c r="F480" i="25"/>
  <c r="H479" i="25"/>
  <c r="G479" i="25"/>
  <c r="F479" i="25"/>
  <c r="H478" i="25"/>
  <c r="G478" i="25"/>
  <c r="F478" i="25"/>
  <c r="H477" i="25"/>
  <c r="G477" i="25"/>
  <c r="F477" i="25"/>
  <c r="H476" i="25"/>
  <c r="G476" i="25"/>
  <c r="F476" i="25"/>
  <c r="H475" i="25"/>
  <c r="G475" i="25"/>
  <c r="F475" i="25"/>
  <c r="H474" i="25"/>
  <c r="G474" i="25"/>
  <c r="F474" i="25"/>
  <c r="H473" i="25"/>
  <c r="G473" i="25"/>
  <c r="F473" i="25"/>
  <c r="H472" i="25"/>
  <c r="G472" i="25"/>
  <c r="F472" i="25"/>
  <c r="H471" i="25"/>
  <c r="G471" i="25"/>
  <c r="F471" i="25"/>
  <c r="H470" i="25"/>
  <c r="G470" i="25"/>
  <c r="F470" i="25"/>
  <c r="H469" i="25"/>
  <c r="G469" i="25"/>
  <c r="F469" i="25"/>
  <c r="H468" i="25"/>
  <c r="G468" i="25"/>
  <c r="F468" i="25"/>
  <c r="H467" i="25"/>
  <c r="G467" i="25"/>
  <c r="F467" i="25"/>
  <c r="H466" i="25"/>
  <c r="G466" i="25"/>
  <c r="F466" i="25"/>
  <c r="H465" i="25"/>
  <c r="G465" i="25"/>
  <c r="F465" i="25"/>
  <c r="H464" i="25"/>
  <c r="G464" i="25"/>
  <c r="F464" i="25"/>
  <c r="H463" i="25"/>
  <c r="G463" i="25"/>
  <c r="F463" i="25"/>
  <c r="H462" i="25"/>
  <c r="G462" i="25"/>
  <c r="F462" i="25"/>
  <c r="H461" i="25"/>
  <c r="G461" i="25"/>
  <c r="F461" i="25"/>
  <c r="H460" i="25"/>
  <c r="G460" i="25"/>
  <c r="F460" i="25"/>
  <c r="H459" i="25"/>
  <c r="G459" i="25"/>
  <c r="F459" i="25"/>
  <c r="H458" i="25"/>
  <c r="G458" i="25"/>
  <c r="F458" i="25"/>
  <c r="H457" i="25"/>
  <c r="G457" i="25"/>
  <c r="F457" i="25"/>
  <c r="H456" i="25"/>
  <c r="G456" i="25"/>
  <c r="F456" i="25"/>
  <c r="H455" i="25"/>
  <c r="G455" i="25"/>
  <c r="F455" i="25"/>
  <c r="H454" i="25"/>
  <c r="G454" i="25"/>
  <c r="F454" i="25"/>
  <c r="H453" i="25"/>
  <c r="G453" i="25"/>
  <c r="F453" i="25"/>
  <c r="H452" i="25"/>
  <c r="G452" i="25"/>
  <c r="H451" i="25"/>
  <c r="G451" i="25"/>
  <c r="H450" i="25"/>
  <c r="G450" i="25"/>
  <c r="H449" i="25"/>
  <c r="G449" i="25"/>
  <c r="H448" i="25"/>
  <c r="G448" i="25"/>
  <c r="H447" i="25"/>
  <c r="G447" i="25"/>
  <c r="H446" i="25"/>
  <c r="G446" i="25"/>
  <c r="H158" i="25"/>
  <c r="F19" i="25"/>
  <c r="F18" i="25"/>
  <c r="F17" i="25"/>
  <c r="F16" i="25"/>
  <c r="F15" i="25"/>
  <c r="F14" i="25"/>
  <c r="F13" i="25"/>
  <c r="F12" i="25"/>
  <c r="F11" i="25"/>
  <c r="F10" i="25"/>
  <c r="F9" i="25"/>
  <c r="F8" i="25"/>
  <c r="F7" i="25"/>
  <c r="F6" i="25"/>
  <c r="F5" i="25"/>
  <c r="F4" i="25"/>
  <c r="F3" i="25"/>
  <c r="F2" i="25"/>
  <c r="P61" i="25"/>
  <c r="P60" i="25"/>
  <c r="P59" i="25"/>
  <c r="P58" i="25"/>
  <c r="P57" i="25"/>
  <c r="P56" i="25"/>
  <c r="P55" i="25"/>
  <c r="P54" i="25"/>
  <c r="P53" i="25"/>
  <c r="P52" i="25"/>
  <c r="P51" i="25"/>
  <c r="P50" i="25"/>
  <c r="P49" i="25"/>
  <c r="P48" i="25"/>
  <c r="P47" i="25"/>
  <c r="P46" i="25"/>
  <c r="P45" i="25"/>
  <c r="P44" i="25"/>
  <c r="P43" i="25"/>
  <c r="P42" i="25"/>
  <c r="P41" i="25"/>
  <c r="P40" i="25"/>
  <c r="P39" i="25"/>
  <c r="P38" i="25"/>
  <c r="P41" i="69"/>
  <c r="P40" i="69"/>
  <c r="P39" i="69"/>
  <c r="P38" i="69"/>
  <c r="P37" i="69"/>
  <c r="P36" i="69"/>
  <c r="P35" i="69"/>
  <c r="P34" i="69"/>
  <c r="P33" i="69"/>
  <c r="P32" i="69"/>
  <c r="P31" i="69"/>
  <c r="P30" i="69"/>
  <c r="P29" i="69"/>
  <c r="P28" i="69"/>
  <c r="P27" i="69"/>
  <c r="P26" i="69"/>
  <c r="P25" i="69"/>
  <c r="P24" i="69"/>
  <c r="P23" i="69"/>
  <c r="P22" i="69"/>
  <c r="P21" i="69"/>
  <c r="M18" i="69"/>
  <c r="M64" i="63"/>
  <c r="P61" i="63"/>
  <c r="P60" i="63"/>
  <c r="P59" i="63"/>
  <c r="P58" i="63"/>
  <c r="P57" i="63"/>
  <c r="P56" i="63"/>
  <c r="P55" i="63"/>
  <c r="P54" i="63"/>
  <c r="P53" i="63"/>
  <c r="P52" i="63"/>
  <c r="P51" i="63"/>
  <c r="P50" i="63"/>
  <c r="P49" i="63"/>
  <c r="K49" i="63"/>
  <c r="F49" i="63"/>
  <c r="P48" i="63"/>
  <c r="K48" i="63"/>
  <c r="F48" i="63"/>
  <c r="P47" i="63"/>
  <c r="P46" i="63"/>
  <c r="P45" i="63"/>
  <c r="P44" i="63"/>
  <c r="P43" i="63"/>
  <c r="P42" i="63"/>
  <c r="P41" i="63"/>
  <c r="M18" i="63"/>
  <c r="K18" i="63"/>
  <c r="H18" i="63"/>
  <c r="F18" i="63"/>
  <c r="C18" i="63"/>
  <c r="Q11" i="63"/>
  <c r="AE69" i="71"/>
  <c r="AD69" i="71"/>
  <c r="AE68" i="71"/>
  <c r="AD68" i="71"/>
  <c r="AE67" i="71"/>
  <c r="AD67" i="71"/>
  <c r="AE66" i="71"/>
  <c r="AD66" i="71"/>
  <c r="AE65" i="71"/>
  <c r="AD65" i="71"/>
  <c r="AE64" i="71"/>
  <c r="AD64" i="71"/>
  <c r="M64" i="71"/>
  <c r="AE63" i="71"/>
  <c r="AD63" i="71"/>
  <c r="AE62" i="71"/>
  <c r="AD62" i="71"/>
  <c r="AE61" i="71"/>
  <c r="AD61" i="71"/>
  <c r="P61" i="71"/>
  <c r="AE60" i="71"/>
  <c r="AD60" i="71"/>
  <c r="P60" i="71"/>
  <c r="AE59" i="71"/>
  <c r="AD59" i="71"/>
  <c r="P59" i="71"/>
  <c r="AE58" i="71"/>
  <c r="AD58" i="71"/>
  <c r="P58" i="71"/>
  <c r="AE57" i="71"/>
  <c r="AD57" i="71"/>
  <c r="P57" i="71"/>
  <c r="AE56" i="71"/>
  <c r="AD56" i="71"/>
  <c r="P56" i="71"/>
  <c r="AE55" i="71"/>
  <c r="AD55" i="71"/>
  <c r="P55" i="71"/>
  <c r="AE54" i="71"/>
  <c r="AD54" i="71"/>
  <c r="P54" i="71"/>
  <c r="AE53" i="71"/>
  <c r="AD53" i="71"/>
  <c r="P53" i="71"/>
  <c r="AE52" i="71"/>
  <c r="AD52" i="71"/>
  <c r="P52" i="71"/>
  <c r="AE51" i="71"/>
  <c r="AD51" i="71"/>
  <c r="P51" i="71"/>
  <c r="AE50" i="71"/>
  <c r="AD50" i="71"/>
  <c r="P50" i="71"/>
  <c r="AE49" i="71"/>
  <c r="AD49" i="71"/>
  <c r="P49" i="71"/>
  <c r="K49" i="71"/>
  <c r="F49" i="71"/>
  <c r="AE48" i="71"/>
  <c r="AD48" i="71"/>
  <c r="P48" i="71"/>
  <c r="K48" i="71"/>
  <c r="F48" i="71"/>
  <c r="AE47" i="71"/>
  <c r="AD47" i="71"/>
  <c r="P47" i="71"/>
  <c r="AE46" i="71"/>
  <c r="AD46" i="71"/>
  <c r="P46" i="71"/>
  <c r="AE45" i="71"/>
  <c r="AD45" i="71"/>
  <c r="P45" i="71"/>
  <c r="AE44" i="71"/>
  <c r="AD44" i="71"/>
  <c r="P44" i="71"/>
  <c r="AE43" i="71"/>
  <c r="AD43" i="71"/>
  <c r="P43" i="71"/>
  <c r="AE42" i="71"/>
  <c r="AD42" i="71"/>
  <c r="P42" i="71"/>
  <c r="AE41" i="71"/>
  <c r="AD41" i="71"/>
  <c r="P41" i="71"/>
  <c r="AE40" i="71"/>
  <c r="AD40" i="71"/>
  <c r="AE39" i="71"/>
  <c r="AD39" i="71"/>
  <c r="AE38" i="71"/>
  <c r="AD38" i="71"/>
  <c r="AE37" i="71"/>
  <c r="AD37" i="71"/>
  <c r="AE36" i="71"/>
  <c r="AD36" i="71"/>
  <c r="AE35" i="71"/>
  <c r="AD35" i="71"/>
  <c r="AE34" i="71"/>
  <c r="AD34" i="71"/>
  <c r="AE33" i="71"/>
  <c r="AD33" i="71"/>
  <c r="AE32" i="71"/>
  <c r="AD32" i="71"/>
  <c r="AE31" i="71"/>
  <c r="AD31" i="71"/>
  <c r="AE30" i="71"/>
  <c r="AD30" i="71"/>
  <c r="AE29" i="71"/>
  <c r="AD29" i="71"/>
  <c r="AE28" i="71"/>
  <c r="AD28" i="71"/>
  <c r="AE27" i="71"/>
  <c r="AD27" i="71"/>
  <c r="AE26" i="71"/>
  <c r="AD26" i="71"/>
  <c r="AE25" i="71"/>
  <c r="AD25" i="71"/>
  <c r="AE24" i="71"/>
  <c r="AD24" i="71"/>
  <c r="AE23" i="71"/>
  <c r="AD23" i="71"/>
  <c r="AE22" i="71"/>
  <c r="AD22" i="71"/>
  <c r="AE21" i="71"/>
  <c r="AD21" i="71"/>
  <c r="AE20" i="71"/>
  <c r="AD20" i="71"/>
  <c r="AE19" i="71"/>
  <c r="AD19" i="71"/>
  <c r="AE18" i="71"/>
  <c r="AD18" i="71"/>
  <c r="M18" i="71"/>
  <c r="K18" i="71"/>
  <c r="H18" i="71"/>
  <c r="C18" i="71"/>
  <c r="AE17" i="71"/>
  <c r="AD17" i="71"/>
  <c r="AE16" i="71"/>
  <c r="AD16" i="71"/>
  <c r="AE15" i="71"/>
  <c r="AD15" i="71"/>
  <c r="AE14" i="71"/>
  <c r="AD14" i="71"/>
  <c r="AE13" i="71"/>
  <c r="AD13" i="71"/>
  <c r="AE12" i="71"/>
  <c r="AD12" i="71"/>
  <c r="AE11" i="71"/>
  <c r="AD11" i="71"/>
  <c r="Q11" i="71"/>
  <c r="AE10" i="71"/>
  <c r="AD10" i="71"/>
  <c r="AE9" i="71"/>
  <c r="AD9" i="71"/>
  <c r="AE8" i="71"/>
  <c r="AD8" i="71"/>
  <c r="AE7" i="71"/>
  <c r="AD7" i="71"/>
  <c r="AE6" i="71"/>
  <c r="AD6" i="71"/>
  <c r="F18" i="71"/>
  <c r="AE5" i="71"/>
  <c r="AD5" i="71"/>
  <c r="AE4" i="71"/>
  <c r="AD4" i="71"/>
  <c r="AE3" i="71"/>
  <c r="AD3" i="71"/>
  <c r="AE2" i="71"/>
  <c r="AD2" i="71"/>
  <c r="U65" i="73"/>
  <c r="P61" i="73"/>
  <c r="P60" i="73"/>
  <c r="P59" i="73"/>
  <c r="M59" i="73"/>
  <c r="H59" i="73"/>
  <c r="C59" i="73"/>
  <c r="P58" i="73"/>
  <c r="P57" i="73"/>
  <c r="P56" i="73"/>
  <c r="P55" i="73"/>
  <c r="P54" i="73"/>
  <c r="P53" i="73"/>
  <c r="P52" i="73"/>
  <c r="P51" i="73"/>
  <c r="P50" i="73"/>
  <c r="P49" i="73"/>
  <c r="P48" i="73"/>
  <c r="P47" i="73"/>
  <c r="P46" i="73"/>
  <c r="P45" i="73"/>
  <c r="P44" i="73"/>
  <c r="K44" i="73"/>
  <c r="F44" i="73"/>
  <c r="P43" i="73"/>
  <c r="K43" i="73"/>
  <c r="F43" i="73"/>
  <c r="P42" i="73"/>
  <c r="P41" i="73"/>
  <c r="H22" i="73"/>
  <c r="G22" i="73"/>
  <c r="F22" i="73"/>
  <c r="M18" i="73"/>
  <c r="K18" i="73"/>
  <c r="H18" i="73"/>
  <c r="F18" i="73"/>
  <c r="C18" i="73"/>
  <c r="Q11" i="73"/>
  <c r="M73" i="62"/>
  <c r="H73" i="62"/>
  <c r="C73" i="62"/>
  <c r="P61" i="62"/>
  <c r="F61" i="62"/>
  <c r="P60" i="62"/>
  <c r="F60" i="62"/>
  <c r="P59" i="62"/>
  <c r="F59" i="62"/>
  <c r="P58" i="62"/>
  <c r="K58" i="62"/>
  <c r="F58" i="62"/>
  <c r="P57" i="62"/>
  <c r="K57" i="62"/>
  <c r="F57" i="62"/>
  <c r="P56" i="62"/>
  <c r="P55" i="62"/>
  <c r="P54" i="62"/>
  <c r="P53" i="62"/>
  <c r="P52" i="62"/>
  <c r="P51" i="62"/>
  <c r="P50" i="62"/>
  <c r="P49" i="62"/>
  <c r="P48" i="62"/>
  <c r="P47" i="62"/>
  <c r="P46" i="62"/>
  <c r="P45" i="62"/>
  <c r="P44" i="62"/>
  <c r="P43" i="62"/>
  <c r="H43" i="62"/>
  <c r="G43" i="62"/>
  <c r="F43" i="62"/>
  <c r="P42" i="62"/>
  <c r="H42" i="62"/>
  <c r="G42" i="62"/>
  <c r="F42" i="62"/>
  <c r="P41" i="62"/>
  <c r="H41" i="62"/>
  <c r="G41" i="62"/>
  <c r="F41" i="62"/>
  <c r="H40" i="62"/>
  <c r="G40" i="62"/>
  <c r="F40" i="62"/>
  <c r="H39" i="62"/>
  <c r="G39" i="62"/>
  <c r="F39" i="62"/>
  <c r="H38" i="62"/>
  <c r="G38" i="62"/>
  <c r="F38" i="62"/>
  <c r="H37" i="62"/>
  <c r="G37" i="62"/>
  <c r="F37" i="62"/>
  <c r="H36" i="62"/>
  <c r="G36" i="62"/>
  <c r="F36" i="62"/>
  <c r="H35" i="62"/>
  <c r="G35" i="62"/>
  <c r="F35" i="62"/>
  <c r="H34" i="62"/>
  <c r="G34" i="62"/>
  <c r="F34" i="62"/>
  <c r="H33" i="62"/>
  <c r="G33" i="62"/>
  <c r="F33" i="62"/>
  <c r="H32" i="62"/>
  <c r="G32" i="62"/>
  <c r="F32" i="62"/>
  <c r="H31" i="62"/>
  <c r="G31" i="62"/>
  <c r="F31" i="62"/>
  <c r="H30" i="62"/>
  <c r="G30" i="62"/>
  <c r="F30" i="62"/>
  <c r="H29" i="62"/>
  <c r="G29" i="62"/>
  <c r="F29" i="62"/>
  <c r="H28" i="62"/>
  <c r="G28" i="62"/>
  <c r="F28" i="62"/>
  <c r="H27" i="62"/>
  <c r="G27" i="62"/>
  <c r="F27" i="62"/>
  <c r="H26" i="62"/>
  <c r="G26" i="62"/>
  <c r="F26" i="62"/>
  <c r="H25" i="62"/>
  <c r="G25" i="62"/>
  <c r="F25" i="62"/>
  <c r="M18" i="62"/>
  <c r="K18" i="62"/>
  <c r="H18" i="62"/>
  <c r="F18" i="62"/>
  <c r="C18" i="62"/>
  <c r="H92" i="70"/>
  <c r="G92" i="70"/>
  <c r="F92" i="70"/>
  <c r="H91" i="70"/>
  <c r="G91" i="70"/>
  <c r="F91" i="70"/>
  <c r="H90" i="70"/>
  <c r="G90" i="70"/>
  <c r="F90" i="70"/>
  <c r="H89" i="70"/>
  <c r="G89" i="70"/>
  <c r="F89" i="70"/>
  <c r="H88" i="70"/>
  <c r="G88" i="70"/>
  <c r="F88" i="70"/>
  <c r="H87" i="70"/>
  <c r="G87" i="70"/>
  <c r="F87" i="70"/>
  <c r="H86" i="70"/>
  <c r="G86" i="70"/>
  <c r="F86" i="70"/>
  <c r="H85" i="70"/>
  <c r="G85" i="70"/>
  <c r="F85" i="70"/>
  <c r="H84" i="70"/>
  <c r="G84" i="70"/>
  <c r="F84" i="70"/>
  <c r="H83" i="70"/>
  <c r="G83" i="70"/>
  <c r="F83" i="70"/>
  <c r="F63" i="70"/>
  <c r="K62" i="70"/>
  <c r="F62" i="70"/>
  <c r="K61" i="70"/>
  <c r="F61" i="70"/>
  <c r="K60" i="70"/>
  <c r="F60" i="70"/>
  <c r="M18" i="70"/>
  <c r="AE69" i="66"/>
  <c r="AD69" i="66"/>
  <c r="AE68" i="66"/>
  <c r="AD68" i="66"/>
  <c r="AE67" i="66"/>
  <c r="AD67" i="66"/>
  <c r="AE66" i="66"/>
  <c r="AD66" i="66"/>
  <c r="AE65" i="66"/>
  <c r="AD65" i="66"/>
  <c r="AE64" i="66"/>
  <c r="AD64" i="66"/>
  <c r="AE63" i="66"/>
  <c r="AD63" i="66"/>
  <c r="AE62" i="66"/>
  <c r="AD62" i="66"/>
  <c r="M62" i="66"/>
  <c r="H62" i="66"/>
  <c r="C62" i="66"/>
  <c r="AE61" i="66"/>
  <c r="AD61" i="66"/>
  <c r="P61" i="66"/>
  <c r="AE60" i="66"/>
  <c r="AD60" i="66"/>
  <c r="P60" i="66"/>
  <c r="AE59" i="66"/>
  <c r="AD59" i="66"/>
  <c r="P59" i="66"/>
  <c r="AE58" i="66"/>
  <c r="AD58" i="66"/>
  <c r="P58" i="66"/>
  <c r="AE57" i="66"/>
  <c r="AD57" i="66"/>
  <c r="P57" i="66"/>
  <c r="AE56" i="66"/>
  <c r="AD56" i="66"/>
  <c r="P56" i="66"/>
  <c r="AE55" i="66"/>
  <c r="AD55" i="66"/>
  <c r="P55" i="66"/>
  <c r="AE54" i="66"/>
  <c r="AD54" i="66"/>
  <c r="P54" i="66"/>
  <c r="AE53" i="66"/>
  <c r="AD53" i="66"/>
  <c r="P53" i="66"/>
  <c r="AE52" i="66"/>
  <c r="AD52" i="66"/>
  <c r="P52" i="66"/>
  <c r="AE51" i="66"/>
  <c r="AD51" i="66"/>
  <c r="P51" i="66"/>
  <c r="AE50" i="66"/>
  <c r="AD50" i="66"/>
  <c r="P50" i="66"/>
  <c r="AE49" i="66"/>
  <c r="AD49" i="66"/>
  <c r="P49" i="66"/>
  <c r="AE48" i="66"/>
  <c r="AD48" i="66"/>
  <c r="P48" i="66"/>
  <c r="AE47" i="66"/>
  <c r="AD47" i="66"/>
  <c r="P47" i="66"/>
  <c r="AE46" i="66"/>
  <c r="AD46" i="66"/>
  <c r="P46" i="66"/>
  <c r="K46" i="66"/>
  <c r="K62" i="66" s="1"/>
  <c r="F46" i="66"/>
  <c r="F62" i="66" s="1"/>
  <c r="AE45" i="66"/>
  <c r="AD45" i="66"/>
  <c r="P45" i="66"/>
  <c r="AE44" i="66"/>
  <c r="AD44" i="66"/>
  <c r="P44" i="66"/>
  <c r="AE43" i="66"/>
  <c r="AD43" i="66"/>
  <c r="P43" i="66"/>
  <c r="AE42" i="66"/>
  <c r="AD42" i="66"/>
  <c r="P42" i="66"/>
  <c r="AE41" i="66"/>
  <c r="AD41" i="66"/>
  <c r="P41" i="66"/>
  <c r="AE40" i="66"/>
  <c r="AD40" i="66"/>
  <c r="AE39" i="66"/>
  <c r="AD39" i="66"/>
  <c r="AE38" i="66"/>
  <c r="AD38" i="66"/>
  <c r="AE37" i="66"/>
  <c r="AD37" i="66"/>
  <c r="AE36" i="66"/>
  <c r="AD36" i="66"/>
  <c r="AE35" i="66"/>
  <c r="AD35" i="66"/>
  <c r="AE34" i="66"/>
  <c r="AD34" i="66"/>
  <c r="AE33" i="66"/>
  <c r="AD33" i="66"/>
  <c r="AE32" i="66"/>
  <c r="AD32" i="66"/>
  <c r="AE31" i="66"/>
  <c r="AD31" i="66"/>
  <c r="H31" i="66"/>
  <c r="G31" i="66"/>
  <c r="F31" i="66"/>
  <c r="AE30" i="66"/>
  <c r="AD30" i="66"/>
  <c r="H30" i="66"/>
  <c r="G30" i="66"/>
  <c r="F30" i="66"/>
  <c r="AE29" i="66"/>
  <c r="AD29" i="66"/>
  <c r="H29" i="66"/>
  <c r="G29" i="66"/>
  <c r="F29" i="66"/>
  <c r="AE28" i="66"/>
  <c r="AD28" i="66"/>
  <c r="H28" i="66"/>
  <c r="G28" i="66"/>
  <c r="F28" i="66"/>
  <c r="AE27" i="66"/>
  <c r="AD27" i="66"/>
  <c r="H27" i="66"/>
  <c r="G27" i="66"/>
  <c r="F27" i="66"/>
  <c r="AE26" i="66"/>
  <c r="AD26" i="66"/>
  <c r="H26" i="66"/>
  <c r="G26" i="66"/>
  <c r="F26" i="66"/>
  <c r="AE25" i="66"/>
  <c r="AD25" i="66"/>
  <c r="H25" i="66"/>
  <c r="G25" i="66"/>
  <c r="F25" i="66"/>
  <c r="AE24" i="66"/>
  <c r="AD24" i="66"/>
  <c r="AE23" i="66"/>
  <c r="AD23" i="66"/>
  <c r="AE22" i="66"/>
  <c r="AD22" i="66"/>
  <c r="AE21" i="66"/>
  <c r="AD21" i="66"/>
  <c r="AE20" i="66"/>
  <c r="AD20" i="66"/>
  <c r="AE19" i="66"/>
  <c r="AD19" i="66"/>
  <c r="AE18" i="66"/>
  <c r="AD18" i="66"/>
  <c r="M18" i="66"/>
  <c r="K18" i="66"/>
  <c r="H18" i="66"/>
  <c r="F18" i="66"/>
  <c r="C18" i="66"/>
  <c r="AE17" i="66"/>
  <c r="AD17" i="66"/>
  <c r="AE16" i="66"/>
  <c r="AD16" i="66"/>
  <c r="AE15" i="66"/>
  <c r="AD15" i="66"/>
  <c r="AE14" i="66"/>
  <c r="AD14" i="66"/>
  <c r="AE13" i="66"/>
  <c r="AD13" i="66"/>
  <c r="AE12" i="66"/>
  <c r="AD12" i="66"/>
  <c r="AE11" i="66"/>
  <c r="AD11" i="66"/>
  <c r="Q11" i="66"/>
  <c r="AE10" i="66"/>
  <c r="AD10" i="66"/>
  <c r="AE9" i="66"/>
  <c r="AD9" i="66"/>
  <c r="AE8" i="66"/>
  <c r="AD8" i="66"/>
  <c r="AE7" i="66"/>
  <c r="AD7" i="66"/>
  <c r="AE6" i="66"/>
  <c r="AD6" i="66"/>
  <c r="AE5" i="66"/>
  <c r="AD5" i="66"/>
  <c r="AE4" i="66"/>
  <c r="AD4" i="66"/>
  <c r="AE3" i="66"/>
  <c r="AD3" i="66"/>
  <c r="AE2" i="66"/>
  <c r="AD2" i="66"/>
  <c r="AE69" i="65"/>
  <c r="AD69" i="65"/>
  <c r="AE68" i="65"/>
  <c r="AD68" i="65"/>
  <c r="AE67" i="65"/>
  <c r="AD67" i="65"/>
  <c r="AE66" i="65"/>
  <c r="AD66" i="65"/>
  <c r="AE65" i="65"/>
  <c r="AD65" i="65"/>
  <c r="AE64" i="65"/>
  <c r="AD64" i="65"/>
  <c r="AE63" i="65"/>
  <c r="AD63" i="65"/>
  <c r="AE62" i="65"/>
  <c r="AD62" i="65"/>
  <c r="AE61" i="65"/>
  <c r="AD61" i="65"/>
  <c r="AE60" i="65"/>
  <c r="AD60" i="65"/>
  <c r="Q60" i="65"/>
  <c r="AE59" i="65"/>
  <c r="AD59" i="65"/>
  <c r="Q59" i="65"/>
  <c r="AE58" i="65"/>
  <c r="AD58" i="65"/>
  <c r="Q58" i="65"/>
  <c r="AE57" i="65"/>
  <c r="AD57" i="65"/>
  <c r="Q57" i="65"/>
  <c r="AE56" i="65"/>
  <c r="AD56" i="65"/>
  <c r="Q56" i="65"/>
  <c r="AE55" i="65"/>
  <c r="AD55" i="65"/>
  <c r="Q55" i="65"/>
  <c r="M55" i="65"/>
  <c r="H55" i="65"/>
  <c r="C55" i="65"/>
  <c r="AE54" i="65"/>
  <c r="AD54" i="65"/>
  <c r="Q54" i="65"/>
  <c r="AE53" i="65"/>
  <c r="AD53" i="65"/>
  <c r="Q53" i="65"/>
  <c r="AE52" i="65"/>
  <c r="AD52" i="65"/>
  <c r="Q52" i="65"/>
  <c r="AE51" i="65"/>
  <c r="AD51" i="65"/>
  <c r="Q51" i="65"/>
  <c r="AE50" i="65"/>
  <c r="AD50" i="65"/>
  <c r="Q50" i="65"/>
  <c r="AE49" i="65"/>
  <c r="AD49" i="65"/>
  <c r="Q49" i="65"/>
  <c r="AE48" i="65"/>
  <c r="AD48" i="65"/>
  <c r="Q48" i="65"/>
  <c r="AE47" i="65"/>
  <c r="AD47" i="65"/>
  <c r="Q47" i="65"/>
  <c r="AE46" i="65"/>
  <c r="AD46" i="65"/>
  <c r="Q46" i="65"/>
  <c r="AE45" i="65"/>
  <c r="AD45" i="65"/>
  <c r="Q45" i="65"/>
  <c r="AE44" i="65"/>
  <c r="AD44" i="65"/>
  <c r="Q44" i="65"/>
  <c r="AE43" i="65"/>
  <c r="AD43" i="65"/>
  <c r="Q43" i="65"/>
  <c r="AE42" i="65"/>
  <c r="AD42" i="65"/>
  <c r="Q42" i="65"/>
  <c r="AE41" i="65"/>
  <c r="AD41" i="65"/>
  <c r="Q41" i="65"/>
  <c r="AE40" i="65"/>
  <c r="AD40" i="65"/>
  <c r="Q40" i="65"/>
  <c r="AE39" i="65"/>
  <c r="AD39" i="65"/>
  <c r="K39" i="65"/>
  <c r="K55" i="65" s="1"/>
  <c r="F39" i="65"/>
  <c r="F55" i="65" s="1"/>
  <c r="AE38" i="65"/>
  <c r="AD38" i="65"/>
  <c r="AE37" i="65"/>
  <c r="AD37" i="65"/>
  <c r="AE36" i="65"/>
  <c r="AD36" i="65"/>
  <c r="AE35" i="65"/>
  <c r="AD35" i="65"/>
  <c r="AE34" i="65"/>
  <c r="AD34" i="65"/>
  <c r="AE33" i="65"/>
  <c r="AD33" i="65"/>
  <c r="AE32" i="65"/>
  <c r="AD32" i="65"/>
  <c r="AE31" i="65"/>
  <c r="AD31" i="65"/>
  <c r="AE30" i="65"/>
  <c r="AD30" i="65"/>
  <c r="AE29" i="65"/>
  <c r="AD29" i="65"/>
  <c r="AE28" i="65"/>
  <c r="AD28" i="65"/>
  <c r="AE27" i="65"/>
  <c r="AD27" i="65"/>
  <c r="AE26" i="65"/>
  <c r="AD26" i="65"/>
  <c r="AE25" i="65"/>
  <c r="AD25" i="65"/>
  <c r="AE24" i="65"/>
  <c r="AD24" i="65"/>
  <c r="AE23" i="65"/>
  <c r="AD23" i="65"/>
  <c r="AE22" i="65"/>
  <c r="AD22" i="65"/>
  <c r="AE21" i="65"/>
  <c r="AD21" i="65"/>
  <c r="AE20" i="65"/>
  <c r="AD20" i="65"/>
  <c r="AE19" i="65"/>
  <c r="AD19" i="65"/>
  <c r="AE18" i="65"/>
  <c r="AD18" i="65"/>
  <c r="M18" i="65"/>
  <c r="K18" i="65"/>
  <c r="H18" i="65"/>
  <c r="C18" i="65"/>
  <c r="AE17" i="65"/>
  <c r="AD17" i="65"/>
  <c r="AE16" i="65"/>
  <c r="AD16" i="65"/>
  <c r="AE15" i="65"/>
  <c r="AD15" i="65"/>
  <c r="AE14" i="65"/>
  <c r="AD14" i="65"/>
  <c r="AE13" i="65"/>
  <c r="AD13" i="65"/>
  <c r="AE12" i="65"/>
  <c r="AD12" i="65"/>
  <c r="AE11" i="65"/>
  <c r="AD11" i="65"/>
  <c r="AE10" i="65"/>
  <c r="AD10" i="65"/>
  <c r="AE9" i="65"/>
  <c r="AD9" i="65"/>
  <c r="AE8" i="65"/>
  <c r="AD8" i="65"/>
  <c r="AE7" i="65"/>
  <c r="AD7" i="65"/>
  <c r="AE6" i="65"/>
  <c r="AD6" i="65"/>
  <c r="AE5" i="65"/>
  <c r="AD5" i="65"/>
  <c r="AE4" i="65"/>
  <c r="AD4" i="65"/>
  <c r="AE3" i="65"/>
  <c r="AD3" i="65"/>
  <c r="AE2" i="65"/>
  <c r="AD2" i="65"/>
  <c r="F18" i="65"/>
  <c r="F70" i="64"/>
  <c r="K69" i="64"/>
  <c r="F69" i="64"/>
  <c r="K68" i="64"/>
  <c r="F68" i="64"/>
  <c r="P61" i="64"/>
  <c r="P60" i="64"/>
  <c r="P59" i="64"/>
  <c r="P58" i="64"/>
  <c r="P57" i="64"/>
  <c r="P56" i="64"/>
  <c r="P55" i="64"/>
  <c r="P54" i="64"/>
  <c r="P53" i="64"/>
  <c r="P52" i="64"/>
  <c r="P51" i="64"/>
  <c r="P50" i="64"/>
  <c r="P49" i="64"/>
  <c r="P48" i="64"/>
  <c r="P47" i="64"/>
  <c r="P46" i="64"/>
  <c r="P45" i="64"/>
  <c r="P44" i="64"/>
  <c r="P43" i="64"/>
  <c r="P42" i="64"/>
  <c r="P41" i="64"/>
  <c r="H25" i="64"/>
  <c r="G25" i="64"/>
  <c r="F25" i="64"/>
  <c r="M18" i="64"/>
  <c r="K18" i="64"/>
  <c r="Q11" i="64"/>
  <c r="AE69" i="60"/>
  <c r="AD69" i="60"/>
  <c r="AE68" i="60"/>
  <c r="AD68" i="60"/>
  <c r="AE67" i="60"/>
  <c r="AD67" i="60"/>
  <c r="AE66" i="60"/>
  <c r="AD66" i="60"/>
  <c r="M66" i="60"/>
  <c r="H66" i="60"/>
  <c r="C66" i="60"/>
  <c r="AE65" i="60"/>
  <c r="AD65" i="60"/>
  <c r="AE64" i="60"/>
  <c r="AD64" i="60"/>
  <c r="AE63" i="60"/>
  <c r="AD63" i="60"/>
  <c r="AE62" i="60"/>
  <c r="AD62" i="60"/>
  <c r="AE61" i="60"/>
  <c r="AD61" i="60"/>
  <c r="P61" i="60"/>
  <c r="AE60" i="60"/>
  <c r="AD60" i="60"/>
  <c r="P60" i="60"/>
  <c r="AE59" i="60"/>
  <c r="AD59" i="60"/>
  <c r="P59" i="60"/>
  <c r="AE58" i="60"/>
  <c r="AD58" i="60"/>
  <c r="P58" i="60"/>
  <c r="AE57" i="60"/>
  <c r="AD57" i="60"/>
  <c r="P57" i="60"/>
  <c r="AE56" i="60"/>
  <c r="AD56" i="60"/>
  <c r="P56" i="60"/>
  <c r="AE55" i="60"/>
  <c r="AD55" i="60"/>
  <c r="P55" i="60"/>
  <c r="AE54" i="60"/>
  <c r="AD54" i="60"/>
  <c r="P54" i="60"/>
  <c r="AE53" i="60"/>
  <c r="AD53" i="60"/>
  <c r="P53" i="60"/>
  <c r="AE52" i="60"/>
  <c r="AD52" i="60"/>
  <c r="P52" i="60"/>
  <c r="AE51" i="60"/>
  <c r="AD51" i="60"/>
  <c r="P51" i="60"/>
  <c r="AE50" i="60"/>
  <c r="AD50" i="60"/>
  <c r="P50" i="60"/>
  <c r="K50" i="60"/>
  <c r="K66" i="60" s="1"/>
  <c r="F50" i="60"/>
  <c r="F66" i="60" s="1"/>
  <c r="AE49" i="60"/>
  <c r="AD49" i="60"/>
  <c r="P49" i="60"/>
  <c r="AE48" i="60"/>
  <c r="AD48" i="60"/>
  <c r="P48" i="60"/>
  <c r="AE47" i="60"/>
  <c r="AD47" i="60"/>
  <c r="P47" i="60"/>
  <c r="AE46" i="60"/>
  <c r="AD46" i="60"/>
  <c r="P46" i="60"/>
  <c r="AE45" i="60"/>
  <c r="AD45" i="60"/>
  <c r="P45" i="60"/>
  <c r="AE44" i="60"/>
  <c r="AD44" i="60"/>
  <c r="P44" i="60"/>
  <c r="AE43" i="60"/>
  <c r="AD43" i="60"/>
  <c r="P43" i="60"/>
  <c r="AE42" i="60"/>
  <c r="AD42" i="60"/>
  <c r="P42" i="60"/>
  <c r="AE41" i="60"/>
  <c r="AD41" i="60"/>
  <c r="P41" i="60"/>
  <c r="AE40" i="60"/>
  <c r="AD40" i="60"/>
  <c r="AE39" i="60"/>
  <c r="AD39" i="60"/>
  <c r="AE38" i="60"/>
  <c r="AD38" i="60"/>
  <c r="AE37" i="60"/>
  <c r="AD37" i="60"/>
  <c r="AE36" i="60"/>
  <c r="AD36" i="60"/>
  <c r="AE35" i="60"/>
  <c r="AD35" i="60"/>
  <c r="H35" i="60"/>
  <c r="G35" i="60"/>
  <c r="F35" i="60"/>
  <c r="AE34" i="60"/>
  <c r="AD34" i="60"/>
  <c r="H34" i="60"/>
  <c r="G34" i="60"/>
  <c r="F34" i="60"/>
  <c r="AE33" i="60"/>
  <c r="AD33" i="60"/>
  <c r="H33" i="60"/>
  <c r="G33" i="60"/>
  <c r="F33" i="60"/>
  <c r="AE32" i="60"/>
  <c r="AD32" i="60"/>
  <c r="H32" i="60"/>
  <c r="G32" i="60"/>
  <c r="F32" i="60"/>
  <c r="AE31" i="60"/>
  <c r="AD31" i="60"/>
  <c r="H31" i="60"/>
  <c r="G31" i="60"/>
  <c r="F31" i="60"/>
  <c r="AE30" i="60"/>
  <c r="AD30" i="60"/>
  <c r="H30" i="60"/>
  <c r="G30" i="60"/>
  <c r="F30" i="60"/>
  <c r="AE29" i="60"/>
  <c r="AD29" i="60"/>
  <c r="H29" i="60"/>
  <c r="G29" i="60"/>
  <c r="F29" i="60"/>
  <c r="AE28" i="60"/>
  <c r="AD28" i="60"/>
  <c r="H28" i="60"/>
  <c r="G28" i="60"/>
  <c r="F28" i="60"/>
  <c r="AE27" i="60"/>
  <c r="AD27" i="60"/>
  <c r="H27" i="60"/>
  <c r="G27" i="60"/>
  <c r="F27" i="60"/>
  <c r="AE26" i="60"/>
  <c r="AD26" i="60"/>
  <c r="H26" i="60"/>
  <c r="G26" i="60"/>
  <c r="F26" i="60"/>
  <c r="AE25" i="60"/>
  <c r="AD25" i="60"/>
  <c r="H25" i="60"/>
  <c r="G25" i="60"/>
  <c r="F25" i="60"/>
  <c r="AE24" i="60"/>
  <c r="AD24" i="60"/>
  <c r="AE23" i="60"/>
  <c r="AD23" i="60"/>
  <c r="AE22" i="60"/>
  <c r="AD22" i="60"/>
  <c r="AE21" i="60"/>
  <c r="AD21" i="60"/>
  <c r="AE20" i="60"/>
  <c r="AD20" i="60"/>
  <c r="AE19" i="60"/>
  <c r="AD19" i="60"/>
  <c r="AE18" i="60"/>
  <c r="AD18" i="60"/>
  <c r="M18" i="60"/>
  <c r="K18" i="60"/>
  <c r="H18" i="60"/>
  <c r="F18" i="60"/>
  <c r="C18" i="60"/>
  <c r="AE17" i="60"/>
  <c r="AD17" i="60"/>
  <c r="AE16" i="60"/>
  <c r="AD16" i="60"/>
  <c r="AE15" i="60"/>
  <c r="AD15" i="60"/>
  <c r="AE14" i="60"/>
  <c r="AD14" i="60"/>
  <c r="AE13" i="60"/>
  <c r="AD13" i="60"/>
  <c r="AE12" i="60"/>
  <c r="AD12" i="60"/>
  <c r="AE11" i="60"/>
  <c r="AD11" i="60"/>
  <c r="Q11" i="60"/>
  <c r="AE10" i="60"/>
  <c r="AD10" i="60"/>
  <c r="AE9" i="60"/>
  <c r="AD9" i="60"/>
  <c r="AE8" i="60"/>
  <c r="AD8" i="60"/>
  <c r="AE7" i="60"/>
  <c r="AD7" i="60"/>
  <c r="AE6" i="60"/>
  <c r="AD6" i="60"/>
  <c r="AE5" i="60"/>
  <c r="AD5" i="60"/>
  <c r="AE4" i="60"/>
  <c r="AD4" i="60"/>
  <c r="AE3" i="60"/>
  <c r="AD3" i="60"/>
  <c r="AE2" i="60"/>
  <c r="AD2" i="60"/>
  <c r="M73" i="55"/>
  <c r="H73" i="55"/>
  <c r="C73" i="55"/>
  <c r="P63" i="55"/>
  <c r="P62" i="55"/>
  <c r="P61" i="55"/>
  <c r="P60" i="55"/>
  <c r="K60" i="55"/>
  <c r="P59" i="55"/>
  <c r="K59" i="55"/>
  <c r="F59" i="55"/>
  <c r="P58" i="55"/>
  <c r="K58" i="55"/>
  <c r="F58" i="55"/>
  <c r="P57" i="55"/>
  <c r="K57" i="55"/>
  <c r="F57" i="55"/>
  <c r="P56" i="55"/>
  <c r="P55" i="55"/>
  <c r="P54" i="55"/>
  <c r="P53" i="55"/>
  <c r="P52" i="55"/>
  <c r="P51" i="55"/>
  <c r="P50" i="55"/>
  <c r="P49" i="55"/>
  <c r="P48" i="55"/>
  <c r="P47" i="55"/>
  <c r="P46" i="55"/>
  <c r="P45" i="55"/>
  <c r="P44" i="55"/>
  <c r="P43" i="55"/>
  <c r="H41" i="55"/>
  <c r="G41" i="55"/>
  <c r="F41" i="55"/>
  <c r="H40" i="55"/>
  <c r="G40" i="55"/>
  <c r="F40" i="55"/>
  <c r="H39" i="55"/>
  <c r="G39" i="55"/>
  <c r="F39" i="55"/>
  <c r="H38" i="55"/>
  <c r="G38" i="55"/>
  <c r="F38" i="55"/>
  <c r="H37" i="55"/>
  <c r="G37" i="55"/>
  <c r="F37" i="55"/>
  <c r="H36" i="55"/>
  <c r="G36" i="55"/>
  <c r="F36" i="55"/>
  <c r="H35" i="55"/>
  <c r="G35" i="55"/>
  <c r="F35" i="55"/>
  <c r="H34" i="55"/>
  <c r="G34" i="55"/>
  <c r="F34" i="55"/>
  <c r="H33" i="55"/>
  <c r="G33" i="55"/>
  <c r="F33" i="55"/>
  <c r="H32" i="55"/>
  <c r="G32" i="55"/>
  <c r="F32" i="55"/>
  <c r="H31" i="55"/>
  <c r="G31" i="55"/>
  <c r="F31" i="55"/>
  <c r="H30" i="55"/>
  <c r="G30" i="55"/>
  <c r="F30" i="55"/>
  <c r="H29" i="55"/>
  <c r="G29" i="55"/>
  <c r="F29" i="55"/>
  <c r="H28" i="55"/>
  <c r="G28" i="55"/>
  <c r="F28" i="55"/>
  <c r="H27" i="55"/>
  <c r="G27" i="55"/>
  <c r="F27" i="55"/>
  <c r="H26" i="55"/>
  <c r="G26" i="55"/>
  <c r="F26" i="55"/>
  <c r="H25" i="55"/>
  <c r="G25" i="55"/>
  <c r="F25" i="55"/>
  <c r="M18" i="55"/>
  <c r="K18" i="55"/>
  <c r="H18" i="55"/>
  <c r="F18" i="55"/>
  <c r="C18" i="55"/>
  <c r="K184" i="57"/>
  <c r="K212" i="57" s="1"/>
  <c r="F184" i="57"/>
  <c r="H116" i="57"/>
  <c r="G116" i="57"/>
  <c r="F116" i="57"/>
  <c r="H115" i="57"/>
  <c r="G115" i="57"/>
  <c r="F115" i="57"/>
  <c r="H114" i="57"/>
  <c r="G114" i="57"/>
  <c r="F114" i="57"/>
  <c r="H113" i="57"/>
  <c r="G113" i="57"/>
  <c r="F113" i="57"/>
  <c r="H112" i="57"/>
  <c r="G112" i="57"/>
  <c r="F112" i="57"/>
  <c r="H111" i="57"/>
  <c r="G111" i="57"/>
  <c r="F111" i="57"/>
  <c r="H110" i="57"/>
  <c r="G110" i="57"/>
  <c r="F110" i="57"/>
  <c r="H109" i="57"/>
  <c r="G109" i="57"/>
  <c r="F109" i="57"/>
  <c r="H108" i="57"/>
  <c r="G108" i="57"/>
  <c r="F108" i="57"/>
  <c r="H107" i="57"/>
  <c r="G107" i="57"/>
  <c r="F107" i="57"/>
  <c r="H106" i="57"/>
  <c r="G106" i="57"/>
  <c r="F106" i="57"/>
  <c r="H105" i="57"/>
  <c r="G105" i="57"/>
  <c r="F105" i="57"/>
  <c r="H104" i="57"/>
  <c r="G104" i="57"/>
  <c r="F104" i="57"/>
  <c r="H103" i="57"/>
  <c r="G103" i="57"/>
  <c r="F103" i="57"/>
  <c r="H102" i="57"/>
  <c r="G102" i="57"/>
  <c r="F102" i="57"/>
  <c r="H101" i="57"/>
  <c r="G101" i="57"/>
  <c r="F101" i="57"/>
  <c r="P60" i="57"/>
  <c r="H100" i="57"/>
  <c r="G100" i="57"/>
  <c r="F100" i="57"/>
  <c r="P59" i="57"/>
  <c r="P58" i="57"/>
  <c r="P57" i="57"/>
  <c r="P56" i="57"/>
  <c r="H96" i="57"/>
  <c r="G96" i="57"/>
  <c r="F96" i="57"/>
  <c r="P55" i="57"/>
  <c r="H95" i="57"/>
  <c r="G95" i="57"/>
  <c r="F95" i="57"/>
  <c r="P54" i="57"/>
  <c r="H94" i="57"/>
  <c r="G94" i="57"/>
  <c r="F94" i="57"/>
  <c r="P53" i="57"/>
  <c r="H93" i="57"/>
  <c r="G93" i="57"/>
  <c r="F93" i="57"/>
  <c r="P52" i="57"/>
  <c r="H92" i="57"/>
  <c r="G92" i="57"/>
  <c r="F92" i="57"/>
  <c r="P51" i="57"/>
  <c r="H91" i="57"/>
  <c r="G91" i="57"/>
  <c r="F91" i="57"/>
  <c r="P50" i="57"/>
  <c r="H90" i="57"/>
  <c r="G90" i="57"/>
  <c r="F90" i="57"/>
  <c r="P49" i="57"/>
  <c r="H89" i="57"/>
  <c r="G89" i="57"/>
  <c r="F89" i="57"/>
  <c r="P48" i="57"/>
  <c r="H88" i="57"/>
  <c r="G88" i="57"/>
  <c r="F88" i="57"/>
  <c r="P47" i="57"/>
  <c r="H87" i="57"/>
  <c r="G87" i="57"/>
  <c r="F87" i="57"/>
  <c r="P46" i="57"/>
  <c r="H86" i="57"/>
  <c r="G86" i="57"/>
  <c r="F86" i="57"/>
  <c r="P45" i="57"/>
  <c r="H85" i="57"/>
  <c r="G85" i="57"/>
  <c r="F85" i="57"/>
  <c r="P44" i="57"/>
  <c r="H84" i="57"/>
  <c r="G84" i="57"/>
  <c r="F84" i="57"/>
  <c r="P43" i="57"/>
  <c r="H83" i="57"/>
  <c r="G83" i="57"/>
  <c r="F83" i="57"/>
  <c r="P42" i="57"/>
  <c r="H82" i="57"/>
  <c r="G82" i="57"/>
  <c r="F82" i="57"/>
  <c r="P41" i="57"/>
  <c r="H81" i="57"/>
  <c r="G81" i="57"/>
  <c r="F81" i="57"/>
  <c r="P40" i="57"/>
  <c r="H80" i="57"/>
  <c r="G80" i="57"/>
  <c r="F80" i="57"/>
  <c r="H79" i="57"/>
  <c r="G79" i="57"/>
  <c r="F79" i="57"/>
  <c r="H78" i="57"/>
  <c r="G78" i="57"/>
  <c r="F78" i="57"/>
  <c r="H77" i="57"/>
  <c r="G77" i="57"/>
  <c r="F77" i="57"/>
  <c r="H76" i="57"/>
  <c r="G76" i="57"/>
  <c r="F76" i="57"/>
  <c r="H75" i="57"/>
  <c r="G75" i="57"/>
  <c r="F75" i="57"/>
  <c r="H29" i="57"/>
  <c r="G29" i="57"/>
  <c r="F29" i="57"/>
  <c r="M22" i="57"/>
  <c r="H22" i="57"/>
  <c r="F22" i="57"/>
  <c r="AE68" i="56"/>
  <c r="AD68" i="56"/>
  <c r="AE67" i="56"/>
  <c r="AD67" i="56"/>
  <c r="AE66" i="56"/>
  <c r="AD66" i="56"/>
  <c r="AE65" i="56"/>
  <c r="AD65" i="56"/>
  <c r="AE64" i="56"/>
  <c r="AD64" i="56"/>
  <c r="AE63" i="56"/>
  <c r="AD63" i="56"/>
  <c r="P63" i="56"/>
  <c r="AE62" i="56"/>
  <c r="AD62" i="56"/>
  <c r="P62" i="56"/>
  <c r="AE61" i="56"/>
  <c r="AD61" i="56"/>
  <c r="P61" i="56"/>
  <c r="AE60" i="56"/>
  <c r="AD60" i="56"/>
  <c r="P60" i="56"/>
  <c r="AE59" i="56"/>
  <c r="AD59" i="56"/>
  <c r="P59" i="56"/>
  <c r="H59" i="56"/>
  <c r="G59" i="56"/>
  <c r="F59" i="56"/>
  <c r="AE58" i="56"/>
  <c r="AD58" i="56"/>
  <c r="P58" i="56"/>
  <c r="H58" i="56"/>
  <c r="G58" i="56"/>
  <c r="F58" i="56"/>
  <c r="AE57" i="56"/>
  <c r="AD57" i="56"/>
  <c r="P57" i="56"/>
  <c r="H57" i="56"/>
  <c r="G57" i="56"/>
  <c r="F57" i="56"/>
  <c r="AE56" i="56"/>
  <c r="AD56" i="56"/>
  <c r="P56" i="56"/>
  <c r="H56" i="56"/>
  <c r="G56" i="56"/>
  <c r="F56" i="56"/>
  <c r="AE55" i="56"/>
  <c r="AD55" i="56"/>
  <c r="P55" i="56"/>
  <c r="AE54" i="56"/>
  <c r="AD54" i="56"/>
  <c r="P54" i="56"/>
  <c r="AE53" i="56"/>
  <c r="AD53" i="56"/>
  <c r="P53" i="56"/>
  <c r="M53" i="56"/>
  <c r="L53" i="56"/>
  <c r="H53" i="56"/>
  <c r="C53" i="56"/>
  <c r="AE52" i="56"/>
  <c r="AD52" i="56"/>
  <c r="P52" i="56"/>
  <c r="AE51" i="56"/>
  <c r="AD51" i="56"/>
  <c r="P51" i="56"/>
  <c r="AE50" i="56"/>
  <c r="AD50" i="56"/>
  <c r="P50" i="56"/>
  <c r="AE49" i="56"/>
  <c r="AD49" i="56"/>
  <c r="P49" i="56"/>
  <c r="AE48" i="56"/>
  <c r="AD48" i="56"/>
  <c r="P48" i="56"/>
  <c r="AE47" i="56"/>
  <c r="AD47" i="56"/>
  <c r="P47" i="56"/>
  <c r="AE46" i="56"/>
  <c r="AD46" i="56"/>
  <c r="P46" i="56"/>
  <c r="AE45" i="56"/>
  <c r="AD45" i="56"/>
  <c r="P45" i="56"/>
  <c r="AE44" i="56"/>
  <c r="AD44" i="56"/>
  <c r="P44" i="56"/>
  <c r="AE43" i="56"/>
  <c r="AD43" i="56"/>
  <c r="P43" i="56"/>
  <c r="AE42" i="56"/>
  <c r="AD42" i="56"/>
  <c r="AE41" i="56"/>
  <c r="AD41" i="56"/>
  <c r="AE40" i="56"/>
  <c r="AD40" i="56"/>
  <c r="AE39" i="56"/>
  <c r="AD39" i="56"/>
  <c r="AE38" i="56"/>
  <c r="AD38" i="56"/>
  <c r="K38" i="56"/>
  <c r="AE37" i="56"/>
  <c r="AD37" i="56"/>
  <c r="K37" i="56"/>
  <c r="F37" i="56"/>
  <c r="F53" i="56" s="1"/>
  <c r="AE36" i="56"/>
  <c r="AD36" i="56"/>
  <c r="AE35" i="56"/>
  <c r="AD35" i="56"/>
  <c r="AE34" i="56"/>
  <c r="AD34" i="56"/>
  <c r="AE33" i="56"/>
  <c r="AD33" i="56"/>
  <c r="AE32" i="56"/>
  <c r="AD32" i="56"/>
  <c r="AE31" i="56"/>
  <c r="AD31" i="56"/>
  <c r="AE30" i="56"/>
  <c r="AD30" i="56"/>
  <c r="AE29" i="56"/>
  <c r="AD29" i="56"/>
  <c r="AE28" i="56"/>
  <c r="AD28" i="56"/>
  <c r="AE27" i="56"/>
  <c r="AD27" i="56"/>
  <c r="AE26" i="56"/>
  <c r="AD26" i="56"/>
  <c r="AE25" i="56"/>
  <c r="AD25" i="56"/>
  <c r="AE24" i="56"/>
  <c r="AD24" i="56"/>
  <c r="AE23" i="56"/>
  <c r="AD23" i="56"/>
  <c r="AE22" i="56"/>
  <c r="AD22" i="56"/>
  <c r="AE21" i="56"/>
  <c r="AD21" i="56"/>
  <c r="AE20" i="56"/>
  <c r="AD20" i="56"/>
  <c r="AE19" i="56"/>
  <c r="AD19" i="56"/>
  <c r="AE18" i="56"/>
  <c r="AD18" i="56"/>
  <c r="M18" i="56"/>
  <c r="L18" i="56"/>
  <c r="K18" i="56"/>
  <c r="H18" i="56"/>
  <c r="F18" i="56"/>
  <c r="C18" i="56"/>
  <c r="AE17" i="56"/>
  <c r="AD17" i="56"/>
  <c r="AE16" i="56"/>
  <c r="AD16" i="56"/>
  <c r="AE15" i="56"/>
  <c r="AD15" i="56"/>
  <c r="AE14" i="56"/>
  <c r="AD14" i="56"/>
  <c r="AE13" i="56"/>
  <c r="AD13" i="56"/>
  <c r="AE12" i="56"/>
  <c r="AD12" i="56"/>
  <c r="AE11" i="56"/>
  <c r="AD11" i="56"/>
  <c r="Q11" i="56"/>
  <c r="AE10" i="56"/>
  <c r="AD10" i="56"/>
  <c r="AE9" i="56"/>
  <c r="AD9" i="56"/>
  <c r="AE8" i="56"/>
  <c r="AD8" i="56"/>
  <c r="AE7" i="56"/>
  <c r="AD7" i="56"/>
  <c r="AE6" i="56"/>
  <c r="AD6" i="56"/>
  <c r="AE5" i="56"/>
  <c r="AD5" i="56"/>
  <c r="AE4" i="56"/>
  <c r="AD4" i="56"/>
  <c r="AE3" i="56"/>
  <c r="AD3" i="56"/>
  <c r="AE2" i="56"/>
  <c r="AD2" i="56"/>
  <c r="G80" i="33"/>
  <c r="H79" i="33"/>
  <c r="G79" i="33"/>
  <c r="F79" i="33"/>
  <c r="H78" i="33"/>
  <c r="G78" i="33"/>
  <c r="F78" i="33"/>
  <c r="H77" i="33"/>
  <c r="G77" i="33"/>
  <c r="F77" i="33"/>
  <c r="H76" i="33"/>
  <c r="G76" i="33"/>
  <c r="F76" i="33"/>
  <c r="H75" i="33"/>
  <c r="G75" i="33"/>
  <c r="F75" i="33"/>
  <c r="H74" i="33"/>
  <c r="G74" i="33"/>
  <c r="F74" i="33"/>
  <c r="H73" i="33"/>
  <c r="G73" i="33"/>
  <c r="F73" i="33"/>
  <c r="H72" i="33"/>
  <c r="G72" i="33"/>
  <c r="F72" i="33"/>
  <c r="H71" i="33"/>
  <c r="G71" i="33"/>
  <c r="F71" i="33"/>
  <c r="H70" i="33"/>
  <c r="G70" i="33"/>
  <c r="F70" i="33"/>
  <c r="H69" i="33"/>
  <c r="G69" i="33"/>
  <c r="F69" i="33"/>
  <c r="H66" i="33"/>
  <c r="G66" i="33"/>
  <c r="H65" i="33"/>
  <c r="G65" i="33"/>
  <c r="H64" i="33"/>
  <c r="G64" i="33"/>
  <c r="P63" i="33"/>
  <c r="H63" i="33"/>
  <c r="G63" i="33"/>
  <c r="P62" i="33"/>
  <c r="H62" i="33"/>
  <c r="G62" i="33"/>
  <c r="P61" i="33"/>
  <c r="H61" i="33"/>
  <c r="G61" i="33"/>
  <c r="P60" i="33"/>
  <c r="P59" i="33"/>
  <c r="P58" i="33"/>
  <c r="P57" i="33"/>
  <c r="H57" i="33"/>
  <c r="C57" i="33"/>
  <c r="P56" i="33"/>
  <c r="F56" i="33"/>
  <c r="P55" i="33"/>
  <c r="F55" i="33"/>
  <c r="P54" i="33"/>
  <c r="F54" i="33"/>
  <c r="P53" i="33"/>
  <c r="F53" i="33"/>
  <c r="P52" i="33"/>
  <c r="F52" i="33"/>
  <c r="P51" i="33"/>
  <c r="F51" i="33"/>
  <c r="P50" i="33"/>
  <c r="F50" i="33"/>
  <c r="P49" i="33"/>
  <c r="F49" i="33"/>
  <c r="P48" i="33"/>
  <c r="K48" i="33"/>
  <c r="F48" i="33"/>
  <c r="P47" i="33"/>
  <c r="K47" i="33"/>
  <c r="F47" i="33"/>
  <c r="P46" i="33"/>
  <c r="K46" i="33"/>
  <c r="F46" i="33"/>
  <c r="P45" i="33"/>
  <c r="K45" i="33"/>
  <c r="F45" i="33"/>
  <c r="P44" i="33"/>
  <c r="K44" i="33"/>
  <c r="F44" i="33"/>
  <c r="P43" i="33"/>
  <c r="K43" i="33"/>
  <c r="F43" i="33"/>
  <c r="K42" i="33"/>
  <c r="F42" i="33"/>
  <c r="K41" i="33"/>
  <c r="F41" i="33"/>
  <c r="M18" i="33"/>
  <c r="L18" i="33"/>
  <c r="K18" i="33"/>
  <c r="H18" i="33"/>
  <c r="F18" i="33"/>
  <c r="C18" i="33"/>
  <c r="S361" i="38"/>
  <c r="M361" i="38"/>
  <c r="U361" i="38" s="1"/>
  <c r="K361" i="38"/>
  <c r="L361" i="38" s="1"/>
  <c r="P361" i="38" s="1"/>
  <c r="H361" i="38"/>
  <c r="E361" i="38"/>
  <c r="S360" i="38"/>
  <c r="M360" i="38"/>
  <c r="U360" i="38" s="1"/>
  <c r="K360" i="38"/>
  <c r="L360" i="38" s="1"/>
  <c r="H360" i="38"/>
  <c r="E360" i="38"/>
  <c r="D360" i="38"/>
  <c r="S359" i="38"/>
  <c r="M359" i="38"/>
  <c r="K359" i="38"/>
  <c r="L359" i="38" s="1"/>
  <c r="H359" i="38"/>
  <c r="G359" i="38"/>
  <c r="E359" i="38"/>
  <c r="D359" i="38"/>
  <c r="S358" i="38"/>
  <c r="M358" i="38"/>
  <c r="U358" i="38" s="1"/>
  <c r="K358" i="38"/>
  <c r="L358" i="38" s="1"/>
  <c r="H358" i="38"/>
  <c r="G358" i="38"/>
  <c r="E358" i="38"/>
  <c r="D358" i="38"/>
  <c r="S357" i="38"/>
  <c r="M357" i="38"/>
  <c r="U357" i="38" s="1"/>
  <c r="K357" i="38"/>
  <c r="L357" i="38" s="1"/>
  <c r="H357" i="38"/>
  <c r="G357" i="38"/>
  <c r="E357" i="38"/>
  <c r="D357" i="38"/>
  <c r="S356" i="38"/>
  <c r="M356" i="38"/>
  <c r="N356" i="38" s="1"/>
  <c r="K356" i="38"/>
  <c r="L356" i="38" s="1"/>
  <c r="H356" i="38"/>
  <c r="G356" i="38"/>
  <c r="E356" i="38"/>
  <c r="D356" i="38"/>
  <c r="S355" i="38"/>
  <c r="M355" i="38"/>
  <c r="K355" i="38"/>
  <c r="L355" i="38" s="1"/>
  <c r="H355" i="38"/>
  <c r="G355" i="38"/>
  <c r="E355" i="38"/>
  <c r="D355" i="38"/>
  <c r="S354" i="38"/>
  <c r="M354" i="38"/>
  <c r="K354" i="38"/>
  <c r="L354" i="38" s="1"/>
  <c r="H354" i="38"/>
  <c r="G354" i="38"/>
  <c r="E354" i="38"/>
  <c r="D354" i="38"/>
  <c r="S353" i="38"/>
  <c r="M353" i="38"/>
  <c r="K353" i="38"/>
  <c r="L353" i="38" s="1"/>
  <c r="H353" i="38"/>
  <c r="G353" i="38"/>
  <c r="E353" i="38"/>
  <c r="D353" i="38"/>
  <c r="S352" i="38"/>
  <c r="M352" i="38"/>
  <c r="U352" i="38" s="1"/>
  <c r="K352" i="38"/>
  <c r="L352" i="38" s="1"/>
  <c r="H352" i="38"/>
  <c r="G352" i="38"/>
  <c r="E352" i="38"/>
  <c r="D352" i="38"/>
  <c r="S351" i="38"/>
  <c r="M351" i="38"/>
  <c r="K351" i="38"/>
  <c r="L351" i="38" s="1"/>
  <c r="H351" i="38"/>
  <c r="G351" i="38"/>
  <c r="E351" i="38"/>
  <c r="D351" i="38"/>
  <c r="S350" i="38"/>
  <c r="M350" i="38"/>
  <c r="K350" i="38"/>
  <c r="L350" i="38" s="1"/>
  <c r="H350" i="38"/>
  <c r="G350" i="38"/>
  <c r="E350" i="38"/>
  <c r="D350" i="38"/>
  <c r="S349" i="38"/>
  <c r="M349" i="38"/>
  <c r="K349" i="38"/>
  <c r="L349" i="38" s="1"/>
  <c r="H349" i="38"/>
  <c r="G349" i="38"/>
  <c r="E349" i="38"/>
  <c r="D349" i="38"/>
  <c r="S348" i="38"/>
  <c r="M348" i="38"/>
  <c r="N348" i="38" s="1"/>
  <c r="K348" i="38"/>
  <c r="L348" i="38" s="1"/>
  <c r="H348" i="38"/>
  <c r="G348" i="38"/>
  <c r="E348" i="38"/>
  <c r="D348" i="38"/>
  <c r="S347" i="38"/>
  <c r="M347" i="38"/>
  <c r="N347" i="38" s="1"/>
  <c r="K347" i="38"/>
  <c r="L347" i="38" s="1"/>
  <c r="H347" i="38"/>
  <c r="G347" i="38"/>
  <c r="E347" i="38"/>
  <c r="D347" i="38"/>
  <c r="S346" i="38"/>
  <c r="M346" i="38"/>
  <c r="N346" i="38" s="1"/>
  <c r="K346" i="38"/>
  <c r="L346" i="38" s="1"/>
  <c r="H346" i="38"/>
  <c r="G346" i="38"/>
  <c r="E346" i="38"/>
  <c r="D346" i="38"/>
  <c r="S345" i="38"/>
  <c r="M345" i="38"/>
  <c r="N345" i="38" s="1"/>
  <c r="K345" i="38"/>
  <c r="L345" i="38" s="1"/>
  <c r="H345" i="38"/>
  <c r="G345" i="38"/>
  <c r="E345" i="38"/>
  <c r="D345" i="38"/>
  <c r="S344" i="38"/>
  <c r="M344" i="38"/>
  <c r="K344" i="38"/>
  <c r="L344" i="38" s="1"/>
  <c r="H344" i="38"/>
  <c r="G344" i="38"/>
  <c r="E344" i="38"/>
  <c r="D344" i="38"/>
  <c r="S343" i="38"/>
  <c r="M343" i="38"/>
  <c r="K343" i="38"/>
  <c r="L343" i="38" s="1"/>
  <c r="H343" i="38"/>
  <c r="G343" i="38"/>
  <c r="E343" i="38"/>
  <c r="D343" i="38"/>
  <c r="S342" i="38"/>
  <c r="M342" i="38"/>
  <c r="K342" i="38"/>
  <c r="L342" i="38" s="1"/>
  <c r="H342" i="38"/>
  <c r="G342" i="38"/>
  <c r="E342" i="38"/>
  <c r="D342" i="38"/>
  <c r="S341" i="38"/>
  <c r="M341" i="38"/>
  <c r="K341" i="38"/>
  <c r="L341" i="38" s="1"/>
  <c r="H341" i="38"/>
  <c r="G341" i="38"/>
  <c r="E341" i="38"/>
  <c r="D341" i="38"/>
  <c r="S340" i="38"/>
  <c r="M340" i="38"/>
  <c r="K340" i="38"/>
  <c r="L340" i="38" s="1"/>
  <c r="H340" i="38"/>
  <c r="G340" i="38"/>
  <c r="E340" i="38"/>
  <c r="D340" i="38"/>
  <c r="S339" i="38"/>
  <c r="M339" i="38"/>
  <c r="U339" i="38" s="1"/>
  <c r="K339" i="38"/>
  <c r="L339" i="38" s="1"/>
  <c r="H339" i="38"/>
  <c r="G339" i="38"/>
  <c r="E339" i="38"/>
  <c r="D339" i="38"/>
  <c r="S338" i="38"/>
  <c r="M338" i="38"/>
  <c r="K338" i="38"/>
  <c r="L338" i="38" s="1"/>
  <c r="H338" i="38"/>
  <c r="G338" i="38"/>
  <c r="E338" i="38"/>
  <c r="D338" i="38"/>
  <c r="S337" i="38"/>
  <c r="M337" i="38"/>
  <c r="N337" i="38" s="1"/>
  <c r="K337" i="38"/>
  <c r="L337" i="38" s="1"/>
  <c r="H337" i="38"/>
  <c r="G337" i="38"/>
  <c r="E337" i="38"/>
  <c r="D337" i="38"/>
  <c r="S336" i="38"/>
  <c r="M336" i="38"/>
  <c r="N336" i="38" s="1"/>
  <c r="K336" i="38"/>
  <c r="L336" i="38" s="1"/>
  <c r="H336" i="38"/>
  <c r="G336" i="38"/>
  <c r="E336" i="38"/>
  <c r="D336" i="38"/>
  <c r="S335" i="38"/>
  <c r="M335" i="38"/>
  <c r="K335" i="38"/>
  <c r="L335" i="38" s="1"/>
  <c r="H335" i="38"/>
  <c r="G335" i="38"/>
  <c r="E335" i="38"/>
  <c r="D335" i="38"/>
  <c r="S334" i="38"/>
  <c r="M334" i="38"/>
  <c r="K334" i="38"/>
  <c r="L334" i="38" s="1"/>
  <c r="H334" i="38"/>
  <c r="G334" i="38"/>
  <c r="E334" i="38"/>
  <c r="D334" i="38"/>
  <c r="S333" i="38"/>
  <c r="M333" i="38"/>
  <c r="K333" i="38"/>
  <c r="L333" i="38" s="1"/>
  <c r="H333" i="38"/>
  <c r="G333" i="38"/>
  <c r="E333" i="38"/>
  <c r="D333" i="38"/>
  <c r="S332" i="38"/>
  <c r="M332" i="38"/>
  <c r="U332" i="38" s="1"/>
  <c r="K332" i="38"/>
  <c r="L332" i="38" s="1"/>
  <c r="H332" i="38"/>
  <c r="G332" i="38"/>
  <c r="E332" i="38"/>
  <c r="D332" i="38"/>
  <c r="S331" i="38"/>
  <c r="M331" i="38"/>
  <c r="U331" i="38" s="1"/>
  <c r="K331" i="38"/>
  <c r="L331" i="38" s="1"/>
  <c r="H331" i="38"/>
  <c r="G331" i="38"/>
  <c r="E331" i="38"/>
  <c r="D331" i="38"/>
  <c r="S330" i="38"/>
  <c r="M330" i="38"/>
  <c r="K330" i="38"/>
  <c r="L330" i="38" s="1"/>
  <c r="H330" i="38"/>
  <c r="G330" i="38"/>
  <c r="E330" i="38"/>
  <c r="D330" i="38"/>
  <c r="S329" i="38"/>
  <c r="M329" i="38"/>
  <c r="K329" i="38"/>
  <c r="L329" i="38" s="1"/>
  <c r="H329" i="38"/>
  <c r="G329" i="38"/>
  <c r="E329" i="38"/>
  <c r="D329" i="38"/>
  <c r="S328" i="38"/>
  <c r="M328" i="38"/>
  <c r="N328" i="38" s="1"/>
  <c r="K328" i="38"/>
  <c r="L328" i="38" s="1"/>
  <c r="H328" i="38"/>
  <c r="G328" i="38"/>
  <c r="E328" i="38"/>
  <c r="D328" i="38"/>
  <c r="S327" i="38"/>
  <c r="M327" i="38"/>
  <c r="K327" i="38"/>
  <c r="L327" i="38" s="1"/>
  <c r="H327" i="38"/>
  <c r="G327" i="38"/>
  <c r="E327" i="38"/>
  <c r="D327" i="38"/>
  <c r="S326" i="38"/>
  <c r="M326" i="38"/>
  <c r="K326" i="38"/>
  <c r="L326" i="38" s="1"/>
  <c r="H326" i="38"/>
  <c r="G326" i="38"/>
  <c r="E326" i="38"/>
  <c r="D326" i="38"/>
  <c r="S325" i="38"/>
  <c r="M325" i="38"/>
  <c r="U325" i="38" s="1"/>
  <c r="K325" i="38"/>
  <c r="L325" i="38" s="1"/>
  <c r="H325" i="38"/>
  <c r="G325" i="38"/>
  <c r="E325" i="38"/>
  <c r="D325" i="38"/>
  <c r="S324" i="38"/>
  <c r="M324" i="38"/>
  <c r="K324" i="38"/>
  <c r="L324" i="38" s="1"/>
  <c r="H324" i="38"/>
  <c r="G324" i="38"/>
  <c r="E324" i="38"/>
  <c r="D324" i="38"/>
  <c r="S323" i="38"/>
  <c r="M323" i="38"/>
  <c r="K323" i="38"/>
  <c r="L323" i="38" s="1"/>
  <c r="H323" i="38"/>
  <c r="G323" i="38"/>
  <c r="E323" i="38"/>
  <c r="D323" i="38"/>
  <c r="S322" i="38"/>
  <c r="M322" i="38"/>
  <c r="N322" i="38" s="1"/>
  <c r="K322" i="38"/>
  <c r="L322" i="38" s="1"/>
  <c r="H322" i="38"/>
  <c r="G322" i="38"/>
  <c r="E322" i="38"/>
  <c r="D322" i="38"/>
  <c r="S321" i="38"/>
  <c r="M321" i="38"/>
  <c r="N321" i="38" s="1"/>
  <c r="K321" i="38"/>
  <c r="L321" i="38" s="1"/>
  <c r="H321" i="38"/>
  <c r="G321" i="38"/>
  <c r="E321" i="38"/>
  <c r="D321" i="38"/>
  <c r="S320" i="38"/>
  <c r="M320" i="38"/>
  <c r="U320" i="38" s="1"/>
  <c r="K320" i="38"/>
  <c r="L320" i="38" s="1"/>
  <c r="H320" i="38"/>
  <c r="G320" i="38"/>
  <c r="E320" i="38"/>
  <c r="D320" i="38"/>
  <c r="S319" i="38"/>
  <c r="M319" i="38"/>
  <c r="U319" i="38" s="1"/>
  <c r="K319" i="38"/>
  <c r="L319" i="38" s="1"/>
  <c r="H319" i="38"/>
  <c r="G319" i="38"/>
  <c r="E319" i="38"/>
  <c r="D319" i="38"/>
  <c r="S318" i="38"/>
  <c r="M318" i="38"/>
  <c r="U318" i="38" s="1"/>
  <c r="K318" i="38"/>
  <c r="L318" i="38" s="1"/>
  <c r="H318" i="38"/>
  <c r="G318" i="38"/>
  <c r="E318" i="38"/>
  <c r="D318" i="38"/>
  <c r="S317" i="38"/>
  <c r="M317" i="38"/>
  <c r="K317" i="38"/>
  <c r="L317" i="38" s="1"/>
  <c r="H317" i="38"/>
  <c r="G317" i="38"/>
  <c r="E317" i="38"/>
  <c r="D317" i="38"/>
  <c r="S316" i="38"/>
  <c r="M316" i="38"/>
  <c r="U316" i="38" s="1"/>
  <c r="K316" i="38"/>
  <c r="L316" i="38" s="1"/>
  <c r="H316" i="38"/>
  <c r="G316" i="38"/>
  <c r="E316" i="38"/>
  <c r="D316" i="38"/>
  <c r="S315" i="38"/>
  <c r="M315" i="38"/>
  <c r="N315" i="38" s="1"/>
  <c r="K315" i="38"/>
  <c r="L315" i="38" s="1"/>
  <c r="H315" i="38"/>
  <c r="G315" i="38"/>
  <c r="E315" i="38"/>
  <c r="D315" i="38"/>
  <c r="S314" i="38"/>
  <c r="M314" i="38"/>
  <c r="N314" i="38" s="1"/>
  <c r="K314" i="38"/>
  <c r="L314" i="38" s="1"/>
  <c r="H314" i="38"/>
  <c r="G314" i="38"/>
  <c r="E314" i="38"/>
  <c r="D314" i="38"/>
  <c r="S313" i="38"/>
  <c r="M313" i="38"/>
  <c r="N313" i="38" s="1"/>
  <c r="K313" i="38"/>
  <c r="L313" i="38" s="1"/>
  <c r="H313" i="38"/>
  <c r="G313" i="38"/>
  <c r="E313" i="38"/>
  <c r="D313" i="38"/>
  <c r="S312" i="38"/>
  <c r="M312" i="38"/>
  <c r="K312" i="38"/>
  <c r="L312" i="38" s="1"/>
  <c r="H312" i="38"/>
  <c r="G312" i="38"/>
  <c r="E312" i="38"/>
  <c r="D312" i="38"/>
  <c r="S311" i="38"/>
  <c r="M311" i="38"/>
  <c r="K311" i="38"/>
  <c r="L311" i="38" s="1"/>
  <c r="H311" i="38"/>
  <c r="G311" i="38"/>
  <c r="E311" i="38"/>
  <c r="D311" i="38"/>
  <c r="S310" i="38"/>
  <c r="M310" i="38"/>
  <c r="K310" i="38"/>
  <c r="L310" i="38" s="1"/>
  <c r="H310" i="38"/>
  <c r="G310" i="38"/>
  <c r="E310" i="38"/>
  <c r="D310" i="38"/>
  <c r="S309" i="38"/>
  <c r="M309" i="38"/>
  <c r="U309" i="38" s="1"/>
  <c r="K309" i="38"/>
  <c r="L309" i="38" s="1"/>
  <c r="H309" i="38"/>
  <c r="G309" i="38"/>
  <c r="E309" i="38"/>
  <c r="D309" i="38"/>
  <c r="S308" i="38"/>
  <c r="M308" i="38"/>
  <c r="N308" i="38" s="1"/>
  <c r="K308" i="38"/>
  <c r="L308" i="38" s="1"/>
  <c r="H308" i="38"/>
  <c r="G308" i="38"/>
  <c r="E308" i="38"/>
  <c r="D308" i="38"/>
  <c r="S307" i="38"/>
  <c r="M307" i="38"/>
  <c r="K307" i="38"/>
  <c r="L307" i="38" s="1"/>
  <c r="H307" i="38"/>
  <c r="G307" i="38"/>
  <c r="E307" i="38"/>
  <c r="D307" i="38"/>
  <c r="S306" i="38"/>
  <c r="M306" i="38"/>
  <c r="K306" i="38"/>
  <c r="L306" i="38" s="1"/>
  <c r="H306" i="38"/>
  <c r="G306" i="38"/>
  <c r="E306" i="38"/>
  <c r="D306" i="38"/>
  <c r="S305" i="38"/>
  <c r="M305" i="38"/>
  <c r="N305" i="38" s="1"/>
  <c r="K305" i="38"/>
  <c r="L305" i="38" s="1"/>
  <c r="H305" i="38"/>
  <c r="G305" i="38"/>
  <c r="E305" i="38"/>
  <c r="D305" i="38"/>
  <c r="S304" i="38"/>
  <c r="M304" i="38"/>
  <c r="U304" i="38" s="1"/>
  <c r="K304" i="38"/>
  <c r="L304" i="38" s="1"/>
  <c r="H304" i="38"/>
  <c r="G304" i="38"/>
  <c r="E304" i="38"/>
  <c r="D304" i="38"/>
  <c r="S303" i="38"/>
  <c r="M303" i="38"/>
  <c r="N303" i="38" s="1"/>
  <c r="K303" i="38"/>
  <c r="L303" i="38" s="1"/>
  <c r="H303" i="38"/>
  <c r="G303" i="38"/>
  <c r="E303" i="38"/>
  <c r="D303" i="38"/>
  <c r="S302" i="38"/>
  <c r="M302" i="38"/>
  <c r="K302" i="38"/>
  <c r="L302" i="38" s="1"/>
  <c r="H302" i="38"/>
  <c r="G302" i="38"/>
  <c r="E302" i="38"/>
  <c r="D302" i="38"/>
  <c r="S301" i="38"/>
  <c r="M301" i="38"/>
  <c r="K301" i="38"/>
  <c r="L301" i="38" s="1"/>
  <c r="H301" i="38"/>
  <c r="G301" i="38"/>
  <c r="E301" i="38"/>
  <c r="D301" i="38"/>
  <c r="S300" i="38"/>
  <c r="M300" i="38"/>
  <c r="U300" i="38" s="1"/>
  <c r="K300" i="38"/>
  <c r="L300" i="38" s="1"/>
  <c r="H300" i="38"/>
  <c r="G300" i="38"/>
  <c r="E300" i="38"/>
  <c r="D300" i="38"/>
  <c r="S299" i="38"/>
  <c r="M299" i="38"/>
  <c r="N299" i="38" s="1"/>
  <c r="K299" i="38"/>
  <c r="L299" i="38" s="1"/>
  <c r="H299" i="38"/>
  <c r="G299" i="38"/>
  <c r="E299" i="38"/>
  <c r="D299" i="38"/>
  <c r="S298" i="38"/>
  <c r="M298" i="38"/>
  <c r="N298" i="38" s="1"/>
  <c r="K298" i="38"/>
  <c r="L298" i="38" s="1"/>
  <c r="H298" i="38"/>
  <c r="G298" i="38"/>
  <c r="E298" i="38"/>
  <c r="D298" i="38"/>
  <c r="S297" i="38"/>
  <c r="M297" i="38"/>
  <c r="N297" i="38" s="1"/>
  <c r="K297" i="38"/>
  <c r="L297" i="38" s="1"/>
  <c r="H297" i="38"/>
  <c r="G297" i="38"/>
  <c r="E297" i="38"/>
  <c r="D297" i="38"/>
  <c r="S296" i="38"/>
  <c r="M296" i="38"/>
  <c r="K296" i="38"/>
  <c r="L296" i="38" s="1"/>
  <c r="H296" i="38"/>
  <c r="G296" i="38"/>
  <c r="E296" i="38"/>
  <c r="D296" i="38"/>
  <c r="S295" i="38"/>
  <c r="M295" i="38"/>
  <c r="U295" i="38" s="1"/>
  <c r="K295" i="38"/>
  <c r="L295" i="38" s="1"/>
  <c r="H295" i="38"/>
  <c r="G295" i="38"/>
  <c r="E295" i="38"/>
  <c r="D295" i="38"/>
  <c r="S294" i="38"/>
  <c r="M294" i="38"/>
  <c r="U294" i="38" s="1"/>
  <c r="K294" i="38"/>
  <c r="L294" i="38" s="1"/>
  <c r="H294" i="38"/>
  <c r="G294" i="38"/>
  <c r="E294" i="38"/>
  <c r="D294" i="38"/>
  <c r="S293" i="38"/>
  <c r="M293" i="38"/>
  <c r="U293" i="38" s="1"/>
  <c r="K293" i="38"/>
  <c r="L293" i="38" s="1"/>
  <c r="H293" i="38"/>
  <c r="G293" i="38"/>
  <c r="E293" i="38"/>
  <c r="D293" i="38"/>
  <c r="S292" i="38"/>
  <c r="M292" i="38"/>
  <c r="U292" i="38" s="1"/>
  <c r="K292" i="38"/>
  <c r="L292" i="38" s="1"/>
  <c r="H292" i="38"/>
  <c r="G292" i="38"/>
  <c r="E292" i="38"/>
  <c r="D292" i="38"/>
  <c r="S291" i="38"/>
  <c r="M291" i="38"/>
  <c r="K291" i="38"/>
  <c r="L291" i="38" s="1"/>
  <c r="H291" i="38"/>
  <c r="G291" i="38"/>
  <c r="E291" i="38"/>
  <c r="D291" i="38"/>
  <c r="S290" i="38"/>
  <c r="M290" i="38"/>
  <c r="N290" i="38" s="1"/>
  <c r="K290" i="38"/>
  <c r="L290" i="38" s="1"/>
  <c r="H290" i="38"/>
  <c r="G290" i="38"/>
  <c r="E290" i="38"/>
  <c r="D290" i="38"/>
  <c r="S289" i="38"/>
  <c r="M289" i="38"/>
  <c r="N289" i="38" s="1"/>
  <c r="K289" i="38"/>
  <c r="L289" i="38" s="1"/>
  <c r="H289" i="38"/>
  <c r="G289" i="38"/>
  <c r="E289" i="38"/>
  <c r="D289" i="38"/>
  <c r="S288" i="38"/>
  <c r="M288" i="38"/>
  <c r="K288" i="38"/>
  <c r="L288" i="38" s="1"/>
  <c r="H288" i="38"/>
  <c r="G288" i="38"/>
  <c r="E288" i="38"/>
  <c r="D288" i="38"/>
  <c r="S287" i="38"/>
  <c r="M287" i="38"/>
  <c r="U287" i="38" s="1"/>
  <c r="K287" i="38"/>
  <c r="L287" i="38" s="1"/>
  <c r="H287" i="38"/>
  <c r="G287" i="38"/>
  <c r="E287" i="38"/>
  <c r="D287" i="38"/>
  <c r="S286" i="38"/>
  <c r="M286" i="38"/>
  <c r="N286" i="38" s="1"/>
  <c r="K286" i="38"/>
  <c r="L286" i="38" s="1"/>
  <c r="H286" i="38"/>
  <c r="G286" i="38"/>
  <c r="E286" i="38"/>
  <c r="D286" i="38"/>
  <c r="S285" i="38"/>
  <c r="M285" i="38"/>
  <c r="N285" i="38" s="1"/>
  <c r="K285" i="38"/>
  <c r="L285" i="38" s="1"/>
  <c r="H285" i="38"/>
  <c r="G285" i="38"/>
  <c r="E285" i="38"/>
  <c r="D285" i="38"/>
  <c r="S284" i="38"/>
  <c r="M284" i="38"/>
  <c r="N284" i="38" s="1"/>
  <c r="K284" i="38"/>
  <c r="L284" i="38" s="1"/>
  <c r="H284" i="38"/>
  <c r="G284" i="38"/>
  <c r="E284" i="38"/>
  <c r="D284" i="38"/>
  <c r="S283" i="38"/>
  <c r="M283" i="38"/>
  <c r="K283" i="38"/>
  <c r="L283" i="38" s="1"/>
  <c r="H283" i="38"/>
  <c r="G283" i="38"/>
  <c r="E283" i="38"/>
  <c r="D283" i="38"/>
  <c r="S282" i="38"/>
  <c r="M282" i="38"/>
  <c r="K282" i="38"/>
  <c r="L282" i="38" s="1"/>
  <c r="H282" i="38"/>
  <c r="G282" i="38"/>
  <c r="E282" i="38"/>
  <c r="D282" i="38"/>
  <c r="S281" i="38"/>
  <c r="M281" i="38"/>
  <c r="K281" i="38"/>
  <c r="L281" i="38" s="1"/>
  <c r="H281" i="38"/>
  <c r="G281" i="38"/>
  <c r="E281" i="38"/>
  <c r="D281" i="38"/>
  <c r="S280" i="38"/>
  <c r="M280" i="38"/>
  <c r="K280" i="38"/>
  <c r="L280" i="38" s="1"/>
  <c r="H280" i="38"/>
  <c r="G280" i="38"/>
  <c r="E280" i="38"/>
  <c r="D280" i="38"/>
  <c r="S279" i="38"/>
  <c r="M279" i="38"/>
  <c r="K279" i="38"/>
  <c r="L279" i="38" s="1"/>
  <c r="H279" i="38"/>
  <c r="G279" i="38"/>
  <c r="E279" i="38"/>
  <c r="D279" i="38"/>
  <c r="S278" i="38"/>
  <c r="M278" i="38"/>
  <c r="N278" i="38" s="1"/>
  <c r="K278" i="38"/>
  <c r="L278" i="38" s="1"/>
  <c r="H278" i="38"/>
  <c r="G278" i="38"/>
  <c r="E278" i="38"/>
  <c r="D278" i="38"/>
  <c r="S277" i="38"/>
  <c r="M277" i="38"/>
  <c r="K277" i="38"/>
  <c r="L277" i="38" s="1"/>
  <c r="H277" i="38"/>
  <c r="G277" i="38"/>
  <c r="E277" i="38"/>
  <c r="D277" i="38"/>
  <c r="S276" i="38"/>
  <c r="M276" i="38"/>
  <c r="U276" i="38" s="1"/>
  <c r="K276" i="38"/>
  <c r="L276" i="38" s="1"/>
  <c r="H276" i="38"/>
  <c r="G276" i="38"/>
  <c r="E276" i="38"/>
  <c r="D276" i="38"/>
  <c r="S275" i="38"/>
  <c r="M275" i="38"/>
  <c r="K275" i="38"/>
  <c r="L275" i="38" s="1"/>
  <c r="H275" i="38"/>
  <c r="G275" i="38"/>
  <c r="E275" i="38"/>
  <c r="D275" i="38"/>
  <c r="S274" i="38"/>
  <c r="M274" i="38"/>
  <c r="K274" i="38"/>
  <c r="L274" i="38" s="1"/>
  <c r="H274" i="38"/>
  <c r="G274" i="38"/>
  <c r="E274" i="38"/>
  <c r="D274" i="38"/>
  <c r="S273" i="38"/>
  <c r="M273" i="38"/>
  <c r="K273" i="38"/>
  <c r="L273" i="38" s="1"/>
  <c r="H273" i="38"/>
  <c r="G273" i="38"/>
  <c r="E273" i="38"/>
  <c r="D273" i="38"/>
  <c r="S272" i="38"/>
  <c r="M272" i="38"/>
  <c r="N272" i="38" s="1"/>
  <c r="K272" i="38"/>
  <c r="L272" i="38" s="1"/>
  <c r="H272" i="38"/>
  <c r="G272" i="38"/>
  <c r="E272" i="38"/>
  <c r="D272" i="38"/>
  <c r="S271" i="38"/>
  <c r="M271" i="38"/>
  <c r="U271" i="38" s="1"/>
  <c r="K271" i="38"/>
  <c r="L271" i="38" s="1"/>
  <c r="H271" i="38"/>
  <c r="G271" i="38"/>
  <c r="E271" i="38"/>
  <c r="D271" i="38"/>
  <c r="S270" i="38"/>
  <c r="M270" i="38"/>
  <c r="N270" i="38" s="1"/>
  <c r="K270" i="38"/>
  <c r="L270" i="38" s="1"/>
  <c r="H270" i="38"/>
  <c r="G270" i="38"/>
  <c r="E270" i="38"/>
  <c r="D270" i="38"/>
  <c r="S269" i="38"/>
  <c r="M269" i="38"/>
  <c r="U269" i="38" s="1"/>
  <c r="K269" i="38"/>
  <c r="L269" i="38" s="1"/>
  <c r="H269" i="38"/>
  <c r="G269" i="38"/>
  <c r="E269" i="38"/>
  <c r="D269" i="38"/>
  <c r="S268" i="38"/>
  <c r="M268" i="38"/>
  <c r="U268" i="38" s="1"/>
  <c r="K268" i="38"/>
  <c r="L268" i="38" s="1"/>
  <c r="H268" i="38"/>
  <c r="G268" i="38"/>
  <c r="E268" i="38"/>
  <c r="D268" i="38"/>
  <c r="S267" i="38"/>
  <c r="M267" i="38"/>
  <c r="U267" i="38" s="1"/>
  <c r="K267" i="38"/>
  <c r="L267" i="38" s="1"/>
  <c r="H267" i="38"/>
  <c r="G267" i="38"/>
  <c r="E267" i="38"/>
  <c r="D267" i="38"/>
  <c r="S266" i="38"/>
  <c r="M266" i="38"/>
  <c r="K266" i="38"/>
  <c r="L266" i="38" s="1"/>
  <c r="H266" i="38"/>
  <c r="G266" i="38"/>
  <c r="E266" i="38"/>
  <c r="D266" i="38"/>
  <c r="S265" i="38"/>
  <c r="M265" i="38"/>
  <c r="N265" i="38" s="1"/>
  <c r="K265" i="38"/>
  <c r="L265" i="38" s="1"/>
  <c r="H265" i="38"/>
  <c r="G265" i="38"/>
  <c r="E265" i="38"/>
  <c r="D265" i="38"/>
  <c r="S264" i="38"/>
  <c r="M264" i="38"/>
  <c r="N264" i="38" s="1"/>
  <c r="K264" i="38"/>
  <c r="L264" i="38" s="1"/>
  <c r="H264" i="38"/>
  <c r="G264" i="38"/>
  <c r="E264" i="38"/>
  <c r="D264" i="38"/>
  <c r="S263" i="38"/>
  <c r="M263" i="38"/>
  <c r="K263" i="38"/>
  <c r="L263" i="38" s="1"/>
  <c r="H263" i="38"/>
  <c r="G263" i="38"/>
  <c r="E263" i="38"/>
  <c r="D263" i="38"/>
  <c r="S262" i="38"/>
  <c r="M262" i="38"/>
  <c r="N262" i="38" s="1"/>
  <c r="K262" i="38"/>
  <c r="L262" i="38" s="1"/>
  <c r="H262" i="38"/>
  <c r="G262" i="38"/>
  <c r="E262" i="38"/>
  <c r="D262" i="38"/>
  <c r="S261" i="38"/>
  <c r="M261" i="38"/>
  <c r="K261" i="38"/>
  <c r="L261" i="38" s="1"/>
  <c r="H261" i="38"/>
  <c r="G261" i="38"/>
  <c r="E261" i="38"/>
  <c r="D261" i="38"/>
  <c r="S260" i="38"/>
  <c r="M260" i="38"/>
  <c r="K260" i="38"/>
  <c r="L260" i="38" s="1"/>
  <c r="H260" i="38"/>
  <c r="G260" i="38"/>
  <c r="E260" i="38"/>
  <c r="D260" i="38"/>
  <c r="S259" i="38"/>
  <c r="M259" i="38"/>
  <c r="H259" i="38"/>
  <c r="G259" i="38"/>
  <c r="E259" i="38"/>
  <c r="D259" i="38"/>
  <c r="I258" i="38"/>
  <c r="K259" i="38" s="1"/>
  <c r="L259" i="38" s="1"/>
  <c r="H258" i="38"/>
  <c r="G258" i="38"/>
  <c r="E258" i="38"/>
  <c r="D258" i="38"/>
  <c r="S257" i="38"/>
  <c r="M257" i="38"/>
  <c r="K257" i="38"/>
  <c r="L257" i="38" s="1"/>
  <c r="H257" i="38"/>
  <c r="G257" i="38"/>
  <c r="E257" i="38"/>
  <c r="D257" i="38"/>
  <c r="S256" i="38"/>
  <c r="M256" i="38"/>
  <c r="N256" i="38" s="1"/>
  <c r="K256" i="38"/>
  <c r="L256" i="38" s="1"/>
  <c r="H256" i="38"/>
  <c r="G256" i="38"/>
  <c r="E256" i="38"/>
  <c r="D256" i="38"/>
  <c r="S255" i="38"/>
  <c r="M255" i="38"/>
  <c r="K255" i="38"/>
  <c r="L255" i="38" s="1"/>
  <c r="H255" i="38"/>
  <c r="G255" i="38"/>
  <c r="E255" i="38"/>
  <c r="D255" i="38"/>
  <c r="S254" i="38"/>
  <c r="M254" i="38"/>
  <c r="N254" i="38" s="1"/>
  <c r="K254" i="38"/>
  <c r="L254" i="38" s="1"/>
  <c r="H254" i="38"/>
  <c r="G254" i="38"/>
  <c r="E254" i="38"/>
  <c r="D254" i="38"/>
  <c r="S253" i="38"/>
  <c r="M253" i="38"/>
  <c r="H253" i="38"/>
  <c r="G253" i="38"/>
  <c r="E253" i="38"/>
  <c r="D253" i="38"/>
  <c r="I252" i="38"/>
  <c r="M252" i="38" s="1"/>
  <c r="N252" i="38" s="1"/>
  <c r="H252" i="38"/>
  <c r="G252" i="38"/>
  <c r="E252" i="38"/>
  <c r="D252" i="38"/>
  <c r="S251" i="38"/>
  <c r="M251" i="38"/>
  <c r="U251" i="38" s="1"/>
  <c r="K251" i="38"/>
  <c r="L251" i="38" s="1"/>
  <c r="H251" i="38"/>
  <c r="G251" i="38"/>
  <c r="E251" i="38"/>
  <c r="D251" i="38"/>
  <c r="S250" i="38"/>
  <c r="M250" i="38"/>
  <c r="K250" i="38"/>
  <c r="L250" i="38" s="1"/>
  <c r="H250" i="38"/>
  <c r="G250" i="38"/>
  <c r="E250" i="38"/>
  <c r="D250" i="38"/>
  <c r="S249" i="38"/>
  <c r="M249" i="38"/>
  <c r="U249" i="38" s="1"/>
  <c r="K249" i="38"/>
  <c r="L249" i="38" s="1"/>
  <c r="H249" i="38"/>
  <c r="G249" i="38"/>
  <c r="E249" i="38"/>
  <c r="D249" i="38"/>
  <c r="S248" i="38"/>
  <c r="M248" i="38"/>
  <c r="K248" i="38"/>
  <c r="L248" i="38" s="1"/>
  <c r="H248" i="38"/>
  <c r="G248" i="38"/>
  <c r="E248" i="38"/>
  <c r="D248" i="38"/>
  <c r="S247" i="38"/>
  <c r="M247" i="38"/>
  <c r="K247" i="38"/>
  <c r="L247" i="38" s="1"/>
  <c r="H247" i="38"/>
  <c r="G247" i="38"/>
  <c r="E247" i="38"/>
  <c r="D247" i="38"/>
  <c r="S246" i="38"/>
  <c r="M246" i="38"/>
  <c r="K246" i="38"/>
  <c r="L246" i="38" s="1"/>
  <c r="H246" i="38"/>
  <c r="G246" i="38"/>
  <c r="E246" i="38"/>
  <c r="D246" i="38"/>
  <c r="S245" i="38"/>
  <c r="M245" i="38"/>
  <c r="U245" i="38" s="1"/>
  <c r="K245" i="38"/>
  <c r="L245" i="38" s="1"/>
  <c r="H245" i="38"/>
  <c r="G245" i="38"/>
  <c r="E245" i="38"/>
  <c r="D245" i="38"/>
  <c r="S244" i="38"/>
  <c r="M244" i="38"/>
  <c r="K244" i="38"/>
  <c r="L244" i="38" s="1"/>
  <c r="H244" i="38"/>
  <c r="G244" i="38"/>
  <c r="E244" i="38"/>
  <c r="D244" i="38"/>
  <c r="S243" i="38"/>
  <c r="M243" i="38"/>
  <c r="K243" i="38"/>
  <c r="L243" i="38" s="1"/>
  <c r="H243" i="38"/>
  <c r="G243" i="38"/>
  <c r="E243" i="38"/>
  <c r="D243" i="38"/>
  <c r="S242" i="38"/>
  <c r="M242" i="38"/>
  <c r="K242" i="38"/>
  <c r="L242" i="38" s="1"/>
  <c r="H242" i="38"/>
  <c r="G242" i="38"/>
  <c r="E242" i="38"/>
  <c r="D242" i="38"/>
  <c r="S241" i="38"/>
  <c r="M241" i="38"/>
  <c r="H241" i="38"/>
  <c r="G241" i="38"/>
  <c r="E241" i="38"/>
  <c r="D241" i="38"/>
  <c r="I240" i="38"/>
  <c r="S240" i="38" s="1"/>
  <c r="H240" i="38"/>
  <c r="G240" i="38"/>
  <c r="E240" i="38"/>
  <c r="D240" i="38"/>
  <c r="S239" i="38"/>
  <c r="M239" i="38"/>
  <c r="K239" i="38"/>
  <c r="L239" i="38" s="1"/>
  <c r="H239" i="38"/>
  <c r="G239" i="38"/>
  <c r="E239" i="38"/>
  <c r="D239" i="38"/>
  <c r="S238" i="38"/>
  <c r="M238" i="38"/>
  <c r="N238" i="38" s="1"/>
  <c r="K238" i="38"/>
  <c r="L238" i="38" s="1"/>
  <c r="H238" i="38"/>
  <c r="G238" i="38"/>
  <c r="E238" i="38"/>
  <c r="D238" i="38"/>
  <c r="S237" i="38"/>
  <c r="M237" i="38"/>
  <c r="H237" i="38"/>
  <c r="G237" i="38"/>
  <c r="E237" i="38"/>
  <c r="D237" i="38"/>
  <c r="I236" i="38"/>
  <c r="H236" i="38"/>
  <c r="G236" i="38"/>
  <c r="E236" i="38"/>
  <c r="D236" i="38"/>
  <c r="S235" i="38"/>
  <c r="M235" i="38"/>
  <c r="U235" i="38" s="1"/>
  <c r="K235" i="38"/>
  <c r="L235" i="38" s="1"/>
  <c r="H235" i="38"/>
  <c r="G235" i="38"/>
  <c r="E235" i="38"/>
  <c r="D235" i="38"/>
  <c r="S234" i="38"/>
  <c r="M234" i="38"/>
  <c r="U234" i="38" s="1"/>
  <c r="H234" i="38"/>
  <c r="G234" i="38"/>
  <c r="E234" i="38"/>
  <c r="D234" i="38"/>
  <c r="I233" i="38"/>
  <c r="K234" i="38" s="1"/>
  <c r="L234" i="38" s="1"/>
  <c r="H233" i="38"/>
  <c r="G233" i="38"/>
  <c r="E233" i="38"/>
  <c r="D233" i="38"/>
  <c r="S232" i="38"/>
  <c r="M232" i="38"/>
  <c r="K232" i="38"/>
  <c r="L232" i="38" s="1"/>
  <c r="H232" i="38"/>
  <c r="G232" i="38"/>
  <c r="E232" i="38"/>
  <c r="D232" i="38"/>
  <c r="S231" i="38"/>
  <c r="M231" i="38"/>
  <c r="K231" i="38"/>
  <c r="L231" i="38" s="1"/>
  <c r="H231" i="38"/>
  <c r="G231" i="38"/>
  <c r="E231" i="38"/>
  <c r="D231" i="38"/>
  <c r="S230" i="38"/>
  <c r="M230" i="38"/>
  <c r="K230" i="38"/>
  <c r="L230" i="38" s="1"/>
  <c r="H230" i="38"/>
  <c r="G230" i="38"/>
  <c r="E230" i="38"/>
  <c r="D230" i="38"/>
  <c r="S229" i="38"/>
  <c r="M229" i="38"/>
  <c r="U229" i="38" s="1"/>
  <c r="K229" i="38"/>
  <c r="L229" i="38" s="1"/>
  <c r="H229" i="38"/>
  <c r="G229" i="38"/>
  <c r="E229" i="38"/>
  <c r="D229" i="38"/>
  <c r="S228" i="38"/>
  <c r="M228" i="38"/>
  <c r="U228" i="38" s="1"/>
  <c r="H228" i="38"/>
  <c r="G228" i="38"/>
  <c r="E228" i="38"/>
  <c r="D228" i="38"/>
  <c r="I227" i="38"/>
  <c r="K227" i="38" s="1"/>
  <c r="L227" i="38" s="1"/>
  <c r="H227" i="38"/>
  <c r="G227" i="38"/>
  <c r="E227" i="38"/>
  <c r="D227" i="38"/>
  <c r="S226" i="38"/>
  <c r="M226" i="38"/>
  <c r="N226" i="38" s="1"/>
  <c r="K226" i="38"/>
  <c r="L226" i="38" s="1"/>
  <c r="H226" i="38"/>
  <c r="G226" i="38"/>
  <c r="E226" i="38"/>
  <c r="D226" i="38"/>
  <c r="S225" i="38"/>
  <c r="M225" i="38"/>
  <c r="N225" i="38" s="1"/>
  <c r="K225" i="38"/>
  <c r="L225" i="38" s="1"/>
  <c r="H225" i="38"/>
  <c r="G225" i="38"/>
  <c r="E225" i="38"/>
  <c r="D225" i="38"/>
  <c r="S224" i="38"/>
  <c r="M224" i="38"/>
  <c r="U224" i="38" s="1"/>
  <c r="K224" i="38"/>
  <c r="L224" i="38" s="1"/>
  <c r="H224" i="38"/>
  <c r="G224" i="38"/>
  <c r="E224" i="38"/>
  <c r="D224" i="38"/>
  <c r="S223" i="38"/>
  <c r="M223" i="38"/>
  <c r="N223" i="38" s="1"/>
  <c r="K223" i="38"/>
  <c r="L223" i="38" s="1"/>
  <c r="H223" i="38"/>
  <c r="G223" i="38"/>
  <c r="E223" i="38"/>
  <c r="D223" i="38"/>
  <c r="S222" i="38"/>
  <c r="M222" i="38"/>
  <c r="U222" i="38" s="1"/>
  <c r="K222" i="38"/>
  <c r="L222" i="38" s="1"/>
  <c r="H222" i="38"/>
  <c r="G222" i="38"/>
  <c r="E222" i="38"/>
  <c r="D222" i="38"/>
  <c r="S221" i="38"/>
  <c r="M221" i="38"/>
  <c r="N221" i="38" s="1"/>
  <c r="K221" i="38"/>
  <c r="L221" i="38" s="1"/>
  <c r="H221" i="38"/>
  <c r="G221" i="38"/>
  <c r="E221" i="38"/>
  <c r="D221" i="38"/>
  <c r="S220" i="38"/>
  <c r="M220" i="38"/>
  <c r="K220" i="38"/>
  <c r="L220" i="38" s="1"/>
  <c r="H220" i="38"/>
  <c r="G220" i="38"/>
  <c r="E220" i="38"/>
  <c r="D220" i="38"/>
  <c r="S219" i="38"/>
  <c r="M219" i="38"/>
  <c r="K219" i="38"/>
  <c r="L219" i="38" s="1"/>
  <c r="H219" i="38"/>
  <c r="G219" i="38"/>
  <c r="E219" i="38"/>
  <c r="D219" i="38"/>
  <c r="S218" i="38"/>
  <c r="M218" i="38"/>
  <c r="N218" i="38" s="1"/>
  <c r="K218" i="38"/>
  <c r="L218" i="38" s="1"/>
  <c r="H218" i="38"/>
  <c r="G218" i="38"/>
  <c r="E218" i="38"/>
  <c r="D218" i="38"/>
  <c r="S217" i="38"/>
  <c r="M217" i="38"/>
  <c r="K217" i="38"/>
  <c r="L217" i="38" s="1"/>
  <c r="H217" i="38"/>
  <c r="G217" i="38"/>
  <c r="E217" i="38"/>
  <c r="D217" i="38"/>
  <c r="S216" i="38"/>
  <c r="M216" i="38"/>
  <c r="U216" i="38" s="1"/>
  <c r="K216" i="38"/>
  <c r="L216" i="38" s="1"/>
  <c r="H216" i="38"/>
  <c r="G216" i="38"/>
  <c r="E216" i="38"/>
  <c r="D216" i="38"/>
  <c r="S215" i="38"/>
  <c r="M215" i="38"/>
  <c r="K215" i="38"/>
  <c r="L215" i="38" s="1"/>
  <c r="H215" i="38"/>
  <c r="G215" i="38"/>
  <c r="E215" i="38"/>
  <c r="D215" i="38"/>
  <c r="S214" i="38"/>
  <c r="M214" i="38"/>
  <c r="U214" i="38" s="1"/>
  <c r="K214" i="38"/>
  <c r="L214" i="38" s="1"/>
  <c r="H214" i="38"/>
  <c r="G214" i="38"/>
  <c r="E214" i="38"/>
  <c r="D214" i="38"/>
  <c r="S213" i="38"/>
  <c r="M213" i="38"/>
  <c r="U213" i="38" s="1"/>
  <c r="K213" i="38"/>
  <c r="L213" i="38" s="1"/>
  <c r="H213" i="38"/>
  <c r="G213" i="38"/>
  <c r="E213" i="38"/>
  <c r="D213" i="38"/>
  <c r="S212" i="38"/>
  <c r="M212" i="38"/>
  <c r="N212" i="38" s="1"/>
  <c r="K212" i="38"/>
  <c r="L212" i="38" s="1"/>
  <c r="H212" i="38"/>
  <c r="G212" i="38"/>
  <c r="E212" i="38"/>
  <c r="D212" i="38"/>
  <c r="S211" i="38"/>
  <c r="M211" i="38"/>
  <c r="K211" i="38"/>
  <c r="L211" i="38" s="1"/>
  <c r="H211" i="38"/>
  <c r="G211" i="38"/>
  <c r="E211" i="38"/>
  <c r="D211" i="38"/>
  <c r="S210" i="38"/>
  <c r="M210" i="38"/>
  <c r="K210" i="38"/>
  <c r="L210" i="38" s="1"/>
  <c r="H210" i="38"/>
  <c r="G210" i="38"/>
  <c r="E210" i="38"/>
  <c r="D210" i="38"/>
  <c r="S209" i="38"/>
  <c r="M209" i="38"/>
  <c r="K209" i="38"/>
  <c r="L209" i="38" s="1"/>
  <c r="H209" i="38"/>
  <c r="G209" i="38"/>
  <c r="E209" i="38"/>
  <c r="D209" i="38"/>
  <c r="S208" i="38"/>
  <c r="M208" i="38"/>
  <c r="U208" i="38" s="1"/>
  <c r="K208" i="38"/>
  <c r="L208" i="38" s="1"/>
  <c r="H208" i="38"/>
  <c r="G208" i="38"/>
  <c r="E208" i="38"/>
  <c r="D208" i="38"/>
  <c r="S207" i="38"/>
  <c r="M207" i="38"/>
  <c r="U207" i="38" s="1"/>
  <c r="K207" i="38"/>
  <c r="L207" i="38" s="1"/>
  <c r="H207" i="38"/>
  <c r="G207" i="38"/>
  <c r="E207" i="38"/>
  <c r="D207" i="38"/>
  <c r="S206" i="38"/>
  <c r="M206" i="38"/>
  <c r="U206" i="38" s="1"/>
  <c r="K206" i="38"/>
  <c r="L206" i="38" s="1"/>
  <c r="H206" i="38"/>
  <c r="G206" i="38"/>
  <c r="E206" i="38"/>
  <c r="D206" i="38"/>
  <c r="S205" i="38"/>
  <c r="M205" i="38"/>
  <c r="N205" i="38" s="1"/>
  <c r="K205" i="38"/>
  <c r="L205" i="38" s="1"/>
  <c r="H205" i="38"/>
  <c r="G205" i="38"/>
  <c r="E205" i="38"/>
  <c r="D205" i="38"/>
  <c r="S204" i="38"/>
  <c r="M204" i="38"/>
  <c r="N204" i="38" s="1"/>
  <c r="K204" i="38"/>
  <c r="L204" i="38" s="1"/>
  <c r="H204" i="38"/>
  <c r="G204" i="38"/>
  <c r="E204" i="38"/>
  <c r="D204" i="38"/>
  <c r="S203" i="38"/>
  <c r="M203" i="38"/>
  <c r="K203" i="38"/>
  <c r="L203" i="38" s="1"/>
  <c r="H203" i="38"/>
  <c r="G203" i="38"/>
  <c r="E203" i="38"/>
  <c r="D203" i="38"/>
  <c r="S202" i="38"/>
  <c r="M202" i="38"/>
  <c r="N202" i="38" s="1"/>
  <c r="K202" i="38"/>
  <c r="L202" i="38" s="1"/>
  <c r="H202" i="38"/>
  <c r="G202" i="38"/>
  <c r="E202" i="38"/>
  <c r="D202" i="38"/>
  <c r="S201" i="38"/>
  <c r="M201" i="38"/>
  <c r="N201" i="38" s="1"/>
  <c r="K201" i="38"/>
  <c r="L201" i="38" s="1"/>
  <c r="H201" i="38"/>
  <c r="G201" i="38"/>
  <c r="E201" i="38"/>
  <c r="D201" i="38"/>
  <c r="S200" i="38"/>
  <c r="M200" i="38"/>
  <c r="U200" i="38" s="1"/>
  <c r="K200" i="38"/>
  <c r="L200" i="38" s="1"/>
  <c r="H200" i="38"/>
  <c r="G200" i="38"/>
  <c r="E200" i="38"/>
  <c r="D200" i="38"/>
  <c r="S199" i="38"/>
  <c r="M199" i="38"/>
  <c r="K199" i="38"/>
  <c r="L199" i="38" s="1"/>
  <c r="H199" i="38"/>
  <c r="G199" i="38"/>
  <c r="E199" i="38"/>
  <c r="D199" i="38"/>
  <c r="S198" i="38"/>
  <c r="M198" i="38"/>
  <c r="N198" i="38" s="1"/>
  <c r="K198" i="38"/>
  <c r="L198" i="38" s="1"/>
  <c r="H198" i="38"/>
  <c r="G198" i="38"/>
  <c r="E198" i="38"/>
  <c r="D198" i="38"/>
  <c r="S197" i="38"/>
  <c r="M197" i="38"/>
  <c r="N197" i="38" s="1"/>
  <c r="K197" i="38"/>
  <c r="L197" i="38" s="1"/>
  <c r="H197" i="38"/>
  <c r="G197" i="38"/>
  <c r="E197" i="38"/>
  <c r="D197" i="38"/>
  <c r="S196" i="38"/>
  <c r="M196" i="38"/>
  <c r="N196" i="38" s="1"/>
  <c r="K196" i="38"/>
  <c r="L196" i="38" s="1"/>
  <c r="H196" i="38"/>
  <c r="G196" i="38"/>
  <c r="E196" i="38"/>
  <c r="D196" i="38"/>
  <c r="S195" i="38"/>
  <c r="M195" i="38"/>
  <c r="N195" i="38" s="1"/>
  <c r="K195" i="38"/>
  <c r="L195" i="38" s="1"/>
  <c r="H195" i="38"/>
  <c r="G195" i="38"/>
  <c r="E195" i="38"/>
  <c r="D195" i="38"/>
  <c r="S194" i="38"/>
  <c r="M194" i="38"/>
  <c r="N194" i="38" s="1"/>
  <c r="K194" i="38"/>
  <c r="L194" i="38" s="1"/>
  <c r="H194" i="38"/>
  <c r="G194" i="38"/>
  <c r="E194" i="38"/>
  <c r="D194" i="38"/>
  <c r="S193" i="38"/>
  <c r="M193" i="38"/>
  <c r="N193" i="38" s="1"/>
  <c r="K193" i="38"/>
  <c r="L193" i="38" s="1"/>
  <c r="H193" i="38"/>
  <c r="G193" i="38"/>
  <c r="E193" i="38"/>
  <c r="D193" i="38"/>
  <c r="S192" i="38"/>
  <c r="M192" i="38"/>
  <c r="N192" i="38" s="1"/>
  <c r="K192" i="38"/>
  <c r="L192" i="38" s="1"/>
  <c r="H192" i="38"/>
  <c r="G192" i="38"/>
  <c r="E192" i="38"/>
  <c r="D192" i="38"/>
  <c r="S191" i="38"/>
  <c r="M191" i="38"/>
  <c r="N191" i="38" s="1"/>
  <c r="K191" i="38"/>
  <c r="L191" i="38" s="1"/>
  <c r="H191" i="38"/>
  <c r="G191" i="38"/>
  <c r="E191" i="38"/>
  <c r="D191" i="38"/>
  <c r="S190" i="38"/>
  <c r="M190" i="38"/>
  <c r="N190" i="38" s="1"/>
  <c r="K190" i="38"/>
  <c r="L190" i="38" s="1"/>
  <c r="H190" i="38"/>
  <c r="G190" i="38"/>
  <c r="E190" i="38"/>
  <c r="D190" i="38"/>
  <c r="S189" i="38"/>
  <c r="M189" i="38"/>
  <c r="N189" i="38" s="1"/>
  <c r="K189" i="38"/>
  <c r="L189" i="38" s="1"/>
  <c r="H189" i="38"/>
  <c r="G189" i="38"/>
  <c r="E189" i="38"/>
  <c r="D189" i="38"/>
  <c r="S188" i="38"/>
  <c r="M188" i="38"/>
  <c r="N188" i="38" s="1"/>
  <c r="K188" i="38"/>
  <c r="L188" i="38" s="1"/>
  <c r="H188" i="38"/>
  <c r="G188" i="38"/>
  <c r="E188" i="38"/>
  <c r="D188" i="38"/>
  <c r="S187" i="38"/>
  <c r="M187" i="38"/>
  <c r="N187" i="38" s="1"/>
  <c r="K187" i="38"/>
  <c r="L187" i="38" s="1"/>
  <c r="H187" i="38"/>
  <c r="G187" i="38"/>
  <c r="E187" i="38"/>
  <c r="D187" i="38"/>
  <c r="S186" i="38"/>
  <c r="M186" i="38"/>
  <c r="N186" i="38" s="1"/>
  <c r="K186" i="38"/>
  <c r="L186" i="38" s="1"/>
  <c r="H186" i="38"/>
  <c r="G186" i="38"/>
  <c r="E186" i="38"/>
  <c r="D186" i="38"/>
  <c r="S185" i="38"/>
  <c r="M185" i="38"/>
  <c r="N185" i="38" s="1"/>
  <c r="K185" i="38"/>
  <c r="L185" i="38" s="1"/>
  <c r="H185" i="38"/>
  <c r="G185" i="38"/>
  <c r="E185" i="38"/>
  <c r="D185" i="38"/>
  <c r="S184" i="38"/>
  <c r="M184" i="38"/>
  <c r="N184" i="38" s="1"/>
  <c r="K184" i="38"/>
  <c r="L184" i="38" s="1"/>
  <c r="H184" i="38"/>
  <c r="G184" i="38"/>
  <c r="E184" i="38"/>
  <c r="D184" i="38"/>
  <c r="S183" i="38"/>
  <c r="M183" i="38"/>
  <c r="N183" i="38" s="1"/>
  <c r="K183" i="38"/>
  <c r="L183" i="38" s="1"/>
  <c r="H183" i="38"/>
  <c r="G183" i="38"/>
  <c r="E183" i="38"/>
  <c r="D183" i="38"/>
  <c r="S182" i="38"/>
  <c r="M182" i="38"/>
  <c r="N182" i="38" s="1"/>
  <c r="K182" i="38"/>
  <c r="L182" i="38" s="1"/>
  <c r="H182" i="38"/>
  <c r="G182" i="38"/>
  <c r="E182" i="38"/>
  <c r="D182" i="38"/>
  <c r="S181" i="38"/>
  <c r="M181" i="38"/>
  <c r="N181" i="38" s="1"/>
  <c r="K181" i="38"/>
  <c r="L181" i="38" s="1"/>
  <c r="H181" i="38"/>
  <c r="G181" i="38"/>
  <c r="E181" i="38"/>
  <c r="D181" i="38"/>
  <c r="S180" i="38"/>
  <c r="M180" i="38"/>
  <c r="N180" i="38" s="1"/>
  <c r="K180" i="38"/>
  <c r="L180" i="38" s="1"/>
  <c r="H180" i="38"/>
  <c r="G180" i="38"/>
  <c r="E180" i="38"/>
  <c r="D180" i="38"/>
  <c r="S179" i="38"/>
  <c r="M179" i="38"/>
  <c r="N179" i="38" s="1"/>
  <c r="K179" i="38"/>
  <c r="L179" i="38" s="1"/>
  <c r="H179" i="38"/>
  <c r="G179" i="38"/>
  <c r="E179" i="38"/>
  <c r="D179" i="38"/>
  <c r="S178" i="38"/>
  <c r="M178" i="38"/>
  <c r="N178" i="38" s="1"/>
  <c r="K178" i="38"/>
  <c r="L178" i="38" s="1"/>
  <c r="H178" i="38"/>
  <c r="G178" i="38"/>
  <c r="E178" i="38"/>
  <c r="D178" i="38"/>
  <c r="S177" i="38"/>
  <c r="M177" i="38"/>
  <c r="N177" i="38" s="1"/>
  <c r="K177" i="38"/>
  <c r="L177" i="38" s="1"/>
  <c r="H177" i="38"/>
  <c r="G177" i="38"/>
  <c r="E177" i="38"/>
  <c r="D177" i="38"/>
  <c r="S176" i="38"/>
  <c r="M176" i="38"/>
  <c r="N176" i="38" s="1"/>
  <c r="K176" i="38"/>
  <c r="L176" i="38" s="1"/>
  <c r="H176" i="38"/>
  <c r="G176" i="38"/>
  <c r="E176" i="38"/>
  <c r="D176" i="38"/>
  <c r="S175" i="38"/>
  <c r="M175" i="38"/>
  <c r="N175" i="38" s="1"/>
  <c r="K175" i="38"/>
  <c r="L175" i="38" s="1"/>
  <c r="H175" i="38"/>
  <c r="G175" i="38"/>
  <c r="E175" i="38"/>
  <c r="D175" i="38"/>
  <c r="S174" i="38"/>
  <c r="M174" i="38"/>
  <c r="N174" i="38" s="1"/>
  <c r="K174" i="38"/>
  <c r="L174" i="38" s="1"/>
  <c r="H174" i="38"/>
  <c r="G174" i="38"/>
  <c r="E174" i="38"/>
  <c r="D174" i="38"/>
  <c r="S173" i="38"/>
  <c r="M173" i="38"/>
  <c r="N173" i="38" s="1"/>
  <c r="K173" i="38"/>
  <c r="L173" i="38" s="1"/>
  <c r="H173" i="38"/>
  <c r="G173" i="38"/>
  <c r="E173" i="38"/>
  <c r="D173" i="38"/>
  <c r="S172" i="38"/>
  <c r="M172" i="38"/>
  <c r="N172" i="38" s="1"/>
  <c r="K172" i="38"/>
  <c r="L172" i="38" s="1"/>
  <c r="H172" i="38"/>
  <c r="G172" i="38"/>
  <c r="E172" i="38"/>
  <c r="D172" i="38"/>
  <c r="S171" i="38"/>
  <c r="M171" i="38"/>
  <c r="N171" i="38" s="1"/>
  <c r="K171" i="38"/>
  <c r="L171" i="38" s="1"/>
  <c r="H171" i="38"/>
  <c r="G171" i="38"/>
  <c r="E171" i="38"/>
  <c r="D171" i="38"/>
  <c r="S170" i="38"/>
  <c r="M170" i="38"/>
  <c r="N170" i="38" s="1"/>
  <c r="K170" i="38"/>
  <c r="L170" i="38" s="1"/>
  <c r="H170" i="38"/>
  <c r="G170" i="38"/>
  <c r="E170" i="38"/>
  <c r="D170" i="38"/>
  <c r="S169" i="38"/>
  <c r="M169" i="38"/>
  <c r="N169" i="38" s="1"/>
  <c r="K169" i="38"/>
  <c r="L169" i="38" s="1"/>
  <c r="H169" i="38"/>
  <c r="G169" i="38"/>
  <c r="E169" i="38"/>
  <c r="D169" i="38"/>
  <c r="S168" i="38"/>
  <c r="M168" i="38"/>
  <c r="N168" i="38" s="1"/>
  <c r="K168" i="38"/>
  <c r="L168" i="38" s="1"/>
  <c r="H168" i="38"/>
  <c r="G168" i="38"/>
  <c r="E168" i="38"/>
  <c r="D168" i="38"/>
  <c r="S167" i="38"/>
  <c r="M167" i="38"/>
  <c r="N167" i="38" s="1"/>
  <c r="K167" i="38"/>
  <c r="L167" i="38" s="1"/>
  <c r="H167" i="38"/>
  <c r="G167" i="38"/>
  <c r="E167" i="38"/>
  <c r="D167" i="38"/>
  <c r="S166" i="38"/>
  <c r="M166" i="38"/>
  <c r="N166" i="38" s="1"/>
  <c r="K166" i="38"/>
  <c r="L166" i="38" s="1"/>
  <c r="H166" i="38"/>
  <c r="G166" i="38"/>
  <c r="E166" i="38"/>
  <c r="D166" i="38"/>
  <c r="S165" i="38"/>
  <c r="M165" i="38"/>
  <c r="N165" i="38" s="1"/>
  <c r="K165" i="38"/>
  <c r="L165" i="38" s="1"/>
  <c r="H165" i="38"/>
  <c r="G165" i="38"/>
  <c r="E165" i="38"/>
  <c r="D165" i="38"/>
  <c r="S164" i="38"/>
  <c r="M164" i="38"/>
  <c r="N164" i="38" s="1"/>
  <c r="K164" i="38"/>
  <c r="L164" i="38" s="1"/>
  <c r="H164" i="38"/>
  <c r="G164" i="38"/>
  <c r="E164" i="38"/>
  <c r="D164" i="38"/>
  <c r="S163" i="38"/>
  <c r="M163" i="38"/>
  <c r="N163" i="38" s="1"/>
  <c r="K163" i="38"/>
  <c r="L163" i="38" s="1"/>
  <c r="H163" i="38"/>
  <c r="G163" i="38"/>
  <c r="E163" i="38"/>
  <c r="D163" i="38"/>
  <c r="S162" i="38"/>
  <c r="M162" i="38"/>
  <c r="N162" i="38" s="1"/>
  <c r="K162" i="38"/>
  <c r="L162" i="38" s="1"/>
  <c r="H162" i="38"/>
  <c r="G162" i="38"/>
  <c r="E162" i="38"/>
  <c r="D162" i="38"/>
  <c r="S161" i="38"/>
  <c r="M161" i="38"/>
  <c r="N161" i="38" s="1"/>
  <c r="K161" i="38"/>
  <c r="L161" i="38" s="1"/>
  <c r="H161" i="38"/>
  <c r="G161" i="38"/>
  <c r="E161" i="38"/>
  <c r="D161" i="38"/>
  <c r="S160" i="38"/>
  <c r="M160" i="38"/>
  <c r="N160" i="38" s="1"/>
  <c r="K160" i="38"/>
  <c r="L160" i="38" s="1"/>
  <c r="H160" i="38"/>
  <c r="G160" i="38"/>
  <c r="E160" i="38"/>
  <c r="D160" i="38"/>
  <c r="S159" i="38"/>
  <c r="M159" i="38"/>
  <c r="N159" i="38" s="1"/>
  <c r="K159" i="38"/>
  <c r="L159" i="38" s="1"/>
  <c r="H159" i="38"/>
  <c r="G159" i="38"/>
  <c r="E159" i="38"/>
  <c r="D159" i="38"/>
  <c r="S158" i="38"/>
  <c r="M158" i="38"/>
  <c r="N158" i="38" s="1"/>
  <c r="K158" i="38"/>
  <c r="L158" i="38" s="1"/>
  <c r="H158" i="38"/>
  <c r="G158" i="38"/>
  <c r="E158" i="38"/>
  <c r="D158" i="38"/>
  <c r="S157" i="38"/>
  <c r="M157" i="38"/>
  <c r="N157" i="38" s="1"/>
  <c r="K157" i="38"/>
  <c r="L157" i="38" s="1"/>
  <c r="H157" i="38"/>
  <c r="G157" i="38"/>
  <c r="E157" i="38"/>
  <c r="D157" i="38"/>
  <c r="S156" i="38"/>
  <c r="M156" i="38"/>
  <c r="N156" i="38" s="1"/>
  <c r="K156" i="38"/>
  <c r="L156" i="38" s="1"/>
  <c r="H156" i="38"/>
  <c r="G156" i="38"/>
  <c r="E156" i="38"/>
  <c r="D156" i="38"/>
  <c r="S155" i="38"/>
  <c r="M155" i="38"/>
  <c r="N155" i="38" s="1"/>
  <c r="K155" i="38"/>
  <c r="L155" i="38" s="1"/>
  <c r="H155" i="38"/>
  <c r="G155" i="38"/>
  <c r="E155" i="38"/>
  <c r="D155" i="38"/>
  <c r="S154" i="38"/>
  <c r="M154" i="38"/>
  <c r="N154" i="38" s="1"/>
  <c r="K154" i="38"/>
  <c r="L154" i="38" s="1"/>
  <c r="H154" i="38"/>
  <c r="G154" i="38"/>
  <c r="E154" i="38"/>
  <c r="D154" i="38"/>
  <c r="S153" i="38"/>
  <c r="M153" i="38"/>
  <c r="N153" i="38" s="1"/>
  <c r="K153" i="38"/>
  <c r="L153" i="38" s="1"/>
  <c r="H153" i="38"/>
  <c r="G153" i="38"/>
  <c r="E153" i="38"/>
  <c r="D153" i="38"/>
  <c r="S152" i="38"/>
  <c r="M152" i="38"/>
  <c r="N152" i="38" s="1"/>
  <c r="K152" i="38"/>
  <c r="L152" i="38" s="1"/>
  <c r="H152" i="38"/>
  <c r="G152" i="38"/>
  <c r="E152" i="38"/>
  <c r="D152" i="38"/>
  <c r="S151" i="38"/>
  <c r="M151" i="38"/>
  <c r="N151" i="38" s="1"/>
  <c r="K151" i="38"/>
  <c r="L151" i="38" s="1"/>
  <c r="H151" i="38"/>
  <c r="G151" i="38"/>
  <c r="E151" i="38"/>
  <c r="D151" i="38"/>
  <c r="S150" i="38"/>
  <c r="M150" i="38"/>
  <c r="N150" i="38" s="1"/>
  <c r="K150" i="38"/>
  <c r="L150" i="38" s="1"/>
  <c r="H150" i="38"/>
  <c r="G150" i="38"/>
  <c r="E150" i="38"/>
  <c r="D150" i="38"/>
  <c r="S149" i="38"/>
  <c r="M149" i="38"/>
  <c r="N149" i="38" s="1"/>
  <c r="K149" i="38"/>
  <c r="L149" i="38" s="1"/>
  <c r="H149" i="38"/>
  <c r="G149" i="38"/>
  <c r="E149" i="38"/>
  <c r="D149" i="38"/>
  <c r="S148" i="38"/>
  <c r="M148" i="38"/>
  <c r="N148" i="38" s="1"/>
  <c r="K148" i="38"/>
  <c r="L148" i="38" s="1"/>
  <c r="H148" i="38"/>
  <c r="G148" i="38"/>
  <c r="E148" i="38"/>
  <c r="D148" i="38"/>
  <c r="M147" i="38"/>
  <c r="N147" i="38" s="1"/>
  <c r="K147" i="38"/>
  <c r="L147" i="38" s="1"/>
  <c r="H147" i="38"/>
  <c r="G147" i="38"/>
  <c r="E147" i="38"/>
  <c r="D147" i="38"/>
  <c r="M146" i="38"/>
  <c r="N146" i="38" s="1"/>
  <c r="K146" i="38"/>
  <c r="L146" i="38" s="1"/>
  <c r="H146" i="38"/>
  <c r="G146" i="38"/>
  <c r="E146" i="38"/>
  <c r="D146" i="38"/>
  <c r="M145" i="38"/>
  <c r="N145" i="38" s="1"/>
  <c r="K145" i="38"/>
  <c r="L145" i="38" s="1"/>
  <c r="H145" i="38"/>
  <c r="G145" i="38"/>
  <c r="E145" i="38"/>
  <c r="D145" i="38"/>
  <c r="M144" i="38"/>
  <c r="N144" i="38" s="1"/>
  <c r="K144" i="38"/>
  <c r="L144" i="38" s="1"/>
  <c r="H144" i="38"/>
  <c r="G144" i="38"/>
  <c r="E144" i="38"/>
  <c r="D144" i="38"/>
  <c r="M143" i="38"/>
  <c r="N143" i="38" s="1"/>
  <c r="K143" i="38"/>
  <c r="L143" i="38" s="1"/>
  <c r="H143" i="38"/>
  <c r="G143" i="38"/>
  <c r="E143" i="38"/>
  <c r="D143" i="38"/>
  <c r="M142" i="38"/>
  <c r="N142" i="38" s="1"/>
  <c r="K142" i="38"/>
  <c r="L142" i="38" s="1"/>
  <c r="H142" i="38"/>
  <c r="G142" i="38"/>
  <c r="E142" i="38"/>
  <c r="D142" i="38"/>
  <c r="M141" i="38"/>
  <c r="N141" i="38" s="1"/>
  <c r="K141" i="38"/>
  <c r="L141" i="38" s="1"/>
  <c r="H141" i="38"/>
  <c r="G141" i="38"/>
  <c r="E141" i="38"/>
  <c r="D141" i="38"/>
  <c r="M140" i="38"/>
  <c r="N140" i="38" s="1"/>
  <c r="K140" i="38"/>
  <c r="L140" i="38" s="1"/>
  <c r="H140" i="38"/>
  <c r="G140" i="38"/>
  <c r="E140" i="38"/>
  <c r="D140" i="38"/>
  <c r="M139" i="38"/>
  <c r="N139" i="38" s="1"/>
  <c r="K139" i="38"/>
  <c r="L139" i="38" s="1"/>
  <c r="H139" i="38"/>
  <c r="G139" i="38"/>
  <c r="E139" i="38"/>
  <c r="D139" i="38"/>
  <c r="M138" i="38"/>
  <c r="N138" i="38" s="1"/>
  <c r="K138" i="38"/>
  <c r="L138" i="38" s="1"/>
  <c r="H138" i="38"/>
  <c r="G138" i="38"/>
  <c r="E138" i="38"/>
  <c r="D138" i="38"/>
  <c r="M137" i="38"/>
  <c r="N137" i="38" s="1"/>
  <c r="K137" i="38"/>
  <c r="L137" i="38" s="1"/>
  <c r="H137" i="38"/>
  <c r="G137" i="38"/>
  <c r="E137" i="38"/>
  <c r="D137" i="38"/>
  <c r="M136" i="38"/>
  <c r="N136" i="38" s="1"/>
  <c r="K136" i="38"/>
  <c r="L136" i="38" s="1"/>
  <c r="H136" i="38"/>
  <c r="G136" i="38"/>
  <c r="E136" i="38"/>
  <c r="D136" i="38"/>
  <c r="M135" i="38"/>
  <c r="N135" i="38" s="1"/>
  <c r="K135" i="38"/>
  <c r="L135" i="38" s="1"/>
  <c r="H135" i="38"/>
  <c r="G135" i="38"/>
  <c r="E135" i="38"/>
  <c r="D135" i="38"/>
  <c r="M134" i="38"/>
  <c r="N134" i="38" s="1"/>
  <c r="K134" i="38"/>
  <c r="L134" i="38" s="1"/>
  <c r="H134" i="38"/>
  <c r="G134" i="38"/>
  <c r="E134" i="38"/>
  <c r="D134" i="38"/>
  <c r="M133" i="38"/>
  <c r="N133" i="38" s="1"/>
  <c r="K133" i="38"/>
  <c r="L133" i="38" s="1"/>
  <c r="H133" i="38"/>
  <c r="G133" i="38"/>
  <c r="E133" i="38"/>
  <c r="D133" i="38"/>
  <c r="M132" i="38"/>
  <c r="N132" i="38" s="1"/>
  <c r="K132" i="38"/>
  <c r="L132" i="38" s="1"/>
  <c r="H132" i="38"/>
  <c r="G132" i="38"/>
  <c r="E132" i="38"/>
  <c r="D132" i="38"/>
  <c r="M131" i="38"/>
  <c r="N131" i="38" s="1"/>
  <c r="K131" i="38"/>
  <c r="L131" i="38" s="1"/>
  <c r="H131" i="38"/>
  <c r="G131" i="38"/>
  <c r="E131" i="38"/>
  <c r="D131" i="38"/>
  <c r="M130" i="38"/>
  <c r="N130" i="38" s="1"/>
  <c r="K130" i="38"/>
  <c r="L130" i="38" s="1"/>
  <c r="H130" i="38"/>
  <c r="G130" i="38"/>
  <c r="E130" i="38"/>
  <c r="D130" i="38"/>
  <c r="M129" i="38"/>
  <c r="N129" i="38" s="1"/>
  <c r="K129" i="38"/>
  <c r="L129" i="38" s="1"/>
  <c r="H129" i="38"/>
  <c r="G129" i="38"/>
  <c r="E129" i="38"/>
  <c r="D129" i="38"/>
  <c r="M128" i="38"/>
  <c r="N128" i="38" s="1"/>
  <c r="K128" i="38"/>
  <c r="L128" i="38" s="1"/>
  <c r="H128" i="38"/>
  <c r="G128" i="38"/>
  <c r="E128" i="38"/>
  <c r="D128" i="38"/>
  <c r="M127" i="38"/>
  <c r="N127" i="38" s="1"/>
  <c r="K127" i="38"/>
  <c r="L127" i="38" s="1"/>
  <c r="H127" i="38"/>
  <c r="G127" i="38"/>
  <c r="E127" i="38"/>
  <c r="D127" i="38"/>
  <c r="M126" i="38"/>
  <c r="N126" i="38" s="1"/>
  <c r="K126" i="38"/>
  <c r="L126" i="38" s="1"/>
  <c r="H126" i="38"/>
  <c r="G126" i="38"/>
  <c r="E126" i="38"/>
  <c r="D126" i="38"/>
  <c r="M125" i="38"/>
  <c r="N125" i="38" s="1"/>
  <c r="K125" i="38"/>
  <c r="L125" i="38" s="1"/>
  <c r="H125" i="38"/>
  <c r="G125" i="38"/>
  <c r="E125" i="38"/>
  <c r="D125" i="38"/>
  <c r="M124" i="38"/>
  <c r="N124" i="38" s="1"/>
  <c r="K124" i="38"/>
  <c r="L124" i="38" s="1"/>
  <c r="H124" i="38"/>
  <c r="G124" i="38"/>
  <c r="E124" i="38"/>
  <c r="D124" i="38"/>
  <c r="M123" i="38"/>
  <c r="N123" i="38" s="1"/>
  <c r="K123" i="38"/>
  <c r="L123" i="38" s="1"/>
  <c r="H123" i="38"/>
  <c r="G123" i="38"/>
  <c r="E123" i="38"/>
  <c r="D123" i="38"/>
  <c r="M122" i="38"/>
  <c r="N122" i="38" s="1"/>
  <c r="K122" i="38"/>
  <c r="L122" i="38" s="1"/>
  <c r="H122" i="38"/>
  <c r="G122" i="38"/>
  <c r="E122" i="38"/>
  <c r="D122" i="38"/>
  <c r="M121" i="38"/>
  <c r="N121" i="38" s="1"/>
  <c r="K121" i="38"/>
  <c r="L121" i="38" s="1"/>
  <c r="H121" i="38"/>
  <c r="G121" i="38"/>
  <c r="E121" i="38"/>
  <c r="D121" i="38"/>
  <c r="M120" i="38"/>
  <c r="N120" i="38" s="1"/>
  <c r="K120" i="38"/>
  <c r="L120" i="38" s="1"/>
  <c r="H120" i="38"/>
  <c r="G120" i="38"/>
  <c r="E120" i="38"/>
  <c r="D120" i="38"/>
  <c r="M119" i="38"/>
  <c r="N119" i="38" s="1"/>
  <c r="K119" i="38"/>
  <c r="L119" i="38" s="1"/>
  <c r="H119" i="38"/>
  <c r="G119" i="38"/>
  <c r="E119" i="38"/>
  <c r="D119" i="38"/>
  <c r="M118" i="38"/>
  <c r="N118" i="38" s="1"/>
  <c r="K118" i="38"/>
  <c r="L118" i="38" s="1"/>
  <c r="H118" i="38"/>
  <c r="G118" i="38"/>
  <c r="E118" i="38"/>
  <c r="D118" i="38"/>
  <c r="M117" i="38"/>
  <c r="N117" i="38" s="1"/>
  <c r="K117" i="38"/>
  <c r="L117" i="38" s="1"/>
  <c r="H117" i="38"/>
  <c r="G117" i="38"/>
  <c r="E117" i="38"/>
  <c r="D117" i="38"/>
  <c r="M116" i="38"/>
  <c r="N116" i="38" s="1"/>
  <c r="K116" i="38"/>
  <c r="L116" i="38" s="1"/>
  <c r="H116" i="38"/>
  <c r="G116" i="38"/>
  <c r="E116" i="38"/>
  <c r="D116" i="38"/>
  <c r="M115" i="38"/>
  <c r="N115" i="38" s="1"/>
  <c r="K115" i="38"/>
  <c r="L115" i="38" s="1"/>
  <c r="H115" i="38"/>
  <c r="G115" i="38"/>
  <c r="E115" i="38"/>
  <c r="D115" i="38"/>
  <c r="M114" i="38"/>
  <c r="N114" i="38" s="1"/>
  <c r="K114" i="38"/>
  <c r="L114" i="38" s="1"/>
  <c r="H114" i="38"/>
  <c r="G114" i="38"/>
  <c r="E114" i="38"/>
  <c r="D114" i="38"/>
  <c r="M113" i="38"/>
  <c r="N113" i="38" s="1"/>
  <c r="K113" i="38"/>
  <c r="L113" i="38" s="1"/>
  <c r="H113" i="38"/>
  <c r="G113" i="38"/>
  <c r="E113" i="38"/>
  <c r="D113" i="38"/>
  <c r="M112" i="38"/>
  <c r="N112" i="38" s="1"/>
  <c r="K112" i="38"/>
  <c r="L112" i="38" s="1"/>
  <c r="H112" i="38"/>
  <c r="G112" i="38"/>
  <c r="E112" i="38"/>
  <c r="D112" i="38"/>
  <c r="M111" i="38"/>
  <c r="N111" i="38" s="1"/>
  <c r="K111" i="38"/>
  <c r="L111" i="38" s="1"/>
  <c r="H111" i="38"/>
  <c r="G111" i="38"/>
  <c r="E111" i="38"/>
  <c r="D111" i="38"/>
  <c r="M110" i="38"/>
  <c r="N110" i="38" s="1"/>
  <c r="K110" i="38"/>
  <c r="L110" i="38" s="1"/>
  <c r="H110" i="38"/>
  <c r="G110" i="38"/>
  <c r="E110" i="38"/>
  <c r="D110" i="38"/>
  <c r="M109" i="38"/>
  <c r="N109" i="38" s="1"/>
  <c r="K109" i="38"/>
  <c r="L109" i="38" s="1"/>
  <c r="H109" i="38"/>
  <c r="G109" i="38"/>
  <c r="E109" i="38"/>
  <c r="D109" i="38"/>
  <c r="M108" i="38"/>
  <c r="N108" i="38" s="1"/>
  <c r="K108" i="38"/>
  <c r="L108" i="38" s="1"/>
  <c r="H108" i="38"/>
  <c r="G108" i="38"/>
  <c r="E108" i="38"/>
  <c r="D108" i="38"/>
  <c r="M107" i="38"/>
  <c r="N107" i="38" s="1"/>
  <c r="K107" i="38"/>
  <c r="L107" i="38" s="1"/>
  <c r="H107" i="38"/>
  <c r="G107" i="38"/>
  <c r="E107" i="38"/>
  <c r="D107" i="38"/>
  <c r="M106" i="38"/>
  <c r="N106" i="38" s="1"/>
  <c r="K106" i="38"/>
  <c r="L106" i="38" s="1"/>
  <c r="H106" i="38"/>
  <c r="G106" i="38"/>
  <c r="E106" i="38"/>
  <c r="D106" i="38"/>
  <c r="M105" i="38"/>
  <c r="N105" i="38" s="1"/>
  <c r="K105" i="38"/>
  <c r="L105" i="38" s="1"/>
  <c r="H105" i="38"/>
  <c r="G105" i="38"/>
  <c r="E105" i="38"/>
  <c r="D105" i="38"/>
  <c r="M104" i="38"/>
  <c r="N104" i="38" s="1"/>
  <c r="K104" i="38"/>
  <c r="L104" i="38" s="1"/>
  <c r="H104" i="38"/>
  <c r="G104" i="38"/>
  <c r="E104" i="38"/>
  <c r="D104" i="38"/>
  <c r="M103" i="38"/>
  <c r="N103" i="38" s="1"/>
  <c r="K103" i="38"/>
  <c r="L103" i="38" s="1"/>
  <c r="H103" i="38"/>
  <c r="G103" i="38"/>
  <c r="E103" i="38"/>
  <c r="D103" i="38"/>
  <c r="M102" i="38"/>
  <c r="N102" i="38" s="1"/>
  <c r="K102" i="38"/>
  <c r="L102" i="38" s="1"/>
  <c r="H102" i="38"/>
  <c r="G102" i="38"/>
  <c r="E102" i="38"/>
  <c r="D102" i="38"/>
  <c r="M101" i="38"/>
  <c r="N101" i="38" s="1"/>
  <c r="K101" i="38"/>
  <c r="L101" i="38" s="1"/>
  <c r="H101" i="38"/>
  <c r="G101" i="38"/>
  <c r="E101" i="38"/>
  <c r="D101" i="38"/>
  <c r="M100" i="38"/>
  <c r="N100" i="38" s="1"/>
  <c r="K100" i="38"/>
  <c r="L100" i="38" s="1"/>
  <c r="H100" i="38"/>
  <c r="G100" i="38"/>
  <c r="E100" i="38"/>
  <c r="D100" i="38"/>
  <c r="M99" i="38"/>
  <c r="N99" i="38" s="1"/>
  <c r="K99" i="38"/>
  <c r="L99" i="38" s="1"/>
  <c r="H99" i="38"/>
  <c r="G99" i="38"/>
  <c r="E99" i="38"/>
  <c r="D99" i="38"/>
  <c r="M98" i="38"/>
  <c r="N98" i="38" s="1"/>
  <c r="K98" i="38"/>
  <c r="L98" i="38" s="1"/>
  <c r="H98" i="38"/>
  <c r="G98" i="38"/>
  <c r="E98" i="38"/>
  <c r="D98" i="38"/>
  <c r="M97" i="38"/>
  <c r="N97" i="38" s="1"/>
  <c r="K97" i="38"/>
  <c r="L97" i="38" s="1"/>
  <c r="H97" i="38"/>
  <c r="G97" i="38"/>
  <c r="E97" i="38"/>
  <c r="D97" i="38"/>
  <c r="M96" i="38"/>
  <c r="N96" i="38" s="1"/>
  <c r="K96" i="38"/>
  <c r="L96" i="38" s="1"/>
  <c r="H96" i="38"/>
  <c r="G96" i="38"/>
  <c r="E96" i="38"/>
  <c r="D96" i="38"/>
  <c r="M95" i="38"/>
  <c r="N95" i="38" s="1"/>
  <c r="K95" i="38"/>
  <c r="L95" i="38" s="1"/>
  <c r="H95" i="38"/>
  <c r="G95" i="38"/>
  <c r="E95" i="38"/>
  <c r="D95" i="38"/>
  <c r="M94" i="38"/>
  <c r="N94" i="38" s="1"/>
  <c r="K94" i="38"/>
  <c r="L94" i="38" s="1"/>
  <c r="H94" i="38"/>
  <c r="G94" i="38"/>
  <c r="E94" i="38"/>
  <c r="D94" i="38"/>
  <c r="M93" i="38"/>
  <c r="N93" i="38" s="1"/>
  <c r="K93" i="38"/>
  <c r="L93" i="38" s="1"/>
  <c r="H93" i="38"/>
  <c r="G93" i="38"/>
  <c r="E93" i="38"/>
  <c r="D93" i="38"/>
  <c r="M92" i="38"/>
  <c r="N92" i="38" s="1"/>
  <c r="K92" i="38"/>
  <c r="L92" i="38" s="1"/>
  <c r="H92" i="38"/>
  <c r="G92" i="38"/>
  <c r="E92" i="38"/>
  <c r="D92" i="38"/>
  <c r="M91" i="38"/>
  <c r="N91" i="38" s="1"/>
  <c r="K91" i="38"/>
  <c r="L91" i="38" s="1"/>
  <c r="H91" i="38"/>
  <c r="G91" i="38"/>
  <c r="E91" i="38"/>
  <c r="D91" i="38"/>
  <c r="M90" i="38"/>
  <c r="N90" i="38" s="1"/>
  <c r="K90" i="38"/>
  <c r="L90" i="38" s="1"/>
  <c r="H90" i="38"/>
  <c r="G90" i="38"/>
  <c r="E90" i="38"/>
  <c r="D90" i="38"/>
  <c r="M89" i="38"/>
  <c r="N89" i="38" s="1"/>
  <c r="K89" i="38"/>
  <c r="L89" i="38" s="1"/>
  <c r="H89" i="38"/>
  <c r="G89" i="38"/>
  <c r="E89" i="38"/>
  <c r="D89" i="38"/>
  <c r="M88" i="38"/>
  <c r="N88" i="38" s="1"/>
  <c r="K88" i="38"/>
  <c r="L88" i="38" s="1"/>
  <c r="H88" i="38"/>
  <c r="G88" i="38"/>
  <c r="E88" i="38"/>
  <c r="D88" i="38"/>
  <c r="M87" i="38"/>
  <c r="N87" i="38" s="1"/>
  <c r="K87" i="38"/>
  <c r="L87" i="38" s="1"/>
  <c r="H87" i="38"/>
  <c r="G87" i="38"/>
  <c r="E87" i="38"/>
  <c r="D87" i="38"/>
  <c r="M86" i="38"/>
  <c r="N86" i="38" s="1"/>
  <c r="H86" i="38"/>
  <c r="G86" i="38"/>
  <c r="E86" i="38"/>
  <c r="D86" i="38"/>
  <c r="I85" i="38"/>
  <c r="M85" i="38" s="1"/>
  <c r="N85" i="38" s="1"/>
  <c r="H85" i="38"/>
  <c r="G85" i="38"/>
  <c r="E85" i="38"/>
  <c r="D85" i="38"/>
  <c r="M84" i="38"/>
  <c r="N84" i="38" s="1"/>
  <c r="K84" i="38"/>
  <c r="L84" i="38" s="1"/>
  <c r="H84" i="38"/>
  <c r="G84" i="38"/>
  <c r="E84" i="38"/>
  <c r="D84" i="38"/>
  <c r="M83" i="38"/>
  <c r="N83" i="38" s="1"/>
  <c r="K83" i="38"/>
  <c r="L83" i="38" s="1"/>
  <c r="H83" i="38"/>
  <c r="G83" i="38"/>
  <c r="E83" i="38"/>
  <c r="D83" i="38"/>
  <c r="M82" i="38"/>
  <c r="N82" i="38" s="1"/>
  <c r="K82" i="38"/>
  <c r="L82" i="38" s="1"/>
  <c r="H82" i="38"/>
  <c r="G82" i="38"/>
  <c r="E82" i="38"/>
  <c r="D82" i="38"/>
  <c r="M81" i="38"/>
  <c r="N81" i="38" s="1"/>
  <c r="K81" i="38"/>
  <c r="L81" i="38" s="1"/>
  <c r="H81" i="38"/>
  <c r="G81" i="38"/>
  <c r="E81" i="38"/>
  <c r="D81" i="38"/>
  <c r="M80" i="38"/>
  <c r="N80" i="38" s="1"/>
  <c r="K80" i="38"/>
  <c r="L80" i="38" s="1"/>
  <c r="H80" i="38"/>
  <c r="G80" i="38"/>
  <c r="E80" i="38"/>
  <c r="D80" i="38"/>
  <c r="M79" i="38"/>
  <c r="N79" i="38" s="1"/>
  <c r="K79" i="38"/>
  <c r="L79" i="38" s="1"/>
  <c r="H79" i="38"/>
  <c r="G79" i="38"/>
  <c r="E79" i="38"/>
  <c r="D79" i="38"/>
  <c r="M78" i="38"/>
  <c r="N78" i="38" s="1"/>
  <c r="K78" i="38"/>
  <c r="L78" i="38" s="1"/>
  <c r="H78" i="38"/>
  <c r="G78" i="38"/>
  <c r="E78" i="38"/>
  <c r="D78" i="38"/>
  <c r="M77" i="38"/>
  <c r="N77" i="38" s="1"/>
  <c r="K77" i="38"/>
  <c r="L77" i="38" s="1"/>
  <c r="H77" i="38"/>
  <c r="G77" i="38"/>
  <c r="E77" i="38"/>
  <c r="D77" i="38"/>
  <c r="M76" i="38"/>
  <c r="N76" i="38" s="1"/>
  <c r="K76" i="38"/>
  <c r="L76" i="38" s="1"/>
  <c r="H76" i="38"/>
  <c r="G76" i="38"/>
  <c r="E76" i="38"/>
  <c r="D76" i="38"/>
  <c r="M75" i="38"/>
  <c r="N75" i="38" s="1"/>
  <c r="K75" i="38"/>
  <c r="L75" i="38" s="1"/>
  <c r="H75" i="38"/>
  <c r="G75" i="38"/>
  <c r="E75" i="38"/>
  <c r="D75" i="38"/>
  <c r="M74" i="38"/>
  <c r="N74" i="38" s="1"/>
  <c r="K74" i="38"/>
  <c r="L74" i="38" s="1"/>
  <c r="H74" i="38"/>
  <c r="G74" i="38"/>
  <c r="E74" i="38"/>
  <c r="D74" i="38"/>
  <c r="M73" i="38"/>
  <c r="N73" i="38" s="1"/>
  <c r="K73" i="38"/>
  <c r="L73" i="38" s="1"/>
  <c r="H73" i="38"/>
  <c r="G73" i="38"/>
  <c r="E73" i="38"/>
  <c r="D73" i="38"/>
  <c r="M72" i="38"/>
  <c r="N72" i="38" s="1"/>
  <c r="K72" i="38"/>
  <c r="L72" i="38" s="1"/>
  <c r="H72" i="38"/>
  <c r="G72" i="38"/>
  <c r="E72" i="38"/>
  <c r="D72" i="38"/>
  <c r="M71" i="38"/>
  <c r="N71" i="38" s="1"/>
  <c r="K71" i="38"/>
  <c r="L71" i="38" s="1"/>
  <c r="H71" i="38"/>
  <c r="G71" i="38"/>
  <c r="E71" i="38"/>
  <c r="D71" i="38"/>
  <c r="M70" i="38"/>
  <c r="N70" i="38" s="1"/>
  <c r="K70" i="38"/>
  <c r="L70" i="38" s="1"/>
  <c r="H70" i="38"/>
  <c r="G70" i="38"/>
  <c r="E70" i="38"/>
  <c r="D70" i="38"/>
  <c r="M69" i="38"/>
  <c r="N69" i="38" s="1"/>
  <c r="K69" i="38"/>
  <c r="L69" i="38" s="1"/>
  <c r="H69" i="38"/>
  <c r="G69" i="38"/>
  <c r="E69" i="38"/>
  <c r="D69" i="38"/>
  <c r="M68" i="38"/>
  <c r="N68" i="38" s="1"/>
  <c r="K68" i="38"/>
  <c r="L68" i="38" s="1"/>
  <c r="H68" i="38"/>
  <c r="G68" i="38"/>
  <c r="E68" i="38"/>
  <c r="D68" i="38"/>
  <c r="M67" i="38"/>
  <c r="N67" i="38" s="1"/>
  <c r="K67" i="38"/>
  <c r="L67" i="38" s="1"/>
  <c r="H67" i="38"/>
  <c r="G67" i="38"/>
  <c r="E67" i="38"/>
  <c r="D67" i="38"/>
  <c r="M66" i="38"/>
  <c r="N66" i="38" s="1"/>
  <c r="K66" i="38"/>
  <c r="L66" i="38" s="1"/>
  <c r="H66" i="38"/>
  <c r="G66" i="38"/>
  <c r="E66" i="38"/>
  <c r="D66" i="38"/>
  <c r="M65" i="38"/>
  <c r="N65" i="38" s="1"/>
  <c r="K65" i="38"/>
  <c r="L65" i="38" s="1"/>
  <c r="H65" i="38"/>
  <c r="G65" i="38"/>
  <c r="E65" i="38"/>
  <c r="D65" i="38"/>
  <c r="M64" i="38"/>
  <c r="N64" i="38" s="1"/>
  <c r="K64" i="38"/>
  <c r="L64" i="38" s="1"/>
  <c r="H64" i="38"/>
  <c r="G64" i="38"/>
  <c r="E64" i="38"/>
  <c r="D64" i="38"/>
  <c r="M63" i="38"/>
  <c r="N63" i="38" s="1"/>
  <c r="K63" i="38"/>
  <c r="L63" i="38" s="1"/>
  <c r="H63" i="38"/>
  <c r="G63" i="38"/>
  <c r="E63" i="38"/>
  <c r="D63" i="38"/>
  <c r="M62" i="38"/>
  <c r="N62" i="38" s="1"/>
  <c r="K62" i="38"/>
  <c r="L62" i="38" s="1"/>
  <c r="H62" i="38"/>
  <c r="G62" i="38"/>
  <c r="E62" i="38"/>
  <c r="D62" i="38"/>
  <c r="M61" i="38"/>
  <c r="N61" i="38" s="1"/>
  <c r="K61" i="38"/>
  <c r="L61" i="38" s="1"/>
  <c r="H61" i="38"/>
  <c r="G61" i="38"/>
  <c r="E61" i="38"/>
  <c r="D61" i="38"/>
  <c r="M60" i="38"/>
  <c r="N60" i="38" s="1"/>
  <c r="K60" i="38"/>
  <c r="L60" i="38" s="1"/>
  <c r="H60" i="38"/>
  <c r="G60" i="38"/>
  <c r="E60" i="38"/>
  <c r="D60" i="38"/>
  <c r="M59" i="38"/>
  <c r="N59" i="38" s="1"/>
  <c r="K59" i="38"/>
  <c r="L59" i="38" s="1"/>
  <c r="H59" i="38"/>
  <c r="G59" i="38"/>
  <c r="E59" i="38"/>
  <c r="D59" i="38"/>
  <c r="M58" i="38"/>
  <c r="N58" i="38" s="1"/>
  <c r="K58" i="38"/>
  <c r="L58" i="38" s="1"/>
  <c r="H58" i="38"/>
  <c r="G58" i="38"/>
  <c r="E58" i="38"/>
  <c r="D58" i="38"/>
  <c r="M57" i="38"/>
  <c r="N57" i="38" s="1"/>
  <c r="K57" i="38"/>
  <c r="L57" i="38" s="1"/>
  <c r="H57" i="38"/>
  <c r="G57" i="38"/>
  <c r="E57" i="38"/>
  <c r="D57" i="38"/>
  <c r="M56" i="38"/>
  <c r="N56" i="38" s="1"/>
  <c r="K56" i="38"/>
  <c r="L56" i="38" s="1"/>
  <c r="H56" i="38"/>
  <c r="G56" i="38"/>
  <c r="E56" i="38"/>
  <c r="D56" i="38"/>
  <c r="M55" i="38"/>
  <c r="N55" i="38" s="1"/>
  <c r="K55" i="38"/>
  <c r="L55" i="38" s="1"/>
  <c r="H55" i="38"/>
  <c r="G55" i="38"/>
  <c r="E55" i="38"/>
  <c r="D55" i="38"/>
  <c r="M54" i="38"/>
  <c r="N54" i="38" s="1"/>
  <c r="K54" i="38"/>
  <c r="L54" i="38" s="1"/>
  <c r="H54" i="38"/>
  <c r="G54" i="38"/>
  <c r="E54" i="38"/>
  <c r="D54" i="38"/>
  <c r="M53" i="38"/>
  <c r="N53" i="38" s="1"/>
  <c r="K53" i="38"/>
  <c r="L53" i="38" s="1"/>
  <c r="H53" i="38"/>
  <c r="G53" i="38"/>
  <c r="E53" i="38"/>
  <c r="D53" i="38"/>
  <c r="M52" i="38"/>
  <c r="N52" i="38" s="1"/>
  <c r="K52" i="38"/>
  <c r="L52" i="38" s="1"/>
  <c r="H52" i="38"/>
  <c r="G52" i="38"/>
  <c r="E52" i="38"/>
  <c r="D52" i="38"/>
  <c r="M51" i="38"/>
  <c r="N51" i="38" s="1"/>
  <c r="K51" i="38"/>
  <c r="L51" i="38" s="1"/>
  <c r="H51" i="38"/>
  <c r="G51" i="38"/>
  <c r="E51" i="38"/>
  <c r="D51" i="38"/>
  <c r="M50" i="38"/>
  <c r="N50" i="38" s="1"/>
  <c r="K50" i="38"/>
  <c r="L50" i="38" s="1"/>
  <c r="H50" i="38"/>
  <c r="G50" i="38"/>
  <c r="E50" i="38"/>
  <c r="D50" i="38"/>
  <c r="M49" i="38"/>
  <c r="N49" i="38" s="1"/>
  <c r="K49" i="38"/>
  <c r="L49" i="38" s="1"/>
  <c r="H49" i="38"/>
  <c r="G49" i="38"/>
  <c r="E49" i="38"/>
  <c r="D49" i="38"/>
  <c r="M48" i="38"/>
  <c r="N48" i="38" s="1"/>
  <c r="K48" i="38"/>
  <c r="L48" i="38" s="1"/>
  <c r="H48" i="38"/>
  <c r="G48" i="38"/>
  <c r="E48" i="38"/>
  <c r="D48" i="38"/>
  <c r="M47" i="38"/>
  <c r="N47" i="38" s="1"/>
  <c r="K47" i="38"/>
  <c r="L47" i="38" s="1"/>
  <c r="H47" i="38"/>
  <c r="G47" i="38"/>
  <c r="E47" i="38"/>
  <c r="D47" i="38"/>
  <c r="M46" i="38"/>
  <c r="N46" i="38" s="1"/>
  <c r="K46" i="38"/>
  <c r="L46" i="38" s="1"/>
  <c r="H46" i="38"/>
  <c r="G46" i="38"/>
  <c r="E46" i="38"/>
  <c r="D46" i="38"/>
  <c r="M45" i="38"/>
  <c r="N45" i="38" s="1"/>
  <c r="K45" i="38"/>
  <c r="L45" i="38" s="1"/>
  <c r="H45" i="38"/>
  <c r="G45" i="38"/>
  <c r="E45" i="38"/>
  <c r="D45" i="38"/>
  <c r="M44" i="38"/>
  <c r="N44" i="38" s="1"/>
  <c r="K44" i="38"/>
  <c r="L44" i="38" s="1"/>
  <c r="H44" i="38"/>
  <c r="G44" i="38"/>
  <c r="E44" i="38"/>
  <c r="D44" i="38"/>
  <c r="M43" i="38"/>
  <c r="N43" i="38" s="1"/>
  <c r="K43" i="38"/>
  <c r="L43" i="38" s="1"/>
  <c r="H43" i="38"/>
  <c r="G43" i="38"/>
  <c r="E43" i="38"/>
  <c r="D43" i="38"/>
  <c r="M42" i="38"/>
  <c r="N42" i="38" s="1"/>
  <c r="K42" i="38"/>
  <c r="L42" i="38" s="1"/>
  <c r="H42" i="38"/>
  <c r="G42" i="38"/>
  <c r="E42" i="38"/>
  <c r="D42" i="38"/>
  <c r="M41" i="38"/>
  <c r="N41" i="38" s="1"/>
  <c r="K41" i="38"/>
  <c r="L41" i="38" s="1"/>
  <c r="H41" i="38"/>
  <c r="G41" i="38"/>
  <c r="E41" i="38"/>
  <c r="D41" i="38"/>
  <c r="M40" i="38"/>
  <c r="N40" i="38" s="1"/>
  <c r="K40" i="38"/>
  <c r="L40" i="38" s="1"/>
  <c r="H40" i="38"/>
  <c r="G40" i="38"/>
  <c r="E40" i="38"/>
  <c r="D40" i="38"/>
  <c r="M39" i="38"/>
  <c r="N39" i="38" s="1"/>
  <c r="K39" i="38"/>
  <c r="L39" i="38" s="1"/>
  <c r="H39" i="38"/>
  <c r="G39" i="38"/>
  <c r="E39" i="38"/>
  <c r="D39" i="38"/>
  <c r="M38" i="38"/>
  <c r="N38" i="38" s="1"/>
  <c r="K38" i="38"/>
  <c r="L38" i="38" s="1"/>
  <c r="H38" i="38"/>
  <c r="G38" i="38"/>
  <c r="E38" i="38"/>
  <c r="D38" i="38"/>
  <c r="M37" i="38"/>
  <c r="N37" i="38" s="1"/>
  <c r="K37" i="38"/>
  <c r="L37" i="38" s="1"/>
  <c r="H37" i="38"/>
  <c r="G37" i="38"/>
  <c r="E37" i="38"/>
  <c r="D37" i="38"/>
  <c r="M36" i="38"/>
  <c r="N36" i="38" s="1"/>
  <c r="K36" i="38"/>
  <c r="L36" i="38" s="1"/>
  <c r="H36" i="38"/>
  <c r="G36" i="38"/>
  <c r="E36" i="38"/>
  <c r="D36" i="38"/>
  <c r="M35" i="38"/>
  <c r="N35" i="38" s="1"/>
  <c r="K35" i="38"/>
  <c r="L35" i="38" s="1"/>
  <c r="H35" i="38"/>
  <c r="G35" i="38"/>
  <c r="E35" i="38"/>
  <c r="D35" i="38"/>
  <c r="M34" i="38"/>
  <c r="N34" i="38" s="1"/>
  <c r="K34" i="38"/>
  <c r="L34" i="38" s="1"/>
  <c r="H34" i="38"/>
  <c r="G34" i="38"/>
  <c r="E34" i="38"/>
  <c r="D34" i="38"/>
  <c r="M33" i="38"/>
  <c r="N33" i="38" s="1"/>
  <c r="K33" i="38"/>
  <c r="L33" i="38" s="1"/>
  <c r="H33" i="38"/>
  <c r="G33" i="38"/>
  <c r="E33" i="38"/>
  <c r="D33" i="38"/>
  <c r="M32" i="38"/>
  <c r="N32" i="38" s="1"/>
  <c r="K32" i="38"/>
  <c r="L32" i="38" s="1"/>
  <c r="H32" i="38"/>
  <c r="G32" i="38"/>
  <c r="E32" i="38"/>
  <c r="D32" i="38"/>
  <c r="M31" i="38"/>
  <c r="N31" i="38" s="1"/>
  <c r="K31" i="38"/>
  <c r="L31" i="38" s="1"/>
  <c r="H31" i="38"/>
  <c r="G31" i="38"/>
  <c r="E31" i="38"/>
  <c r="D31" i="38"/>
  <c r="M30" i="38"/>
  <c r="N30" i="38" s="1"/>
  <c r="K30" i="38"/>
  <c r="L30" i="38" s="1"/>
  <c r="H30" i="38"/>
  <c r="G30" i="38"/>
  <c r="E30" i="38"/>
  <c r="D30" i="38"/>
  <c r="M29" i="38"/>
  <c r="N29" i="38" s="1"/>
  <c r="K29" i="38"/>
  <c r="L29" i="38" s="1"/>
  <c r="H29" i="38"/>
  <c r="G29" i="38"/>
  <c r="E29" i="38"/>
  <c r="D29" i="38"/>
  <c r="M28" i="38"/>
  <c r="N28" i="38" s="1"/>
  <c r="K28" i="38"/>
  <c r="L28" i="38" s="1"/>
  <c r="H28" i="38"/>
  <c r="G28" i="38"/>
  <c r="E28" i="38"/>
  <c r="D28" i="38"/>
  <c r="M27" i="38"/>
  <c r="N27" i="38" s="1"/>
  <c r="K27" i="38"/>
  <c r="L27" i="38" s="1"/>
  <c r="H27" i="38"/>
  <c r="G27" i="38"/>
  <c r="E27" i="38"/>
  <c r="D27" i="38"/>
  <c r="M26" i="38"/>
  <c r="N26" i="38" s="1"/>
  <c r="K26" i="38"/>
  <c r="L26" i="38" s="1"/>
  <c r="H26" i="38"/>
  <c r="G26" i="38"/>
  <c r="E26" i="38"/>
  <c r="D26" i="38"/>
  <c r="M25" i="38"/>
  <c r="N25" i="38" s="1"/>
  <c r="K25" i="38"/>
  <c r="L25" i="38" s="1"/>
  <c r="H25" i="38"/>
  <c r="G25" i="38"/>
  <c r="E25" i="38"/>
  <c r="D25" i="38"/>
  <c r="M24" i="38"/>
  <c r="N24" i="38" s="1"/>
  <c r="K24" i="38"/>
  <c r="L24" i="38" s="1"/>
  <c r="H24" i="38"/>
  <c r="G24" i="38"/>
  <c r="E24" i="38"/>
  <c r="D24" i="38"/>
  <c r="M23" i="38"/>
  <c r="N23" i="38" s="1"/>
  <c r="K23" i="38"/>
  <c r="L23" i="38" s="1"/>
  <c r="H23" i="38"/>
  <c r="G23" i="38"/>
  <c r="E23" i="38"/>
  <c r="D23" i="38"/>
  <c r="M22" i="38"/>
  <c r="N22" i="38" s="1"/>
  <c r="K22" i="38"/>
  <c r="L22" i="38" s="1"/>
  <c r="H22" i="38"/>
  <c r="G22" i="38"/>
  <c r="E22" i="38"/>
  <c r="D22" i="38"/>
  <c r="M21" i="38"/>
  <c r="N21" i="38" s="1"/>
  <c r="K21" i="38"/>
  <c r="L21" i="38" s="1"/>
  <c r="H21" i="38"/>
  <c r="G21" i="38"/>
  <c r="E21" i="38"/>
  <c r="D21" i="38"/>
  <c r="M20" i="38"/>
  <c r="N20" i="38" s="1"/>
  <c r="K20" i="38"/>
  <c r="L20" i="38" s="1"/>
  <c r="H20" i="38"/>
  <c r="G20" i="38"/>
  <c r="E20" i="38"/>
  <c r="D20" i="38"/>
  <c r="M19" i="38"/>
  <c r="N19" i="38" s="1"/>
  <c r="K19" i="38"/>
  <c r="L19" i="38" s="1"/>
  <c r="H19" i="38"/>
  <c r="G19" i="38"/>
  <c r="E19" i="38"/>
  <c r="D19" i="38"/>
  <c r="M18" i="38"/>
  <c r="N18" i="38" s="1"/>
  <c r="K18" i="38"/>
  <c r="L18" i="38" s="1"/>
  <c r="H18" i="38"/>
  <c r="G18" i="38"/>
  <c r="E18" i="38"/>
  <c r="D18" i="38"/>
  <c r="M17" i="38"/>
  <c r="N17" i="38" s="1"/>
  <c r="K17" i="38"/>
  <c r="L17" i="38" s="1"/>
  <c r="H17" i="38"/>
  <c r="G17" i="38"/>
  <c r="E17" i="38"/>
  <c r="D17" i="38"/>
  <c r="M16" i="38"/>
  <c r="N16" i="38" s="1"/>
  <c r="K16" i="38"/>
  <c r="L16" i="38" s="1"/>
  <c r="H16" i="38"/>
  <c r="G16" i="38"/>
  <c r="E16" i="38"/>
  <c r="D16" i="38"/>
  <c r="M15" i="38"/>
  <c r="N15" i="38" s="1"/>
  <c r="K15" i="38"/>
  <c r="L15" i="38" s="1"/>
  <c r="H15" i="38"/>
  <c r="G15" i="38"/>
  <c r="E15" i="38"/>
  <c r="D15" i="38"/>
  <c r="M14" i="38"/>
  <c r="N14" i="38" s="1"/>
  <c r="K14" i="38"/>
  <c r="L14" i="38" s="1"/>
  <c r="H14" i="38"/>
  <c r="G14" i="38"/>
  <c r="E14" i="38"/>
  <c r="D14" i="38"/>
  <c r="M13" i="38"/>
  <c r="N13" i="38" s="1"/>
  <c r="K13" i="38"/>
  <c r="L13" i="38" s="1"/>
  <c r="H13" i="38"/>
  <c r="G13" i="38"/>
  <c r="E13" i="38"/>
  <c r="D13" i="38"/>
  <c r="M12" i="38"/>
  <c r="N12" i="38" s="1"/>
  <c r="K12" i="38"/>
  <c r="L12" i="38" s="1"/>
  <c r="H12" i="38"/>
  <c r="G12" i="38"/>
  <c r="E12" i="38"/>
  <c r="D12" i="38"/>
  <c r="M11" i="38"/>
  <c r="N11" i="38" s="1"/>
  <c r="K11" i="38"/>
  <c r="L11" i="38" s="1"/>
  <c r="H11" i="38"/>
  <c r="G11" i="38"/>
  <c r="E11" i="38"/>
  <c r="D11" i="38"/>
  <c r="M10" i="38"/>
  <c r="N10" i="38" s="1"/>
  <c r="K10" i="38"/>
  <c r="L10" i="38" s="1"/>
  <c r="H10" i="38"/>
  <c r="G10" i="38"/>
  <c r="E10" i="38"/>
  <c r="D10" i="38"/>
  <c r="M9" i="38"/>
  <c r="N9" i="38" s="1"/>
  <c r="K9" i="38"/>
  <c r="L9" i="38" s="1"/>
  <c r="H9" i="38"/>
  <c r="G9" i="38"/>
  <c r="E9" i="38"/>
  <c r="D9" i="38"/>
  <c r="M8" i="38"/>
  <c r="N8" i="38" s="1"/>
  <c r="K8" i="38"/>
  <c r="L8" i="38" s="1"/>
  <c r="H8" i="38"/>
  <c r="G8" i="38"/>
  <c r="E8" i="38"/>
  <c r="D8" i="38"/>
  <c r="M7" i="38"/>
  <c r="N7" i="38" s="1"/>
  <c r="K7" i="38"/>
  <c r="L7" i="38" s="1"/>
  <c r="H7" i="38"/>
  <c r="G7" i="38"/>
  <c r="E7" i="38"/>
  <c r="D7" i="38"/>
  <c r="M6" i="38"/>
  <c r="N6" i="38" s="1"/>
  <c r="K6" i="38"/>
  <c r="L6" i="38" s="1"/>
  <c r="H6" i="38"/>
  <c r="G6" i="38"/>
  <c r="E6" i="38"/>
  <c r="D6" i="38"/>
  <c r="M5" i="38"/>
  <c r="N5" i="38" s="1"/>
  <c r="K5" i="38"/>
  <c r="L5" i="38" s="1"/>
  <c r="H5" i="38"/>
  <c r="G5" i="38"/>
  <c r="E5" i="38"/>
  <c r="D5" i="38"/>
  <c r="M4" i="38"/>
  <c r="N4" i="38" s="1"/>
  <c r="K4" i="38"/>
  <c r="L4" i="38" s="1"/>
  <c r="H4" i="38"/>
  <c r="G4" i="38"/>
  <c r="E4" i="38"/>
  <c r="D4" i="38"/>
  <c r="M3" i="38"/>
  <c r="N3" i="38" s="1"/>
  <c r="K3" i="38"/>
  <c r="L3" i="38" s="1"/>
  <c r="H3" i="38"/>
  <c r="G3" i="38"/>
  <c r="P2" i="38"/>
  <c r="M2" i="38"/>
  <c r="N2" i="38" s="1"/>
  <c r="N268" i="1"/>
  <c r="H264" i="1"/>
  <c r="C264" i="1"/>
  <c r="K263" i="1"/>
  <c r="K264" i="1" s="1"/>
  <c r="F263" i="1"/>
  <c r="F264" i="1" s="1"/>
  <c r="H261" i="1"/>
  <c r="C261" i="1"/>
  <c r="F260" i="1"/>
  <c r="F259" i="1"/>
  <c r="K258" i="1"/>
  <c r="F258" i="1"/>
  <c r="K257" i="1"/>
  <c r="F257" i="1"/>
  <c r="K256" i="1"/>
  <c r="F256" i="1"/>
  <c r="H254" i="1"/>
  <c r="C254" i="1"/>
  <c r="F253" i="1"/>
  <c r="F252" i="1"/>
  <c r="F251" i="1"/>
  <c r="F250" i="1"/>
  <c r="F249" i="1"/>
  <c r="K248" i="1"/>
  <c r="F248" i="1"/>
  <c r="K247" i="1"/>
  <c r="F247" i="1"/>
  <c r="H245" i="1"/>
  <c r="C245" i="1"/>
  <c r="K244" i="1"/>
  <c r="K245" i="1" s="1"/>
  <c r="F244" i="1"/>
  <c r="F245" i="1" s="1"/>
  <c r="M242" i="1"/>
  <c r="H242" i="1"/>
  <c r="C242" i="1"/>
  <c r="K241" i="1"/>
  <c r="K242" i="1" s="1"/>
  <c r="F241" i="1"/>
  <c r="F242" i="1" s="1"/>
  <c r="M239" i="1"/>
  <c r="H239" i="1"/>
  <c r="C239" i="1"/>
  <c r="K238" i="1"/>
  <c r="F238" i="1"/>
  <c r="K237" i="1"/>
  <c r="F237" i="1"/>
  <c r="H235" i="1"/>
  <c r="C235" i="1"/>
  <c r="F234" i="1"/>
  <c r="K233" i="1"/>
  <c r="K235" i="1" s="1"/>
  <c r="F233" i="1"/>
  <c r="H231" i="1"/>
  <c r="C231" i="1"/>
  <c r="K230" i="1"/>
  <c r="K231" i="1" s="1"/>
  <c r="F230" i="1"/>
  <c r="F231" i="1" s="1"/>
  <c r="H228" i="1"/>
  <c r="C228" i="1"/>
  <c r="F227" i="1"/>
  <c r="F226" i="1"/>
  <c r="F225" i="1"/>
  <c r="K224" i="1"/>
  <c r="F224" i="1"/>
  <c r="K223" i="1"/>
  <c r="F223" i="1"/>
  <c r="K222" i="1"/>
  <c r="F222" i="1"/>
  <c r="K221" i="1"/>
  <c r="F221" i="1"/>
  <c r="K220" i="1"/>
  <c r="F220" i="1"/>
  <c r="K219" i="1"/>
  <c r="F219" i="1"/>
  <c r="K218" i="1"/>
  <c r="F218" i="1"/>
  <c r="K217" i="1"/>
  <c r="F217" i="1"/>
  <c r="K216" i="1"/>
  <c r="F216" i="1"/>
  <c r="K215" i="1"/>
  <c r="F215" i="1"/>
  <c r="K214" i="1"/>
  <c r="F214" i="1"/>
  <c r="K213" i="1"/>
  <c r="F213" i="1"/>
  <c r="K212" i="1"/>
  <c r="F212" i="1"/>
  <c r="K211" i="1"/>
  <c r="F211" i="1"/>
  <c r="K210" i="1"/>
  <c r="F210" i="1"/>
  <c r="K209" i="1"/>
  <c r="F209" i="1"/>
  <c r="K208" i="1"/>
  <c r="F208" i="1"/>
  <c r="K207" i="1"/>
  <c r="F207" i="1"/>
  <c r="K206" i="1"/>
  <c r="F206" i="1"/>
  <c r="K205" i="1"/>
  <c r="F205" i="1"/>
  <c r="K204" i="1"/>
  <c r="F204" i="1"/>
  <c r="K203" i="1"/>
  <c r="F203" i="1"/>
  <c r="K202" i="1"/>
  <c r="F202" i="1"/>
  <c r="K201" i="1"/>
  <c r="F201" i="1"/>
  <c r="H199" i="1"/>
  <c r="C199" i="1"/>
  <c r="K198" i="1"/>
  <c r="K199" i="1" s="1"/>
  <c r="F198" i="1"/>
  <c r="F199" i="1" s="1"/>
  <c r="F195" i="1"/>
  <c r="K194" i="1"/>
  <c r="D194" i="1"/>
  <c r="F194" i="1" s="1"/>
  <c r="K193" i="1"/>
  <c r="F193" i="1"/>
  <c r="K192" i="1"/>
  <c r="F192" i="1"/>
  <c r="M190" i="1"/>
  <c r="H190" i="1"/>
  <c r="C190" i="1"/>
  <c r="K189" i="1"/>
  <c r="F189" i="1"/>
  <c r="K188" i="1"/>
  <c r="F188" i="1"/>
  <c r="K187" i="1"/>
  <c r="F187" i="1"/>
  <c r="K186" i="1"/>
  <c r="F186" i="1"/>
  <c r="K184" i="1"/>
  <c r="N184" i="1" s="1"/>
  <c r="O184" i="1" s="1"/>
  <c r="M177" i="1"/>
  <c r="H177" i="1"/>
  <c r="C177" i="1"/>
  <c r="F176" i="1"/>
  <c r="F175" i="1"/>
  <c r="F174" i="1"/>
  <c r="F173" i="1"/>
  <c r="K172" i="1"/>
  <c r="K177" i="1" s="1"/>
  <c r="F172" i="1"/>
  <c r="M141" i="1"/>
  <c r="H141" i="1"/>
  <c r="C141" i="1"/>
  <c r="F140" i="1"/>
  <c r="F139" i="1"/>
  <c r="F138" i="1"/>
  <c r="F137" i="1"/>
  <c r="F136" i="1"/>
  <c r="F135" i="1"/>
  <c r="F134" i="1"/>
  <c r="F133" i="1"/>
  <c r="F132" i="1"/>
  <c r="F131" i="1"/>
  <c r="F130" i="1"/>
  <c r="F129" i="1"/>
  <c r="F128" i="1"/>
  <c r="F127" i="1"/>
  <c r="F126" i="1"/>
  <c r="F125" i="1"/>
  <c r="F124" i="1"/>
  <c r="F123" i="1"/>
  <c r="F122" i="1"/>
  <c r="F121" i="1"/>
  <c r="K120" i="1"/>
  <c r="F120" i="1"/>
  <c r="K119" i="1"/>
  <c r="F119" i="1"/>
  <c r="K118" i="1"/>
  <c r="F118" i="1"/>
  <c r="K117" i="1"/>
  <c r="F117" i="1"/>
  <c r="K116" i="1"/>
  <c r="F116" i="1"/>
  <c r="K115" i="1"/>
  <c r="F115" i="1"/>
  <c r="K114" i="1"/>
  <c r="F114" i="1"/>
  <c r="K113" i="1"/>
  <c r="F113" i="1"/>
  <c r="K112" i="1"/>
  <c r="F112" i="1"/>
  <c r="K111" i="1"/>
  <c r="F111" i="1"/>
  <c r="H109" i="1"/>
  <c r="C109" i="1"/>
  <c r="F108" i="1"/>
  <c r="F107" i="1"/>
  <c r="K106" i="1"/>
  <c r="F106" i="1"/>
  <c r="K105" i="1"/>
  <c r="F105" i="1"/>
  <c r="H103" i="1"/>
  <c r="C103" i="1"/>
  <c r="K102" i="1"/>
  <c r="K103" i="1" s="1"/>
  <c r="F102" i="1"/>
  <c r="F103" i="1" s="1"/>
  <c r="H100" i="1"/>
  <c r="C100" i="1"/>
  <c r="F99" i="1"/>
  <c r="K98" i="1"/>
  <c r="K100" i="1" s="1"/>
  <c r="F98" i="1"/>
  <c r="M94" i="1"/>
  <c r="F94" i="1"/>
  <c r="H88" i="1"/>
  <c r="C88" i="1"/>
  <c r="F87" i="1"/>
  <c r="K86" i="1"/>
  <c r="F86" i="1"/>
  <c r="K85" i="1"/>
  <c r="F85" i="1"/>
  <c r="M83" i="1"/>
  <c r="H83" i="1"/>
  <c r="C83" i="1"/>
  <c r="F82" i="1"/>
  <c r="F81" i="1"/>
  <c r="F80" i="1"/>
  <c r="F79" i="1"/>
  <c r="F78" i="1"/>
  <c r="F77" i="1"/>
  <c r="F76" i="1"/>
  <c r="F75" i="1"/>
  <c r="F74" i="1"/>
  <c r="K73" i="1"/>
  <c r="F73" i="1"/>
  <c r="K72" i="1"/>
  <c r="F72" i="1"/>
  <c r="K70" i="1"/>
  <c r="F70" i="1"/>
  <c r="H61" i="1"/>
  <c r="C61" i="1"/>
  <c r="K60" i="1"/>
  <c r="K61" i="1" s="1"/>
  <c r="F60" i="1"/>
  <c r="F61" i="1" s="1"/>
  <c r="H58" i="1"/>
  <c r="C58" i="1"/>
  <c r="F57" i="1"/>
  <c r="F56" i="1"/>
  <c r="F55" i="1"/>
  <c r="F54" i="1"/>
  <c r="F53" i="1"/>
  <c r="F52" i="1"/>
  <c r="F51" i="1"/>
  <c r="F50" i="1"/>
  <c r="K49" i="1"/>
  <c r="F49" i="1"/>
  <c r="K48" i="1"/>
  <c r="F48" i="1"/>
  <c r="K47" i="1"/>
  <c r="F47" i="1"/>
  <c r="K46" i="1"/>
  <c r="F46" i="1"/>
  <c r="K45" i="1"/>
  <c r="F45" i="1"/>
  <c r="K44" i="1"/>
  <c r="F44" i="1"/>
  <c r="K43" i="1"/>
  <c r="F43" i="1"/>
  <c r="K42" i="1"/>
  <c r="F42" i="1"/>
  <c r="K41" i="1"/>
  <c r="F41" i="1"/>
  <c r="K40" i="1"/>
  <c r="F40" i="1"/>
  <c r="K39" i="1"/>
  <c r="F39" i="1"/>
  <c r="K38" i="1"/>
  <c r="F38" i="1"/>
  <c r="K37" i="1"/>
  <c r="F37" i="1"/>
  <c r="K36" i="1"/>
  <c r="F36" i="1"/>
  <c r="K35" i="1"/>
  <c r="F35" i="1"/>
  <c r="K34" i="1"/>
  <c r="F34" i="1"/>
  <c r="H32" i="1"/>
  <c r="C32" i="1"/>
  <c r="F31" i="1"/>
  <c r="F30" i="1"/>
  <c r="K29" i="1"/>
  <c r="K32" i="1" s="1"/>
  <c r="F29" i="1"/>
  <c r="H27" i="1"/>
  <c r="C27" i="1"/>
  <c r="F26" i="1"/>
  <c r="F25" i="1"/>
  <c r="F24" i="1"/>
  <c r="K23" i="1"/>
  <c r="F23" i="1"/>
  <c r="K22" i="1"/>
  <c r="F22" i="1"/>
  <c r="M21" i="1"/>
  <c r="M27" i="1" s="1"/>
  <c r="K21" i="1"/>
  <c r="F21" i="1"/>
  <c r="H19" i="1"/>
  <c r="C19" i="1"/>
  <c r="K18" i="1"/>
  <c r="K19" i="1" s="1"/>
  <c r="F18" i="1"/>
  <c r="F19" i="1" s="1"/>
  <c r="H16" i="1"/>
  <c r="C16" i="1"/>
  <c r="F15" i="1"/>
  <c r="F14" i="1"/>
  <c r="F13" i="1"/>
  <c r="F12" i="1"/>
  <c r="K11" i="1"/>
  <c r="F11" i="1"/>
  <c r="K10" i="1"/>
  <c r="F10" i="1"/>
  <c r="K9" i="1"/>
  <c r="F9" i="1"/>
  <c r="K8" i="1"/>
  <c r="F8" i="1"/>
  <c r="H6" i="1"/>
  <c r="C6" i="1"/>
  <c r="F5" i="1"/>
  <c r="K4" i="1"/>
  <c r="F4" i="1"/>
  <c r="K3" i="1"/>
  <c r="F3" i="1"/>
  <c r="K2" i="1"/>
  <c r="F2" i="1"/>
  <c r="F51" i="54"/>
  <c r="C19" i="69"/>
  <c r="C19" i="50"/>
  <c r="M19" i="41"/>
  <c r="M63" i="66"/>
  <c r="C51" i="54"/>
  <c r="K156" i="49"/>
  <c r="K23" i="57"/>
  <c r="F19" i="73"/>
  <c r="C25" i="31"/>
  <c r="M81" i="61"/>
  <c r="H25" i="31"/>
  <c r="M121" i="45"/>
  <c r="M30" i="49"/>
  <c r="K65" i="63"/>
  <c r="H19" i="34"/>
  <c r="C30" i="49"/>
  <c r="F86" i="53"/>
  <c r="M19" i="63"/>
  <c r="H19" i="54"/>
  <c r="F19" i="61"/>
  <c r="F25" i="31"/>
  <c r="F19" i="55"/>
  <c r="M65" i="71"/>
  <c r="H19" i="53"/>
  <c r="K19" i="52"/>
  <c r="C81" i="61"/>
  <c r="F19" i="64"/>
  <c r="K63" i="66"/>
  <c r="M19" i="60"/>
  <c r="M19" i="70"/>
  <c r="F19" i="41"/>
  <c r="K75" i="41"/>
  <c r="H19" i="69"/>
  <c r="F19" i="34"/>
  <c r="M19" i="45"/>
  <c r="M18" i="51"/>
  <c r="M67" i="60"/>
  <c r="F55" i="50"/>
  <c r="F121" i="45"/>
  <c r="M19" i="75"/>
  <c r="F67" i="60"/>
  <c r="K213" i="57"/>
  <c r="K19" i="55"/>
  <c r="H19" i="62"/>
  <c r="H121" i="45"/>
  <c r="M19" i="68"/>
  <c r="H19" i="72"/>
  <c r="F72" i="59"/>
  <c r="F77" i="70"/>
  <c r="C19" i="61"/>
  <c r="M19" i="52"/>
  <c r="M65" i="63"/>
  <c r="C19" i="3"/>
  <c r="F18" i="51"/>
  <c r="K451" i="17"/>
  <c r="K19" i="59"/>
  <c r="K55" i="50"/>
  <c r="K19" i="50"/>
  <c r="C19" i="71"/>
  <c r="C100" i="34"/>
  <c r="M19" i="73"/>
  <c r="H213" i="57"/>
  <c r="K25" i="31"/>
  <c r="C77" i="70"/>
  <c r="M19" i="3"/>
  <c r="C19" i="72"/>
  <c r="M51" i="54"/>
  <c r="K19" i="3"/>
  <c r="K65" i="71"/>
  <c r="M19" i="62"/>
  <c r="H19" i="41"/>
  <c r="C19" i="45"/>
  <c r="H94" i="52"/>
  <c r="C63" i="66"/>
  <c r="C19" i="41"/>
  <c r="H19" i="61"/>
  <c r="M19" i="69"/>
  <c r="F19" i="3"/>
  <c r="F23" i="57"/>
  <c r="H81" i="61"/>
  <c r="H451" i="17"/>
  <c r="M19" i="54"/>
  <c r="M69" i="58"/>
  <c r="K19" i="60"/>
  <c r="K19" i="68"/>
  <c r="K19" i="72"/>
  <c r="H90" i="72"/>
  <c r="K86" i="53"/>
  <c r="K121" i="45"/>
  <c r="C19" i="34"/>
  <c r="K90" i="72"/>
  <c r="H19" i="55"/>
  <c r="C55" i="50"/>
  <c r="F19" i="53"/>
  <c r="M75" i="41"/>
  <c r="H19" i="71"/>
  <c r="K94" i="52"/>
  <c r="M19" i="59"/>
  <c r="F23" i="17"/>
  <c r="K19" i="54"/>
  <c r="F90" i="72"/>
  <c r="M23" i="17"/>
  <c r="F19" i="50"/>
  <c r="C19" i="54"/>
  <c r="C121" i="45"/>
  <c r="M451" i="17"/>
  <c r="F19" i="72"/>
  <c r="C23" i="57"/>
  <c r="M55" i="50"/>
  <c r="K67" i="60"/>
  <c r="H19" i="75"/>
  <c r="C94" i="52"/>
  <c r="C156" i="49"/>
  <c r="M19" i="61"/>
  <c r="C19" i="64"/>
  <c r="C19" i="60"/>
  <c r="F19" i="69"/>
  <c r="M19" i="72"/>
  <c r="H63" i="66"/>
  <c r="M19" i="53"/>
  <c r="F85" i="64"/>
  <c r="K19" i="69"/>
  <c r="K51" i="54"/>
  <c r="K100" i="34"/>
  <c r="C19" i="53"/>
  <c r="H19" i="68"/>
  <c r="F19" i="66"/>
  <c r="M72" i="59"/>
  <c r="K69" i="58"/>
  <c r="H65" i="63"/>
  <c r="H19" i="63"/>
  <c r="C19" i="59"/>
  <c r="C69" i="58"/>
  <c r="C19" i="52"/>
  <c r="K35" i="74"/>
  <c r="H292" i="58"/>
  <c r="H19" i="73"/>
  <c r="F19" i="52"/>
  <c r="C19" i="73"/>
  <c r="M100" i="34"/>
  <c r="F35" i="74"/>
  <c r="C213" i="57"/>
  <c r="F100" i="34"/>
  <c r="C85" i="64"/>
  <c r="H19" i="70"/>
  <c r="H67" i="60"/>
  <c r="M19" i="50"/>
  <c r="H100" i="34"/>
  <c r="F451" i="17"/>
  <c r="K19" i="63"/>
  <c r="F19" i="62"/>
  <c r="H69" i="58"/>
  <c r="H75" i="41"/>
  <c r="F19" i="68"/>
  <c r="K72" i="59"/>
  <c r="K81" i="61"/>
  <c r="C451" i="17"/>
  <c r="M156" i="49"/>
  <c r="F65" i="63"/>
  <c r="K19" i="73"/>
  <c r="M19" i="34"/>
  <c r="H156" i="49"/>
  <c r="H19" i="52"/>
  <c r="F69" i="58"/>
  <c r="F81" i="61"/>
  <c r="K19" i="53"/>
  <c r="K292" i="58"/>
  <c r="H55" i="50"/>
  <c r="K19" i="70"/>
  <c r="H23" i="17"/>
  <c r="H19" i="3"/>
  <c r="K19" i="41"/>
  <c r="F213" i="57"/>
  <c r="K19" i="71"/>
  <c r="C75" i="41"/>
  <c r="M19" i="55"/>
  <c r="C19" i="75"/>
  <c r="F19" i="60"/>
  <c r="F19" i="63"/>
  <c r="C19" i="70"/>
  <c r="M19" i="66"/>
  <c r="M86" i="53"/>
  <c r="K19" i="34"/>
  <c r="H77" i="70"/>
  <c r="K19" i="62"/>
  <c r="F75" i="41"/>
  <c r="H19" i="66"/>
  <c r="F19" i="59"/>
  <c r="H65" i="71"/>
  <c r="C19" i="55"/>
  <c r="M94" i="52"/>
  <c r="C19" i="63"/>
  <c r="F63" i="66"/>
  <c r="H159" i="25"/>
  <c r="C292" i="58"/>
  <c r="F94" i="52"/>
  <c r="F19" i="54"/>
  <c r="K19" i="61"/>
  <c r="F19" i="71"/>
  <c r="C90" i="72"/>
  <c r="F292" i="58"/>
  <c r="H86" i="53"/>
  <c r="C19" i="62"/>
  <c r="F65" i="71"/>
  <c r="F30" i="49"/>
  <c r="C65" i="63"/>
  <c r="M23" i="57"/>
  <c r="K19" i="66"/>
  <c r="C19" i="66"/>
  <c r="F28" i="43"/>
  <c r="K19" i="75"/>
  <c r="H51" i="54"/>
  <c r="M90" i="72"/>
  <c r="F19" i="45"/>
  <c r="H19" i="60"/>
  <c r="C72" i="59"/>
  <c r="M292" i="58"/>
  <c r="M77" i="70"/>
  <c r="K18" i="51"/>
  <c r="F159" i="25"/>
  <c r="K23" i="17"/>
  <c r="F19" i="75"/>
  <c r="M213" i="57"/>
  <c r="H19" i="50"/>
  <c r="F19" i="70"/>
  <c r="K77" i="70"/>
  <c r="C86" i="53"/>
  <c r="C65" i="71"/>
  <c r="C67" i="60"/>
  <c r="M19" i="71"/>
  <c r="M25" i="31"/>
  <c r="H72" i="59"/>
  <c r="C19" i="68"/>
  <c r="C23" i="17"/>
  <c r="F156" i="49"/>
  <c r="H19" i="59"/>
  <c r="V1036" i="38" l="1"/>
  <c r="X1036" i="38" s="1"/>
  <c r="V1035" i="38"/>
  <c r="X1035" i="38" s="1"/>
  <c r="V1033" i="38"/>
  <c r="X1033" i="38" s="1"/>
  <c r="V1034" i="38"/>
  <c r="X1034" i="38" s="1"/>
  <c r="V1031" i="38"/>
  <c r="X1031" i="38" s="1"/>
  <c r="V1032" i="38"/>
  <c r="X1032" i="38" s="1"/>
  <c r="V1030" i="38"/>
  <c r="X1030" i="38" s="1"/>
  <c r="V1029" i="38"/>
  <c r="X1029" i="38" s="1"/>
  <c r="V1028" i="38"/>
  <c r="X1028" i="38" s="1"/>
  <c r="V1027" i="38"/>
  <c r="X1027" i="38" s="1"/>
  <c r="V1026" i="38"/>
  <c r="X1026" i="38" s="1"/>
  <c r="V1025" i="38"/>
  <c r="X1025" i="38" s="1"/>
  <c r="V1023" i="38"/>
  <c r="X1023" i="38" s="1"/>
  <c r="V1024" i="38"/>
  <c r="X1024" i="38" s="1"/>
  <c r="V1022" i="38"/>
  <c r="X1022" i="38" s="1"/>
  <c r="V1021" i="38"/>
  <c r="X1021" i="38" s="1"/>
  <c r="V1020" i="38"/>
  <c r="X1020" i="38" s="1"/>
  <c r="V1018" i="38"/>
  <c r="X1018" i="38" s="1"/>
  <c r="V1019" i="38"/>
  <c r="X1019" i="38" s="1"/>
  <c r="V1016" i="38"/>
  <c r="X1016" i="38" s="1"/>
  <c r="V1017" i="38"/>
  <c r="X1017" i="38" s="1"/>
  <c r="V1015" i="38"/>
  <c r="X1015" i="38" s="1"/>
  <c r="V1013" i="38"/>
  <c r="X1013" i="38" s="1"/>
  <c r="V1014" i="38"/>
  <c r="X1014" i="38" s="1"/>
  <c r="V1011" i="38"/>
  <c r="X1011" i="38" s="1"/>
  <c r="V1012" i="38"/>
  <c r="X1012" i="38" s="1"/>
  <c r="V1009" i="38"/>
  <c r="X1009" i="38" s="1"/>
  <c r="V1010" i="38"/>
  <c r="X1010" i="38" s="1"/>
  <c r="V1007" i="38"/>
  <c r="X1007" i="38" s="1"/>
  <c r="V1008" i="38"/>
  <c r="X1008" i="38" s="1"/>
  <c r="V1006" i="38"/>
  <c r="X1006" i="38" s="1"/>
  <c r="V1004" i="38"/>
  <c r="X1004" i="38" s="1"/>
  <c r="V1005" i="38"/>
  <c r="X1005" i="38" s="1"/>
  <c r="V1002" i="38"/>
  <c r="X1002" i="38" s="1"/>
  <c r="V1003" i="38"/>
  <c r="X1003" i="38" s="1"/>
  <c r="V1000" i="38"/>
  <c r="X1000" i="38" s="1"/>
  <c r="V1001" i="38"/>
  <c r="X1001" i="38" s="1"/>
  <c r="V998" i="38"/>
  <c r="X998" i="38" s="1"/>
  <c r="V999" i="38"/>
  <c r="X999" i="38" s="1"/>
  <c r="V996" i="38"/>
  <c r="X996" i="38" s="1"/>
  <c r="V997" i="38"/>
  <c r="X997" i="38" s="1"/>
  <c r="V994" i="38"/>
  <c r="X994" i="38" s="1"/>
  <c r="V995" i="38"/>
  <c r="X995" i="38" s="1"/>
  <c r="V993" i="38"/>
  <c r="X993" i="38" s="1"/>
  <c r="V991" i="38"/>
  <c r="X991" i="38" s="1"/>
  <c r="V992" i="38"/>
  <c r="X992" i="38" s="1"/>
  <c r="V989" i="38"/>
  <c r="X989" i="38" s="1"/>
  <c r="V990" i="38"/>
  <c r="X990" i="38" s="1"/>
  <c r="V987" i="38"/>
  <c r="X987" i="38" s="1"/>
  <c r="V988" i="38"/>
  <c r="X988" i="38" s="1"/>
  <c r="V985" i="38"/>
  <c r="X985" i="38" s="1"/>
  <c r="V986" i="38"/>
  <c r="X986" i="38" s="1"/>
  <c r="V984" i="38"/>
  <c r="X984" i="38" s="1"/>
  <c r="V983" i="38"/>
  <c r="X983" i="38" s="1"/>
  <c r="V982" i="38"/>
  <c r="X982" i="38" s="1"/>
  <c r="V980" i="38"/>
  <c r="X980" i="38" s="1"/>
  <c r="V981" i="38"/>
  <c r="X981" i="38" s="1"/>
  <c r="V979" i="38"/>
  <c r="X979" i="38" s="1"/>
  <c r="V978" i="38"/>
  <c r="X978" i="38" s="1"/>
  <c r="V977" i="38"/>
  <c r="X977" i="38" s="1"/>
  <c r="V975" i="38"/>
  <c r="X975" i="38" s="1"/>
  <c r="V976" i="38"/>
  <c r="X976" i="38" s="1"/>
  <c r="V973" i="38"/>
  <c r="X973" i="38" s="1"/>
  <c r="V974" i="38"/>
  <c r="X974" i="38" s="1"/>
  <c r="V971" i="38"/>
  <c r="X971" i="38" s="1"/>
  <c r="V972" i="38"/>
  <c r="X972" i="38" s="1"/>
  <c r="V969" i="38"/>
  <c r="X969" i="38" s="1"/>
  <c r="V970" i="38"/>
  <c r="X970" i="38" s="1"/>
  <c r="V968" i="38"/>
  <c r="X968" i="38" s="1"/>
  <c r="V967" i="38"/>
  <c r="X967" i="38" s="1"/>
  <c r="V966" i="38"/>
  <c r="X966" i="38" s="1"/>
  <c r="V965" i="38"/>
  <c r="X965" i="38" s="1"/>
  <c r="V964" i="38"/>
  <c r="X964" i="38" s="1"/>
  <c r="V963" i="38"/>
  <c r="X963" i="38" s="1"/>
  <c r="V962" i="38"/>
  <c r="X962" i="38" s="1"/>
  <c r="V961" i="38"/>
  <c r="X961" i="38" s="1"/>
  <c r="V960" i="38"/>
  <c r="X960" i="38" s="1"/>
  <c r="V958" i="38"/>
  <c r="X958" i="38" s="1"/>
  <c r="V959" i="38"/>
  <c r="X959" i="38" s="1"/>
  <c r="V957" i="38"/>
  <c r="X957" i="38" s="1"/>
  <c r="V955" i="38"/>
  <c r="X955" i="38" s="1"/>
  <c r="V956" i="38"/>
  <c r="X956" i="38" s="1"/>
  <c r="V952" i="38"/>
  <c r="X952" i="38" s="1"/>
  <c r="V953" i="38"/>
  <c r="X953" i="38" s="1"/>
  <c r="V954" i="38"/>
  <c r="X954" i="38" s="1"/>
  <c r="V951" i="38"/>
  <c r="X951" i="38" s="1"/>
  <c r="V949" i="38"/>
  <c r="X949" i="38" s="1"/>
  <c r="V950" i="38"/>
  <c r="X950" i="38" s="1"/>
  <c r="V947" i="38"/>
  <c r="X947" i="38" s="1"/>
  <c r="V948" i="38"/>
  <c r="X948" i="38" s="1"/>
  <c r="V946" i="38"/>
  <c r="X946" i="38" s="1"/>
  <c r="V944" i="38"/>
  <c r="X944" i="38" s="1"/>
  <c r="V945" i="38"/>
  <c r="X945" i="38" s="1"/>
  <c r="V943" i="38"/>
  <c r="X943" i="38" s="1"/>
  <c r="V942" i="38"/>
  <c r="X942" i="38" s="1"/>
  <c r="V940" i="38"/>
  <c r="X940" i="38" s="1"/>
  <c r="V941" i="38"/>
  <c r="X941" i="38" s="1"/>
  <c r="V938" i="38"/>
  <c r="X938" i="38" s="1"/>
  <c r="V939" i="38"/>
  <c r="X939" i="38" s="1"/>
  <c r="V937" i="38"/>
  <c r="X937" i="38" s="1"/>
  <c r="V936" i="38"/>
  <c r="X936" i="38" s="1"/>
  <c r="V934" i="38"/>
  <c r="X934" i="38" s="1"/>
  <c r="V935" i="38"/>
  <c r="X935" i="38" s="1"/>
  <c r="V932" i="38"/>
  <c r="X932" i="38" s="1"/>
  <c r="V933" i="38"/>
  <c r="X933" i="38" s="1"/>
  <c r="V931" i="38"/>
  <c r="X931" i="38" s="1"/>
  <c r="V929" i="38"/>
  <c r="X929" i="38" s="1"/>
  <c r="V930" i="38"/>
  <c r="X930" i="38" s="1"/>
  <c r="V928" i="38"/>
  <c r="X928" i="38" s="1"/>
  <c r="V926" i="38"/>
  <c r="X926" i="38" s="1"/>
  <c r="V927" i="38"/>
  <c r="X927" i="38" s="1"/>
  <c r="V925" i="38"/>
  <c r="X925" i="38" s="1"/>
  <c r="V924" i="38"/>
  <c r="X924" i="38" s="1"/>
  <c r="V922" i="38"/>
  <c r="X922" i="38" s="1"/>
  <c r="V923" i="38"/>
  <c r="X923" i="38" s="1"/>
  <c r="V921" i="38"/>
  <c r="X921" i="38" s="1"/>
  <c r="V920" i="38"/>
  <c r="X920" i="38" s="1"/>
  <c r="V919" i="38"/>
  <c r="X919" i="38" s="1"/>
  <c r="V917" i="38"/>
  <c r="X917" i="38" s="1"/>
  <c r="V918" i="38"/>
  <c r="X918" i="38" s="1"/>
  <c r="V916" i="38"/>
  <c r="X916" i="38" s="1"/>
  <c r="V915" i="38"/>
  <c r="X915" i="38" s="1"/>
  <c r="V914" i="38"/>
  <c r="X914" i="38" s="1"/>
  <c r="V913" i="38"/>
  <c r="X913" i="38" s="1"/>
  <c r="V912" i="38"/>
  <c r="X912" i="38" s="1"/>
  <c r="V911" i="38"/>
  <c r="X911" i="38" s="1"/>
  <c r="V910" i="38"/>
  <c r="X910" i="38" s="1"/>
  <c r="V909" i="38"/>
  <c r="X909" i="38" s="1"/>
  <c r="V908" i="38"/>
  <c r="X908" i="38" s="1"/>
  <c r="V907" i="38"/>
  <c r="X907" i="38" s="1"/>
  <c r="V906" i="38"/>
  <c r="X906" i="38" s="1"/>
  <c r="V905" i="38"/>
  <c r="X905" i="38" s="1"/>
  <c r="V904" i="38"/>
  <c r="X904" i="38" s="1"/>
  <c r="V903" i="38"/>
  <c r="X903" i="38" s="1"/>
  <c r="V902" i="38"/>
  <c r="X902" i="38" s="1"/>
  <c r="V901" i="38"/>
  <c r="X901" i="38" s="1"/>
  <c r="V900" i="38"/>
  <c r="X900" i="38" s="1"/>
  <c r="V898" i="38"/>
  <c r="X898" i="38" s="1"/>
  <c r="V899" i="38"/>
  <c r="X899" i="38" s="1"/>
  <c r="V897" i="38"/>
  <c r="X897" i="38" s="1"/>
  <c r="V896" i="38"/>
  <c r="X896" i="38" s="1"/>
  <c r="V895" i="38"/>
  <c r="X895" i="38" s="1"/>
  <c r="V894" i="38"/>
  <c r="X894" i="38" s="1"/>
  <c r="V892" i="38"/>
  <c r="X892" i="38" s="1"/>
  <c r="V893" i="38"/>
  <c r="X893" i="38" s="1"/>
  <c r="V891" i="38"/>
  <c r="X891" i="38" s="1"/>
  <c r="V890" i="38"/>
  <c r="X890" i="38" s="1"/>
  <c r="V889" i="38"/>
  <c r="X889" i="38" s="1"/>
  <c r="V887" i="38"/>
  <c r="X887" i="38" s="1"/>
  <c r="V888" i="38"/>
  <c r="X888" i="38" s="1"/>
  <c r="V885" i="38"/>
  <c r="X885" i="38" s="1"/>
  <c r="V886" i="38"/>
  <c r="X886" i="38" s="1"/>
  <c r="V884" i="38"/>
  <c r="X884" i="38" s="1"/>
  <c r="V883" i="38"/>
  <c r="X883" i="38" s="1"/>
  <c r="V882" i="38"/>
  <c r="X882" i="38" s="1"/>
  <c r="V881" i="38"/>
  <c r="X881" i="38" s="1"/>
  <c r="V880" i="38"/>
  <c r="X880" i="38" s="1"/>
  <c r="V879" i="38"/>
  <c r="X879" i="38" s="1"/>
  <c r="V877" i="38"/>
  <c r="X877" i="38" s="1"/>
  <c r="V878" i="38"/>
  <c r="X878" i="38" s="1"/>
  <c r="V876" i="38"/>
  <c r="X876" i="38" s="1"/>
  <c r="V875" i="38"/>
  <c r="X875" i="38" s="1"/>
  <c r="V874" i="38"/>
  <c r="X874" i="38" s="1"/>
  <c r="V873" i="38"/>
  <c r="X873" i="38" s="1"/>
  <c r="V872" i="38"/>
  <c r="X872" i="38" s="1"/>
  <c r="V871" i="38"/>
  <c r="X871" i="38" s="1"/>
  <c r="V870" i="38"/>
  <c r="X870" i="38" s="1"/>
  <c r="V869" i="38"/>
  <c r="X869" i="38" s="1"/>
  <c r="V867" i="38"/>
  <c r="X867" i="38" s="1"/>
  <c r="V868" i="38"/>
  <c r="X868" i="38" s="1"/>
  <c r="V866" i="38"/>
  <c r="X866" i="38" s="1"/>
  <c r="V865" i="38"/>
  <c r="X865" i="38" s="1"/>
  <c r="V864" i="38"/>
  <c r="X864" i="38" s="1"/>
  <c r="V863" i="38"/>
  <c r="X863" i="38" s="1"/>
  <c r="V861" i="38"/>
  <c r="X861" i="38" s="1"/>
  <c r="V862" i="38"/>
  <c r="X862" i="38" s="1"/>
  <c r="V860" i="38"/>
  <c r="X860" i="38" s="1"/>
  <c r="V859" i="38"/>
  <c r="X859" i="38" s="1"/>
  <c r="V858" i="38"/>
  <c r="X858" i="38" s="1"/>
  <c r="V857" i="38"/>
  <c r="X857" i="38" s="1"/>
  <c r="V856" i="38"/>
  <c r="X856" i="38" s="1"/>
  <c r="V855" i="38"/>
  <c r="X855" i="38" s="1"/>
  <c r="V854" i="38"/>
  <c r="X854" i="38" s="1"/>
  <c r="V852" i="38"/>
  <c r="X852" i="38" s="1"/>
  <c r="V853" i="38"/>
  <c r="X853" i="38" s="1"/>
  <c r="V851" i="38"/>
  <c r="X851" i="38" s="1"/>
  <c r="V849" i="38"/>
  <c r="X849" i="38" s="1"/>
  <c r="V850" i="38"/>
  <c r="X850" i="38" s="1"/>
  <c r="V848" i="38"/>
  <c r="X848" i="38" s="1"/>
  <c r="V847" i="38"/>
  <c r="X847" i="38" s="1"/>
  <c r="V846" i="38"/>
  <c r="X846" i="38" s="1"/>
  <c r="V845" i="38"/>
  <c r="X845" i="38" s="1"/>
  <c r="V844" i="38"/>
  <c r="X844" i="38" s="1"/>
  <c r="V843" i="38"/>
  <c r="X843" i="38" s="1"/>
  <c r="V842" i="38"/>
  <c r="X842" i="38" s="1"/>
  <c r="V841" i="38"/>
  <c r="X841" i="38" s="1"/>
  <c r="V840" i="38"/>
  <c r="X840" i="38" s="1"/>
  <c r="V839" i="38"/>
  <c r="X839" i="38" s="1"/>
  <c r="V838" i="38"/>
  <c r="X838" i="38" s="1"/>
  <c r="V837" i="38"/>
  <c r="X837" i="38" s="1"/>
  <c r="V836" i="38"/>
  <c r="X836" i="38" s="1"/>
  <c r="V835" i="38"/>
  <c r="X835" i="38" s="1"/>
  <c r="V834" i="38"/>
  <c r="X834" i="38" s="1"/>
  <c r="V833" i="38"/>
  <c r="X833" i="38" s="1"/>
  <c r="V832" i="38"/>
  <c r="X832" i="38" s="1"/>
  <c r="V831" i="38"/>
  <c r="X831" i="38" s="1"/>
  <c r="V830" i="38"/>
  <c r="X830" i="38" s="1"/>
  <c r="V829" i="38"/>
  <c r="X829" i="38" s="1"/>
  <c r="V828" i="38"/>
  <c r="X828" i="38" s="1"/>
  <c r="V827" i="38"/>
  <c r="X827" i="38" s="1"/>
  <c r="V826" i="38"/>
  <c r="X826" i="38" s="1"/>
  <c r="V825" i="38"/>
  <c r="X825" i="38" s="1"/>
  <c r="V824" i="38"/>
  <c r="X824" i="38" s="1"/>
  <c r="V823" i="38"/>
  <c r="X823" i="38" s="1"/>
  <c r="V822" i="38"/>
  <c r="X822" i="38" s="1"/>
  <c r="V821" i="38"/>
  <c r="X821" i="38" s="1"/>
  <c r="V820" i="38"/>
  <c r="X820" i="38" s="1"/>
  <c r="V819" i="38"/>
  <c r="X819" i="38" s="1"/>
  <c r="V818" i="38"/>
  <c r="X818" i="38" s="1"/>
  <c r="V817" i="38"/>
  <c r="X817" i="38" s="1"/>
  <c r="V816" i="38"/>
  <c r="X816" i="38" s="1"/>
  <c r="V815" i="38"/>
  <c r="X815" i="38" s="1"/>
  <c r="V814" i="38"/>
  <c r="X814" i="38" s="1"/>
  <c r="V813" i="38"/>
  <c r="X813" i="38" s="1"/>
  <c r="V812" i="38"/>
  <c r="X812" i="38" s="1"/>
  <c r="V811" i="38"/>
  <c r="X811" i="38" s="1"/>
  <c r="V810" i="38"/>
  <c r="X810" i="38" s="1"/>
  <c r="V809" i="38"/>
  <c r="X809" i="38" s="1"/>
  <c r="V808" i="38"/>
  <c r="X808" i="38" s="1"/>
  <c r="V807" i="38"/>
  <c r="X807" i="38" s="1"/>
  <c r="V806" i="38"/>
  <c r="X806" i="38" s="1"/>
  <c r="V805" i="38"/>
  <c r="X805" i="38" s="1"/>
  <c r="V803" i="38"/>
  <c r="X803" i="38" s="1"/>
  <c r="V804" i="38"/>
  <c r="X804" i="38" s="1"/>
  <c r="V802" i="38"/>
  <c r="X802" i="38" s="1"/>
  <c r="V801" i="38"/>
  <c r="X801" i="38" s="1"/>
  <c r="V799" i="38"/>
  <c r="X799" i="38" s="1"/>
  <c r="V800" i="38"/>
  <c r="X800" i="38" s="1"/>
  <c r="V798" i="38"/>
  <c r="X798" i="38" s="1"/>
  <c r="V797" i="38"/>
  <c r="X797" i="38" s="1"/>
  <c r="V796" i="38"/>
  <c r="X796" i="38" s="1"/>
  <c r="V795" i="38"/>
  <c r="X795" i="38" s="1"/>
  <c r="V794" i="38"/>
  <c r="X794" i="38" s="1"/>
  <c r="V793" i="38"/>
  <c r="X793" i="38" s="1"/>
  <c r="V792" i="38"/>
  <c r="X792" i="38" s="1"/>
  <c r="V791" i="38"/>
  <c r="X791" i="38" s="1"/>
  <c r="V790" i="38"/>
  <c r="X790" i="38" s="1"/>
  <c r="V789" i="38"/>
  <c r="X789" i="38" s="1"/>
  <c r="V788" i="38"/>
  <c r="X788" i="38" s="1"/>
  <c r="V787" i="38"/>
  <c r="X787" i="38" s="1"/>
  <c r="V786" i="38"/>
  <c r="X786" i="38" s="1"/>
  <c r="V785" i="38"/>
  <c r="X785" i="38" s="1"/>
  <c r="V784" i="38"/>
  <c r="X784" i="38" s="1"/>
  <c r="V783" i="38"/>
  <c r="X783" i="38" s="1"/>
  <c r="V782" i="38"/>
  <c r="X782" i="38" s="1"/>
  <c r="V781" i="38"/>
  <c r="X781" i="38" s="1"/>
  <c r="V780" i="38"/>
  <c r="X780" i="38" s="1"/>
  <c r="V778" i="38"/>
  <c r="X778" i="38" s="1"/>
  <c r="V779" i="38"/>
  <c r="X779" i="38" s="1"/>
  <c r="V777" i="38"/>
  <c r="X777" i="38" s="1"/>
  <c r="V774" i="38"/>
  <c r="X774" i="38" s="1"/>
  <c r="V776" i="38"/>
  <c r="X776" i="38" s="1"/>
  <c r="V775" i="38"/>
  <c r="X775" i="38" s="1"/>
  <c r="V773" i="38"/>
  <c r="X773" i="38" s="1"/>
  <c r="V772" i="38"/>
  <c r="X772" i="38" s="1"/>
  <c r="V771" i="38"/>
  <c r="X771" i="38" s="1"/>
  <c r="V770" i="38"/>
  <c r="X770" i="38" s="1"/>
  <c r="V769" i="38"/>
  <c r="X769" i="38" s="1"/>
  <c r="V768" i="38"/>
  <c r="X768" i="38" s="1"/>
  <c r="V767" i="38"/>
  <c r="X767" i="38" s="1"/>
  <c r="V766" i="38"/>
  <c r="X766" i="38" s="1"/>
  <c r="V764" i="38"/>
  <c r="X764" i="38" s="1"/>
  <c r="V765" i="38"/>
  <c r="X765" i="38" s="1"/>
  <c r="V763" i="38"/>
  <c r="X763" i="38" s="1"/>
  <c r="V762" i="38"/>
  <c r="X762" i="38" s="1"/>
  <c r="V760" i="38"/>
  <c r="X760" i="38" s="1"/>
  <c r="V761" i="38"/>
  <c r="X761" i="38" s="1"/>
  <c r="V759" i="38"/>
  <c r="X759" i="38" s="1"/>
  <c r="V758" i="38"/>
  <c r="X758" i="38" s="1"/>
  <c r="V756" i="38"/>
  <c r="X756" i="38" s="1"/>
  <c r="V757" i="38"/>
  <c r="X757" i="38" s="1"/>
  <c r="V755" i="38"/>
  <c r="X755" i="38" s="1"/>
  <c r="V754" i="38"/>
  <c r="X754" i="38" s="1"/>
  <c r="V753" i="38"/>
  <c r="X753" i="38" s="1"/>
  <c r="V751" i="38"/>
  <c r="X751" i="38" s="1"/>
  <c r="V752" i="38"/>
  <c r="X752" i="38" s="1"/>
  <c r="V750" i="38"/>
  <c r="X750" i="38" s="1"/>
  <c r="V748" i="38"/>
  <c r="X748" i="38" s="1"/>
  <c r="V749" i="38"/>
  <c r="X749" i="38" s="1"/>
  <c r="V747" i="38"/>
  <c r="X747" i="38" s="1"/>
  <c r="V745" i="38"/>
  <c r="X745" i="38" s="1"/>
  <c r="V746" i="38"/>
  <c r="X746" i="38" s="1"/>
  <c r="V744" i="38"/>
  <c r="X744" i="38" s="1"/>
  <c r="V743" i="38"/>
  <c r="X743" i="38" s="1"/>
  <c r="V742" i="38"/>
  <c r="X742" i="38" s="1"/>
  <c r="V741" i="38"/>
  <c r="X741" i="38" s="1"/>
  <c r="V740" i="38"/>
  <c r="X740" i="38" s="1"/>
  <c r="V739" i="38"/>
  <c r="X739" i="38" s="1"/>
  <c r="V738" i="38"/>
  <c r="X738" i="38" s="1"/>
  <c r="V736" i="38"/>
  <c r="X736" i="38" s="1"/>
  <c r="V737" i="38"/>
  <c r="X737" i="38" s="1"/>
  <c r="V735" i="38"/>
  <c r="X735" i="38" s="1"/>
  <c r="V734" i="38"/>
  <c r="X734" i="38" s="1"/>
  <c r="V733" i="38"/>
  <c r="X733" i="38" s="1"/>
  <c r="V732" i="38"/>
  <c r="X732" i="38" s="1"/>
  <c r="V731" i="38"/>
  <c r="X731" i="38" s="1"/>
  <c r="V730" i="38"/>
  <c r="X730" i="38" s="1"/>
  <c r="V729" i="38"/>
  <c r="X729" i="38" s="1"/>
  <c r="V727" i="38"/>
  <c r="X727" i="38" s="1"/>
  <c r="V728" i="38"/>
  <c r="X728" i="38" s="1"/>
  <c r="V725" i="38"/>
  <c r="X725" i="38" s="1"/>
  <c r="V726" i="38"/>
  <c r="X726" i="38" s="1"/>
  <c r="V724" i="38"/>
  <c r="X724" i="38" s="1"/>
  <c r="V723" i="38"/>
  <c r="X723" i="38" s="1"/>
  <c r="V722" i="38"/>
  <c r="X722" i="38" s="1"/>
  <c r="V720" i="38"/>
  <c r="X720" i="38" s="1"/>
  <c r="V721" i="38"/>
  <c r="X721" i="38" s="1"/>
  <c r="V719" i="38"/>
  <c r="X719" i="38" s="1"/>
  <c r="V718" i="38"/>
  <c r="X718" i="38" s="1"/>
  <c r="V716" i="38"/>
  <c r="X716" i="38" s="1"/>
  <c r="V717" i="38"/>
  <c r="X717" i="38" s="1"/>
  <c r="V714" i="38"/>
  <c r="X714" i="38" s="1"/>
  <c r="V715" i="38"/>
  <c r="X715" i="38" s="1"/>
  <c r="V713" i="38"/>
  <c r="X713" i="38" s="1"/>
  <c r="V712" i="38"/>
  <c r="X712" i="38" s="1"/>
  <c r="V710" i="38"/>
  <c r="X710" i="38" s="1"/>
  <c r="V711" i="38"/>
  <c r="X711" i="38" s="1"/>
  <c r="V709" i="38"/>
  <c r="X709" i="38" s="1"/>
  <c r="V708" i="38"/>
  <c r="X708" i="38" s="1"/>
  <c r="V707" i="38"/>
  <c r="X707" i="38" s="1"/>
  <c r="V706" i="38"/>
  <c r="X706" i="38" s="1"/>
  <c r="V705" i="38"/>
  <c r="X705" i="38" s="1"/>
  <c r="V704" i="38"/>
  <c r="X704" i="38" s="1"/>
  <c r="V702" i="38"/>
  <c r="X702" i="38" s="1"/>
  <c r="V703" i="38"/>
  <c r="X703" i="38" s="1"/>
  <c r="V701" i="38"/>
  <c r="X701" i="38" s="1"/>
  <c r="V700" i="38"/>
  <c r="X700" i="38" s="1"/>
  <c r="V699" i="38"/>
  <c r="X699" i="38" s="1"/>
  <c r="V698" i="38"/>
  <c r="X698" i="38" s="1"/>
  <c r="V694" i="38"/>
  <c r="X694" i="38" s="1"/>
  <c r="V697" i="38"/>
  <c r="X697" i="38" s="1"/>
  <c r="V695" i="38"/>
  <c r="X695" i="38" s="1"/>
  <c r="V696" i="38"/>
  <c r="X696" i="38" s="1"/>
  <c r="V693" i="38"/>
  <c r="X693" i="38" s="1"/>
  <c r="V692" i="38"/>
  <c r="X692" i="38" s="1"/>
  <c r="V691" i="38"/>
  <c r="X691" i="38" s="1"/>
  <c r="V690" i="38"/>
  <c r="X690" i="38" s="1"/>
  <c r="V689" i="38"/>
  <c r="X689" i="38" s="1"/>
  <c r="V688" i="38"/>
  <c r="X688" i="38" s="1"/>
  <c r="V687" i="38"/>
  <c r="X687" i="38" s="1"/>
  <c r="V686" i="38"/>
  <c r="X686" i="38" s="1"/>
  <c r="V684" i="38"/>
  <c r="X684" i="38" s="1"/>
  <c r="V685" i="38"/>
  <c r="X685" i="38" s="1"/>
  <c r="V683" i="38"/>
  <c r="X683" i="38" s="1"/>
  <c r="V682" i="38"/>
  <c r="X682" i="38" s="1"/>
  <c r="V679" i="38"/>
  <c r="X679" i="38" s="1"/>
  <c r="V680" i="38"/>
  <c r="X680" i="38" s="1"/>
  <c r="V681" i="38"/>
  <c r="X681" i="38" s="1"/>
  <c r="V678" i="38"/>
  <c r="X678" i="38" s="1"/>
  <c r="V676" i="38"/>
  <c r="X676" i="38" s="1"/>
  <c r="V677" i="38"/>
  <c r="X677" i="38" s="1"/>
  <c r="V675" i="38"/>
  <c r="X675" i="38" s="1"/>
  <c r="V674" i="38"/>
  <c r="X674" i="38" s="1"/>
  <c r="V672" i="38"/>
  <c r="X672" i="38" s="1"/>
  <c r="V673" i="38"/>
  <c r="X673" i="38" s="1"/>
  <c r="V671" i="38"/>
  <c r="X671" i="38" s="1"/>
  <c r="V670" i="38"/>
  <c r="X670" i="38" s="1"/>
  <c r="V669" i="38"/>
  <c r="X669" i="38" s="1"/>
  <c r="V668" i="38"/>
  <c r="X668" i="38" s="1"/>
  <c r="V667" i="38"/>
  <c r="X667" i="38" s="1"/>
  <c r="V666" i="38"/>
  <c r="X666" i="38" s="1"/>
  <c r="V665" i="38"/>
  <c r="X665" i="38" s="1"/>
  <c r="V664" i="38"/>
  <c r="X664" i="38" s="1"/>
  <c r="V662" i="38"/>
  <c r="X662" i="38" s="1"/>
  <c r="V663" i="38"/>
  <c r="X663" i="38" s="1"/>
  <c r="V661" i="38"/>
  <c r="X661" i="38" s="1"/>
  <c r="V659" i="38"/>
  <c r="X659" i="38" s="1"/>
  <c r="V660" i="38"/>
  <c r="X660" i="38" s="1"/>
  <c r="V657" i="38"/>
  <c r="X657" i="38" s="1"/>
  <c r="V658" i="38"/>
  <c r="X658" i="38" s="1"/>
  <c r="V656" i="38"/>
  <c r="X656" i="38" s="1"/>
  <c r="V655" i="38"/>
  <c r="X655" i="38" s="1"/>
  <c r="V654" i="38"/>
  <c r="X654" i="38" s="1"/>
  <c r="V653" i="38"/>
  <c r="X653" i="38" s="1"/>
  <c r="V652" i="38"/>
  <c r="X652" i="38" s="1"/>
  <c r="V651" i="38"/>
  <c r="X651" i="38" s="1"/>
  <c r="V650" i="38"/>
  <c r="X650" i="38" s="1"/>
  <c r="V649" i="38"/>
  <c r="X649" i="38" s="1"/>
  <c r="V648" i="38"/>
  <c r="X648" i="38" s="1"/>
  <c r="V647" i="38"/>
  <c r="X647" i="38" s="1"/>
  <c r="V646" i="38"/>
  <c r="X646" i="38" s="1"/>
  <c r="V645" i="38"/>
  <c r="X645" i="38" s="1"/>
  <c r="V644" i="38"/>
  <c r="X644" i="38" s="1"/>
  <c r="V643" i="38"/>
  <c r="X643" i="38" s="1"/>
  <c r="V642" i="38"/>
  <c r="X642" i="38" s="1"/>
  <c r="V641" i="38"/>
  <c r="X641" i="38" s="1"/>
  <c r="V640" i="38"/>
  <c r="X640" i="38" s="1"/>
  <c r="V639" i="38"/>
  <c r="X639" i="38" s="1"/>
  <c r="V638" i="38"/>
  <c r="X638" i="38" s="1"/>
  <c r="F158" i="25"/>
  <c r="Q9" i="50"/>
  <c r="Q3" i="50"/>
  <c r="V637" i="38"/>
  <c r="X637" i="38" s="1"/>
  <c r="V636" i="38"/>
  <c r="X636" i="38" s="1"/>
  <c r="V635" i="38"/>
  <c r="X635" i="38" s="1"/>
  <c r="V634" i="38"/>
  <c r="X634" i="38" s="1"/>
  <c r="V633" i="38"/>
  <c r="X633" i="38" s="1"/>
  <c r="V632" i="38"/>
  <c r="X632" i="38" s="1"/>
  <c r="V631" i="38"/>
  <c r="X631" i="38" s="1"/>
  <c r="V630" i="38"/>
  <c r="X630" i="38" s="1"/>
  <c r="V629" i="38"/>
  <c r="X629" i="38" s="1"/>
  <c r="V628" i="38"/>
  <c r="X628" i="38" s="1"/>
  <c r="V627" i="38"/>
  <c r="X627" i="38" s="1"/>
  <c r="V626" i="38"/>
  <c r="X626" i="38" s="1"/>
  <c r="V625" i="38"/>
  <c r="X625" i="38" s="1"/>
  <c r="V623" i="38"/>
  <c r="X623" i="38" s="1"/>
  <c r="V624" i="38"/>
  <c r="X624" i="38" s="1"/>
  <c r="V622" i="38"/>
  <c r="X622" i="38" s="1"/>
  <c r="V621" i="38"/>
  <c r="X621" i="38" s="1"/>
  <c r="V620" i="38"/>
  <c r="X620" i="38" s="1"/>
  <c r="V619" i="38"/>
  <c r="X619" i="38" s="1"/>
  <c r="V618" i="38"/>
  <c r="X618" i="38" s="1"/>
  <c r="V617" i="38"/>
  <c r="X617" i="38" s="1"/>
  <c r="V616" i="38"/>
  <c r="X616" i="38" s="1"/>
  <c r="V615" i="38"/>
  <c r="X615" i="38" s="1"/>
  <c r="V614" i="38"/>
  <c r="X614" i="38" s="1"/>
  <c r="V613" i="38"/>
  <c r="X613" i="38" s="1"/>
  <c r="V612" i="38"/>
  <c r="X612" i="38" s="1"/>
  <c r="V611" i="38"/>
  <c r="X611" i="38" s="1"/>
  <c r="V610" i="38"/>
  <c r="X610" i="38" s="1"/>
  <c r="V609" i="38"/>
  <c r="X609" i="38" s="1"/>
  <c r="V608" i="38"/>
  <c r="X608" i="38" s="1"/>
  <c r="V607" i="38"/>
  <c r="X607" i="38" s="1"/>
  <c r="V606" i="38"/>
  <c r="X606" i="38" s="1"/>
  <c r="V605" i="38"/>
  <c r="X605" i="38" s="1"/>
  <c r="V604" i="38"/>
  <c r="X604" i="38" s="1"/>
  <c r="V603" i="38"/>
  <c r="X603" i="38" s="1"/>
  <c r="V602" i="38"/>
  <c r="X602" i="38" s="1"/>
  <c r="V601" i="38"/>
  <c r="X601" i="38" s="1"/>
  <c r="V600" i="38"/>
  <c r="X600" i="38" s="1"/>
  <c r="O27" i="38"/>
  <c r="O39" i="38"/>
  <c r="O59" i="38"/>
  <c r="O71" i="38"/>
  <c r="O83" i="38"/>
  <c r="O94" i="38"/>
  <c r="O110" i="38"/>
  <c r="O146" i="38"/>
  <c r="O168" i="38"/>
  <c r="O184" i="38"/>
  <c r="O167" i="38"/>
  <c r="O183" i="38"/>
  <c r="O256" i="38"/>
  <c r="O58" i="38"/>
  <c r="O62" i="38"/>
  <c r="O66" i="38"/>
  <c r="O70" i="38"/>
  <c r="O74" i="38"/>
  <c r="O78" i="38"/>
  <c r="O97" i="38"/>
  <c r="O101" i="38"/>
  <c r="O105" i="38"/>
  <c r="O109" i="38"/>
  <c r="O113" i="38"/>
  <c r="O117" i="38"/>
  <c r="O121" i="38"/>
  <c r="O125" i="38"/>
  <c r="O129" i="38"/>
  <c r="O133" i="38"/>
  <c r="O137" i="38"/>
  <c r="O141" i="38"/>
  <c r="O145" i="38"/>
  <c r="O158" i="38"/>
  <c r="O174" i="38"/>
  <c r="O190" i="38"/>
  <c r="O284" i="38"/>
  <c r="V599" i="38"/>
  <c r="X599" i="38" s="1"/>
  <c r="V598" i="38"/>
  <c r="X598" i="38" s="1"/>
  <c r="V597" i="38"/>
  <c r="X597" i="38" s="1"/>
  <c r="O85" i="38"/>
  <c r="O149" i="38"/>
  <c r="O157" i="38"/>
  <c r="O165" i="38"/>
  <c r="O173" i="38"/>
  <c r="O181" i="38"/>
  <c r="O189" i="38"/>
  <c r="O197" i="38"/>
  <c r="O205" i="38"/>
  <c r="O221" i="38"/>
  <c r="O254" i="38"/>
  <c r="O299" i="38"/>
  <c r="O315" i="38"/>
  <c r="O347" i="38"/>
  <c r="O31" i="38"/>
  <c r="O47" i="38"/>
  <c r="O63" i="38"/>
  <c r="O79" i="38"/>
  <c r="O90" i="38"/>
  <c r="O102" i="38"/>
  <c r="O118" i="38"/>
  <c r="O134" i="38"/>
  <c r="O138" i="38"/>
  <c r="O176" i="38"/>
  <c r="O278" i="38"/>
  <c r="O223" i="38"/>
  <c r="O238" i="38"/>
  <c r="O26" i="38"/>
  <c r="O30" i="38"/>
  <c r="O34" i="38"/>
  <c r="O38" i="38"/>
  <c r="O89" i="38"/>
  <c r="O93" i="38"/>
  <c r="O166" i="38"/>
  <c r="O348" i="38"/>
  <c r="O29" i="38"/>
  <c r="O33" i="38"/>
  <c r="O37" i="38"/>
  <c r="O41" i="38"/>
  <c r="O45" i="38"/>
  <c r="O49" i="38"/>
  <c r="O53" i="38"/>
  <c r="O57" i="38"/>
  <c r="O61" i="38"/>
  <c r="O65" i="38"/>
  <c r="O69" i="38"/>
  <c r="O73" i="38"/>
  <c r="O77" i="38"/>
  <c r="O81" i="38"/>
  <c r="O88" i="38"/>
  <c r="O92" i="38"/>
  <c r="O96" i="38"/>
  <c r="O100" i="38"/>
  <c r="O104" i="38"/>
  <c r="O108" i="38"/>
  <c r="O112" i="38"/>
  <c r="O116" i="38"/>
  <c r="O120" i="38"/>
  <c r="O124" i="38"/>
  <c r="O128" i="38"/>
  <c r="O132" i="38"/>
  <c r="O136" i="38"/>
  <c r="O140" i="38"/>
  <c r="O144" i="38"/>
  <c r="O148" i="38"/>
  <c r="O156" i="38"/>
  <c r="O164" i="38"/>
  <c r="O172" i="38"/>
  <c r="O180" i="38"/>
  <c r="O188" i="38"/>
  <c r="O196" i="38"/>
  <c r="O204" i="38"/>
  <c r="O212" i="38"/>
  <c r="O290" i="38"/>
  <c r="O298" i="38"/>
  <c r="O314" i="38"/>
  <c r="O322" i="38"/>
  <c r="O346" i="38"/>
  <c r="O43" i="38"/>
  <c r="O55" i="38"/>
  <c r="O75" i="38"/>
  <c r="O86" i="38"/>
  <c r="O98" i="38"/>
  <c r="O114" i="38"/>
  <c r="O160" i="38"/>
  <c r="O262" i="38"/>
  <c r="O159" i="38"/>
  <c r="O285" i="38"/>
  <c r="O42" i="38"/>
  <c r="O46" i="38"/>
  <c r="O50" i="38"/>
  <c r="O54" i="38"/>
  <c r="O82" i="38"/>
  <c r="O150" i="38"/>
  <c r="O182" i="38"/>
  <c r="O198" i="38"/>
  <c r="O308" i="38"/>
  <c r="O356" i="38"/>
  <c r="O155" i="38"/>
  <c r="O163" i="38"/>
  <c r="O171" i="38"/>
  <c r="O179" i="38"/>
  <c r="O187" i="38"/>
  <c r="O195" i="38"/>
  <c r="O265" i="38"/>
  <c r="O289" i="38"/>
  <c r="O297" i="38"/>
  <c r="O305" i="38"/>
  <c r="O313" i="38"/>
  <c r="O321" i="38"/>
  <c r="O337" i="38"/>
  <c r="O345" i="38"/>
  <c r="O35" i="38"/>
  <c r="O51" i="38"/>
  <c r="O67" i="38"/>
  <c r="O106" i="38"/>
  <c r="O122" i="38"/>
  <c r="O126" i="38"/>
  <c r="O130" i="38"/>
  <c r="O142" i="38"/>
  <c r="O152" i="38"/>
  <c r="O192" i="38"/>
  <c r="O270" i="38"/>
  <c r="O286" i="38"/>
  <c r="O151" i="38"/>
  <c r="O175" i="38"/>
  <c r="O191" i="38"/>
  <c r="O28" i="38"/>
  <c r="O32" i="38"/>
  <c r="O36" i="38"/>
  <c r="O40" i="38"/>
  <c r="O44" i="38"/>
  <c r="O48" i="38"/>
  <c r="O52" i="38"/>
  <c r="O56" i="38"/>
  <c r="O60" i="38"/>
  <c r="O64" i="38"/>
  <c r="O68" i="38"/>
  <c r="O72" i="38"/>
  <c r="O76" i="38"/>
  <c r="O80" i="38"/>
  <c r="O84" i="38"/>
  <c r="O87" i="38"/>
  <c r="O91" i="38"/>
  <c r="O95" i="38"/>
  <c r="O99" i="38"/>
  <c r="O103" i="38"/>
  <c r="O107" i="38"/>
  <c r="O111" i="38"/>
  <c r="O115" i="38"/>
  <c r="O119" i="38"/>
  <c r="O123" i="38"/>
  <c r="O127" i="38"/>
  <c r="O131" i="38"/>
  <c r="O135" i="38"/>
  <c r="O139" i="38"/>
  <c r="O143" i="38"/>
  <c r="O147" i="38"/>
  <c r="O154" i="38"/>
  <c r="O162" i="38"/>
  <c r="O170" i="38"/>
  <c r="O178" i="38"/>
  <c r="O186" i="38"/>
  <c r="O194" i="38"/>
  <c r="O202" i="38"/>
  <c r="O218" i="38"/>
  <c r="O226" i="38"/>
  <c r="O264" i="38"/>
  <c r="O272" i="38"/>
  <c r="O328" i="38"/>
  <c r="O336" i="38"/>
  <c r="O153" i="38"/>
  <c r="O161" i="38"/>
  <c r="O169" i="38"/>
  <c r="O177" i="38"/>
  <c r="O185" i="38"/>
  <c r="O193" i="38"/>
  <c r="O201" i="38"/>
  <c r="O225" i="38"/>
  <c r="O252" i="38"/>
  <c r="O303" i="38"/>
  <c r="O362" i="38"/>
  <c r="Z28" i="38"/>
  <c r="Z32" i="38"/>
  <c r="Z36" i="38"/>
  <c r="Z40" i="38"/>
  <c r="Z44" i="38"/>
  <c r="Z48" i="38"/>
  <c r="Z68" i="38"/>
  <c r="Z72" i="38"/>
  <c r="Z76" i="38"/>
  <c r="Z80" i="38"/>
  <c r="Z84" i="38"/>
  <c r="Z162" i="38"/>
  <c r="Z170" i="38"/>
  <c r="Z186" i="38"/>
  <c r="Z194" i="38"/>
  <c r="Z226" i="38"/>
  <c r="Z336" i="38"/>
  <c r="V596" i="38"/>
  <c r="X596" i="38" s="1"/>
  <c r="V595" i="38"/>
  <c r="X595" i="38" s="1"/>
  <c r="V594" i="38"/>
  <c r="X594" i="38" s="1"/>
  <c r="V593" i="38"/>
  <c r="X593" i="38" s="1"/>
  <c r="V592" i="38"/>
  <c r="X592" i="38" s="1"/>
  <c r="V591" i="38"/>
  <c r="X591" i="38" s="1"/>
  <c r="V589" i="38"/>
  <c r="X589" i="38" s="1"/>
  <c r="V590" i="38"/>
  <c r="X590" i="38" s="1"/>
  <c r="V588" i="38"/>
  <c r="X588" i="38" s="1"/>
  <c r="V587" i="38"/>
  <c r="X587" i="38" s="1"/>
  <c r="Z87" i="38"/>
  <c r="Z91" i="38"/>
  <c r="Z95" i="38"/>
  <c r="Z99" i="38"/>
  <c r="Z103" i="38"/>
  <c r="Z107" i="38"/>
  <c r="Z111" i="38"/>
  <c r="Z115" i="38"/>
  <c r="Z119" i="38"/>
  <c r="Z202" i="38"/>
  <c r="Z218" i="38"/>
  <c r="Z272" i="38"/>
  <c r="Z35" i="38"/>
  <c r="Z43" i="38"/>
  <c r="Z51" i="38"/>
  <c r="Z59" i="38"/>
  <c r="Z67" i="38"/>
  <c r="Z71" i="38"/>
  <c r="Z75" i="38"/>
  <c r="Z79" i="38"/>
  <c r="Z83" i="38"/>
  <c r="Z90" i="38"/>
  <c r="Z94" i="38"/>
  <c r="Z98" i="38"/>
  <c r="Z102" i="38"/>
  <c r="Z106" i="38"/>
  <c r="Z110" i="38"/>
  <c r="Z114" i="38"/>
  <c r="Z118" i="38"/>
  <c r="Z122" i="38"/>
  <c r="Z126" i="38"/>
  <c r="Z130" i="38"/>
  <c r="Z134" i="38"/>
  <c r="Z138" i="38"/>
  <c r="Z142" i="38"/>
  <c r="Z146" i="38"/>
  <c r="Z152" i="38"/>
  <c r="Z160" i="38"/>
  <c r="Z168" i="38"/>
  <c r="Z176" i="38"/>
  <c r="Z184" i="38"/>
  <c r="Z192" i="38"/>
  <c r="Z262" i="38"/>
  <c r="Z270" i="38"/>
  <c r="Z278" i="38"/>
  <c r="Z286" i="38"/>
  <c r="Z52" i="38"/>
  <c r="Z56" i="38"/>
  <c r="Z60" i="38"/>
  <c r="Z64" i="38"/>
  <c r="Z123" i="38"/>
  <c r="Z127" i="38"/>
  <c r="Z131" i="38"/>
  <c r="Z135" i="38"/>
  <c r="Z139" i="38"/>
  <c r="Z143" i="38"/>
  <c r="Z147" i="38"/>
  <c r="Z154" i="38"/>
  <c r="Z178" i="38"/>
  <c r="Z264" i="38"/>
  <c r="Z328" i="38"/>
  <c r="Z27" i="38"/>
  <c r="Z31" i="38"/>
  <c r="Z39" i="38"/>
  <c r="Z47" i="38"/>
  <c r="Z55" i="38"/>
  <c r="Z63" i="38"/>
  <c r="Z86" i="38"/>
  <c r="Z185" i="38"/>
  <c r="Z201" i="38"/>
  <c r="Z225" i="38"/>
  <c r="Z252" i="38"/>
  <c r="Z161" i="38"/>
  <c r="Z169" i="38"/>
  <c r="Z151" i="38"/>
  <c r="Z159" i="38"/>
  <c r="Z167" i="38"/>
  <c r="Z175" i="38"/>
  <c r="Z183" i="38"/>
  <c r="Z191" i="38"/>
  <c r="Z223" i="38"/>
  <c r="Z238" i="38"/>
  <c r="Z256" i="38"/>
  <c r="Z285" i="38"/>
  <c r="Z153" i="38"/>
  <c r="Z177" i="38"/>
  <c r="Z193" i="38"/>
  <c r="Z303" i="38"/>
  <c r="V586" i="38"/>
  <c r="X586" i="38" s="1"/>
  <c r="V584" i="38"/>
  <c r="X584" i="38" s="1"/>
  <c r="V585" i="38"/>
  <c r="X585" i="38" s="1"/>
  <c r="Z26" i="38"/>
  <c r="Z30" i="38"/>
  <c r="Z34" i="38"/>
  <c r="Z38" i="38"/>
  <c r="Z42" i="38"/>
  <c r="Z46" i="38"/>
  <c r="Z50" i="38"/>
  <c r="Z54" i="38"/>
  <c r="Z58" i="38"/>
  <c r="Z62" i="38"/>
  <c r="Z66" i="38"/>
  <c r="Z70" i="38"/>
  <c r="Z74" i="38"/>
  <c r="Z78" i="38"/>
  <c r="Z82" i="38"/>
  <c r="Z89" i="38"/>
  <c r="Z93" i="38"/>
  <c r="Z97" i="38"/>
  <c r="Z101" i="38"/>
  <c r="Z105" i="38"/>
  <c r="Z109" i="38"/>
  <c r="Z113" i="38"/>
  <c r="Z117" i="38"/>
  <c r="Z121" i="38"/>
  <c r="Z125" i="38"/>
  <c r="Z129" i="38"/>
  <c r="Z133" i="38"/>
  <c r="Z137" i="38"/>
  <c r="Z141" i="38"/>
  <c r="Z145" i="38"/>
  <c r="Z150" i="38"/>
  <c r="Z158" i="38"/>
  <c r="Z166" i="38"/>
  <c r="Z174" i="38"/>
  <c r="Z182" i="38"/>
  <c r="Z190" i="38"/>
  <c r="Z198" i="38"/>
  <c r="Z284" i="38"/>
  <c r="Z308" i="38"/>
  <c r="Z348" i="38"/>
  <c r="Z356" i="38"/>
  <c r="Z149" i="38"/>
  <c r="Z157" i="38"/>
  <c r="Z165" i="38"/>
  <c r="Z173" i="38"/>
  <c r="Z181" i="38"/>
  <c r="Z189" i="38"/>
  <c r="Z197" i="38"/>
  <c r="Z205" i="38"/>
  <c r="Z221" i="38"/>
  <c r="Z254" i="38"/>
  <c r="Z299" i="38"/>
  <c r="Z315" i="38"/>
  <c r="Z347" i="38"/>
  <c r="Z29" i="38"/>
  <c r="Z33" i="38"/>
  <c r="Z37" i="38"/>
  <c r="Z41" i="38"/>
  <c r="Z45" i="38"/>
  <c r="Z49" i="38"/>
  <c r="Z53" i="38"/>
  <c r="Z57" i="38"/>
  <c r="Z61" i="38"/>
  <c r="Z65" i="38"/>
  <c r="Z69" i="38"/>
  <c r="Z73" i="38"/>
  <c r="Z77" i="38"/>
  <c r="Z81" i="38"/>
  <c r="Z85" i="38"/>
  <c r="Z88" i="38"/>
  <c r="Z92" i="38"/>
  <c r="Z96" i="38"/>
  <c r="Z100" i="38"/>
  <c r="Z104" i="38"/>
  <c r="Z108" i="38"/>
  <c r="Z112" i="38"/>
  <c r="Z116" i="38"/>
  <c r="Z120" i="38"/>
  <c r="Z124" i="38"/>
  <c r="Z128" i="38"/>
  <c r="Z132" i="38"/>
  <c r="Z136" i="38"/>
  <c r="Z140" i="38"/>
  <c r="Z144" i="38"/>
  <c r="Z148" i="38"/>
  <c r="Z156" i="38"/>
  <c r="Z164" i="38"/>
  <c r="Z172" i="38"/>
  <c r="Z180" i="38"/>
  <c r="Z188" i="38"/>
  <c r="Z196" i="38"/>
  <c r="Z204" i="38"/>
  <c r="Z212" i="38"/>
  <c r="Z290" i="38"/>
  <c r="Z298" i="38"/>
  <c r="Z314" i="38"/>
  <c r="Z322" i="38"/>
  <c r="Z346" i="38"/>
  <c r="Z155" i="38"/>
  <c r="Z163" i="38"/>
  <c r="Z171" i="38"/>
  <c r="Z179" i="38"/>
  <c r="Z187" i="38"/>
  <c r="Z195" i="38"/>
  <c r="Z265" i="38"/>
  <c r="Z289" i="38"/>
  <c r="Z297" i="38"/>
  <c r="Z305" i="38"/>
  <c r="Z313" i="38"/>
  <c r="Z321" i="38"/>
  <c r="Z337" i="38"/>
  <c r="Z345" i="38"/>
  <c r="Z362" i="38"/>
  <c r="V583" i="38"/>
  <c r="X583" i="38" s="1"/>
  <c r="V582" i="38"/>
  <c r="X582" i="38" s="1"/>
  <c r="V581" i="38"/>
  <c r="X581" i="38" s="1"/>
  <c r="V580" i="38"/>
  <c r="X580" i="38" s="1"/>
  <c r="V579" i="38"/>
  <c r="X579" i="38" s="1"/>
  <c r="V578" i="38"/>
  <c r="X578" i="38" s="1"/>
  <c r="V577" i="38"/>
  <c r="X577" i="38" s="1"/>
  <c r="V576" i="38"/>
  <c r="X576" i="38" s="1"/>
  <c r="V575" i="38"/>
  <c r="X575" i="38" s="1"/>
  <c r="V574" i="38"/>
  <c r="X574" i="38" s="1"/>
  <c r="V573" i="38"/>
  <c r="X573" i="38" s="1"/>
  <c r="V572" i="38"/>
  <c r="X572" i="38" s="1"/>
  <c r="V571" i="38"/>
  <c r="X571" i="38" s="1"/>
  <c r="V569" i="38"/>
  <c r="X569" i="38" s="1"/>
  <c r="V570" i="38"/>
  <c r="X570" i="38" s="1"/>
  <c r="V568" i="38"/>
  <c r="X568" i="38" s="1"/>
  <c r="V567" i="38"/>
  <c r="X567" i="38" s="1"/>
  <c r="V566" i="38"/>
  <c r="X566" i="38" s="1"/>
  <c r="V565" i="38"/>
  <c r="X565" i="38" s="1"/>
  <c r="V564" i="38"/>
  <c r="X564" i="38" s="1"/>
  <c r="V556" i="38"/>
  <c r="X556" i="38" s="1"/>
  <c r="V563" i="38"/>
  <c r="X563" i="38" s="1"/>
  <c r="V562" i="38"/>
  <c r="X562" i="38" s="1"/>
  <c r="V561" i="38"/>
  <c r="X561" i="38" s="1"/>
  <c r="V560" i="38"/>
  <c r="X560" i="38" s="1"/>
  <c r="V559" i="38"/>
  <c r="X559" i="38" s="1"/>
  <c r="V557" i="38"/>
  <c r="X557" i="38" s="1"/>
  <c r="V558" i="38"/>
  <c r="X558" i="38" s="1"/>
  <c r="V555" i="38"/>
  <c r="X555" i="38" s="1"/>
  <c r="V553" i="38"/>
  <c r="X553" i="38" s="1"/>
  <c r="V554" i="38"/>
  <c r="X554" i="38" s="1"/>
  <c r="V552" i="38"/>
  <c r="X552" i="38" s="1"/>
  <c r="V551" i="38"/>
  <c r="X551" i="38" s="1"/>
  <c r="V550" i="38"/>
  <c r="X550" i="38" s="1"/>
  <c r="V549" i="38"/>
  <c r="X549" i="38" s="1"/>
  <c r="V548" i="38"/>
  <c r="X548" i="38" s="1"/>
  <c r="V547" i="38"/>
  <c r="X547" i="38" s="1"/>
  <c r="V546" i="38"/>
  <c r="X546" i="38" s="1"/>
  <c r="V545" i="38"/>
  <c r="X545" i="38" s="1"/>
  <c r="V544" i="38"/>
  <c r="X544" i="38" s="1"/>
  <c r="V543" i="38"/>
  <c r="X543" i="38" s="1"/>
  <c r="V542" i="38"/>
  <c r="X542" i="38" s="1"/>
  <c r="V541" i="38"/>
  <c r="X541" i="38" s="1"/>
  <c r="V540" i="38"/>
  <c r="X540" i="38" s="1"/>
  <c r="V539" i="38"/>
  <c r="X539" i="38" s="1"/>
  <c r="V538" i="38"/>
  <c r="X538" i="38" s="1"/>
  <c r="V537" i="38"/>
  <c r="X537" i="38" s="1"/>
  <c r="V536" i="38"/>
  <c r="X536" i="38" s="1"/>
  <c r="V535" i="38"/>
  <c r="X535" i="38" s="1"/>
  <c r="V534" i="38"/>
  <c r="X534" i="38" s="1"/>
  <c r="V533" i="38"/>
  <c r="X533" i="38" s="1"/>
  <c r="V532" i="38"/>
  <c r="X532" i="38" s="1"/>
  <c r="V531" i="38"/>
  <c r="X531" i="38" s="1"/>
  <c r="V530" i="38"/>
  <c r="X530" i="38" s="1"/>
  <c r="V529" i="38"/>
  <c r="X529" i="38" s="1"/>
  <c r="V528" i="38"/>
  <c r="X528" i="38" s="1"/>
  <c r="V527" i="38"/>
  <c r="X527" i="38" s="1"/>
  <c r="V526" i="38"/>
  <c r="X526" i="38" s="1"/>
  <c r="V525" i="38"/>
  <c r="X525" i="38" s="1"/>
  <c r="V524" i="38"/>
  <c r="X524" i="38" s="1"/>
  <c r="V523" i="38"/>
  <c r="X523" i="38" s="1"/>
  <c r="V522" i="38"/>
  <c r="X522" i="38" s="1"/>
  <c r="V521" i="38"/>
  <c r="X521" i="38" s="1"/>
  <c r="V520" i="38"/>
  <c r="X520" i="38" s="1"/>
  <c r="V519" i="38"/>
  <c r="X519" i="38" s="1"/>
  <c r="V518" i="38"/>
  <c r="X518" i="38" s="1"/>
  <c r="V517" i="38"/>
  <c r="X517" i="38" s="1"/>
  <c r="V516" i="38"/>
  <c r="X516" i="38" s="1"/>
  <c r="V515" i="38"/>
  <c r="X515" i="38" s="1"/>
  <c r="V514" i="38"/>
  <c r="X514" i="38" s="1"/>
  <c r="V513" i="38"/>
  <c r="X513" i="38" s="1"/>
  <c r="V512" i="38"/>
  <c r="X512" i="38" s="1"/>
  <c r="V511" i="38"/>
  <c r="X511" i="38" s="1"/>
  <c r="V510" i="38"/>
  <c r="X510" i="38" s="1"/>
  <c r="V509" i="38"/>
  <c r="X509" i="38" s="1"/>
  <c r="V508" i="38"/>
  <c r="X508" i="38" s="1"/>
  <c r="V507" i="38"/>
  <c r="X507" i="38" s="1"/>
  <c r="V506" i="38"/>
  <c r="X506" i="38" s="1"/>
  <c r="V505" i="38"/>
  <c r="X505" i="38" s="1"/>
  <c r="V504" i="38"/>
  <c r="X504" i="38" s="1"/>
  <c r="V503" i="38"/>
  <c r="X503" i="38" s="1"/>
  <c r="V502" i="38"/>
  <c r="X502" i="38" s="1"/>
  <c r="V501" i="38"/>
  <c r="X501" i="38" s="1"/>
  <c r="V500" i="38"/>
  <c r="X500" i="38" s="1"/>
  <c r="V499" i="38"/>
  <c r="X499" i="38" s="1"/>
  <c r="V498" i="38"/>
  <c r="X498" i="38" s="1"/>
  <c r="V497" i="38"/>
  <c r="X497" i="38" s="1"/>
  <c r="V496" i="38"/>
  <c r="X496" i="38" s="1"/>
  <c r="V495" i="38"/>
  <c r="X495" i="38" s="1"/>
  <c r="V494" i="38"/>
  <c r="X494" i="38" s="1"/>
  <c r="V493" i="38"/>
  <c r="X493" i="38" s="1"/>
  <c r="V492" i="38"/>
  <c r="X492" i="38" s="1"/>
  <c r="V491" i="38"/>
  <c r="X491" i="38" s="1"/>
  <c r="V490" i="38"/>
  <c r="X490" i="38" s="1"/>
  <c r="F64" i="63"/>
  <c r="K64" i="63"/>
  <c r="V489" i="38"/>
  <c r="X489" i="38" s="1"/>
  <c r="F212" i="57"/>
  <c r="M177" i="57" s="1"/>
  <c r="V488" i="38"/>
  <c r="X488" i="38" s="1"/>
  <c r="F34" i="74"/>
  <c r="K84" i="64"/>
  <c r="V484" i="38"/>
  <c r="X484" i="38" s="1"/>
  <c r="V487" i="38"/>
  <c r="X487" i="38" s="1"/>
  <c r="V486" i="38"/>
  <c r="X486" i="38" s="1"/>
  <c r="V485" i="38"/>
  <c r="X485" i="38" s="1"/>
  <c r="F50" i="54"/>
  <c r="V483" i="38"/>
  <c r="X483" i="38" s="1"/>
  <c r="V482" i="38"/>
  <c r="X482" i="38" s="1"/>
  <c r="K50" i="54"/>
  <c r="K22" i="57"/>
  <c r="K34" i="74"/>
  <c r="V481" i="38"/>
  <c r="X481" i="38" s="1"/>
  <c r="V480" i="38"/>
  <c r="X480" i="38" s="1"/>
  <c r="V479" i="38"/>
  <c r="X479" i="38" s="1"/>
  <c r="V478" i="38"/>
  <c r="X478" i="38" s="1"/>
  <c r="V477" i="38"/>
  <c r="X477" i="38" s="1"/>
  <c r="V476" i="38"/>
  <c r="X476" i="38" s="1"/>
  <c r="V475" i="38"/>
  <c r="X475" i="38" s="1"/>
  <c r="K80" i="61"/>
  <c r="V474" i="38"/>
  <c r="X474" i="38" s="1"/>
  <c r="F84" i="64"/>
  <c r="V473" i="38"/>
  <c r="X473" i="38" s="1"/>
  <c r="V472" i="38"/>
  <c r="X472" i="38" s="1"/>
  <c r="V471" i="38"/>
  <c r="X471" i="38" s="1"/>
  <c r="V470" i="38"/>
  <c r="X470" i="38" s="1"/>
  <c r="V469" i="38"/>
  <c r="X469" i="38" s="1"/>
  <c r="V468" i="38"/>
  <c r="X468" i="38" s="1"/>
  <c r="V467" i="38"/>
  <c r="X467" i="38" s="1"/>
  <c r="V466" i="38"/>
  <c r="X466" i="38" s="1"/>
  <c r="V465" i="38"/>
  <c r="X465" i="38" s="1"/>
  <c r="V464" i="38"/>
  <c r="X464" i="38" s="1"/>
  <c r="V463" i="38"/>
  <c r="X463" i="38" s="1"/>
  <c r="V462" i="38"/>
  <c r="X462" i="38" s="1"/>
  <c r="V461" i="38"/>
  <c r="X461" i="38" s="1"/>
  <c r="V460" i="38"/>
  <c r="X460" i="38" s="1"/>
  <c r="V459" i="38"/>
  <c r="X459" i="38" s="1"/>
  <c r="V458" i="38"/>
  <c r="X458" i="38" s="1"/>
  <c r="V457" i="38"/>
  <c r="X457" i="38" s="1"/>
  <c r="V456" i="38"/>
  <c r="X456" i="38" s="1"/>
  <c r="V455" i="38"/>
  <c r="X455" i="38" s="1"/>
  <c r="V454" i="38"/>
  <c r="X454" i="38" s="1"/>
  <c r="V453" i="38"/>
  <c r="X453" i="38" s="1"/>
  <c r="V452" i="38"/>
  <c r="X452" i="38" s="1"/>
  <c r="V451" i="38"/>
  <c r="X451" i="38" s="1"/>
  <c r="V450" i="38"/>
  <c r="X450" i="38" s="1"/>
  <c r="V449" i="38"/>
  <c r="X449" i="38" s="1"/>
  <c r="V448" i="38"/>
  <c r="X448" i="38" s="1"/>
  <c r="V447" i="38"/>
  <c r="X447" i="38" s="1"/>
  <c r="V446" i="38"/>
  <c r="X446" i="38" s="1"/>
  <c r="V445" i="38"/>
  <c r="X445" i="38" s="1"/>
  <c r="V444" i="38"/>
  <c r="X444" i="38" s="1"/>
  <c r="V443" i="38"/>
  <c r="X443" i="38" s="1"/>
  <c r="V442" i="38"/>
  <c r="X442" i="38" s="1"/>
  <c r="V441" i="38"/>
  <c r="X441" i="38" s="1"/>
  <c r="V440" i="38"/>
  <c r="X440" i="38" s="1"/>
  <c r="V439" i="38"/>
  <c r="X439" i="38" s="1"/>
  <c r="V438" i="38"/>
  <c r="X438" i="38" s="1"/>
  <c r="V435" i="38"/>
  <c r="X435" i="38" s="1"/>
  <c r="V437" i="38"/>
  <c r="X437" i="38" s="1"/>
  <c r="V436" i="38"/>
  <c r="X436" i="38" s="1"/>
  <c r="V434" i="38"/>
  <c r="X434" i="38" s="1"/>
  <c r="V433" i="38"/>
  <c r="X433" i="38" s="1"/>
  <c r="V432" i="38"/>
  <c r="X432" i="38" s="1"/>
  <c r="V431" i="38"/>
  <c r="X431" i="38" s="1"/>
  <c r="V430" i="38"/>
  <c r="X430" i="38" s="1"/>
  <c r="V429" i="38"/>
  <c r="X429" i="38" s="1"/>
  <c r="V428" i="38"/>
  <c r="X428" i="38" s="1"/>
  <c r="V427" i="38"/>
  <c r="X427" i="38" s="1"/>
  <c r="V426" i="38"/>
  <c r="X426" i="38" s="1"/>
  <c r="V425" i="38"/>
  <c r="X425" i="38" s="1"/>
  <c r="V424" i="38"/>
  <c r="X424" i="38" s="1"/>
  <c r="V423" i="38"/>
  <c r="X423" i="38" s="1"/>
  <c r="V422" i="38"/>
  <c r="X422" i="38" s="1"/>
  <c r="V421" i="38"/>
  <c r="X421" i="38" s="1"/>
  <c r="V420" i="38"/>
  <c r="X420" i="38" s="1"/>
  <c r="V419" i="38"/>
  <c r="X419" i="38" s="1"/>
  <c r="V418" i="38"/>
  <c r="X418" i="38" s="1"/>
  <c r="V417" i="38"/>
  <c r="X417" i="38" s="1"/>
  <c r="V416" i="38"/>
  <c r="X416" i="38" s="1"/>
  <c r="V415" i="38"/>
  <c r="X415" i="38" s="1"/>
  <c r="V414" i="38"/>
  <c r="X414" i="38" s="1"/>
  <c r="V413" i="38"/>
  <c r="X413" i="38" s="1"/>
  <c r="V412" i="38"/>
  <c r="X412" i="38" s="1"/>
  <c r="V411" i="38"/>
  <c r="X411" i="38" s="1"/>
  <c r="F76" i="70"/>
  <c r="K76" i="70"/>
  <c r="V410" i="38"/>
  <c r="X410" i="38" s="1"/>
  <c r="V409" i="38"/>
  <c r="X409" i="38" s="1"/>
  <c r="V408" i="38"/>
  <c r="X408" i="38" s="1"/>
  <c r="V407" i="38"/>
  <c r="X407" i="38" s="1"/>
  <c r="V406" i="38"/>
  <c r="X406" i="38" s="1"/>
  <c r="V405" i="38"/>
  <c r="X405" i="38" s="1"/>
  <c r="V404" i="38"/>
  <c r="X404" i="38" s="1"/>
  <c r="V403" i="38"/>
  <c r="X403" i="38" s="1"/>
  <c r="V402" i="38"/>
  <c r="X402" i="38" s="1"/>
  <c r="V401" i="38"/>
  <c r="X401" i="38" s="1"/>
  <c r="V400" i="38"/>
  <c r="X400" i="38" s="1"/>
  <c r="V399" i="38"/>
  <c r="X399" i="38" s="1"/>
  <c r="V398" i="38"/>
  <c r="X398" i="38" s="1"/>
  <c r="V397" i="38"/>
  <c r="X397" i="38" s="1"/>
  <c r="V396" i="38"/>
  <c r="X396" i="38" s="1"/>
  <c r="V395" i="38"/>
  <c r="X395" i="38" s="1"/>
  <c r="V394" i="38"/>
  <c r="X394" i="38" s="1"/>
  <c r="V393" i="38"/>
  <c r="X393" i="38" s="1"/>
  <c r="V392" i="38"/>
  <c r="X392" i="38" s="1"/>
  <c r="V391" i="38"/>
  <c r="X391" i="38" s="1"/>
  <c r="F74" i="41"/>
  <c r="V390" i="38"/>
  <c r="X390" i="38" s="1"/>
  <c r="V389" i="38"/>
  <c r="X389" i="38" s="1"/>
  <c r="V387" i="38"/>
  <c r="X387" i="38" s="1"/>
  <c r="V388" i="38"/>
  <c r="X388" i="38" s="1"/>
  <c r="V386" i="38"/>
  <c r="X386" i="38" s="1"/>
  <c r="V385" i="38"/>
  <c r="X385" i="38" s="1"/>
  <c r="V383" i="38"/>
  <c r="X383" i="38" s="1"/>
  <c r="V384" i="38"/>
  <c r="X384" i="38" s="1"/>
  <c r="V382" i="38"/>
  <c r="X382" i="38" s="1"/>
  <c r="K74" i="41"/>
  <c r="V381" i="38"/>
  <c r="X381" i="38" s="1"/>
  <c r="F80" i="61"/>
  <c r="V380" i="38"/>
  <c r="X380" i="38" s="1"/>
  <c r="V379" i="38"/>
  <c r="X379" i="38" s="1"/>
  <c r="F52" i="16"/>
  <c r="V376" i="38"/>
  <c r="X376" i="38" s="1"/>
  <c r="V378" i="38"/>
  <c r="X378" i="38" s="1"/>
  <c r="V377" i="38"/>
  <c r="X377" i="38" s="1"/>
  <c r="K52" i="16"/>
  <c r="K85" i="53"/>
  <c r="Q2" i="74"/>
  <c r="V375" i="38"/>
  <c r="X375" i="38" s="1"/>
  <c r="F54" i="50"/>
  <c r="K54" i="50"/>
  <c r="V372" i="38"/>
  <c r="X372" i="38" s="1"/>
  <c r="V374" i="38"/>
  <c r="X374" i="38" s="1"/>
  <c r="V373" i="38"/>
  <c r="X373" i="38" s="1"/>
  <c r="V371" i="38"/>
  <c r="X371" i="38" s="1"/>
  <c r="V370" i="38"/>
  <c r="X370" i="38" s="1"/>
  <c r="Q2" i="47"/>
  <c r="Q5" i="47" s="1"/>
  <c r="P104" i="38"/>
  <c r="P25" i="38"/>
  <c r="P330" i="38"/>
  <c r="P112" i="38"/>
  <c r="P338" i="38"/>
  <c r="Q2" i="55"/>
  <c r="Q9" i="55" s="1"/>
  <c r="P92" i="38"/>
  <c r="P322" i="38"/>
  <c r="P242" i="38"/>
  <c r="P197" i="38"/>
  <c r="Q2" i="42"/>
  <c r="Q5" i="42" s="1"/>
  <c r="Q2" i="43"/>
  <c r="Q5" i="43" s="1"/>
  <c r="V369" i="38"/>
  <c r="X369" i="38" s="1"/>
  <c r="V368" i="38"/>
  <c r="X368" i="38" s="1"/>
  <c r="V367" i="38"/>
  <c r="X367" i="38" s="1"/>
  <c r="F18" i="48"/>
  <c r="Q2" i="60"/>
  <c r="Q3" i="60" s="1"/>
  <c r="Q6" i="60" s="1"/>
  <c r="Q2" i="62"/>
  <c r="Q3" i="62" s="1"/>
  <c r="Q6" i="62" s="1"/>
  <c r="Q2" i="10"/>
  <c r="Q8" i="10" s="1"/>
  <c r="Q2" i="26"/>
  <c r="Q5" i="26" s="1"/>
  <c r="V366" i="38"/>
  <c r="X366" i="38" s="1"/>
  <c r="P199" i="38"/>
  <c r="P273" i="38"/>
  <c r="K35" i="30"/>
  <c r="P271" i="38"/>
  <c r="P319" i="38"/>
  <c r="P218" i="38"/>
  <c r="P229" i="38"/>
  <c r="P97" i="38"/>
  <c r="U256" i="38"/>
  <c r="P24" i="38"/>
  <c r="U225" i="38"/>
  <c r="P36" i="38"/>
  <c r="P156" i="38"/>
  <c r="P164" i="38"/>
  <c r="P206" i="38"/>
  <c r="P143" i="38"/>
  <c r="P286" i="38"/>
  <c r="P28" i="38"/>
  <c r="P188" i="38"/>
  <c r="P328" i="38"/>
  <c r="P94" i="38"/>
  <c r="P134" i="38"/>
  <c r="P153" i="38"/>
  <c r="U314" i="38"/>
  <c r="N271" i="38"/>
  <c r="F18" i="61"/>
  <c r="K239" i="1"/>
  <c r="P11" i="38"/>
  <c r="P39" i="38"/>
  <c r="P99" i="38"/>
  <c r="P132" i="38"/>
  <c r="N267" i="38"/>
  <c r="N268" i="38"/>
  <c r="N269" i="38"/>
  <c r="P334" i="38"/>
  <c r="U337" i="38"/>
  <c r="N213" i="38"/>
  <c r="N245" i="38"/>
  <c r="U223" i="38"/>
  <c r="F67" i="47"/>
  <c r="U221" i="38"/>
  <c r="P63" i="38"/>
  <c r="P67" i="38"/>
  <c r="P71" i="38"/>
  <c r="P136" i="38"/>
  <c r="P175" i="38"/>
  <c r="P216" i="38"/>
  <c r="P264" i="38"/>
  <c r="P308" i="38"/>
  <c r="P333" i="38"/>
  <c r="P350" i="38"/>
  <c r="K55" i="67"/>
  <c r="Q2" i="67"/>
  <c r="Q8" i="67" s="1"/>
  <c r="P10" i="38"/>
  <c r="P14" i="38"/>
  <c r="P18" i="38"/>
  <c r="P102" i="38"/>
  <c r="P144" i="38"/>
  <c r="U204" i="38"/>
  <c r="U205" i="38"/>
  <c r="P225" i="38"/>
  <c r="P247" i="38"/>
  <c r="N249" i="38"/>
  <c r="P257" i="38"/>
  <c r="K258" i="38"/>
  <c r="L258" i="38" s="1"/>
  <c r="P258" i="38" s="1"/>
  <c r="P275" i="38"/>
  <c r="N361" i="38"/>
  <c r="U212" i="38"/>
  <c r="Q2" i="29"/>
  <c r="Q9" i="29" s="1"/>
  <c r="Q2" i="48"/>
  <c r="Q5" i="48" s="1"/>
  <c r="P46" i="38"/>
  <c r="P50" i="38"/>
  <c r="P66" i="38"/>
  <c r="P70" i="38"/>
  <c r="P72" i="38"/>
  <c r="P78" i="38"/>
  <c r="P82" i="38"/>
  <c r="P118" i="38"/>
  <c r="P181" i="38"/>
  <c r="P182" i="38"/>
  <c r="P200" i="38"/>
  <c r="P224" i="38"/>
  <c r="N251" i="38"/>
  <c r="P262" i="38"/>
  <c r="P298" i="38"/>
  <c r="P356" i="38"/>
  <c r="Q2" i="64"/>
  <c r="Q5" i="64" s="1"/>
  <c r="K73" i="55"/>
  <c r="F73" i="62"/>
  <c r="K27" i="1"/>
  <c r="F32" i="1"/>
  <c r="N32" i="1" s="1"/>
  <c r="O32" i="1" s="1"/>
  <c r="K261" i="1"/>
  <c r="P33" i="38"/>
  <c r="P79" i="38"/>
  <c r="P117" i="38"/>
  <c r="P122" i="38"/>
  <c r="P130" i="38"/>
  <c r="P202" i="38"/>
  <c r="P203" i="38"/>
  <c r="N207" i="38"/>
  <c r="U238" i="38"/>
  <c r="P254" i="38"/>
  <c r="M258" i="38"/>
  <c r="U258" i="38" s="1"/>
  <c r="P289" i="38"/>
  <c r="P313" i="38"/>
  <c r="N316" i="38"/>
  <c r="P336" i="38"/>
  <c r="N339" i="38"/>
  <c r="P349" i="38"/>
  <c r="Q2" i="33"/>
  <c r="Q3" i="33" s="1"/>
  <c r="Q6" i="33" s="1"/>
  <c r="K73" i="62"/>
  <c r="K93" i="52"/>
  <c r="AA2" i="38"/>
  <c r="N272" i="1" s="1"/>
  <c r="P53" i="38"/>
  <c r="P57" i="38"/>
  <c r="P107" i="38"/>
  <c r="P168" i="38"/>
  <c r="P177" i="38"/>
  <c r="P186" i="38"/>
  <c r="P187" i="38"/>
  <c r="U201" i="38"/>
  <c r="U202" i="38"/>
  <c r="N235" i="38"/>
  <c r="U254" i="38"/>
  <c r="P329" i="38"/>
  <c r="N331" i="38"/>
  <c r="N332" i="38"/>
  <c r="P337" i="38"/>
  <c r="P343" i="38"/>
  <c r="U348" i="38"/>
  <c r="F55" i="67"/>
  <c r="U346" i="38"/>
  <c r="P9" i="38"/>
  <c r="P56" i="38"/>
  <c r="P106" i="38"/>
  <c r="P174" i="38"/>
  <c r="P209" i="38"/>
  <c r="P244" i="38"/>
  <c r="P270" i="38"/>
  <c r="P272" i="38"/>
  <c r="P280" i="38"/>
  <c r="P302" i="38"/>
  <c r="P96" i="38"/>
  <c r="P191" i="38"/>
  <c r="P211" i="38"/>
  <c r="U345" i="38"/>
  <c r="P30" i="38"/>
  <c r="P80" i="38"/>
  <c r="P91" i="38"/>
  <c r="P101" i="38"/>
  <c r="P123" i="38"/>
  <c r="P131" i="38"/>
  <c r="P165" i="38"/>
  <c r="P173" i="38"/>
  <c r="P195" i="38"/>
  <c r="P207" i="38"/>
  <c r="P243" i="38"/>
  <c r="P261" i="38"/>
  <c r="P265" i="38"/>
  <c r="U290" i="38"/>
  <c r="U299" i="38"/>
  <c r="P301" i="38"/>
  <c r="P306" i="38"/>
  <c r="P325" i="38"/>
  <c r="P339" i="38"/>
  <c r="K71" i="59"/>
  <c r="M53" i="59" s="1"/>
  <c r="Q10" i="59" s="1"/>
  <c r="V365" i="38"/>
  <c r="X365" i="38" s="1"/>
  <c r="V364" i="38"/>
  <c r="X364" i="38" s="1"/>
  <c r="U241" i="38"/>
  <c r="N241" i="38"/>
  <c r="P8" i="38"/>
  <c r="P133" i="38"/>
  <c r="P194" i="38"/>
  <c r="U327" i="38"/>
  <c r="N327" i="38"/>
  <c r="W4" i="38"/>
  <c r="P3" i="38"/>
  <c r="Q3" i="38" s="1"/>
  <c r="P42" i="38"/>
  <c r="P61" i="38"/>
  <c r="P238" i="38"/>
  <c r="P274" i="38"/>
  <c r="N287" i="38"/>
  <c r="P295" i="38"/>
  <c r="U326" i="38"/>
  <c r="N326" i="38"/>
  <c r="F27" i="1"/>
  <c r="U217" i="38"/>
  <c r="N217" i="38"/>
  <c r="U307" i="38"/>
  <c r="N307" i="38"/>
  <c r="P105" i="38"/>
  <c r="P110" i="38"/>
  <c r="P114" i="38"/>
  <c r="P146" i="38"/>
  <c r="U215" i="38"/>
  <c r="N215" i="38"/>
  <c r="P227" i="38"/>
  <c r="P76" i="38"/>
  <c r="P145" i="38"/>
  <c r="K190" i="1"/>
  <c r="K6" i="1"/>
  <c r="P178" i="38"/>
  <c r="P221" i="38"/>
  <c r="P232" i="38"/>
  <c r="U284" i="38"/>
  <c r="U285" i="38"/>
  <c r="P326" i="38"/>
  <c r="P359" i="38"/>
  <c r="Q5" i="58"/>
  <c r="F47" i="32"/>
  <c r="F56" i="22"/>
  <c r="F6" i="1"/>
  <c r="P23" i="38"/>
  <c r="P90" i="38"/>
  <c r="P100" i="38"/>
  <c r="P109" i="38"/>
  <c r="P137" i="38"/>
  <c r="P152" i="38"/>
  <c r="P172" i="38"/>
  <c r="P183" i="38"/>
  <c r="P226" i="38"/>
  <c r="P309" i="38"/>
  <c r="P318" i="38"/>
  <c r="P323" i="38"/>
  <c r="Q2" i="16"/>
  <c r="Q5" i="16" s="1"/>
  <c r="P13" i="38"/>
  <c r="P17" i="38"/>
  <c r="P26" i="38"/>
  <c r="P35" i="38"/>
  <c r="P49" i="38"/>
  <c r="P55" i="38"/>
  <c r="P59" i="38"/>
  <c r="P65" i="38"/>
  <c r="P83" i="38"/>
  <c r="P93" i="38"/>
  <c r="P103" i="38"/>
  <c r="P121" i="38"/>
  <c r="P125" i="38"/>
  <c r="P129" i="38"/>
  <c r="P140" i="38"/>
  <c r="P170" i="38"/>
  <c r="P180" i="38"/>
  <c r="P201" i="38"/>
  <c r="P263" i="38"/>
  <c r="P279" i="38"/>
  <c r="P285" i="38"/>
  <c r="P297" i="38"/>
  <c r="P299" i="38"/>
  <c r="P304" i="38"/>
  <c r="P305" i="38"/>
  <c r="P321" i="38"/>
  <c r="P342" i="38"/>
  <c r="P348" i="38"/>
  <c r="Q2" i="28"/>
  <c r="Q9" i="28" s="1"/>
  <c r="P291" i="38"/>
  <c r="P296" i="38"/>
  <c r="P324" i="38"/>
  <c r="F239" i="1"/>
  <c r="P34" i="38"/>
  <c r="P38" i="38"/>
  <c r="P48" i="38"/>
  <c r="P58" i="38"/>
  <c r="P68" i="38"/>
  <c r="P124" i="38"/>
  <c r="P128" i="38"/>
  <c r="P231" i="38"/>
  <c r="P248" i="38"/>
  <c r="P260" i="38"/>
  <c r="U264" i="38"/>
  <c r="U265" i="38"/>
  <c r="N292" i="38"/>
  <c r="N294" i="38"/>
  <c r="N295" i="38"/>
  <c r="N304" i="38"/>
  <c r="P340" i="38"/>
  <c r="P353" i="38"/>
  <c r="U356" i="38"/>
  <c r="N357" i="38"/>
  <c r="Q2" i="59"/>
  <c r="Q9" i="59" s="1"/>
  <c r="Q2" i="34"/>
  <c r="Q8" i="34" s="1"/>
  <c r="P278" i="38"/>
  <c r="F58" i="1"/>
  <c r="F109" i="1"/>
  <c r="Q2" i="38"/>
  <c r="P7" i="38"/>
  <c r="P88" i="38"/>
  <c r="P113" i="38"/>
  <c r="P115" i="38"/>
  <c r="P166" i="38"/>
  <c r="P167" i="38"/>
  <c r="P176" i="38"/>
  <c r="P198" i="38"/>
  <c r="P208" i="38"/>
  <c r="P219" i="38"/>
  <c r="N228" i="38"/>
  <c r="N229" i="38"/>
  <c r="U298" i="38"/>
  <c r="U303" i="38"/>
  <c r="P312" i="38"/>
  <c r="P331" i="38"/>
  <c r="P332" i="38"/>
  <c r="P352" i="38"/>
  <c r="N358" i="38"/>
  <c r="Q2" i="57"/>
  <c r="Q5" i="57" s="1"/>
  <c r="M71" i="72"/>
  <c r="Q10" i="72" s="1"/>
  <c r="Q2" i="45"/>
  <c r="Q2" i="3"/>
  <c r="Q8" i="3" s="1"/>
  <c r="K51" i="24"/>
  <c r="Q2" i="52"/>
  <c r="Q9" i="52" s="1"/>
  <c r="M121" i="74"/>
  <c r="Q10" i="74" s="1"/>
  <c r="K99" i="34"/>
  <c r="Q2" i="49"/>
  <c r="F155" i="49"/>
  <c r="Q2" i="41"/>
  <c r="Q8" i="41" s="1"/>
  <c r="F291" i="58"/>
  <c r="K291" i="58"/>
  <c r="Q2" i="17"/>
  <c r="Q2" i="75"/>
  <c r="Q5" i="75" s="1"/>
  <c r="Q2" i="53"/>
  <c r="Q5" i="53" s="1"/>
  <c r="N103" i="1"/>
  <c r="O103" i="1" s="1"/>
  <c r="N243" i="38"/>
  <c r="U243" i="38"/>
  <c r="V357" i="38"/>
  <c r="X357" i="38" s="1"/>
  <c r="N19" i="1"/>
  <c r="O19" i="1" s="1"/>
  <c r="F261" i="1"/>
  <c r="P5" i="38"/>
  <c r="P31" i="38"/>
  <c r="N230" i="38"/>
  <c r="U230" i="38"/>
  <c r="U351" i="38"/>
  <c r="N351" i="38"/>
  <c r="P21" i="38"/>
  <c r="U350" i="38"/>
  <c r="N350" i="38"/>
  <c r="P4" i="38"/>
  <c r="P162" i="38"/>
  <c r="U248" i="38"/>
  <c r="N248" i="38"/>
  <c r="U281" i="38"/>
  <c r="N281" i="38"/>
  <c r="P29" i="38"/>
  <c r="Q2" i="61"/>
  <c r="Q5" i="61" s="1"/>
  <c r="U312" i="38"/>
  <c r="N312" i="38"/>
  <c r="U324" i="38"/>
  <c r="N324" i="38"/>
  <c r="N335" i="38"/>
  <c r="U335" i="38"/>
  <c r="F128" i="10"/>
  <c r="P22" i="38"/>
  <c r="P37" i="38"/>
  <c r="P54" i="38"/>
  <c r="N70" i="1"/>
  <c r="O70" i="1" s="1"/>
  <c r="K94" i="1"/>
  <c r="N94" i="1" s="1"/>
  <c r="O94" i="1" s="1"/>
  <c r="F190" i="1"/>
  <c r="K254" i="1"/>
  <c r="P19" i="38"/>
  <c r="P27" i="38"/>
  <c r="P40" i="38"/>
  <c r="P45" i="38"/>
  <c r="P60" i="38"/>
  <c r="P62" i="38"/>
  <c r="P77" i="38"/>
  <c r="P81" i="38"/>
  <c r="P95" i="38"/>
  <c r="P116" i="38"/>
  <c r="P126" i="38"/>
  <c r="P142" i="38"/>
  <c r="P157" i="38"/>
  <c r="P193" i="38"/>
  <c r="P230" i="38"/>
  <c r="K240" i="38"/>
  <c r="L240" i="38" s="1"/>
  <c r="P240" i="38" s="1"/>
  <c r="K241" i="38"/>
  <c r="L241" i="38" s="1"/>
  <c r="P241" i="38" s="1"/>
  <c r="M240" i="38"/>
  <c r="P269" i="38"/>
  <c r="U272" i="38"/>
  <c r="P307" i="38"/>
  <c r="U328" i="38"/>
  <c r="P346" i="38"/>
  <c r="P351" i="38"/>
  <c r="U353" i="38"/>
  <c r="N353" i="38"/>
  <c r="F73" i="55"/>
  <c r="K56" i="22"/>
  <c r="K24" i="31"/>
  <c r="U244" i="38"/>
  <c r="N244" i="38"/>
  <c r="F450" i="17"/>
  <c r="F35" i="30"/>
  <c r="U279" i="38"/>
  <c r="N279" i="38"/>
  <c r="K83" i="1"/>
  <c r="N231" i="1"/>
  <c r="O231" i="1" s="1"/>
  <c r="U226" i="38"/>
  <c r="U277" i="38"/>
  <c r="N277" i="38"/>
  <c r="U342" i="38"/>
  <c r="N342" i="38"/>
  <c r="F16" i="1"/>
  <c r="P32" i="38"/>
  <c r="P44" i="38"/>
  <c r="P75" i="38"/>
  <c r="P84" i="38"/>
  <c r="K85" i="38"/>
  <c r="L85" i="38" s="1"/>
  <c r="W1036" i="38" s="1"/>
  <c r="Y1036" i="38" s="1"/>
  <c r="K86" i="38"/>
  <c r="L86" i="38" s="1"/>
  <c r="P120" i="38"/>
  <c r="P149" i="38"/>
  <c r="P150" i="38"/>
  <c r="P163" i="38"/>
  <c r="P171" i="38"/>
  <c r="P204" i="38"/>
  <c r="U209" i="38"/>
  <c r="N209" i="38"/>
  <c r="N210" i="38"/>
  <c r="U210" i="38"/>
  <c r="U311" i="38"/>
  <c r="N311" i="38"/>
  <c r="N318" i="38"/>
  <c r="N319" i="38"/>
  <c r="N320" i="38"/>
  <c r="N323" i="38"/>
  <c r="U323" i="38"/>
  <c r="U336" i="38"/>
  <c r="F18" i="45"/>
  <c r="F85" i="3"/>
  <c r="F93" i="52"/>
  <c r="N199" i="1"/>
  <c r="O199" i="1" s="1"/>
  <c r="K67" i="47"/>
  <c r="F83" i="1"/>
  <c r="K196" i="1"/>
  <c r="P6" i="38"/>
  <c r="P69" i="38"/>
  <c r="P74" i="38"/>
  <c r="P87" i="38"/>
  <c r="P89" i="38"/>
  <c r="P108" i="38"/>
  <c r="P119" i="38"/>
  <c r="P127" i="38"/>
  <c r="P138" i="38"/>
  <c r="P139" i="38"/>
  <c r="P141" i="38"/>
  <c r="P147" i="38"/>
  <c r="P148" i="38"/>
  <c r="U220" i="38"/>
  <c r="N220" i="38"/>
  <c r="P256" i="38"/>
  <c r="P259" i="38"/>
  <c r="U263" i="38"/>
  <c r="N263" i="38"/>
  <c r="Z263" i="38" s="1"/>
  <c r="U273" i="38"/>
  <c r="N273" i="38"/>
  <c r="P277" i="38"/>
  <c r="P288" i="38"/>
  <c r="U296" i="38"/>
  <c r="N296" i="38"/>
  <c r="N329" i="38"/>
  <c r="U329" i="38"/>
  <c r="N338" i="38"/>
  <c r="U338" i="38"/>
  <c r="U340" i="38"/>
  <c r="N340" i="38"/>
  <c r="U355" i="38"/>
  <c r="N355" i="38"/>
  <c r="F18" i="72"/>
  <c r="K120" i="45"/>
  <c r="U247" i="38"/>
  <c r="N247" i="38"/>
  <c r="U344" i="38"/>
  <c r="N344" i="38"/>
  <c r="V289" i="38"/>
  <c r="X289" i="38" s="1"/>
  <c r="U199" i="38"/>
  <c r="N199" i="38"/>
  <c r="K88" i="1"/>
  <c r="K16" i="1"/>
  <c r="F228" i="1"/>
  <c r="P43" i="38"/>
  <c r="P52" i="38"/>
  <c r="K109" i="1"/>
  <c r="K141" i="1"/>
  <c r="F141" i="1"/>
  <c r="K228" i="1"/>
  <c r="P15" i="38"/>
  <c r="P20" i="38"/>
  <c r="P41" i="38"/>
  <c r="P51" i="38"/>
  <c r="P73" i="38"/>
  <c r="P111" i="38"/>
  <c r="P135" i="38"/>
  <c r="P158" i="38"/>
  <c r="P159" i="38"/>
  <c r="P217" i="38"/>
  <c r="K233" i="38"/>
  <c r="L233" i="38" s="1"/>
  <c r="P233" i="38" s="1"/>
  <c r="S233" i="38"/>
  <c r="P249" i="38"/>
  <c r="P255" i="38"/>
  <c r="N259" i="38"/>
  <c r="U259" i="38"/>
  <c r="U261" i="38"/>
  <c r="N261" i="38"/>
  <c r="P282" i="38"/>
  <c r="P320" i="38"/>
  <c r="U321" i="38"/>
  <c r="N359" i="38"/>
  <c r="U359" i="38"/>
  <c r="N360" i="38"/>
  <c r="P160" i="38"/>
  <c r="P185" i="38"/>
  <c r="P196" i="38"/>
  <c r="P210" i="38"/>
  <c r="S258" i="38"/>
  <c r="P281" i="38"/>
  <c r="P355" i="38"/>
  <c r="Q2" i="69"/>
  <c r="Q5" i="69" s="1"/>
  <c r="Q2" i="51"/>
  <c r="M36" i="42"/>
  <c r="Q10" i="42" s="1"/>
  <c r="Q2" i="22"/>
  <c r="K50" i="15"/>
  <c r="P169" i="38"/>
  <c r="P213" i="38"/>
  <c r="U218" i="38"/>
  <c r="P239" i="38"/>
  <c r="P245" i="38"/>
  <c r="P290" i="38"/>
  <c r="P303" i="38"/>
  <c r="P310" i="38"/>
  <c r="P311" i="38"/>
  <c r="U322" i="38"/>
  <c r="P347" i="38"/>
  <c r="K53" i="56"/>
  <c r="M35" i="56" s="1"/>
  <c r="Q10" i="56" s="1"/>
  <c r="Q2" i="66"/>
  <c r="Q3" i="66" s="1"/>
  <c r="Q6" i="66" s="1"/>
  <c r="Q2" i="73"/>
  <c r="F64" i="71"/>
  <c r="Q2" i="68"/>
  <c r="Q5" i="68" s="1"/>
  <c r="Q2" i="72"/>
  <c r="Q5" i="72" s="1"/>
  <c r="K22" i="17"/>
  <c r="M30" i="44"/>
  <c r="Q10" i="44" s="1"/>
  <c r="Q2" i="13"/>
  <c r="Q9" i="13" s="1"/>
  <c r="Q2" i="24"/>
  <c r="Q9" i="24" s="1"/>
  <c r="Q2" i="15"/>
  <c r="Q3" i="15" s="1"/>
  <c r="Q6" i="15" s="1"/>
  <c r="F51" i="28"/>
  <c r="M33" i="28" s="1"/>
  <c r="Q10" i="28" s="1"/>
  <c r="K18" i="48"/>
  <c r="K47" i="32"/>
  <c r="P184" i="38"/>
  <c r="P189" i="38"/>
  <c r="P190" i="38"/>
  <c r="P192" i="38"/>
  <c r="P205" i="38"/>
  <c r="P220" i="38"/>
  <c r="P222" i="38"/>
  <c r="P223" i="38"/>
  <c r="P250" i="38"/>
  <c r="P251" i="38"/>
  <c r="P266" i="38"/>
  <c r="P267" i="38"/>
  <c r="P268" i="38"/>
  <c r="P283" i="38"/>
  <c r="P287" i="38"/>
  <c r="P292" i="38"/>
  <c r="P293" i="38"/>
  <c r="P294" i="38"/>
  <c r="P300" i="38"/>
  <c r="P314" i="38"/>
  <c r="P315" i="38"/>
  <c r="P316" i="38"/>
  <c r="P327" i="38"/>
  <c r="P357" i="38"/>
  <c r="Q2" i="65"/>
  <c r="Q8" i="65" s="1"/>
  <c r="F59" i="73"/>
  <c r="F18" i="68"/>
  <c r="K128" i="10"/>
  <c r="K49" i="20"/>
  <c r="K153" i="46"/>
  <c r="F47" i="29"/>
  <c r="Q2" i="30"/>
  <c r="Q8" i="30" s="1"/>
  <c r="P212" i="38"/>
  <c r="P214" i="38"/>
  <c r="P215" i="38"/>
  <c r="P317" i="38"/>
  <c r="N325" i="38"/>
  <c r="P358" i="38"/>
  <c r="M44" i="66"/>
  <c r="Q10" i="66" s="1"/>
  <c r="K59" i="73"/>
  <c r="Q2" i="63"/>
  <c r="Q2" i="54"/>
  <c r="Q8" i="54" s="1"/>
  <c r="K18" i="68"/>
  <c r="K56" i="13"/>
  <c r="Q2" i="20"/>
  <c r="Q9" i="20" s="1"/>
  <c r="Q2" i="46"/>
  <c r="F24" i="31"/>
  <c r="F27" i="43"/>
  <c r="K47" i="29"/>
  <c r="V20" i="38"/>
  <c r="V85" i="38"/>
  <c r="X85" i="38" s="1"/>
  <c r="V26" i="38"/>
  <c r="X26" i="38" s="1"/>
  <c r="W40" i="38"/>
  <c r="V46" i="38"/>
  <c r="X46" i="38" s="1"/>
  <c r="V53" i="38"/>
  <c r="X53" i="38" s="1"/>
  <c r="V97" i="38"/>
  <c r="X97" i="38" s="1"/>
  <c r="V126" i="38"/>
  <c r="X126" i="38" s="1"/>
  <c r="V205" i="38"/>
  <c r="X205" i="38" s="1"/>
  <c r="V221" i="38"/>
  <c r="X221" i="38" s="1"/>
  <c r="N61" i="1"/>
  <c r="O61" i="1" s="1"/>
  <c r="V8" i="38"/>
  <c r="V11" i="38"/>
  <c r="P12" i="38"/>
  <c r="V17" i="38"/>
  <c r="V35" i="38"/>
  <c r="X35" i="38" s="1"/>
  <c r="V49" i="38"/>
  <c r="X49" i="38" s="1"/>
  <c r="W62" i="38"/>
  <c r="W64" i="38"/>
  <c r="W81" i="38"/>
  <c r="V82" i="38"/>
  <c r="X82" i="38" s="1"/>
  <c r="V86" i="38"/>
  <c r="X86" i="38" s="1"/>
  <c r="V100" i="38"/>
  <c r="X100" i="38" s="1"/>
  <c r="V114" i="38"/>
  <c r="X114" i="38" s="1"/>
  <c r="V136" i="38"/>
  <c r="X136" i="38" s="1"/>
  <c r="V171" i="38"/>
  <c r="X171" i="38" s="1"/>
  <c r="U260" i="38"/>
  <c r="N260" i="38"/>
  <c r="F177" i="1"/>
  <c r="N177" i="1" s="1"/>
  <c r="O177" i="1" s="1"/>
  <c r="W8" i="38"/>
  <c r="V12" i="38"/>
  <c r="W21" i="38"/>
  <c r="W36" i="38"/>
  <c r="W49" i="38"/>
  <c r="W56" i="38"/>
  <c r="V65" i="38"/>
  <c r="X65" i="38" s="1"/>
  <c r="W69" i="38"/>
  <c r="P151" i="38"/>
  <c r="V174" i="38"/>
  <c r="X174" i="38" s="1"/>
  <c r="V206" i="38"/>
  <c r="X206" i="38" s="1"/>
  <c r="V222" i="38"/>
  <c r="X222" i="38" s="1"/>
  <c r="V324" i="38"/>
  <c r="X324" i="38" s="1"/>
  <c r="V329" i="38"/>
  <c r="X329" i="38" s="1"/>
  <c r="W52" i="38"/>
  <c r="V209" i="38"/>
  <c r="X209" i="38" s="1"/>
  <c r="N291" i="38"/>
  <c r="U291" i="38"/>
  <c r="V363" i="38"/>
  <c r="X363" i="38" s="1"/>
  <c r="V362" i="38"/>
  <c r="X362" i="38" s="1"/>
  <c r="V359" i="38"/>
  <c r="X359" i="38" s="1"/>
  <c r="V353" i="38"/>
  <c r="X353" i="38" s="1"/>
  <c r="V354" i="38"/>
  <c r="X354" i="38" s="1"/>
  <c r="V342" i="38"/>
  <c r="X342" i="38" s="1"/>
  <c r="V334" i="38"/>
  <c r="X334" i="38" s="1"/>
  <c r="V326" i="38"/>
  <c r="X326" i="38" s="1"/>
  <c r="V318" i="38"/>
  <c r="X318" i="38" s="1"/>
  <c r="V310" i="38"/>
  <c r="X310" i="38" s="1"/>
  <c r="V302" i="38"/>
  <c r="X302" i="38" s="1"/>
  <c r="V294" i="38"/>
  <c r="X294" i="38" s="1"/>
  <c r="V361" i="38"/>
  <c r="X361" i="38" s="1"/>
  <c r="V358" i="38"/>
  <c r="X358" i="38" s="1"/>
  <c r="V350" i="38"/>
  <c r="X350" i="38" s="1"/>
  <c r="V343" i="38"/>
  <c r="X343" i="38" s="1"/>
  <c r="V335" i="38"/>
  <c r="X335" i="38" s="1"/>
  <c r="V327" i="38"/>
  <c r="X327" i="38" s="1"/>
  <c r="V319" i="38"/>
  <c r="X319" i="38" s="1"/>
  <c r="V352" i="38"/>
  <c r="X352" i="38" s="1"/>
  <c r="V346" i="38"/>
  <c r="X346" i="38" s="1"/>
  <c r="V338" i="38"/>
  <c r="X338" i="38" s="1"/>
  <c r="V330" i="38"/>
  <c r="X330" i="38" s="1"/>
  <c r="V360" i="38"/>
  <c r="X360" i="38" s="1"/>
  <c r="V356" i="38"/>
  <c r="X356" i="38" s="1"/>
  <c r="V349" i="38"/>
  <c r="X349" i="38" s="1"/>
  <c r="V345" i="38"/>
  <c r="X345" i="38" s="1"/>
  <c r="V312" i="38"/>
  <c r="X312" i="38" s="1"/>
  <c r="V308" i="38"/>
  <c r="X308" i="38" s="1"/>
  <c r="V304" i="38"/>
  <c r="X304" i="38" s="1"/>
  <c r="V300" i="38"/>
  <c r="X300" i="38" s="1"/>
  <c r="V296" i="38"/>
  <c r="X296" i="38" s="1"/>
  <c r="V348" i="38"/>
  <c r="X348" i="38" s="1"/>
  <c r="V344" i="38"/>
  <c r="X344" i="38" s="1"/>
  <c r="V288" i="38"/>
  <c r="X288" i="38" s="1"/>
  <c r="V325" i="38"/>
  <c r="X325" i="38" s="1"/>
  <c r="V321" i="38"/>
  <c r="X321" i="38" s="1"/>
  <c r="V299" i="38"/>
  <c r="X299" i="38" s="1"/>
  <c r="V291" i="38"/>
  <c r="X291" i="38" s="1"/>
  <c r="V283" i="38"/>
  <c r="X283" i="38" s="1"/>
  <c r="V275" i="38"/>
  <c r="X275" i="38" s="1"/>
  <c r="V267" i="38"/>
  <c r="X267" i="38" s="1"/>
  <c r="V259" i="38"/>
  <c r="X259" i="38" s="1"/>
  <c r="V251" i="38"/>
  <c r="X251" i="38" s="1"/>
  <c r="V243" i="38"/>
  <c r="X243" i="38" s="1"/>
  <c r="V233" i="38"/>
  <c r="X233" i="38" s="1"/>
  <c r="V232" i="38"/>
  <c r="X232" i="38" s="1"/>
  <c r="V223" i="38"/>
  <c r="X223" i="38" s="1"/>
  <c r="V215" i="38"/>
  <c r="X215" i="38" s="1"/>
  <c r="V207" i="38"/>
  <c r="X207" i="38" s="1"/>
  <c r="V199" i="38"/>
  <c r="X199" i="38" s="1"/>
  <c r="V351" i="38"/>
  <c r="X351" i="38" s="1"/>
  <c r="V331" i="38"/>
  <c r="X331" i="38" s="1"/>
  <c r="V323" i="38"/>
  <c r="X323" i="38" s="1"/>
  <c r="V317" i="38"/>
  <c r="X317" i="38" s="1"/>
  <c r="V306" i="38"/>
  <c r="X306" i="38" s="1"/>
  <c r="V276" i="38"/>
  <c r="X276" i="38" s="1"/>
  <c r="V268" i="38"/>
  <c r="X268" i="38" s="1"/>
  <c r="V336" i="38"/>
  <c r="X336" i="38" s="1"/>
  <c r="V333" i="38"/>
  <c r="X333" i="38" s="1"/>
  <c r="V328" i="38"/>
  <c r="X328" i="38" s="1"/>
  <c r="V315" i="38"/>
  <c r="X315" i="38" s="1"/>
  <c r="V313" i="38"/>
  <c r="X313" i="38" s="1"/>
  <c r="V311" i="38"/>
  <c r="X311" i="38" s="1"/>
  <c r="V297" i="38"/>
  <c r="X297" i="38" s="1"/>
  <c r="V295" i="38"/>
  <c r="X295" i="38" s="1"/>
  <c r="V292" i="38"/>
  <c r="X292" i="38" s="1"/>
  <c r="V284" i="38"/>
  <c r="X284" i="38" s="1"/>
  <c r="V277" i="38"/>
  <c r="X277" i="38" s="1"/>
  <c r="V269" i="38"/>
  <c r="X269" i="38" s="1"/>
  <c r="V261" i="38"/>
  <c r="X261" i="38" s="1"/>
  <c r="V322" i="38"/>
  <c r="X322" i="38" s="1"/>
  <c r="V307" i="38"/>
  <c r="X307" i="38" s="1"/>
  <c r="V285" i="38"/>
  <c r="X285" i="38" s="1"/>
  <c r="V279" i="38"/>
  <c r="X279" i="38" s="1"/>
  <c r="V271" i="38"/>
  <c r="X271" i="38" s="1"/>
  <c r="V263" i="38"/>
  <c r="X263" i="38" s="1"/>
  <c r="V254" i="38"/>
  <c r="X254" i="38" s="1"/>
  <c r="V247" i="38"/>
  <c r="X247" i="38" s="1"/>
  <c r="V238" i="38"/>
  <c r="X238" i="38" s="1"/>
  <c r="V332" i="38"/>
  <c r="X332" i="38" s="1"/>
  <c r="V316" i="38"/>
  <c r="X316" i="38" s="1"/>
  <c r="V278" i="38"/>
  <c r="X278" i="38" s="1"/>
  <c r="V266" i="38"/>
  <c r="X266" i="38" s="1"/>
  <c r="V257" i="38"/>
  <c r="X257" i="38" s="1"/>
  <c r="V252" i="38"/>
  <c r="X252" i="38" s="1"/>
  <c r="V239" i="38"/>
  <c r="X239" i="38" s="1"/>
  <c r="V231" i="38"/>
  <c r="X231" i="38" s="1"/>
  <c r="V219" i="38"/>
  <c r="X219" i="38" s="1"/>
  <c r="V211" i="38"/>
  <c r="X211" i="38" s="1"/>
  <c r="V203" i="38"/>
  <c r="X203" i="38" s="1"/>
  <c r="V196" i="38"/>
  <c r="X196" i="38" s="1"/>
  <c r="V355" i="38"/>
  <c r="X355" i="38" s="1"/>
  <c r="V341" i="38"/>
  <c r="X341" i="38" s="1"/>
  <c r="V337" i="38"/>
  <c r="X337" i="38" s="1"/>
  <c r="V301" i="38"/>
  <c r="X301" i="38" s="1"/>
  <c r="V286" i="38"/>
  <c r="X286" i="38" s="1"/>
  <c r="V273" i="38"/>
  <c r="X273" i="38" s="1"/>
  <c r="V250" i="38"/>
  <c r="X250" i="38" s="1"/>
  <c r="V245" i="38"/>
  <c r="X245" i="38" s="1"/>
  <c r="V242" i="38"/>
  <c r="X242" i="38" s="1"/>
  <c r="V234" i="38"/>
  <c r="X234" i="38" s="1"/>
  <c r="V228" i="38"/>
  <c r="X228" i="38" s="1"/>
  <c r="V224" i="38"/>
  <c r="X224" i="38" s="1"/>
  <c r="V216" i="38"/>
  <c r="X216" i="38" s="1"/>
  <c r="V208" i="38"/>
  <c r="X208" i="38" s="1"/>
  <c r="V200" i="38"/>
  <c r="X200" i="38" s="1"/>
  <c r="V193" i="38"/>
  <c r="X193" i="38" s="1"/>
  <c r="V190" i="38"/>
  <c r="X190" i="38" s="1"/>
  <c r="V187" i="38"/>
  <c r="X187" i="38" s="1"/>
  <c r="V177" i="38"/>
  <c r="X177" i="38" s="1"/>
  <c r="V173" i="38"/>
  <c r="X173" i="38" s="1"/>
  <c r="V169" i="38"/>
  <c r="X169" i="38" s="1"/>
  <c r="V165" i="38"/>
  <c r="X165" i="38" s="1"/>
  <c r="V161" i="38"/>
  <c r="X161" i="38" s="1"/>
  <c r="V157" i="38"/>
  <c r="X157" i="38" s="1"/>
  <c r="V153" i="38"/>
  <c r="X153" i="38" s="1"/>
  <c r="V149" i="38"/>
  <c r="X149" i="38" s="1"/>
  <c r="V143" i="38"/>
  <c r="X143" i="38" s="1"/>
  <c r="V135" i="38"/>
  <c r="X135" i="38" s="1"/>
  <c r="V127" i="38"/>
  <c r="X127" i="38" s="1"/>
  <c r="V119" i="38"/>
  <c r="X119" i="38" s="1"/>
  <c r="V111" i="38"/>
  <c r="X111" i="38" s="1"/>
  <c r="V347" i="38"/>
  <c r="X347" i="38" s="1"/>
  <c r="V298" i="38"/>
  <c r="X298" i="38" s="1"/>
  <c r="V270" i="38"/>
  <c r="X270" i="38" s="1"/>
  <c r="V255" i="38"/>
  <c r="X255" i="38" s="1"/>
  <c r="V237" i="38"/>
  <c r="X237" i="38" s="1"/>
  <c r="V220" i="38"/>
  <c r="X220" i="38" s="1"/>
  <c r="V212" i="38"/>
  <c r="X212" i="38" s="1"/>
  <c r="V204" i="38"/>
  <c r="X204" i="38" s="1"/>
  <c r="V184" i="38"/>
  <c r="X184" i="38" s="1"/>
  <c r="V282" i="38"/>
  <c r="X282" i="38" s="1"/>
  <c r="V262" i="38"/>
  <c r="X262" i="38" s="1"/>
  <c r="V256" i="38"/>
  <c r="X256" i="38" s="1"/>
  <c r="V253" i="38"/>
  <c r="X253" i="38" s="1"/>
  <c r="V230" i="38"/>
  <c r="X230" i="38" s="1"/>
  <c r="V188" i="38"/>
  <c r="X188" i="38" s="1"/>
  <c r="V309" i="38"/>
  <c r="X309" i="38" s="1"/>
  <c r="V303" i="38"/>
  <c r="X303" i="38" s="1"/>
  <c r="V287" i="38"/>
  <c r="X287" i="38" s="1"/>
  <c r="V281" i="38"/>
  <c r="X281" i="38" s="1"/>
  <c r="V265" i="38"/>
  <c r="X265" i="38" s="1"/>
  <c r="V227" i="38"/>
  <c r="X227" i="38" s="1"/>
  <c r="V194" i="38"/>
  <c r="X194" i="38" s="1"/>
  <c r="V189" i="38"/>
  <c r="X189" i="38" s="1"/>
  <c r="V181" i="38"/>
  <c r="X181" i="38" s="1"/>
  <c r="V168" i="38"/>
  <c r="X168" i="38" s="1"/>
  <c r="V162" i="38"/>
  <c r="X162" i="38" s="1"/>
  <c r="V150" i="38"/>
  <c r="X150" i="38" s="1"/>
  <c r="V145" i="38"/>
  <c r="X145" i="38" s="1"/>
  <c r="V139" i="38"/>
  <c r="X139" i="38" s="1"/>
  <c r="V133" i="38"/>
  <c r="X133" i="38" s="1"/>
  <c r="V112" i="38"/>
  <c r="X112" i="38" s="1"/>
  <c r="V110" i="38"/>
  <c r="X110" i="38" s="1"/>
  <c r="V108" i="38"/>
  <c r="X108" i="38" s="1"/>
  <c r="V103" i="38"/>
  <c r="X103" i="38" s="1"/>
  <c r="V95" i="38"/>
  <c r="X95" i="38" s="1"/>
  <c r="V87" i="38"/>
  <c r="X87" i="38" s="1"/>
  <c r="V84" i="38"/>
  <c r="X84" i="38" s="1"/>
  <c r="V76" i="38"/>
  <c r="X76" i="38" s="1"/>
  <c r="V68" i="38"/>
  <c r="X68" i="38" s="1"/>
  <c r="V60" i="38"/>
  <c r="X60" i="38" s="1"/>
  <c r="V52" i="38"/>
  <c r="X52" i="38" s="1"/>
  <c r="V44" i="38"/>
  <c r="X44" i="38" s="1"/>
  <c r="V36" i="38"/>
  <c r="X36" i="38" s="1"/>
  <c r="V28" i="38"/>
  <c r="X28" i="38" s="1"/>
  <c r="V340" i="38"/>
  <c r="X340" i="38" s="1"/>
  <c r="V241" i="38"/>
  <c r="X241" i="38" s="1"/>
  <c r="V183" i="38"/>
  <c r="X183" i="38" s="1"/>
  <c r="V179" i="38"/>
  <c r="X179" i="38" s="1"/>
  <c r="V164" i="38"/>
  <c r="X164" i="38" s="1"/>
  <c r="V155" i="38"/>
  <c r="X155" i="38" s="1"/>
  <c r="V137" i="38"/>
  <c r="X137" i="38" s="1"/>
  <c r="V131" i="38"/>
  <c r="X131" i="38" s="1"/>
  <c r="V125" i="38"/>
  <c r="X125" i="38" s="1"/>
  <c r="V106" i="38"/>
  <c r="X106" i="38" s="1"/>
  <c r="V98" i="38"/>
  <c r="X98" i="38" s="1"/>
  <c r="V90" i="38"/>
  <c r="X90" i="38" s="1"/>
  <c r="V79" i="38"/>
  <c r="X79" i="38" s="1"/>
  <c r="V71" i="38"/>
  <c r="X71" i="38" s="1"/>
  <c r="V63" i="38"/>
  <c r="X63" i="38" s="1"/>
  <c r="V55" i="38"/>
  <c r="X55" i="38" s="1"/>
  <c r="V47" i="38"/>
  <c r="X47" i="38" s="1"/>
  <c r="V39" i="38"/>
  <c r="X39" i="38" s="1"/>
  <c r="V31" i="38"/>
  <c r="X31" i="38" s="1"/>
  <c r="V23" i="38"/>
  <c r="V15" i="38"/>
  <c r="V7" i="38"/>
  <c r="V293" i="38"/>
  <c r="X293" i="38" s="1"/>
  <c r="V280" i="38"/>
  <c r="X280" i="38" s="1"/>
  <c r="V274" i="38"/>
  <c r="X274" i="38" s="1"/>
  <c r="V244" i="38"/>
  <c r="X244" i="38" s="1"/>
  <c r="V229" i="38"/>
  <c r="X229" i="38" s="1"/>
  <c r="V226" i="38"/>
  <c r="X226" i="38" s="1"/>
  <c r="V218" i="38"/>
  <c r="X218" i="38" s="1"/>
  <c r="V210" i="38"/>
  <c r="X210" i="38" s="1"/>
  <c r="V202" i="38"/>
  <c r="X202" i="38" s="1"/>
  <c r="V175" i="38"/>
  <c r="X175" i="38" s="1"/>
  <c r="V160" i="38"/>
  <c r="X160" i="38" s="1"/>
  <c r="V158" i="38"/>
  <c r="X158" i="38" s="1"/>
  <c r="V148" i="38"/>
  <c r="X148" i="38" s="1"/>
  <c r="V129" i="38"/>
  <c r="X129" i="38" s="1"/>
  <c r="V123" i="38"/>
  <c r="X123" i="38" s="1"/>
  <c r="V339" i="38"/>
  <c r="X339" i="38" s="1"/>
  <c r="V320" i="38"/>
  <c r="X320" i="38" s="1"/>
  <c r="V290" i="38"/>
  <c r="X290" i="38" s="1"/>
  <c r="V272" i="38"/>
  <c r="X272" i="38" s="1"/>
  <c r="V264" i="38"/>
  <c r="X264" i="38" s="1"/>
  <c r="V249" i="38"/>
  <c r="X249" i="38" s="1"/>
  <c r="V236" i="38"/>
  <c r="X236" i="38" s="1"/>
  <c r="V235" i="38"/>
  <c r="X235" i="38" s="1"/>
  <c r="V178" i="38"/>
  <c r="X178" i="38" s="1"/>
  <c r="V167" i="38"/>
  <c r="X167" i="38" s="1"/>
  <c r="V156" i="38"/>
  <c r="X156" i="38" s="1"/>
  <c r="V151" i="38"/>
  <c r="X151" i="38" s="1"/>
  <c r="V144" i="38"/>
  <c r="X144" i="38" s="1"/>
  <c r="V142" i="38"/>
  <c r="X142" i="38" s="1"/>
  <c r="V140" i="38"/>
  <c r="X140" i="38" s="1"/>
  <c r="V138" i="38"/>
  <c r="X138" i="38" s="1"/>
  <c r="V113" i="38"/>
  <c r="X113" i="38" s="1"/>
  <c r="V107" i="38"/>
  <c r="X107" i="38" s="1"/>
  <c r="V99" i="38"/>
  <c r="X99" i="38" s="1"/>
  <c r="V91" i="38"/>
  <c r="X91" i="38" s="1"/>
  <c r="V80" i="38"/>
  <c r="X80" i="38" s="1"/>
  <c r="V72" i="38"/>
  <c r="X72" i="38" s="1"/>
  <c r="V64" i="38"/>
  <c r="X64" i="38" s="1"/>
  <c r="V56" i="38"/>
  <c r="X56" i="38" s="1"/>
  <c r="V48" i="38"/>
  <c r="X48" i="38" s="1"/>
  <c r="V40" i="38"/>
  <c r="X40" i="38" s="1"/>
  <c r="V32" i="38"/>
  <c r="X32" i="38" s="1"/>
  <c r="V24" i="38"/>
  <c r="V170" i="38"/>
  <c r="X170" i="38" s="1"/>
  <c r="V154" i="38"/>
  <c r="X154" i="38" s="1"/>
  <c r="V121" i="38"/>
  <c r="X121" i="38" s="1"/>
  <c r="V105" i="38"/>
  <c r="X105" i="38" s="1"/>
  <c r="V102" i="38"/>
  <c r="X102" i="38" s="1"/>
  <c r="V93" i="38"/>
  <c r="X93" i="38" s="1"/>
  <c r="V73" i="38"/>
  <c r="X73" i="38" s="1"/>
  <c r="V69" i="38"/>
  <c r="X69" i="38" s="1"/>
  <c r="V54" i="38"/>
  <c r="X54" i="38" s="1"/>
  <c r="V51" i="38"/>
  <c r="X51" i="38" s="1"/>
  <c r="V42" i="38"/>
  <c r="X42" i="38" s="1"/>
  <c r="V21" i="38"/>
  <c r="V29" i="38"/>
  <c r="X29" i="38" s="1"/>
  <c r="V19" i="38"/>
  <c r="V13" i="38"/>
  <c r="V314" i="38"/>
  <c r="X314" i="38" s="1"/>
  <c r="V240" i="38"/>
  <c r="X240" i="38" s="1"/>
  <c r="V128" i="38"/>
  <c r="X128" i="38" s="1"/>
  <c r="V246" i="38"/>
  <c r="X246" i="38" s="1"/>
  <c r="V195" i="38"/>
  <c r="X195" i="38" s="1"/>
  <c r="V186" i="38"/>
  <c r="X186" i="38" s="1"/>
  <c r="V159" i="38"/>
  <c r="X159" i="38" s="1"/>
  <c r="V134" i="38"/>
  <c r="X134" i="38" s="1"/>
  <c r="V116" i="38"/>
  <c r="X116" i="38" s="1"/>
  <c r="V78" i="38"/>
  <c r="X78" i="38" s="1"/>
  <c r="V75" i="38"/>
  <c r="X75" i="38" s="1"/>
  <c r="V66" i="38"/>
  <c r="X66" i="38" s="1"/>
  <c r="V33" i="38"/>
  <c r="X33" i="38" s="1"/>
  <c r="V182" i="38"/>
  <c r="X182" i="38" s="1"/>
  <c r="V172" i="38"/>
  <c r="X172" i="38" s="1"/>
  <c r="V163" i="38"/>
  <c r="X163" i="38" s="1"/>
  <c r="V132" i="38"/>
  <c r="X132" i="38" s="1"/>
  <c r="V124" i="38"/>
  <c r="X124" i="38" s="1"/>
  <c r="V92" i="38"/>
  <c r="X92" i="38" s="1"/>
  <c r="V88" i="38"/>
  <c r="X88" i="38" s="1"/>
  <c r="V83" i="38"/>
  <c r="X83" i="38" s="1"/>
  <c r="V74" i="38"/>
  <c r="X74" i="38" s="1"/>
  <c r="V41" i="38"/>
  <c r="X41" i="38" s="1"/>
  <c r="V37" i="38"/>
  <c r="X37" i="38" s="1"/>
  <c r="V4" i="38"/>
  <c r="W7" i="38"/>
  <c r="W16" i="38"/>
  <c r="W41" i="38"/>
  <c r="V61" i="38"/>
  <c r="X61" i="38" s="1"/>
  <c r="V81" i="38"/>
  <c r="X81" i="38" s="1"/>
  <c r="V57" i="38"/>
  <c r="X57" i="38" s="1"/>
  <c r="W76" i="38"/>
  <c r="V109" i="38"/>
  <c r="X109" i="38" s="1"/>
  <c r="V115" i="38"/>
  <c r="X115" i="38" s="1"/>
  <c r="V146" i="38"/>
  <c r="X146" i="38" s="1"/>
  <c r="V147" i="38"/>
  <c r="X147" i="38" s="1"/>
  <c r="V201" i="38"/>
  <c r="X201" i="38" s="1"/>
  <c r="U250" i="38"/>
  <c r="N250" i="38"/>
  <c r="V305" i="38"/>
  <c r="X305" i="38" s="1"/>
  <c r="N245" i="1"/>
  <c r="O245" i="1" s="1"/>
  <c r="N264" i="1"/>
  <c r="O264" i="1" s="1"/>
  <c r="V5" i="38"/>
  <c r="V6" i="38"/>
  <c r="V9" i="38"/>
  <c r="W23" i="38"/>
  <c r="V43" i="38"/>
  <c r="X43" i="38" s="1"/>
  <c r="V50" i="38"/>
  <c r="X50" i="38" s="1"/>
  <c r="W70" i="38"/>
  <c r="P161" i="38"/>
  <c r="V176" i="38"/>
  <c r="X176" i="38" s="1"/>
  <c r="V191" i="38"/>
  <c r="X191" i="38" s="1"/>
  <c r="V260" i="38"/>
  <c r="X260" i="38" s="1"/>
  <c r="K58" i="1"/>
  <c r="F88" i="1"/>
  <c r="F100" i="1"/>
  <c r="N100" i="1" s="1"/>
  <c r="O100" i="1" s="1"/>
  <c r="F196" i="1"/>
  <c r="F235" i="1"/>
  <c r="N235" i="1" s="1"/>
  <c r="O235" i="1" s="1"/>
  <c r="N266" i="1"/>
  <c r="W79" i="38"/>
  <c r="W71" i="38"/>
  <c r="W63" i="38"/>
  <c r="W55" i="38"/>
  <c r="W47" i="38"/>
  <c r="W39" i="38"/>
  <c r="W31" i="38"/>
  <c r="W82" i="38"/>
  <c r="W74" i="38"/>
  <c r="W66" i="38"/>
  <c r="W58" i="38"/>
  <c r="W50" i="38"/>
  <c r="W42" i="38"/>
  <c r="W34" i="38"/>
  <c r="W26" i="38"/>
  <c r="W18" i="38"/>
  <c r="W10" i="38"/>
  <c r="W83" i="38"/>
  <c r="W75" i="38"/>
  <c r="W67" i="38"/>
  <c r="W59" i="38"/>
  <c r="W51" i="38"/>
  <c r="W43" i="38"/>
  <c r="W35" i="38"/>
  <c r="W27" i="38"/>
  <c r="W78" i="38"/>
  <c r="W60" i="38"/>
  <c r="W48" i="38"/>
  <c r="W33" i="38"/>
  <c r="W29" i="38"/>
  <c r="W19" i="38"/>
  <c r="W13" i="38"/>
  <c r="W53" i="38"/>
  <c r="W38" i="38"/>
  <c r="W15" i="38"/>
  <c r="W11" i="38"/>
  <c r="W5" i="38"/>
  <c r="W84" i="38"/>
  <c r="W72" i="38"/>
  <c r="W57" i="38"/>
  <c r="W17" i="38"/>
  <c r="W80" i="38"/>
  <c r="W65" i="38"/>
  <c r="W61" i="38"/>
  <c r="W46" i="38"/>
  <c r="W28" i="38"/>
  <c r="W22" i="38"/>
  <c r="W20" i="38"/>
  <c r="W6" i="38"/>
  <c r="W9" i="38"/>
  <c r="V14" i="38"/>
  <c r="W24" i="38"/>
  <c r="W32" i="38"/>
  <c r="W37" i="38"/>
  <c r="V59" i="38"/>
  <c r="X59" i="38" s="1"/>
  <c r="P64" i="38"/>
  <c r="W73" i="38"/>
  <c r="V77" i="38"/>
  <c r="X77" i="38" s="1"/>
  <c r="V117" i="38"/>
  <c r="X117" i="38" s="1"/>
  <c r="V118" i="38"/>
  <c r="X118" i="38" s="1"/>
  <c r="V141" i="38"/>
  <c r="X141" i="38" s="1"/>
  <c r="V185" i="38"/>
  <c r="X185" i="38" s="1"/>
  <c r="V192" i="38"/>
  <c r="X192" i="38" s="1"/>
  <c r="U354" i="38"/>
  <c r="N354" i="38"/>
  <c r="V16" i="38"/>
  <c r="W25" i="38"/>
  <c r="V34" i="38"/>
  <c r="X34" i="38" s="1"/>
  <c r="W45" i="38"/>
  <c r="V180" i="38"/>
  <c r="X180" i="38" s="1"/>
  <c r="V225" i="38"/>
  <c r="X225" i="38" s="1"/>
  <c r="V27" i="38"/>
  <c r="X27" i="38" s="1"/>
  <c r="W54" i="38"/>
  <c r="V62" i="38"/>
  <c r="X62" i="38" s="1"/>
  <c r="W68" i="38"/>
  <c r="V104" i="38"/>
  <c r="X104" i="38" s="1"/>
  <c r="W12" i="38"/>
  <c r="V18" i="38"/>
  <c r="V22" i="38"/>
  <c r="V30" i="38"/>
  <c r="X30" i="38" s="1"/>
  <c r="V70" i="38"/>
  <c r="X70" i="38" s="1"/>
  <c r="V217" i="38"/>
  <c r="X217" i="38" s="1"/>
  <c r="V248" i="38"/>
  <c r="X248" i="38" s="1"/>
  <c r="V258" i="38"/>
  <c r="X258" i="38" s="1"/>
  <c r="M48" i="60"/>
  <c r="Q10" i="60" s="1"/>
  <c r="N242" i="1"/>
  <c r="O242" i="1" s="1"/>
  <c r="P16" i="38"/>
  <c r="W30" i="38"/>
  <c r="V58" i="38"/>
  <c r="X58" i="38" s="1"/>
  <c r="V94" i="38"/>
  <c r="X94" i="38" s="1"/>
  <c r="V101" i="38"/>
  <c r="X101" i="38" s="1"/>
  <c r="P155" i="38"/>
  <c r="V197" i="38"/>
  <c r="X197" i="38" s="1"/>
  <c r="V213" i="38"/>
  <c r="X213" i="38" s="1"/>
  <c r="F254" i="1"/>
  <c r="V10" i="38"/>
  <c r="W14" i="38"/>
  <c r="V25" i="38"/>
  <c r="V38" i="38"/>
  <c r="X38" i="38" s="1"/>
  <c r="W44" i="38"/>
  <c r="V45" i="38"/>
  <c r="X45" i="38" s="1"/>
  <c r="P47" i="38"/>
  <c r="V67" i="38"/>
  <c r="X67" i="38" s="1"/>
  <c r="W77" i="38"/>
  <c r="V89" i="38"/>
  <c r="X89" i="38" s="1"/>
  <c r="V96" i="38"/>
  <c r="X96" i="38" s="1"/>
  <c r="P98" i="38"/>
  <c r="V120" i="38"/>
  <c r="X120" i="38" s="1"/>
  <c r="V122" i="38"/>
  <c r="X122" i="38" s="1"/>
  <c r="V130" i="38"/>
  <c r="X130" i="38" s="1"/>
  <c r="V152" i="38"/>
  <c r="X152" i="38" s="1"/>
  <c r="V166" i="38"/>
  <c r="X166" i="38" s="1"/>
  <c r="V198" i="38"/>
  <c r="X198" i="38" s="1"/>
  <c r="V214" i="38"/>
  <c r="X214" i="38" s="1"/>
  <c r="P234" i="38"/>
  <c r="P154" i="38"/>
  <c r="P235" i="38"/>
  <c r="U255" i="38"/>
  <c r="N255" i="38"/>
  <c r="U306" i="38"/>
  <c r="N306" i="38"/>
  <c r="P276" i="38"/>
  <c r="U232" i="38"/>
  <c r="N232" i="38"/>
  <c r="N237" i="38"/>
  <c r="U237" i="38"/>
  <c r="U283" i="38"/>
  <c r="N283" i="38"/>
  <c r="P179" i="38"/>
  <c r="M236" i="38"/>
  <c r="S236" i="38"/>
  <c r="K237" i="38"/>
  <c r="L237" i="38" s="1"/>
  <c r="P237" i="38" s="1"/>
  <c r="K236" i="38"/>
  <c r="L236" i="38" s="1"/>
  <c r="P236" i="38" s="1"/>
  <c r="N300" i="38"/>
  <c r="N330" i="38"/>
  <c r="U330" i="38"/>
  <c r="K228" i="38"/>
  <c r="L228" i="38" s="1"/>
  <c r="P228" i="38" s="1"/>
  <c r="S227" i="38"/>
  <c r="M227" i="38"/>
  <c r="N280" i="38"/>
  <c r="U280" i="38"/>
  <c r="U203" i="38"/>
  <c r="N203" i="38"/>
  <c r="U211" i="38"/>
  <c r="N211" i="38"/>
  <c r="U219" i="38"/>
  <c r="N219" i="38"/>
  <c r="U242" i="38"/>
  <c r="N242" i="38"/>
  <c r="U266" i="38"/>
  <c r="N266" i="38"/>
  <c r="U275" i="38"/>
  <c r="N275" i="38"/>
  <c r="N200" i="38"/>
  <c r="N208" i="38"/>
  <c r="N216" i="38"/>
  <c r="N224" i="38"/>
  <c r="N234" i="38"/>
  <c r="U239" i="38"/>
  <c r="N239" i="38"/>
  <c r="P246" i="38"/>
  <c r="K252" i="38"/>
  <c r="L252" i="38" s="1"/>
  <c r="P252" i="38" s="1"/>
  <c r="K253" i="38"/>
  <c r="L253" i="38" s="1"/>
  <c r="P253" i="38" s="1"/>
  <c r="N310" i="38"/>
  <c r="U310" i="38"/>
  <c r="U282" i="38"/>
  <c r="N282" i="38"/>
  <c r="U288" i="38"/>
  <c r="N288" i="38"/>
  <c r="M37" i="65"/>
  <c r="Q10" i="65" s="1"/>
  <c r="U231" i="38"/>
  <c r="N231" i="38"/>
  <c r="U257" i="38"/>
  <c r="N257" i="38"/>
  <c r="U301" i="38"/>
  <c r="N301" i="38"/>
  <c r="M233" i="38"/>
  <c r="U286" i="38"/>
  <c r="U308" i="38"/>
  <c r="U315" i="38"/>
  <c r="P344" i="38"/>
  <c r="N206" i="38"/>
  <c r="N214" i="38"/>
  <c r="N222" i="38"/>
  <c r="N246" i="38"/>
  <c r="U246" i="38"/>
  <c r="U274" i="38"/>
  <c r="N274" i="38"/>
  <c r="N276" i="38"/>
  <c r="P284" i="38"/>
  <c r="N302" i="38"/>
  <c r="U302" i="38"/>
  <c r="N309" i="38"/>
  <c r="U333" i="38"/>
  <c r="N333" i="38"/>
  <c r="N343" i="38"/>
  <c r="U343" i="38"/>
  <c r="P345" i="38"/>
  <c r="N253" i="38"/>
  <c r="U253" i="38"/>
  <c r="U317" i="38"/>
  <c r="N317" i="38"/>
  <c r="P354" i="38"/>
  <c r="F22" i="17"/>
  <c r="U262" i="38"/>
  <c r="U270" i="38"/>
  <c r="U278" i="38"/>
  <c r="U289" i="38"/>
  <c r="U334" i="38"/>
  <c r="N334" i="38"/>
  <c r="P335" i="38"/>
  <c r="P341" i="38"/>
  <c r="N293" i="38"/>
  <c r="U341" i="38"/>
  <c r="N341" i="38"/>
  <c r="U347" i="38"/>
  <c r="K57" i="33"/>
  <c r="U297" i="38"/>
  <c r="U305" i="38"/>
  <c r="U313" i="38"/>
  <c r="U349" i="38"/>
  <c r="N349" i="38"/>
  <c r="K450" i="17"/>
  <c r="F99" i="34"/>
  <c r="F120" i="45"/>
  <c r="F85" i="53"/>
  <c r="F57" i="33"/>
  <c r="Q2" i="56"/>
  <c r="F50" i="15"/>
  <c r="K64" i="71"/>
  <c r="K85" i="3"/>
  <c r="F18" i="53"/>
  <c r="K155" i="49"/>
  <c r="M43" i="48"/>
  <c r="Q10" i="48" s="1"/>
  <c r="Q2" i="70"/>
  <c r="Q5" i="70" s="1"/>
  <c r="N352" i="38"/>
  <c r="P360" i="38"/>
  <c r="F56" i="13"/>
  <c r="F49" i="20"/>
  <c r="F153" i="46"/>
  <c r="F51" i="24"/>
  <c r="M101" i="43"/>
  <c r="Q10" i="43" s="1"/>
  <c r="F266" i="51"/>
  <c r="K266" i="51"/>
  <c r="Q2" i="44"/>
  <c r="Q3" i="44" s="1"/>
  <c r="Q6" i="44" s="1"/>
  <c r="Q2" i="32"/>
  <c r="Q8" i="32" s="1"/>
  <c r="F44" i="26"/>
  <c r="K44" i="26"/>
  <c r="Q2" i="71"/>
  <c r="M104" i="49"/>
  <c r="Q2" i="25"/>
  <c r="J102" i="74" l="1"/>
  <c r="J103" i="74"/>
  <c r="W1034" i="38"/>
  <c r="Y1034" i="38" s="1"/>
  <c r="W1035" i="38"/>
  <c r="Y1035" i="38" s="1"/>
  <c r="W1032" i="38"/>
  <c r="Y1032" i="38" s="1"/>
  <c r="W1033" i="38"/>
  <c r="Y1033" i="38" s="1"/>
  <c r="W1031" i="38"/>
  <c r="Y1031" i="38" s="1"/>
  <c r="W1030" i="38"/>
  <c r="Y1030" i="38" s="1"/>
  <c r="J100" i="74"/>
  <c r="J101" i="74"/>
  <c r="W1029" i="38"/>
  <c r="Y1029" i="38" s="1"/>
  <c r="W1027" i="38"/>
  <c r="Y1027" i="38" s="1"/>
  <c r="W1028" i="38"/>
  <c r="Y1028" i="38" s="1"/>
  <c r="W1026" i="38"/>
  <c r="Y1026" i="38" s="1"/>
  <c r="W1024" i="38"/>
  <c r="Y1024" i="38" s="1"/>
  <c r="W1025" i="38"/>
  <c r="Y1025" i="38" s="1"/>
  <c r="W1022" i="38"/>
  <c r="Y1022" i="38" s="1"/>
  <c r="W1023" i="38"/>
  <c r="Y1023" i="38" s="1"/>
  <c r="W1021" i="38"/>
  <c r="Y1021" i="38" s="1"/>
  <c r="W1019" i="38"/>
  <c r="Y1019" i="38" s="1"/>
  <c r="W1020" i="38"/>
  <c r="Y1020" i="38" s="1"/>
  <c r="J98" i="74"/>
  <c r="J99" i="74"/>
  <c r="W1017" i="38"/>
  <c r="Y1017" i="38" s="1"/>
  <c r="W1018" i="38"/>
  <c r="Y1018" i="38" s="1"/>
  <c r="W1015" i="38"/>
  <c r="Y1015" i="38" s="1"/>
  <c r="N141" i="1"/>
  <c r="O141" i="1" s="1"/>
  <c r="W1016" i="38"/>
  <c r="Y1016" i="38" s="1"/>
  <c r="J96" i="74"/>
  <c r="J97" i="74"/>
  <c r="W1013" i="38"/>
  <c r="Y1013" i="38" s="1"/>
  <c r="W1014" i="38"/>
  <c r="Y1014" i="38" s="1"/>
  <c r="W1012" i="38"/>
  <c r="Y1012" i="38" s="1"/>
  <c r="W1010" i="38"/>
  <c r="Y1010" i="38" s="1"/>
  <c r="W1011" i="38"/>
  <c r="Y1011" i="38" s="1"/>
  <c r="W1009" i="38"/>
  <c r="Y1009" i="38" s="1"/>
  <c r="W1007" i="38"/>
  <c r="Y1007" i="38" s="1"/>
  <c r="W1008" i="38"/>
  <c r="Y1008" i="38" s="1"/>
  <c r="W1006" i="38"/>
  <c r="Y1006" i="38" s="1"/>
  <c r="W1005" i="38"/>
  <c r="Y1005" i="38" s="1"/>
  <c r="J94" i="74"/>
  <c r="J95" i="74"/>
  <c r="W1003" i="38"/>
  <c r="Y1003" i="38" s="1"/>
  <c r="W1004" i="38"/>
  <c r="Y1004" i="38" s="1"/>
  <c r="W1001" i="38"/>
  <c r="Y1001" i="38" s="1"/>
  <c r="W1002" i="38"/>
  <c r="Y1002" i="38" s="1"/>
  <c r="W999" i="38"/>
  <c r="Y999" i="38" s="1"/>
  <c r="W1000" i="38"/>
  <c r="Y1000" i="38" s="1"/>
  <c r="W998" i="38"/>
  <c r="Y998" i="38" s="1"/>
  <c r="W997" i="38"/>
  <c r="Y997" i="38" s="1"/>
  <c r="W995" i="38"/>
  <c r="Y995" i="38" s="1"/>
  <c r="W996" i="38"/>
  <c r="Y996" i="38" s="1"/>
  <c r="W993" i="38"/>
  <c r="Y993" i="38" s="1"/>
  <c r="W994" i="38"/>
  <c r="Y994" i="38" s="1"/>
  <c r="W992" i="38"/>
  <c r="Y992" i="38" s="1"/>
  <c r="W990" i="38"/>
  <c r="Y990" i="38" s="1"/>
  <c r="W991" i="38"/>
  <c r="Y991" i="38" s="1"/>
  <c r="W989" i="38"/>
  <c r="Y989" i="38" s="1"/>
  <c r="W987" i="38"/>
  <c r="Y987" i="38" s="1"/>
  <c r="W988" i="38"/>
  <c r="Y988" i="38" s="1"/>
  <c r="J92" i="74"/>
  <c r="J93" i="74"/>
  <c r="W985" i="38"/>
  <c r="Y985" i="38" s="1"/>
  <c r="W986" i="38"/>
  <c r="Y986" i="38" s="1"/>
  <c r="W984" i="38"/>
  <c r="Y984" i="38" s="1"/>
  <c r="W982" i="38"/>
  <c r="Y982" i="38" s="1"/>
  <c r="W983" i="38"/>
  <c r="Y983" i="38" s="1"/>
  <c r="W981" i="38"/>
  <c r="Y981" i="38" s="1"/>
  <c r="W979" i="38"/>
  <c r="Y979" i="38" s="1"/>
  <c r="W980" i="38"/>
  <c r="Y980" i="38" s="1"/>
  <c r="W978" i="38"/>
  <c r="Y978" i="38" s="1"/>
  <c r="W976" i="38"/>
  <c r="Y976" i="38" s="1"/>
  <c r="W977" i="38"/>
  <c r="Y977" i="38" s="1"/>
  <c r="W973" i="38"/>
  <c r="Y973" i="38" s="1"/>
  <c r="W974" i="38"/>
  <c r="Y974" i="38" s="1"/>
  <c r="W975" i="38"/>
  <c r="Y975" i="38" s="1"/>
  <c r="W971" i="38"/>
  <c r="Y971" i="38" s="1"/>
  <c r="W972" i="38"/>
  <c r="Y972" i="38" s="1"/>
  <c r="W970" i="38"/>
  <c r="Y970" i="38" s="1"/>
  <c r="W968" i="38"/>
  <c r="Y968" i="38" s="1"/>
  <c r="W969" i="38"/>
  <c r="Y969" i="38" s="1"/>
  <c r="W966" i="38"/>
  <c r="Y966" i="38" s="1"/>
  <c r="W967" i="38"/>
  <c r="Y967" i="38" s="1"/>
  <c r="W965" i="38"/>
  <c r="Y965" i="38" s="1"/>
  <c r="J90" i="74"/>
  <c r="J91" i="74"/>
  <c r="W963" i="38"/>
  <c r="Y963" i="38" s="1"/>
  <c r="W964" i="38"/>
  <c r="Y964" i="38" s="1"/>
  <c r="W962" i="38"/>
  <c r="Y962" i="38" s="1"/>
  <c r="W960" i="38"/>
  <c r="Y960" i="38" s="1"/>
  <c r="W961" i="38"/>
  <c r="Y961" i="38" s="1"/>
  <c r="J88" i="74"/>
  <c r="J89" i="74"/>
  <c r="W958" i="38"/>
  <c r="Y958" i="38" s="1"/>
  <c r="W959" i="38"/>
  <c r="Y959" i="38" s="1"/>
  <c r="W956" i="38"/>
  <c r="Y956" i="38" s="1"/>
  <c r="W957" i="38"/>
  <c r="Y957" i="38" s="1"/>
  <c r="W954" i="38"/>
  <c r="Y954" i="38" s="1"/>
  <c r="W955" i="38"/>
  <c r="Y955" i="38" s="1"/>
  <c r="W953" i="38"/>
  <c r="Y953" i="38" s="1"/>
  <c r="W952" i="38"/>
  <c r="Y952" i="38" s="1"/>
  <c r="W950" i="38"/>
  <c r="Y950" i="38" s="1"/>
  <c r="W951" i="38"/>
  <c r="Y951" i="38" s="1"/>
  <c r="W949" i="38"/>
  <c r="Y949" i="38" s="1"/>
  <c r="W947" i="38"/>
  <c r="Y947" i="38" s="1"/>
  <c r="W948" i="38"/>
  <c r="Y948" i="38" s="1"/>
  <c r="W946" i="38"/>
  <c r="Y946" i="38" s="1"/>
  <c r="W943" i="38"/>
  <c r="Y943" i="38" s="1"/>
  <c r="W945" i="38"/>
  <c r="Y945" i="38" s="1"/>
  <c r="W944" i="38"/>
  <c r="Y944" i="38" s="1"/>
  <c r="W941" i="38"/>
  <c r="Y941" i="38" s="1"/>
  <c r="W942" i="38"/>
  <c r="Y942" i="38" s="1"/>
  <c r="W938" i="38"/>
  <c r="Y938" i="38" s="1"/>
  <c r="W940" i="38"/>
  <c r="Y940" i="38" s="1"/>
  <c r="W939" i="38"/>
  <c r="Y939" i="38" s="1"/>
  <c r="W937" i="38"/>
  <c r="Y937" i="38" s="1"/>
  <c r="W935" i="38"/>
  <c r="Y935" i="38" s="1"/>
  <c r="W936" i="38"/>
  <c r="Y936" i="38" s="1"/>
  <c r="W933" i="38"/>
  <c r="Y933" i="38" s="1"/>
  <c r="W934" i="38"/>
  <c r="Y934" i="38" s="1"/>
  <c r="W932" i="38"/>
  <c r="Y932" i="38" s="1"/>
  <c r="W930" i="38"/>
  <c r="Y930" i="38" s="1"/>
  <c r="W931" i="38"/>
  <c r="Y931" i="38" s="1"/>
  <c r="W929" i="38"/>
  <c r="Y929" i="38" s="1"/>
  <c r="W928" i="38"/>
  <c r="Y928" i="38" s="1"/>
  <c r="W927" i="38"/>
  <c r="Y927" i="38" s="1"/>
  <c r="W925" i="38"/>
  <c r="Y925" i="38" s="1"/>
  <c r="W926" i="38"/>
  <c r="Y926" i="38" s="1"/>
  <c r="W924" i="38"/>
  <c r="Y924" i="38" s="1"/>
  <c r="W923" i="38"/>
  <c r="Y923" i="38" s="1"/>
  <c r="J86" i="74"/>
  <c r="J87" i="74"/>
  <c r="W921" i="38"/>
  <c r="Y921" i="38" s="1"/>
  <c r="W922" i="38"/>
  <c r="Y922" i="38" s="1"/>
  <c r="W919" i="38"/>
  <c r="Y919" i="38" s="1"/>
  <c r="W920" i="38"/>
  <c r="Y920" i="38" s="1"/>
  <c r="J84" i="74"/>
  <c r="J85" i="74"/>
  <c r="W917" i="38"/>
  <c r="Y917" i="38" s="1"/>
  <c r="W918" i="38"/>
  <c r="Y918" i="38" s="1"/>
  <c r="W916" i="38"/>
  <c r="Y916" i="38" s="1"/>
  <c r="J82" i="74"/>
  <c r="J83" i="74"/>
  <c r="W914" i="38"/>
  <c r="Y914" i="38" s="1"/>
  <c r="W915" i="38"/>
  <c r="Y915" i="38" s="1"/>
  <c r="W912" i="38"/>
  <c r="Y912" i="38" s="1"/>
  <c r="W913" i="38"/>
  <c r="Y913" i="38" s="1"/>
  <c r="W909" i="38"/>
  <c r="Y909" i="38" s="1"/>
  <c r="W910" i="38"/>
  <c r="Y910" i="38" s="1"/>
  <c r="W911" i="38"/>
  <c r="Y911" i="38" s="1"/>
  <c r="W908" i="38"/>
  <c r="Y908" i="38" s="1"/>
  <c r="W907" i="38"/>
  <c r="Y907" i="38" s="1"/>
  <c r="W905" i="38"/>
  <c r="Y905" i="38" s="1"/>
  <c r="W906" i="38"/>
  <c r="Y906" i="38" s="1"/>
  <c r="J80" i="74"/>
  <c r="J81" i="74"/>
  <c r="W903" i="38"/>
  <c r="Y903" i="38" s="1"/>
  <c r="W904" i="38"/>
  <c r="Y904" i="38" s="1"/>
  <c r="W901" i="38"/>
  <c r="Y901" i="38" s="1"/>
  <c r="W902" i="38"/>
  <c r="Y902" i="38" s="1"/>
  <c r="W899" i="38"/>
  <c r="Y899" i="38" s="1"/>
  <c r="W900" i="38"/>
  <c r="Y900" i="38" s="1"/>
  <c r="W898" i="38"/>
  <c r="Y898" i="38" s="1"/>
  <c r="W896" i="38"/>
  <c r="Y896" i="38" s="1"/>
  <c r="W897" i="38"/>
  <c r="Y897" i="38" s="1"/>
  <c r="W895" i="38"/>
  <c r="Y895" i="38" s="1"/>
  <c r="J78" i="74"/>
  <c r="J79" i="74"/>
  <c r="W894" i="38"/>
  <c r="Y894" i="38" s="1"/>
  <c r="W892" i="38"/>
  <c r="Y892" i="38" s="1"/>
  <c r="W891" i="38"/>
  <c r="Y891" i="38" s="1"/>
  <c r="W893" i="38"/>
  <c r="Y893" i="38" s="1"/>
  <c r="W889" i="38"/>
  <c r="Y889" i="38" s="1"/>
  <c r="W890" i="38"/>
  <c r="Y890" i="38" s="1"/>
  <c r="W887" i="38"/>
  <c r="Y887" i="38" s="1"/>
  <c r="W888" i="38"/>
  <c r="Y888" i="38" s="1"/>
  <c r="W885" i="38"/>
  <c r="Y885" i="38" s="1"/>
  <c r="W886" i="38"/>
  <c r="Y886" i="38" s="1"/>
  <c r="J76" i="74"/>
  <c r="J77" i="74"/>
  <c r="W884" i="38"/>
  <c r="Y884" i="38" s="1"/>
  <c r="W882" i="38"/>
  <c r="Y882" i="38" s="1"/>
  <c r="W883" i="38"/>
  <c r="Y883" i="38" s="1"/>
  <c r="W879" i="38"/>
  <c r="Y879" i="38" s="1"/>
  <c r="W881" i="38"/>
  <c r="Y881" i="38" s="1"/>
  <c r="W880" i="38"/>
  <c r="Y880" i="38" s="1"/>
  <c r="W878" i="38"/>
  <c r="Y878" i="38" s="1"/>
  <c r="W876" i="38"/>
  <c r="Y876" i="38" s="1"/>
  <c r="W877" i="38"/>
  <c r="Y877" i="38" s="1"/>
  <c r="W873" i="38"/>
  <c r="Y873" i="38" s="1"/>
  <c r="W875" i="38"/>
  <c r="Y875" i="38" s="1"/>
  <c r="W874" i="38"/>
  <c r="Y874" i="38" s="1"/>
  <c r="J74" i="74"/>
  <c r="J75" i="74"/>
  <c r="W871" i="38"/>
  <c r="Y871" i="38" s="1"/>
  <c r="W872" i="38"/>
  <c r="Y872" i="38" s="1"/>
  <c r="W870" i="38"/>
  <c r="Y870" i="38" s="1"/>
  <c r="W867" i="38"/>
  <c r="Y867" i="38" s="1"/>
  <c r="W869" i="38"/>
  <c r="Y869" i="38" s="1"/>
  <c r="W868" i="38"/>
  <c r="Y868" i="38" s="1"/>
  <c r="W865" i="38"/>
  <c r="Y865" i="38" s="1"/>
  <c r="W866" i="38"/>
  <c r="Y866" i="38" s="1"/>
  <c r="W863" i="38"/>
  <c r="Y863" i="38" s="1"/>
  <c r="W864" i="38"/>
  <c r="Y864" i="38" s="1"/>
  <c r="W861" i="38"/>
  <c r="Y861" i="38" s="1"/>
  <c r="W862" i="38"/>
  <c r="Y862" i="38" s="1"/>
  <c r="W860" i="38"/>
  <c r="Y860" i="38" s="1"/>
  <c r="W859" i="38"/>
  <c r="Y859" i="38" s="1"/>
  <c r="W858" i="38"/>
  <c r="Y858" i="38" s="1"/>
  <c r="W857" i="38"/>
  <c r="Y857" i="38" s="1"/>
  <c r="W855" i="38"/>
  <c r="Y855" i="38" s="1"/>
  <c r="W856" i="38"/>
  <c r="Y856" i="38" s="1"/>
  <c r="W853" i="38"/>
  <c r="Y853" i="38" s="1"/>
  <c r="W854" i="38"/>
  <c r="Y854" i="38" s="1"/>
  <c r="W851" i="38"/>
  <c r="Y851" i="38" s="1"/>
  <c r="W852" i="38"/>
  <c r="Y852" i="38" s="1"/>
  <c r="W849" i="38"/>
  <c r="Y849" i="38" s="1"/>
  <c r="W850" i="38"/>
  <c r="Y850" i="38" s="1"/>
  <c r="W847" i="38"/>
  <c r="Y847" i="38" s="1"/>
  <c r="W848" i="38"/>
  <c r="Y848" i="38" s="1"/>
  <c r="W846" i="38"/>
  <c r="Y846" i="38" s="1"/>
  <c r="W845" i="38"/>
  <c r="Y845" i="38" s="1"/>
  <c r="W843" i="38"/>
  <c r="Y843" i="38" s="1"/>
  <c r="W844" i="38"/>
  <c r="Y844" i="38" s="1"/>
  <c r="W841" i="38"/>
  <c r="Y841" i="38" s="1"/>
  <c r="W842" i="38"/>
  <c r="Y842" i="38" s="1"/>
  <c r="W839" i="38"/>
  <c r="Y839" i="38" s="1"/>
  <c r="W840" i="38"/>
  <c r="Y840" i="38" s="1"/>
  <c r="J95" i="43"/>
  <c r="J96" i="43"/>
  <c r="W837" i="38"/>
  <c r="Y837" i="38" s="1"/>
  <c r="W838" i="38"/>
  <c r="Y838" i="38" s="1"/>
  <c r="W836" i="38"/>
  <c r="Y836" i="38" s="1"/>
  <c r="W832" i="38"/>
  <c r="Y832" i="38" s="1"/>
  <c r="W835" i="38"/>
  <c r="Y835" i="38" s="1"/>
  <c r="W834" i="38"/>
  <c r="Y834" i="38" s="1"/>
  <c r="W833" i="38"/>
  <c r="Y833" i="38" s="1"/>
  <c r="W829" i="38"/>
  <c r="Y829" i="38" s="1"/>
  <c r="W831" i="38"/>
  <c r="Y831" i="38" s="1"/>
  <c r="W827" i="38"/>
  <c r="Y827" i="38" s="1"/>
  <c r="W828" i="38"/>
  <c r="Y828" i="38" s="1"/>
  <c r="W830" i="38"/>
  <c r="Y830" i="38" s="1"/>
  <c r="W825" i="38"/>
  <c r="Y825" i="38" s="1"/>
  <c r="W826" i="38"/>
  <c r="Y826" i="38" s="1"/>
  <c r="W822" i="38"/>
  <c r="Y822" i="38" s="1"/>
  <c r="W823" i="38"/>
  <c r="Y823" i="38" s="1"/>
  <c r="W824" i="38"/>
  <c r="Y824" i="38" s="1"/>
  <c r="J73" i="74"/>
  <c r="J72" i="74"/>
  <c r="J71" i="74"/>
  <c r="J70" i="74"/>
  <c r="W820" i="38"/>
  <c r="Y820" i="38" s="1"/>
  <c r="W821" i="38"/>
  <c r="Y821" i="38" s="1"/>
  <c r="W818" i="38"/>
  <c r="Y818" i="38" s="1"/>
  <c r="W819" i="38"/>
  <c r="Y819" i="38" s="1"/>
  <c r="W817" i="38"/>
  <c r="Y817" i="38" s="1"/>
  <c r="W815" i="38"/>
  <c r="Y815" i="38" s="1"/>
  <c r="W816" i="38"/>
  <c r="Y816" i="38" s="1"/>
  <c r="J93" i="43"/>
  <c r="J94" i="43"/>
  <c r="W813" i="38"/>
  <c r="Y813" i="38" s="1"/>
  <c r="W814" i="38"/>
  <c r="Y814" i="38" s="1"/>
  <c r="W812" i="38"/>
  <c r="Y812" i="38" s="1"/>
  <c r="W811" i="38"/>
  <c r="Y811" i="38" s="1"/>
  <c r="W810" i="38"/>
  <c r="Y810" i="38" s="1"/>
  <c r="W808" i="38"/>
  <c r="Y808" i="38" s="1"/>
  <c r="W809" i="38"/>
  <c r="Y809" i="38" s="1"/>
  <c r="W806" i="38"/>
  <c r="Y806" i="38" s="1"/>
  <c r="W807" i="38"/>
  <c r="Y807" i="38" s="1"/>
  <c r="W803" i="38"/>
  <c r="Y803" i="38" s="1"/>
  <c r="W805" i="38"/>
  <c r="Y805" i="38" s="1"/>
  <c r="W804" i="38"/>
  <c r="Y804" i="38" s="1"/>
  <c r="W801" i="38"/>
  <c r="Y801" i="38" s="1"/>
  <c r="W802" i="38"/>
  <c r="Y802" i="38" s="1"/>
  <c r="W799" i="38"/>
  <c r="Y799" i="38" s="1"/>
  <c r="W800" i="38"/>
  <c r="Y800" i="38" s="1"/>
  <c r="W797" i="38"/>
  <c r="Y797" i="38" s="1"/>
  <c r="W798" i="38"/>
  <c r="Y798" i="38" s="1"/>
  <c r="J69" i="74"/>
  <c r="W795" i="38"/>
  <c r="Y795" i="38" s="1"/>
  <c r="W796" i="38"/>
  <c r="Y796" i="38" s="1"/>
  <c r="W794" i="38"/>
  <c r="Y794" i="38" s="1"/>
  <c r="W793" i="38"/>
  <c r="Y793" i="38" s="1"/>
  <c r="W792" i="38"/>
  <c r="Y792" i="38" s="1"/>
  <c r="W791" i="38"/>
  <c r="Y791" i="38" s="1"/>
  <c r="J67" i="74"/>
  <c r="J68" i="74"/>
  <c r="W790" i="38"/>
  <c r="Y790" i="38" s="1"/>
  <c r="Y72" i="38"/>
  <c r="W788" i="38"/>
  <c r="Y788" i="38" s="1"/>
  <c r="W789" i="38"/>
  <c r="Y789" i="38" s="1"/>
  <c r="W787" i="38"/>
  <c r="Y787" i="38" s="1"/>
  <c r="W786" i="38"/>
  <c r="Y786" i="38" s="1"/>
  <c r="J92" i="43"/>
  <c r="J91" i="43"/>
  <c r="J90" i="43"/>
  <c r="J89" i="43"/>
  <c r="J88" i="43"/>
  <c r="J87" i="43"/>
  <c r="J86" i="43"/>
  <c r="J85" i="43"/>
  <c r="J84" i="43"/>
  <c r="J83" i="43"/>
  <c r="J82" i="43"/>
  <c r="W785" i="38"/>
  <c r="Y785" i="38" s="1"/>
  <c r="W783" i="38"/>
  <c r="Y783" i="38" s="1"/>
  <c r="W784" i="38"/>
  <c r="Y784" i="38" s="1"/>
  <c r="W781" i="38"/>
  <c r="Y781" i="38" s="1"/>
  <c r="W782" i="38"/>
  <c r="Y782" i="38" s="1"/>
  <c r="W780" i="38"/>
  <c r="Y780" i="38" s="1"/>
  <c r="J65" i="74"/>
  <c r="J66" i="74"/>
  <c r="W778" i="38"/>
  <c r="Y778" i="38" s="1"/>
  <c r="W779" i="38"/>
  <c r="Y779" i="38" s="1"/>
  <c r="W777" i="38"/>
  <c r="Y777" i="38" s="1"/>
  <c r="W775" i="38"/>
  <c r="Y775" i="38" s="1"/>
  <c r="W776" i="38"/>
  <c r="Y776" i="38" s="1"/>
  <c r="W774" i="38"/>
  <c r="Y774" i="38" s="1"/>
  <c r="W772" i="38"/>
  <c r="Y772" i="38" s="1"/>
  <c r="W773" i="38"/>
  <c r="Y773" i="38" s="1"/>
  <c r="W771" i="38"/>
  <c r="Y771" i="38" s="1"/>
  <c r="J64" i="74"/>
  <c r="W769" i="38"/>
  <c r="Y769" i="38" s="1"/>
  <c r="W770" i="38"/>
  <c r="Y770" i="38" s="1"/>
  <c r="W768" i="38"/>
  <c r="Y768" i="38" s="1"/>
  <c r="W766" i="38"/>
  <c r="Y766" i="38" s="1"/>
  <c r="W767" i="38"/>
  <c r="Y767" i="38" s="1"/>
  <c r="J62" i="74"/>
  <c r="J63" i="74"/>
  <c r="W764" i="38"/>
  <c r="Y764" i="38" s="1"/>
  <c r="W765" i="38"/>
  <c r="Y765" i="38" s="1"/>
  <c r="W763" i="38"/>
  <c r="Y763" i="38" s="1"/>
  <c r="W762" i="38"/>
  <c r="Y762" i="38" s="1"/>
  <c r="W760" i="38"/>
  <c r="Y760" i="38" s="1"/>
  <c r="W761" i="38"/>
  <c r="Y761" i="38" s="1"/>
  <c r="W758" i="38"/>
  <c r="Y758" i="38" s="1"/>
  <c r="W759" i="38"/>
  <c r="Y759" i="38" s="1"/>
  <c r="W754" i="38"/>
  <c r="Y754" i="38" s="1"/>
  <c r="W755" i="38"/>
  <c r="Y755" i="38" s="1"/>
  <c r="W757" i="38"/>
  <c r="Y757" i="38" s="1"/>
  <c r="W756" i="38"/>
  <c r="Y756" i="38" s="1"/>
  <c r="W753" i="38"/>
  <c r="Y753" i="38" s="1"/>
  <c r="W752" i="38"/>
  <c r="Y752" i="38" s="1"/>
  <c r="W750" i="38"/>
  <c r="Y750" i="38" s="1"/>
  <c r="W751" i="38"/>
  <c r="Y751" i="38" s="1"/>
  <c r="W748" i="38"/>
  <c r="Y748" i="38" s="1"/>
  <c r="W749" i="38"/>
  <c r="Y749" i="38" s="1"/>
  <c r="W746" i="38"/>
  <c r="Y746" i="38" s="1"/>
  <c r="W747" i="38"/>
  <c r="Y747" i="38" s="1"/>
  <c r="W744" i="38"/>
  <c r="Y744" i="38" s="1"/>
  <c r="W745" i="38"/>
  <c r="Y745" i="38" s="1"/>
  <c r="W743" i="38"/>
  <c r="Y743" i="38" s="1"/>
  <c r="W741" i="38"/>
  <c r="Y741" i="38" s="1"/>
  <c r="W742" i="38"/>
  <c r="Y742" i="38" s="1"/>
  <c r="W739" i="38"/>
  <c r="Y739" i="38" s="1"/>
  <c r="W740" i="38"/>
  <c r="Y740" i="38" s="1"/>
  <c r="W738" i="38"/>
  <c r="Y738" i="38" s="1"/>
  <c r="W737" i="38"/>
  <c r="Y737" i="38" s="1"/>
  <c r="W736" i="38"/>
  <c r="Y736" i="38" s="1"/>
  <c r="J60" i="74"/>
  <c r="J61" i="74"/>
  <c r="W735" i="38"/>
  <c r="Y735" i="38" s="1"/>
  <c r="W734" i="38"/>
  <c r="Y734" i="38" s="1"/>
  <c r="W733" i="38"/>
  <c r="Y733" i="38" s="1"/>
  <c r="W731" i="38"/>
  <c r="Y731" i="38" s="1"/>
  <c r="W732" i="38"/>
  <c r="Y732" i="38" s="1"/>
  <c r="W729" i="38"/>
  <c r="Y729" i="38" s="1"/>
  <c r="W730" i="38"/>
  <c r="Y730" i="38" s="1"/>
  <c r="W727" i="38"/>
  <c r="Y727" i="38" s="1"/>
  <c r="W728" i="38"/>
  <c r="Y728" i="38" s="1"/>
  <c r="J58" i="74"/>
  <c r="J59" i="74"/>
  <c r="W726" i="38"/>
  <c r="Y726" i="38" s="1"/>
  <c r="J81" i="43"/>
  <c r="J80" i="43"/>
  <c r="J79" i="43"/>
  <c r="J78" i="43"/>
  <c r="J77" i="43"/>
  <c r="J76" i="43"/>
  <c r="J75" i="43"/>
  <c r="J74" i="43"/>
  <c r="J73" i="43"/>
  <c r="J72" i="43"/>
  <c r="J71" i="43"/>
  <c r="J70" i="43"/>
  <c r="J69" i="43"/>
  <c r="J68" i="43"/>
  <c r="J67" i="43"/>
  <c r="J66" i="43"/>
  <c r="W724" i="38"/>
  <c r="Y724" i="38" s="1"/>
  <c r="W725" i="38"/>
  <c r="Y725" i="38" s="1"/>
  <c r="W723" i="38"/>
  <c r="Y723" i="38" s="1"/>
  <c r="W722" i="38"/>
  <c r="Y722" i="38" s="1"/>
  <c r="W720" i="38"/>
  <c r="Y720" i="38" s="1"/>
  <c r="J57" i="74"/>
  <c r="J56" i="74"/>
  <c r="J55" i="74"/>
  <c r="J54" i="74"/>
  <c r="J53" i="74"/>
  <c r="J52" i="74"/>
  <c r="J51" i="74"/>
  <c r="J50" i="74"/>
  <c r="J49" i="74"/>
  <c r="J48" i="74"/>
  <c r="J47" i="74"/>
  <c r="J46" i="74"/>
  <c r="J45" i="74"/>
  <c r="J44" i="74"/>
  <c r="J43" i="74"/>
  <c r="J42" i="74"/>
  <c r="J41" i="74"/>
  <c r="J40" i="74"/>
  <c r="J39" i="74"/>
  <c r="J38" i="74"/>
  <c r="W721" i="38"/>
  <c r="Y721" i="38" s="1"/>
  <c r="W719" i="38"/>
  <c r="Y719" i="38" s="1"/>
  <c r="W718" i="38"/>
  <c r="Y718" i="38" s="1"/>
  <c r="W716" i="38"/>
  <c r="Y716" i="38" s="1"/>
  <c r="W717" i="38"/>
  <c r="Y717" i="38" s="1"/>
  <c r="W714" i="38"/>
  <c r="Y714" i="38" s="1"/>
  <c r="W715" i="38"/>
  <c r="Y715" i="38" s="1"/>
  <c r="W713" i="38"/>
  <c r="Y713" i="38" s="1"/>
  <c r="W711" i="38"/>
  <c r="Y711" i="38" s="1"/>
  <c r="W712" i="38"/>
  <c r="Y712" i="38" s="1"/>
  <c r="W709" i="38"/>
  <c r="Y709" i="38" s="1"/>
  <c r="W710" i="38"/>
  <c r="Y710" i="38" s="1"/>
  <c r="W707" i="38"/>
  <c r="Y707" i="38" s="1"/>
  <c r="W708" i="38"/>
  <c r="Y708" i="38" s="1"/>
  <c r="W706" i="38"/>
  <c r="Y706" i="38" s="1"/>
  <c r="W705" i="38"/>
  <c r="Y705" i="38" s="1"/>
  <c r="W704" i="38"/>
  <c r="Y704" i="38" s="1"/>
  <c r="W703" i="38"/>
  <c r="Y703" i="38" s="1"/>
  <c r="W701" i="38"/>
  <c r="Y701" i="38" s="1"/>
  <c r="W702" i="38"/>
  <c r="Y702" i="38" s="1"/>
  <c r="W700" i="38"/>
  <c r="Y700" i="38" s="1"/>
  <c r="W699" i="38"/>
  <c r="Y699" i="38" s="1"/>
  <c r="W698" i="38"/>
  <c r="Y698" i="38" s="1"/>
  <c r="W695" i="38"/>
  <c r="Y695" i="38" s="1"/>
  <c r="W697" i="38"/>
  <c r="Y697" i="38" s="1"/>
  <c r="W696" i="38"/>
  <c r="Y696" i="38" s="1"/>
  <c r="W693" i="38"/>
  <c r="Y693" i="38" s="1"/>
  <c r="W694" i="38"/>
  <c r="Y694" i="38" s="1"/>
  <c r="W691" i="38"/>
  <c r="Y691" i="38" s="1"/>
  <c r="W692" i="38"/>
  <c r="Y692" i="38" s="1"/>
  <c r="W690" i="38"/>
  <c r="Y690" i="38" s="1"/>
  <c r="W689" i="38"/>
  <c r="Y689" i="38" s="1"/>
  <c r="W688" i="38"/>
  <c r="Y688" i="38" s="1"/>
  <c r="W686" i="38"/>
  <c r="Y686" i="38" s="1"/>
  <c r="W687" i="38"/>
  <c r="Y687" i="38" s="1"/>
  <c r="W684" i="38"/>
  <c r="Y684" i="38" s="1"/>
  <c r="W685" i="38"/>
  <c r="Y685" i="38" s="1"/>
  <c r="Y82" i="38"/>
  <c r="W683" i="38"/>
  <c r="Y683" i="38" s="1"/>
  <c r="Q8" i="31"/>
  <c r="Q7" i="31" s="1"/>
  <c r="W682" i="38"/>
  <c r="Y682" i="38" s="1"/>
  <c r="W679" i="38"/>
  <c r="Y679" i="38" s="1"/>
  <c r="W681" i="38"/>
  <c r="Y681" i="38" s="1"/>
  <c r="W680" i="38"/>
  <c r="Y680" i="38" s="1"/>
  <c r="W677" i="38"/>
  <c r="Y677" i="38" s="1"/>
  <c r="W678" i="38"/>
  <c r="Y678" i="38" s="1"/>
  <c r="W676" i="38"/>
  <c r="Y676" i="38" s="1"/>
  <c r="W675" i="38"/>
  <c r="Y675" i="38" s="1"/>
  <c r="W674" i="38"/>
  <c r="Y674" i="38" s="1"/>
  <c r="W673" i="38"/>
  <c r="Y673" i="38" s="1"/>
  <c r="W671" i="38"/>
  <c r="Y671" i="38" s="1"/>
  <c r="W672" i="38"/>
  <c r="Y672" i="38" s="1"/>
  <c r="W670" i="38"/>
  <c r="Y670" i="38" s="1"/>
  <c r="W669" i="38"/>
  <c r="Y669" i="38" s="1"/>
  <c r="W668" i="38"/>
  <c r="Y668" i="38" s="1"/>
  <c r="W666" i="38"/>
  <c r="Y666" i="38" s="1"/>
  <c r="W667" i="38"/>
  <c r="Y667" i="38" s="1"/>
  <c r="W665" i="38"/>
  <c r="Y665" i="38" s="1"/>
  <c r="W664" i="38"/>
  <c r="Y664" i="38" s="1"/>
  <c r="W663" i="38"/>
  <c r="Y663" i="38" s="1"/>
  <c r="W661" i="38"/>
  <c r="Y661" i="38" s="1"/>
  <c r="W662" i="38"/>
  <c r="Y662" i="38" s="1"/>
  <c r="W660" i="38"/>
  <c r="Y660" i="38" s="1"/>
  <c r="W659" i="38"/>
  <c r="Y659" i="38" s="1"/>
  <c r="W658" i="38"/>
  <c r="Y658" i="38" s="1"/>
  <c r="W656" i="38"/>
  <c r="Y656" i="38" s="1"/>
  <c r="W657" i="38"/>
  <c r="Y657" i="38" s="1"/>
  <c r="W655" i="38"/>
  <c r="Y655" i="38" s="1"/>
  <c r="W654" i="38"/>
  <c r="Y654" i="38" s="1"/>
  <c r="Q5" i="51"/>
  <c r="W642" i="38"/>
  <c r="Y642" i="38" s="1"/>
  <c r="W653" i="38"/>
  <c r="Y653" i="38" s="1"/>
  <c r="W647" i="38"/>
  <c r="Y647" i="38" s="1"/>
  <c r="W648" i="38"/>
  <c r="Y648" i="38" s="1"/>
  <c r="W649" i="38"/>
  <c r="Y649" i="38" s="1"/>
  <c r="W650" i="38"/>
  <c r="Y650" i="38" s="1"/>
  <c r="W651" i="38"/>
  <c r="Y651" i="38" s="1"/>
  <c r="W652" i="38"/>
  <c r="Y652" i="38" s="1"/>
  <c r="W644" i="38"/>
  <c r="Y644" i="38" s="1"/>
  <c r="W645" i="38"/>
  <c r="Y645" i="38" s="1"/>
  <c r="W638" i="38"/>
  <c r="Y638" i="38" s="1"/>
  <c r="W646" i="38"/>
  <c r="Y646" i="38" s="1"/>
  <c r="W639" i="38"/>
  <c r="Y639" i="38" s="1"/>
  <c r="W640" i="38"/>
  <c r="Y640" i="38" s="1"/>
  <c r="W641" i="38"/>
  <c r="Y641" i="38" s="1"/>
  <c r="W643" i="38"/>
  <c r="Y643" i="38" s="1"/>
  <c r="Y26" i="38"/>
  <c r="Q5" i="45"/>
  <c r="Q3" i="45"/>
  <c r="Q6" i="45" s="1"/>
  <c r="W637" i="38"/>
  <c r="Y637" i="38" s="1"/>
  <c r="W636" i="38"/>
  <c r="Y636" i="38" s="1"/>
  <c r="W635" i="38"/>
  <c r="Y635" i="38" s="1"/>
  <c r="W634" i="38"/>
  <c r="Y634" i="38" s="1"/>
  <c r="W633" i="38"/>
  <c r="Y633" i="38" s="1"/>
  <c r="W629" i="38"/>
  <c r="Y629" i="38" s="1"/>
  <c r="W631" i="38"/>
  <c r="Y631" i="38" s="1"/>
  <c r="W632" i="38"/>
  <c r="Y632" i="38" s="1"/>
  <c r="W628" i="38"/>
  <c r="Y628" i="38" s="1"/>
  <c r="W626" i="38"/>
  <c r="Y626" i="38" s="1"/>
  <c r="W627" i="38"/>
  <c r="Y627" i="38" s="1"/>
  <c r="W630" i="38"/>
  <c r="Y630" i="38" s="1"/>
  <c r="W623" i="38"/>
  <c r="Y623" i="38" s="1"/>
  <c r="W622" i="38"/>
  <c r="Y622" i="38" s="1"/>
  <c r="W621" i="38"/>
  <c r="Y621" i="38" s="1"/>
  <c r="W624" i="38"/>
  <c r="Y624" i="38" s="1"/>
  <c r="W625" i="38"/>
  <c r="Y625" i="38" s="1"/>
  <c r="W619" i="38"/>
  <c r="Y619" i="38" s="1"/>
  <c r="W620" i="38"/>
  <c r="Y620" i="38" s="1"/>
  <c r="Y32" i="38"/>
  <c r="Y42" i="38"/>
  <c r="W617" i="38"/>
  <c r="Y617" i="38" s="1"/>
  <c r="W618" i="38"/>
  <c r="Y618" i="38" s="1"/>
  <c r="Y66" i="38"/>
  <c r="Y49" i="38"/>
  <c r="W614" i="38"/>
  <c r="Y614" i="38" s="1"/>
  <c r="Y81" i="38"/>
  <c r="W616" i="38"/>
  <c r="Y616" i="38" s="1"/>
  <c r="Y35" i="38"/>
  <c r="W613" i="38"/>
  <c r="Y613" i="38" s="1"/>
  <c r="Y33" i="38"/>
  <c r="W609" i="38"/>
  <c r="Y609" i="38" s="1"/>
  <c r="W612" i="38"/>
  <c r="Y612" i="38" s="1"/>
  <c r="W611" i="38"/>
  <c r="Y611" i="38" s="1"/>
  <c r="W615" i="38"/>
  <c r="Y615" i="38" s="1"/>
  <c r="Y50" i="38"/>
  <c r="W608" i="38"/>
  <c r="Y608" i="38" s="1"/>
  <c r="W610" i="38"/>
  <c r="Y610" i="38" s="1"/>
  <c r="Y27" i="38"/>
  <c r="Y36" i="38"/>
  <c r="Y77" i="38"/>
  <c r="Y59" i="38"/>
  <c r="Y76" i="38"/>
  <c r="Y43" i="38"/>
  <c r="Y46" i="38"/>
  <c r="Y69" i="38"/>
  <c r="W607" i="38"/>
  <c r="Y607" i="38" s="1"/>
  <c r="Y52" i="38"/>
  <c r="Y38" i="38"/>
  <c r="Y73" i="38"/>
  <c r="Y48" i="38"/>
  <c r="Y53" i="38"/>
  <c r="Y74" i="38"/>
  <c r="W604" i="38"/>
  <c r="Y604" i="38" s="1"/>
  <c r="W606" i="38"/>
  <c r="Y606" i="38" s="1"/>
  <c r="W605" i="38"/>
  <c r="Y605" i="38" s="1"/>
  <c r="Y39" i="38"/>
  <c r="W601" i="38"/>
  <c r="Y601" i="38" s="1"/>
  <c r="Y75" i="38"/>
  <c r="W603" i="38"/>
  <c r="Y603" i="38" s="1"/>
  <c r="Y83" i="38"/>
  <c r="Y64" i="38"/>
  <c r="W602" i="38"/>
  <c r="Y602" i="38" s="1"/>
  <c r="Y67" i="38"/>
  <c r="Y41" i="38"/>
  <c r="Y57" i="38"/>
  <c r="Y29" i="38"/>
  <c r="Y51" i="38"/>
  <c r="Y34" i="38"/>
  <c r="W600" i="38"/>
  <c r="Y600" i="38" s="1"/>
  <c r="Y37" i="38"/>
  <c r="Y28" i="38"/>
  <c r="Y84" i="38"/>
  <c r="Y70" i="38"/>
  <c r="Y30" i="38"/>
  <c r="Y45" i="38"/>
  <c r="Y47" i="38"/>
  <c r="W599" i="38"/>
  <c r="Y599" i="38" s="1"/>
  <c r="Y68" i="38"/>
  <c r="Y65" i="38"/>
  <c r="Y58" i="38"/>
  <c r="Y40" i="38"/>
  <c r="W597" i="38"/>
  <c r="Y597" i="38" s="1"/>
  <c r="Y80" i="38"/>
  <c r="Y71" i="38"/>
  <c r="Y56" i="38"/>
  <c r="O316" i="38"/>
  <c r="O269" i="38"/>
  <c r="O341" i="38"/>
  <c r="O301" i="38"/>
  <c r="O239" i="38"/>
  <c r="O283" i="38"/>
  <c r="O329" i="38"/>
  <c r="O302" i="38"/>
  <c r="O214" i="38"/>
  <c r="O282" i="38"/>
  <c r="O266" i="38"/>
  <c r="O330" i="38"/>
  <c r="O255" i="38"/>
  <c r="O229" i="38"/>
  <c r="O294" i="38"/>
  <c r="O268" i="38"/>
  <c r="O271" i="38"/>
  <c r="W598" i="38"/>
  <c r="Y598" i="38" s="1"/>
  <c r="O291" i="38"/>
  <c r="O310" i="38"/>
  <c r="Y55" i="38"/>
  <c r="O320" i="38"/>
  <c r="O307" i="38"/>
  <c r="O333" i="38"/>
  <c r="O208" i="38"/>
  <c r="O219" i="38"/>
  <c r="Y60" i="38"/>
  <c r="Y63" i="38"/>
  <c r="O260" i="38"/>
  <c r="O325" i="38"/>
  <c r="O261" i="38"/>
  <c r="O247" i="38"/>
  <c r="O273" i="38"/>
  <c r="O319" i="38"/>
  <c r="O244" i="38"/>
  <c r="O335" i="38"/>
  <c r="O351" i="38"/>
  <c r="O245" i="38"/>
  <c r="O352" i="38"/>
  <c r="O349" i="38"/>
  <c r="O222" i="38"/>
  <c r="O259" i="38"/>
  <c r="O199" i="38"/>
  <c r="O230" i="38"/>
  <c r="O241" i="38"/>
  <c r="O251" i="38"/>
  <c r="O361" i="38"/>
  <c r="O253" i="38"/>
  <c r="O203" i="38"/>
  <c r="O355" i="38"/>
  <c r="O279" i="38"/>
  <c r="O293" i="38"/>
  <c r="O257" i="38"/>
  <c r="O234" i="38"/>
  <c r="O300" i="38"/>
  <c r="O342" i="38"/>
  <c r="O350" i="38"/>
  <c r="O358" i="38"/>
  <c r="O228" i="38"/>
  <c r="O292" i="38"/>
  <c r="O242" i="38"/>
  <c r="O237" i="38"/>
  <c r="O340" i="38"/>
  <c r="O357" i="38"/>
  <c r="O327" i="38"/>
  <c r="O267" i="38"/>
  <c r="O274" i="38"/>
  <c r="O231" i="38"/>
  <c r="O232" i="38"/>
  <c r="Y44" i="38"/>
  <c r="O331" i="38"/>
  <c r="O249" i="38"/>
  <c r="O317" i="38"/>
  <c r="Y78" i="38"/>
  <c r="O248" i="38"/>
  <c r="O217" i="38"/>
  <c r="Z307" i="38"/>
  <c r="O312" i="38"/>
  <c r="O295" i="38"/>
  <c r="Y31" i="38"/>
  <c r="O359" i="38"/>
  <c r="O296" i="38"/>
  <c r="O326" i="38"/>
  <c r="O206" i="38"/>
  <c r="O210" i="38"/>
  <c r="O353" i="38"/>
  <c r="O276" i="38"/>
  <c r="O224" i="38"/>
  <c r="O344" i="38"/>
  <c r="O220" i="38"/>
  <c r="O323" i="38"/>
  <c r="O209" i="38"/>
  <c r="O332" i="38"/>
  <c r="O343" i="38"/>
  <c r="O216" i="38"/>
  <c r="O280" i="38"/>
  <c r="Y61" i="38"/>
  <c r="O250" i="38"/>
  <c r="W591" i="38"/>
  <c r="Y591" i="38" s="1"/>
  <c r="O277" i="38"/>
  <c r="O281" i="38"/>
  <c r="O287" i="38"/>
  <c r="O334" i="38"/>
  <c r="O200" i="38"/>
  <c r="O338" i="38"/>
  <c r="O318" i="38"/>
  <c r="O324" i="38"/>
  <c r="O215" i="38"/>
  <c r="O213" i="38"/>
  <c r="O309" i="38"/>
  <c r="O246" i="38"/>
  <c r="O288" i="38"/>
  <c r="O275" i="38"/>
  <c r="O211" i="38"/>
  <c r="O306" i="38"/>
  <c r="Y54" i="38"/>
  <c r="O354" i="38"/>
  <c r="Y79" i="38"/>
  <c r="Y62" i="38"/>
  <c r="O360" i="38"/>
  <c r="O263" i="38"/>
  <c r="O311" i="38"/>
  <c r="O243" i="38"/>
  <c r="O304" i="38"/>
  <c r="O235" i="38"/>
  <c r="O339" i="38"/>
  <c r="O207" i="38"/>
  <c r="Z208" i="38"/>
  <c r="W593" i="38"/>
  <c r="Y593" i="38" s="1"/>
  <c r="Z248" i="38"/>
  <c r="Z311" i="38"/>
  <c r="W592" i="38"/>
  <c r="Y592" i="38" s="1"/>
  <c r="W594" i="38"/>
  <c r="Y594" i="38" s="1"/>
  <c r="W587" i="38"/>
  <c r="Y587" i="38" s="1"/>
  <c r="W595" i="38"/>
  <c r="Y595" i="38" s="1"/>
  <c r="W589" i="38"/>
  <c r="Y589" i="38" s="1"/>
  <c r="W596" i="38"/>
  <c r="Y596" i="38" s="1"/>
  <c r="W588" i="38"/>
  <c r="Y588" i="38" s="1"/>
  <c r="Z334" i="38"/>
  <c r="W590" i="38"/>
  <c r="Y590" i="38" s="1"/>
  <c r="Z309" i="38"/>
  <c r="Z318" i="38"/>
  <c r="Z281" i="38"/>
  <c r="Z273" i="38"/>
  <c r="Z259" i="38"/>
  <c r="Z283" i="38"/>
  <c r="Z335" i="38"/>
  <c r="W584" i="38"/>
  <c r="Y584" i="38" s="1"/>
  <c r="Z219" i="38"/>
  <c r="Z251" i="38"/>
  <c r="Z241" i="38"/>
  <c r="Z215" i="38"/>
  <c r="Z237" i="38"/>
  <c r="Z349" i="38"/>
  <c r="Z352" i="38"/>
  <c r="Z269" i="38"/>
  <c r="Z329" i="38"/>
  <c r="Z211" i="38"/>
  <c r="Z361" i="38"/>
  <c r="Z250" i="38"/>
  <c r="Z199" i="38"/>
  <c r="Z312" i="38"/>
  <c r="Z213" i="38"/>
  <c r="Z222" i="38"/>
  <c r="Z343" i="38"/>
  <c r="Z246" i="38"/>
  <c r="Z353" i="38"/>
  <c r="Z330" i="38"/>
  <c r="Z229" i="38"/>
  <c r="Z344" i="38"/>
  <c r="Z203" i="38"/>
  <c r="Z355" i="38"/>
  <c r="Z228" i="38"/>
  <c r="Z231" i="38"/>
  <c r="Z234" i="38"/>
  <c r="Z306" i="38"/>
  <c r="W585" i="38"/>
  <c r="Y585" i="38" s="1"/>
  <c r="Z294" i="38"/>
  <c r="Z327" i="38"/>
  <c r="Z210" i="38"/>
  <c r="Z310" i="38"/>
  <c r="Z319" i="38"/>
  <c r="Z253" i="38"/>
  <c r="Z207" i="38"/>
  <c r="Z339" i="38"/>
  <c r="Z275" i="38"/>
  <c r="Z340" i="38"/>
  <c r="Z276" i="38"/>
  <c r="Z214" i="38"/>
  <c r="Z301" i="38"/>
  <c r="Z224" i="38"/>
  <c r="Z287" i="38"/>
  <c r="Z304" i="38"/>
  <c r="Z302" i="38"/>
  <c r="Z295" i="38"/>
  <c r="Z266" i="38"/>
  <c r="Z342" i="38"/>
  <c r="Z300" i="38"/>
  <c r="Z350" i="38"/>
  <c r="W583" i="38"/>
  <c r="Y583" i="38" s="1"/>
  <c r="Z291" i="38"/>
  <c r="Z247" i="38"/>
  <c r="Z354" i="38"/>
  <c r="Z220" i="38"/>
  <c r="Z341" i="38"/>
  <c r="Z331" i="38"/>
  <c r="Z267" i="38"/>
  <c r="W586" i="38"/>
  <c r="Y586" i="38" s="1"/>
  <c r="Z332" i="38"/>
  <c r="Z268" i="38"/>
  <c r="Z206" i="38"/>
  <c r="Z277" i="38"/>
  <c r="Z216" i="38"/>
  <c r="Z235" i="38"/>
  <c r="Z245" i="38"/>
  <c r="Z296" i="38"/>
  <c r="Z257" i="38"/>
  <c r="Z271" i="38"/>
  <c r="Z357" i="38"/>
  <c r="Z242" i="38"/>
  <c r="Z292" i="38"/>
  <c r="Z326" i="38"/>
  <c r="Z279" i="38"/>
  <c r="Z359" i="38"/>
  <c r="Z320" i="38"/>
  <c r="Z232" i="38"/>
  <c r="Z282" i="38"/>
  <c r="Z317" i="38"/>
  <c r="Z323" i="38"/>
  <c r="Z333" i="38"/>
  <c r="Z324" i="38"/>
  <c r="Z260" i="38"/>
  <c r="Z261" i="38"/>
  <c r="Z200" i="38"/>
  <c r="Z217" i="38"/>
  <c r="Z230" i="38"/>
  <c r="Z288" i="38"/>
  <c r="Z244" i="38"/>
  <c r="Z338" i="38"/>
  <c r="Z274" i="38"/>
  <c r="Z293" i="38"/>
  <c r="Z249" i="38"/>
  <c r="Z325" i="38"/>
  <c r="Z316" i="38"/>
  <c r="Z255" i="38"/>
  <c r="Z243" i="38"/>
  <c r="Z351" i="38"/>
  <c r="Z360" i="38"/>
  <c r="Z280" i="38"/>
  <c r="Z358" i="38"/>
  <c r="Z239" i="38"/>
  <c r="Z209" i="38"/>
  <c r="W582" i="38"/>
  <c r="Y582" i="38" s="1"/>
  <c r="W575" i="38"/>
  <c r="Y575" i="38" s="1"/>
  <c r="W576" i="38"/>
  <c r="Y576" i="38" s="1"/>
  <c r="W577" i="38"/>
  <c r="Y577" i="38" s="1"/>
  <c r="W579" i="38"/>
  <c r="Y579" i="38" s="1"/>
  <c r="W578" i="38"/>
  <c r="Y578" i="38" s="1"/>
  <c r="W572" i="38"/>
  <c r="Y572" i="38" s="1"/>
  <c r="W581" i="38"/>
  <c r="Y581" i="38" s="1"/>
  <c r="W573" i="38"/>
  <c r="Y573" i="38" s="1"/>
  <c r="W580" i="38"/>
  <c r="Y580" i="38" s="1"/>
  <c r="W574" i="38"/>
  <c r="Y574" i="38" s="1"/>
  <c r="W571" i="38"/>
  <c r="Y571" i="38" s="1"/>
  <c r="W567" i="38"/>
  <c r="Y567" i="38" s="1"/>
  <c r="W568" i="38"/>
  <c r="Y568" i="38" s="1"/>
  <c r="W570" i="38"/>
  <c r="Y570" i="38" s="1"/>
  <c r="W569" i="38"/>
  <c r="Y569" i="38" s="1"/>
  <c r="W566" i="38"/>
  <c r="Y566" i="38" s="1"/>
  <c r="W564" i="38"/>
  <c r="Y564" i="38" s="1"/>
  <c r="W565" i="38"/>
  <c r="Y565" i="38" s="1"/>
  <c r="W558" i="38"/>
  <c r="Y558" i="38" s="1"/>
  <c r="W563" i="38"/>
  <c r="Y563" i="38" s="1"/>
  <c r="W556" i="38"/>
  <c r="Y556" i="38" s="1"/>
  <c r="W557" i="38"/>
  <c r="Y557" i="38" s="1"/>
  <c r="W559" i="38"/>
  <c r="Y559" i="38" s="1"/>
  <c r="W560" i="38"/>
  <c r="Y560" i="38" s="1"/>
  <c r="W561" i="38"/>
  <c r="Y561" i="38" s="1"/>
  <c r="W562" i="38"/>
  <c r="Y562" i="38" s="1"/>
  <c r="W554" i="38"/>
  <c r="Y554" i="38" s="1"/>
  <c r="W555" i="38"/>
  <c r="Y555" i="38" s="1"/>
  <c r="W553" i="38"/>
  <c r="Y553" i="38" s="1"/>
  <c r="W552" i="38"/>
  <c r="Y552" i="38" s="1"/>
  <c r="W551" i="38"/>
  <c r="Y551" i="38" s="1"/>
  <c r="W550" i="38"/>
  <c r="Y550" i="38" s="1"/>
  <c r="W549" i="38"/>
  <c r="Y549" i="38" s="1"/>
  <c r="W547" i="38"/>
  <c r="Y547" i="38" s="1"/>
  <c r="W548" i="38"/>
  <c r="Y548" i="38" s="1"/>
  <c r="W546" i="38"/>
  <c r="Y546" i="38" s="1"/>
  <c r="W536" i="38"/>
  <c r="Y536" i="38" s="1"/>
  <c r="W537" i="38"/>
  <c r="Y537" i="38" s="1"/>
  <c r="W539" i="38"/>
  <c r="Y539" i="38" s="1"/>
  <c r="W540" i="38"/>
  <c r="Y540" i="38" s="1"/>
  <c r="W538" i="38"/>
  <c r="Y538" i="38" s="1"/>
  <c r="W541" i="38"/>
  <c r="Y541" i="38" s="1"/>
  <c r="W542" i="38"/>
  <c r="Y542" i="38" s="1"/>
  <c r="W543" i="38"/>
  <c r="Y543" i="38" s="1"/>
  <c r="W544" i="38"/>
  <c r="Y544" i="38" s="1"/>
  <c r="W545" i="38"/>
  <c r="Y545" i="38" s="1"/>
  <c r="W533" i="38"/>
  <c r="Y533" i="38" s="1"/>
  <c r="W531" i="38"/>
  <c r="Y531" i="38" s="1"/>
  <c r="W530" i="38"/>
  <c r="Y530" i="38" s="1"/>
  <c r="W534" i="38"/>
  <c r="Y534" i="38" s="1"/>
  <c r="W535" i="38"/>
  <c r="Y535" i="38" s="1"/>
  <c r="W532" i="38"/>
  <c r="Y532" i="38" s="1"/>
  <c r="W529" i="38"/>
  <c r="Y529" i="38" s="1"/>
  <c r="W528" i="38"/>
  <c r="Y528" i="38" s="1"/>
  <c r="W527" i="38"/>
  <c r="Y527" i="38" s="1"/>
  <c r="W512" i="38"/>
  <c r="Y512" i="38" s="1"/>
  <c r="W522" i="38"/>
  <c r="Y522" i="38" s="1"/>
  <c r="W511" i="38"/>
  <c r="Y511" i="38" s="1"/>
  <c r="W513" i="38"/>
  <c r="Y513" i="38" s="1"/>
  <c r="W521" i="38"/>
  <c r="Y521" i="38" s="1"/>
  <c r="W514" i="38"/>
  <c r="Y514" i="38" s="1"/>
  <c r="W520" i="38"/>
  <c r="Y520" i="38" s="1"/>
  <c r="W506" i="38"/>
  <c r="Y506" i="38" s="1"/>
  <c r="W515" i="38"/>
  <c r="Y515" i="38" s="1"/>
  <c r="W516" i="38"/>
  <c r="Y516" i="38" s="1"/>
  <c r="W524" i="38"/>
  <c r="Y524" i="38" s="1"/>
  <c r="W519" i="38"/>
  <c r="Y519" i="38" s="1"/>
  <c r="W523" i="38"/>
  <c r="Y523" i="38" s="1"/>
  <c r="W496" i="38"/>
  <c r="Y496" i="38" s="1"/>
  <c r="W517" i="38"/>
  <c r="Y517" i="38" s="1"/>
  <c r="W525" i="38"/>
  <c r="Y525" i="38" s="1"/>
  <c r="W504" i="38"/>
  <c r="Y504" i="38" s="1"/>
  <c r="W518" i="38"/>
  <c r="Y518" i="38" s="1"/>
  <c r="W526" i="38"/>
  <c r="Y526" i="38" s="1"/>
  <c r="W507" i="38"/>
  <c r="Y507" i="38" s="1"/>
  <c r="W508" i="38"/>
  <c r="Y508" i="38" s="1"/>
  <c r="W495" i="38"/>
  <c r="Y495" i="38" s="1"/>
  <c r="W503" i="38"/>
  <c r="Y503" i="38" s="1"/>
  <c r="W497" i="38"/>
  <c r="Y497" i="38" s="1"/>
  <c r="W505" i="38"/>
  <c r="Y505" i="38" s="1"/>
  <c r="W498" i="38"/>
  <c r="Y498" i="38" s="1"/>
  <c r="W490" i="38"/>
  <c r="Y490" i="38" s="1"/>
  <c r="W491" i="38"/>
  <c r="Y491" i="38" s="1"/>
  <c r="W500" i="38"/>
  <c r="Y500" i="38" s="1"/>
  <c r="W493" i="38"/>
  <c r="Y493" i="38" s="1"/>
  <c r="W501" i="38"/>
  <c r="Y501" i="38" s="1"/>
  <c r="W509" i="38"/>
  <c r="Y509" i="38" s="1"/>
  <c r="W499" i="38"/>
  <c r="Y499" i="38" s="1"/>
  <c r="W492" i="38"/>
  <c r="Y492" i="38" s="1"/>
  <c r="W494" i="38"/>
  <c r="Y494" i="38" s="1"/>
  <c r="W502" i="38"/>
  <c r="Y502" i="38" s="1"/>
  <c r="W510" i="38"/>
  <c r="Y510" i="38" s="1"/>
  <c r="W489" i="38"/>
  <c r="Y489" i="38" s="1"/>
  <c r="W488" i="38"/>
  <c r="Y488" i="38" s="1"/>
  <c r="W484" i="38"/>
  <c r="Y484" i="38" s="1"/>
  <c r="W485" i="38"/>
  <c r="Y485" i="38" s="1"/>
  <c r="W486" i="38"/>
  <c r="Y486" i="38" s="1"/>
  <c r="W487" i="38"/>
  <c r="Y487" i="38" s="1"/>
  <c r="W478" i="38"/>
  <c r="Y478" i="38" s="1"/>
  <c r="W483" i="38"/>
  <c r="Y483" i="38" s="1"/>
  <c r="W476" i="38"/>
  <c r="Y476" i="38" s="1"/>
  <c r="W477" i="38"/>
  <c r="Y477" i="38" s="1"/>
  <c r="W480" i="38"/>
  <c r="Y480" i="38" s="1"/>
  <c r="W481" i="38"/>
  <c r="Y481" i="38" s="1"/>
  <c r="W482" i="38"/>
  <c r="Y482" i="38" s="1"/>
  <c r="Q5" i="17"/>
  <c r="Q3" i="17"/>
  <c r="Q6" i="17" s="1"/>
  <c r="W479" i="38"/>
  <c r="Y479" i="38" s="1"/>
  <c r="W474" i="38"/>
  <c r="Y474" i="38" s="1"/>
  <c r="W475" i="38"/>
  <c r="Y475" i="38" s="1"/>
  <c r="W473" i="38"/>
  <c r="Y473" i="38" s="1"/>
  <c r="W472" i="38"/>
  <c r="Y472" i="38" s="1"/>
  <c r="W471" i="38"/>
  <c r="Y471" i="38" s="1"/>
  <c r="W470" i="38"/>
  <c r="Y470" i="38" s="1"/>
  <c r="W468" i="38"/>
  <c r="Y468" i="38" s="1"/>
  <c r="W469" i="38"/>
  <c r="Y469" i="38" s="1"/>
  <c r="W461" i="38"/>
  <c r="Y461" i="38" s="1"/>
  <c r="W462" i="38"/>
  <c r="Y462" i="38" s="1"/>
  <c r="W463" i="38"/>
  <c r="Y463" i="38" s="1"/>
  <c r="W465" i="38"/>
  <c r="Y465" i="38" s="1"/>
  <c r="W464" i="38"/>
  <c r="Y464" i="38" s="1"/>
  <c r="W458" i="38"/>
  <c r="Y458" i="38" s="1"/>
  <c r="W466" i="38"/>
  <c r="Y466" i="38" s="1"/>
  <c r="W459" i="38"/>
  <c r="Y459" i="38" s="1"/>
  <c r="W467" i="38"/>
  <c r="Y467" i="38" s="1"/>
  <c r="W460" i="38"/>
  <c r="Y460" i="38" s="1"/>
  <c r="W457" i="38"/>
  <c r="Y457" i="38" s="1"/>
  <c r="W454" i="38"/>
  <c r="Y454" i="38" s="1"/>
  <c r="W456" i="38"/>
  <c r="Y456" i="38" s="1"/>
  <c r="W455" i="38"/>
  <c r="Y455" i="38" s="1"/>
  <c r="W453" i="38"/>
  <c r="Y453" i="38" s="1"/>
  <c r="W452" i="38"/>
  <c r="Y452" i="38" s="1"/>
  <c r="W450" i="38"/>
  <c r="Y450" i="38" s="1"/>
  <c r="W451" i="38"/>
  <c r="Y451" i="38" s="1"/>
  <c r="W449" i="38"/>
  <c r="Y449" i="38" s="1"/>
  <c r="W433" i="38"/>
  <c r="Y433" i="38" s="1"/>
  <c r="W448" i="38"/>
  <c r="Y448" i="38" s="1"/>
  <c r="W437" i="38"/>
  <c r="Y437" i="38" s="1"/>
  <c r="W436" i="38"/>
  <c r="Y436" i="38" s="1"/>
  <c r="W444" i="38"/>
  <c r="Y444" i="38" s="1"/>
  <c r="W435" i="38"/>
  <c r="Y435" i="38" s="1"/>
  <c r="W445" i="38"/>
  <c r="Y445" i="38" s="1"/>
  <c r="W434" i="38"/>
  <c r="Y434" i="38" s="1"/>
  <c r="W438" i="38"/>
  <c r="Y438" i="38" s="1"/>
  <c r="W446" i="38"/>
  <c r="Y446" i="38" s="1"/>
  <c r="W439" i="38"/>
  <c r="Y439" i="38" s="1"/>
  <c r="W447" i="38"/>
  <c r="Y447" i="38" s="1"/>
  <c r="W442" i="38"/>
  <c r="Y442" i="38" s="1"/>
  <c r="W443" i="38"/>
  <c r="Y443" i="38" s="1"/>
  <c r="W440" i="38"/>
  <c r="Y440" i="38" s="1"/>
  <c r="W431" i="38"/>
  <c r="Y431" i="38" s="1"/>
  <c r="W441" i="38"/>
  <c r="Y441" i="38" s="1"/>
  <c r="W425" i="38"/>
  <c r="Y425" i="38" s="1"/>
  <c r="W410" i="38"/>
  <c r="Y410" i="38" s="1"/>
  <c r="W426" i="38"/>
  <c r="Y426" i="38" s="1"/>
  <c r="W427" i="38"/>
  <c r="Y427" i="38" s="1"/>
  <c r="W424" i="38"/>
  <c r="Y424" i="38" s="1"/>
  <c r="W429" i="38"/>
  <c r="Y429" i="38" s="1"/>
  <c r="W432" i="38"/>
  <c r="Y432" i="38" s="1"/>
  <c r="W428" i="38"/>
  <c r="Y428" i="38" s="1"/>
  <c r="W430" i="38"/>
  <c r="Y430" i="38" s="1"/>
  <c r="Q5" i="50"/>
  <c r="Q6" i="50"/>
  <c r="W422" i="38"/>
  <c r="Y422" i="38" s="1"/>
  <c r="W417" i="38"/>
  <c r="Y417" i="38" s="1"/>
  <c r="W418" i="38"/>
  <c r="Y418" i="38" s="1"/>
  <c r="W423" i="38"/>
  <c r="Y423" i="38" s="1"/>
  <c r="W420" i="38"/>
  <c r="Y420" i="38" s="1"/>
  <c r="W419" i="38"/>
  <c r="Y419" i="38" s="1"/>
  <c r="W421" i="38"/>
  <c r="Y421" i="38" s="1"/>
  <c r="W415" i="38"/>
  <c r="Y415" i="38" s="1"/>
  <c r="W416" i="38"/>
  <c r="Y416" i="38" s="1"/>
  <c r="W413" i="38"/>
  <c r="Y413" i="38" s="1"/>
  <c r="W414" i="38"/>
  <c r="Y414" i="38" s="1"/>
  <c r="W411" i="38"/>
  <c r="Y411" i="38" s="1"/>
  <c r="W412" i="38"/>
  <c r="Y412" i="38" s="1"/>
  <c r="W404" i="38"/>
  <c r="Y404" i="38" s="1"/>
  <c r="W409" i="38"/>
  <c r="Y409" i="38" s="1"/>
  <c r="W403" i="38"/>
  <c r="Y403" i="38" s="1"/>
  <c r="W408" i="38"/>
  <c r="Y408" i="38" s="1"/>
  <c r="W406" i="38"/>
  <c r="Y406" i="38" s="1"/>
  <c r="W407" i="38"/>
  <c r="Y407" i="38" s="1"/>
  <c r="W405" i="38"/>
  <c r="Y405" i="38" s="1"/>
  <c r="W401" i="38"/>
  <c r="Y401" i="38" s="1"/>
  <c r="W402" i="38"/>
  <c r="Y402" i="38" s="1"/>
  <c r="W400" i="38"/>
  <c r="Y400" i="38" s="1"/>
  <c r="W397" i="38"/>
  <c r="Y397" i="38" s="1"/>
  <c r="W398" i="38"/>
  <c r="Y398" i="38" s="1"/>
  <c r="W399" i="38"/>
  <c r="Y399" i="38" s="1"/>
  <c r="W394" i="38"/>
  <c r="Y394" i="38" s="1"/>
  <c r="W395" i="38"/>
  <c r="Y395" i="38" s="1"/>
  <c r="W396" i="38"/>
  <c r="Y396" i="38" s="1"/>
  <c r="W392" i="38"/>
  <c r="Y392" i="38" s="1"/>
  <c r="W393" i="38"/>
  <c r="Y393" i="38" s="1"/>
  <c r="M48" i="41"/>
  <c r="Q10" i="41" s="1"/>
  <c r="Q3" i="10"/>
  <c r="Q6" i="10" s="1"/>
  <c r="Q9" i="10"/>
  <c r="W387" i="38"/>
  <c r="Y387" i="38" s="1"/>
  <c r="N239" i="1"/>
  <c r="O239" i="1" s="1"/>
  <c r="W391" i="38"/>
  <c r="Y391" i="38" s="1"/>
  <c r="W388" i="38"/>
  <c r="Y388" i="38" s="1"/>
  <c r="Q5" i="10"/>
  <c r="W389" i="38"/>
  <c r="Y389" i="38" s="1"/>
  <c r="W384" i="38"/>
  <c r="Y384" i="38" s="1"/>
  <c r="W390" i="38"/>
  <c r="Y390" i="38" s="1"/>
  <c r="W383" i="38"/>
  <c r="Y383" i="38" s="1"/>
  <c r="W385" i="38"/>
  <c r="Y385" i="38" s="1"/>
  <c r="W382" i="38"/>
  <c r="Y382" i="38" s="1"/>
  <c r="W386" i="38"/>
  <c r="Y386" i="38" s="1"/>
  <c r="W381" i="38"/>
  <c r="Y381" i="38" s="1"/>
  <c r="W380" i="38"/>
  <c r="Y380" i="38" s="1"/>
  <c r="W379" i="38"/>
  <c r="Y379" i="38" s="1"/>
  <c r="W378" i="38"/>
  <c r="Y378" i="38" s="1"/>
  <c r="Q3" i="47"/>
  <c r="Q6" i="47" s="1"/>
  <c r="W377" i="38"/>
  <c r="Y377" i="38" s="1"/>
  <c r="W376" i="38"/>
  <c r="Y376" i="38" s="1"/>
  <c r="Q3" i="42"/>
  <c r="Q6" i="42" s="1"/>
  <c r="Q9" i="42"/>
  <c r="Q8" i="42"/>
  <c r="Q7" i="42" s="1"/>
  <c r="Q5" i="74"/>
  <c r="Q3" i="26"/>
  <c r="Q6" i="26" s="1"/>
  <c r="Q3" i="74"/>
  <c r="Q6" i="74" s="1"/>
  <c r="M126" i="49"/>
  <c r="Q10" i="49" s="1"/>
  <c r="J54" i="49" s="1"/>
  <c r="W371" i="38"/>
  <c r="Y371" i="38" s="1"/>
  <c r="Q5" i="60"/>
  <c r="W370" i="38"/>
  <c r="Y370" i="38" s="1"/>
  <c r="Q8" i="62"/>
  <c r="Q8" i="47"/>
  <c r="Q5" i="62"/>
  <c r="Q8" i="60"/>
  <c r="Q7" i="60" s="1"/>
  <c r="Q9" i="62"/>
  <c r="W374" i="38"/>
  <c r="Y374" i="38" s="1"/>
  <c r="W375" i="38"/>
  <c r="Y375" i="38" s="1"/>
  <c r="W373" i="38"/>
  <c r="Y373" i="38" s="1"/>
  <c r="Q5" i="55"/>
  <c r="Q8" i="55"/>
  <c r="Q3" i="64"/>
  <c r="Q6" i="64" s="1"/>
  <c r="Q3" i="49"/>
  <c r="Q6" i="49" s="1"/>
  <c r="Q3" i="55"/>
  <c r="Q6" i="55" s="1"/>
  <c r="W372" i="38"/>
  <c r="Y372" i="38" s="1"/>
  <c r="Q9" i="26"/>
  <c r="M49" i="47"/>
  <c r="Q10" i="47" s="1"/>
  <c r="N58" i="1"/>
  <c r="O58" i="1" s="1"/>
  <c r="W135" i="38"/>
  <c r="Y135" i="38" s="1"/>
  <c r="Q8" i="26"/>
  <c r="M40" i="22"/>
  <c r="Q10" i="22" s="1"/>
  <c r="N254" i="1"/>
  <c r="O254" i="1" s="1"/>
  <c r="Q9" i="60"/>
  <c r="Q3" i="43"/>
  <c r="Q6" i="43" s="1"/>
  <c r="M27" i="30"/>
  <c r="Q10" i="30" s="1"/>
  <c r="Q7" i="30" s="1"/>
  <c r="W367" i="38"/>
  <c r="Y367" i="38" s="1"/>
  <c r="W368" i="38"/>
  <c r="Y368" i="38" s="1"/>
  <c r="Q3" i="16"/>
  <c r="Q6" i="16" s="1"/>
  <c r="W369" i="38"/>
  <c r="Y369" i="38" s="1"/>
  <c r="Q8" i="75"/>
  <c r="Q7" i="75" s="1"/>
  <c r="Q3" i="58"/>
  <c r="Q6" i="58" s="1"/>
  <c r="Q8" i="74"/>
  <c r="Q7" i="74" s="1"/>
  <c r="W366" i="38"/>
  <c r="Y366" i="38" s="1"/>
  <c r="W223" i="38"/>
  <c r="Y223" i="38" s="1"/>
  <c r="Q3" i="75"/>
  <c r="Q6" i="75" s="1"/>
  <c r="Q8" i="49"/>
  <c r="Q3" i="13"/>
  <c r="Q6" i="13" s="1"/>
  <c r="Q8" i="53"/>
  <c r="Q5" i="13"/>
  <c r="Q8" i="64"/>
  <c r="N190" i="1"/>
  <c r="O190" i="1" s="1"/>
  <c r="Q5" i="49"/>
  <c r="Q8" i="28"/>
  <c r="Q7" i="28" s="1"/>
  <c r="Q8" i="16"/>
  <c r="M55" i="55"/>
  <c r="Q10" i="55" s="1"/>
  <c r="Q3" i="41"/>
  <c r="Q6" i="41" s="1"/>
  <c r="Q3" i="67"/>
  <c r="Q6" i="67" s="1"/>
  <c r="Q9" i="41"/>
  <c r="Q9" i="3"/>
  <c r="Q9" i="15"/>
  <c r="Q8" i="69"/>
  <c r="Q7" i="69" s="1"/>
  <c r="Q8" i="72"/>
  <c r="Q7" i="72" s="1"/>
  <c r="Q5" i="15"/>
  <c r="M46" i="63"/>
  <c r="Q10" i="63" s="1"/>
  <c r="Q8" i="15"/>
  <c r="M75" i="52"/>
  <c r="Q10" i="52" s="1"/>
  <c r="Q5" i="41"/>
  <c r="Q8" i="13"/>
  <c r="Q8" i="70"/>
  <c r="W171" i="38"/>
  <c r="Y171" i="38" s="1"/>
  <c r="N27" i="1"/>
  <c r="O27" i="1" s="1"/>
  <c r="M55" i="62"/>
  <c r="Q10" i="62" s="1"/>
  <c r="M33" i="24"/>
  <c r="Q10" i="24" s="1"/>
  <c r="Q5" i="46"/>
  <c r="P85" i="38"/>
  <c r="Q1036" i="38" s="1"/>
  <c r="N109" i="1"/>
  <c r="O109" i="1" s="1"/>
  <c r="M37" i="67"/>
  <c r="Q10" i="67" s="1"/>
  <c r="Q7" i="67" s="1"/>
  <c r="Q8" i="46"/>
  <c r="Q3" i="3"/>
  <c r="Q6" i="3" s="1"/>
  <c r="Q5" i="3"/>
  <c r="N258" i="38"/>
  <c r="N88" i="1"/>
  <c r="O88" i="1" s="1"/>
  <c r="Q14" i="38"/>
  <c r="Q8" i="29"/>
  <c r="Q5" i="67"/>
  <c r="Q8" i="20"/>
  <c r="Q7" i="65"/>
  <c r="N196" i="1"/>
  <c r="O196" i="1" s="1"/>
  <c r="Q3" i="48"/>
  <c r="Q6" i="48" s="1"/>
  <c r="M36" i="32"/>
  <c r="Q10" i="32" s="1"/>
  <c r="Q7" i="32" s="1"/>
  <c r="W87" i="38"/>
  <c r="Y87" i="38" s="1"/>
  <c r="Q6" i="38"/>
  <c r="Q9" i="67"/>
  <c r="Q8" i="48"/>
  <c r="Q3" i="54"/>
  <c r="Q6" i="54" s="1"/>
  <c r="Q9" i="54" s="1"/>
  <c r="W214" i="38"/>
  <c r="Q5" i="29"/>
  <c r="Q10" i="38"/>
  <c r="Q3" i="46"/>
  <c r="Q6" i="46" s="1"/>
  <c r="Q5" i="54"/>
  <c r="M30" i="16"/>
  <c r="Q10" i="16" s="1"/>
  <c r="Q3" i="72"/>
  <c r="Q6" i="72" s="1"/>
  <c r="Q3" i="29"/>
  <c r="Q6" i="29" s="1"/>
  <c r="Q8" i="45"/>
  <c r="M33" i="13"/>
  <c r="Q10" i="13" s="1"/>
  <c r="Q5" i="33"/>
  <c r="W217" i="38"/>
  <c r="Q5" i="52"/>
  <c r="W99" i="38"/>
  <c r="Y99" i="38" s="1"/>
  <c r="W146" i="38"/>
  <c r="Y146" i="38" s="1"/>
  <c r="W124" i="38"/>
  <c r="Y124" i="38" s="1"/>
  <c r="N261" i="1"/>
  <c r="O261" i="1" s="1"/>
  <c r="M33" i="26"/>
  <c r="Q10" i="26" s="1"/>
  <c r="Q8" i="33"/>
  <c r="Q10" i="57"/>
  <c r="Q3" i="52"/>
  <c r="Q6" i="52" s="1"/>
  <c r="Q9" i="33"/>
  <c r="M81" i="34"/>
  <c r="Q10" i="34" s="1"/>
  <c r="Q7" i="34" s="1"/>
  <c r="Q3" i="57"/>
  <c r="Q6" i="57" s="1"/>
  <c r="M41" i="73"/>
  <c r="Q10" i="73" s="1"/>
  <c r="N6" i="1"/>
  <c r="O6" i="1" s="1"/>
  <c r="Q8" i="52"/>
  <c r="W365" i="38"/>
  <c r="Y365" i="38" s="1"/>
  <c r="W94" i="38"/>
  <c r="Y94" i="38" s="1"/>
  <c r="Q8" i="50"/>
  <c r="M67" i="53"/>
  <c r="Q10" i="53" s="1"/>
  <c r="J38" i="53" s="1"/>
  <c r="N83" i="1"/>
  <c r="O83" i="1" s="1"/>
  <c r="Q9" i="34"/>
  <c r="Q16" i="38"/>
  <c r="Q5" i="38"/>
  <c r="Q5" i="59"/>
  <c r="Q3" i="59"/>
  <c r="Q6" i="59" s="1"/>
  <c r="W364" i="38"/>
  <c r="Y364" i="38" s="1"/>
  <c r="Q9" i="44"/>
  <c r="W299" i="38"/>
  <c r="Y299" i="38" s="1"/>
  <c r="Q5" i="34"/>
  <c r="Q9" i="38"/>
  <c r="M66" i="64"/>
  <c r="Q10" i="64" s="1"/>
  <c r="M29" i="29"/>
  <c r="Q10" i="29" s="1"/>
  <c r="Q8" i="68"/>
  <c r="Q7" i="68" s="1"/>
  <c r="Q5" i="28"/>
  <c r="Q81" i="38"/>
  <c r="M32" i="54"/>
  <c r="Q10" i="54" s="1"/>
  <c r="Q7" i="54" s="1"/>
  <c r="M34" i="20"/>
  <c r="Q10" i="20" s="1"/>
  <c r="M36" i="50"/>
  <c r="Q10" i="50" s="1"/>
  <c r="N16" i="1"/>
  <c r="O16" i="1" s="1"/>
  <c r="Q3" i="28"/>
  <c r="Q6" i="28" s="1"/>
  <c r="M75" i="10"/>
  <c r="Q10" i="10" s="1"/>
  <c r="Q7" i="10" s="1"/>
  <c r="N228" i="1"/>
  <c r="O228" i="1" s="1"/>
  <c r="M79" i="45"/>
  <c r="Q10" i="45" s="1"/>
  <c r="J69" i="45" s="1"/>
  <c r="Q8" i="24"/>
  <c r="Q3" i="34"/>
  <c r="Q6" i="34" s="1"/>
  <c r="Q8" i="44"/>
  <c r="Q7" i="44" s="1"/>
  <c r="M32" i="15"/>
  <c r="Q10" i="15" s="1"/>
  <c r="Q3" i="20"/>
  <c r="Q6" i="20" s="1"/>
  <c r="M46" i="71"/>
  <c r="Q10" i="71" s="1"/>
  <c r="Q3" i="24"/>
  <c r="Q6" i="24" s="1"/>
  <c r="Q8" i="58"/>
  <c r="W320" i="38"/>
  <c r="Q8" i="59"/>
  <c r="Q7" i="59" s="1"/>
  <c r="Q3" i="68"/>
  <c r="Q6" i="68" s="1"/>
  <c r="M273" i="58"/>
  <c r="Q10" i="58" s="1"/>
  <c r="Q5" i="30"/>
  <c r="Q3" i="30"/>
  <c r="Q6" i="30" s="1"/>
  <c r="Q9" i="30"/>
  <c r="M259" i="17"/>
  <c r="Q10" i="17" s="1"/>
  <c r="Q8" i="61"/>
  <c r="W242" i="38"/>
  <c r="Q9" i="22"/>
  <c r="Q5" i="22"/>
  <c r="Q3" i="22"/>
  <c r="Q6" i="22" s="1"/>
  <c r="Q8" i="22"/>
  <c r="W338" i="38"/>
  <c r="Q27" i="38"/>
  <c r="W88" i="38"/>
  <c r="Y88" i="38" s="1"/>
  <c r="W157" i="38"/>
  <c r="Y157" i="38" s="1"/>
  <c r="W117" i="38"/>
  <c r="Y117" i="38" s="1"/>
  <c r="W313" i="38"/>
  <c r="Y313" i="38" s="1"/>
  <c r="Q17" i="38"/>
  <c r="Q20" i="38"/>
  <c r="Q73" i="38"/>
  <c r="Q54" i="38"/>
  <c r="Q39" i="38"/>
  <c r="Q22" i="38"/>
  <c r="Q25" i="38"/>
  <c r="Q38" i="38"/>
  <c r="P86" i="38"/>
  <c r="W224" i="38"/>
  <c r="W181" i="38"/>
  <c r="Y181" i="38" s="1"/>
  <c r="W226" i="38"/>
  <c r="Y226" i="38" s="1"/>
  <c r="W185" i="38"/>
  <c r="Y185" i="38" s="1"/>
  <c r="W116" i="38"/>
  <c r="Y116" i="38" s="1"/>
  <c r="W179" i="38"/>
  <c r="Y179" i="38" s="1"/>
  <c r="W221" i="38"/>
  <c r="Y221" i="38" s="1"/>
  <c r="W123" i="38"/>
  <c r="Y123" i="38" s="1"/>
  <c r="W176" i="38"/>
  <c r="Y176" i="38" s="1"/>
  <c r="W113" i="38"/>
  <c r="Y113" i="38" s="1"/>
  <c r="W328" i="38"/>
  <c r="Y328" i="38" s="1"/>
  <c r="W184" i="38"/>
  <c r="Y184" i="38" s="1"/>
  <c r="W137" i="38"/>
  <c r="Y137" i="38" s="1"/>
  <c r="W102" i="38"/>
  <c r="Y102" i="38" s="1"/>
  <c r="W165" i="38"/>
  <c r="Y165" i="38" s="1"/>
  <c r="W240" i="38"/>
  <c r="W222" i="38"/>
  <c r="W175" i="38"/>
  <c r="Y175" i="38" s="1"/>
  <c r="W180" i="38"/>
  <c r="Y180" i="38" s="1"/>
  <c r="W310" i="38"/>
  <c r="W110" i="38"/>
  <c r="Y110" i="38" s="1"/>
  <c r="Q5" i="73"/>
  <c r="Q9" i="73"/>
  <c r="Q3" i="73"/>
  <c r="Q6" i="73" s="1"/>
  <c r="Q8" i="73"/>
  <c r="W147" i="38"/>
  <c r="Y147" i="38" s="1"/>
  <c r="W173" i="38"/>
  <c r="Y173" i="38" s="1"/>
  <c r="W216" i="38"/>
  <c r="Q30" i="38"/>
  <c r="Q5" i="65"/>
  <c r="Q3" i="65"/>
  <c r="Q6" i="65" s="1"/>
  <c r="Q9" i="65" s="1"/>
  <c r="W163" i="38"/>
  <c r="Y163" i="38" s="1"/>
  <c r="W178" i="38"/>
  <c r="Y178" i="38" s="1"/>
  <c r="Q23" i="38"/>
  <c r="W109" i="38"/>
  <c r="Y109" i="38" s="1"/>
  <c r="W89" i="38"/>
  <c r="Y89" i="38" s="1"/>
  <c r="W139" i="38"/>
  <c r="Y139" i="38" s="1"/>
  <c r="W132" i="38"/>
  <c r="Y132" i="38" s="1"/>
  <c r="W348" i="38"/>
  <c r="Y348" i="38" s="1"/>
  <c r="W127" i="38"/>
  <c r="Y127" i="38" s="1"/>
  <c r="W274" i="38"/>
  <c r="W155" i="38"/>
  <c r="Y155" i="38" s="1"/>
  <c r="W194" i="38"/>
  <c r="Y194" i="38" s="1"/>
  <c r="W204" i="38"/>
  <c r="Y204" i="38" s="1"/>
  <c r="W183" i="38"/>
  <c r="Y183" i="38" s="1"/>
  <c r="W168" i="38"/>
  <c r="Y168" i="38" s="1"/>
  <c r="M42" i="61"/>
  <c r="Q10" i="61" s="1"/>
  <c r="Q8" i="66"/>
  <c r="Q7" i="66" s="1"/>
  <c r="Q65" i="38"/>
  <c r="Q36" i="38"/>
  <c r="W192" i="38"/>
  <c r="Y192" i="38" s="1"/>
  <c r="W95" i="38"/>
  <c r="Y95" i="38" s="1"/>
  <c r="W97" i="38"/>
  <c r="Y97" i="38" s="1"/>
  <c r="W211" i="38"/>
  <c r="W104" i="38"/>
  <c r="Y104" i="38" s="1"/>
  <c r="W142" i="38"/>
  <c r="Y142" i="38" s="1"/>
  <c r="W144" i="38"/>
  <c r="Y144" i="38" s="1"/>
  <c r="W134" i="38"/>
  <c r="Y134" i="38" s="1"/>
  <c r="W254" i="38"/>
  <c r="Y254" i="38" s="1"/>
  <c r="W129" i="38"/>
  <c r="Y129" i="38" s="1"/>
  <c r="W202" i="38"/>
  <c r="Y202" i="38" s="1"/>
  <c r="W307" i="38"/>
  <c r="W90" i="38"/>
  <c r="Y90" i="38" s="1"/>
  <c r="W164" i="38"/>
  <c r="Y164" i="38" s="1"/>
  <c r="W329" i="38"/>
  <c r="W197" i="38"/>
  <c r="Y197" i="38" s="1"/>
  <c r="W330" i="38"/>
  <c r="W212" i="38"/>
  <c r="Y212" i="38" s="1"/>
  <c r="W293" i="38"/>
  <c r="W187" i="38"/>
  <c r="Y187" i="38" s="1"/>
  <c r="W288" i="38"/>
  <c r="W319" i="38"/>
  <c r="W120" i="38"/>
  <c r="Y120" i="38" s="1"/>
  <c r="Q21" i="38"/>
  <c r="Q33" i="38"/>
  <c r="W189" i="38"/>
  <c r="Y189" i="38" s="1"/>
  <c r="W167" i="38"/>
  <c r="Y167" i="38" s="1"/>
  <c r="Q26" i="38"/>
  <c r="N240" i="38"/>
  <c r="U240" i="38"/>
  <c r="W150" i="38"/>
  <c r="Y150" i="38" s="1"/>
  <c r="W203" i="38"/>
  <c r="W133" i="38"/>
  <c r="Y133" i="38" s="1"/>
  <c r="W182" i="38"/>
  <c r="Y182" i="38" s="1"/>
  <c r="W199" i="38"/>
  <c r="W326" i="38"/>
  <c r="W225" i="38"/>
  <c r="Y225" i="38" s="1"/>
  <c r="W248" i="38"/>
  <c r="W276" i="38"/>
  <c r="W311" i="38"/>
  <c r="W143" i="38"/>
  <c r="Y143" i="38" s="1"/>
  <c r="W91" i="38"/>
  <c r="Y91" i="38" s="1"/>
  <c r="W172" i="38"/>
  <c r="Y172" i="38" s="1"/>
  <c r="Q3" i="61"/>
  <c r="Q6" i="61" s="1"/>
  <c r="M42" i="3"/>
  <c r="Q10" i="3" s="1"/>
  <c r="Q7" i="3" s="1"/>
  <c r="Q5" i="66"/>
  <c r="Q28" i="38"/>
  <c r="W140" i="38"/>
  <c r="Y140" i="38" s="1"/>
  <c r="W118" i="38"/>
  <c r="Y118" i="38" s="1"/>
  <c r="W219" i="38"/>
  <c r="W112" i="38"/>
  <c r="Y112" i="38" s="1"/>
  <c r="W159" i="38"/>
  <c r="Y159" i="38" s="1"/>
  <c r="W136" i="38"/>
  <c r="Y136" i="38" s="1"/>
  <c r="W267" i="38"/>
  <c r="W148" i="38"/>
  <c r="Y148" i="38" s="1"/>
  <c r="W207" i="38"/>
  <c r="W98" i="38"/>
  <c r="Y98" i="38" s="1"/>
  <c r="W177" i="38"/>
  <c r="Y177" i="38" s="1"/>
  <c r="W162" i="38"/>
  <c r="Y162" i="38" s="1"/>
  <c r="W201" i="38"/>
  <c r="Y201" i="38" s="1"/>
  <c r="W114" i="38"/>
  <c r="Y114" i="38" s="1"/>
  <c r="W220" i="38"/>
  <c r="W314" i="38"/>
  <c r="Y314" i="38" s="1"/>
  <c r="W191" i="38"/>
  <c r="Y191" i="38" s="1"/>
  <c r="W340" i="38"/>
  <c r="W362" i="38"/>
  <c r="Y362" i="38" s="1"/>
  <c r="Q42" i="38"/>
  <c r="Q3" i="63"/>
  <c r="Q6" i="63" s="1"/>
  <c r="Q5" i="63"/>
  <c r="Q8" i="63"/>
  <c r="M139" i="46"/>
  <c r="Q10" i="46" s="1"/>
  <c r="K131" i="46" s="1"/>
  <c r="W243" i="38"/>
  <c r="W119" i="38"/>
  <c r="Y119" i="38" s="1"/>
  <c r="W153" i="38"/>
  <c r="Y153" i="38" s="1"/>
  <c r="W188" i="38"/>
  <c r="Y188" i="38" s="1"/>
  <c r="W205" i="38"/>
  <c r="Y205" i="38" s="1"/>
  <c r="W190" i="38"/>
  <c r="Y190" i="38" s="1"/>
  <c r="W195" i="38"/>
  <c r="Y195" i="38" s="1"/>
  <c r="W354" i="38"/>
  <c r="W105" i="38"/>
  <c r="Y105" i="38" s="1"/>
  <c r="Q5" i="20"/>
  <c r="Q12" i="38"/>
  <c r="Q45" i="38"/>
  <c r="W111" i="38"/>
  <c r="Y111" i="38" s="1"/>
  <c r="Q79" i="38"/>
  <c r="Q32" i="38"/>
  <c r="Q19" i="38"/>
  <c r="W152" i="38"/>
  <c r="Y152" i="38" s="1"/>
  <c r="W128" i="38"/>
  <c r="Y128" i="38" s="1"/>
  <c r="W231" i="38"/>
  <c r="W154" i="38"/>
  <c r="Y154" i="38" s="1"/>
  <c r="W121" i="38"/>
  <c r="Y121" i="38" s="1"/>
  <c r="W93" i="38"/>
  <c r="Y93" i="38" s="1"/>
  <c r="W158" i="38"/>
  <c r="Y158" i="38" s="1"/>
  <c r="W215" i="38"/>
  <c r="W125" i="38"/>
  <c r="Y125" i="38" s="1"/>
  <c r="W198" i="38"/>
  <c r="Y198" i="38" s="1"/>
  <c r="W170" i="38"/>
  <c r="Y170" i="38" s="1"/>
  <c r="W209" i="38"/>
  <c r="W130" i="38"/>
  <c r="Y130" i="38" s="1"/>
  <c r="W193" i="38"/>
  <c r="Y193" i="38" s="1"/>
  <c r="W309" i="38"/>
  <c r="W200" i="38"/>
  <c r="W341" i="38"/>
  <c r="Q31" i="38"/>
  <c r="Q8" i="43"/>
  <c r="Q7" i="43" s="1"/>
  <c r="W196" i="38"/>
  <c r="Y196" i="38" s="1"/>
  <c r="Q8" i="38"/>
  <c r="W107" i="38"/>
  <c r="Y107" i="38" s="1"/>
  <c r="Q11" i="38"/>
  <c r="W103" i="38"/>
  <c r="Y103" i="38" s="1"/>
  <c r="M58" i="70"/>
  <c r="Q10" i="70" s="1"/>
  <c r="Q3" i="70"/>
  <c r="Q6" i="70" s="1"/>
  <c r="Q9" i="66"/>
  <c r="W96" i="38"/>
  <c r="Y96" i="38" s="1"/>
  <c r="W141" i="38"/>
  <c r="Y141" i="38" s="1"/>
  <c r="W115" i="38"/>
  <c r="Y115" i="38" s="1"/>
  <c r="W186" i="38"/>
  <c r="Y186" i="38" s="1"/>
  <c r="W149" i="38"/>
  <c r="Y149" i="38" s="1"/>
  <c r="W85" i="38"/>
  <c r="Y85" i="38" s="1"/>
  <c r="W210" i="38"/>
  <c r="W106" i="38"/>
  <c r="Y106" i="38" s="1"/>
  <c r="W166" i="38"/>
  <c r="Y166" i="38" s="1"/>
  <c r="W122" i="38"/>
  <c r="Y122" i="38" s="1"/>
  <c r="W300" i="38"/>
  <c r="W342" i="38"/>
  <c r="Q3" i="32"/>
  <c r="Q6" i="32" s="1"/>
  <c r="Q5" i="24"/>
  <c r="M39" i="33"/>
  <c r="Q10" i="33" s="1"/>
  <c r="Q4" i="38"/>
  <c r="Q37" i="38"/>
  <c r="W227" i="38"/>
  <c r="W151" i="38"/>
  <c r="Y151" i="38" s="1"/>
  <c r="W108" i="38"/>
  <c r="Y108" i="38" s="1"/>
  <c r="W156" i="38"/>
  <c r="Y156" i="38" s="1"/>
  <c r="W145" i="38"/>
  <c r="Y145" i="38" s="1"/>
  <c r="W86" i="38"/>
  <c r="Y86" i="38" s="1"/>
  <c r="W161" i="38"/>
  <c r="Y161" i="38" s="1"/>
  <c r="W169" i="38"/>
  <c r="Y169" i="38" s="1"/>
  <c r="W101" i="38"/>
  <c r="Y101" i="38" s="1"/>
  <c r="W160" i="38"/>
  <c r="Y160" i="38" s="1"/>
  <c r="W218" i="38"/>
  <c r="Y218" i="38" s="1"/>
  <c r="W131" i="38"/>
  <c r="Y131" i="38" s="1"/>
  <c r="W206" i="38"/>
  <c r="W174" i="38"/>
  <c r="Y174" i="38" s="1"/>
  <c r="W213" i="38"/>
  <c r="W138" i="38"/>
  <c r="Y138" i="38" s="1"/>
  <c r="W228" i="38"/>
  <c r="W304" i="38"/>
  <c r="W208" i="38"/>
  <c r="W353" i="38"/>
  <c r="Q7" i="38"/>
  <c r="W100" i="38"/>
  <c r="Y100" i="38" s="1"/>
  <c r="W126" i="38"/>
  <c r="Y126" i="38" s="1"/>
  <c r="W92" i="38"/>
  <c r="Y92" i="38" s="1"/>
  <c r="Q3" i="51"/>
  <c r="Q6" i="51" s="1"/>
  <c r="Q8" i="51"/>
  <c r="Q8" i="25"/>
  <c r="Q7" i="25" s="1"/>
  <c r="Q3" i="25"/>
  <c r="Q6" i="25" s="1"/>
  <c r="Q5" i="25"/>
  <c r="N233" i="38"/>
  <c r="U233" i="38"/>
  <c r="Q55" i="38"/>
  <c r="Q50" i="38"/>
  <c r="Q84" i="38"/>
  <c r="Q56" i="38"/>
  <c r="Q82" i="38"/>
  <c r="Q47" i="38"/>
  <c r="Q76" i="38"/>
  <c r="Q78" i="38"/>
  <c r="Q48" i="38"/>
  <c r="Q57" i="38"/>
  <c r="Q64" i="38"/>
  <c r="Q5" i="71"/>
  <c r="Q3" i="71"/>
  <c r="Q6" i="71" s="1"/>
  <c r="Q8" i="71"/>
  <c r="Q80" i="38"/>
  <c r="N227" i="38"/>
  <c r="U227" i="38"/>
  <c r="Q5" i="32"/>
  <c r="Q9" i="32"/>
  <c r="M238" i="51"/>
  <c r="Q8" i="57"/>
  <c r="Q51" i="38"/>
  <c r="W253" i="38"/>
  <c r="W247" i="38"/>
  <c r="W245" i="38"/>
  <c r="W333" i="38"/>
  <c r="W331" i="38"/>
  <c r="W363" i="38"/>
  <c r="Y363" i="38" s="1"/>
  <c r="W305" i="38"/>
  <c r="Y305" i="38" s="1"/>
  <c r="W232" i="38"/>
  <c r="W264" i="38"/>
  <c r="Y264" i="38" s="1"/>
  <c r="W344" i="38"/>
  <c r="W236" i="38"/>
  <c r="W259" i="38"/>
  <c r="W334" i="38"/>
  <c r="W296" i="38"/>
  <c r="W233" i="38"/>
  <c r="W246" i="38"/>
  <c r="W235" i="38"/>
  <c r="W308" i="38"/>
  <c r="Y308" i="38" s="1"/>
  <c r="W263" i="38"/>
  <c r="W272" i="38"/>
  <c r="Y272" i="38" s="1"/>
  <c r="W332" i="38"/>
  <c r="W277" i="38"/>
  <c r="W234" i="38"/>
  <c r="W298" i="38"/>
  <c r="Y298" i="38" s="1"/>
  <c r="W357" i="38"/>
  <c r="W347" i="38"/>
  <c r="Y347" i="38" s="1"/>
  <c r="W351" i="38"/>
  <c r="W343" i="38"/>
  <c r="Q59" i="38"/>
  <c r="Q63" i="38"/>
  <c r="Q18" i="38"/>
  <c r="Q15" i="38"/>
  <c r="W345" i="38"/>
  <c r="Y345" i="38" s="1"/>
  <c r="W237" i="38"/>
  <c r="W261" i="38"/>
  <c r="W346" i="38"/>
  <c r="Y346" i="38" s="1"/>
  <c r="W241" i="38"/>
  <c r="W324" i="38"/>
  <c r="W289" i="38"/>
  <c r="Y289" i="38" s="1"/>
  <c r="W335" i="38"/>
  <c r="Q3" i="56"/>
  <c r="Q6" i="56" s="1"/>
  <c r="Q5" i="56"/>
  <c r="Q8" i="56"/>
  <c r="Q7" i="56" s="1"/>
  <c r="Q58" i="38"/>
  <c r="Q74" i="38"/>
  <c r="Q3" i="53"/>
  <c r="Q6" i="53" s="1"/>
  <c r="Q41" i="38"/>
  <c r="Q60" i="38"/>
  <c r="Q69" i="38"/>
  <c r="Q72" i="38"/>
  <c r="Q35" i="38"/>
  <c r="Q67" i="38"/>
  <c r="W251" i="38"/>
  <c r="W302" i="38"/>
  <c r="W266" i="38"/>
  <c r="W249" i="38"/>
  <c r="W258" i="38"/>
  <c r="W321" i="38"/>
  <c r="Y321" i="38" s="1"/>
  <c r="W273" i="38"/>
  <c r="W280" i="38"/>
  <c r="W262" i="38"/>
  <c r="Y262" i="38" s="1"/>
  <c r="W284" i="38"/>
  <c r="Y284" i="38" s="1"/>
  <c r="W244" i="38"/>
  <c r="W306" i="38"/>
  <c r="W315" i="38"/>
  <c r="Y315" i="38" s="1"/>
  <c r="W356" i="38"/>
  <c r="Y356" i="38" s="1"/>
  <c r="W355" i="38"/>
  <c r="W350" i="38"/>
  <c r="Q46" i="38"/>
  <c r="Q62" i="38"/>
  <c r="W257" i="38"/>
  <c r="Q75" i="38"/>
  <c r="W316" i="38"/>
  <c r="W283" i="38"/>
  <c r="W229" i="38"/>
  <c r="W255" i="38"/>
  <c r="W336" i="38"/>
  <c r="Y336" i="38" s="1"/>
  <c r="W282" i="38"/>
  <c r="W275" i="38"/>
  <c r="W269" i="38"/>
  <c r="W352" i="38"/>
  <c r="W256" i="38"/>
  <c r="Y256" i="38" s="1"/>
  <c r="Q49" i="38"/>
  <c r="Q68" i="38"/>
  <c r="Q5" i="44"/>
  <c r="Q3" i="69"/>
  <c r="Q6" i="69" s="1"/>
  <c r="Q52" i="38"/>
  <c r="Q61" i="38"/>
  <c r="Q34" i="38"/>
  <c r="Q13" i="38"/>
  <c r="Q43" i="38"/>
  <c r="W281" i="38"/>
  <c r="W312" i="38"/>
  <c r="W279" i="38"/>
  <c r="W265" i="38"/>
  <c r="Y265" i="38" s="1"/>
  <c r="W301" i="38"/>
  <c r="W286" i="38"/>
  <c r="Y286" i="38" s="1"/>
  <c r="W270" i="38"/>
  <c r="Y270" i="38" s="1"/>
  <c r="W292" i="38"/>
  <c r="W260" i="38"/>
  <c r="W317" i="38"/>
  <c r="W323" i="38"/>
  <c r="W359" i="38"/>
  <c r="W295" i="38"/>
  <c r="W358" i="38"/>
  <c r="Q66" i="38"/>
  <c r="Q40" i="38"/>
  <c r="Q71" i="38"/>
  <c r="Q83" i="38"/>
  <c r="W271" i="38"/>
  <c r="W238" i="38"/>
  <c r="Y238" i="38" s="1"/>
  <c r="W318" i="38"/>
  <c r="W349" i="38"/>
  <c r="W327" i="38"/>
  <c r="W287" i="38"/>
  <c r="W291" i="38"/>
  <c r="W250" i="38"/>
  <c r="W339" i="38"/>
  <c r="Q77" i="38"/>
  <c r="Q8" i="17"/>
  <c r="Q44" i="38"/>
  <c r="Q53" i="38"/>
  <c r="N236" i="38"/>
  <c r="U236" i="38"/>
  <c r="W252" i="38"/>
  <c r="Y252" i="38" s="1"/>
  <c r="W230" i="38"/>
  <c r="W322" i="38"/>
  <c r="Y322" i="38" s="1"/>
  <c r="W294" i="38"/>
  <c r="W285" i="38"/>
  <c r="Y285" i="38" s="1"/>
  <c r="W239" i="38"/>
  <c r="W290" i="38"/>
  <c r="Y290" i="38" s="1"/>
  <c r="W278" i="38"/>
  <c r="Y278" i="38" s="1"/>
  <c r="W297" i="38"/>
  <c r="Y297" i="38" s="1"/>
  <c r="W268" i="38"/>
  <c r="W325" i="38"/>
  <c r="W337" i="38"/>
  <c r="Y337" i="38" s="1"/>
  <c r="W360" i="38"/>
  <c r="W303" i="38"/>
  <c r="Y303" i="38" s="1"/>
  <c r="W361" i="38"/>
  <c r="Q24" i="38"/>
  <c r="Q29" i="38"/>
  <c r="Q70" i="38"/>
  <c r="Q1034" i="38" l="1"/>
  <c r="Q1035" i="38"/>
  <c r="K222" i="58"/>
  <c r="K223" i="58"/>
  <c r="Q1033" i="38"/>
  <c r="Q1032" i="38"/>
  <c r="Q1031" i="38"/>
  <c r="Q1030" i="38"/>
  <c r="J67" i="45"/>
  <c r="J68" i="45"/>
  <c r="K220" i="58"/>
  <c r="K221" i="58"/>
  <c r="Q1029" i="38"/>
  <c r="Q1027" i="38"/>
  <c r="Q1028" i="38"/>
  <c r="Q1026" i="38"/>
  <c r="Q1024" i="38"/>
  <c r="Q1025" i="38"/>
  <c r="Q1022" i="38"/>
  <c r="Q1023" i="38"/>
  <c r="K218" i="58"/>
  <c r="K219" i="58"/>
  <c r="Q1021" i="38"/>
  <c r="K216" i="58"/>
  <c r="K217" i="58"/>
  <c r="Q1019" i="38"/>
  <c r="Q1020" i="38"/>
  <c r="Q1017" i="38"/>
  <c r="Q1018" i="38"/>
  <c r="Q1012" i="38"/>
  <c r="Q1016" i="38"/>
  <c r="Q1015" i="38"/>
  <c r="Q1014" i="38"/>
  <c r="K214" i="58"/>
  <c r="K215" i="58"/>
  <c r="Q1013" i="38"/>
  <c r="Q1010" i="38"/>
  <c r="Q1011" i="38"/>
  <c r="Q1008" i="38"/>
  <c r="Q1009" i="38"/>
  <c r="Q1006" i="38"/>
  <c r="Q1007" i="38"/>
  <c r="Q1003" i="38"/>
  <c r="Q1005" i="38"/>
  <c r="Q1004" i="38"/>
  <c r="Q999" i="38"/>
  <c r="Q1002" i="38"/>
  <c r="K212" i="58"/>
  <c r="K213" i="58"/>
  <c r="Q1001" i="38"/>
  <c r="Q1000" i="38"/>
  <c r="Q997" i="38"/>
  <c r="Q998" i="38"/>
  <c r="Q995" i="38"/>
  <c r="Q996" i="38"/>
  <c r="K210" i="58"/>
  <c r="K211" i="58"/>
  <c r="Q993" i="38"/>
  <c r="Q994" i="38"/>
  <c r="Q990" i="38"/>
  <c r="Q992" i="38"/>
  <c r="Q991" i="38"/>
  <c r="Q985" i="38"/>
  <c r="Q989" i="38"/>
  <c r="Q988" i="38"/>
  <c r="Q987" i="38"/>
  <c r="Q986" i="38"/>
  <c r="Q984" i="38"/>
  <c r="Q982" i="38"/>
  <c r="Q983" i="38"/>
  <c r="Q979" i="38"/>
  <c r="Q981" i="38"/>
  <c r="Q980" i="38"/>
  <c r="Q975" i="38"/>
  <c r="Q978" i="38"/>
  <c r="Q977" i="38"/>
  <c r="Q976" i="38"/>
  <c r="K208" i="58"/>
  <c r="K209" i="58"/>
  <c r="Q973" i="38"/>
  <c r="Q974" i="38"/>
  <c r="Q970" i="38"/>
  <c r="Q972" i="38"/>
  <c r="Q971" i="38"/>
  <c r="K206" i="58"/>
  <c r="K207" i="58"/>
  <c r="J65" i="45"/>
  <c r="J66" i="45"/>
  <c r="Q968" i="38"/>
  <c r="K129" i="46"/>
  <c r="K130" i="46"/>
  <c r="Q969" i="38"/>
  <c r="Q966" i="38"/>
  <c r="Q967" i="38"/>
  <c r="K203" i="58"/>
  <c r="K205" i="58"/>
  <c r="K204" i="58"/>
  <c r="Q964" i="38"/>
  <c r="Q965" i="38"/>
  <c r="Q963" i="38"/>
  <c r="Q962" i="38"/>
  <c r="Q956" i="38"/>
  <c r="Q961" i="38"/>
  <c r="Q960" i="38"/>
  <c r="Q959" i="38"/>
  <c r="Q958" i="38"/>
  <c r="Q957" i="38"/>
  <c r="Q951" i="38"/>
  <c r="Q955" i="38"/>
  <c r="K200" i="58"/>
  <c r="K201" i="58"/>
  <c r="K202" i="58"/>
  <c r="Q953" i="38"/>
  <c r="Q954" i="38"/>
  <c r="Q952" i="38"/>
  <c r="K127" i="46"/>
  <c r="K128" i="46"/>
  <c r="Q949" i="38"/>
  <c r="Q950" i="38"/>
  <c r="Q943" i="38"/>
  <c r="Q948" i="38"/>
  <c r="Q947" i="38"/>
  <c r="Q946" i="38"/>
  <c r="Q945" i="38"/>
  <c r="Q944" i="38"/>
  <c r="Q941" i="38"/>
  <c r="Q942" i="38"/>
  <c r="Q940" i="38"/>
  <c r="K198" i="58"/>
  <c r="K199" i="58"/>
  <c r="Q933" i="38"/>
  <c r="Q939" i="38"/>
  <c r="Q938" i="38"/>
  <c r="Q937" i="38"/>
  <c r="K126" i="46"/>
  <c r="K125" i="46"/>
  <c r="K196" i="58"/>
  <c r="K197" i="58"/>
  <c r="Q936" i="38"/>
  <c r="Q935" i="38"/>
  <c r="Q934" i="38"/>
  <c r="Q932" i="38"/>
  <c r="Q929" i="38"/>
  <c r="Q931" i="38"/>
  <c r="Q930" i="38"/>
  <c r="Q925" i="38"/>
  <c r="Q928" i="38"/>
  <c r="K194" i="58"/>
  <c r="K195" i="58"/>
  <c r="Q927" i="38"/>
  <c r="Q926" i="38"/>
  <c r="Q10" i="51"/>
  <c r="K53" i="51" s="1"/>
  <c r="Q923" i="38"/>
  <c r="Q924" i="38"/>
  <c r="Q921" i="38"/>
  <c r="Q922" i="38"/>
  <c r="Q920" i="38"/>
  <c r="Q919" i="38"/>
  <c r="K192" i="58"/>
  <c r="K193" i="58"/>
  <c r="Q917" i="38"/>
  <c r="Q918" i="38"/>
  <c r="K190" i="58"/>
  <c r="K191" i="58"/>
  <c r="Q915" i="38"/>
  <c r="Q916" i="38"/>
  <c r="Q912" i="38"/>
  <c r="Q914" i="38"/>
  <c r="Q913" i="38"/>
  <c r="Q909" i="38"/>
  <c r="Q911" i="38"/>
  <c r="Q910" i="38"/>
  <c r="Q907" i="38"/>
  <c r="Q908" i="38"/>
  <c r="Q906" i="38"/>
  <c r="K188" i="58"/>
  <c r="K189" i="58"/>
  <c r="K123" i="46"/>
  <c r="K124" i="46"/>
  <c r="J63" i="45"/>
  <c r="J64" i="45"/>
  <c r="Q904" i="38"/>
  <c r="Q905" i="38"/>
  <c r="Q902" i="38"/>
  <c r="Q903" i="38"/>
  <c r="K186" i="58"/>
  <c r="K187" i="58"/>
  <c r="Q898" i="38"/>
  <c r="Q901" i="38"/>
  <c r="Q900" i="38"/>
  <c r="K184" i="58"/>
  <c r="K185" i="58"/>
  <c r="Q899" i="38"/>
  <c r="Q897" i="38"/>
  <c r="Q895" i="38"/>
  <c r="Q896" i="38"/>
  <c r="Q893" i="38"/>
  <c r="Q894" i="38"/>
  <c r="Q885" i="38"/>
  <c r="Q892" i="38"/>
  <c r="Q891" i="38"/>
  <c r="Q890" i="38"/>
  <c r="Q889" i="38"/>
  <c r="Q888" i="38"/>
  <c r="Q887" i="38"/>
  <c r="Q886" i="38"/>
  <c r="Q878" i="38"/>
  <c r="Q884" i="38"/>
  <c r="Q883" i="38"/>
  <c r="Q882" i="38"/>
  <c r="Q881" i="38"/>
  <c r="Q880" i="38"/>
  <c r="Q879" i="38"/>
  <c r="Q876" i="38"/>
  <c r="Q877" i="38"/>
  <c r="Q872" i="38"/>
  <c r="Q875" i="38"/>
  <c r="Q874" i="38"/>
  <c r="Q873" i="38"/>
  <c r="J61" i="45"/>
  <c r="J62" i="45"/>
  <c r="Q871" i="38"/>
  <c r="Q867" i="38"/>
  <c r="Q870" i="38"/>
  <c r="Q869" i="38"/>
  <c r="Q868" i="38"/>
  <c r="Q863" i="38"/>
  <c r="Q866" i="38"/>
  <c r="Q865" i="38"/>
  <c r="Q864" i="38"/>
  <c r="Q858" i="38"/>
  <c r="Q862" i="38"/>
  <c r="Q861" i="38"/>
  <c r="Q860" i="38"/>
  <c r="K182" i="58"/>
  <c r="K183" i="58"/>
  <c r="K121" i="46"/>
  <c r="K122" i="46"/>
  <c r="Q859" i="38"/>
  <c r="Q855" i="38"/>
  <c r="Q857" i="38"/>
  <c r="Q856" i="38"/>
  <c r="Q853" i="38"/>
  <c r="Q854" i="38"/>
  <c r="Q843" i="38"/>
  <c r="Q852" i="38"/>
  <c r="K180" i="58"/>
  <c r="K181" i="58"/>
  <c r="K119" i="46"/>
  <c r="K120" i="46"/>
  <c r="Q851" i="38"/>
  <c r="Q850" i="38"/>
  <c r="Q849" i="38"/>
  <c r="Q848" i="38"/>
  <c r="Q847" i="38"/>
  <c r="Q846" i="38"/>
  <c r="Q845" i="38"/>
  <c r="Q844" i="38"/>
  <c r="K178" i="58"/>
  <c r="K179" i="58"/>
  <c r="Q841" i="38"/>
  <c r="Q842" i="38"/>
  <c r="Q840" i="38"/>
  <c r="K176" i="58"/>
  <c r="K177" i="58"/>
  <c r="Q837" i="38"/>
  <c r="Q839" i="38"/>
  <c r="Q838" i="38"/>
  <c r="Q830" i="38"/>
  <c r="Q836" i="38"/>
  <c r="Q835" i="38"/>
  <c r="Q834" i="38"/>
  <c r="Q833" i="38"/>
  <c r="Q832" i="38"/>
  <c r="Q831" i="38"/>
  <c r="Q827" i="38"/>
  <c r="Q829" i="38"/>
  <c r="Q828" i="38"/>
  <c r="Q822" i="38"/>
  <c r="Q826" i="38"/>
  <c r="Q825" i="38"/>
  <c r="Q824" i="38"/>
  <c r="Q823" i="38"/>
  <c r="J59" i="45"/>
  <c r="J60" i="45"/>
  <c r="K174" i="58"/>
  <c r="K175" i="58"/>
  <c r="Q821" i="38"/>
  <c r="Q815" i="38"/>
  <c r="Q820" i="38"/>
  <c r="Q819" i="38"/>
  <c r="Q818" i="38"/>
  <c r="Q817" i="38"/>
  <c r="Q816" i="38"/>
  <c r="Q813" i="38"/>
  <c r="Q814" i="38"/>
  <c r="Q812" i="38"/>
  <c r="Q811" i="38"/>
  <c r="Q808" i="38"/>
  <c r="Q810" i="38"/>
  <c r="Q809" i="38"/>
  <c r="Q806" i="38"/>
  <c r="Q807" i="38"/>
  <c r="Q799" i="38"/>
  <c r="Q805" i="38"/>
  <c r="Q804" i="38"/>
  <c r="Q803" i="38"/>
  <c r="Q802" i="38"/>
  <c r="Q800" i="38"/>
  <c r="Q801" i="38"/>
  <c r="Q795" i="38"/>
  <c r="Q798" i="38"/>
  <c r="Q797" i="38"/>
  <c r="Q796" i="38"/>
  <c r="Q790" i="38"/>
  <c r="Q794" i="38"/>
  <c r="K117" i="46"/>
  <c r="K118" i="46"/>
  <c r="K172" i="58"/>
  <c r="K173" i="58"/>
  <c r="Q793" i="38"/>
  <c r="Q792" i="38"/>
  <c r="Q791" i="38"/>
  <c r="Q786" i="38"/>
  <c r="Q789" i="38"/>
  <c r="K170" i="58"/>
  <c r="K171" i="58"/>
  <c r="Q788" i="38"/>
  <c r="Q787" i="38"/>
  <c r="Q784" i="38"/>
  <c r="Q785" i="38"/>
  <c r="Q780" i="38"/>
  <c r="Q783" i="38"/>
  <c r="Q782" i="38"/>
  <c r="Q781" i="38"/>
  <c r="Q778" i="38"/>
  <c r="Q779" i="38"/>
  <c r="Q777" i="38"/>
  <c r="K115" i="46"/>
  <c r="K116" i="46"/>
  <c r="K168" i="58"/>
  <c r="K169" i="58"/>
  <c r="Q774" i="38"/>
  <c r="Q776" i="38"/>
  <c r="Q775" i="38"/>
  <c r="Q772" i="38"/>
  <c r="K113" i="46"/>
  <c r="K114" i="46"/>
  <c r="Q773" i="38"/>
  <c r="Q771" i="38"/>
  <c r="Q769" i="38"/>
  <c r="Q770" i="38"/>
  <c r="K166" i="58"/>
  <c r="K167" i="58"/>
  <c r="Q766" i="38"/>
  <c r="Q768" i="38"/>
  <c r="K111" i="46"/>
  <c r="K112" i="46"/>
  <c r="Q767" i="38"/>
  <c r="Q764" i="38"/>
  <c r="Q765" i="38"/>
  <c r="Q763" i="38"/>
  <c r="K164" i="58"/>
  <c r="K165" i="58"/>
  <c r="Q762" i="38"/>
  <c r="Q760" i="38"/>
  <c r="Q761" i="38"/>
  <c r="Q758" i="38"/>
  <c r="Q759" i="38"/>
  <c r="Q753" i="38"/>
  <c r="Q757" i="38"/>
  <c r="Q756" i="38"/>
  <c r="Q755" i="38"/>
  <c r="Q754" i="38"/>
  <c r="K109" i="46"/>
  <c r="K110" i="46"/>
  <c r="K162" i="58"/>
  <c r="K163" i="58"/>
  <c r="Q751" i="38"/>
  <c r="Q752" i="38"/>
  <c r="J57" i="45"/>
  <c r="J58" i="45"/>
  <c r="Q748" i="38"/>
  <c r="Q750" i="38"/>
  <c r="Q749" i="38"/>
  <c r="K160" i="58"/>
  <c r="K161" i="58"/>
  <c r="K107" i="46"/>
  <c r="K108" i="46"/>
  <c r="Q746" i="38"/>
  <c r="Q747" i="38"/>
  <c r="Q744" i="38"/>
  <c r="Q745" i="38"/>
  <c r="Q743" i="38"/>
  <c r="Q741" i="38"/>
  <c r="Q742" i="38"/>
  <c r="Q739" i="38"/>
  <c r="Q740" i="38"/>
  <c r="Q738" i="38"/>
  <c r="K106" i="46"/>
  <c r="K105" i="46"/>
  <c r="J36" i="53"/>
  <c r="J37" i="53"/>
  <c r="Q737" i="38"/>
  <c r="K103" i="46"/>
  <c r="K104" i="46"/>
  <c r="Q736" i="38"/>
  <c r="Q727" i="38"/>
  <c r="Q735" i="38"/>
  <c r="Q734" i="38"/>
  <c r="K158" i="58"/>
  <c r="K159" i="58"/>
  <c r="Q733" i="38"/>
  <c r="Q732" i="38"/>
  <c r="K101" i="46"/>
  <c r="K102" i="46"/>
  <c r="Q731" i="38"/>
  <c r="J48" i="45"/>
  <c r="J56" i="45"/>
  <c r="J55" i="45"/>
  <c r="J54" i="45"/>
  <c r="J53" i="45"/>
  <c r="J52" i="45"/>
  <c r="J51" i="45"/>
  <c r="J49" i="45"/>
  <c r="J50" i="45"/>
  <c r="J47" i="45"/>
  <c r="J46" i="45"/>
  <c r="J45" i="45"/>
  <c r="J44" i="45"/>
  <c r="J43" i="45"/>
  <c r="J42" i="45"/>
  <c r="J41" i="45"/>
  <c r="J40" i="45"/>
  <c r="J39" i="45"/>
  <c r="J38" i="45"/>
  <c r="J37" i="45"/>
  <c r="J36" i="45"/>
  <c r="J35" i="45"/>
  <c r="J34" i="45"/>
  <c r="J33" i="45"/>
  <c r="J32" i="45"/>
  <c r="J31" i="45"/>
  <c r="J30" i="45"/>
  <c r="J29" i="45"/>
  <c r="J28" i="45"/>
  <c r="J27" i="45"/>
  <c r="J26" i="45"/>
  <c r="J25" i="45"/>
  <c r="J24" i="45"/>
  <c r="K156" i="58"/>
  <c r="K157" i="58"/>
  <c r="Q730" i="38"/>
  <c r="Q729" i="38"/>
  <c r="Q728" i="38"/>
  <c r="Q724" i="38"/>
  <c r="K99" i="46"/>
  <c r="K100" i="46"/>
  <c r="K154" i="58"/>
  <c r="K155" i="58"/>
  <c r="Q726" i="38"/>
  <c r="Q725" i="38"/>
  <c r="K152" i="58"/>
  <c r="K153" i="58"/>
  <c r="K97" i="46"/>
  <c r="K98" i="46"/>
  <c r="Q723" i="38"/>
  <c r="Q721" i="38"/>
  <c r="Q719" i="38"/>
  <c r="Q722" i="38"/>
  <c r="K96" i="46"/>
  <c r="K95" i="46"/>
  <c r="K94" i="46"/>
  <c r="K93" i="46"/>
  <c r="K92" i="46"/>
  <c r="K91" i="46"/>
  <c r="K90" i="46"/>
  <c r="K88" i="46"/>
  <c r="K89" i="46"/>
  <c r="K87" i="46"/>
  <c r="K86" i="46"/>
  <c r="K85" i="46"/>
  <c r="K84" i="46"/>
  <c r="K83" i="46"/>
  <c r="K82" i="46"/>
  <c r="K81" i="46"/>
  <c r="K80" i="46"/>
  <c r="K79" i="46"/>
  <c r="Q720" i="38"/>
  <c r="J35" i="53"/>
  <c r="J34" i="53"/>
  <c r="J33" i="53"/>
  <c r="J32" i="53"/>
  <c r="J31" i="53"/>
  <c r="J30" i="53"/>
  <c r="J29" i="53"/>
  <c r="J28" i="53"/>
  <c r="J27" i="53"/>
  <c r="J26" i="53"/>
  <c r="J25" i="53"/>
  <c r="K151" i="58"/>
  <c r="K150" i="58"/>
  <c r="K149" i="58"/>
  <c r="K148" i="58"/>
  <c r="K147" i="58"/>
  <c r="K146" i="58"/>
  <c r="K145" i="58"/>
  <c r="K143" i="58"/>
  <c r="K144" i="58"/>
  <c r="K142" i="58"/>
  <c r="K141" i="58"/>
  <c r="K140" i="58"/>
  <c r="K139" i="58"/>
  <c r="K138" i="58"/>
  <c r="Q712" i="38"/>
  <c r="Q718" i="38"/>
  <c r="Q717" i="38"/>
  <c r="Q716" i="38"/>
  <c r="Q715" i="38"/>
  <c r="Q714" i="38"/>
  <c r="Q713" i="38"/>
  <c r="Q710" i="38"/>
  <c r="Q711" i="38"/>
  <c r="Q702" i="38"/>
  <c r="Q709" i="38"/>
  <c r="Q708" i="38"/>
  <c r="Q707" i="38"/>
  <c r="Q706" i="38"/>
  <c r="Q705" i="38"/>
  <c r="Q704" i="38"/>
  <c r="Q703" i="38"/>
  <c r="Q698" i="38"/>
  <c r="Q701" i="38"/>
  <c r="Q700" i="38"/>
  <c r="Q699" i="38"/>
  <c r="Q689" i="38"/>
  <c r="Q696" i="38"/>
  <c r="Q697" i="38"/>
  <c r="Q695" i="38"/>
  <c r="Q694" i="38"/>
  <c r="Q693" i="38"/>
  <c r="Q692" i="38"/>
  <c r="Q691" i="38"/>
  <c r="Q690" i="38"/>
  <c r="Q686" i="38"/>
  <c r="Q688" i="38"/>
  <c r="Q687" i="38"/>
  <c r="Q683" i="38"/>
  <c r="Q685" i="38"/>
  <c r="Q684" i="38"/>
  <c r="Q682" i="38"/>
  <c r="Q680" i="38"/>
  <c r="Q681" i="38"/>
  <c r="Q679" i="38"/>
  <c r="Q677" i="38"/>
  <c r="Q678" i="38"/>
  <c r="Q676" i="38"/>
  <c r="Q675" i="38"/>
  <c r="Q674" i="38"/>
  <c r="Q673" i="38"/>
  <c r="Q671" i="38"/>
  <c r="Q672" i="38"/>
  <c r="Q670" i="38"/>
  <c r="Q669" i="38"/>
  <c r="Q668" i="38"/>
  <c r="Q667" i="38"/>
  <c r="Q665" i="38"/>
  <c r="Q666" i="38"/>
  <c r="Q664" i="38"/>
  <c r="Q663" i="38"/>
  <c r="Q661" i="38"/>
  <c r="Q662" i="38"/>
  <c r="Q659" i="38"/>
  <c r="Q660" i="38"/>
  <c r="Q657" i="38"/>
  <c r="Q658" i="38"/>
  <c r="Q644" i="38"/>
  <c r="Y355" i="38"/>
  <c r="Y267" i="38"/>
  <c r="Q656" i="38"/>
  <c r="Y248" i="38"/>
  <c r="Q655" i="38"/>
  <c r="Q654" i="38"/>
  <c r="Q648" i="38"/>
  <c r="Q651" i="38"/>
  <c r="Q647" i="38"/>
  <c r="Q638" i="38"/>
  <c r="Q650" i="38"/>
  <c r="Q652" i="38"/>
  <c r="Q649" i="38"/>
  <c r="Q653" i="38"/>
  <c r="Q646" i="38"/>
  <c r="Q642" i="38"/>
  <c r="Q639" i="38"/>
  <c r="Q643" i="38"/>
  <c r="Q640" i="38"/>
  <c r="Q645" i="38"/>
  <c r="Y332" i="38"/>
  <c r="Q641" i="38"/>
  <c r="Q637" i="38"/>
  <c r="Q636" i="38"/>
  <c r="Q635" i="38"/>
  <c r="Q634" i="38"/>
  <c r="Q631" i="38"/>
  <c r="Q633" i="38"/>
  <c r="Q632" i="38"/>
  <c r="Q626" i="38"/>
  <c r="Q625" i="38"/>
  <c r="Q628" i="38"/>
  <c r="Q629" i="38"/>
  <c r="Q627" i="38"/>
  <c r="Q630" i="38"/>
  <c r="Q622" i="38"/>
  <c r="Q620" i="38"/>
  <c r="Q624" i="38"/>
  <c r="Y339" i="38"/>
  <c r="Q623" i="38"/>
  <c r="Q621" i="38"/>
  <c r="Q619" i="38"/>
  <c r="Y361" i="38"/>
  <c r="Y261" i="38"/>
  <c r="Q617" i="38"/>
  <c r="Q618" i="38"/>
  <c r="Q616" i="38"/>
  <c r="Q611" i="38"/>
  <c r="Y200" i="38"/>
  <c r="Y215" i="38"/>
  <c r="Y276" i="38"/>
  <c r="Q614" i="38"/>
  <c r="Q612" i="38"/>
  <c r="Q615" i="38"/>
  <c r="Q613" i="38"/>
  <c r="Q610" i="38"/>
  <c r="Q609" i="38"/>
  <c r="Y257" i="38"/>
  <c r="Y323" i="38"/>
  <c r="Y277" i="38"/>
  <c r="Q608" i="38"/>
  <c r="Y354" i="38"/>
  <c r="Y250" i="38"/>
  <c r="Y199" i="38"/>
  <c r="Y275" i="38"/>
  <c r="Y244" i="38"/>
  <c r="Y219" i="38"/>
  <c r="Q604" i="38"/>
  <c r="Y271" i="38"/>
  <c r="Y279" i="38"/>
  <c r="Y210" i="38"/>
  <c r="Y340" i="38"/>
  <c r="Y320" i="38"/>
  <c r="Y214" i="38"/>
  <c r="Q606" i="38"/>
  <c r="Y259" i="38"/>
  <c r="Y274" i="38"/>
  <c r="Y239" i="38"/>
  <c r="Y283" i="38"/>
  <c r="Y300" i="38"/>
  <c r="Y352" i="38"/>
  <c r="Y228" i="38"/>
  <c r="Y217" i="38"/>
  <c r="Y237" i="38"/>
  <c r="Y358" i="38"/>
  <c r="Y295" i="38"/>
  <c r="Y301" i="38"/>
  <c r="Q601" i="38"/>
  <c r="Y268" i="38"/>
  <c r="Y230" i="38"/>
  <c r="Y282" i="38"/>
  <c r="Y302" i="38"/>
  <c r="Y324" i="38"/>
  <c r="Y296" i="38"/>
  <c r="Y330" i="38"/>
  <c r="Y234" i="38"/>
  <c r="Q607" i="38"/>
  <c r="Y251" i="38"/>
  <c r="Y331" i="38"/>
  <c r="Y206" i="38"/>
  <c r="Y243" i="38"/>
  <c r="Y207" i="38"/>
  <c r="Y311" i="38"/>
  <c r="Y338" i="38"/>
  <c r="Q605" i="38"/>
  <c r="Y327" i="38"/>
  <c r="Y235" i="38"/>
  <c r="Y232" i="38"/>
  <c r="Y242" i="38"/>
  <c r="Q603" i="38"/>
  <c r="Q599" i="38"/>
  <c r="Q597" i="38"/>
  <c r="Y312" i="38"/>
  <c r="Y241" i="38"/>
  <c r="Y281" i="38"/>
  <c r="Y255" i="38"/>
  <c r="Y350" i="38"/>
  <c r="Y280" i="38"/>
  <c r="Y222" i="38"/>
  <c r="Y224" i="38"/>
  <c r="Q591" i="38"/>
  <c r="Q602" i="38"/>
  <c r="Y203" i="38"/>
  <c r="Y263" i="38"/>
  <c r="Y341" i="38"/>
  <c r="Y291" i="38"/>
  <c r="Y229" i="38"/>
  <c r="Q588" i="38"/>
  <c r="Y316" i="38"/>
  <c r="Y307" i="38"/>
  <c r="Q600" i="38"/>
  <c r="Y294" i="38"/>
  <c r="Y318" i="38"/>
  <c r="Y269" i="38"/>
  <c r="Y249" i="38"/>
  <c r="Y335" i="38"/>
  <c r="Y209" i="38"/>
  <c r="Y293" i="38"/>
  <c r="Y213" i="38"/>
  <c r="Y306" i="38"/>
  <c r="Y246" i="38"/>
  <c r="Y325" i="38"/>
  <c r="Y359" i="38"/>
  <c r="Y266" i="38"/>
  <c r="Y231" i="38"/>
  <c r="Y216" i="38"/>
  <c r="Y310" i="38"/>
  <c r="Q587" i="38"/>
  <c r="Y317" i="38"/>
  <c r="Y334" i="38"/>
  <c r="Y343" i="38"/>
  <c r="Y333" i="38"/>
  <c r="Y292" i="38"/>
  <c r="Y273" i="38"/>
  <c r="Y351" i="38"/>
  <c r="Y245" i="38"/>
  <c r="Y208" i="38"/>
  <c r="Y342" i="38"/>
  <c r="Y309" i="38"/>
  <c r="Y220" i="38"/>
  <c r="Y319" i="38"/>
  <c r="Y260" i="38"/>
  <c r="Y287" i="38"/>
  <c r="Y344" i="38"/>
  <c r="Y247" i="38"/>
  <c r="Y304" i="38"/>
  <c r="Y288" i="38"/>
  <c r="Q598" i="38"/>
  <c r="Y353" i="38"/>
  <c r="Y329" i="38"/>
  <c r="Y360" i="38"/>
  <c r="Y349" i="38"/>
  <c r="Y357" i="38"/>
  <c r="Y253" i="38"/>
  <c r="Y326" i="38"/>
  <c r="Y211" i="38"/>
  <c r="Q593" i="38"/>
  <c r="Q589" i="38"/>
  <c r="Q586" i="38"/>
  <c r="Q590" i="38"/>
  <c r="Q592" i="38"/>
  <c r="Q595" i="38"/>
  <c r="Q596" i="38"/>
  <c r="Q594" i="38"/>
  <c r="O258" i="38"/>
  <c r="Y258" i="38" s="1"/>
  <c r="Z258" i="38"/>
  <c r="Q584" i="38"/>
  <c r="Q585" i="38"/>
  <c r="O233" i="38"/>
  <c r="Z233" i="38"/>
  <c r="O236" i="38"/>
  <c r="Y236" i="38" s="1"/>
  <c r="Z236" i="38"/>
  <c r="O227" i="38"/>
  <c r="Y227" i="38" s="1"/>
  <c r="Z227" i="38"/>
  <c r="O240" i="38"/>
  <c r="Y240" i="38" s="1"/>
  <c r="Z240" i="38"/>
  <c r="Q580" i="38"/>
  <c r="Q583" i="38"/>
  <c r="Q582" i="38"/>
  <c r="Q573" i="38"/>
  <c r="Q577" i="38"/>
  <c r="Q574" i="38"/>
  <c r="Q576" i="38"/>
  <c r="Q578" i="38"/>
  <c r="Q575" i="38"/>
  <c r="Q581" i="38"/>
  <c r="Q572" i="38"/>
  <c r="Q579" i="38"/>
  <c r="Q9" i="49"/>
  <c r="Q9" i="47"/>
  <c r="Q571" i="38"/>
  <c r="Q570" i="38"/>
  <c r="Q569" i="38"/>
  <c r="Q566" i="38"/>
  <c r="Q568" i="38"/>
  <c r="Q562" i="38"/>
  <c r="Q567" i="38"/>
  <c r="Q560" i="38"/>
  <c r="Q565" i="38"/>
  <c r="Q564" i="38"/>
  <c r="Y233" i="38"/>
  <c r="Q558" i="38"/>
  <c r="Q561" i="38"/>
  <c r="Q563" i="38"/>
  <c r="Q557" i="38"/>
  <c r="Q556" i="38"/>
  <c r="Q559" i="38"/>
  <c r="Q555" i="38"/>
  <c r="Q553" i="38"/>
  <c r="Q554" i="38"/>
  <c r="Q552" i="38"/>
  <c r="Q551" i="38"/>
  <c r="Q548" i="38"/>
  <c r="Q550" i="38"/>
  <c r="Q549" i="38"/>
  <c r="Q539" i="38"/>
  <c r="Q540" i="38"/>
  <c r="Q546" i="38"/>
  <c r="Q547" i="38"/>
  <c r="Q541" i="38"/>
  <c r="Q543" i="38"/>
  <c r="Q544" i="38"/>
  <c r="Q542" i="38"/>
  <c r="Q537" i="38"/>
  <c r="Q545" i="38"/>
  <c r="Q538" i="38"/>
  <c r="Q534" i="38"/>
  <c r="Q536" i="38"/>
  <c r="Q535" i="38"/>
  <c r="Q527" i="38"/>
  <c r="Q530" i="38"/>
  <c r="Q532" i="38"/>
  <c r="Q531" i="38"/>
  <c r="Q533" i="38"/>
  <c r="Q528" i="38"/>
  <c r="Q529" i="38"/>
  <c r="Q523" i="38"/>
  <c r="Q516" i="38"/>
  <c r="Q495" i="38"/>
  <c r="Q512" i="38"/>
  <c r="Q524" i="38"/>
  <c r="Q513" i="38"/>
  <c r="Q519" i="38"/>
  <c r="Q521" i="38"/>
  <c r="Q522" i="38"/>
  <c r="Q518" i="38"/>
  <c r="Q515" i="38"/>
  <c r="Q526" i="38"/>
  <c r="Q520" i="38"/>
  <c r="Q514" i="38"/>
  <c r="Q525" i="38"/>
  <c r="Q517" i="38"/>
  <c r="Q511" i="38"/>
  <c r="Q501" i="38"/>
  <c r="Q499" i="38"/>
  <c r="Q491" i="38"/>
  <c r="Q492" i="38"/>
  <c r="Q508" i="38"/>
  <c r="Q500" i="38"/>
  <c r="Q503" i="38"/>
  <c r="Q494" i="38"/>
  <c r="Q496" i="38"/>
  <c r="Q506" i="38"/>
  <c r="Q510" i="38"/>
  <c r="Q498" i="38"/>
  <c r="Q505" i="38"/>
  <c r="Q502" i="38"/>
  <c r="Q504" i="38"/>
  <c r="Q509" i="38"/>
  <c r="Q497" i="38"/>
  <c r="Q493" i="38"/>
  <c r="Q507" i="38"/>
  <c r="Q489" i="38"/>
  <c r="Q490" i="38"/>
  <c r="Q488" i="38"/>
  <c r="Q486" i="38"/>
  <c r="Q485" i="38"/>
  <c r="Q487" i="38"/>
  <c r="Q484" i="38"/>
  <c r="Q476" i="38"/>
  <c r="Q483" i="38"/>
  <c r="Q480" i="38"/>
  <c r="Q482" i="38"/>
  <c r="Q479" i="38"/>
  <c r="Q481" i="38"/>
  <c r="Q478" i="38"/>
  <c r="Q477" i="38"/>
  <c r="Q473" i="38"/>
  <c r="Q475" i="38"/>
  <c r="Q9" i="46"/>
  <c r="Q474" i="38"/>
  <c r="Q472" i="38"/>
  <c r="Q471" i="38"/>
  <c r="Q465" i="38"/>
  <c r="Q459" i="38"/>
  <c r="Q468" i="38"/>
  <c r="Q470" i="38"/>
  <c r="Q464" i="38"/>
  <c r="Q469" i="38"/>
  <c r="Q462" i="38"/>
  <c r="Q458" i="38"/>
  <c r="Q455" i="38"/>
  <c r="Q460" i="38"/>
  <c r="Q466" i="38"/>
  <c r="Q467" i="38"/>
  <c r="Q463" i="38"/>
  <c r="Q461" i="38"/>
  <c r="Q9" i="56"/>
  <c r="Q456" i="38"/>
  <c r="Q453" i="38"/>
  <c r="Q454" i="38"/>
  <c r="Q457" i="38"/>
  <c r="Q452" i="38"/>
  <c r="Q451" i="38"/>
  <c r="Q432" i="38"/>
  <c r="Q9" i="63"/>
  <c r="Q449" i="38"/>
  <c r="Q436" i="38"/>
  <c r="Q427" i="38"/>
  <c r="Q438" i="38"/>
  <c r="Q450" i="38"/>
  <c r="Q437" i="38"/>
  <c r="Q448" i="38"/>
  <c r="Q435" i="38"/>
  <c r="Q425" i="38"/>
  <c r="Q446" i="38"/>
  <c r="Q443" i="38"/>
  <c r="Q428" i="38"/>
  <c r="Q441" i="38"/>
  <c r="Q440" i="38"/>
  <c r="Q444" i="38"/>
  <c r="Q439" i="38"/>
  <c r="Q429" i="38"/>
  <c r="Q445" i="38"/>
  <c r="Q442" i="38"/>
  <c r="Q447" i="38"/>
  <c r="Q434" i="38"/>
  <c r="Q430" i="38"/>
  <c r="Q433" i="38"/>
  <c r="Q426" i="38"/>
  <c r="Q424" i="38"/>
  <c r="Q431" i="38"/>
  <c r="Q423" i="38"/>
  <c r="Q422" i="38"/>
  <c r="Q417" i="38"/>
  <c r="Q411" i="38"/>
  <c r="Q413" i="38"/>
  <c r="Q414" i="38"/>
  <c r="Q419" i="38"/>
  <c r="Q418" i="38"/>
  <c r="Q420" i="38"/>
  <c r="Q421" i="38"/>
  <c r="Q412" i="38"/>
  <c r="Q406" i="38"/>
  <c r="Q415" i="38"/>
  <c r="Q416" i="38"/>
  <c r="Q410" i="38"/>
  <c r="Q405" i="38"/>
  <c r="Q409" i="38"/>
  <c r="Q408" i="38"/>
  <c r="Q407" i="38"/>
  <c r="Q404" i="38"/>
  <c r="Q401" i="38"/>
  <c r="Q398" i="38"/>
  <c r="Q403" i="38"/>
  <c r="Q402" i="38"/>
  <c r="Q9" i="74"/>
  <c r="Q397" i="38"/>
  <c r="Q399" i="38"/>
  <c r="Q400" i="38"/>
  <c r="Q395" i="38"/>
  <c r="Q396" i="38"/>
  <c r="Q393" i="38"/>
  <c r="Q394" i="38"/>
  <c r="Q392" i="38"/>
  <c r="Q385" i="38"/>
  <c r="Q386" i="38"/>
  <c r="Q391" i="38"/>
  <c r="Q390" i="38"/>
  <c r="Q382" i="38"/>
  <c r="Q387" i="38"/>
  <c r="Q384" i="38"/>
  <c r="Q388" i="38"/>
  <c r="Q383" i="38"/>
  <c r="Q389" i="38"/>
  <c r="Q381" i="38"/>
  <c r="Q380" i="38"/>
  <c r="Q377" i="38"/>
  <c r="Q379" i="38"/>
  <c r="Q375" i="38"/>
  <c r="Q378" i="38"/>
  <c r="Q376" i="38"/>
  <c r="Q7" i="47"/>
  <c r="Q374" i="38"/>
  <c r="Q7" i="62"/>
  <c r="Q9" i="64"/>
  <c r="Q372" i="38"/>
  <c r="Q370" i="38"/>
  <c r="Q371" i="38"/>
  <c r="Q373" i="38"/>
  <c r="Q7" i="55"/>
  <c r="Q7" i="26"/>
  <c r="Q7" i="22"/>
  <c r="Q9" i="16"/>
  <c r="Q274" i="38"/>
  <c r="Q369" i="38"/>
  <c r="Q367" i="38"/>
  <c r="Q368" i="38"/>
  <c r="Q7" i="52"/>
  <c r="Q261" i="38"/>
  <c r="Q7" i="49"/>
  <c r="Q9" i="75"/>
  <c r="Q9" i="69"/>
  <c r="Q9" i="53"/>
  <c r="Q9" i="72"/>
  <c r="Q7" i="70"/>
  <c r="Q7" i="64"/>
  <c r="Q366" i="38"/>
  <c r="Q132" i="38"/>
  <c r="Q7" i="20"/>
  <c r="Q7" i="16"/>
  <c r="Q145" i="38"/>
  <c r="Q85" i="38"/>
  <c r="Q7" i="53"/>
  <c r="Q180" i="38"/>
  <c r="Q7" i="15"/>
  <c r="Q204" i="38"/>
  <c r="Q232" i="38"/>
  <c r="Q268" i="38"/>
  <c r="Q169" i="38"/>
  <c r="Q7" i="63"/>
  <c r="Q7" i="73"/>
  <c r="Q345" i="38"/>
  <c r="Q144" i="38"/>
  <c r="Q214" i="38"/>
  <c r="Q102" i="38"/>
  <c r="Q7" i="46"/>
  <c r="Q356" i="38"/>
  <c r="Q149" i="38"/>
  <c r="Q175" i="38"/>
  <c r="Q114" i="38"/>
  <c r="Q96" i="38"/>
  <c r="Q7" i="13"/>
  <c r="Q348" i="38"/>
  <c r="Q350" i="38"/>
  <c r="Q135" i="38"/>
  <c r="Q7" i="71"/>
  <c r="Q172" i="38"/>
  <c r="Q307" i="38"/>
  <c r="Q265" i="38"/>
  <c r="Q223" i="38"/>
  <c r="Q235" i="38"/>
  <c r="Q151" i="38"/>
  <c r="Q7" i="17"/>
  <c r="Q170" i="38"/>
  <c r="Q288" i="38"/>
  <c r="Q344" i="38"/>
  <c r="Q283" i="38"/>
  <c r="Q99" i="38"/>
  <c r="Q294" i="38"/>
  <c r="Q9" i="68"/>
  <c r="Q7" i="50"/>
  <c r="Q360" i="38"/>
  <c r="Q224" i="38"/>
  <c r="Q9" i="70"/>
  <c r="Q9" i="45"/>
  <c r="Q7" i="29"/>
  <c r="Q336" i="38"/>
  <c r="Q7" i="24"/>
  <c r="Q9" i="48"/>
  <c r="N267" i="1"/>
  <c r="Q7" i="48"/>
  <c r="Q9" i="51"/>
  <c r="Q7" i="58"/>
  <c r="Q7" i="45"/>
  <c r="Q7" i="33"/>
  <c r="Q7" i="61"/>
  <c r="Q9" i="58"/>
  <c r="Q205" i="38"/>
  <c r="Q219" i="38"/>
  <c r="Q258" i="38"/>
  <c r="Q300" i="38"/>
  <c r="Q244" i="38"/>
  <c r="Q266" i="38"/>
  <c r="Q91" i="38"/>
  <c r="Q263" i="38"/>
  <c r="Q182" i="38"/>
  <c r="Q7" i="41"/>
  <c r="Q238" i="38"/>
  <c r="Q251" i="38"/>
  <c r="Q199" i="38"/>
  <c r="Q208" i="38"/>
  <c r="Q160" i="38"/>
  <c r="Q320" i="38"/>
  <c r="Q227" i="38"/>
  <c r="Q141" i="38"/>
  <c r="Q245" i="38"/>
  <c r="Q253" i="38"/>
  <c r="Q277" i="38"/>
  <c r="Q363" i="38"/>
  <c r="Q156" i="38"/>
  <c r="Q280" i="38"/>
  <c r="Q365" i="38"/>
  <c r="Q264" i="38"/>
  <c r="Q105" i="38"/>
  <c r="Q346" i="38"/>
  <c r="Q220" i="38"/>
  <c r="Q364" i="38"/>
  <c r="Q9" i="43"/>
  <c r="Q9" i="61"/>
  <c r="Q9" i="71"/>
  <c r="Q9" i="25"/>
  <c r="Q247" i="38"/>
  <c r="Q196" i="38"/>
  <c r="Q243" i="38"/>
  <c r="Q260" i="38"/>
  <c r="Q161" i="38"/>
  <c r="Q165" i="38"/>
  <c r="Q190" i="38"/>
  <c r="Q319" i="38"/>
  <c r="Q341" i="38"/>
  <c r="Q329" i="38"/>
  <c r="Q226" i="38"/>
  <c r="Q237" i="38"/>
  <c r="Q295" i="38"/>
  <c r="Q93" i="38"/>
  <c r="Q234" i="38"/>
  <c r="Q209" i="38"/>
  <c r="Q179" i="38"/>
  <c r="Q324" i="38"/>
  <c r="Q119" i="38"/>
  <c r="Q104" i="38"/>
  <c r="Q101" i="38"/>
  <c r="Q358" i="38"/>
  <c r="Q282" i="38"/>
  <c r="Q318" i="38"/>
  <c r="Q157" i="38"/>
  <c r="Q133" i="38"/>
  <c r="Q138" i="38"/>
  <c r="Q333" i="38"/>
  <c r="Q259" i="38"/>
  <c r="Q110" i="38"/>
  <c r="Q335" i="38"/>
  <c r="Q233" i="38"/>
  <c r="Q355" i="38"/>
  <c r="Q106" i="38"/>
  <c r="Q352" i="38"/>
  <c r="Q362" i="38"/>
  <c r="Q316" i="38"/>
  <c r="Q126" i="38"/>
  <c r="Q215" i="38"/>
  <c r="Q107" i="38"/>
  <c r="Q285" i="38"/>
  <c r="Q351" i="38"/>
  <c r="Q186" i="38"/>
  <c r="Q328" i="38"/>
  <c r="Q152" i="38"/>
  <c r="Q178" i="38"/>
  <c r="Q308" i="38"/>
  <c r="Q242" i="38"/>
  <c r="Q326" i="38"/>
  <c r="Q166" i="38"/>
  <c r="Q302" i="38"/>
  <c r="Q140" i="38"/>
  <c r="Q95" i="38"/>
  <c r="Q148" i="38"/>
  <c r="Q154" i="38"/>
  <c r="Q236" i="38"/>
  <c r="Q129" i="38"/>
  <c r="Q254" i="38"/>
  <c r="Q306" i="38"/>
  <c r="Q321" i="38"/>
  <c r="Q291" i="38"/>
  <c r="Q323" i="38"/>
  <c r="Q137" i="38"/>
  <c r="Q147" i="38"/>
  <c r="Q267" i="38"/>
  <c r="Q142" i="38"/>
  <c r="Q111" i="38"/>
  <c r="Q357" i="38"/>
  <c r="Q241" i="38"/>
  <c r="Q353" i="38"/>
  <c r="Q134" i="38"/>
  <c r="Q115" i="38"/>
  <c r="Q255" i="38"/>
  <c r="Q168" i="38"/>
  <c r="Q100" i="38"/>
  <c r="Q213" i="38"/>
  <c r="Q225" i="38"/>
  <c r="Q94" i="38"/>
  <c r="Q305" i="38"/>
  <c r="Q202" i="38"/>
  <c r="Q197" i="38"/>
  <c r="Q108" i="38"/>
  <c r="Q90" i="38"/>
  <c r="Q117" i="38"/>
  <c r="Q218" i="38"/>
  <c r="Q228" i="38"/>
  <c r="Q278" i="38"/>
  <c r="Q87" i="38"/>
  <c r="Q187" i="38"/>
  <c r="Q173" i="38"/>
  <c r="Q97" i="38"/>
  <c r="Q340" i="38"/>
  <c r="Q286" i="38"/>
  <c r="Q293" i="38"/>
  <c r="Q229" i="38"/>
  <c r="Q359" i="38"/>
  <c r="Q188" i="38"/>
  <c r="Q292" i="38"/>
  <c r="Q189" i="38"/>
  <c r="Q249" i="38"/>
  <c r="Q272" i="38"/>
  <c r="Q361" i="38"/>
  <c r="Q131" i="38"/>
  <c r="Q281" i="38"/>
  <c r="Q92" i="38"/>
  <c r="Q130" i="38"/>
  <c r="Q123" i="38"/>
  <c r="Q200" i="38"/>
  <c r="Q109" i="38"/>
  <c r="Q86" i="38"/>
  <c r="Q89" i="38"/>
  <c r="Q315" i="38"/>
  <c r="Q216" i="38"/>
  <c r="Q181" i="38"/>
  <c r="Q312" i="38"/>
  <c r="Q146" i="38"/>
  <c r="Q98" i="38"/>
  <c r="Q185" i="38"/>
  <c r="Q304" i="38"/>
  <c r="Q313" i="38"/>
  <c r="Q342" i="38"/>
  <c r="Q201" i="38"/>
  <c r="Q275" i="38"/>
  <c r="Q155" i="38"/>
  <c r="Q250" i="38"/>
  <c r="Q337" i="38"/>
  <c r="Q271" i="38"/>
  <c r="Q103" i="38"/>
  <c r="Q301" i="38"/>
  <c r="Q279" i="38"/>
  <c r="Q334" i="38"/>
  <c r="Q124" i="38"/>
  <c r="Q159" i="38"/>
  <c r="Q354" i="38"/>
  <c r="Q122" i="38"/>
  <c r="Q121" i="38"/>
  <c r="Q248" i="38"/>
  <c r="Q164" i="38"/>
  <c r="Q118" i="38"/>
  <c r="Q330" i="38"/>
  <c r="Q143" i="38"/>
  <c r="Q331" i="38"/>
  <c r="Q221" i="38"/>
  <c r="Q246" i="38"/>
  <c r="Q136" i="38"/>
  <c r="Q125" i="38"/>
  <c r="Q339" i="38"/>
  <c r="Q347" i="38"/>
  <c r="Q332" i="38"/>
  <c r="Q120" i="38"/>
  <c r="Q88" i="38"/>
  <c r="Q322" i="38"/>
  <c r="Q290" i="38"/>
  <c r="Q195" i="38"/>
  <c r="Q297" i="38"/>
  <c r="Q298" i="38"/>
  <c r="Q222" i="38"/>
  <c r="Q230" i="38"/>
  <c r="Q153" i="38"/>
  <c r="Q257" i="38"/>
  <c r="Q343" i="38"/>
  <c r="Q270" i="38"/>
  <c r="Q299" i="38"/>
  <c r="Q296" i="38"/>
  <c r="Q206" i="38"/>
  <c r="Q276" i="38"/>
  <c r="Q256" i="38"/>
  <c r="Q262" i="38"/>
  <c r="Q207" i="38"/>
  <c r="Q309" i="38"/>
  <c r="Q112" i="38"/>
  <c r="Q252" i="38"/>
  <c r="Q217" i="38"/>
  <c r="Q325" i="38"/>
  <c r="Q113" i="38"/>
  <c r="Q174" i="38"/>
  <c r="Q239" i="38"/>
  <c r="Q349" i="38"/>
  <c r="Q338" i="38"/>
  <c r="Q269" i="38"/>
  <c r="Q150" i="38"/>
  <c r="Q314" i="38"/>
  <c r="Q210" i="38"/>
  <c r="Q191" i="38"/>
  <c r="Q9" i="17"/>
  <c r="Q240" i="38"/>
  <c r="Q284" i="38"/>
  <c r="Q162" i="38"/>
  <c r="Q273" i="38"/>
  <c r="Q231" i="38"/>
  <c r="Q310" i="38"/>
  <c r="Q317" i="38"/>
  <c r="Q171" i="38"/>
  <c r="Q177" i="38"/>
  <c r="Q327" i="38"/>
  <c r="Q116" i="38"/>
  <c r="Q311" i="38"/>
  <c r="Q192" i="38"/>
  <c r="Q184" i="38"/>
  <c r="Q211" i="38"/>
  <c r="Q183" i="38"/>
  <c r="Q289" i="38"/>
  <c r="Q139" i="38"/>
  <c r="Q128" i="38"/>
  <c r="Q194" i="38"/>
  <c r="Q158" i="38"/>
  <c r="Q127" i="38"/>
  <c r="Q203" i="38"/>
  <c r="Q167" i="38"/>
  <c r="Q303" i="38"/>
  <c r="Q193" i="38"/>
  <c r="Q163" i="38"/>
  <c r="Q176" i="38"/>
  <c r="Q212" i="38"/>
  <c r="Q287" i="38"/>
  <c r="Q198" i="38"/>
  <c r="Q7" i="57"/>
  <c r="Q9" i="57"/>
  <c r="F18" i="87"/>
  <c r="Q8" i="87" s="1"/>
  <c r="K91" i="51" l="1"/>
  <c r="K142" i="51"/>
  <c r="K26" i="51"/>
  <c r="K116" i="51"/>
  <c r="K34" i="51"/>
  <c r="Q7" i="51"/>
  <c r="K61" i="51"/>
  <c r="K67" i="51"/>
  <c r="K84" i="51"/>
  <c r="K93" i="51"/>
  <c r="K99" i="51"/>
  <c r="K36" i="51"/>
  <c r="K69" i="51"/>
  <c r="K40" i="51"/>
  <c r="K43" i="51"/>
  <c r="K74" i="51"/>
  <c r="K106" i="51"/>
  <c r="K45" i="51"/>
  <c r="K77" i="51"/>
  <c r="K108" i="51"/>
  <c r="K51" i="51"/>
  <c r="K83" i="51"/>
  <c r="K114" i="51"/>
  <c r="K27" i="51"/>
  <c r="K59" i="51"/>
  <c r="K140" i="51"/>
  <c r="K141" i="51"/>
  <c r="K29" i="51"/>
  <c r="K35" i="51"/>
  <c r="K44" i="51"/>
  <c r="K52" i="51"/>
  <c r="K60" i="51"/>
  <c r="K68" i="51"/>
  <c r="K76" i="51"/>
  <c r="K85" i="51"/>
  <c r="K92" i="51"/>
  <c r="K100" i="51"/>
  <c r="K107" i="51"/>
  <c r="K115" i="51"/>
  <c r="K24" i="51"/>
  <c r="K37" i="51"/>
  <c r="K46" i="51"/>
  <c r="K54" i="51"/>
  <c r="K62" i="51"/>
  <c r="K70" i="51"/>
  <c r="K78" i="51"/>
  <c r="K86" i="51"/>
  <c r="K95" i="51"/>
  <c r="K101" i="51"/>
  <c r="K109" i="51"/>
  <c r="K117" i="51"/>
  <c r="K28" i="51"/>
  <c r="K38" i="51"/>
  <c r="K47" i="51"/>
  <c r="K56" i="51"/>
  <c r="K63" i="51"/>
  <c r="K71" i="51"/>
  <c r="K79" i="51"/>
  <c r="K87" i="51"/>
  <c r="K94" i="51"/>
  <c r="K102" i="51"/>
  <c r="K110" i="51"/>
  <c r="K118" i="51"/>
  <c r="K31" i="51"/>
  <c r="K39" i="51"/>
  <c r="K48" i="51"/>
  <c r="K55" i="51"/>
  <c r="K64" i="51"/>
  <c r="K72" i="51"/>
  <c r="K80" i="51"/>
  <c r="K88" i="51"/>
  <c r="K96" i="51"/>
  <c r="K103" i="51"/>
  <c r="K111" i="51"/>
  <c r="K119" i="51"/>
  <c r="K25" i="51"/>
  <c r="K32" i="51"/>
  <c r="K41" i="51"/>
  <c r="K49" i="51"/>
  <c r="K57" i="51"/>
  <c r="K65" i="51"/>
  <c r="K73" i="51"/>
  <c r="K81" i="51"/>
  <c r="K89" i="51"/>
  <c r="K97" i="51"/>
  <c r="K104" i="51"/>
  <c r="K112" i="51"/>
  <c r="K120" i="51"/>
  <c r="K30" i="51"/>
  <c r="K33" i="51"/>
  <c r="K42" i="51"/>
  <c r="K50" i="51"/>
  <c r="K58" i="51"/>
  <c r="K66" i="51"/>
  <c r="K75" i="51"/>
  <c r="K82" i="51"/>
  <c r="K90" i="51"/>
  <c r="K98" i="51"/>
  <c r="K105" i="51"/>
  <c r="K113" i="51"/>
  <c r="Q7" i="87"/>
  <c r="Q3" i="87"/>
  <c r="Q6" i="87" s="1"/>
  <c r="Q9" i="87" s="1"/>
  <c r="N269" i="1"/>
  <c r="N271" i="1" s="1"/>
  <c r="N275" i="1" s="1"/>
</calcChain>
</file>

<file path=xl/comments1.xml><?xml version="1.0" encoding="utf-8"?>
<comments xmlns="http://schemas.openxmlformats.org/spreadsheetml/2006/main">
  <authors>
    <author>minqiang</author>
    <author>lxingbo</author>
  </authors>
  <commentList>
    <comment ref="I62" authorId="0" shapeId="0">
      <text>
        <r>
          <rPr>
            <b/>
            <sz val="9"/>
            <color indexed="81"/>
            <rFont val="Tahoma"/>
            <family val="2"/>
          </rPr>
          <t>minqiang:</t>
        </r>
        <r>
          <rPr>
            <sz val="9"/>
            <color indexed="81"/>
            <rFont val="Tahoma"/>
            <family val="2"/>
          </rPr>
          <t xml:space="preserve">
1000 bonus included</t>
        </r>
      </text>
    </comment>
    <comment ref="I85" authorId="1" shapeId="0">
      <text>
        <r>
          <rPr>
            <b/>
            <sz val="9"/>
            <color indexed="81"/>
            <rFont val="Tahoma"/>
            <family val="2"/>
          </rPr>
          <t>lxingbo:</t>
        </r>
        <r>
          <rPr>
            <sz val="9"/>
            <color indexed="81"/>
            <rFont val="Tahoma"/>
            <family val="2"/>
          </rPr>
          <t xml:space="preserve">
approximate values</t>
        </r>
      </text>
    </comment>
    <comment ref="I94" authorId="1" shapeId="0">
      <text>
        <r>
          <rPr>
            <b/>
            <sz val="9"/>
            <color indexed="81"/>
            <rFont val="Tahoma"/>
            <family val="2"/>
          </rPr>
          <t>lxingbo:</t>
        </r>
        <r>
          <rPr>
            <sz val="9"/>
            <color indexed="81"/>
            <rFont val="Tahoma"/>
            <family val="2"/>
          </rPr>
          <t xml:space="preserve">
approximate values</t>
        </r>
      </text>
    </comment>
  </commentList>
</comments>
</file>

<file path=xl/comments2.xml><?xml version="1.0" encoding="utf-8"?>
<comments xmlns="http://schemas.openxmlformats.org/spreadsheetml/2006/main">
  <authors>
    <author>lxingbo</author>
  </authors>
  <commentList>
    <comment ref="D99" authorId="0" shapeId="0">
      <text>
        <r>
          <rPr>
            <b/>
            <sz val="9"/>
            <color indexed="81"/>
            <rFont val="Tahoma"/>
            <family val="2"/>
          </rPr>
          <t>lxingbo:</t>
        </r>
        <r>
          <rPr>
            <sz val="9"/>
            <color indexed="81"/>
            <rFont val="Tahoma"/>
            <family val="2"/>
          </rPr>
          <t xml:space="preserve">
dividend $110 included</t>
        </r>
      </text>
    </comment>
  </commentList>
</comments>
</file>

<file path=xl/comments3.xml><?xml version="1.0" encoding="utf-8"?>
<comments xmlns="http://schemas.openxmlformats.org/spreadsheetml/2006/main">
  <authors>
    <author>minqiang</author>
  </authors>
  <commentList>
    <comment ref="D35" authorId="0" shapeId="0">
      <text>
        <r>
          <rPr>
            <b/>
            <sz val="9"/>
            <color indexed="81"/>
            <rFont val="Tahoma"/>
            <family val="2"/>
          </rPr>
          <t>minqiang:</t>
        </r>
        <r>
          <rPr>
            <sz val="9"/>
            <color indexed="81"/>
            <rFont val="Tahoma"/>
            <family val="2"/>
          </rPr>
          <t xml:space="preserve">
dividend of 100</t>
        </r>
      </text>
    </comment>
  </commentList>
</comments>
</file>

<file path=xl/comments4.xml><?xml version="1.0" encoding="utf-8"?>
<comments xmlns="http://schemas.openxmlformats.org/spreadsheetml/2006/main">
  <authors>
    <author>minqiang</author>
  </authors>
  <commentList>
    <comment ref="D32" authorId="0" shapeId="0">
      <text>
        <r>
          <rPr>
            <b/>
            <sz val="9"/>
            <color indexed="81"/>
            <rFont val="Tahoma"/>
            <family val="2"/>
          </rPr>
          <t>minqiang:</t>
        </r>
        <r>
          <rPr>
            <sz val="9"/>
            <color indexed="81"/>
            <rFont val="Tahoma"/>
            <family val="2"/>
          </rPr>
          <t xml:space="preserve">
$6 dividend</t>
        </r>
      </text>
    </comment>
  </commentList>
</comments>
</file>

<file path=xl/connections.xml><?xml version="1.0" encoding="utf-8"?>
<connections xmlns="http://schemas.openxmlformats.org/spreadsheetml/2006/main">
  <connection id="1" name="Connection" type="4" refreshedVersion="5" saveData="1">
    <webPr sourceData="1" parsePre="1" consecutive="1" xl2000="1" url="http://finance.yahoo.com/q?s=aa&amp;ql=1" htmlTables="1">
      <tables count="2">
        <s v="table1"/>
        <s v="table2"/>
      </tables>
    </webPr>
  </connection>
  <connection id="2" name="Connection1" type="4" refreshedVersion="5" saveData="1">
    <webPr sourceData="1" parsePre="1" consecutive="1" xl2000="1" url="http://finance.yahoo.com/q/hp?s=AA+Historical+Prices" htmlTables="1">
      <tables count="1">
        <x v="15"/>
      </tables>
    </webPr>
  </connection>
  <connection id="3" name="Connection101" type="4" refreshedVersion="5" saveData="1">
    <webPr sourceData="1" parsePre="1" consecutive="1" xl2000="1" url="http://finance.yahoo.com/q?s=BMY" htmlTables="1">
      <tables count="2">
        <s v="table1"/>
        <s v="table2"/>
      </tables>
    </webPr>
  </connection>
  <connection id="4" name="Connection102" type="4" refreshedVersion="5" saveData="1">
    <webPr sourceData="1" parsePre="1" consecutive="1" xl2000="1" url="http://finance.yahoo.com/q?s=ew" htmlTables="1">
      <tables count="2">
        <s v="table1"/>
        <s v="table2"/>
      </tables>
    </webPr>
  </connection>
  <connection id="5" name="Connection103" type="4" refreshedVersion="5" saveData="1">
    <webPr sourceData="1" parsePre="1" consecutive="1" xl2000="1" url="http://finance.yahoo.com/q/hp?s=ew+Historical+Prices" htmlTables="1">
      <tables count="1">
        <x v="15"/>
      </tables>
    </webPr>
  </connection>
  <connection id="6" name="Connection104" type="4" refreshedVersion="5" saveData="1">
    <webPr sourceData="1" parsePre="1" consecutive="1" xl2000="1" url="http://finance.yahoo.com/q?s=cce" htmlTables="1">
      <tables count="2">
        <s v="table1"/>
        <s v="table2"/>
      </tables>
    </webPr>
  </connection>
  <connection id="7" name="Connection108" type="4" refreshedVersion="5" saveData="1">
    <webPr sourceData="1" parsePre="1" consecutive="1" xl2000="1" url="http://finance.yahoo.com/q?s=tgt" htmlTables="1">
      <tables count="2">
        <s v="table1"/>
        <s v="table2"/>
      </tables>
    </webPr>
  </connection>
  <connection id="8" name="Connection14" type="4" refreshedVersion="5" saveData="1">
    <webPr sourceData="1" parsePre="1" consecutive="1" xl2000="1" url="http://finance.yahoo.com/q?s=NSC" htmlTables="1">
      <tables count="2">
        <s v="table1"/>
        <s v="table2"/>
      </tables>
    </webPr>
  </connection>
  <connection id="9" name="Connection16" type="4" refreshedVersion="5" saveData="1">
    <webPr sourceData="1" parsePre="1" consecutive="1" xl2000="1" url="http://finance.yahoo.com/q?s=NKE" htmlTables="1">
      <tables count="2">
        <s v="table1"/>
        <s v="table2"/>
      </tables>
    </webPr>
  </connection>
  <connection id="10" name="Connection17" type="4" refreshedVersion="5" saveData="1">
    <webPr sourceData="1" parsePre="1" consecutive="1" xl2000="1" url="http://finance.yahoo.com/q/hp?s=nke" htmlTables="1">
      <tables count="1">
        <x v="15"/>
      </tables>
    </webPr>
  </connection>
  <connection id="11" name="Connection2" type="4" refreshedVersion="5" saveData="1">
    <webPr sourceData="1" parsePre="1" consecutive="1" xl2000="1" url="http://finance.yahoo.com/q?s=INTC" htmlTables="1">
      <tables count="2">
        <s v="table1"/>
        <s v="table2"/>
      </tables>
    </webPr>
  </connection>
  <connection id="12" name="Connection22" type="4" refreshedVersion="5" saveData="1">
    <webPr sourceData="1" parsePre="1" consecutive="1" xl2000="1" url="http://finance.yahoo.com/q?s=TKR" htmlTables="1">
      <tables count="2">
        <s v="table1"/>
        <s v="table2"/>
      </tables>
    </webPr>
  </connection>
  <connection id="13" name="Connection23" type="4" refreshedVersion="5" saveData="1">
    <webPr sourceData="1" parsePre="1" consecutive="1" xl2000="1" url="http://finance.yahoo.com/q/hp?s=TKR" htmlTables="1">
      <tables count="1">
        <x v="15"/>
      </tables>
    </webPr>
  </connection>
  <connection id="14" name="Connection26" type="4" refreshedVersion="5" saveData="1">
    <webPr sourceData="1" parsePre="1" consecutive="1" xl2000="1" url="http://finance.yahoo.com/q/hp?s=ual" htmlTables="1">
      <tables count="1">
        <x v="15"/>
      </tables>
    </webPr>
  </connection>
  <connection id="15" name="Connection27" type="4" refreshedVersion="5" background="1" saveData="1">
    <webPr sourceData="1" parsePre="1" consecutive="1" xl2000="1" url="http://finance.yahoo.com/q?s=UAL" htmlTables="1">
      <tables count="2">
        <s v="table1"/>
        <s v="table2"/>
      </tables>
    </webPr>
  </connection>
  <connection id="16" name="Connection28" type="4" refreshedVersion="5" saveData="1">
    <webPr sourceData="1" parsePre="1" consecutive="1" xl2000="1" url="http://finance.yahoo.com/q?s=AVGO" htmlTables="1">
      <tables count="2">
        <s v="table1"/>
        <s v="table2"/>
      </tables>
    </webPr>
  </connection>
  <connection id="17" name="Connection29" type="4" refreshedVersion="5" saveData="1">
    <webPr sourceData="1" parsePre="1" consecutive="1" xl2000="1" url="http://finance.yahoo.com/q/hp?s=AVGO" htmlTables="1">
      <tables count="1">
        <x v="15"/>
      </tables>
    </webPr>
  </connection>
  <connection id="18" name="Connection3" type="4" refreshedVersion="5" saveData="1">
    <webPr sourceData="1" parsePre="1" consecutive="1" xl2000="1" url="http://finance.yahoo.com/q/hp?s=INTC+Historical+Prices" htmlTables="1">
      <tables count="1">
        <x v="15"/>
      </tables>
    </webPr>
  </connection>
  <connection id="19" name="Connection30" type="4" refreshedVersion="5" saveData="1">
    <webPr sourceData="1" parsePre="1" consecutive="1" xl2000="1" url="http://finance.yahoo.com/q?s=DIS" htmlTables="1">
      <tables count="2">
        <s v="table1"/>
        <s v="table2"/>
      </tables>
    </webPr>
  </connection>
  <connection id="20" name="Connection31" type="4" refreshedVersion="5" saveData="1">
    <webPr sourceData="1" parsePre="1" consecutive="1" xl2000="1" url="http://finance.yahoo.com/q/hp?s=DIS" htmlTables="1">
      <tables count="1">
        <x v="15"/>
      </tables>
    </webPr>
  </connection>
  <connection id="21" name="Connection32" type="4" refreshedVersion="5" saveData="1">
    <webPr sourceData="1" parsePre="1" consecutive="1" xl2000="1" url="http://finance.yahoo.com/q?s=GILD" htmlTables="1">
      <tables count="2">
        <s v="table1"/>
        <s v="table2"/>
      </tables>
    </webPr>
  </connection>
  <connection id="22" name="Connection34" type="4" refreshedVersion="5" saveData="1">
    <webPr sourceData="1" parsePre="1" consecutive="1" xl2000="1" url="http://finance.yahoo.com/q?s=GM" htmlTables="1">
      <tables count="2">
        <s v="table1"/>
        <s v="table2"/>
      </tables>
    </webPr>
  </connection>
  <connection id="23" name="Connection35" type="4" refreshedVersion="5" saveData="1">
    <webPr sourceData="1" parsePre="1" consecutive="1" xl2000="1" url="http://finance.yahoo.com/q/hp?s=GM" htmlTables="1">
      <tables count="1">
        <x v="15"/>
      </tables>
    </webPr>
  </connection>
  <connection id="24" name="Connection38" type="4" refreshedVersion="5" saveData="1">
    <webPr sourceData="1" parsePre="1" consecutive="1" xl2000="1" url="http://finance.yahoo.com/q?s=KORS" htmlTables="1">
      <tables count="2">
        <s v="table1"/>
        <s v="table2"/>
      </tables>
    </webPr>
  </connection>
  <connection id="25" name="Connection39" type="4" refreshedVersion="5" saveData="1">
    <webPr sourceData="1" parsePre="1" consecutive="1" xl2000="1" url="http://finance.yahoo.com/q/hp?s=KORS" htmlTables="1">
      <tables count="1">
        <x v="15"/>
      </tables>
    </webPr>
  </connection>
  <connection id="26" name="Connection42" type="4" refreshedVersion="5" saveData="1">
    <webPr sourceData="1" parsePre="1" consecutive="1" xl2000="1" url="http://finance.yahoo.com/q/hp?s=AXP+Historical+Prices" htmlTables="1">
      <tables count="1">
        <x v="15"/>
      </tables>
    </webPr>
  </connection>
  <connection id="27" name="Connection432" type="4" refreshedVersion="5" saveData="1">
    <webPr sourceData="1" parsePre="1" consecutive="1" xl2000="1" url="https://ca.finance.yahoo.com/q?s=CF" htmlTables="1">
      <tables count="2">
        <s v="table1"/>
        <s v="table2"/>
      </tables>
    </webPr>
  </connection>
  <connection id="28" name="Connection44" type="4" refreshedVersion="5" saveData="1">
    <webPr sourceData="1" parsePre="1" consecutive="1" xl2000="1" url="http://finance.yahoo.com/q?s=UNH" htmlTables="1">
      <tables count="2">
        <s v="table1"/>
        <s v="table2"/>
      </tables>
    </webPr>
  </connection>
  <connection id="29" name="Connection45" type="4" refreshedVersion="5" saveData="1">
    <webPr sourceData="1" parsePre="1" consecutive="1" xl2000="1" url="http://finance.yahoo.com/q/hp?s=UNH" htmlTables="1">
      <tables count="1">
        <x v="15"/>
      </tables>
    </webPr>
  </connection>
  <connection id="30" name="Connection46" type="4" refreshedVersion="5" saveData="1">
    <webPr sourceData="1" parsePre="1" consecutive="1" xl2000="1" url="http://finance.yahoo.com/q?s=UTX" htmlTables="1">
      <tables count="2">
        <s v="table1"/>
        <s v="table2"/>
      </tables>
    </webPr>
  </connection>
  <connection id="31" name="Connection47" type="4" refreshedVersion="5" saveData="1">
    <webPr sourceData="1" parsePre="1" consecutive="1" xl2000="1" url="http://finance.yahoo.com/q/hp?s=UTX" htmlTables="1">
      <tables count="1">
        <x v="15"/>
      </tables>
    </webPr>
  </connection>
  <connection id="32" name="Connection48" type="4" refreshedVersion="5" saveData="1">
    <webPr sourceData="1" parsePre="1" consecutive="1" xl2000="1" url="http://finance.yahoo.com/q?s=WWD" htmlTables="1">
      <tables count="2">
        <s v="table1"/>
        <s v="table2"/>
      </tables>
    </webPr>
  </connection>
  <connection id="33" name="Connection49" type="4" refreshedVersion="5" saveData="1">
    <webPr sourceData="1" parsePre="1" consecutive="1" xl2000="1" url="http://finance.yahoo.com/q/hp?s=WWD" htmlTables="1">
      <tables count="1">
        <x v="15"/>
      </tables>
    </webPr>
  </connection>
  <connection id="34" name="Connection52" type="4" refreshedVersion="5" saveData="1">
    <webPr sourceData="1" parsePre="1" consecutive="1" xl2000="1" url="http://finance.yahoo.com/q?s=IP" htmlTables="1">
      <tables count="2">
        <s v="table1"/>
        <s v="table2"/>
      </tables>
    </webPr>
  </connection>
  <connection id="35" name="Connection53" type="4" refreshedVersion="5" saveData="1">
    <webPr sourceData="1" parsePre="1" consecutive="1" xl2000="1" url="http://finance.yahoo.com/q/hp?s=tmo" htmlTables="1">
      <tables count="1">
        <x v="15"/>
      </tables>
    </webPr>
  </connection>
  <connection id="36" name="Connection54" type="4" refreshedVersion="5" saveData="1">
    <webPr sourceData="1" parsePre="1" consecutive="1" xl2000="1" url="http://finance.yahoo.com/q?s=CNI" htmlTables="1">
      <tables count="2">
        <s v="table1"/>
        <s v="table2"/>
      </tables>
    </webPr>
  </connection>
  <connection id="37" name="Connection55" type="4" refreshedVersion="5" saveData="1">
    <webPr sourceData="1" parsePre="1" consecutive="1" xl2000="1" url="http://finance.yahoo.com/q/hp?s=CNI" htmlTables="1">
      <tables count="1">
        <x v="15"/>
      </tables>
    </webPr>
  </connection>
  <connection id="38" name="Connection56" type="4" refreshedVersion="5" saveData="1">
    <webPr sourceData="1" parsePre="1" consecutive="1" xl2000="1" url="http://finance.yahoo.com/q?s=tmo" htmlTables="1">
      <tables count="2">
        <s v="table1"/>
        <s v="table2"/>
      </tables>
    </webPr>
  </connection>
  <connection id="39" name="Connection58" type="4" refreshedVersion="5" saveData="1">
    <webPr sourceData="1" parsePre="1" consecutive="1" xl2000="1" url="http://finance.yahoo.com/q/hp?s=IP" htmlTables="1">
      <tables count="1">
        <x v="15"/>
      </tables>
    </webPr>
  </connection>
  <connection id="40" name="Connection6" type="4" refreshedVersion="5" saveData="1">
    <webPr sourceData="1" parsePre="1" consecutive="1" xl2000="1" url="http://finance.yahoo.com/q?s=ALL" htmlTables="1">
      <tables count="2">
        <s v="table1"/>
        <s v="table2"/>
      </tables>
    </webPr>
  </connection>
  <connection id="41" name="Connection61" type="4" refreshedVersion="5" saveData="1">
    <webPr sourceData="1" parsePre="1" consecutive="1" xl2000="1" url="http://finance.yahoo.com/q/hp?s=SWKS" htmlTables="1">
      <tables count="1">
        <x v="15"/>
      </tables>
    </webPr>
  </connection>
  <connection id="42" name="Connection62" type="4" refreshedVersion="5" saveData="1">
    <webPr sourceData="1" parsePre="1" consecutive="1" xl2000="1" url="http://finance.yahoo.com/q?s=SWKS" htmlTables="1">
      <tables count="2">
        <s v="table1"/>
        <s v="table2"/>
      </tables>
    </webPr>
  </connection>
  <connection id="43" name="Connection67" type="4" refreshedVersion="5" saveData="1">
    <webPr sourceData="1" parsePre="1" consecutive="1" xl2000="1" url="http://finance.yahoo.com/q?s=F" htmlTables="1">
      <tables count="2">
        <s v="table1"/>
        <s v="table2"/>
      </tables>
    </webPr>
  </connection>
  <connection id="44" name="Connection7" type="4" refreshedVersion="5" saveData="1">
    <webPr sourceData="1" parsePre="1" consecutive="1" xl2000="1" url="http://finance.yahoo.com/q/hp?s=ALL+Historical+Prices" htmlTables="1">
      <tables count="1">
        <x v="15"/>
      </tables>
    </webPr>
  </connection>
  <connection id="45" name="Connection71" type="4" refreshedVersion="5" saveData="1">
    <webPr sourceData="1" parsePre="1" consecutive="1" xl2000="1" url="http://finance.yahoo.com/q?s=AXP" htmlTables="1">
      <tables count="2">
        <s v="table1"/>
        <s v="table2"/>
      </tables>
    </webPr>
  </connection>
  <connection id="46" name="Connection75" type="4" refreshedVersion="5" saveData="1">
    <webPr sourceData="1" parsePre="1" consecutive="1" xl2000="1" url="http://finance.yahoo.com/q/hp?s=MYL" htmlTables="1">
      <tables count="1">
        <x v="15"/>
      </tables>
    </webPr>
  </connection>
  <connection id="47" name="Connection76" type="4" refreshedVersion="5" saveData="1">
    <webPr sourceData="1" parsePre="1" consecutive="1" xl2000="1" url="http://finance.yahoo.com/q?s=MYL" htmlTables="1">
      <tables count="2">
        <s v="table1"/>
        <s v="table2"/>
      </tables>
    </webPr>
  </connection>
  <connection id="48" name="Connection78" type="4" refreshedVersion="5" saveData="1">
    <webPr sourceData="1" parsePre="1" consecutive="1" xl2000="1" url="http://finance.yahoo.com/q/hp?s=vgk" htmlTables="1">
      <tables count="1">
        <x v="15"/>
      </tables>
    </webPr>
  </connection>
  <connection id="49" name="Connection79" type="4" refreshedVersion="5" saveData="1">
    <webPr sourceData="1" parsePre="1" consecutive="1" xl2000="1" url="http://finance.yahoo.com/q?s=vgk" htmlTables="1">
      <tables count="2">
        <s v="table1"/>
        <s v="table2"/>
      </tables>
    </webPr>
  </connection>
  <connection id="50" name="Connection8" type="4" refreshedVersion="5" saveData="1">
    <webPr sourceData="1" parsePre="1" consecutive="1" xl2000="1" url="http://finance.yahoo.com/q?s=HES" htmlTables="1">
      <tables count="2">
        <s v="table1"/>
        <s v="table2"/>
      </tables>
    </webPr>
  </connection>
  <connection id="51" name="Connection831" type="4" refreshedVersion="5" saveData="1">
    <webPr sourceData="1" parsePre="1" consecutive="1" xl2000="1" url="http://finance.yahoo.com/q/hp?s=BMY+Historical+Prices" htmlTables="1">
      <tables count="1">
        <x v="15"/>
      </tables>
    </webPr>
  </connection>
  <connection id="52" name="Connection84" type="4" refreshedVersion="5" saveData="1">
    <webPr sourceData="1" parsePre="1" consecutive="1" xl2000="1" url="http://finance.yahoo.com/q?s=AKAM" htmlTables="1">
      <tables count="2">
        <s v="table1"/>
        <s v="table2"/>
      </tables>
    </webPr>
  </connection>
  <connection id="53" name="Connection87" type="4" refreshedVersion="5" saveData="1">
    <webPr sourceData="1" parsePre="1" consecutive="1" xl2000="1" url="http://finance.yahoo.com/q?s=dg" htmlTables="1">
      <tables count="2">
        <s v="table1"/>
        <s v="table2"/>
      </tables>
    </webPr>
  </connection>
  <connection id="54" name="Connection89" type="4" refreshedVersion="5" saveData="1">
    <webPr sourceData="1" parsePre="1" consecutive="1" xl2000="1" url="http://finance.yahoo.com/q/hp?s=foxa" htmlTables="1">
      <tables count="1">
        <x v="15"/>
      </tables>
    </webPr>
  </connection>
  <connection id="55" name="Connection9" type="4" refreshedVersion="5" saveData="1">
    <webPr sourceData="1" parsePre="1" consecutive="1" xl2000="1" url="http://finance.yahoo.com/q/hp?s=HES" htmlTables="1">
      <tables count="1">
        <x v="15"/>
      </tables>
    </webPr>
  </connection>
  <connection id="56" name="Connection90" type="4" refreshedVersion="5" saveData="1">
    <webPr sourceData="1" parsePre="1" consecutive="1" xl2000="1" url="http://finance.yahoo.com/q?s=foxa" htmlTables="1">
      <tables count="2">
        <s v="table1"/>
        <s v="table2"/>
      </tables>
    </webPr>
  </connection>
  <connection id="57" name="Connection91" type="4" refreshedVersion="5" saveData="1">
    <webPr sourceData="1" parsePre="1" consecutive="1" xl2000="1" url="http://finance.yahoo.com/q/hp?s=pinc" htmlTables="1">
      <tables count="1">
        <x v="15"/>
      </tables>
    </webPr>
  </connection>
  <connection id="58" name="Connection92" type="4" refreshedVersion="5" saveData="1">
    <webPr sourceData="1" parsePre="1" consecutive="1" xl2000="1" url="http://finance.yahoo.com/q?s=pinc" htmlTables="1">
      <tables count="2">
        <s v="table1"/>
        <s v="table2"/>
      </tables>
    </webPr>
  </connection>
  <connection id="59" name="Connection93" type="4" refreshedVersion="5" saveData="1">
    <webPr sourceData="1" parsePre="1" consecutive="1" xl2000="1" url="http://finance.yahoo.com/q/hp?s=nclh" htmlTables="1">
      <tables count="1">
        <x v="15"/>
      </tables>
    </webPr>
  </connection>
  <connection id="60" name="Connection94" type="4" refreshedVersion="5" saveData="1">
    <webPr sourceData="1" parsePre="1" consecutive="1" xl2000="1" url="http://finance.yahoo.com/q?s=nclh" htmlTables="1">
      <tables count="2">
        <s v="table1"/>
        <s v="table2"/>
      </tables>
    </webPr>
  </connection>
  <connection id="61" name="Connection96" type="4" refreshedVersion="5" saveData="1">
    <webPr sourceData="1" parsePre="1" consecutive="1" xl2000="1" url="http://finance.yahoo.com/q?s=JNJ" htmlTables="1">
      <tables count="2">
        <s v="table1"/>
        <s v="table2"/>
      </tables>
    </webPr>
  </connection>
</connections>
</file>

<file path=xl/sharedStrings.xml><?xml version="1.0" encoding="utf-8"?>
<sst xmlns="http://schemas.openxmlformats.org/spreadsheetml/2006/main" count="9704" uniqueCount="1365">
  <si>
    <t>TMO</t>
  </si>
  <si>
    <t>Symbol</t>
  </si>
  <si>
    <t>Buy Date</t>
  </si>
  <si>
    <t>Sell Date</t>
  </si>
  <si>
    <t>Buy Amount</t>
  </si>
  <si>
    <t>Buy Price</t>
  </si>
  <si>
    <t>Sell Amount</t>
  </si>
  <si>
    <t>Sell Price</t>
  </si>
  <si>
    <t>CNI</t>
  </si>
  <si>
    <t>FTR</t>
  </si>
  <si>
    <t>AA</t>
  </si>
  <si>
    <t>BLUE</t>
  </si>
  <si>
    <t>AAL</t>
  </si>
  <si>
    <t>UAL</t>
  </si>
  <si>
    <t>MO</t>
  </si>
  <si>
    <t>KATE</t>
  </si>
  <si>
    <t>DEPO</t>
  </si>
  <si>
    <t>CPN</t>
  </si>
  <si>
    <t>AAVL</t>
  </si>
  <si>
    <t>CTWS</t>
  </si>
  <si>
    <t>VTL</t>
  </si>
  <si>
    <t>FGEN</t>
  </si>
  <si>
    <t>HES</t>
  </si>
  <si>
    <t>PINC</t>
  </si>
  <si>
    <t>KORS</t>
  </si>
  <si>
    <t>LH</t>
  </si>
  <si>
    <t>ONCS</t>
  </si>
  <si>
    <t>INTC</t>
  </si>
  <si>
    <t>SNE</t>
  </si>
  <si>
    <t>BKH</t>
  </si>
  <si>
    <t>BRKB</t>
  </si>
  <si>
    <t>WMT</t>
  </si>
  <si>
    <t>DAL</t>
  </si>
  <si>
    <t>AVGO</t>
  </si>
  <si>
    <t>MU</t>
  </si>
  <si>
    <t>SCTY</t>
  </si>
  <si>
    <t>LUV</t>
  </si>
  <si>
    <t>D Date</t>
  </si>
  <si>
    <t>Dividend</t>
  </si>
  <si>
    <t>TKR</t>
  </si>
  <si>
    <t>CP</t>
  </si>
  <si>
    <t>PKG</t>
  </si>
  <si>
    <t>UNP</t>
  </si>
  <si>
    <t>D  Date</t>
  </si>
  <si>
    <t>TCO</t>
  </si>
  <si>
    <t>ALL</t>
  </si>
  <si>
    <t>SLCA</t>
  </si>
  <si>
    <t>NSC</t>
  </si>
  <si>
    <t>ACE</t>
  </si>
  <si>
    <t>TRN</t>
  </si>
  <si>
    <t>MRO</t>
  </si>
  <si>
    <t>UNH</t>
  </si>
  <si>
    <t>CAH</t>
  </si>
  <si>
    <t>WWD</t>
  </si>
  <si>
    <t>UTX</t>
  </si>
  <si>
    <t>GILD</t>
  </si>
  <si>
    <t>GM</t>
  </si>
  <si>
    <t>Shares</t>
  </si>
  <si>
    <t>Average Price</t>
  </si>
  <si>
    <t>Gain/Loss</t>
  </si>
  <si>
    <t>Buy Value</t>
  </si>
  <si>
    <t>Sell Value</t>
  </si>
  <si>
    <t>BIIB</t>
  </si>
  <si>
    <t>DIS</t>
  </si>
  <si>
    <t>total cost</t>
  </si>
  <si>
    <t>P/L</t>
  </si>
  <si>
    <t>current price</t>
  </si>
  <si>
    <t>current value</t>
  </si>
  <si>
    <t>ATE</t>
  </si>
  <si>
    <t>Buy value</t>
  </si>
  <si>
    <t>Notes</t>
  </si>
  <si>
    <t>Back</t>
  </si>
  <si>
    <t>Ticker</t>
  </si>
  <si>
    <t>MeanCost</t>
  </si>
  <si>
    <t>TotalCost</t>
  </si>
  <si>
    <t>Average Cost</t>
  </si>
  <si>
    <t>% P/L</t>
  </si>
  <si>
    <t>Div Date</t>
  </si>
  <si>
    <t>What if</t>
  </si>
  <si>
    <t>No dividend</t>
  </si>
  <si>
    <t>No div</t>
  </si>
  <si>
    <t>Sum</t>
  </si>
  <si>
    <t>ER</t>
  </si>
  <si>
    <t>June</t>
  </si>
  <si>
    <t>Greenlight purchased 3.6m shares @42</t>
  </si>
  <si>
    <t>balance</t>
  </si>
  <si>
    <t>date</t>
  </si>
  <si>
    <t xml:space="preserve"> investment</t>
  </si>
  <si>
    <t>%P/L</t>
  </si>
  <si>
    <t>SellFee</t>
  </si>
  <si>
    <t>BuyFee</t>
  </si>
  <si>
    <t>Actions</t>
  </si>
  <si>
    <t>Yahoo</t>
  </si>
  <si>
    <t>Events</t>
  </si>
  <si>
    <t>Buy Fee</t>
  </si>
  <si>
    <t>Sell Fee</t>
  </si>
  <si>
    <t>cumu P/L</t>
  </si>
  <si>
    <t>Prev Close:</t>
  </si>
  <si>
    <t>Open:</t>
  </si>
  <si>
    <t>Bid:</t>
  </si>
  <si>
    <t>Ask:</t>
  </si>
  <si>
    <t>1y Target Est:</t>
  </si>
  <si>
    <t>Beta:</t>
  </si>
  <si>
    <t>Next Earnings Date:</t>
  </si>
  <si>
    <t>Day's Range:</t>
  </si>
  <si>
    <t>52wk Range:</t>
  </si>
  <si>
    <t>Volume:</t>
  </si>
  <si>
    <t>Market Cap:</t>
  </si>
  <si>
    <t>Div &amp; Yield:</t>
  </si>
  <si>
    <t>Avg Vol (3m):</t>
  </si>
  <si>
    <t>P/E (ttm):</t>
  </si>
  <si>
    <t>EPS (ttm):</t>
  </si>
  <si>
    <t>Yahoo:</t>
  </si>
  <si>
    <t>Date</t>
  </si>
  <si>
    <t>Open</t>
  </si>
  <si>
    <t>High</t>
  </si>
  <si>
    <t>Low</t>
  </si>
  <si>
    <t>Close</t>
  </si>
  <si>
    <t>Volume</t>
  </si>
  <si>
    <t>Adj Close*</t>
  </si>
  <si>
    <t>* Close price adjusted for dividends and splits.</t>
  </si>
  <si>
    <t>Earnings Date:</t>
  </si>
  <si>
    <t>N/A (N/A)</t>
  </si>
  <si>
    <t>`</t>
  </si>
  <si>
    <t>0.25 Dividend</t>
  </si>
  <si>
    <t>Range</t>
  </si>
  <si>
    <t>%change</t>
  </si>
  <si>
    <t>%Change</t>
  </si>
  <si>
    <t>N/A</t>
  </si>
  <si>
    <t>Unrealized P/L</t>
  </si>
  <si>
    <t>Realized P/L</t>
  </si>
  <si>
    <t>Discrepancy</t>
  </si>
  <si>
    <t>Daily P/L</t>
  </si>
  <si>
    <t>SPX</t>
  </si>
  <si>
    <t xml:space="preserve">Daily %P/L </t>
  </si>
  <si>
    <t>Daily SPX%</t>
  </si>
  <si>
    <t>0.26 Dividend</t>
  </si>
  <si>
    <t>7-Oct average @16.25 3078</t>
  </si>
  <si>
    <t>ER/c, b4</t>
  </si>
  <si>
    <t>CurrtPrice</t>
  </si>
  <si>
    <t>Self-Calculated Total P/L</t>
  </si>
  <si>
    <t>MerrilEdge Total P/L</t>
  </si>
  <si>
    <t>mean cost</t>
  </si>
  <si>
    <t>shares</t>
  </si>
  <si>
    <t>price</t>
  </si>
  <si>
    <t>ER/C, b4</t>
  </si>
  <si>
    <t>BeatSPX</t>
  </si>
  <si>
    <t>Total PL</t>
  </si>
  <si>
    <t>Invest.</t>
  </si>
  <si>
    <t>Interest/Tax/Bonus</t>
  </si>
  <si>
    <t>Nasdaq</t>
  </si>
  <si>
    <t>Target</t>
  </si>
  <si>
    <t>Acquisition Date</t>
  </si>
  <si>
    <t>Quantity</t>
  </si>
  <si>
    <t>Unit Cost ($)</t>
  </si>
  <si>
    <t>Cost Basis ($)</t>
  </si>
  <si>
    <t>Value($)</t>
  </si>
  <si>
    <t>($)</t>
  </si>
  <si>
    <t>Gain/Loss (%)</t>
  </si>
  <si>
    <t>11/20/2015 (Short Term)</t>
  </si>
  <si>
    <t>Cost Basis adjusted for Wash Sale</t>
  </si>
  <si>
    <t>--</t>
  </si>
  <si>
    <t>10/06/2015 (Short Term)</t>
  </si>
  <si>
    <t>11/27/2015 (Short Term) Pend Buy</t>
  </si>
  <si>
    <t>11/27/2015 Pend Sell</t>
  </si>
  <si>
    <t>10/16/2015 (Short Term)</t>
  </si>
  <si>
    <t>16-Dec, average 50.07</t>
  </si>
  <si>
    <t>SWKS</t>
  </si>
  <si>
    <t>GIS</t>
  </si>
  <si>
    <t>IP</t>
  </si>
  <si>
    <t>WFC</t>
  </si>
  <si>
    <t>NWL</t>
  </si>
  <si>
    <t>SPY</t>
  </si>
  <si>
    <t>%Div</t>
  </si>
  <si>
    <t>0.15 Dividend</t>
  </si>
  <si>
    <t>Total P/L</t>
  </si>
  <si>
    <t>18-Feb  7.38</t>
  </si>
  <si>
    <t>Current P/L</t>
  </si>
  <si>
    <t>2/26/2016 8.00</t>
  </si>
  <si>
    <t>dividend</t>
  </si>
  <si>
    <t>3/2/2016   8.95</t>
  </si>
  <si>
    <t>0.38 Dividend</t>
  </si>
  <si>
    <t>div</t>
  </si>
  <si>
    <t>SEO @7.76</t>
  </si>
  <si>
    <t>Investment</t>
  </si>
  <si>
    <t>Cash</t>
  </si>
  <si>
    <t>4K,  240</t>
  </si>
  <si>
    <t>85k, 15.75</t>
  </si>
  <si>
    <t>23-Mar,   2000      @10.7</t>
  </si>
  <si>
    <t>SumbyColor</t>
  </si>
  <si>
    <t>NKE</t>
  </si>
  <si>
    <t>KR</t>
  </si>
  <si>
    <t>F</t>
  </si>
  <si>
    <t>3000 @ 13.99</t>
  </si>
  <si>
    <t>CEO 5/2 Ed Bastian</t>
  </si>
  <si>
    <t>1240 @ 10.18</t>
  </si>
  <si>
    <t>2000 @ 12.42</t>
  </si>
  <si>
    <t>AAPL</t>
  </si>
  <si>
    <t>MYL</t>
  </si>
  <si>
    <t>1500 @ 12.31</t>
  </si>
  <si>
    <t>Div Rate</t>
  </si>
  <si>
    <t>Past P/L</t>
  </si>
  <si>
    <t>Curent %P/L</t>
  </si>
  <si>
    <t>past P/L</t>
  </si>
  <si>
    <t>75@</t>
  </si>
  <si>
    <t>0.66 Dividend</t>
  </si>
  <si>
    <t>P/L &gt; 400</t>
  </si>
  <si>
    <t>SIG</t>
  </si>
  <si>
    <t>Top3 Loss</t>
  </si>
  <si>
    <t>Rest P/L</t>
  </si>
  <si>
    <t>Interest</t>
  </si>
  <si>
    <t>16.K, 16.53</t>
  </si>
  <si>
    <t>20-Jun 1600  @14.31</t>
  </si>
  <si>
    <t>SPX vol</t>
  </si>
  <si>
    <t>My vol</t>
  </si>
  <si>
    <t>Corrections</t>
  </si>
  <si>
    <t>CF</t>
  </si>
  <si>
    <t>VGK</t>
  </si>
  <si>
    <t>AXP</t>
  </si>
  <si>
    <t>MOS</t>
  </si>
  <si>
    <t>1-Jul,      2178  @15.63</t>
  </si>
  <si>
    <t>-9% AH after ER</t>
  </si>
  <si>
    <t>Sellable</t>
  </si>
  <si>
    <t>AH ER beat, +3.8%</t>
  </si>
  <si>
    <t>AH ER, 0.15 vs 0.09, 5.3B vs 5.2B</t>
  </si>
  <si>
    <t>1.47 vs 1.42, 10.45B vs 10.48B</t>
  </si>
  <si>
    <t>1.01 vs 1.00, 22.5B vs 22.2B, g 1.02</t>
  </si>
  <si>
    <t>ex 9/26 e</t>
  </si>
  <si>
    <t>fixed income conference</t>
  </si>
  <si>
    <t>9% SI among floating</t>
  </si>
  <si>
    <t>SI 13%</t>
  </si>
  <si>
    <t>insider buy 65K@30 in May</t>
  </si>
  <si>
    <t>SI 11%</t>
  </si>
  <si>
    <t>SI 6.5%</t>
  </si>
  <si>
    <t>SI 2.5%</t>
  </si>
  <si>
    <t>2.61$ beat 0.04, 9.4B, beat 20M -5.1%YoY</t>
  </si>
  <si>
    <t>ER, AH (62.68 - 66.17)</t>
  </si>
  <si>
    <t>2.10$ beats 0.15, 8.24B miss 160M</t>
  </si>
  <si>
    <t>AH -4%</t>
  </si>
  <si>
    <t>AH -4% (84-100)</t>
  </si>
  <si>
    <t>AKAM</t>
  </si>
  <si>
    <t>AH -9%</t>
  </si>
  <si>
    <t>AH +7%</t>
  </si>
  <si>
    <t>AH +2% due to apple, 67.8</t>
  </si>
  <si>
    <t>sold 30 at loss</t>
  </si>
  <si>
    <t>ER, -8%</t>
  </si>
  <si>
    <t>margin</t>
  </si>
  <si>
    <t>2000 @ 14.94</t>
  </si>
  <si>
    <t>8/18/2016 1678@    16.43</t>
  </si>
  <si>
    <t>conf</t>
  </si>
  <si>
    <t>Achieved, 16.35</t>
  </si>
  <si>
    <t>Achieved, 16.25</t>
  </si>
  <si>
    <t>system down</t>
  </si>
  <si>
    <t>div, 36.50</t>
  </si>
  <si>
    <t>Achieved, 15.75</t>
  </si>
  <si>
    <t>div, 12.00</t>
  </si>
  <si>
    <t>sep. sale</t>
  </si>
  <si>
    <t>investor day</t>
  </si>
  <si>
    <t>DG</t>
  </si>
  <si>
    <t>FOXA</t>
  </si>
  <si>
    <t>NCLH</t>
  </si>
  <si>
    <t>1220 @ 16.55</t>
  </si>
  <si>
    <t>JNJ</t>
  </si>
  <si>
    <t>fertizer conf</t>
  </si>
  <si>
    <t>0.18 Dividend</t>
  </si>
  <si>
    <t>div, 16.35</t>
  </si>
  <si>
    <t>16.53 ---&gt; 16.00</t>
  </si>
  <si>
    <t>CVS</t>
  </si>
  <si>
    <t>12.00 ---&gt; 11.70</t>
  </si>
  <si>
    <t>1800 @ 14.59</t>
  </si>
  <si>
    <t>Daily change</t>
  </si>
  <si>
    <t>Daily NDX%</t>
  </si>
  <si>
    <t>SWHC</t>
  </si>
  <si>
    <t>22.00 ---&gt; 21.50</t>
  </si>
  <si>
    <t>21.50 ---&gt; 21.00</t>
  </si>
  <si>
    <t>https://en.wikipedia.org/wiki/21st_Century_Fox</t>
  </si>
  <si>
    <t>16.00 ---&gt; 15.80</t>
  </si>
  <si>
    <t>16.25 ----&gt; 15.75</t>
  </si>
  <si>
    <t>AH -5%</t>
  </si>
  <si>
    <t>Note</t>
  </si>
  <si>
    <t>17.00 ---&gt; 16.80</t>
  </si>
  <si>
    <t>16.35  ---&gt; 15.70</t>
  </si>
  <si>
    <t>0.32 Dividend</t>
  </si>
  <si>
    <t>2000 @ 15.83</t>
  </si>
  <si>
    <t>BMY</t>
  </si>
  <si>
    <t>16.80 ---&gt; 16.48</t>
  </si>
  <si>
    <t>15.70 ---&gt; 15.25</t>
  </si>
  <si>
    <t>83.00 ---&gt; 82.00</t>
  </si>
  <si>
    <t>0.463 Dividend</t>
  </si>
  <si>
    <t>15.75 ---&gt; 15.45</t>
  </si>
  <si>
    <t>EW</t>
  </si>
  <si>
    <t>21.00 ---&gt; 16.00</t>
  </si>
  <si>
    <t>66.50 - 96.88</t>
  </si>
  <si>
    <t>12/7/2016   800 @ 20.20</t>
  </si>
  <si>
    <t>0.28 Dividend</t>
  </si>
  <si>
    <t>82.00 ---&gt; 81.00</t>
  </si>
  <si>
    <t>CCE</t>
  </si>
  <si>
    <t>30.55 - 54.54</t>
  </si>
  <si>
    <t>NAV¹:</t>
  </si>
  <si>
    <t>Net Assets²:</t>
  </si>
  <si>
    <t>YTD Return (Mkt)²:</t>
  </si>
  <si>
    <t>P/E (ttm)²:</t>
  </si>
  <si>
    <t>Yield (ttm)²:</t>
  </si>
  <si>
    <t>1.02 Dividend</t>
  </si>
  <si>
    <t>37.41 - 76.80</t>
  </si>
  <si>
    <t>25.00 ---&gt; 24.50</t>
  </si>
  <si>
    <t>ISTPDR61</t>
  </si>
  <si>
    <t>GCFPURGB</t>
  </si>
  <si>
    <t>AOBC</t>
  </si>
  <si>
    <t>0.39 Dividend</t>
  </si>
  <si>
    <t>28.27 - 35.11</t>
  </si>
  <si>
    <t>TEVA</t>
  </si>
  <si>
    <t>6000,  3000</t>
  </si>
  <si>
    <t>&gt;$1000</t>
  </si>
  <si>
    <t>25,  0</t>
  </si>
  <si>
    <t>20,  20</t>
  </si>
  <si>
    <t>?</t>
  </si>
  <si>
    <t>400,  200</t>
  </si>
  <si>
    <t>600,   200</t>
  </si>
  <si>
    <t>100,   0</t>
  </si>
  <si>
    <t>300,  150</t>
  </si>
  <si>
    <t>TGT</t>
  </si>
  <si>
    <t>Apr 18 - Apr 24 (Est.)</t>
  </si>
  <si>
    <t>50,    0</t>
  </si>
  <si>
    <t>1550,   1200</t>
  </si>
  <si>
    <t>100,  20</t>
  </si>
  <si>
    <t>50,   50</t>
  </si>
  <si>
    <t>https://fred.stlouisfed.org/series/CPIFABSL</t>
  </si>
  <si>
    <t>100,  0</t>
  </si>
  <si>
    <t>80,   0</t>
  </si>
  <si>
    <t>1350,  1000</t>
  </si>
  <si>
    <t>1550, 1000</t>
  </si>
  <si>
    <t>1550,   400</t>
  </si>
  <si>
    <t>18-Apr-17JNJ Earnings announcement</t>
  </si>
  <si>
    <t>Apr 17 - Apr 21 (Est.)</t>
  </si>
  <si>
    <t>250,  100</t>
  </si>
  <si>
    <t>30,   15</t>
  </si>
  <si>
    <t>40,  0</t>
  </si>
  <si>
    <t>120,  20</t>
  </si>
  <si>
    <t>6000,  2000</t>
  </si>
  <si>
    <t>50,  0</t>
  </si>
  <si>
    <t>46.01 - 77.12</t>
  </si>
  <si>
    <t>6100,  2000</t>
  </si>
  <si>
    <t>500,  200</t>
  </si>
  <si>
    <t>600,   300</t>
  </si>
  <si>
    <t>140,     40</t>
  </si>
  <si>
    <t>Apr 26 - May 1 (Est.)</t>
  </si>
  <si>
    <t>27-Apr-17F Earnings announcement</t>
  </si>
  <si>
    <t>Apr 25 - May 1 (Est.)</t>
  </si>
  <si>
    <t>79.00 ---&gt; 78.50</t>
  </si>
  <si>
    <t>1350,   0</t>
  </si>
  <si>
    <t>6900,   4000</t>
  </si>
  <si>
    <t>6900,  3700</t>
  </si>
  <si>
    <t>400,  100</t>
  </si>
  <si>
    <t>75,   0</t>
  </si>
  <si>
    <t>6500,  2100</t>
  </si>
  <si>
    <t>MJN</t>
  </si>
  <si>
    <t>6000,    900</t>
  </si>
  <si>
    <t>180,    40</t>
  </si>
  <si>
    <t>120,   20</t>
  </si>
  <si>
    <t>500,   100</t>
  </si>
  <si>
    <t>Apr 24 - Apr 28 (Est.)</t>
  </si>
  <si>
    <t>11.07 - 14.22</t>
  </si>
  <si>
    <t>1350,   250</t>
  </si>
  <si>
    <t>5300,    200</t>
  </si>
  <si>
    <t>500,  300</t>
  </si>
  <si>
    <t>27-Apr-17IP Earnings announcement</t>
  </si>
  <si>
    <t>4-May-17ALL Earnings announcement</t>
  </si>
  <si>
    <t>250,   150</t>
  </si>
  <si>
    <t>50,   25</t>
  </si>
  <si>
    <t>30,  15</t>
  </si>
  <si>
    <t>6000,    700</t>
  </si>
  <si>
    <t>25,   0</t>
  </si>
  <si>
    <t>125,   0</t>
  </si>
  <si>
    <t>6600,   700</t>
  </si>
  <si>
    <t>600,   100</t>
  </si>
  <si>
    <t>600,  300</t>
  </si>
  <si>
    <t>350,   150</t>
  </si>
  <si>
    <t>33.60 - 50.40</t>
  </si>
  <si>
    <t>65.38 - 103.10</t>
  </si>
  <si>
    <t>1550,   250</t>
  </si>
  <si>
    <t>15,   0</t>
  </si>
  <si>
    <t>47.80 - 71.64</t>
  </si>
  <si>
    <t>81.12 - 121.75</t>
  </si>
  <si>
    <t>1650,   250</t>
  </si>
  <si>
    <t>100,    0</t>
  </si>
  <si>
    <t>May 8 - May 12 (Est.)</t>
  </si>
  <si>
    <t>May 2 - May 8 (Est.)</t>
  </si>
  <si>
    <t>27-Apr-17INTC Earnings announcement</t>
  </si>
  <si>
    <t>20.00 - 39.78</t>
  </si>
  <si>
    <t>300,   100</t>
  </si>
  <si>
    <t>150,   0</t>
  </si>
  <si>
    <t>5700,   300</t>
  </si>
  <si>
    <t>250,    50</t>
  </si>
  <si>
    <t>5700,     0</t>
  </si>
  <si>
    <t>400,   100</t>
  </si>
  <si>
    <t>1550,  150</t>
  </si>
  <si>
    <t>75,   50</t>
  </si>
  <si>
    <t>600,   400</t>
  </si>
  <si>
    <t>0.125 Dividend</t>
  </si>
  <si>
    <t>20,     0</t>
  </si>
  <si>
    <t>25,     0</t>
  </si>
  <si>
    <t>180,   40</t>
  </si>
  <si>
    <t>34.00 ---&gt; 33.50</t>
  </si>
  <si>
    <t>140,   0</t>
  </si>
  <si>
    <t>200,   100</t>
  </si>
  <si>
    <t>6000,    0</t>
  </si>
  <si>
    <t>250,    150</t>
  </si>
  <si>
    <t>125,  50</t>
  </si>
  <si>
    <t>250, 100</t>
  </si>
  <si>
    <t>28.72 - 46.45</t>
  </si>
  <si>
    <t>30,   30</t>
  </si>
  <si>
    <t>1550,   350</t>
  </si>
  <si>
    <t>0.37 Dividend</t>
  </si>
  <si>
    <t>RGR, VSTO, OLN, CAB</t>
  </si>
  <si>
    <t>20,    20</t>
  </si>
  <si>
    <t>UREH7</t>
  </si>
  <si>
    <t>Nola Urea, correlates more</t>
  </si>
  <si>
    <t>Anthracite coal price</t>
  </si>
  <si>
    <t>CPSFFODY</t>
  </si>
  <si>
    <t>800,   300</t>
  </si>
  <si>
    <t>http://www.trendforce.com/price</t>
  </si>
  <si>
    <t>300,   50</t>
  </si>
  <si>
    <t>TotalPL</t>
  </si>
  <si>
    <t>250,   100</t>
  </si>
  <si>
    <t>1400,  300</t>
  </si>
  <si>
    <t>60,    20</t>
  </si>
  <si>
    <t>57.15 - 82.00</t>
  </si>
  <si>
    <t>20.77 - 37.17</t>
  </si>
  <si>
    <t>May 30 - Jun 5 (Est.)</t>
  </si>
  <si>
    <t>80,    30</t>
  </si>
  <si>
    <t>https://www.fbi.gov/file-repository/nics_firearm_checks_-_month_year.pdf/view</t>
  </si>
  <si>
    <t>1/17/2017: insider buy 65K shares @20.71</t>
  </si>
  <si>
    <t>3/6/2016: NICS checks Feb 2017 up 20%</t>
  </si>
  <si>
    <t>27-Apr-17BMY Earnings announcement</t>
  </si>
  <si>
    <t>0.308 Dividend</t>
  </si>
  <si>
    <t>17-May-17TGT Earnings announcement</t>
  </si>
  <si>
    <t>27.34 - 38.55</t>
  </si>
  <si>
    <t>NICS</t>
  </si>
  <si>
    <t>http://finance.yahoo.com/quote/CAB?p=CAB</t>
  </si>
  <si>
    <t>http://finance.yahoo.com/quote/RGR/?p=RGR</t>
  </si>
  <si>
    <t>http://ir.aob.com/phoenix.zhtml?c=90977&amp;p=irol-investorHome</t>
  </si>
  <si>
    <t>aobc IR</t>
  </si>
  <si>
    <t>rgr IR</t>
  </si>
  <si>
    <t>http://www.ruger.com/corporate/news.html</t>
  </si>
  <si>
    <t>vsto</t>
  </si>
  <si>
    <t>http://investors.vistaoutdoor.com/event</t>
  </si>
  <si>
    <t>vista news</t>
  </si>
  <si>
    <t>rgr news</t>
  </si>
  <si>
    <t>Cabela news</t>
  </si>
  <si>
    <t>http://finance.yahoo.com/quote/VSTO?p=VSTO</t>
  </si>
  <si>
    <t>139.18 - 227.75</t>
  </si>
  <si>
    <t>RSI</t>
  </si>
  <si>
    <t>15.88B</t>
  </si>
  <si>
    <t>39.24 - 58.86</t>
  </si>
  <si>
    <t>34.92 - 58.63</t>
  </si>
  <si>
    <t>78.15 - 125.00</t>
  </si>
  <si>
    <t>96.89 - 114.44</t>
  </si>
  <si>
    <t>total PL</t>
  </si>
  <si>
    <t>May 24 - May 30 (Est.)</t>
  </si>
  <si>
    <t>1.07 (3.42%)</t>
  </si>
  <si>
    <t>29.50 - 38.45</t>
  </si>
  <si>
    <t>0.36 (1.25%)</t>
  </si>
  <si>
    <t>64.36 - 83.09</t>
  </si>
  <si>
    <t>125.26 - 172.14</t>
  </si>
  <si>
    <t>19-Apr-17AXP Earnings announcement</t>
  </si>
  <si>
    <t>42.73 - 52.07</t>
  </si>
  <si>
    <t>0.277 Dividend</t>
  </si>
  <si>
    <t>9-May-17DIS Earnings announcement</t>
  </si>
  <si>
    <t>18-Apr-17UNH Earnings announcement</t>
  </si>
  <si>
    <t>SFM, WFM, publix, WMT</t>
  </si>
  <si>
    <t>Hynix, Samsung, Winbond, Macronix, Nanya</t>
  </si>
  <si>
    <t>1.14 (1.67%)</t>
  </si>
  <si>
    <t>0.60 (0.39%)</t>
  </si>
  <si>
    <t>Jun 26 - Jun 30 (Est.)</t>
  </si>
  <si>
    <t>45.12 - 65.56</t>
  </si>
  <si>
    <t>34.03 x 200</t>
  </si>
  <si>
    <t>0.50 (0.74%)</t>
  </si>
  <si>
    <t>28-Apr-17GM Earnings announcement</t>
  </si>
  <si>
    <t>139.07 - 161.66</t>
  </si>
  <si>
    <t>23.33 - 32.60</t>
  </si>
  <si>
    <t>0.36 (1.11%)</t>
  </si>
  <si>
    <t>0.60 (5.15%)</t>
  </si>
  <si>
    <t>1.12 (1.14%)</t>
  </si>
  <si>
    <t>1.56 (1.38%)</t>
  </si>
  <si>
    <t>0.625 Dividend</t>
  </si>
  <si>
    <t>1.28 (1.62%)</t>
  </si>
  <si>
    <t>1.04 (1.49%)</t>
  </si>
  <si>
    <t>1.56 (2.87%)</t>
  </si>
  <si>
    <t>3.20 (2.57%)</t>
  </si>
  <si>
    <t>0.72 (1.29%)</t>
  </si>
  <si>
    <t>1.85 (3.64%)</t>
  </si>
  <si>
    <t>1.09 (3.02%)</t>
  </si>
  <si>
    <t>1.00 (2.07%)</t>
  </si>
  <si>
    <t>2.44 (2.18%)</t>
  </si>
  <si>
    <t>34.16 - 55.24</t>
  </si>
  <si>
    <t>1.20 (4.09%)</t>
  </si>
  <si>
    <t>2.40 (4.35%)</t>
  </si>
  <si>
    <t>1.36 (1.67%)</t>
  </si>
  <si>
    <t>4.08 (1.86%)</t>
  </si>
  <si>
    <t>2-May-17GILD Earnings announcement</t>
  </si>
  <si>
    <t>2.08 (3.06%)</t>
  </si>
  <si>
    <t>1.52 (4.30%)</t>
  </si>
  <si>
    <t>26-Apr-17TMO Earnings announcement</t>
  </si>
  <si>
    <t>1.04 (2.30%)</t>
  </si>
  <si>
    <t>2.64 (2.35%)</t>
  </si>
  <si>
    <t>2.50 (1.52%)</t>
  </si>
  <si>
    <t>38.50 x 400</t>
  </si>
  <si>
    <t>39.95 x 2300</t>
  </si>
  <si>
    <t>38.59 - 39.24</t>
  </si>
  <si>
    <t>20.79B</t>
  </si>
  <si>
    <t>77.66 - 79.03</t>
  </si>
  <si>
    <t>70.08B</t>
  </si>
  <si>
    <t>68.15 - 69.66</t>
  </si>
  <si>
    <t>18.92B</t>
  </si>
  <si>
    <t>31.57 - 32.13</t>
  </si>
  <si>
    <t>4.50B</t>
  </si>
  <si>
    <t>30.82 x 100</t>
  </si>
  <si>
    <t>31.26 - 31.84</t>
  </si>
  <si>
    <t>57.64B</t>
  </si>
  <si>
    <t>4-May-17CCE Earnings announcement</t>
  </si>
  <si>
    <t>37.46 - 37.84</t>
  </si>
  <si>
    <t>17.87B</t>
  </si>
  <si>
    <t>53.00 - 54.13</t>
  </si>
  <si>
    <t>88.79B</t>
  </si>
  <si>
    <t>58.50 x 100</t>
  </si>
  <si>
    <t>59.18 x 900</t>
  </si>
  <si>
    <t>58.65 - 59.73</t>
  </si>
  <si>
    <t>10.18B</t>
  </si>
  <si>
    <t>11.25 - 11.50</t>
  </si>
  <si>
    <t>44.75B</t>
  </si>
  <si>
    <t>124.41 - 125.60</t>
  </si>
  <si>
    <t>108.63 - 129.00</t>
  </si>
  <si>
    <t>338.32B</t>
  </si>
  <si>
    <t>93.00 - 94.91</t>
  </si>
  <si>
    <t>19.78B</t>
  </si>
  <si>
    <t>54.50 - 55.80</t>
  </si>
  <si>
    <t>49.01 - 60.58</t>
  </si>
  <si>
    <t>90.96B</t>
  </si>
  <si>
    <t>51.13 - 51.53</t>
  </si>
  <si>
    <t>50.52 - 51.29</t>
  </si>
  <si>
    <t>20.80B</t>
  </si>
  <si>
    <t>36.14 x 600</t>
  </si>
  <si>
    <t>36.20 x 100</t>
  </si>
  <si>
    <t>36.17 - 36.76</t>
  </si>
  <si>
    <t>171.25B</t>
  </si>
  <si>
    <t>47.10 - 48.59</t>
  </si>
  <si>
    <t>14.94B</t>
  </si>
  <si>
    <t>26-Apr-17NSC Earnings announcement</t>
  </si>
  <si>
    <t>114.45 - 117.63</t>
  </si>
  <si>
    <t>33.34B</t>
  </si>
  <si>
    <t>40.14 x 100</t>
  </si>
  <si>
    <t>104.96 x 10500</t>
  </si>
  <si>
    <t>49.59 - 50.75</t>
  </si>
  <si>
    <t>11.32B</t>
  </si>
  <si>
    <t>98.31 x 300</t>
  </si>
  <si>
    <t>99.29 x 300</t>
  </si>
  <si>
    <t>98.61 - 100.58</t>
  </si>
  <si>
    <t>57.11 - 100.70</t>
  </si>
  <si>
    <t>18.29B</t>
  </si>
  <si>
    <t>73.13 - 75.05</t>
  </si>
  <si>
    <t>55.73 - 75.05</t>
  </si>
  <si>
    <t>56.96B</t>
  </si>
  <si>
    <t>33.76 - 35.09</t>
  </si>
  <si>
    <t>6.24B</t>
  </si>
  <si>
    <t>28.76 - 29.52</t>
  </si>
  <si>
    <t>6.71B</t>
  </si>
  <si>
    <t>52.72 - 53.84</t>
  </si>
  <si>
    <t>52.72 - 84.14</t>
  </si>
  <si>
    <t>29.15B</t>
  </si>
  <si>
    <t>36.74 - 37.48</t>
  </si>
  <si>
    <t>5.98B</t>
  </si>
  <si>
    <t>81.29 - 82.17</t>
  </si>
  <si>
    <t>29.73B</t>
  </si>
  <si>
    <t>216.55 x 100</t>
  </si>
  <si>
    <t>217.50 x 200</t>
  </si>
  <si>
    <t>216.80 - 220.50</t>
  </si>
  <si>
    <t>92.06B</t>
  </si>
  <si>
    <t>112.79 - 113.84</t>
  </si>
  <si>
    <t>90.32 - 113.84</t>
  </si>
  <si>
    <t>178.68B</t>
  </si>
  <si>
    <t>66.30 x 100</t>
  </si>
  <si>
    <t>66.47 x 200</t>
  </si>
  <si>
    <t>66.40 - 67.13</t>
  </si>
  <si>
    <t>86.88B</t>
  </si>
  <si>
    <t>69.00 x 100</t>
  </si>
  <si>
    <t>67.89 - 69.45</t>
  </si>
  <si>
    <t>50.73 - 72.28</t>
  </si>
  <si>
    <t>4.17B</t>
  </si>
  <si>
    <t>33.99 - 34.65</t>
  </si>
  <si>
    <t>50.93B</t>
  </si>
  <si>
    <t>152.63 - 154.09</t>
  </si>
  <si>
    <t>59.64B</t>
  </si>
  <si>
    <t>43.15 - 44.95</t>
  </si>
  <si>
    <t>3.38B</t>
  </si>
  <si>
    <t>112.45 - 114.38</t>
  </si>
  <si>
    <t>90.19B</t>
  </si>
  <si>
    <t>165.22 - 167.26</t>
  </si>
  <si>
    <t>157.29B</t>
  </si>
  <si>
    <t>69.81 - 71.35</t>
  </si>
  <si>
    <t>22.04B</t>
  </si>
  <si>
    <t>Eff Cost</t>
  </si>
  <si>
    <t>http://www.supermarketnews.com/retail-financial/unfi-takes-hit-whole-foods-investment</t>
  </si>
  <si>
    <t>SuperMarket News</t>
  </si>
  <si>
    <t>ARNC</t>
  </si>
  <si>
    <t>32.50 ---&gt; 32.00</t>
  </si>
  <si>
    <t>32.00 ---&gt; 31.50</t>
  </si>
  <si>
    <t>%basis</t>
  </si>
  <si>
    <t>MRO divests oil sands, buys into permian</t>
  </si>
  <si>
    <t xml:space="preserve">downgraded by BoA, Tgt 25-&gt;22, down 1.5% despite oil up </t>
  </si>
  <si>
    <t>31.50 ---&gt; 31.00</t>
  </si>
  <si>
    <t>AAP</t>
  </si>
  <si>
    <t>COST</t>
  </si>
  <si>
    <t>EPS estimate</t>
  </si>
  <si>
    <t>EPS Actual</t>
  </si>
  <si>
    <t>Guidance</t>
  </si>
  <si>
    <t>Sales Estiamte (B)</t>
  </si>
  <si>
    <t>Sales Actual (B)</t>
  </si>
  <si>
    <t>Reaction</t>
  </si>
  <si>
    <t>Quarter</t>
  </si>
  <si>
    <t>Time</t>
  </si>
  <si>
    <t>Q2 2017</t>
  </si>
  <si>
    <t>TJX</t>
  </si>
  <si>
    <t>Raised</t>
  </si>
  <si>
    <t>GPS</t>
  </si>
  <si>
    <t>ULTA</t>
  </si>
  <si>
    <t>88.50--&gt;  75.00</t>
  </si>
  <si>
    <t>Current Period (Q2 2018)</t>
  </si>
  <si>
    <t>EPS</t>
  </si>
  <si>
    <t>Sales</t>
  </si>
  <si>
    <t>Actual</t>
  </si>
  <si>
    <t>Estimate</t>
  </si>
  <si>
    <t>%</t>
  </si>
  <si>
    <t>Surprise</t>
  </si>
  <si>
    <t xml:space="preserve"> </t>
  </si>
  <si>
    <t>Yr Over Yr Growth</t>
  </si>
  <si>
    <t>Next Period (Q3 2018)</t>
  </si>
  <si>
    <t>Prior Period (Q1 2018)</t>
  </si>
  <si>
    <t>31.00--&gt;29.00</t>
  </si>
  <si>
    <t>81---&gt;78</t>
  </si>
  <si>
    <t>sellable</t>
  </si>
  <si>
    <t>K</t>
  </si>
  <si>
    <t>DAP Actual</t>
  </si>
  <si>
    <t>Volume Actual</t>
  </si>
  <si>
    <t>3Q 2017</t>
  </si>
  <si>
    <t>Gross margin rate low</t>
  </si>
  <si>
    <t>Gross margin high (million $)</t>
  </si>
  <si>
    <t>Gross margin low (million $)</t>
  </si>
  <si>
    <t>Gross margin per ton low</t>
  </si>
  <si>
    <t>DAP Guidance high</t>
  </si>
  <si>
    <t>Volume Guidance low</t>
  </si>
  <si>
    <t>Volume Guidance high</t>
  </si>
  <si>
    <t>Gross margin rate high</t>
  </si>
  <si>
    <t>MOP Guidance low</t>
  </si>
  <si>
    <t>MOP Guidance high</t>
  </si>
  <si>
    <t>Gross margin per ton high</t>
  </si>
  <si>
    <t xml:space="preserve">DAP Guidance low </t>
  </si>
  <si>
    <t>Capacity utilization guidance</t>
  </si>
  <si>
    <t>Capacity utilization actual</t>
  </si>
  <si>
    <t>forward PE</t>
  </si>
  <si>
    <t>mid 80%</t>
  </si>
  <si>
    <t>http://www.nasdaq.com/markets/corn.aspx?timeframe=2y</t>
  </si>
  <si>
    <t>corn price</t>
  </si>
  <si>
    <t>HSIC</t>
  </si>
  <si>
    <t>AZO</t>
  </si>
  <si>
    <t>WBA</t>
  </si>
  <si>
    <t>ADBE</t>
  </si>
  <si>
    <t>Volume Actual (million ton)</t>
  </si>
  <si>
    <t>low 90%</t>
  </si>
  <si>
    <t>EPS diluted</t>
  </si>
  <si>
    <t>Net income ($ million)</t>
  </si>
  <si>
    <t>Sales (billion)</t>
  </si>
  <si>
    <t>Operating earnings</t>
  </si>
  <si>
    <t>total cash (million)</t>
  </si>
  <si>
    <t>Net Sales (million)</t>
  </si>
  <si>
    <t>Gross margin rate actual</t>
  </si>
  <si>
    <t>Gross margin actual (million)</t>
  </si>
  <si>
    <t>Year ago</t>
  </si>
  <si>
    <t>actual per ton</t>
  </si>
  <si>
    <t>Gross margin of sales</t>
  </si>
  <si>
    <t>average selling price</t>
  </si>
  <si>
    <t>year ago</t>
  </si>
  <si>
    <t>low $20</t>
  </si>
  <si>
    <t>65.00 --&gt;64.50</t>
  </si>
  <si>
    <t>57.00 -&gt;56.50</t>
  </si>
  <si>
    <t>64.50 --&gt;63.50</t>
  </si>
  <si>
    <t>80.00-&gt;79.50</t>
  </si>
  <si>
    <t>2Q 2017</t>
  </si>
  <si>
    <t>Reported on</t>
  </si>
  <si>
    <t>upper single digit</t>
  </si>
  <si>
    <t>upper teans</t>
  </si>
  <si>
    <t>low 80%</t>
  </si>
  <si>
    <t>75.00-&gt;74.00</t>
  </si>
  <si>
    <t>19.50-&gt;18.60</t>
  </si>
  <si>
    <t>76.00-&gt;74.50</t>
  </si>
  <si>
    <t>16.25-&gt;15.75</t>
  </si>
  <si>
    <t>79.50-&gt;78.39</t>
  </si>
  <si>
    <t>63.50-&gt;62.20</t>
  </si>
  <si>
    <t>56.50-&gt;55.40</t>
  </si>
  <si>
    <t>74.50-&gt;73.50</t>
  </si>
  <si>
    <t>50.80-&gt;50.20</t>
  </si>
  <si>
    <t>launches generic viagra</t>
  </si>
  <si>
    <t>div,  15.75</t>
  </si>
  <si>
    <t>73.50-&gt;73.00</t>
  </si>
  <si>
    <t>31.00-&gt;30.50</t>
  </si>
  <si>
    <t>ARR</t>
  </si>
  <si>
    <t>RSI top, might drop below 15 in coming weeks??</t>
  </si>
  <si>
    <t>CEO might be overcutting as a bargaining strategy??</t>
  </si>
  <si>
    <t>seaport upgraded MRO from sell to buy. PT 9 in November</t>
  </si>
  <si>
    <t>34.50-&gt;34.00</t>
  </si>
  <si>
    <t>80.50-&gt;72.50</t>
  </si>
  <si>
    <t>GE</t>
  </si>
  <si>
    <t>at loss</t>
  </si>
  <si>
    <t>citi PT 30-&gt;33. Prbably going up as SFM is up 20% this year, but supervalue still down</t>
  </si>
  <si>
    <t>should have sold when inside sold 2M shares</t>
  </si>
  <si>
    <t>stock declined the same way last time it made big M/A with rubbermaid</t>
  </si>
  <si>
    <t>a lot of debt now. Hurricane. Think it  will take some tiem to recover.</t>
  </si>
  <si>
    <t>should sell 60 shares for tax loss</t>
  </si>
  <si>
    <t>long term holdable</t>
  </si>
  <si>
    <t>sell another 100 for tax loss</t>
  </si>
  <si>
    <t>Complera (GILD)</t>
  </si>
  <si>
    <t>Odefsey * (GILD)</t>
  </si>
  <si>
    <t>Descovy * (GILD)</t>
  </si>
  <si>
    <t>Atripla (GILD)</t>
  </si>
  <si>
    <t>Triumeq (GSK LN)</t>
  </si>
  <si>
    <t>TOTAL</t>
  </si>
  <si>
    <t>Harvoni (GILD)</t>
  </si>
  <si>
    <t>Sovaldi (GILD)</t>
  </si>
  <si>
    <t>Epclusa (GILD)</t>
  </si>
  <si>
    <t>Daklinza (BMY)</t>
  </si>
  <si>
    <t>Viekira Pak (ABBV)</t>
  </si>
  <si>
    <t>Zepatier (MRK)</t>
  </si>
  <si>
    <t>Olysio (JNJ)</t>
  </si>
  <si>
    <t>Mavyret (ABBV)</t>
  </si>
  <si>
    <t>GILD share</t>
  </si>
  <si>
    <t>Hep-C</t>
  </si>
  <si>
    <t>HIV</t>
  </si>
  <si>
    <t>Total % change</t>
  </si>
  <si>
    <t>at current price, I think pretty safe to hold</t>
  </si>
  <si>
    <t>will take time to take off</t>
  </si>
  <si>
    <t>possibly heading lower short term $70</t>
  </si>
  <si>
    <t>if possible, sell 50 shares, buy PDCO which has div, and looks good</t>
  </si>
  <si>
    <t>bought eVetPractice</t>
  </si>
  <si>
    <t>Amazon move to watch</t>
  </si>
  <si>
    <t>insider sell @77</t>
  </si>
  <si>
    <t>ST upside limited. LT good price. Very low debt</t>
  </si>
  <si>
    <t>insider bought 2500 shares @208</t>
  </si>
  <si>
    <t>n/a</t>
  </si>
  <si>
    <t>GILD total</t>
  </si>
  <si>
    <t>Gild change</t>
  </si>
  <si>
    <t xml:space="preserve"> -7% Hep-C, -5% HIV past week, barely $72</t>
  </si>
  <si>
    <t>DIV</t>
  </si>
  <si>
    <t>CMG</t>
  </si>
  <si>
    <t>PDCO</t>
  </si>
  <si>
    <t>new vehicle sale</t>
  </si>
  <si>
    <t>cold weather should help. Need to watch if catching up with peers</t>
  </si>
  <si>
    <t>76.50-&gt;75.50</t>
  </si>
  <si>
    <t>FRC</t>
  </si>
  <si>
    <t>23.00-&gt;22.50</t>
  </si>
  <si>
    <t>Down 9% on Dec NICS data (8% down YoY)</t>
  </si>
  <si>
    <t>I think data is bad, but not very bad. There is no quick recovery in sight</t>
  </si>
  <si>
    <t>RGR down 7%. Should sell aobc if rebound, and buy RGR?</t>
  </si>
  <si>
    <t>WTI reached above $61, MRO highest 17.87</t>
  </si>
  <si>
    <t>Iran protest</t>
  </si>
  <si>
    <t>$30 would be strong resistence. Sell 300 shares if above $30</t>
  </si>
  <si>
    <t>shares sold too cheap, but got tax loss. No hurry to BB, no hurry to Sell</t>
  </si>
  <si>
    <t>touching MA50 from below. ST could go down if not break the line</t>
  </si>
  <si>
    <t>director sold 3800 @13.97</t>
  </si>
  <si>
    <t>try to sell 300 at 12.79, so avg cost &lt; $14</t>
  </si>
  <si>
    <t>WFC upgrades PT to 270. Up 7%</t>
  </si>
  <si>
    <t>sell all if above avg</t>
  </si>
  <si>
    <t>3.36M insider buy @18.44 around end of November</t>
  </si>
  <si>
    <t>so probably 17 was a bottom</t>
  </si>
  <si>
    <t>78.00-&gt;71.50</t>
  </si>
  <si>
    <t>Dropped almost 5% on essentially no news. Most retails big drop.</t>
  </si>
  <si>
    <t>Expanding simple truth is a big LT plus.</t>
  </si>
  <si>
    <t>Ace hardware partnership? Another experiment after restaurant.</t>
  </si>
  <si>
    <t>B4Mkt</t>
  </si>
  <si>
    <t>HAS</t>
  </si>
  <si>
    <t>72.50-&gt;71.00</t>
  </si>
  <si>
    <t>Upgraded to buy by jeffreys, up 1.2% today</t>
  </si>
  <si>
    <t>try to sell 15 shares to bring to 75 shares</t>
  </si>
  <si>
    <t>78.39-&gt;76.00</t>
  </si>
  <si>
    <t>One-year return: refineries such as MPC, PSX had great returns. Returns for equipment or supply such as HAL, SLCA not good. E&amp;P is in the middle.</t>
  </si>
  <si>
    <t>50.80-&gt;50.21</t>
  </si>
  <si>
    <t>JPM conf, up 4% despite bad HIV, HCV weekly data</t>
  </si>
  <si>
    <t>110.00-&gt;92.15</t>
  </si>
  <si>
    <t>back to 75 shares @92.67</t>
  </si>
  <si>
    <t xml:space="preserve">KR to buy Boxed for up to $500?? Might be good move after TGT aquired shipt. </t>
  </si>
  <si>
    <t>Not sure good match though.</t>
  </si>
  <si>
    <t>MA 50 broke, and tested the support. MA50 could be ST support.</t>
  </si>
  <si>
    <t>Downside risk seems limited. No big jump upward in sight also.</t>
  </si>
  <si>
    <t>est. ER date</t>
  </si>
  <si>
    <t xml:space="preserve">Reported: Newell subsidiary First Alert acquires Atlanta startup Luma for more than $10 million  (connected smoke alarms). </t>
  </si>
  <si>
    <t>FirstAlert Showcased connected with Alexa alarm on CES</t>
  </si>
  <si>
    <t>$77 might be a resistence to meet MA100, and RSI 70.</t>
  </si>
  <si>
    <t>Broke MA500, $71 should be strong support.</t>
  </si>
  <si>
    <t>50-*-100-200</t>
  </si>
  <si>
    <t>DaysToCover: 11 ! A lot of Amazon fanatic here. Even AOBC 5.2</t>
  </si>
  <si>
    <t>Failed to sell (too gready). Went down to 11.8. Trying sell @12.56.</t>
  </si>
  <si>
    <t>SI went down to 5. ST probably downside is limited. Probably no big up movements</t>
  </si>
  <si>
    <t>GILD increased prices across board by 7%</t>
  </si>
  <si>
    <t>Need to look at next week on effect of price increase.</t>
  </si>
  <si>
    <t xml:space="preserve">Weekly trend not good. 8500-9000 HCV goal in risk. </t>
  </si>
  <si>
    <t>Milligan says HCV stablizing ?? Need to follow closely</t>
  </si>
  <si>
    <t>past week 11% HIV, 5% HCV</t>
  </si>
  <si>
    <t>ER AH</t>
  </si>
  <si>
    <t>100*50--200^</t>
  </si>
  <si>
    <t>Tested MA200. Might be good resis there. watch if $110 can hold</t>
  </si>
  <si>
    <t>SI 5.0</t>
  </si>
  <si>
    <t>SI 7. Quarterly seasonality in SI</t>
  </si>
  <si>
    <t>RBC downgrade to $55 PT</t>
  </si>
  <si>
    <t>New CEO Mark Walchirk. Previously from McKesson</t>
  </si>
  <si>
    <t>CEO Brian Goldner, RI HQ</t>
  </si>
  <si>
    <t>Should buy more if dips. Solid financial, bottom/top line growth</t>
  </si>
  <si>
    <t>If dips due to AMZN news, double or triple position</t>
  </si>
  <si>
    <t>JPM says still shoes to drop?? PT @16</t>
  </si>
  <si>
    <t xml:space="preserve">ER PM. </t>
  </si>
  <si>
    <t>Need to watch: Debt, FCF, bottom/top lines</t>
  </si>
  <si>
    <t>JPM upped PT from 15 to 20</t>
  </si>
  <si>
    <t>WFC upped PT to 96. @$81</t>
  </si>
  <si>
    <t>CDigitalO bought 90K @55.31</t>
  </si>
  <si>
    <t>50--*100--200</t>
  </si>
  <si>
    <t>legacy insurance business liabilities 6B, 15B next a few years (a big shoe)</t>
  </si>
  <si>
    <t>stock plummeted</t>
  </si>
  <si>
    <t>MRO 8 3/4 2022 bond IRR 4.6% @116.28. was around 80 Feb 2016. MRO has no preferred stock.</t>
  </si>
  <si>
    <t>HES ER</t>
  </si>
  <si>
    <t>MUR ER</t>
  </si>
  <si>
    <t xml:space="preserve">SI only 1.5 days. </t>
  </si>
  <si>
    <t>It's the debt that spooks investors 11B out of 15 Market cap</t>
  </si>
  <si>
    <t>SI 9.3 days, similar to HSIC</t>
  </si>
  <si>
    <t>Amazing MAT bond selling at so low yield with negative net income</t>
  </si>
  <si>
    <t>Republicans claim Dodd-Frank is a heavy compliance burden for small to midsize banks such as Huntington Bancshares, First Republic …</t>
  </si>
  <si>
    <t>Fed Said to Be Finishing Proposal to Ease Up on Bank Leverage</t>
  </si>
  <si>
    <t>FRC up 4.61%, HBAN up 2%</t>
  </si>
  <si>
    <t>FRC CEO James Herbert, size 1/20 BAC, HQ San Francisco</t>
  </si>
  <si>
    <t>Carl June's Cancer Startup Raises $100 Million From Gilead, Sean Parker</t>
  </si>
  <si>
    <t>new 14.33</t>
  </si>
  <si>
    <t>new 14.00</t>
  </si>
  <si>
    <t>Recent news: overstock.com buy? Alibaba collaboration??</t>
  </si>
  <si>
    <t>Casey submitting bids for convienient stores?? Stock price spiked near closing</t>
  </si>
  <si>
    <t>recovered  a little to $25.33. My average cost is 37.77. 33% down</t>
  </si>
  <si>
    <t>A lot of analysts downgrades these past two days</t>
  </si>
  <si>
    <r>
      <t xml:space="preserve">Stock plummtted to $24 yesterday (3 board member leaving, reorg, downward revision, etc) . I was </t>
    </r>
    <r>
      <rPr>
        <sz val="11"/>
        <color rgb="FFFF0000"/>
        <rFont val="Calibri"/>
        <family val="2"/>
        <scheme val="minor"/>
      </rPr>
      <t>so wrong</t>
    </r>
    <r>
      <rPr>
        <sz val="11"/>
        <color theme="1"/>
        <rFont val="Calibri"/>
        <family val="2"/>
        <scheme val="minor"/>
      </rPr>
      <t xml:space="preserve"> on downside risk.</t>
    </r>
  </si>
  <si>
    <t>Insider who sold 2M shares is former Jarden mgt who resigned from board</t>
  </si>
  <si>
    <t>new 74.00</t>
  </si>
  <si>
    <t>DIA</t>
  </si>
  <si>
    <t>AYI</t>
  </si>
  <si>
    <t>new 30.20</t>
  </si>
  <si>
    <t>T</t>
  </si>
  <si>
    <t>KBWY</t>
  </si>
  <si>
    <t>ICE</t>
  </si>
  <si>
    <t>WTI</t>
  </si>
  <si>
    <t>200--100*--50. Testing MA100 support. MA200 @$14, which is a posssibility now.</t>
  </si>
  <si>
    <t>Remington talks to creditors for possible bankruptcy filing</t>
  </si>
  <si>
    <t>PowerShares KBW Premium Yield Equity REIT Portfolio</t>
  </si>
  <si>
    <t>Lawsuit alleges Ulta resold used cosmetics as new</t>
  </si>
  <si>
    <t>Retn Diff</t>
  </si>
  <si>
    <t>RGR earning</t>
  </si>
  <si>
    <t>buffet takes stake</t>
  </si>
  <si>
    <t>Gross margin actual (million $)</t>
  </si>
  <si>
    <t>1Q 2018</t>
  </si>
  <si>
    <t>4Q 2017</t>
  </si>
  <si>
    <t>$50 per ton</t>
  </si>
  <si>
    <t>$60 per ton</t>
  </si>
  <si>
    <t>$55 per ton</t>
  </si>
  <si>
    <t>$65 per ton</t>
  </si>
  <si>
    <t>EPS diluted, Adjusted</t>
  </si>
  <si>
    <t>22.50-&gt;21.50</t>
  </si>
  <si>
    <t>92.15-&gt;89.10</t>
  </si>
  <si>
    <t>KHC</t>
  </si>
  <si>
    <t>15.75-&gt;15.50</t>
  </si>
  <si>
    <t>-24% after ER</t>
  </si>
  <si>
    <t>MLM</t>
  </si>
  <si>
    <t>FL</t>
  </si>
  <si>
    <t>ER Date</t>
  </si>
  <si>
    <t>worries about newly purchased wells stack</t>
  </si>
  <si>
    <t>sold libya interest to Total @450m, complete exit</t>
  </si>
  <si>
    <t>KR increased age req on gun sale</t>
  </si>
  <si>
    <t>SFM ER, EPS 0.16 beat by 0.01, rev 1.14B in line</t>
  </si>
  <si>
    <t>My Sharpe</t>
  </si>
  <si>
    <t>73.00-&gt;69.50</t>
  </si>
  <si>
    <t>74.00-&gt;69.00</t>
  </si>
  <si>
    <t>71.50-&gt;68.50</t>
  </si>
  <si>
    <t>Estimate ER 7:00</t>
  </si>
  <si>
    <t>55.00-&gt;54.00</t>
  </si>
  <si>
    <t>CMCSA</t>
  </si>
  <si>
    <t>XEC</t>
  </si>
  <si>
    <t>QQQ</t>
  </si>
  <si>
    <t>Icahn sided with mgt, down 7%</t>
  </si>
  <si>
    <t>53.00-&gt;52.50</t>
  </si>
  <si>
    <t>Peers</t>
  </si>
  <si>
    <t>XRAY</t>
  </si>
  <si>
    <t>23.50-&gt;22.50</t>
  </si>
  <si>
    <t>Don't add until cheap. Keep below target position</t>
  </si>
  <si>
    <t>22.50-&gt;22.00</t>
  </si>
  <si>
    <t>loss</t>
  </si>
  <si>
    <t>supervalue exploring sale.</t>
  </si>
  <si>
    <t>ER, dropped 13%, closed -3%</t>
  </si>
  <si>
    <t>89.10-&gt;87.50</t>
  </si>
  <si>
    <t>2018 Guidance: diluted EPS $4.03 to $4.14</t>
  </si>
  <si>
    <t>Fwd PE</t>
  </si>
  <si>
    <t>ER: Non-GAAP EPS: $1.65 - $1.70</t>
  </si>
  <si>
    <t>Ajdust earnings $1 - $1.5</t>
  </si>
  <si>
    <t>ER B4, price dropped 12%.  2018 Earnings: 1.95-$2.15</t>
  </si>
  <si>
    <t>FY2018 earnings: 5.85-6.05</t>
  </si>
  <si>
    <t>http://www.wsj.com/mdc/public/page/2_3021-peyield.html</t>
  </si>
  <si>
    <t>GAAP diluted EPS of $0.00 - $0.60 and non-GAAP diluted EPS of $3.75 - $4.25</t>
  </si>
  <si>
    <t>Same store sales declined 5.2% in the fourth quarter and declined 5.3% in full year fiscal 2018</t>
  </si>
  <si>
    <t>dropped 20% to 38.22</t>
  </si>
  <si>
    <t>estimated earnings 2018 8.16*1.2</t>
  </si>
  <si>
    <t>Q4_17 Results</t>
  </si>
  <si>
    <t>full year 5.46, compared to 2016 $4.46</t>
  </si>
  <si>
    <t>Assuming same growth rate, EPS 2018 is around 6.6</t>
  </si>
  <si>
    <t>ER PM</t>
  </si>
  <si>
    <t>Account receivables increased $100M due to TRU, also inventory increased</t>
  </si>
  <si>
    <t>ER outlook flat EPS 3.08 or 1%</t>
  </si>
  <si>
    <t>double digit EPS growth in 2018 from 3.99 in 2017</t>
  </si>
  <si>
    <t>Assuming 10% growth, EPS at 4.4</t>
  </si>
  <si>
    <t>Ohio city closed KR store for rodent and insect problems</t>
  </si>
  <si>
    <t>Div yield</t>
  </si>
  <si>
    <t>NICS up</t>
  </si>
  <si>
    <t>: non-GAAP adjusted EPS in the range of $2.70 to $2.80;</t>
  </si>
  <si>
    <t>ER date</t>
  </si>
  <si>
    <t>3/22/2018 (loss)</t>
  </si>
  <si>
    <t>148-&gt;140</t>
  </si>
  <si>
    <t xml:space="preserve">ER. </t>
  </si>
  <si>
    <t xml:space="preserve"> Q1 EPS of $0.74 beats by $0.01.  Revenue of $9.76B (+8.0% Y/Y) misses by $80M. Up 2.9% to 52.98</t>
  </si>
  <si>
    <t>C, FRC, JPM, PNC, WFC: ER PM</t>
  </si>
  <si>
    <t>Q2 EPS of $1.89 misses by $0.22. Revenue of $832.1M (+3.4% Y/Y) beats by $32.82M.</t>
  </si>
  <si>
    <t>all down except FRC. WFC down 3.4%</t>
  </si>
  <si>
    <t>Price looks cheap. Buy more at 88-</t>
  </si>
  <si>
    <t>ER, up 1.29%. Loan grows at 20%+</t>
  </si>
  <si>
    <t>Albertson ER positive</t>
  </si>
  <si>
    <t>KR to add 11K workers</t>
  </si>
  <si>
    <t>PM dropped 16%, MO -6%</t>
  </si>
  <si>
    <t>on weak PM results</t>
  </si>
  <si>
    <t>ER PM, +6% PM</t>
  </si>
  <si>
    <t xml:space="preserve">ER </t>
  </si>
  <si>
    <t xml:space="preserve">closed sale of convenience stores. 1.2B buyback. </t>
  </si>
  <si>
    <t>Went up as high as 25.42, but gave back most of gain before noon (sell order at 25.48 did not go through :( )</t>
  </si>
  <si>
    <t>WMT ER</t>
  </si>
  <si>
    <t>FWD PE</t>
  </si>
  <si>
    <t>Fwd PE ratio</t>
  </si>
  <si>
    <t>10 year average 14.2, median 13.5</t>
  </si>
  <si>
    <t>SVU ER</t>
  </si>
  <si>
    <t>10 year EPS average around 18</t>
  </si>
  <si>
    <t>1.2B debt out of total 3.2B EV</t>
  </si>
  <si>
    <t>10 year average PE 20</t>
  </si>
  <si>
    <t>Very low debt ratio, gross margin slight decrease, but net margin 4% ok</t>
  </si>
  <si>
    <t>doublt if below $62</t>
  </si>
  <si>
    <t>CEO bought 9K shares at around $39</t>
  </si>
  <si>
    <t xml:space="preserve">down as much as 9% PM, but closed at +4%. </t>
  </si>
  <si>
    <t>Mattel also up 5%. Worst from ToyRUs is behind?</t>
  </si>
  <si>
    <t>ER, up 2.73%</t>
  </si>
  <si>
    <t>Q1 EPS of $0.62 beats by $0.03. Revenue of $22.79B (+10.7% Y/Y) beats by $40M.</t>
  </si>
  <si>
    <t>ER AH.  Q1 EPS of $0.85 misses by $0.02. Revenue of $38.04B (-3.4% Y/Y) misses by $1.27B</t>
  </si>
  <si>
    <t>Down 4.5% AH to 33.6</t>
  </si>
  <si>
    <t>Lowest 32.46, close at 33.10</t>
  </si>
  <si>
    <t>Q1 EPS of $0.95 beats by $0.03.  Revenue of $4.67B (+1.7% Y/Y) beats by $40M.</t>
  </si>
  <si>
    <t>full-year EPS of $3.90 to $4.03. Dropped 2% today</t>
  </si>
  <si>
    <t>Recenterly starboard stopped proxy fight, got one board position</t>
  </si>
  <si>
    <t>Charters down 13% on video subscriber loss. Cmcsa down 3.8%</t>
  </si>
  <si>
    <t>Annual meeting</t>
  </si>
  <si>
    <t>WFC upgrades PT to 270. Up 7%. WFC is lending facility</t>
  </si>
  <si>
    <t>Murphy oil ER</t>
  </si>
  <si>
    <t>Last examined</t>
  </si>
  <si>
    <t>dropped 5% during the day for no apparent reason, as low as 8%</t>
  </si>
  <si>
    <t>AH, Acquisition of IOTA Engineering announced</t>
  </si>
  <si>
    <t>ER, pretty bad, -5% AH</t>
  </si>
  <si>
    <t>XLP</t>
  </si>
  <si>
    <t>comsumer staples ETF</t>
  </si>
  <si>
    <t>37.00-&gt;36.00</t>
  </si>
  <si>
    <t>Q1 EPS of $0.18 beats by $0.04.  Revenue of $1.73B (+61.7% Y/Y) beats by $390M.</t>
  </si>
  <si>
    <t>dropped 8% during the day</t>
  </si>
  <si>
    <t>double beat, raised eps and free cf guidances</t>
  </si>
  <si>
    <t>Up 5.5% during the day to 19.44</t>
  </si>
  <si>
    <t>dropped by 4.4% during the day</t>
  </si>
  <si>
    <t>PM</t>
  </si>
  <si>
    <t>e.of.day</t>
  </si>
  <si>
    <t>ER, Okish</t>
  </si>
  <si>
    <t>Watch trump speech on drug pricing</t>
  </si>
  <si>
    <t>SFM ER, -13% lowered sale growth range</t>
  </si>
  <si>
    <t>Department of Agriculture recalled 35,000 pounds of raw ground beef from Kroger  that may be contaminated with hard plastic</t>
  </si>
  <si>
    <t>Sprouts Farmers Market announced that it has ended its Prime Now delivery partnership with Amazon.</t>
  </si>
  <si>
    <t>President of North american dental stepped down</t>
  </si>
  <si>
    <t>Cah lowering outlook</t>
  </si>
  <si>
    <t>CAH -18%, OMI -6.7%, MCK -5.3%, ABC -5%, DPLO -3.9%, CVS -3%, HSIC -3%, ESRX -2.3%, PDCO -2.2%, WBA -2.1%, XRAY -4.1%</t>
  </si>
  <si>
    <t>Last Examined</t>
  </si>
  <si>
    <t>21.50-&gt;18.50</t>
  </si>
  <si>
    <t>ER, dropped 6%</t>
  </si>
  <si>
    <t>AH -1%, mixed earings, guidance raised 1.2-1.6</t>
  </si>
  <si>
    <t>2Q 2018</t>
  </si>
  <si>
    <t>$75 per ton</t>
  </si>
  <si>
    <t>International Fertilizantes</t>
  </si>
  <si>
    <t>LT debt (million)</t>
  </si>
  <si>
    <t>Guidance lowed to 2.55-2.65 from 2.75 mid</t>
  </si>
  <si>
    <t>down -5.6% due to prep to buy fox</t>
  </si>
  <si>
    <t>22.50-&gt;21.00</t>
  </si>
  <si>
    <t>down -1.9% on XRAY earnings, HSIC earnings</t>
  </si>
  <si>
    <t>Analyst event</t>
  </si>
  <si>
    <t>DILLARD GEORGE DOUGLAS JR (DIR) purchased $563,800 worht of shares</t>
  </si>
  <si>
    <t>Top Holdings</t>
  </si>
  <si>
    <t>Historical PE ratio (Still high) IXRTR index</t>
  </si>
  <si>
    <t>http://portfolios.morningstar.com/fund/holdings?t=XLP&amp;region=usa&amp;culture=en-US</t>
  </si>
  <si>
    <t>Berkshire doubled stake to 40.5M shares after first reporting an 18.8M-share stake in Q4 last year</t>
  </si>
  <si>
    <t xml:space="preserve"> sending Teva +4.7% after hours</t>
  </si>
  <si>
    <t>Amazon expands WFM prime discount additional 10%, market has no reaction</t>
  </si>
  <si>
    <t>52.50-&gt;51.25</t>
  </si>
  <si>
    <t xml:space="preserve">WMT ER not bad, but dropped 1.9%. </t>
  </si>
  <si>
    <t>WSJ Wells Fargo reportedly altered customer docs</t>
  </si>
  <si>
    <t>Kroger Ties Up With Ocado</t>
  </si>
  <si>
    <t>Zoetis to buy veterinary diagnostics firm Abaxis for $1.9 bln</t>
  </si>
  <si>
    <t>Walgreen, Kroger, Albertsons, HEB sue Allergan over Restasi (transfer patent to tribe)</t>
  </si>
  <si>
    <t>BJ wholesale going public again?</t>
  </si>
  <si>
    <t>Remington exits bankruptcy</t>
  </si>
  <si>
    <t>10-year PE average 14.31</t>
  </si>
  <si>
    <t>Today, the President &amp; CEO of Marathon Oil, Lee Tillman , exercised options of Marathon Oil (NYSE: MRO) for $8.66M.</t>
  </si>
  <si>
    <t>Following Lee Tillman’s last MRO Sell transaction on August 07, 2015, the stock climbed by 4.1%</t>
  </si>
  <si>
    <t>In addition to Lee Tillman, 2 other MRO executives reported Sell trades in the last month.</t>
  </si>
  <si>
    <t>Bloomberg using 4.76 as EPS 2018</t>
  </si>
  <si>
    <t>51.25-&gt;50.25</t>
  </si>
  <si>
    <t>KR bought Home chef @200M</t>
  </si>
  <si>
    <t>Tiff earnings, jumped 24%</t>
  </si>
  <si>
    <t>Gained a lot before ER. Don’t' know reason</t>
  </si>
  <si>
    <t>52.25-&gt;51.75</t>
  </si>
  <si>
    <t>52week low at 20.91</t>
  </si>
  <si>
    <t>Days</t>
  </si>
  <si>
    <t>Value</t>
  </si>
  <si>
    <t>r</t>
  </si>
  <si>
    <t>PVBuy</t>
  </si>
  <si>
    <t>PVSell</t>
  </si>
  <si>
    <t>PVDiv</t>
  </si>
  <si>
    <t>PVCurrent</t>
  </si>
  <si>
    <t>Past PL</t>
  </si>
  <si>
    <t>Equation</t>
  </si>
  <si>
    <t>moving HQ to Hillsborough county, FA</t>
  </si>
  <si>
    <t>Bullish DAP, DOP prices, but PE kinda high</t>
  </si>
  <si>
    <t>WSJ: Mayonnaise Makers Bet on New Spreads</t>
  </si>
  <si>
    <t>WSJ: GE to Give Up Rail Unit in $11 Billion Deal</t>
  </si>
  <si>
    <t>AT&amp;T court decision</t>
  </si>
  <si>
    <t>ICE to buy TMC Bonds for $685M cash</t>
  </si>
  <si>
    <t>Icahn bought 7%. 30.28M shares</t>
  </si>
  <si>
    <t>https://www.fa-mag.com/news/the--powershares--name-is-no-more-39023.html</t>
  </si>
  <si>
    <t>ER PM. Up 18%. Highest interday $55.3</t>
  </si>
  <si>
    <t>lowered Q2 profit from 1.8-2 to 1.65-1.75 due to fual price surge</t>
  </si>
  <si>
    <t>up 3%</t>
  </si>
  <si>
    <t>Need look at debt closely</t>
  </si>
  <si>
    <t>HollyFrontier, Broadridge to replace Acuity Brands, Range Resources in S&amp;P 500</t>
  </si>
  <si>
    <t>35.25--&gt;32.00</t>
  </si>
  <si>
    <t>Up 3.77%, don't know why</t>
  </si>
  <si>
    <t>33.50-&gt;32.00</t>
  </si>
  <si>
    <t>new 28.00</t>
  </si>
  <si>
    <t>SI 8.5days</t>
  </si>
  <si>
    <t>Looks attractive from hsitorical PE. 10 Year average PE is 24</t>
  </si>
  <si>
    <t>new 32.00</t>
  </si>
  <si>
    <t>800 @    20.19</t>
  </si>
  <si>
    <t>18.50-&gt;18.00</t>
  </si>
  <si>
    <t>Disney topped cmcsa offer for fox</t>
  </si>
  <si>
    <t>32.25-&gt;31.00</t>
  </si>
  <si>
    <t>wrong sell order</t>
  </si>
  <si>
    <t>500 shares buy order put as sell order, sold extra 220 shares too early</t>
  </si>
  <si>
    <t>GS has neutral rating with PT $26, but has 7.8M shares. Recently added 1.6M share in 6/25 13f filing</t>
  </si>
  <si>
    <t>Expect price to hit $31.50</t>
  </si>
  <si>
    <t>Institutional ownership at 67%.</t>
  </si>
  <si>
    <t>WBA joining Dow index, replacing GE</t>
  </si>
  <si>
    <t>CEO</t>
  </si>
  <si>
    <t>Rodney McMullen</t>
  </si>
  <si>
    <t>IEMG</t>
  </si>
  <si>
    <t>51.75-&gt;51.00</t>
  </si>
  <si>
    <t>Osram car headlight problem</t>
  </si>
  <si>
    <t>50.25-&gt;48.00</t>
  </si>
  <si>
    <t>Henry Schein And Internet Brands Announce Completion Of Joint Venture To Form Henry Schein One</t>
  </si>
  <si>
    <t xml:space="preserve">Kroger to launch grocery delivery via driverless cars </t>
  </si>
  <si>
    <t>Kroger etc sues Tyson foods and pilgrim's pride</t>
  </si>
  <si>
    <t>Earnings pretty good, amazon announced purchase of pillpack. Stock plummeted</t>
  </si>
  <si>
    <t>not bad, up 9.7%. Sold 300 shares and bought back. Holding 1500 shares @28.07. increased lower end guidance, now 2.00-2.15</t>
  </si>
  <si>
    <t>CLA CCRV long end $55. Short-end steep backwardation</t>
  </si>
  <si>
    <t xml:space="preserve">Two concerns: rising debt ratio, decreasing gross profit margin. </t>
  </si>
  <si>
    <t>Net margin pretty good. Free CF also good. Revenue growth OK.</t>
  </si>
  <si>
    <t>SI 3 days</t>
  </si>
  <si>
    <t>Given the negative sentiment, probaly should sell 200 shares at around 61.7 and buy back</t>
  </si>
  <si>
    <t>raised lower end guidance. Now 5.9-6.05</t>
  </si>
  <si>
    <t>SI: 5.1</t>
  </si>
  <si>
    <t>Revenue growth slowed. O/w perfect. Debt OK, margins OK</t>
  </si>
  <si>
    <t>10yr avg PE 15.5, pre 2004, PE very low at 5, probably due to litigation</t>
  </si>
  <si>
    <t>8/30/2018 AH</t>
  </si>
  <si>
    <t>Tons of insider selling at around $240 (chairman+board member)</t>
  </si>
  <si>
    <t>Two old board members sold a lot of shares. I should never vote for very old (70+) members</t>
  </si>
  <si>
    <t xml:space="preserve"> Fox shareholders scheduled to vote July 27 on Disney’s bid</t>
  </si>
  <si>
    <t>Currt P/L</t>
  </si>
  <si>
    <t>TotalValue</t>
  </si>
  <si>
    <t>Crrnt %P/L</t>
  </si>
  <si>
    <t>36.00-&gt;35.00</t>
  </si>
  <si>
    <t>Hold on buying. Look for 5% correction. Then buy LUV (15% debt) or DAL. Avoid AAL (tons of debt)</t>
  </si>
  <si>
    <t>UAL 27.7M shares @ $2.0B (10% shares)</t>
  </si>
  <si>
    <t>Berkshire: DAL 53.6M shares @ $2.6B (7% total shares)</t>
  </si>
  <si>
    <t>AAL 46M shares @ 1.7B (10% shares)</t>
  </si>
  <si>
    <t>LUV 48M shares @ 2.5B (8% shares)</t>
  </si>
  <si>
    <t>DAL ER PM (first among legacy airlines to report)</t>
  </si>
  <si>
    <t>OSRAM ER</t>
  </si>
  <si>
    <t>HUBB ER est</t>
  </si>
  <si>
    <t>CREE ER</t>
  </si>
  <si>
    <t>VECO ER est</t>
  </si>
  <si>
    <t>PXD ER</t>
  </si>
  <si>
    <t>CVS ER est</t>
  </si>
  <si>
    <t>COST ER</t>
  </si>
  <si>
    <t>SI 11.6 days</t>
  </si>
  <si>
    <t>PM ER PM</t>
  </si>
  <si>
    <t>NTR ER AH</t>
  </si>
  <si>
    <t>Chemical Sector Slumps on Renewed U.S.-China Trade War Concern</t>
  </si>
  <si>
    <t>Fertilizer/Ag companies worst performers include: CF -5.7%, MOS -5.3%, FMC -3.5%, NTR -2.1%</t>
  </si>
  <si>
    <t>HSIC ER est</t>
  </si>
  <si>
    <t>Macy to open more bluemercury stores</t>
  </si>
  <si>
    <t>Investor day</t>
  </si>
  <si>
    <t>10yr avg PE 18</t>
  </si>
  <si>
    <t>insider sold at 129</t>
  </si>
  <si>
    <t>100, div</t>
  </si>
  <si>
    <t>full-year EPS forecast to $5.35 to $5.70 vs. $6.35 to $6.70 prior guidance and $5.77 consensus.</t>
  </si>
  <si>
    <t>ER, double beat, up 2% PM</t>
  </si>
  <si>
    <t>ER, double miss, -3% PM</t>
  </si>
  <si>
    <t>DOJ appeals</t>
  </si>
  <si>
    <t>div, 200</t>
  </si>
  <si>
    <t>7/25/2018 AH</t>
  </si>
  <si>
    <t>8/2/2018 AH</t>
  </si>
  <si>
    <t>LUV ER PM, AAL ER</t>
  </si>
  <si>
    <t>1300 @ 20.43</t>
  </si>
  <si>
    <t>WTI dropped to 68. MRO down 7%</t>
  </si>
  <si>
    <t>18.00-&gt;17.50</t>
  </si>
  <si>
    <t>UAL ER PM, double beat,  full-year EPS of $7.25-$8.75</t>
  </si>
  <si>
    <t>by error</t>
  </si>
  <si>
    <t>error</t>
  </si>
  <si>
    <t>Dropped as much as to 19.41, close around 20.40</t>
  </si>
  <si>
    <t xml:space="preserve"> Analysts expect revenue of $7.53B and EPS of $1.23 for Q2 for PM</t>
  </si>
  <si>
    <t>ER OK, price up</t>
  </si>
  <si>
    <t>cmcsa dropped out of bid for fox. Stock up 3%</t>
  </si>
  <si>
    <t>Unilever +2% after posting gross margin improvement</t>
  </si>
  <si>
    <t>NVR</t>
  </si>
  <si>
    <t>MCK ER PM</t>
  </si>
  <si>
    <t>ABC ER PM</t>
  </si>
  <si>
    <t>CAH ER PM</t>
  </si>
  <si>
    <t>Q2 EPS of $0.48 beats by $0.18. Revenue of $904.46M (-7.0% Y/Y) beats by $66.37M.</t>
  </si>
  <si>
    <t>Mattel ER</t>
  </si>
  <si>
    <t>new 31.00</t>
  </si>
  <si>
    <t>new 29.00</t>
  </si>
  <si>
    <t>ER, down 3%. EPS now 3.94-4.03</t>
  </si>
  <si>
    <t>Very significant insider buying</t>
  </si>
  <si>
    <t> 65% gain in Supervalu, which earlier agreed to be acquired by United Natural.</t>
  </si>
  <si>
    <t>Last reviewed</t>
  </si>
  <si>
    <t>ABC</t>
  </si>
  <si>
    <t>ER, -9%</t>
  </si>
  <si>
    <t>at loss, 8/2</t>
  </si>
  <si>
    <t>MRO ER， shares dropped to 19.7 AH and PM, closed up 2.6%. Raised production guidance while maintaining capex</t>
  </si>
  <si>
    <t>ER, up 8.55%. Hungry for deals, return to top line growth later this year</t>
  </si>
  <si>
    <t>PEP, NESN, unilever</t>
  </si>
  <si>
    <t>competitors</t>
  </si>
  <si>
    <t>10-year PE</t>
  </si>
  <si>
    <t>FY2018 Guidance: Net sales: $8.7B to $9B; Normalized EPS: $2.45 to $2.65</t>
  </si>
  <si>
    <t>EPS $1.01 beats by $0.08.  Revenue of $35.35B (+7.2% Y/Y) beats by $970M</t>
  </si>
  <si>
    <t>$4.90 to $5.15 guidance</t>
  </si>
  <si>
    <t>2018 non-GAAP diluted EPS  $4.06 to $4.14</t>
  </si>
  <si>
    <t>Q2 EPS of $1.04 beats by $0.03. Revenue of $3.33B (+8.8% Y/Y) beats by $20M.</t>
  </si>
  <si>
    <t>Raising full-year adjusted EPS(1) guidance to $1.45 - $1.80, from $1.20 - $1.60</t>
  </si>
  <si>
    <t>Q2 EPS of $0.40 beats by $0.02. Revenue of $2.21B (+26.3% Y/Y) misses by $90M</t>
  </si>
  <si>
    <t xml:space="preserve"> EPS: $2.00 - 2.15 from $2.55 - 2.65 due to a lower H2 revenue forecast, </t>
  </si>
  <si>
    <t>increased margin pressure and elevated levels of expected inventory destocking by dealers.</t>
  </si>
  <si>
    <t>down 18.65%</t>
  </si>
  <si>
    <t>dropped another 4.75%</t>
  </si>
  <si>
    <t>26.57 -&gt; 22.76, 14% drop</t>
  </si>
  <si>
    <t>55.00-&gt;47.50</t>
  </si>
  <si>
    <t>sold everything, at PL $5890.62</t>
  </si>
  <si>
    <t>620 @ 22.49</t>
  </si>
  <si>
    <t>3 board members bought almost 1m shares: http://openinsider.com/NWL</t>
  </si>
  <si>
    <t>dropped another 4%</t>
  </si>
  <si>
    <t>Larry Merlo</t>
  </si>
  <si>
    <t>relatively safe at this price</t>
  </si>
  <si>
    <t>debt is somewhat concerning. Sale growth is key</t>
  </si>
  <si>
    <t xml:space="preserve"> Announces Agreement to Sell Goody Products, Inc. to ACON Investments</t>
  </si>
  <si>
    <t>more insider buy at 32.36</t>
  </si>
  <si>
    <t>10yr mean PE</t>
  </si>
  <si>
    <t>Michael Kaufman, Dublin OH</t>
  </si>
  <si>
    <t>Randall Stephensen</t>
  </si>
  <si>
    <t>CEO Jeff harmening, Milliapolis</t>
  </si>
  <si>
    <t>10 year PE average is 17, Deerfield, IL</t>
  </si>
  <si>
    <t xml:space="preserve"> full year Adjusted EPS to $6.98 to $7.08 from $6.87 to $7.08</t>
  </si>
  <si>
    <t>SBH ER est, dropped from 16.4 to 14</t>
  </si>
  <si>
    <t>ETF</t>
  </si>
  <si>
    <t>VHT</t>
  </si>
  <si>
    <t>48.00-&gt;47.50</t>
  </si>
  <si>
    <t>insider bought 191K shares @13.04</t>
  </si>
  <si>
    <t>WRK</t>
  </si>
  <si>
    <t>CEO polk, Icahn bought more shares</t>
  </si>
  <si>
    <t>upgraded to positive from mixed by OTR global</t>
  </si>
  <si>
    <t xml:space="preserve">OTR Global is a channel and marketplace research firm </t>
  </si>
  <si>
    <t>55.40-&gt;49.00</t>
  </si>
  <si>
    <t>ITB ETF iShares U.S. Home Construction ETF</t>
  </si>
  <si>
    <t>Don Casey</t>
  </si>
  <si>
    <t>TOL ER</t>
  </si>
  <si>
    <t>Presentation</t>
  </si>
  <si>
    <t>XRT</t>
  </si>
  <si>
    <t>10yr PE</t>
  </si>
  <si>
    <t>Steven Voorhees, Norcross GA, 14B MktCap</t>
  </si>
  <si>
    <t>cost increased</t>
  </si>
  <si>
    <t>49.00-&gt;48.00</t>
  </si>
  <si>
    <t>cost++</t>
  </si>
  <si>
    <t>11/16/2018 est</t>
  </si>
  <si>
    <t>SKX &gt;&gt; FL &gt;&gt; DSW</t>
  </si>
  <si>
    <t>17.50-&gt;16.50</t>
  </si>
  <si>
    <t>Fertilizer Stocks Jump as Indian Potash Price Beats Estimates</t>
  </si>
  <si>
    <t>Barclays PT-&gt;$25, up 5%</t>
  </si>
  <si>
    <t>Non-GAAP adjusted earnings1 are expected to be in the range of $1.40 to $1.50 per diluted share</t>
  </si>
  <si>
    <t>Q1 Non-GAAP EPS of $0.26 misses by $0.08; GAAP EPS of -$0.05. Revenue of $1.34B (+3.1% Y/Y) beats by $40M.</t>
  </si>
  <si>
    <t>Down as much as 15% intraday</t>
  </si>
  <si>
    <t>conference</t>
  </si>
  <si>
    <t>conf call</t>
  </si>
  <si>
    <t>ETF： XLC</t>
  </si>
  <si>
    <t>Marathon Oil Bought Permian Acreage In Lease Sale for $103m: RBC</t>
  </si>
  <si>
    <t>Lucid Energy signs natural gas transport deal with Marathon Oil</t>
  </si>
  <si>
    <t>XHB</t>
  </si>
  <si>
    <t>47.50-&gt;44.50</t>
  </si>
  <si>
    <t>ER, down 10%</t>
  </si>
  <si>
    <t>Teva +5% as migraine treatment wins FDA approval</t>
  </si>
  <si>
    <t>CX, EXP, VMC</t>
  </si>
  <si>
    <t>400   @ $20.88</t>
  </si>
  <si>
    <t>10 year median PE 15, 5 year 17</t>
  </si>
  <si>
    <t>Peer: VAR</t>
  </si>
  <si>
    <t>Has plants in Florence. Affected by hurricane.</t>
  </si>
  <si>
    <t>DWDP</t>
  </si>
  <si>
    <t>500 @   20.08</t>
  </si>
  <si>
    <t>XLB</t>
  </si>
  <si>
    <t>materials  ETF</t>
  </si>
  <si>
    <t>TCEHY</t>
  </si>
  <si>
    <t> will start a new streaming service for consumers in the fourth quarter of 2019</t>
  </si>
  <si>
    <t>1200   @  21.53</t>
  </si>
  <si>
    <t>PPC</t>
  </si>
  <si>
    <t>FDX</t>
  </si>
  <si>
    <t>300 @               27.78</t>
  </si>
  <si>
    <t>48.00-&gt;47.25</t>
  </si>
  <si>
    <t xml:space="preserve"> investor conference October 29-30, 2018 in Cincinnati</t>
  </si>
  <si>
    <t>court to hear merger case</t>
  </si>
  <si>
    <t> Update on Hurricane Michael’s Impact on Panama City, Florida, Mill and its Expected Return to Operations</t>
  </si>
  <si>
    <t>400 @   31.65</t>
  </si>
  <si>
    <t>oil has dropped a lot, to around 63</t>
  </si>
  <si>
    <t>insider buy at 29.14</t>
  </si>
  <si>
    <t>ER, dropped to below 30</t>
  </si>
  <si>
    <t>Bernando Hees, pittsburgh</t>
  </si>
  <si>
    <t>Q3 Non-GAAP EPS of $0.78 misses by $0.03; GAAP EPS of $0.51 misses by $0.30</t>
  </si>
  <si>
    <t>Revenue of $6.38B (+1.6% Y/Y) beats by $70M.</t>
  </si>
  <si>
    <t>50 @ $173.58</t>
  </si>
  <si>
    <t>CRI</t>
  </si>
  <si>
    <t>dropped 5% premarket on FDA news of banning menthol cigarette</t>
  </si>
  <si>
    <t>Oil prices tumble 7% as demand concerns grow to $55.</t>
  </si>
  <si>
    <t>MRO @ $16.47</t>
  </si>
  <si>
    <t xml:space="preserve"> Citis 2018 Basic Materials Conference in New York</t>
  </si>
  <si>
    <t>Morgan stanley conf</t>
  </si>
  <si>
    <t>ER, up 4.3%</t>
  </si>
  <si>
    <t>30.50-&gt;28.00</t>
  </si>
  <si>
    <t>5-year weekly graph, it looks like it might drop to around 16.5</t>
  </si>
  <si>
    <t>buy 1800 shares if drop below 16.28</t>
  </si>
  <si>
    <t>KHC looks cheap relative to other packaged food stocks. Buy at 51</t>
  </si>
  <si>
    <t>Hold. Not sure if start of run, or temp rebound.</t>
  </si>
  <si>
    <t>Bret Icahn bought 100K shares @20 for $2M total</t>
  </si>
  <si>
    <t>Technically hit MA100 and RSI70</t>
  </si>
  <si>
    <t>SKX</t>
  </si>
  <si>
    <t>cumuNDX%</t>
  </si>
  <si>
    <t>CumuSPX%</t>
  </si>
  <si>
    <t>BeatRatio</t>
  </si>
  <si>
    <t>SPXSharp</t>
  </si>
  <si>
    <t>DVN</t>
  </si>
  <si>
    <t>EOG</t>
  </si>
  <si>
    <t>more time to evaluate the impact on non-operating income related to the appreciation of shares associated</t>
  </si>
  <si>
    <t xml:space="preserve"> with investments in joint ventures in light of recent accounting pronouncements</t>
  </si>
  <si>
    <t>Delayed ER to 12/6. Preannounce sale 1.4B vs 1.42B expected</t>
  </si>
  <si>
    <t>TIF</t>
  </si>
  <si>
    <t>50.00--&gt;49.00</t>
  </si>
  <si>
    <t>PXD</t>
  </si>
  <si>
    <t>IPGP</t>
  </si>
  <si>
    <t>AOS</t>
  </si>
  <si>
    <t>12/7/2018 (loss)</t>
  </si>
  <si>
    <t>12/10/2018 (loss)</t>
  </si>
  <si>
    <t>IWM</t>
  </si>
  <si>
    <t>ET</t>
  </si>
  <si>
    <t>KWEB</t>
  </si>
  <si>
    <t>CCL</t>
  </si>
  <si>
    <t>12/13/2018 (loss)</t>
  </si>
  <si>
    <t>Oil frac sand segment: 67%</t>
  </si>
  <si>
    <t>Specialty products: 33%</t>
  </si>
  <si>
    <t>Insider purchase 5000 shares @11.29</t>
  </si>
  <si>
    <t>debt 1.3B vs market cap of 800M</t>
  </si>
  <si>
    <t>12/20/2018 (at loss)</t>
  </si>
  <si>
    <t>PE</t>
  </si>
  <si>
    <t>https://www.census.gov/construction/nrc/index.html</t>
  </si>
  <si>
    <t>New residential construction:</t>
  </si>
  <si>
    <t>2/13/2019 AH</t>
  </si>
  <si>
    <t>I was pretty wrong on KHC. I should take a look at Hormel foods, and mondelez</t>
  </si>
  <si>
    <t>ETF: XOP</t>
  </si>
  <si>
    <t>IP ER PM</t>
  </si>
  <si>
    <t>3/19/2019 AH</t>
  </si>
  <si>
    <t>1/29/2019 PM</t>
  </si>
  <si>
    <t>3/7/2019 AH</t>
  </si>
  <si>
    <t>CCEP</t>
  </si>
  <si>
    <t>sold out for a loss of 1142$</t>
  </si>
  <si>
    <t>ER. Up about 7%, but close -3%</t>
  </si>
  <si>
    <t>2/7/2019 PM</t>
  </si>
  <si>
    <t>2/26/2019 AH</t>
  </si>
  <si>
    <t>one-day public fight with WMT is over</t>
  </si>
  <si>
    <t>4/15/2019 est</t>
  </si>
  <si>
    <t>CEO: Steven Collis</t>
  </si>
  <si>
    <t>2/26/2019 est</t>
  </si>
  <si>
    <t>2/19/2019 AH</t>
  </si>
  <si>
    <t>3/20/2019 est</t>
  </si>
  <si>
    <t>2/28/2019 est</t>
  </si>
  <si>
    <t>HUBB, CREE, VECO, Osram, Eaton, SFFYF</t>
  </si>
  <si>
    <t xml:space="preserve">CEO:  Jim Fitterling </t>
  </si>
  <si>
    <t>4/25/2019 est</t>
  </si>
  <si>
    <t>4/23/2019 est</t>
  </si>
  <si>
    <t>49.00-&gt;46.00</t>
  </si>
  <si>
    <t>4/30/2018 est</t>
  </si>
  <si>
    <t>DFL1 Cmdty, GCFPPONO</t>
  </si>
  <si>
    <t>split animal business</t>
  </si>
  <si>
    <t>ATVI</t>
  </si>
  <si>
    <t>5/12/2019 est</t>
  </si>
  <si>
    <t>5/7/2019 est</t>
  </si>
  <si>
    <t>05/12/2019 est</t>
  </si>
  <si>
    <t>05/08/2019 est</t>
  </si>
  <si>
    <t>CPRI</t>
  </si>
  <si>
    <t>02/19/2019 PM</t>
  </si>
  <si>
    <t>05/20/2019 est</t>
  </si>
  <si>
    <t>03/22/2019 est</t>
  </si>
  <si>
    <t>ER down 8%</t>
  </si>
  <si>
    <t xml:space="preserve">Now, that's said, we're also fully aware of the need to address the impact of certain headwinds that are having a disproportionate impact in '19 when compared to prior years. Many of these issues we've talked about previously and most significant is the ongoing pharmacy reimbursement pressures in our businesses and the reduction in offsets to those pressures. What we're experiencing in '19 is the declining benefit from new generics, lower brand inflation and the ongoing questions around rebates, along with some structural and CVS-specific challenges in the long-term care space. </t>
  </si>
  <si>
    <t>barclays conf</t>
  </si>
  <si>
    <t>insider bought 2000 shares @77</t>
  </si>
  <si>
    <t>debt ratio lowest among cah mck</t>
  </si>
  <si>
    <t>analyst day</t>
  </si>
  <si>
    <t>DOW</t>
  </si>
  <si>
    <t>split dow</t>
  </si>
  <si>
    <t>extra cash</t>
  </si>
  <si>
    <t>44.50-&gt;43.50</t>
  </si>
  <si>
    <t>ABMD</t>
  </si>
  <si>
    <t>07/03/2019 est</t>
  </si>
  <si>
    <t>05/02/2019 PM</t>
  </si>
  <si>
    <t>05/07/2018 PM</t>
  </si>
  <si>
    <t>UVE</t>
  </si>
  <si>
    <t>XOP</t>
  </si>
  <si>
    <t>06/27/2019 PM</t>
  </si>
  <si>
    <t>CTVA</t>
  </si>
  <si>
    <t>DD</t>
  </si>
  <si>
    <t>dwdp</t>
  </si>
  <si>
    <t>discrepancy</t>
  </si>
  <si>
    <t>sell at loss</t>
  </si>
  <si>
    <t>08/02/2019 PM</t>
  </si>
  <si>
    <t>increased</t>
  </si>
  <si>
    <t>08/07/2019 PM</t>
  </si>
  <si>
    <t>07/30/2019 PM</t>
  </si>
  <si>
    <t>Moroccan producer OCP</t>
  </si>
  <si>
    <t>07/31/2019 AH</t>
  </si>
  <si>
    <t>dropped from 280 to 205, lowered guidance</t>
  </si>
  <si>
    <t>STNE</t>
  </si>
  <si>
    <t>·</t>
  </si>
  <si>
    <t>cost inc</t>
  </si>
  <si>
    <t>11/06/2019 AH</t>
  </si>
  <si>
    <t>10/31/2019 PM</t>
  </si>
  <si>
    <t>11/07/2019 PM</t>
  </si>
  <si>
    <t>11/04/2019 AH</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</si>
</sst>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6" formatCode="&quot;$&quot;#,##0_);[Red]\(&quot;$&quot;#,##0\)"/>
    <numFmt numFmtId="8" formatCode="&quot;$&quot;#,##0.00_);[Red]\(&quot;$&quot;#,##0.00\)"/>
    <numFmt numFmtId="164" formatCode="m/d/yyyy;@"/>
    <numFmt numFmtId="165" formatCode="mm/dd/yy;@"/>
    <numFmt numFmtId="166" formatCode="0.000"/>
    <numFmt numFmtId="167" formatCode="[$-409]d\-mmm;@"/>
    <numFmt numFmtId="168" formatCode="0.0000"/>
    <numFmt numFmtId="169" formatCode="0.0%"/>
    <numFmt numFmtId="170" formatCode="0.000000000000000"/>
    <numFmt numFmtId="171" formatCode="0.00000"/>
    <numFmt numFmtId="172" formatCode="0.000000"/>
    <numFmt numFmtId="173" formatCode="0.0"/>
    <numFmt numFmtId="174" formatCode="[$-F800]dddd\,\ mmmm\ dd\,\ yyyy"/>
  </numFmts>
  <fonts count="39" x14ac:knownFonts="1">
    <font>
      <sz val="11"/>
      <color theme="1"/>
      <name val="Calibri"/>
      <family val="2"/>
      <scheme val="minor"/>
    </font>
    <font>
      <b/>
      <sz val="11"/>
      <color rgb="FF00B050"/>
      <name val="Calibri"/>
      <family val="2"/>
      <scheme val="minor"/>
    </font>
    <font>
      <b/>
      <sz val="11"/>
      <color rgb="FFFF0000"/>
      <name val="Calibri"/>
      <family val="2"/>
      <scheme val="minor"/>
    </font>
    <font>
      <b/>
      <sz val="11"/>
      <color theme="1"/>
      <name val="Calibri"/>
      <family val="2"/>
      <scheme val="minor"/>
    </font>
    <font>
      <sz val="11"/>
      <name val="Calibri"/>
      <family val="2"/>
      <scheme val="minor"/>
    </font>
    <font>
      <u/>
      <sz val="11"/>
      <color theme="10"/>
      <name val="Calibri"/>
      <family val="2"/>
      <scheme val="minor"/>
    </font>
    <font>
      <b/>
      <sz val="10"/>
      <name val="Arial"/>
      <family val="2"/>
    </font>
    <font>
      <sz val="10"/>
      <name val="Arial"/>
      <family val="2"/>
    </font>
    <font>
      <b/>
      <sz val="10"/>
      <color rgb="FF00B050"/>
      <name val="Arial"/>
      <family val="2"/>
    </font>
    <font>
      <b/>
      <sz val="10"/>
      <color rgb="FFFF0000"/>
      <name val="Arial"/>
      <family val="2"/>
    </font>
    <font>
      <b/>
      <sz val="12"/>
      <color theme="1"/>
      <name val="Calibri"/>
      <family val="2"/>
      <scheme val="minor"/>
    </font>
    <font>
      <u/>
      <sz val="12"/>
      <color theme="10"/>
      <name val="Calibri"/>
      <family val="2"/>
      <scheme val="minor"/>
    </font>
    <font>
      <sz val="12"/>
      <color theme="1"/>
      <name val="Calibri"/>
      <family val="2"/>
      <scheme val="minor"/>
    </font>
    <font>
      <b/>
      <sz val="12"/>
      <color theme="0"/>
      <name val="Calibri"/>
      <family val="2"/>
      <scheme val="minor"/>
    </font>
    <font>
      <sz val="11"/>
      <color rgb="FFFF0000"/>
      <name val="Calibri"/>
      <family val="2"/>
      <scheme val="minor"/>
    </font>
    <font>
      <b/>
      <sz val="15"/>
      <color theme="3"/>
      <name val="Calibri"/>
      <family val="2"/>
      <scheme val="minor"/>
    </font>
    <font>
      <sz val="11"/>
      <color theme="1"/>
      <name val="Calibri"/>
      <family val="2"/>
      <scheme val="minor"/>
    </font>
    <font>
      <sz val="14"/>
      <color rgb="FF00B050"/>
      <name val="Wingdings"/>
      <charset val="2"/>
    </font>
    <font>
      <sz val="11"/>
      <color rgb="FF00B050"/>
      <name val="Calibri"/>
      <family val="2"/>
      <scheme val="minor"/>
    </font>
    <font>
      <b/>
      <sz val="11"/>
      <color rgb="FF00B0F0"/>
      <name val="Calibri"/>
      <family val="2"/>
      <scheme val="minor"/>
    </font>
    <font>
      <sz val="9"/>
      <color indexed="81"/>
      <name val="Tahoma"/>
      <family val="2"/>
    </font>
    <font>
      <b/>
      <sz val="9"/>
      <color indexed="81"/>
      <name val="Tahoma"/>
      <family val="2"/>
    </font>
    <font>
      <sz val="11"/>
      <color rgb="FF00B0F0"/>
      <name val="Calibri"/>
      <family val="2"/>
      <scheme val="minor"/>
    </font>
    <font>
      <u/>
      <sz val="11"/>
      <color rgb="FF00B050"/>
      <name val="Calibri"/>
      <family val="2"/>
      <scheme val="minor"/>
    </font>
    <font>
      <b/>
      <sz val="10"/>
      <color theme="1"/>
      <name val="Arial"/>
      <family val="2"/>
    </font>
    <font>
      <sz val="10"/>
      <color theme="1"/>
      <name val="Arial"/>
      <family val="2"/>
    </font>
    <font>
      <sz val="11"/>
      <color rgb="FF252525"/>
      <name val="Arial"/>
      <family val="2"/>
    </font>
    <font>
      <b/>
      <sz val="11"/>
      <color rgb="FFFA7D00"/>
      <name val="Calibri"/>
      <family val="2"/>
      <scheme val="minor"/>
    </font>
    <font>
      <sz val="11"/>
      <color rgb="FF333333"/>
      <name val="Arial"/>
      <family val="2"/>
    </font>
    <font>
      <b/>
      <sz val="13.5"/>
      <color theme="1"/>
      <name val="Calibri"/>
      <family val="2"/>
      <scheme val="minor"/>
    </font>
    <font>
      <b/>
      <u/>
      <sz val="11"/>
      <color theme="1"/>
      <name val="Calibri"/>
      <family val="2"/>
      <scheme val="minor"/>
    </font>
    <font>
      <u/>
      <sz val="11"/>
      <color theme="1"/>
      <name val="Calibri"/>
      <family val="2"/>
      <scheme val="minor"/>
    </font>
    <font>
      <sz val="10"/>
      <color rgb="FF002060"/>
      <name val="Arial"/>
      <family val="2"/>
    </font>
    <font>
      <u/>
      <sz val="10"/>
      <color theme="10"/>
      <name val="Calibri"/>
      <family val="2"/>
      <scheme val="minor"/>
    </font>
    <font>
      <sz val="10"/>
      <color rgb="FFFA7D00"/>
      <name val="Calibri"/>
      <family val="2"/>
      <scheme val="minor"/>
    </font>
    <font>
      <i/>
      <sz val="11"/>
      <color rgb="FF7F7F7F"/>
      <name val="Calibri"/>
      <family val="2"/>
      <scheme val="minor"/>
    </font>
    <font>
      <sz val="9"/>
      <color rgb="FF222222"/>
      <name val="Verdana"/>
      <family val="2"/>
    </font>
    <font>
      <sz val="9"/>
      <color theme="1"/>
      <name val="Arial"/>
      <family val="2"/>
    </font>
    <font>
      <sz val="11"/>
      <color rgb="FFFF0000"/>
      <name val="SimSun"/>
    </font>
  </fonts>
  <fills count="36">
    <fill>
      <patternFill patternType="none"/>
    </fill>
    <fill>
      <patternFill patternType="gray125"/>
    </fill>
    <fill>
      <patternFill patternType="solid">
        <fgColor theme="0" tint="-0.14999847407452621"/>
        <bgColor indexed="64"/>
      </patternFill>
    </fill>
    <fill>
      <patternFill patternType="solid">
        <fgColor rgb="FFFFFF00"/>
        <bgColor indexed="64"/>
      </patternFill>
    </fill>
    <fill>
      <patternFill patternType="solid">
        <fgColor rgb="FF00B0F0"/>
        <bgColor indexed="64"/>
      </patternFill>
    </fill>
    <fill>
      <patternFill patternType="solid">
        <fgColor theme="0" tint="-0.249977111117893"/>
        <bgColor indexed="64"/>
      </patternFill>
    </fill>
    <fill>
      <patternFill patternType="solid">
        <fgColor theme="4" tint="0.59999389629810485"/>
        <bgColor indexed="64"/>
      </patternFill>
    </fill>
    <fill>
      <patternFill patternType="solid">
        <fgColor theme="4" tint="0.79998168889431442"/>
        <bgColor indexed="64"/>
      </patternFill>
    </fill>
    <fill>
      <patternFill patternType="solid">
        <fgColor theme="1"/>
        <bgColor indexed="64"/>
      </patternFill>
    </fill>
    <fill>
      <patternFill patternType="solid">
        <fgColor theme="2" tint="-0.249977111117893"/>
        <bgColor indexed="64"/>
      </patternFill>
    </fill>
    <fill>
      <patternFill patternType="solid">
        <fgColor rgb="FF00B050"/>
        <bgColor indexed="64"/>
      </patternFill>
    </fill>
    <fill>
      <patternFill patternType="solid">
        <fgColor rgb="FF92D050"/>
        <bgColor indexed="64"/>
      </patternFill>
    </fill>
    <fill>
      <patternFill patternType="solid">
        <fgColor theme="2" tint="-9.9978637043366805E-2"/>
        <bgColor indexed="64"/>
      </patternFill>
    </fill>
    <fill>
      <patternFill patternType="solid">
        <fgColor theme="6" tint="0.59999389629810485"/>
        <bgColor indexed="64"/>
      </patternFill>
    </fill>
    <fill>
      <patternFill patternType="solid">
        <fgColor theme="4" tint="0.39997558519241921"/>
        <bgColor indexed="64"/>
      </patternFill>
    </fill>
    <fill>
      <patternFill patternType="solid">
        <fgColor theme="5" tint="0.59999389629810485"/>
        <bgColor indexed="64"/>
      </patternFill>
    </fill>
    <fill>
      <patternFill patternType="solid">
        <fgColor rgb="FFFF0000"/>
        <bgColor indexed="64"/>
      </patternFill>
    </fill>
    <fill>
      <patternFill patternType="solid">
        <fgColor rgb="FFFF7C5D"/>
        <bgColor indexed="64"/>
      </patternFill>
    </fill>
    <fill>
      <patternFill patternType="solid">
        <fgColor rgb="FFED5C55"/>
        <bgColor indexed="64"/>
      </patternFill>
    </fill>
    <fill>
      <patternFill patternType="solid">
        <fgColor indexed="10"/>
        <bgColor indexed="64"/>
      </patternFill>
    </fill>
    <fill>
      <patternFill patternType="solid">
        <fgColor rgb="FFF2F2F2"/>
      </patternFill>
    </fill>
    <fill>
      <patternFill patternType="solid">
        <fgColor theme="0" tint="-0.34998626667073579"/>
        <bgColor indexed="64"/>
      </patternFill>
    </fill>
    <fill>
      <patternFill patternType="solid">
        <fgColor theme="0" tint="-0.499984740745262"/>
        <bgColor indexed="64"/>
      </patternFill>
    </fill>
    <fill>
      <patternFill patternType="solid">
        <fgColor rgb="FFFF3300"/>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theme="2" tint="-0.499984740745262"/>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theme="6" tint="0.79998168889431442"/>
        <bgColor indexed="64"/>
      </patternFill>
    </fill>
    <fill>
      <patternFill patternType="solid">
        <fgColor theme="3" tint="0.79998168889431442"/>
        <bgColor indexed="64"/>
      </patternFill>
    </fill>
    <fill>
      <patternFill patternType="solid">
        <fgColor rgb="FFFBDBD9"/>
        <bgColor indexed="64"/>
      </patternFill>
    </fill>
    <fill>
      <patternFill patternType="solid">
        <fgColor rgb="FFE7271D"/>
        <bgColor indexed="64"/>
      </patternFill>
    </fill>
    <fill>
      <patternFill patternType="solid">
        <fgColor rgb="FFF9DEDB"/>
        <bgColor indexed="64"/>
      </patternFill>
    </fill>
    <fill>
      <patternFill patternType="solid">
        <fgColor rgb="FFFFC000"/>
        <bgColor indexed="64"/>
      </patternFill>
    </fill>
  </fills>
  <borders count="11">
    <border>
      <left/>
      <right/>
      <top/>
      <bottom/>
      <diagonal/>
    </border>
    <border>
      <left/>
      <right/>
      <top style="thin">
        <color indexed="64"/>
      </top>
      <bottom style="thin">
        <color indexed="64"/>
      </bottom>
      <diagonal/>
    </border>
    <border>
      <left/>
      <right/>
      <top style="thin">
        <color theme="0" tint="-0.249977111117893"/>
      </top>
      <bottom style="thin">
        <color theme="0" tint="-0.249977111117893"/>
      </bottom>
      <diagonal/>
    </border>
    <border>
      <left/>
      <right/>
      <top/>
      <bottom style="thin">
        <color indexed="64"/>
      </bottom>
      <diagonal/>
    </border>
    <border>
      <left/>
      <right/>
      <top/>
      <bottom style="thick">
        <color theme="4"/>
      </bottom>
      <diagonal/>
    </border>
    <border>
      <left/>
      <right/>
      <top style="thick">
        <color theme="4"/>
      </top>
      <bottom/>
      <diagonal/>
    </border>
    <border>
      <left style="thin">
        <color theme="0" tint="-0.249977111117893"/>
      </left>
      <right style="thin">
        <color theme="0" tint="-0.249977111117893"/>
      </right>
      <top/>
      <bottom/>
      <diagonal/>
    </border>
    <border>
      <left style="thin">
        <color theme="2"/>
      </left>
      <right style="thin">
        <color theme="2"/>
      </right>
      <top style="thin">
        <color theme="2"/>
      </top>
      <bottom style="thin">
        <color theme="2"/>
      </bottom>
      <diagonal/>
    </border>
    <border>
      <left style="thin">
        <color indexed="64"/>
      </left>
      <right style="thin">
        <color indexed="64"/>
      </right>
      <top style="thin">
        <color indexed="64"/>
      </top>
      <bottom style="thin">
        <color indexed="64"/>
      </bottom>
      <diagonal/>
    </border>
    <border>
      <left/>
      <right/>
      <top style="thin">
        <color indexed="64"/>
      </top>
      <bottom style="medium">
        <color indexed="64"/>
      </bottom>
      <diagonal/>
    </border>
    <border>
      <left style="thin">
        <color rgb="FF7F7F7F"/>
      </left>
      <right style="thin">
        <color rgb="FF7F7F7F"/>
      </right>
      <top style="thin">
        <color rgb="FF7F7F7F"/>
      </top>
      <bottom style="thin">
        <color rgb="FF7F7F7F"/>
      </bottom>
      <diagonal/>
    </border>
  </borders>
  <cellStyleXfs count="6">
    <xf numFmtId="0" fontId="0" fillId="0" borderId="0"/>
    <xf numFmtId="0" fontId="5" fillId="0" borderId="0" applyNumberFormat="0" applyFill="0" applyBorder="0" applyAlignment="0" applyProtection="0"/>
    <xf numFmtId="0" fontId="15" fillId="0" borderId="4" applyNumberFormat="0" applyFill="0" applyAlignment="0" applyProtection="0"/>
    <xf numFmtId="9" fontId="16" fillId="0" borderId="0" applyFont="0" applyFill="0" applyBorder="0" applyAlignment="0" applyProtection="0"/>
    <xf numFmtId="0" fontId="27" fillId="20" borderId="10" applyNumberFormat="0" applyAlignment="0" applyProtection="0"/>
    <xf numFmtId="0" fontId="35" fillId="0" borderId="0" applyNumberFormat="0" applyFill="0" applyBorder="0" applyAlignment="0" applyProtection="0"/>
  </cellStyleXfs>
  <cellXfs count="899">
    <xf numFmtId="0" fontId="0" fillId="0" borderId="0" xfId="0"/>
    <xf numFmtId="16" fontId="0" fillId="0" borderId="0" xfId="0" applyNumberFormat="1"/>
    <xf numFmtId="2" fontId="0" fillId="0" borderId="0" xfId="0" applyNumberFormat="1"/>
    <xf numFmtId="2" fontId="0" fillId="0" borderId="0" xfId="0" applyNumberFormat="1" applyFill="1"/>
    <xf numFmtId="0" fontId="0" fillId="0" borderId="0" xfId="0" applyFill="1"/>
    <xf numFmtId="0" fontId="0" fillId="0" borderId="0" xfId="0" applyBorder="1"/>
    <xf numFmtId="0" fontId="1" fillId="0" borderId="0" xfId="0" applyFont="1"/>
    <xf numFmtId="0" fontId="0" fillId="3" borderId="0" xfId="0" applyFill="1"/>
    <xf numFmtId="0" fontId="0" fillId="0" borderId="0" xfId="0" applyFill="1" applyBorder="1"/>
    <xf numFmtId="0" fontId="0" fillId="6" borderId="0" xfId="0" applyFill="1"/>
    <xf numFmtId="0" fontId="0" fillId="7" borderId="0" xfId="0" applyFill="1"/>
    <xf numFmtId="0" fontId="3" fillId="0" borderId="0" xfId="0" applyFont="1"/>
    <xf numFmtId="0" fontId="0" fillId="2" borderId="1" xfId="0" applyFill="1" applyBorder="1"/>
    <xf numFmtId="2" fontId="0" fillId="2" borderId="1" xfId="0" applyNumberFormat="1" applyFill="1" applyBorder="1"/>
    <xf numFmtId="0" fontId="0" fillId="5" borderId="1" xfId="0" applyFill="1" applyBorder="1"/>
    <xf numFmtId="0" fontId="3" fillId="0" borderId="1" xfId="0" applyFont="1" applyBorder="1"/>
    <xf numFmtId="0" fontId="3" fillId="0" borderId="0" xfId="0" applyFont="1" applyBorder="1"/>
    <xf numFmtId="0" fontId="4" fillId="0" borderId="0" xfId="0" applyFont="1" applyFill="1"/>
    <xf numFmtId="2" fontId="0" fillId="5" borderId="1" xfId="0" applyNumberFormat="1" applyFill="1" applyBorder="1"/>
    <xf numFmtId="16" fontId="0" fillId="0" borderId="0" xfId="0" applyNumberFormat="1" applyAlignment="1">
      <alignment horizontal="right"/>
    </xf>
    <xf numFmtId="2" fontId="3" fillId="0" borderId="0" xfId="0" applyNumberFormat="1" applyFont="1"/>
    <xf numFmtId="0" fontId="3" fillId="2" borderId="1" xfId="0" applyFont="1" applyFill="1" applyBorder="1"/>
    <xf numFmtId="0" fontId="5" fillId="0" borderId="0" xfId="1"/>
    <xf numFmtId="0" fontId="6" fillId="0" borderId="0" xfId="0" applyFont="1" applyFill="1" applyAlignment="1">
      <alignment horizontal="center" vertical="center"/>
    </xf>
    <xf numFmtId="0" fontId="7" fillId="0" borderId="0" xfId="0" applyFont="1" applyFill="1" applyAlignment="1">
      <alignment horizontal="center" vertical="center"/>
    </xf>
    <xf numFmtId="0" fontId="6" fillId="0" borderId="0" xfId="0" applyFont="1" applyFill="1" applyAlignment="1">
      <alignment horizontal="right" vertical="center"/>
    </xf>
    <xf numFmtId="2" fontId="7" fillId="0" borderId="0" xfId="0" applyNumberFormat="1" applyFont="1" applyFill="1" applyAlignment="1">
      <alignment horizontal="right" vertical="center"/>
    </xf>
    <xf numFmtId="0" fontId="7" fillId="0" borderId="0" xfId="0" applyFont="1" applyFill="1" applyAlignment="1">
      <alignment horizontal="right" vertical="center"/>
    </xf>
    <xf numFmtId="2" fontId="6" fillId="0" borderId="0" xfId="0" applyNumberFormat="1" applyFont="1" applyFill="1" applyAlignment="1">
      <alignment horizontal="right" vertical="center"/>
    </xf>
    <xf numFmtId="14" fontId="0" fillId="0" borderId="0" xfId="0" applyNumberFormat="1"/>
    <xf numFmtId="0" fontId="0" fillId="0" borderId="0" xfId="0" applyNumberFormat="1"/>
    <xf numFmtId="0" fontId="3" fillId="5" borderId="1" xfId="0" applyFont="1" applyFill="1" applyBorder="1"/>
    <xf numFmtId="0" fontId="3" fillId="0" borderId="0" xfId="0" applyFont="1" applyAlignment="1">
      <alignment horizontal="right"/>
    </xf>
    <xf numFmtId="0" fontId="0" fillId="0" borderId="0" xfId="0" applyAlignment="1">
      <alignment horizontal="right"/>
    </xf>
    <xf numFmtId="14" fontId="3" fillId="0" borderId="0" xfId="0" applyNumberFormat="1" applyFont="1"/>
    <xf numFmtId="0" fontId="3" fillId="2" borderId="2" xfId="0" applyFont="1" applyFill="1" applyBorder="1"/>
    <xf numFmtId="0" fontId="0" fillId="2" borderId="2" xfId="0" applyFill="1" applyBorder="1"/>
    <xf numFmtId="2" fontId="0" fillId="2" borderId="2" xfId="0" applyNumberFormat="1" applyFill="1" applyBorder="1"/>
    <xf numFmtId="2" fontId="3" fillId="2" borderId="1" xfId="0" applyNumberFormat="1" applyFont="1" applyFill="1" applyBorder="1"/>
    <xf numFmtId="2" fontId="0" fillId="7" borderId="0" xfId="0" applyNumberFormat="1" applyFill="1"/>
    <xf numFmtId="2" fontId="0" fillId="6" borderId="0" xfId="0" applyNumberFormat="1" applyFill="1"/>
    <xf numFmtId="165" fontId="0" fillId="0" borderId="0" xfId="0" applyNumberFormat="1"/>
    <xf numFmtId="165" fontId="3" fillId="0" borderId="0" xfId="0" applyNumberFormat="1" applyFont="1"/>
    <xf numFmtId="2" fontId="0" fillId="3" borderId="0" xfId="0" applyNumberFormat="1" applyFill="1"/>
    <xf numFmtId="2" fontId="3" fillId="0" borderId="1" xfId="0" applyNumberFormat="1" applyFont="1" applyBorder="1"/>
    <xf numFmtId="2" fontId="4" fillId="3" borderId="0" xfId="0" applyNumberFormat="1" applyFont="1" applyFill="1"/>
    <xf numFmtId="0" fontId="3" fillId="0" borderId="0" xfId="0" applyFont="1" applyAlignment="1">
      <alignment horizontal="center" vertical="center"/>
    </xf>
    <xf numFmtId="2" fontId="3" fillId="0" borderId="0" xfId="0" applyNumberFormat="1" applyFont="1" applyAlignment="1">
      <alignment horizontal="center" vertical="center"/>
    </xf>
    <xf numFmtId="2" fontId="12" fillId="0" borderId="0" xfId="0" applyNumberFormat="1" applyFont="1"/>
    <xf numFmtId="0" fontId="12" fillId="0" borderId="0" xfId="0" applyFont="1"/>
    <xf numFmtId="0" fontId="11" fillId="8" borderId="0" xfId="1" applyFont="1" applyFill="1"/>
    <xf numFmtId="0" fontId="12" fillId="8" borderId="0" xfId="0" applyFont="1" applyFill="1"/>
    <xf numFmtId="0" fontId="12" fillId="0" borderId="0" xfId="0" applyFont="1" applyFill="1"/>
    <xf numFmtId="2" fontId="0" fillId="2" borderId="0" xfId="0" applyNumberFormat="1" applyFill="1" applyAlignment="1">
      <alignment wrapText="1"/>
    </xf>
    <xf numFmtId="0" fontId="13" fillId="8" borderId="0" xfId="0" applyFont="1" applyFill="1" applyAlignment="1">
      <alignment horizontal="center" vertical="center"/>
    </xf>
    <xf numFmtId="0" fontId="10" fillId="0" borderId="0" xfId="0" applyFont="1" applyAlignment="1">
      <alignment horizontal="center" vertical="center"/>
    </xf>
    <xf numFmtId="0" fontId="13" fillId="8" borderId="0" xfId="0" applyFont="1" applyFill="1" applyBorder="1" applyAlignment="1">
      <alignment horizontal="center" vertical="center"/>
    </xf>
    <xf numFmtId="0" fontId="12" fillId="8" borderId="0" xfId="0" applyFont="1" applyFill="1" applyBorder="1"/>
    <xf numFmtId="0" fontId="11" fillId="8" borderId="0" xfId="1" applyFont="1" applyFill="1" applyBorder="1"/>
    <xf numFmtId="165" fontId="0" fillId="0" borderId="0" xfId="0" applyNumberFormat="1" applyAlignment="1">
      <alignment horizontal="left"/>
    </xf>
    <xf numFmtId="0" fontId="3" fillId="9" borderId="1" xfId="0" applyFont="1" applyFill="1" applyBorder="1"/>
    <xf numFmtId="0" fontId="0" fillId="9" borderId="1" xfId="0" applyFill="1" applyBorder="1"/>
    <xf numFmtId="2" fontId="0" fillId="9" borderId="1" xfId="0" applyNumberFormat="1" applyFill="1" applyBorder="1"/>
    <xf numFmtId="165" fontId="14" fillId="0" borderId="0" xfId="0" applyNumberFormat="1" applyFont="1"/>
    <xf numFmtId="0" fontId="14" fillId="0" borderId="0" xfId="0" applyFont="1"/>
    <xf numFmtId="16" fontId="2" fillId="0" borderId="0" xfId="0" applyNumberFormat="1" applyFont="1"/>
    <xf numFmtId="1" fontId="3" fillId="0" borderId="0" xfId="0" applyNumberFormat="1" applyFont="1" applyAlignment="1">
      <alignment horizontal="center" vertical="center"/>
    </xf>
    <xf numFmtId="1" fontId="0" fillId="0" borderId="0" xfId="0" applyNumberFormat="1"/>
    <xf numFmtId="1" fontId="0" fillId="5" borderId="1" xfId="0" applyNumberFormat="1" applyFill="1" applyBorder="1"/>
    <xf numFmtId="16" fontId="0" fillId="0" borderId="0" xfId="0" applyNumberFormat="1" applyFill="1"/>
    <xf numFmtId="2" fontId="4" fillId="0" borderId="0" xfId="0" applyNumberFormat="1" applyFont="1" applyFill="1"/>
    <xf numFmtId="1" fontId="3" fillId="0" borderId="0" xfId="0" applyNumberFormat="1" applyFont="1"/>
    <xf numFmtId="1" fontId="0" fillId="2" borderId="1" xfId="0" applyNumberFormat="1" applyFill="1" applyBorder="1"/>
    <xf numFmtId="166" fontId="3" fillId="0" borderId="0" xfId="0" applyNumberFormat="1" applyFont="1"/>
    <xf numFmtId="166" fontId="0" fillId="3" borderId="0" xfId="0" applyNumberFormat="1" applyFill="1"/>
    <xf numFmtId="166" fontId="0" fillId="0" borderId="0" xfId="0" applyNumberFormat="1"/>
    <xf numFmtId="166" fontId="0" fillId="5" borderId="1" xfId="0" applyNumberFormat="1" applyFill="1" applyBorder="1"/>
    <xf numFmtId="1" fontId="0" fillId="3" borderId="0" xfId="0" applyNumberFormat="1" applyFill="1"/>
    <xf numFmtId="2" fontId="0" fillId="0" borderId="0" xfId="0" applyNumberFormat="1" applyAlignment="1">
      <alignment horizontal="right"/>
    </xf>
    <xf numFmtId="0" fontId="3" fillId="0" borderId="0" xfId="0" applyFont="1" applyAlignment="1">
      <alignment horizontal="left"/>
    </xf>
    <xf numFmtId="16" fontId="0" fillId="0" borderId="0" xfId="0" applyNumberFormat="1" applyAlignment="1">
      <alignment horizontal="left"/>
    </xf>
    <xf numFmtId="0" fontId="0" fillId="0" borderId="0" xfId="0" applyAlignment="1">
      <alignment horizontal="left"/>
    </xf>
    <xf numFmtId="0" fontId="3" fillId="7" borderId="0" xfId="0" applyFont="1" applyFill="1" applyAlignment="1">
      <alignment horizontal="left"/>
    </xf>
    <xf numFmtId="0" fontId="0" fillId="7" borderId="0" xfId="0" applyFill="1" applyAlignment="1">
      <alignment horizontal="left"/>
    </xf>
    <xf numFmtId="15" fontId="0" fillId="7" borderId="0" xfId="0" applyNumberFormat="1" applyFill="1" applyAlignment="1">
      <alignment horizontal="left"/>
    </xf>
    <xf numFmtId="3" fontId="0" fillId="7" borderId="0" xfId="0" applyNumberFormat="1" applyFill="1" applyAlignment="1">
      <alignment horizontal="left"/>
    </xf>
    <xf numFmtId="0" fontId="15" fillId="7" borderId="4" xfId="2" applyFill="1" applyAlignment="1">
      <alignment horizontal="left"/>
    </xf>
    <xf numFmtId="0" fontId="3" fillId="7" borderId="0" xfId="0" applyFont="1" applyFill="1" applyAlignment="1">
      <alignment horizontal="right"/>
    </xf>
    <xf numFmtId="0" fontId="3" fillId="7" borderId="0" xfId="0" applyFont="1" applyFill="1"/>
    <xf numFmtId="15" fontId="0" fillId="7" borderId="0" xfId="0" applyNumberFormat="1" applyFill="1" applyAlignment="1">
      <alignment horizontal="right"/>
    </xf>
    <xf numFmtId="3" fontId="0" fillId="7" borderId="0" xfId="0" applyNumberFormat="1" applyFill="1"/>
    <xf numFmtId="0" fontId="0" fillId="7" borderId="0" xfId="0" applyFill="1" applyAlignment="1">
      <alignment horizontal="center"/>
    </xf>
    <xf numFmtId="0" fontId="3" fillId="7" borderId="5" xfId="0" applyFont="1" applyFill="1" applyBorder="1" applyAlignment="1">
      <alignment horizontal="left"/>
    </xf>
    <xf numFmtId="0" fontId="0" fillId="7" borderId="5" xfId="0" applyFill="1" applyBorder="1" applyAlignment="1">
      <alignment horizontal="left"/>
    </xf>
    <xf numFmtId="15" fontId="0" fillId="7" borderId="0" xfId="0" applyNumberFormat="1" applyFont="1" applyFill="1"/>
    <xf numFmtId="0" fontId="0" fillId="7" borderId="0" xfId="0" applyFont="1" applyFill="1"/>
    <xf numFmtId="3" fontId="0" fillId="7" borderId="0" xfId="0" applyNumberFormat="1" applyFont="1" applyFill="1"/>
    <xf numFmtId="2" fontId="3" fillId="7" borderId="0" xfId="0" applyNumberFormat="1" applyFont="1" applyFill="1"/>
    <xf numFmtId="2" fontId="0" fillId="7" borderId="0" xfId="0" applyNumberFormat="1" applyFont="1" applyFill="1"/>
    <xf numFmtId="3" fontId="0" fillId="6" borderId="0" xfId="0" applyNumberFormat="1" applyFill="1"/>
    <xf numFmtId="0" fontId="15" fillId="6" borderId="4" xfId="2" applyFill="1"/>
    <xf numFmtId="0" fontId="0" fillId="6" borderId="0" xfId="0" applyFill="1" applyAlignment="1">
      <alignment horizontal="right"/>
    </xf>
    <xf numFmtId="3" fontId="0" fillId="6" borderId="0" xfId="0" applyNumberFormat="1" applyFill="1" applyAlignment="1">
      <alignment horizontal="right"/>
    </xf>
    <xf numFmtId="0" fontId="3" fillId="6" borderId="0" xfId="0" applyFont="1" applyFill="1"/>
    <xf numFmtId="0" fontId="0" fillId="0" borderId="0" xfId="0" applyFill="1" applyAlignment="1">
      <alignment horizontal="right"/>
    </xf>
    <xf numFmtId="15" fontId="0" fillId="6" borderId="0" xfId="0" applyNumberFormat="1" applyFill="1"/>
    <xf numFmtId="2" fontId="3" fillId="6" borderId="0" xfId="0" applyNumberFormat="1" applyFont="1" applyFill="1"/>
    <xf numFmtId="0" fontId="15" fillId="6" borderId="4" xfId="2" applyFill="1" applyAlignment="1">
      <alignment horizontal="left"/>
    </xf>
    <xf numFmtId="0" fontId="3" fillId="6" borderId="0" xfId="0" applyFont="1" applyFill="1" applyAlignment="1">
      <alignment horizontal="left"/>
    </xf>
    <xf numFmtId="0" fontId="4" fillId="0" borderId="0" xfId="0" applyFont="1" applyFill="1" applyAlignment="1">
      <alignment horizontal="left"/>
    </xf>
    <xf numFmtId="14" fontId="4" fillId="0" borderId="0" xfId="0" applyNumberFormat="1" applyFont="1" applyFill="1" applyAlignment="1">
      <alignment horizontal="left"/>
    </xf>
    <xf numFmtId="0" fontId="3" fillId="0" borderId="0" xfId="0" applyFont="1" applyAlignment="1">
      <alignment horizontal="right" vertical="center"/>
    </xf>
    <xf numFmtId="16" fontId="0" fillId="0" borderId="0" xfId="0" applyNumberFormat="1" applyFill="1" applyAlignment="1">
      <alignment horizontal="right"/>
    </xf>
    <xf numFmtId="0" fontId="0" fillId="5" borderId="1" xfId="0" applyFill="1" applyBorder="1" applyAlignment="1">
      <alignment horizontal="right"/>
    </xf>
    <xf numFmtId="16" fontId="4" fillId="0" borderId="0" xfId="0" applyNumberFormat="1" applyFont="1" applyFill="1"/>
    <xf numFmtId="16" fontId="14" fillId="0" borderId="0" xfId="0" applyNumberFormat="1" applyFont="1" applyAlignment="1">
      <alignment horizontal="left"/>
    </xf>
    <xf numFmtId="14" fontId="3" fillId="6" borderId="0" xfId="0" applyNumberFormat="1" applyFont="1" applyFill="1"/>
    <xf numFmtId="14" fontId="0" fillId="6" borderId="0" xfId="0" applyNumberFormat="1" applyFill="1"/>
    <xf numFmtId="14" fontId="0" fillId="0" borderId="0" xfId="0" applyNumberFormat="1" applyAlignment="1">
      <alignment horizontal="right"/>
    </xf>
    <xf numFmtId="0" fontId="3" fillId="6" borderId="0" xfId="0" applyFont="1" applyFill="1" applyAlignment="1">
      <alignment horizontal="center" vertical="center"/>
    </xf>
    <xf numFmtId="2" fontId="3" fillId="6" borderId="0" xfId="0" applyNumberFormat="1" applyFont="1" applyFill="1" applyAlignment="1">
      <alignment horizontal="center" vertical="center"/>
    </xf>
    <xf numFmtId="0" fontId="3" fillId="0" borderId="0" xfId="0" applyFont="1" applyBorder="1" applyAlignment="1">
      <alignment horizontal="right"/>
    </xf>
    <xf numFmtId="0" fontId="3" fillId="7" borderId="5" xfId="0" applyFont="1" applyFill="1" applyBorder="1"/>
    <xf numFmtId="0" fontId="0" fillId="7" borderId="5" xfId="0" applyFill="1" applyBorder="1" applyAlignment="1">
      <alignment horizontal="right"/>
    </xf>
    <xf numFmtId="0" fontId="0" fillId="7" borderId="0" xfId="0" applyFill="1" applyAlignment="1">
      <alignment horizontal="right"/>
    </xf>
    <xf numFmtId="3" fontId="0" fillId="7" borderId="0" xfId="0" applyNumberFormat="1" applyFill="1" applyAlignment="1">
      <alignment horizontal="right"/>
    </xf>
    <xf numFmtId="0" fontId="3" fillId="7" borderId="0" xfId="0" applyFont="1" applyFill="1" applyBorder="1"/>
    <xf numFmtId="15" fontId="0" fillId="7" borderId="0" xfId="0" applyNumberFormat="1" applyFill="1"/>
    <xf numFmtId="165" fontId="3" fillId="7" borderId="5" xfId="0" applyNumberFormat="1" applyFont="1" applyFill="1" applyBorder="1"/>
    <xf numFmtId="165" fontId="3" fillId="7" borderId="0" xfId="0" applyNumberFormat="1" applyFont="1" applyFill="1"/>
    <xf numFmtId="164" fontId="0" fillId="0" borderId="0" xfId="0" applyNumberFormat="1" applyAlignment="1">
      <alignment horizontal="right"/>
    </xf>
    <xf numFmtId="10" fontId="0" fillId="0" borderId="0" xfId="3" applyNumberFormat="1" applyFont="1"/>
    <xf numFmtId="0" fontId="3" fillId="6" borderId="5" xfId="0" applyFont="1" applyFill="1" applyBorder="1"/>
    <xf numFmtId="0" fontId="0" fillId="6" borderId="5" xfId="0" applyFill="1" applyBorder="1" applyAlignment="1">
      <alignment horizontal="right"/>
    </xf>
    <xf numFmtId="15" fontId="0" fillId="7" borderId="0" xfId="0" applyNumberFormat="1" applyFont="1" applyFill="1" applyBorder="1"/>
    <xf numFmtId="0" fontId="0" fillId="7" borderId="0" xfId="0" applyFont="1" applyFill="1" applyBorder="1"/>
    <xf numFmtId="0" fontId="17" fillId="0" borderId="0" xfId="0" applyFont="1" applyFill="1" applyAlignment="1">
      <alignment horizontal="center" vertical="center"/>
    </xf>
    <xf numFmtId="0" fontId="8" fillId="0" borderId="0" xfId="0" applyFont="1" applyFill="1" applyAlignment="1">
      <alignment horizontal="right" vertical="center"/>
    </xf>
    <xf numFmtId="2" fontId="9" fillId="0" borderId="0" xfId="0" applyNumberFormat="1" applyFont="1" applyFill="1" applyAlignment="1">
      <alignment horizontal="right" vertical="center"/>
    </xf>
    <xf numFmtId="0" fontId="8" fillId="0" borderId="0" xfId="0" applyFont="1" applyFill="1" applyBorder="1" applyAlignment="1">
      <alignment horizontal="center" vertical="center"/>
    </xf>
    <xf numFmtId="16" fontId="7" fillId="0" borderId="0" xfId="0" applyNumberFormat="1" applyFont="1" applyFill="1" applyBorder="1" applyAlignment="1">
      <alignment horizontal="center" vertical="center"/>
    </xf>
    <xf numFmtId="0" fontId="7" fillId="0" borderId="0" xfId="0" applyFont="1" applyFill="1" applyBorder="1" applyAlignment="1">
      <alignment horizontal="right" vertical="center"/>
    </xf>
    <xf numFmtId="2" fontId="7" fillId="0" borderId="0" xfId="0" applyNumberFormat="1" applyFont="1" applyFill="1" applyBorder="1" applyAlignment="1">
      <alignment horizontal="right" vertical="center"/>
    </xf>
    <xf numFmtId="0" fontId="7" fillId="0" borderId="0" xfId="0" applyFont="1" applyFill="1" applyBorder="1" applyAlignment="1">
      <alignment horizontal="center" vertical="center"/>
    </xf>
    <xf numFmtId="10" fontId="7" fillId="0" borderId="0" xfId="0" applyNumberFormat="1" applyFont="1" applyFill="1" applyBorder="1" applyAlignment="1">
      <alignment horizontal="right" vertical="center"/>
    </xf>
    <xf numFmtId="0" fontId="7" fillId="0" borderId="0" xfId="0" applyFont="1" applyFill="1" applyAlignment="1">
      <alignment horizontal="center" vertical="center" wrapText="1"/>
    </xf>
    <xf numFmtId="0" fontId="15" fillId="7" borderId="4" xfId="2" applyFill="1" applyAlignment="1">
      <alignment horizontal="center"/>
    </xf>
    <xf numFmtId="14" fontId="0" fillId="7" borderId="0" xfId="0" applyNumberFormat="1" applyFill="1"/>
    <xf numFmtId="16" fontId="3" fillId="0" borderId="0" xfId="0" applyNumberFormat="1" applyFont="1"/>
    <xf numFmtId="0" fontId="5" fillId="8" borderId="0" xfId="1" applyFill="1"/>
    <xf numFmtId="0" fontId="15" fillId="7" borderId="4" xfId="2" applyFill="1" applyAlignment="1">
      <alignment horizontal="center"/>
    </xf>
    <xf numFmtId="0" fontId="0" fillId="7" borderId="5" xfId="0" applyFill="1" applyBorder="1"/>
    <xf numFmtId="10" fontId="0" fillId="7" borderId="0" xfId="3" applyNumberFormat="1" applyFont="1" applyFill="1"/>
    <xf numFmtId="16" fontId="14" fillId="0" borderId="0" xfId="0" applyNumberFormat="1" applyFont="1"/>
    <xf numFmtId="16" fontId="0" fillId="0" borderId="0" xfId="0" applyNumberFormat="1" applyFill="1" applyAlignment="1">
      <alignment vertical="center"/>
    </xf>
    <xf numFmtId="0" fontId="18" fillId="0" borderId="0" xfId="0" applyFont="1" applyFill="1" applyAlignment="1">
      <alignment horizontal="left"/>
    </xf>
    <xf numFmtId="0" fontId="18" fillId="0" borderId="0" xfId="0" applyFont="1"/>
    <xf numFmtId="1" fontId="0" fillId="2" borderId="2" xfId="0" applyNumberFormat="1" applyFill="1" applyBorder="1"/>
    <xf numFmtId="1" fontId="0" fillId="0" borderId="0" xfId="0" applyNumberFormat="1" applyFill="1"/>
    <xf numFmtId="0" fontId="19" fillId="7" borderId="0" xfId="0" applyFont="1" applyFill="1"/>
    <xf numFmtId="2" fontId="19" fillId="7" borderId="0" xfId="0" applyNumberFormat="1" applyFont="1" applyFill="1"/>
    <xf numFmtId="16" fontId="0" fillId="7" borderId="0" xfId="0" applyNumberFormat="1" applyFill="1"/>
    <xf numFmtId="2" fontId="19" fillId="7" borderId="0" xfId="0" applyNumberFormat="1" applyFont="1" applyFill="1" applyAlignment="1">
      <alignment horizontal="center"/>
    </xf>
    <xf numFmtId="2" fontId="19" fillId="7" borderId="0" xfId="0" applyNumberFormat="1" applyFont="1" applyFill="1" applyAlignment="1">
      <alignment horizontal="right"/>
    </xf>
    <xf numFmtId="2" fontId="0" fillId="0" borderId="0" xfId="0" applyNumberFormat="1" applyAlignment="1">
      <alignment horizontal="center"/>
    </xf>
    <xf numFmtId="2" fontId="0" fillId="6" borderId="0" xfId="0" applyNumberFormat="1" applyFill="1" applyAlignment="1"/>
    <xf numFmtId="166" fontId="3" fillId="0" borderId="0" xfId="0" applyNumberFormat="1" applyFont="1" applyAlignment="1">
      <alignment horizontal="center" vertical="center"/>
    </xf>
    <xf numFmtId="166" fontId="19" fillId="7" borderId="0" xfId="0" applyNumberFormat="1" applyFont="1" applyFill="1"/>
    <xf numFmtId="166" fontId="0" fillId="7" borderId="0" xfId="0" applyNumberFormat="1" applyFill="1"/>
    <xf numFmtId="166" fontId="0" fillId="2" borderId="0" xfId="0" applyNumberFormat="1" applyFill="1" applyAlignment="1">
      <alignment wrapText="1"/>
    </xf>
    <xf numFmtId="2" fontId="0" fillId="7" borderId="0" xfId="0" applyNumberFormat="1" applyFill="1" applyAlignment="1">
      <alignment horizontal="right"/>
    </xf>
    <xf numFmtId="15" fontId="0" fillId="7" borderId="0" xfId="0" applyNumberFormat="1" applyFill="1" applyAlignment="1">
      <alignment horizontal="center"/>
    </xf>
    <xf numFmtId="3" fontId="0" fillId="7" borderId="0" xfId="0" applyNumberFormat="1" applyFill="1" applyAlignment="1">
      <alignment horizontal="center"/>
    </xf>
    <xf numFmtId="0" fontId="19" fillId="7" borderId="0" xfId="0" applyFont="1" applyFill="1" applyAlignment="1">
      <alignment horizontal="right"/>
    </xf>
    <xf numFmtId="168" fontId="0" fillId="0" borderId="0" xfId="0" applyNumberFormat="1"/>
    <xf numFmtId="10" fontId="0" fillId="7" borderId="0" xfId="0" applyNumberFormat="1" applyFill="1"/>
    <xf numFmtId="10" fontId="0" fillId="7" borderId="0" xfId="0" applyNumberFormat="1" applyFill="1" applyAlignment="1">
      <alignment horizontal="right"/>
    </xf>
    <xf numFmtId="10" fontId="0" fillId="0" borderId="0" xfId="0" applyNumberFormat="1" applyFill="1" applyAlignment="1">
      <alignment horizontal="right"/>
    </xf>
    <xf numFmtId="4" fontId="0" fillId="0" borderId="0" xfId="0" applyNumberFormat="1"/>
    <xf numFmtId="3" fontId="0" fillId="0" borderId="0" xfId="0" applyNumberFormat="1"/>
    <xf numFmtId="2" fontId="14" fillId="7" borderId="0" xfId="0" applyNumberFormat="1" applyFont="1" applyFill="1"/>
    <xf numFmtId="0" fontId="0" fillId="11" borderId="0" xfId="0" applyFill="1"/>
    <xf numFmtId="2" fontId="0" fillId="11" borderId="0" xfId="0" applyNumberFormat="1" applyFill="1"/>
    <xf numFmtId="2" fontId="7" fillId="0" borderId="0" xfId="0" applyNumberFormat="1" applyFont="1" applyFill="1" applyAlignment="1">
      <alignment horizontal="center" vertical="center"/>
    </xf>
    <xf numFmtId="166" fontId="0" fillId="0" borderId="0" xfId="0" applyNumberFormat="1" applyFill="1"/>
    <xf numFmtId="166" fontId="19" fillId="7" borderId="0" xfId="0" applyNumberFormat="1" applyFont="1" applyFill="1" applyAlignment="1">
      <alignment horizontal="right"/>
    </xf>
    <xf numFmtId="166" fontId="0" fillId="7" borderId="0" xfId="0" applyNumberFormat="1" applyFill="1" applyAlignment="1">
      <alignment horizontal="right"/>
    </xf>
    <xf numFmtId="2" fontId="0" fillId="7" borderId="0" xfId="0" applyNumberFormat="1" applyFill="1" applyAlignment="1">
      <alignment horizontal="center"/>
    </xf>
    <xf numFmtId="2" fontId="3" fillId="7" borderId="0" xfId="0" applyNumberFormat="1" applyFont="1" applyFill="1" applyAlignment="1">
      <alignment horizontal="center"/>
    </xf>
    <xf numFmtId="0" fontId="15" fillId="7" borderId="4" xfId="2" applyFill="1" applyAlignment="1">
      <alignment horizontal="center"/>
    </xf>
    <xf numFmtId="16" fontId="14" fillId="0" borderId="0" xfId="0" applyNumberFormat="1" applyFont="1" applyFill="1"/>
    <xf numFmtId="0" fontId="15" fillId="7" borderId="4" xfId="2" applyFill="1" applyAlignment="1">
      <alignment horizontal="center"/>
    </xf>
    <xf numFmtId="0" fontId="14" fillId="7" borderId="0" xfId="0" applyFont="1" applyFill="1"/>
    <xf numFmtId="0" fontId="0" fillId="5" borderId="0" xfId="0" applyFill="1"/>
    <xf numFmtId="2" fontId="0" fillId="5" borderId="0" xfId="0" applyNumberFormat="1" applyFill="1"/>
    <xf numFmtId="0" fontId="3" fillId="5" borderId="0" xfId="0" applyFont="1" applyFill="1"/>
    <xf numFmtId="2" fontId="3" fillId="5" borderId="0" xfId="0" applyNumberFormat="1" applyFont="1" applyFill="1"/>
    <xf numFmtId="0" fontId="1" fillId="5" borderId="0" xfId="0" applyFont="1" applyFill="1"/>
    <xf numFmtId="16" fontId="0" fillId="5" borderId="0" xfId="0" applyNumberFormat="1" applyFill="1"/>
    <xf numFmtId="1" fontId="0" fillId="5" borderId="0" xfId="0" applyNumberFormat="1" applyFill="1"/>
    <xf numFmtId="0" fontId="5" fillId="5" borderId="0" xfId="1" applyFill="1"/>
    <xf numFmtId="0" fontId="19" fillId="5" borderId="0" xfId="0" applyFont="1" applyFill="1"/>
    <xf numFmtId="2" fontId="19" fillId="5" borderId="0" xfId="0" applyNumberFormat="1" applyFont="1" applyFill="1"/>
    <xf numFmtId="2" fontId="19" fillId="5" borderId="0" xfId="0" applyNumberFormat="1" applyFont="1" applyFill="1" applyAlignment="1">
      <alignment horizontal="center"/>
    </xf>
    <xf numFmtId="2" fontId="19" fillId="5" borderId="0" xfId="0" applyNumberFormat="1" applyFont="1" applyFill="1" applyAlignment="1">
      <alignment horizontal="right"/>
    </xf>
    <xf numFmtId="0" fontId="19" fillId="5" borderId="0" xfId="0" applyFont="1" applyFill="1" applyAlignment="1">
      <alignment horizontal="right"/>
    </xf>
    <xf numFmtId="10" fontId="0" fillId="5" borderId="0" xfId="0" applyNumberFormat="1" applyFill="1" applyAlignment="1">
      <alignment horizontal="right"/>
    </xf>
    <xf numFmtId="0" fontId="4" fillId="5" borderId="0" xfId="0" applyFont="1" applyFill="1"/>
    <xf numFmtId="10" fontId="0" fillId="5" borderId="0" xfId="0" applyNumberFormat="1" applyFill="1"/>
    <xf numFmtId="0" fontId="14" fillId="0" borderId="0" xfId="0" applyFont="1" applyFill="1"/>
    <xf numFmtId="2" fontId="14" fillId="0" borderId="0" xfId="0" applyNumberFormat="1" applyFont="1" applyFill="1"/>
    <xf numFmtId="1" fontId="14" fillId="0" borderId="0" xfId="0" applyNumberFormat="1" applyFont="1" applyFill="1"/>
    <xf numFmtId="10" fontId="0" fillId="0" borderId="0" xfId="0" applyNumberFormat="1" applyFill="1"/>
    <xf numFmtId="16" fontId="0" fillId="5" borderId="0" xfId="0" applyNumberFormat="1" applyFill="1" applyAlignment="1">
      <alignment horizontal="right" vertical="center"/>
    </xf>
    <xf numFmtId="0" fontId="4" fillId="7" borderId="0" xfId="0" applyFont="1" applyFill="1"/>
    <xf numFmtId="166" fontId="4" fillId="7" borderId="0" xfId="0" applyNumberFormat="1" applyFont="1" applyFill="1"/>
    <xf numFmtId="15" fontId="0" fillId="0" borderId="0" xfId="0" applyNumberFormat="1"/>
    <xf numFmtId="2" fontId="0" fillId="0" borderId="0" xfId="0" applyNumberFormat="1" applyFill="1" applyAlignment="1">
      <alignment wrapText="1"/>
    </xf>
    <xf numFmtId="10" fontId="0" fillId="0" borderId="0" xfId="3" applyNumberFormat="1" applyFont="1" applyFill="1"/>
    <xf numFmtId="0" fontId="8" fillId="0" borderId="0" xfId="0" applyFont="1" applyFill="1" applyAlignment="1">
      <alignment horizontal="center" vertical="center"/>
    </xf>
    <xf numFmtId="0" fontId="8" fillId="0" borderId="0" xfId="0" applyFont="1" applyFill="1" applyBorder="1" applyAlignment="1">
      <alignment vertical="center"/>
    </xf>
    <xf numFmtId="0" fontId="1" fillId="13" borderId="8" xfId="0" applyFont="1" applyFill="1" applyBorder="1"/>
    <xf numFmtId="16" fontId="0" fillId="13" borderId="8" xfId="0" applyNumberFormat="1" applyFill="1" applyBorder="1"/>
    <xf numFmtId="0" fontId="0" fillId="13" borderId="8" xfId="0" applyFill="1" applyBorder="1"/>
    <xf numFmtId="2" fontId="0" fillId="13" borderId="8" xfId="0" applyNumberFormat="1" applyFill="1" applyBorder="1"/>
    <xf numFmtId="1" fontId="0" fillId="13" borderId="8" xfId="0" applyNumberFormat="1" applyFill="1" applyBorder="1"/>
    <xf numFmtId="0" fontId="3" fillId="13" borderId="8" xfId="0" applyFont="1" applyFill="1" applyBorder="1"/>
    <xf numFmtId="0" fontId="23" fillId="13" borderId="8" xfId="1" applyFont="1" applyFill="1" applyBorder="1"/>
    <xf numFmtId="0" fontId="18" fillId="13" borderId="8" xfId="0" applyFont="1" applyFill="1" applyBorder="1"/>
    <xf numFmtId="2" fontId="3" fillId="13" borderId="8" xfId="0" applyNumberFormat="1" applyFont="1" applyFill="1" applyBorder="1"/>
    <xf numFmtId="1" fontId="3" fillId="13" borderId="8" xfId="0" applyNumberFormat="1" applyFont="1" applyFill="1" applyBorder="1"/>
    <xf numFmtId="10" fontId="3" fillId="13" borderId="8" xfId="3" applyNumberFormat="1" applyFont="1" applyFill="1" applyBorder="1"/>
    <xf numFmtId="0" fontId="8" fillId="13" borderId="8" xfId="0" applyFont="1" applyFill="1" applyBorder="1" applyAlignment="1">
      <alignment vertical="center"/>
    </xf>
    <xf numFmtId="16" fontId="7" fillId="13" borderId="8" xfId="0" applyNumberFormat="1" applyFont="1" applyFill="1" applyBorder="1" applyAlignment="1">
      <alignment horizontal="center" vertical="center"/>
    </xf>
    <xf numFmtId="0" fontId="7" fillId="13" borderId="8" xfId="0" applyFont="1" applyFill="1" applyBorder="1" applyAlignment="1">
      <alignment horizontal="right" vertical="center"/>
    </xf>
    <xf numFmtId="2" fontId="7" fillId="13" borderId="8" xfId="0" applyNumberFormat="1" applyFont="1" applyFill="1" applyBorder="1" applyAlignment="1">
      <alignment horizontal="right" vertical="center"/>
    </xf>
    <xf numFmtId="0" fontId="7" fillId="13" borderId="8" xfId="0" applyFont="1" applyFill="1" applyBorder="1" applyAlignment="1">
      <alignment horizontal="center" vertical="center"/>
    </xf>
    <xf numFmtId="10" fontId="7" fillId="13" borderId="8" xfId="0" applyNumberFormat="1" applyFont="1" applyFill="1" applyBorder="1" applyAlignment="1">
      <alignment horizontal="right" vertical="center"/>
    </xf>
    <xf numFmtId="16" fontId="6" fillId="13" borderId="8" xfId="0" applyNumberFormat="1" applyFont="1" applyFill="1" applyBorder="1" applyAlignment="1">
      <alignment horizontal="center" vertical="center"/>
    </xf>
    <xf numFmtId="0" fontId="6" fillId="13" borderId="8" xfId="0" applyFont="1" applyFill="1" applyBorder="1" applyAlignment="1">
      <alignment horizontal="right" vertical="center"/>
    </xf>
    <xf numFmtId="2" fontId="6" fillId="13" borderId="8" xfId="0" applyNumberFormat="1" applyFont="1" applyFill="1" applyBorder="1" applyAlignment="1">
      <alignment horizontal="right" vertical="center"/>
    </xf>
    <xf numFmtId="0" fontId="6" fillId="13" borderId="8" xfId="0" applyFont="1" applyFill="1" applyBorder="1" applyAlignment="1">
      <alignment horizontal="center" vertical="center"/>
    </xf>
    <xf numFmtId="10" fontId="6" fillId="13" borderId="8" xfId="0" applyNumberFormat="1" applyFont="1" applyFill="1" applyBorder="1" applyAlignment="1">
      <alignment horizontal="right" vertical="center"/>
    </xf>
    <xf numFmtId="0" fontId="8" fillId="0" borderId="8" xfId="0" applyFont="1" applyFill="1" applyBorder="1" applyAlignment="1">
      <alignment horizontal="center" vertical="center"/>
    </xf>
    <xf numFmtId="0" fontId="6" fillId="0" borderId="8" xfId="0" applyFont="1" applyFill="1" applyBorder="1" applyAlignment="1">
      <alignment horizontal="center" vertical="center"/>
    </xf>
    <xf numFmtId="0" fontId="6" fillId="0" borderId="8" xfId="0" applyFont="1" applyFill="1" applyBorder="1" applyAlignment="1">
      <alignment horizontal="right" vertical="center"/>
    </xf>
    <xf numFmtId="2" fontId="6" fillId="0" borderId="8" xfId="0" applyNumberFormat="1" applyFont="1" applyFill="1" applyBorder="1" applyAlignment="1">
      <alignment horizontal="right" vertical="center"/>
    </xf>
    <xf numFmtId="0" fontId="7" fillId="0" borderId="6" xfId="0" applyFont="1" applyFill="1" applyBorder="1" applyAlignment="1">
      <alignment horizontal="center" vertical="center"/>
    </xf>
    <xf numFmtId="0" fontId="7" fillId="0" borderId="6" xfId="0" applyFont="1" applyFill="1" applyBorder="1" applyAlignment="1">
      <alignment horizontal="right" vertical="center"/>
    </xf>
    <xf numFmtId="2" fontId="7" fillId="0" borderId="6" xfId="0" applyNumberFormat="1" applyFont="1" applyFill="1" applyBorder="1" applyAlignment="1">
      <alignment horizontal="right" vertical="center"/>
    </xf>
    <xf numFmtId="10" fontId="7" fillId="0" borderId="6" xfId="0" applyNumberFormat="1" applyFont="1" applyFill="1" applyBorder="1" applyAlignment="1">
      <alignment horizontal="right" vertical="center"/>
    </xf>
    <xf numFmtId="0" fontId="24" fillId="13" borderId="8" xfId="0" applyFont="1" applyFill="1" applyBorder="1" applyAlignment="1">
      <alignment vertical="center"/>
    </xf>
    <xf numFmtId="16" fontId="24" fillId="13" borderId="8" xfId="0" applyNumberFormat="1" applyFont="1" applyFill="1" applyBorder="1" applyAlignment="1">
      <alignment horizontal="center" vertical="center"/>
    </xf>
    <xf numFmtId="0" fontId="24" fillId="13" borderId="8" xfId="0" applyFont="1" applyFill="1" applyBorder="1" applyAlignment="1">
      <alignment horizontal="right" vertical="center"/>
    </xf>
    <xf numFmtId="2" fontId="24" fillId="13" borderId="8" xfId="0" applyNumberFormat="1" applyFont="1" applyFill="1" applyBorder="1" applyAlignment="1">
      <alignment horizontal="right" vertical="center"/>
    </xf>
    <xf numFmtId="0" fontId="24" fillId="13" borderId="8" xfId="0" applyFont="1" applyFill="1" applyBorder="1" applyAlignment="1">
      <alignment horizontal="center" vertical="center"/>
    </xf>
    <xf numFmtId="10" fontId="24" fillId="13" borderId="8" xfId="0" applyNumberFormat="1" applyFont="1" applyFill="1" applyBorder="1" applyAlignment="1">
      <alignment horizontal="right" vertical="center"/>
    </xf>
    <xf numFmtId="0" fontId="25" fillId="13" borderId="8" xfId="0" applyFont="1" applyFill="1" applyBorder="1" applyAlignment="1">
      <alignment horizontal="center" vertical="center"/>
    </xf>
    <xf numFmtId="0" fontId="25" fillId="13" borderId="8" xfId="0" applyFont="1" applyFill="1" applyBorder="1" applyAlignment="1">
      <alignment horizontal="right" vertical="center"/>
    </xf>
    <xf numFmtId="2" fontId="25" fillId="13" borderId="8" xfId="0" applyNumberFormat="1" applyFont="1" applyFill="1" applyBorder="1" applyAlignment="1">
      <alignment horizontal="right" vertical="center"/>
    </xf>
    <xf numFmtId="16" fontId="7" fillId="0" borderId="6" xfId="0" applyNumberFormat="1" applyFont="1" applyFill="1" applyBorder="1" applyAlignment="1">
      <alignment horizontal="center" vertical="center"/>
    </xf>
    <xf numFmtId="16" fontId="25" fillId="13" borderId="8" xfId="0" applyNumberFormat="1" applyFont="1" applyFill="1" applyBorder="1" applyAlignment="1">
      <alignment horizontal="center" vertical="center"/>
    </xf>
    <xf numFmtId="167" fontId="7" fillId="13" borderId="8" xfId="0" applyNumberFormat="1" applyFont="1" applyFill="1" applyBorder="1" applyAlignment="1">
      <alignment horizontal="center" vertical="center"/>
    </xf>
    <xf numFmtId="167" fontId="7" fillId="0" borderId="6" xfId="0" applyNumberFormat="1" applyFont="1" applyFill="1" applyBorder="1" applyAlignment="1">
      <alignment horizontal="center" vertical="center"/>
    </xf>
    <xf numFmtId="167" fontId="6" fillId="13" borderId="8" xfId="0" applyNumberFormat="1" applyFont="1" applyFill="1" applyBorder="1" applyAlignment="1">
      <alignment horizontal="center" vertical="center"/>
    </xf>
    <xf numFmtId="2" fontId="6" fillId="13" borderId="8" xfId="0" applyNumberFormat="1" applyFont="1" applyFill="1" applyBorder="1" applyAlignment="1">
      <alignment horizontal="center" vertical="center"/>
    </xf>
    <xf numFmtId="10" fontId="6" fillId="13" borderId="8" xfId="3" applyNumberFormat="1" applyFont="1" applyFill="1" applyBorder="1" applyAlignment="1">
      <alignment horizontal="right" vertical="center"/>
    </xf>
    <xf numFmtId="0" fontId="5" fillId="13" borderId="8" xfId="1" applyFill="1" applyBorder="1"/>
    <xf numFmtId="166" fontId="12" fillId="8" borderId="0" xfId="0" applyNumberFormat="1" applyFont="1" applyFill="1"/>
    <xf numFmtId="2" fontId="4" fillId="7" borderId="0" xfId="0" applyNumberFormat="1" applyFont="1" applyFill="1"/>
    <xf numFmtId="14" fontId="7" fillId="0" borderId="0" xfId="0" applyNumberFormat="1" applyFont="1" applyFill="1" applyAlignment="1">
      <alignment horizontal="center" vertical="center"/>
    </xf>
    <xf numFmtId="0" fontId="0" fillId="7" borderId="0" xfId="0" applyNumberFormat="1" applyFill="1" applyAlignment="1">
      <alignment horizontal="right"/>
    </xf>
    <xf numFmtId="16" fontId="0" fillId="5" borderId="0" xfId="0" applyNumberFormat="1" applyFill="1" applyAlignment="1">
      <alignment horizontal="right" vertical="center"/>
    </xf>
    <xf numFmtId="0" fontId="3" fillId="3" borderId="9" xfId="0" applyFont="1" applyFill="1" applyBorder="1"/>
    <xf numFmtId="0" fontId="0" fillId="3" borderId="9" xfId="0" applyFill="1" applyBorder="1"/>
    <xf numFmtId="0" fontId="4" fillId="3" borderId="9" xfId="0" applyFont="1" applyFill="1" applyBorder="1"/>
    <xf numFmtId="2" fontId="4" fillId="3" borderId="9" xfId="0" applyNumberFormat="1" applyFont="1" applyFill="1" applyBorder="1"/>
    <xf numFmtId="16" fontId="12" fillId="0" borderId="0" xfId="0" applyNumberFormat="1" applyFont="1"/>
    <xf numFmtId="0" fontId="7" fillId="14" borderId="0" xfId="0" applyFont="1" applyFill="1" applyAlignment="1">
      <alignment horizontal="center" vertical="center"/>
    </xf>
    <xf numFmtId="14" fontId="7" fillId="14" borderId="0" xfId="0" applyNumberFormat="1" applyFont="1" applyFill="1" applyAlignment="1">
      <alignment horizontal="center" vertical="center"/>
    </xf>
    <xf numFmtId="4" fontId="0" fillId="7" borderId="0" xfId="0" applyNumberFormat="1" applyFill="1"/>
    <xf numFmtId="16" fontId="0" fillId="0" borderId="0" xfId="0" applyNumberFormat="1" applyFill="1" applyAlignment="1">
      <alignment vertical="center" wrapText="1"/>
    </xf>
    <xf numFmtId="0" fontId="0" fillId="6" borderId="5" xfId="0" applyFont="1" applyFill="1" applyBorder="1" applyAlignment="1">
      <alignment horizontal="right"/>
    </xf>
    <xf numFmtId="0" fontId="0" fillId="6" borderId="0" xfId="0" applyFont="1" applyFill="1" applyAlignment="1">
      <alignment horizontal="right"/>
    </xf>
    <xf numFmtId="3" fontId="0" fillId="6" borderId="0" xfId="0" applyNumberFormat="1" applyFont="1" applyFill="1" applyAlignment="1">
      <alignment horizontal="right"/>
    </xf>
    <xf numFmtId="2" fontId="4" fillId="5" borderId="0" xfId="0" applyNumberFormat="1" applyFont="1" applyFill="1"/>
    <xf numFmtId="2" fontId="18" fillId="5" borderId="0" xfId="0" applyNumberFormat="1" applyFont="1" applyFill="1"/>
    <xf numFmtId="0" fontId="15" fillId="7" borderId="4" xfId="2" applyFill="1" applyAlignment="1">
      <alignment horizontal="center"/>
    </xf>
    <xf numFmtId="16" fontId="0" fillId="0" borderId="0" xfId="0" applyNumberFormat="1" applyFill="1" applyBorder="1" applyAlignment="1">
      <alignment vertical="center"/>
    </xf>
    <xf numFmtId="16" fontId="0" fillId="0" borderId="0" xfId="0" applyNumberFormat="1" applyFill="1" applyBorder="1"/>
    <xf numFmtId="16" fontId="0" fillId="2" borderId="0" xfId="0" applyNumberFormat="1" applyFill="1"/>
    <xf numFmtId="0" fontId="0" fillId="2" borderId="0" xfId="0" applyFill="1"/>
    <xf numFmtId="2" fontId="0" fillId="2" borderId="0" xfId="0" applyNumberFormat="1" applyFill="1"/>
    <xf numFmtId="10" fontId="0" fillId="2" borderId="0" xfId="0" applyNumberFormat="1" applyFill="1"/>
    <xf numFmtId="10" fontId="0" fillId="2" borderId="0" xfId="0" applyNumberFormat="1" applyFill="1" applyAlignment="1">
      <alignment horizontal="right"/>
    </xf>
    <xf numFmtId="1" fontId="0" fillId="2" borderId="0" xfId="0" applyNumberFormat="1" applyFill="1"/>
    <xf numFmtId="166" fontId="0" fillId="2" borderId="0" xfId="0" applyNumberFormat="1" applyFill="1"/>
    <xf numFmtId="0" fontId="3" fillId="2" borderId="0" xfId="0" applyFont="1" applyFill="1"/>
    <xf numFmtId="166" fontId="3" fillId="2" borderId="0" xfId="0" applyNumberFormat="1" applyFont="1" applyFill="1"/>
    <xf numFmtId="2" fontId="3" fillId="2" borderId="0" xfId="0" applyNumberFormat="1" applyFont="1" applyFill="1"/>
    <xf numFmtId="0" fontId="1" fillId="2" borderId="0" xfId="0" applyFont="1" applyFill="1"/>
    <xf numFmtId="0" fontId="5" fillId="2" borderId="0" xfId="1" applyFill="1"/>
    <xf numFmtId="16" fontId="0" fillId="2" borderId="0" xfId="0" applyNumberFormat="1" applyFill="1" applyAlignment="1">
      <alignment vertical="center"/>
    </xf>
    <xf numFmtId="1" fontId="4" fillId="0" borderId="0" xfId="0" applyNumberFormat="1" applyFont="1" applyFill="1"/>
    <xf numFmtId="0" fontId="3" fillId="2" borderId="0" xfId="0" applyFont="1" applyFill="1" applyAlignment="1">
      <alignment horizontal="center" vertical="center"/>
    </xf>
    <xf numFmtId="0" fontId="3" fillId="2" borderId="0" xfId="0" applyFont="1" applyFill="1" applyAlignment="1">
      <alignment horizontal="right" vertical="center"/>
    </xf>
    <xf numFmtId="166" fontId="3" fillId="2" borderId="0" xfId="0" applyNumberFormat="1" applyFont="1" applyFill="1" applyAlignment="1">
      <alignment horizontal="center" vertical="center"/>
    </xf>
    <xf numFmtId="2" fontId="3" fillId="2" borderId="0" xfId="0" applyNumberFormat="1" applyFont="1" applyFill="1" applyAlignment="1">
      <alignment horizontal="center" vertical="center"/>
    </xf>
    <xf numFmtId="1" fontId="3" fillId="2" borderId="0" xfId="0" applyNumberFormat="1" applyFont="1" applyFill="1" applyAlignment="1">
      <alignment horizontal="center" vertical="center"/>
    </xf>
    <xf numFmtId="16" fontId="0" fillId="2" borderId="0" xfId="0" applyNumberFormat="1" applyFill="1" applyAlignment="1">
      <alignment horizontal="right"/>
    </xf>
    <xf numFmtId="1" fontId="4" fillId="2" borderId="0" xfId="0" applyNumberFormat="1" applyFont="1" applyFill="1"/>
    <xf numFmtId="2" fontId="4" fillId="2" borderId="0" xfId="0" applyNumberFormat="1" applyFont="1" applyFill="1"/>
    <xf numFmtId="0" fontId="4" fillId="2" borderId="0" xfId="0" applyFont="1" applyFill="1"/>
    <xf numFmtId="0" fontId="0" fillId="2" borderId="0" xfId="0" applyFill="1" applyAlignment="1">
      <alignment horizontal="right"/>
    </xf>
    <xf numFmtId="0" fontId="0" fillId="2" borderId="1" xfId="0" applyFill="1" applyBorder="1" applyAlignment="1">
      <alignment horizontal="right"/>
    </xf>
    <xf numFmtId="166" fontId="0" fillId="2" borderId="1" xfId="0" applyNumberFormat="1" applyFill="1" applyBorder="1"/>
    <xf numFmtId="16" fontId="0" fillId="2" borderId="0" xfId="0" applyNumberFormat="1" applyFill="1" applyBorder="1" applyAlignment="1">
      <alignment horizontal="right" vertical="center"/>
    </xf>
    <xf numFmtId="16" fontId="0" fillId="2" borderId="0" xfId="0" applyNumberFormat="1" applyFill="1" applyAlignment="1">
      <alignment horizontal="right" vertical="center"/>
    </xf>
    <xf numFmtId="16" fontId="0" fillId="2" borderId="0" xfId="0" applyNumberFormat="1" applyFill="1" applyAlignment="1">
      <alignment horizontal="right" vertical="center" wrapText="1"/>
    </xf>
    <xf numFmtId="1" fontId="3" fillId="5" borderId="0" xfId="0" applyNumberFormat="1" applyFont="1" applyFill="1"/>
    <xf numFmtId="16" fontId="4" fillId="5" borderId="0" xfId="0" applyNumberFormat="1" applyFont="1" applyFill="1"/>
    <xf numFmtId="1" fontId="4" fillId="5" borderId="0" xfId="0" applyNumberFormat="1" applyFont="1" applyFill="1"/>
    <xf numFmtId="0" fontId="0" fillId="0" borderId="0" xfId="0" applyFill="1" applyBorder="1" applyAlignment="1">
      <alignment horizontal="left"/>
    </xf>
    <xf numFmtId="0" fontId="0" fillId="0" borderId="0" xfId="0" applyFill="1" applyAlignment="1">
      <alignment horizontal="left"/>
    </xf>
    <xf numFmtId="15" fontId="0" fillId="0" borderId="0" xfId="0" applyNumberFormat="1" applyFill="1" applyAlignment="1">
      <alignment horizontal="left"/>
    </xf>
    <xf numFmtId="3" fontId="0" fillId="0" borderId="0" xfId="0" applyNumberFormat="1" applyFill="1" applyAlignment="1">
      <alignment horizontal="left"/>
    </xf>
    <xf numFmtId="1" fontId="3" fillId="2" borderId="0" xfId="0" applyNumberFormat="1" applyFont="1" applyFill="1"/>
    <xf numFmtId="16" fontId="4" fillId="2" borderId="0" xfId="0" applyNumberFormat="1" applyFont="1" applyFill="1"/>
    <xf numFmtId="0" fontId="15" fillId="7" borderId="4" xfId="2" applyFill="1" applyAlignment="1">
      <alignment horizontal="center"/>
    </xf>
    <xf numFmtId="0" fontId="3" fillId="5" borderId="2" xfId="0" applyFont="1" applyFill="1" applyBorder="1"/>
    <xf numFmtId="0" fontId="0" fillId="5" borderId="2" xfId="0" applyFill="1" applyBorder="1"/>
    <xf numFmtId="2" fontId="0" fillId="5" borderId="2" xfId="0" applyNumberFormat="1" applyFill="1" applyBorder="1"/>
    <xf numFmtId="1" fontId="0" fillId="5" borderId="2" xfId="0" applyNumberFormat="1" applyFill="1" applyBorder="1"/>
    <xf numFmtId="0" fontId="0" fillId="5" borderId="0" xfId="0" applyFill="1" applyAlignment="1">
      <alignment horizontal="right"/>
    </xf>
    <xf numFmtId="0" fontId="4" fillId="3" borderId="0" xfId="0" applyFont="1" applyFill="1"/>
    <xf numFmtId="0" fontId="7" fillId="15" borderId="0" xfId="0" applyFont="1" applyFill="1" applyAlignment="1">
      <alignment horizontal="center" vertical="center"/>
    </xf>
    <xf numFmtId="17" fontId="7" fillId="15" borderId="0" xfId="0" applyNumberFormat="1" applyFont="1" applyFill="1" applyAlignment="1">
      <alignment horizontal="center" vertical="center"/>
    </xf>
    <xf numFmtId="0" fontId="6" fillId="15" borderId="0" xfId="0" applyFont="1" applyFill="1" applyAlignment="1">
      <alignment horizontal="center" vertical="center"/>
    </xf>
    <xf numFmtId="170" fontId="0" fillId="0" borderId="0" xfId="0" applyNumberFormat="1"/>
    <xf numFmtId="0" fontId="3" fillId="0" borderId="0" xfId="0" applyFont="1" applyFill="1"/>
    <xf numFmtId="0" fontId="3" fillId="0" borderId="0" xfId="0" applyFont="1" applyFill="1" applyAlignment="1">
      <alignment horizontal="right"/>
    </xf>
    <xf numFmtId="9" fontId="0" fillId="0" borderId="0" xfId="0" applyNumberFormat="1" applyFill="1" applyAlignment="1">
      <alignment horizontal="right"/>
    </xf>
    <xf numFmtId="168" fontId="0" fillId="2" borderId="0" xfId="0" applyNumberFormat="1" applyFill="1" applyAlignment="1">
      <alignment wrapText="1"/>
    </xf>
    <xf numFmtId="0" fontId="0" fillId="7" borderId="0" xfId="0" applyFont="1" applyFill="1" applyAlignment="1">
      <alignment horizontal="right"/>
    </xf>
    <xf numFmtId="3" fontId="0" fillId="7" borderId="0" xfId="0" applyNumberFormat="1" applyFont="1" applyFill="1" applyAlignment="1">
      <alignment horizontal="right"/>
    </xf>
    <xf numFmtId="2" fontId="24" fillId="0" borderId="8" xfId="0" applyNumberFormat="1" applyFont="1" applyFill="1" applyBorder="1" applyAlignment="1">
      <alignment horizontal="right" vertical="center"/>
    </xf>
    <xf numFmtId="10" fontId="24" fillId="0" borderId="8" xfId="0" applyNumberFormat="1" applyFont="1" applyFill="1" applyBorder="1" applyAlignment="1">
      <alignment horizontal="right" vertical="center"/>
    </xf>
    <xf numFmtId="0" fontId="4" fillId="10" borderId="0" xfId="0" applyFont="1" applyFill="1"/>
    <xf numFmtId="0" fontId="0" fillId="16" borderId="0" xfId="0" applyFill="1"/>
    <xf numFmtId="166" fontId="0" fillId="3" borderId="0" xfId="0" applyNumberFormat="1" applyFill="1" applyAlignment="1">
      <alignment horizontal="right"/>
    </xf>
    <xf numFmtId="0" fontId="0" fillId="10" borderId="0" xfId="0" applyFill="1"/>
    <xf numFmtId="2" fontId="0" fillId="10" borderId="0" xfId="0" applyNumberFormat="1" applyFill="1"/>
    <xf numFmtId="0" fontId="0" fillId="17" borderId="0" xfId="0" applyFill="1"/>
    <xf numFmtId="2" fontId="0" fillId="17" borderId="0" xfId="0" applyNumberFormat="1" applyFill="1"/>
    <xf numFmtId="2" fontId="4" fillId="10" borderId="0" xfId="0" applyNumberFormat="1" applyFont="1" applyFill="1"/>
    <xf numFmtId="10" fontId="0" fillId="7" borderId="0" xfId="0" applyNumberFormat="1" applyFill="1" applyAlignment="1">
      <alignment horizontal="left"/>
    </xf>
    <xf numFmtId="2" fontId="7" fillId="14" borderId="0" xfId="0" applyNumberFormat="1" applyFont="1" applyFill="1" applyAlignment="1">
      <alignment horizontal="center" vertical="center"/>
    </xf>
    <xf numFmtId="0" fontId="6" fillId="14" borderId="0" xfId="0" applyFont="1" applyFill="1" applyAlignment="1">
      <alignment horizontal="center" vertical="center"/>
    </xf>
    <xf numFmtId="2" fontId="1" fillId="0" borderId="0" xfId="0" applyNumberFormat="1" applyFont="1"/>
    <xf numFmtId="0" fontId="4" fillId="18" borderId="0" xfId="0" applyFont="1" applyFill="1"/>
    <xf numFmtId="16" fontId="0" fillId="4" borderId="0" xfId="0" applyNumberFormat="1" applyFill="1"/>
    <xf numFmtId="16" fontId="3" fillId="0" borderId="0" xfId="0" applyNumberFormat="1" applyFont="1" applyBorder="1"/>
    <xf numFmtId="2" fontId="4" fillId="18" borderId="0" xfId="0" applyNumberFormat="1" applyFont="1" applyFill="1"/>
    <xf numFmtId="16" fontId="0" fillId="5" borderId="0" xfId="0" applyNumberFormat="1" applyFill="1" applyAlignment="1">
      <alignment vertical="center" wrapText="1"/>
    </xf>
    <xf numFmtId="16" fontId="0" fillId="5" borderId="0" xfId="0" applyNumberFormat="1" applyFill="1" applyAlignment="1">
      <alignment vertical="center"/>
    </xf>
    <xf numFmtId="0" fontId="3" fillId="5" borderId="9" xfId="0" applyFont="1" applyFill="1" applyBorder="1"/>
    <xf numFmtId="0" fontId="0" fillId="5" borderId="9" xfId="0" applyFill="1" applyBorder="1"/>
    <xf numFmtId="0" fontId="4" fillId="5" borderId="9" xfId="0" applyFont="1" applyFill="1" applyBorder="1"/>
    <xf numFmtId="2" fontId="4" fillId="5" borderId="9" xfId="0" applyNumberFormat="1" applyFont="1" applyFill="1" applyBorder="1"/>
    <xf numFmtId="2" fontId="14" fillId="2" borderId="0" xfId="0" applyNumberFormat="1" applyFont="1" applyFill="1"/>
    <xf numFmtId="0" fontId="3" fillId="2" borderId="9" xfId="0" applyFont="1" applyFill="1" applyBorder="1"/>
    <xf numFmtId="0" fontId="0" fillId="2" borderId="9" xfId="0" applyFill="1" applyBorder="1"/>
    <xf numFmtId="0" fontId="4" fillId="2" borderId="9" xfId="0" applyFont="1" applyFill="1" applyBorder="1"/>
    <xf numFmtId="2" fontId="4" fillId="2" borderId="9" xfId="0" applyNumberFormat="1" applyFont="1" applyFill="1" applyBorder="1"/>
    <xf numFmtId="14" fontId="7" fillId="15" borderId="0" xfId="0" applyNumberFormat="1" applyFont="1" applyFill="1" applyAlignment="1">
      <alignment horizontal="center" vertical="center"/>
    </xf>
    <xf numFmtId="0" fontId="3" fillId="9" borderId="0" xfId="0" applyFont="1" applyFill="1"/>
    <xf numFmtId="2" fontId="3" fillId="9" borderId="0" xfId="0" applyNumberFormat="1" applyFont="1" applyFill="1"/>
    <xf numFmtId="0" fontId="1" fillId="9" borderId="0" xfId="0" applyFont="1" applyFill="1"/>
    <xf numFmtId="16" fontId="0" fillId="9" borderId="0" xfId="0" applyNumberFormat="1" applyFill="1"/>
    <xf numFmtId="0" fontId="0" fillId="9" borderId="0" xfId="0" applyFill="1"/>
    <xf numFmtId="2" fontId="0" fillId="9" borderId="0" xfId="0" applyNumberFormat="1" applyFill="1"/>
    <xf numFmtId="1" fontId="0" fillId="9" borderId="0" xfId="0" applyNumberFormat="1" applyFill="1"/>
    <xf numFmtId="0" fontId="5" fillId="9" borderId="0" xfId="1" applyFill="1"/>
    <xf numFmtId="0" fontId="3" fillId="9" borderId="9" xfId="0" applyFont="1" applyFill="1" applyBorder="1"/>
    <xf numFmtId="0" fontId="0" fillId="9" borderId="9" xfId="0" applyFill="1" applyBorder="1"/>
    <xf numFmtId="0" fontId="4" fillId="9" borderId="9" xfId="0" applyFont="1" applyFill="1" applyBorder="1"/>
    <xf numFmtId="2" fontId="4" fillId="9" borderId="9" xfId="0" applyNumberFormat="1" applyFont="1" applyFill="1" applyBorder="1"/>
    <xf numFmtId="0" fontId="0" fillId="18" borderId="0" xfId="0" applyFill="1"/>
    <xf numFmtId="171" fontId="0" fillId="0" borderId="0" xfId="0" applyNumberFormat="1"/>
    <xf numFmtId="2" fontId="0" fillId="18" borderId="0" xfId="0" applyNumberFormat="1" applyFill="1"/>
    <xf numFmtId="171" fontId="0" fillId="2" borderId="0" xfId="0" applyNumberFormat="1" applyFill="1" applyAlignment="1">
      <alignment wrapText="1"/>
    </xf>
    <xf numFmtId="2" fontId="3" fillId="5" borderId="1" xfId="0" applyNumberFormat="1" applyFont="1" applyFill="1" applyBorder="1"/>
    <xf numFmtId="0" fontId="0" fillId="0" borderId="0" xfId="0" applyFont="1" applyFill="1" applyAlignment="1">
      <alignment horizontal="right"/>
    </xf>
    <xf numFmtId="3" fontId="0" fillId="0" borderId="0" xfId="0" applyNumberFormat="1" applyFont="1" applyFill="1" applyAlignment="1">
      <alignment horizontal="right"/>
    </xf>
    <xf numFmtId="16" fontId="0" fillId="4" borderId="0" xfId="0" applyNumberFormat="1" applyFill="1" applyAlignment="1">
      <alignment vertical="center"/>
    </xf>
    <xf numFmtId="16" fontId="0" fillId="19" borderId="0" xfId="0" applyNumberFormat="1" applyFill="1"/>
    <xf numFmtId="0" fontId="0" fillId="0" borderId="0" xfId="0" applyAlignment="1">
      <alignment wrapText="1"/>
    </xf>
    <xf numFmtId="14" fontId="0" fillId="4" borderId="0" xfId="0" applyNumberFormat="1" applyFill="1"/>
    <xf numFmtId="14" fontId="0" fillId="0" borderId="0" xfId="0" applyNumberFormat="1" applyFill="1"/>
    <xf numFmtId="14" fontId="0" fillId="5" borderId="1" xfId="0" applyNumberFormat="1" applyFill="1" applyBorder="1"/>
    <xf numFmtId="14" fontId="0" fillId="3" borderId="9" xfId="0" applyNumberFormat="1" applyFill="1" applyBorder="1"/>
    <xf numFmtId="14" fontId="19" fillId="7" borderId="0" xfId="0" applyNumberFormat="1" applyFont="1" applyFill="1"/>
    <xf numFmtId="172" fontId="0" fillId="0" borderId="0" xfId="0" applyNumberFormat="1"/>
    <xf numFmtId="0" fontId="0" fillId="0" borderId="0" xfId="0" applyAlignment="1">
      <alignment horizontal="left" vertical="center" indent="1"/>
    </xf>
    <xf numFmtId="0" fontId="0" fillId="0" borderId="0" xfId="0" applyAlignment="1">
      <alignment horizontal="left" vertical="center" indent="2"/>
    </xf>
    <xf numFmtId="0" fontId="19" fillId="2" borderId="0" xfId="0" applyFont="1" applyFill="1"/>
    <xf numFmtId="2" fontId="19" fillId="2" borderId="0" xfId="0" applyNumberFormat="1" applyFont="1" applyFill="1"/>
    <xf numFmtId="2" fontId="19" fillId="2" borderId="0" xfId="0" applyNumberFormat="1" applyFont="1" applyFill="1" applyAlignment="1">
      <alignment horizontal="center"/>
    </xf>
    <xf numFmtId="2" fontId="19" fillId="2" borderId="0" xfId="0" applyNumberFormat="1" applyFont="1" applyFill="1" applyAlignment="1">
      <alignment horizontal="right"/>
    </xf>
    <xf numFmtId="0" fontId="19" fillId="2" borderId="0" xfId="0" applyFont="1" applyFill="1" applyAlignment="1">
      <alignment horizontal="right"/>
    </xf>
    <xf numFmtId="2" fontId="0" fillId="2" borderId="0" xfId="0" applyNumberFormat="1" applyFill="1" applyAlignment="1">
      <alignment horizontal="right"/>
    </xf>
    <xf numFmtId="0" fontId="0" fillId="0" borderId="0" xfId="0" applyAlignment="1">
      <alignment horizontal="right" wrapText="1"/>
    </xf>
    <xf numFmtId="2" fontId="0" fillId="0" borderId="0" xfId="0" applyNumberFormat="1" applyAlignment="1">
      <alignment wrapText="1"/>
    </xf>
    <xf numFmtId="168" fontId="0" fillId="0" borderId="0" xfId="0" applyNumberFormat="1" applyAlignment="1">
      <alignment wrapText="1"/>
    </xf>
    <xf numFmtId="171" fontId="0" fillId="0" borderId="0" xfId="0" applyNumberFormat="1" applyAlignment="1">
      <alignment wrapText="1"/>
    </xf>
    <xf numFmtId="10" fontId="0" fillId="0" borderId="0" xfId="3" applyNumberFormat="1" applyFont="1" applyAlignment="1">
      <alignment wrapText="1"/>
    </xf>
    <xf numFmtId="10" fontId="0" fillId="0" borderId="0" xfId="0" applyNumberFormat="1" applyAlignment="1">
      <alignment wrapText="1"/>
    </xf>
    <xf numFmtId="16" fontId="0" fillId="21" borderId="0" xfId="0" applyNumberFormat="1" applyFill="1"/>
    <xf numFmtId="0" fontId="0" fillId="21" borderId="0" xfId="0" applyFill="1"/>
    <xf numFmtId="166" fontId="0" fillId="21" borderId="0" xfId="0" applyNumberFormat="1" applyFill="1"/>
    <xf numFmtId="2" fontId="0" fillId="21" borderId="0" xfId="0" applyNumberFormat="1" applyFill="1"/>
    <xf numFmtId="10" fontId="0" fillId="21" borderId="0" xfId="0" applyNumberFormat="1" applyFill="1" applyAlignment="1">
      <alignment horizontal="right"/>
    </xf>
    <xf numFmtId="0" fontId="14" fillId="5" borderId="0" xfId="0" applyFont="1" applyFill="1"/>
    <xf numFmtId="166" fontId="0" fillId="5" borderId="0" xfId="0" applyNumberFormat="1" applyFill="1"/>
    <xf numFmtId="16" fontId="19" fillId="7" borderId="0" xfId="0" applyNumberFormat="1" applyFont="1" applyFill="1"/>
    <xf numFmtId="10" fontId="19" fillId="7" borderId="0" xfId="0" applyNumberFormat="1" applyFont="1" applyFill="1"/>
    <xf numFmtId="0" fontId="7" fillId="15" borderId="0" xfId="0" applyFont="1" applyFill="1" applyAlignment="1">
      <alignment horizontal="right" vertical="center"/>
    </xf>
    <xf numFmtId="2" fontId="7" fillId="0" borderId="0" xfId="0" applyNumberFormat="1" applyFont="1" applyFill="1" applyAlignment="1">
      <alignment vertical="center"/>
    </xf>
    <xf numFmtId="2" fontId="0" fillId="3" borderId="0" xfId="0" applyNumberFormat="1" applyFill="1" applyAlignment="1">
      <alignment horizontal="right"/>
    </xf>
    <xf numFmtId="2" fontId="0" fillId="11" borderId="0" xfId="0" applyNumberFormat="1" applyFill="1" applyAlignment="1">
      <alignment horizontal="right"/>
    </xf>
    <xf numFmtId="0" fontId="0" fillId="0" borderId="5" xfId="0" applyBorder="1"/>
    <xf numFmtId="0" fontId="3" fillId="21" borderId="0" xfId="0" applyFont="1" applyFill="1"/>
    <xf numFmtId="2" fontId="3" fillId="21" borderId="0" xfId="0" applyNumberFormat="1" applyFont="1" applyFill="1"/>
    <xf numFmtId="0" fontId="1" fillId="21" borderId="0" xfId="0" applyFont="1" applyFill="1"/>
    <xf numFmtId="1" fontId="0" fillId="21" borderId="0" xfId="0" applyNumberFormat="1" applyFill="1"/>
    <xf numFmtId="0" fontId="5" fillId="21" borderId="0" xfId="1" applyFill="1"/>
    <xf numFmtId="0" fontId="3" fillId="21" borderId="1" xfId="0" applyFont="1" applyFill="1" applyBorder="1"/>
    <xf numFmtId="0" fontId="0" fillId="21" borderId="1" xfId="0" applyFill="1" applyBorder="1"/>
    <xf numFmtId="2" fontId="0" fillId="21" borderId="1" xfId="0" applyNumberFormat="1" applyFill="1" applyBorder="1"/>
    <xf numFmtId="0" fontId="3" fillId="21" borderId="9" xfId="0" applyFont="1" applyFill="1" applyBorder="1"/>
    <xf numFmtId="0" fontId="0" fillId="21" borderId="9" xfId="0" applyFill="1" applyBorder="1"/>
    <xf numFmtId="0" fontId="4" fillId="21" borderId="9" xfId="0" applyFont="1" applyFill="1" applyBorder="1"/>
    <xf numFmtId="2" fontId="4" fillId="21" borderId="9" xfId="0" applyNumberFormat="1" applyFont="1" applyFill="1" applyBorder="1"/>
    <xf numFmtId="16" fontId="0" fillId="22" borderId="0" xfId="0" applyNumberFormat="1" applyFill="1"/>
    <xf numFmtId="0" fontId="3" fillId="22" borderId="0" xfId="0" applyFont="1" applyFill="1"/>
    <xf numFmtId="2" fontId="3" fillId="22" borderId="0" xfId="0" applyNumberFormat="1" applyFont="1" applyFill="1"/>
    <xf numFmtId="0" fontId="1" fillId="22" borderId="0" xfId="0" applyFont="1" applyFill="1"/>
    <xf numFmtId="0" fontId="0" fillId="22" borderId="0" xfId="0" applyFill="1"/>
    <xf numFmtId="2" fontId="0" fillId="22" borderId="0" xfId="0" applyNumberFormat="1" applyFill="1"/>
    <xf numFmtId="1" fontId="0" fillId="22" borderId="0" xfId="0" applyNumberFormat="1" applyFill="1"/>
    <xf numFmtId="0" fontId="5" fillId="22" borderId="0" xfId="1" applyFill="1"/>
    <xf numFmtId="0" fontId="3" fillId="22" borderId="1" xfId="0" applyFont="1" applyFill="1" applyBorder="1"/>
    <xf numFmtId="0" fontId="0" fillId="22" borderId="1" xfId="0" applyFill="1" applyBorder="1"/>
    <xf numFmtId="2" fontId="0" fillId="22" borderId="1" xfId="0" applyNumberFormat="1" applyFill="1" applyBorder="1"/>
    <xf numFmtId="1" fontId="0" fillId="22" borderId="1" xfId="0" applyNumberFormat="1" applyFill="1" applyBorder="1"/>
    <xf numFmtId="0" fontId="3" fillId="22" borderId="9" xfId="0" applyFont="1" applyFill="1" applyBorder="1"/>
    <xf numFmtId="0" fontId="0" fillId="22" borderId="9" xfId="0" applyFill="1" applyBorder="1"/>
    <xf numFmtId="0" fontId="4" fillId="22" borderId="9" xfId="0" applyFont="1" applyFill="1" applyBorder="1"/>
    <xf numFmtId="2" fontId="4" fillId="22" borderId="9" xfId="0" applyNumberFormat="1" applyFont="1" applyFill="1" applyBorder="1"/>
    <xf numFmtId="1" fontId="0" fillId="21" borderId="1" xfId="0" applyNumberFormat="1" applyFill="1" applyBorder="1"/>
    <xf numFmtId="10" fontId="0" fillId="21" borderId="0" xfId="0" applyNumberFormat="1" applyFill="1"/>
    <xf numFmtId="0" fontId="0" fillId="7" borderId="5" xfId="0" applyFont="1" applyFill="1" applyBorder="1" applyAlignment="1">
      <alignment horizontal="right"/>
    </xf>
    <xf numFmtId="1" fontId="0" fillId="9" borderId="1" xfId="0" applyNumberFormat="1" applyFill="1" applyBorder="1"/>
    <xf numFmtId="14" fontId="0" fillId="21" borderId="0" xfId="0" applyNumberFormat="1" applyFill="1"/>
    <xf numFmtId="14" fontId="3" fillId="5" borderId="0" xfId="0" applyNumberFormat="1" applyFont="1" applyFill="1"/>
    <xf numFmtId="14" fontId="0" fillId="5" borderId="0" xfId="0" applyNumberFormat="1" applyFill="1"/>
    <xf numFmtId="14" fontId="0" fillId="5" borderId="9" xfId="0" applyNumberFormat="1" applyFill="1" applyBorder="1"/>
    <xf numFmtId="2" fontId="14" fillId="5" borderId="0" xfId="0" applyNumberFormat="1" applyFont="1" applyFill="1"/>
    <xf numFmtId="2" fontId="14" fillId="5" borderId="0" xfId="0" quotePrefix="1" applyNumberFormat="1" applyFont="1" applyFill="1" applyAlignment="1">
      <alignment horizontal="right"/>
    </xf>
    <xf numFmtId="173" fontId="4" fillId="3" borderId="9" xfId="0" applyNumberFormat="1" applyFont="1" applyFill="1" applyBorder="1"/>
    <xf numFmtId="0" fontId="0" fillId="23" borderId="0" xfId="0" applyFill="1"/>
    <xf numFmtId="2" fontId="0" fillId="0" borderId="0" xfId="0" applyNumberFormat="1" applyFill="1" applyAlignment="1">
      <alignment horizontal="right"/>
    </xf>
    <xf numFmtId="2" fontId="3" fillId="0" borderId="0" xfId="0" applyNumberFormat="1" applyFont="1" applyFill="1"/>
    <xf numFmtId="0" fontId="1" fillId="0" borderId="0" xfId="0" applyFont="1" applyFill="1"/>
    <xf numFmtId="0" fontId="5" fillId="0" borderId="0" xfId="1" applyFill="1"/>
    <xf numFmtId="0" fontId="15" fillId="7" borderId="4" xfId="2" applyFill="1" applyAlignment="1">
      <alignment horizontal="center"/>
    </xf>
    <xf numFmtId="173" fontId="4" fillId="2" borderId="9" xfId="0" applyNumberFormat="1" applyFont="1" applyFill="1" applyBorder="1"/>
    <xf numFmtId="14" fontId="0" fillId="24" borderId="0" xfId="0" applyNumberFormat="1" applyFill="1"/>
    <xf numFmtId="0" fontId="0" fillId="24" borderId="0" xfId="0" applyFill="1"/>
    <xf numFmtId="2" fontId="0" fillId="24" borderId="0" xfId="0" applyNumberFormat="1" applyFill="1"/>
    <xf numFmtId="1" fontId="0" fillId="24" borderId="0" xfId="0" applyNumberFormat="1" applyFill="1"/>
    <xf numFmtId="16" fontId="0" fillId="24" borderId="0" xfId="0" applyNumberFormat="1" applyFill="1"/>
    <xf numFmtId="16" fontId="5" fillId="0" borderId="0" xfId="1" applyNumberFormat="1"/>
    <xf numFmtId="10" fontId="0" fillId="22" borderId="0" xfId="0" applyNumberFormat="1" applyFill="1"/>
    <xf numFmtId="17" fontId="0" fillId="7" borderId="0" xfId="0" applyNumberFormat="1" applyFill="1"/>
    <xf numFmtId="16" fontId="4" fillId="4" borderId="0" xfId="0" applyNumberFormat="1" applyFont="1" applyFill="1"/>
    <xf numFmtId="166" fontId="0" fillId="22" borderId="0" xfId="0" applyNumberFormat="1" applyFill="1"/>
    <xf numFmtId="10" fontId="0" fillId="22" borderId="0" xfId="0" applyNumberFormat="1" applyFill="1" applyAlignment="1">
      <alignment horizontal="right"/>
    </xf>
    <xf numFmtId="2" fontId="18" fillId="22" borderId="0" xfId="0" applyNumberFormat="1" applyFont="1" applyFill="1"/>
    <xf numFmtId="0" fontId="4" fillId="22" borderId="0" xfId="0" applyFont="1" applyFill="1"/>
    <xf numFmtId="166" fontId="4" fillId="22" borderId="0" xfId="0" applyNumberFormat="1" applyFont="1" applyFill="1"/>
    <xf numFmtId="2" fontId="0" fillId="22" borderId="0" xfId="0" applyNumberFormat="1" applyFill="1" applyAlignment="1">
      <alignment horizontal="right"/>
    </xf>
    <xf numFmtId="166" fontId="0" fillId="23" borderId="0" xfId="0" applyNumberFormat="1" applyFill="1"/>
    <xf numFmtId="168" fontId="0" fillId="7" borderId="0" xfId="0" applyNumberFormat="1" applyFill="1"/>
    <xf numFmtId="16" fontId="0" fillId="25" borderId="0" xfId="0" applyNumberFormat="1" applyFill="1"/>
    <xf numFmtId="0" fontId="0" fillId="25" borderId="0" xfId="0" applyFill="1"/>
    <xf numFmtId="2" fontId="0" fillId="25" borderId="0" xfId="0" applyNumberFormat="1" applyFill="1"/>
    <xf numFmtId="1" fontId="0" fillId="25" borderId="0" xfId="0" applyNumberFormat="1" applyFill="1"/>
    <xf numFmtId="168" fontId="0" fillId="9" borderId="0" xfId="0" applyNumberFormat="1" applyFill="1"/>
    <xf numFmtId="10" fontId="0" fillId="9" borderId="0" xfId="0" applyNumberFormat="1" applyFill="1"/>
    <xf numFmtId="14" fontId="3" fillId="21" borderId="0" xfId="0" applyNumberFormat="1" applyFont="1" applyFill="1"/>
    <xf numFmtId="166" fontId="3" fillId="21" borderId="0" xfId="0" applyNumberFormat="1" applyFont="1" applyFill="1"/>
    <xf numFmtId="1" fontId="3" fillId="21" borderId="0" xfId="0" applyNumberFormat="1" applyFont="1" applyFill="1"/>
    <xf numFmtId="1" fontId="4" fillId="21" borderId="0" xfId="0" applyNumberFormat="1" applyFont="1" applyFill="1"/>
    <xf numFmtId="166" fontId="4" fillId="21" borderId="0" xfId="0" applyNumberFormat="1" applyFont="1" applyFill="1"/>
    <xf numFmtId="2" fontId="4" fillId="21" borderId="0" xfId="0" applyNumberFormat="1" applyFont="1" applyFill="1"/>
    <xf numFmtId="16" fontId="22" fillId="21" borderId="0" xfId="0" applyNumberFormat="1" applyFont="1" applyFill="1"/>
    <xf numFmtId="0" fontId="4" fillId="21" borderId="0" xfId="0" applyFont="1" applyFill="1"/>
    <xf numFmtId="168" fontId="0" fillId="21" borderId="0" xfId="0" applyNumberFormat="1" applyFill="1"/>
    <xf numFmtId="14" fontId="22" fillId="21" borderId="0" xfId="0" applyNumberFormat="1" applyFont="1" applyFill="1"/>
    <xf numFmtId="14" fontId="0" fillId="21" borderId="0" xfId="0" applyNumberFormat="1" applyFill="1" applyAlignment="1">
      <alignment vertical="center"/>
    </xf>
    <xf numFmtId="0" fontId="0" fillId="21" borderId="0" xfId="0" applyFill="1" applyAlignment="1">
      <alignment wrapText="1"/>
    </xf>
    <xf numFmtId="0" fontId="0" fillId="21" borderId="0" xfId="0" applyFill="1" applyAlignment="1">
      <alignment horizontal="center" vertical="center" wrapText="1"/>
    </xf>
    <xf numFmtId="0" fontId="0" fillId="21" borderId="0" xfId="0" applyFill="1" applyAlignment="1">
      <alignment vertical="center" wrapText="1"/>
    </xf>
    <xf numFmtId="1" fontId="0" fillId="21" borderId="0" xfId="0" applyNumberFormat="1" applyFont="1" applyFill="1"/>
    <xf numFmtId="166" fontId="0" fillId="21" borderId="0" xfId="0" applyNumberFormat="1" applyFont="1" applyFill="1"/>
    <xf numFmtId="2" fontId="0" fillId="21" borderId="0" xfId="0" applyNumberFormat="1" applyFont="1" applyFill="1"/>
    <xf numFmtId="14" fontId="0" fillId="21" borderId="1" xfId="0" applyNumberFormat="1" applyFill="1" applyBorder="1"/>
    <xf numFmtId="166" fontId="0" fillId="21" borderId="1" xfId="0" applyNumberFormat="1" applyFill="1" applyBorder="1"/>
    <xf numFmtId="14" fontId="0" fillId="21" borderId="9" xfId="0" applyNumberFormat="1" applyFill="1" applyBorder="1"/>
    <xf numFmtId="0" fontId="0" fillId="0" borderId="0" xfId="0" applyAlignment="1"/>
    <xf numFmtId="14" fontId="0" fillId="21" borderId="0" xfId="0" applyNumberFormat="1" applyFill="1" applyAlignment="1">
      <alignment horizontal="right" vertical="center"/>
    </xf>
    <xf numFmtId="16" fontId="0" fillId="21" borderId="0" xfId="0" applyNumberFormat="1" applyFill="1" applyAlignment="1">
      <alignment horizontal="right" vertical="center"/>
    </xf>
    <xf numFmtId="16" fontId="0" fillId="21" borderId="0" xfId="0" applyNumberFormat="1" applyFill="1" applyAlignment="1">
      <alignment horizontal="center" vertical="center" wrapText="1"/>
    </xf>
    <xf numFmtId="16" fontId="0" fillId="21" borderId="0" xfId="0" applyNumberFormat="1" applyFill="1" applyAlignment="1">
      <alignment horizontal="right" vertical="center" wrapText="1"/>
    </xf>
    <xf numFmtId="14" fontId="0" fillId="21" borderId="0" xfId="0" applyNumberFormat="1" applyFill="1" applyAlignment="1">
      <alignment horizontal="right" vertical="center" wrapText="1"/>
    </xf>
    <xf numFmtId="14" fontId="0" fillId="21" borderId="3" xfId="0" applyNumberFormat="1" applyFill="1" applyBorder="1" applyAlignment="1">
      <alignment horizontal="right" vertical="center"/>
    </xf>
    <xf numFmtId="16" fontId="0" fillId="21" borderId="0" xfId="0" applyNumberFormat="1" applyFill="1" applyAlignment="1">
      <alignment horizontal="right" wrapText="1"/>
    </xf>
    <xf numFmtId="0" fontId="0" fillId="21" borderId="0" xfId="0" applyFill="1" applyAlignment="1">
      <alignment horizontal="right" vertical="center" wrapText="1"/>
    </xf>
    <xf numFmtId="16" fontId="0" fillId="21" borderId="0" xfId="0" applyNumberFormat="1" applyFill="1" applyAlignment="1">
      <alignment horizontal="center" wrapText="1"/>
    </xf>
    <xf numFmtId="2" fontId="0" fillId="21" borderId="0" xfId="0" applyNumberFormat="1" applyFill="1" applyAlignment="1">
      <alignment horizontal="center" vertical="center" wrapText="1"/>
    </xf>
    <xf numFmtId="14" fontId="19" fillId="2" borderId="0" xfId="0" applyNumberFormat="1" applyFont="1" applyFill="1"/>
    <xf numFmtId="166" fontId="19" fillId="2" borderId="0" xfId="0" applyNumberFormat="1" applyFont="1" applyFill="1"/>
    <xf numFmtId="14" fontId="0" fillId="2" borderId="0" xfId="0" applyNumberFormat="1" applyFill="1"/>
    <xf numFmtId="166" fontId="0" fillId="2" borderId="0" xfId="0" applyNumberFormat="1" applyFill="1" applyAlignment="1">
      <alignment horizontal="right"/>
    </xf>
    <xf numFmtId="166" fontId="4" fillId="2" borderId="0" xfId="0" applyNumberFormat="1" applyFont="1" applyFill="1" applyAlignment="1">
      <alignment horizontal="right"/>
    </xf>
    <xf numFmtId="2" fontId="0" fillId="23" borderId="0" xfId="0" applyNumberFormat="1" applyFill="1"/>
    <xf numFmtId="166" fontId="0" fillId="9" borderId="0" xfId="0" applyNumberFormat="1" applyFill="1"/>
    <xf numFmtId="14" fontId="3" fillId="2" borderId="0" xfId="0" applyNumberFormat="1" applyFont="1" applyFill="1"/>
    <xf numFmtId="14" fontId="0" fillId="2" borderId="1" xfId="0" applyNumberFormat="1" applyFill="1" applyBorder="1"/>
    <xf numFmtId="14" fontId="0" fillId="2" borderId="9" xfId="0" applyNumberFormat="1" applyFill="1" applyBorder="1"/>
    <xf numFmtId="2" fontId="0" fillId="26" borderId="0" xfId="0" applyNumberFormat="1" applyFill="1"/>
    <xf numFmtId="16" fontId="0" fillId="26" borderId="0" xfId="0" applyNumberFormat="1" applyFill="1"/>
    <xf numFmtId="0" fontId="0" fillId="26" borderId="0" xfId="0" applyFill="1"/>
    <xf numFmtId="168" fontId="0" fillId="26" borderId="0" xfId="0" applyNumberFormat="1" applyFill="1"/>
    <xf numFmtId="10" fontId="0" fillId="26" borderId="0" xfId="0" applyNumberFormat="1" applyFill="1"/>
    <xf numFmtId="2" fontId="14" fillId="26" borderId="0" xfId="0" applyNumberFormat="1" applyFont="1" applyFill="1"/>
    <xf numFmtId="0" fontId="0" fillId="12" borderId="0" xfId="0" applyFill="1"/>
    <xf numFmtId="16" fontId="0" fillId="12" borderId="0" xfId="0" applyNumberFormat="1" applyFill="1"/>
    <xf numFmtId="2" fontId="0" fillId="12" borderId="0" xfId="0" applyNumberFormat="1" applyFill="1"/>
    <xf numFmtId="10" fontId="0" fillId="12" borderId="0" xfId="0" applyNumberFormat="1" applyFill="1"/>
    <xf numFmtId="1" fontId="0" fillId="26" borderId="0" xfId="0" applyNumberFormat="1" applyFill="1"/>
    <xf numFmtId="14" fontId="0" fillId="22" borderId="0" xfId="0" applyNumberFormat="1" applyFill="1"/>
    <xf numFmtId="14" fontId="0" fillId="26" borderId="0" xfId="0" applyNumberFormat="1" applyFill="1"/>
    <xf numFmtId="166" fontId="0" fillId="17" borderId="0" xfId="0" applyNumberFormat="1" applyFill="1" applyAlignment="1">
      <alignment horizontal="right"/>
    </xf>
    <xf numFmtId="14" fontId="3" fillId="0" borderId="1" xfId="0" applyNumberFormat="1" applyFont="1" applyBorder="1"/>
    <xf numFmtId="166" fontId="0" fillId="12" borderId="0" xfId="0" applyNumberFormat="1" applyFill="1"/>
    <xf numFmtId="10" fontId="0" fillId="12" borderId="0" xfId="0" applyNumberFormat="1" applyFill="1" applyAlignment="1">
      <alignment horizontal="right"/>
    </xf>
    <xf numFmtId="2" fontId="19" fillId="7" borderId="0" xfId="0" applyNumberFormat="1" applyFont="1" applyFill="1" applyBorder="1" applyAlignment="1">
      <alignment horizontal="right"/>
    </xf>
    <xf numFmtId="10" fontId="0" fillId="9" borderId="0" xfId="0" applyNumberFormat="1" applyFill="1" applyAlignment="1">
      <alignment horizontal="right"/>
    </xf>
    <xf numFmtId="2" fontId="6" fillId="2" borderId="8" xfId="0" applyNumberFormat="1" applyFont="1" applyFill="1" applyBorder="1" applyAlignment="1">
      <alignment horizontal="right" vertical="center"/>
    </xf>
    <xf numFmtId="10" fontId="6" fillId="2" borderId="8" xfId="0" applyNumberFormat="1" applyFont="1" applyFill="1" applyBorder="1" applyAlignment="1">
      <alignment horizontal="right" vertical="center"/>
    </xf>
    <xf numFmtId="0" fontId="1" fillId="2" borderId="8" xfId="0" applyFont="1" applyFill="1" applyBorder="1"/>
    <xf numFmtId="16" fontId="0" fillId="2" borderId="8" xfId="0" applyNumberFormat="1" applyFill="1" applyBorder="1"/>
    <xf numFmtId="0" fontId="0" fillId="2" borderId="8" xfId="0" applyFill="1" applyBorder="1"/>
    <xf numFmtId="2" fontId="0" fillId="2" borderId="8" xfId="0" applyNumberFormat="1" applyFill="1" applyBorder="1"/>
    <xf numFmtId="1" fontId="0" fillId="2" borderId="8" xfId="0" applyNumberFormat="1" applyFill="1" applyBorder="1"/>
    <xf numFmtId="2" fontId="7" fillId="2" borderId="8" xfId="0" applyNumberFormat="1" applyFont="1" applyFill="1" applyBorder="1" applyAlignment="1">
      <alignment horizontal="right" vertical="center"/>
    </xf>
    <xf numFmtId="10" fontId="7" fillId="2" borderId="8" xfId="0" applyNumberFormat="1" applyFont="1" applyFill="1" applyBorder="1" applyAlignment="1">
      <alignment horizontal="right" vertical="center"/>
    </xf>
    <xf numFmtId="0" fontId="3" fillId="2" borderId="8" xfId="0" applyFont="1" applyFill="1" applyBorder="1"/>
    <xf numFmtId="2" fontId="3" fillId="2" borderId="8" xfId="0" applyNumberFormat="1" applyFont="1" applyFill="1" applyBorder="1"/>
    <xf numFmtId="10" fontId="3" fillId="2" borderId="1" xfId="3" applyNumberFormat="1" applyFont="1" applyFill="1" applyBorder="1"/>
    <xf numFmtId="0" fontId="15" fillId="7" borderId="4" xfId="2" applyFill="1" applyAlignment="1">
      <alignment horizontal="center"/>
    </xf>
    <xf numFmtId="0" fontId="19" fillId="24" borderId="0" xfId="0" applyFont="1" applyFill="1"/>
    <xf numFmtId="2" fontId="19" fillId="24" borderId="0" xfId="0" applyNumberFormat="1" applyFont="1" applyFill="1"/>
    <xf numFmtId="2" fontId="19" fillId="24" borderId="0" xfId="0" applyNumberFormat="1" applyFont="1" applyFill="1" applyAlignment="1">
      <alignment horizontal="center"/>
    </xf>
    <xf numFmtId="0" fontId="19" fillId="24" borderId="0" xfId="0" applyFont="1" applyFill="1" applyAlignment="1">
      <alignment horizontal="right"/>
    </xf>
    <xf numFmtId="10" fontId="0" fillId="24" borderId="0" xfId="0" applyNumberFormat="1" applyFill="1"/>
    <xf numFmtId="0" fontId="15" fillId="7" borderId="4" xfId="2" applyFill="1" applyAlignment="1">
      <alignment horizontal="center"/>
    </xf>
    <xf numFmtId="16" fontId="0" fillId="5" borderId="0" xfId="0" applyNumberFormat="1" applyFill="1" applyAlignment="1">
      <alignment horizontal="right" vertical="center"/>
    </xf>
    <xf numFmtId="16" fontId="0" fillId="5" borderId="0" xfId="0" applyNumberFormat="1" applyFill="1" applyAlignment="1">
      <alignment horizontal="center" vertical="center" wrapText="1"/>
    </xf>
    <xf numFmtId="14" fontId="0" fillId="5" borderId="0" xfId="0" applyNumberFormat="1" applyFill="1" applyAlignment="1">
      <alignment horizontal="right" vertical="center"/>
    </xf>
    <xf numFmtId="0" fontId="0" fillId="5" borderId="0" xfId="0" applyFill="1" applyAlignment="1">
      <alignment horizontal="center" vertical="center" wrapText="1"/>
    </xf>
    <xf numFmtId="0" fontId="0" fillId="5" borderId="0" xfId="0" applyFill="1" applyAlignment="1">
      <alignment horizontal="center" wrapText="1"/>
    </xf>
    <xf numFmtId="0" fontId="15" fillId="7" borderId="4" xfId="2" applyFill="1" applyAlignment="1">
      <alignment horizontal="center"/>
    </xf>
    <xf numFmtId="0" fontId="0" fillId="27" borderId="0" xfId="0" applyFill="1"/>
    <xf numFmtId="10" fontId="0" fillId="27" borderId="0" xfId="3" applyNumberFormat="1" applyFont="1" applyFill="1"/>
    <xf numFmtId="166" fontId="0" fillId="27" borderId="0" xfId="0" applyNumberFormat="1" applyFill="1"/>
    <xf numFmtId="0" fontId="0" fillId="28" borderId="0" xfId="0" applyFill="1"/>
    <xf numFmtId="0" fontId="3" fillId="27" borderId="0" xfId="0" applyFont="1" applyFill="1"/>
    <xf numFmtId="10" fontId="3" fillId="27" borderId="0" xfId="3" applyNumberFormat="1" applyFont="1" applyFill="1"/>
    <xf numFmtId="0" fontId="3" fillId="29" borderId="0" xfId="0" applyFont="1" applyFill="1"/>
    <xf numFmtId="174" fontId="0" fillId="29" borderId="0" xfId="0" applyNumberFormat="1" applyFill="1"/>
    <xf numFmtId="0" fontId="0" fillId="29" borderId="0" xfId="0" applyFill="1"/>
    <xf numFmtId="174" fontId="14" fillId="29" borderId="0" xfId="0" applyNumberFormat="1" applyFont="1" applyFill="1"/>
    <xf numFmtId="4" fontId="0" fillId="3" borderId="0" xfId="0" applyNumberFormat="1" applyFill="1"/>
    <xf numFmtId="0" fontId="28" fillId="0" borderId="0" xfId="0" applyFont="1" applyAlignment="1">
      <alignment horizontal="left" vertical="center" indent="1"/>
    </xf>
    <xf numFmtId="0" fontId="3" fillId="24" borderId="0" xfId="0" applyFont="1" applyFill="1"/>
    <xf numFmtId="2" fontId="3" fillId="24" borderId="0" xfId="0" applyNumberFormat="1" applyFont="1" applyFill="1"/>
    <xf numFmtId="0" fontId="1" fillId="24" borderId="0" xfId="0" applyFont="1" applyFill="1"/>
    <xf numFmtId="0" fontId="5" fillId="24" borderId="0" xfId="1" applyFill="1"/>
    <xf numFmtId="0" fontId="3" fillId="24" borderId="1" xfId="0" applyFont="1" applyFill="1" applyBorder="1"/>
    <xf numFmtId="0" fontId="0" fillId="24" borderId="1" xfId="0" applyFill="1" applyBorder="1"/>
    <xf numFmtId="2" fontId="0" fillId="24" borderId="1" xfId="0" applyNumberFormat="1" applyFill="1" applyBorder="1"/>
    <xf numFmtId="1" fontId="0" fillId="24" borderId="1" xfId="0" applyNumberFormat="1" applyFill="1" applyBorder="1"/>
    <xf numFmtId="0" fontId="3" fillId="24" borderId="9" xfId="0" applyFont="1" applyFill="1" applyBorder="1"/>
    <xf numFmtId="0" fontId="4" fillId="24" borderId="9" xfId="0" applyFont="1" applyFill="1" applyBorder="1"/>
    <xf numFmtId="2" fontId="4" fillId="24" borderId="9" xfId="0" applyNumberFormat="1" applyFont="1" applyFill="1" applyBorder="1"/>
    <xf numFmtId="16" fontId="14" fillId="2" borderId="0" xfId="0" applyNumberFormat="1" applyFont="1" applyFill="1"/>
    <xf numFmtId="0" fontId="0" fillId="2" borderId="0" xfId="0" applyFill="1" applyBorder="1"/>
    <xf numFmtId="2" fontId="0" fillId="2" borderId="0" xfId="0" applyNumberFormat="1" applyFill="1" applyBorder="1"/>
    <xf numFmtId="2" fontId="19" fillId="2" borderId="0" xfId="0" applyNumberFormat="1" applyFont="1" applyFill="1" applyBorder="1" applyAlignment="1">
      <alignment horizontal="right"/>
    </xf>
    <xf numFmtId="0" fontId="0" fillId="2" borderId="0" xfId="0" applyNumberFormat="1" applyFill="1"/>
    <xf numFmtId="0" fontId="0" fillId="2" borderId="0" xfId="0" applyNumberFormat="1" applyFill="1" applyAlignment="1">
      <alignment horizontal="right"/>
    </xf>
    <xf numFmtId="0" fontId="4" fillId="2" borderId="0" xfId="0" applyNumberFormat="1" applyFont="1" applyFill="1" applyAlignment="1">
      <alignment horizontal="right"/>
    </xf>
    <xf numFmtId="10" fontId="0" fillId="2" borderId="0" xfId="3" applyNumberFormat="1" applyFont="1" applyFill="1"/>
    <xf numFmtId="14" fontId="3" fillId="24" borderId="0" xfId="0" applyNumberFormat="1" applyFont="1" applyFill="1"/>
    <xf numFmtId="14" fontId="0" fillId="24" borderId="1" xfId="0" applyNumberFormat="1" applyFill="1" applyBorder="1"/>
    <xf numFmtId="14" fontId="0" fillId="24" borderId="9" xfId="0" applyNumberFormat="1" applyFill="1" applyBorder="1"/>
    <xf numFmtId="0" fontId="3" fillId="28" borderId="0" xfId="0" applyFont="1" applyFill="1"/>
    <xf numFmtId="0" fontId="26" fillId="28" borderId="0" xfId="0" applyFont="1" applyFill="1"/>
    <xf numFmtId="16" fontId="3" fillId="28" borderId="0" xfId="0" applyNumberFormat="1" applyFont="1" applyFill="1"/>
    <xf numFmtId="16" fontId="4" fillId="28" borderId="0" xfId="0" applyNumberFormat="1" applyFont="1" applyFill="1" applyAlignment="1">
      <alignment horizontal="right"/>
    </xf>
    <xf numFmtId="0" fontId="4" fillId="28" borderId="0" xfId="0" applyFont="1" applyFill="1" applyAlignment="1">
      <alignment horizontal="right"/>
    </xf>
    <xf numFmtId="0" fontId="0" fillId="28" borderId="0" xfId="0" applyFill="1" applyAlignment="1">
      <alignment horizontal="right"/>
    </xf>
    <xf numFmtId="0" fontId="3" fillId="28" borderId="0" xfId="0" applyFont="1" applyFill="1" applyAlignment="1">
      <alignment horizontal="left"/>
    </xf>
    <xf numFmtId="2" fontId="0" fillId="28" borderId="0" xfId="0" applyNumberFormat="1" applyFill="1"/>
    <xf numFmtId="2" fontId="3" fillId="28" borderId="0" xfId="0" applyNumberFormat="1" applyFont="1" applyFill="1"/>
    <xf numFmtId="2" fontId="4" fillId="28" borderId="0" xfId="0" applyNumberFormat="1" applyFont="1" applyFill="1" applyAlignment="1">
      <alignment horizontal="right"/>
    </xf>
    <xf numFmtId="2" fontId="0" fillId="28" borderId="0" xfId="0" applyNumberFormat="1" applyFill="1" applyAlignment="1">
      <alignment horizontal="right"/>
    </xf>
    <xf numFmtId="0" fontId="3" fillId="28" borderId="0" xfId="0" applyFont="1" applyFill="1" applyAlignment="1">
      <alignment horizontal="right"/>
    </xf>
    <xf numFmtId="9" fontId="0" fillId="28" borderId="0" xfId="3" applyFont="1" applyFill="1"/>
    <xf numFmtId="9" fontId="0" fillId="28" borderId="0" xfId="3" applyNumberFormat="1" applyFont="1" applyFill="1"/>
    <xf numFmtId="9" fontId="4" fillId="28" borderId="0" xfId="3" applyFont="1" applyFill="1" applyAlignment="1">
      <alignment horizontal="right"/>
    </xf>
    <xf numFmtId="16" fontId="0" fillId="28" borderId="0" xfId="0" applyNumberFormat="1" applyFont="1" applyFill="1" applyAlignment="1">
      <alignment horizontal="right"/>
    </xf>
    <xf numFmtId="16" fontId="0" fillId="12" borderId="0" xfId="0" applyNumberFormat="1" applyFill="1" applyAlignment="1">
      <alignment vertical="center" wrapText="1"/>
    </xf>
    <xf numFmtId="1" fontId="0" fillId="12" borderId="0" xfId="0" applyNumberFormat="1" applyFill="1"/>
    <xf numFmtId="0" fontId="0" fillId="24" borderId="9" xfId="0" applyFill="1" applyBorder="1"/>
    <xf numFmtId="1" fontId="4" fillId="3" borderId="0" xfId="0" applyNumberFormat="1" applyFont="1" applyFill="1"/>
    <xf numFmtId="2" fontId="0" fillId="7" borderId="0" xfId="3" applyNumberFormat="1" applyFont="1" applyFill="1"/>
    <xf numFmtId="2" fontId="0" fillId="29" borderId="0" xfId="0" applyNumberFormat="1" applyFill="1"/>
    <xf numFmtId="9" fontId="0" fillId="29" borderId="0" xfId="3" applyFont="1" applyFill="1"/>
    <xf numFmtId="14" fontId="0" fillId="28" borderId="0" xfId="0" applyNumberFormat="1" applyFill="1"/>
    <xf numFmtId="0" fontId="3" fillId="28" borderId="0" xfId="0" applyFont="1" applyFill="1" applyAlignment="1">
      <alignment horizontal="center"/>
    </xf>
    <xf numFmtId="9" fontId="0" fillId="28" borderId="0" xfId="3" applyFont="1" applyFill="1" applyAlignment="1">
      <alignment horizontal="right"/>
    </xf>
    <xf numFmtId="0" fontId="5" fillId="13" borderId="8" xfId="1" applyFill="1" applyBorder="1" applyAlignment="1">
      <alignment vertical="center"/>
    </xf>
    <xf numFmtId="14" fontId="0" fillId="19" borderId="0" xfId="0" applyNumberFormat="1" applyFill="1"/>
    <xf numFmtId="10" fontId="0" fillId="0" borderId="0" xfId="0" applyNumberFormat="1"/>
    <xf numFmtId="0" fontId="0" fillId="0" borderId="0" xfId="0" applyAlignment="1">
      <alignment horizontal="left"/>
    </xf>
    <xf numFmtId="0" fontId="0" fillId="0" borderId="0" xfId="0" applyAlignment="1">
      <alignment vertical="center" wrapText="1"/>
    </xf>
    <xf numFmtId="0" fontId="0" fillId="0" borderId="0" xfId="0" applyAlignment="1">
      <alignment vertical="center"/>
    </xf>
    <xf numFmtId="0" fontId="3" fillId="0" borderId="0" xfId="0" applyFont="1" applyAlignment="1">
      <alignment horizontal="center" vertical="center" wrapText="1"/>
    </xf>
    <xf numFmtId="2" fontId="0" fillId="0" borderId="0" xfId="0" applyNumberFormat="1" applyAlignment="1">
      <alignment horizontal="right" vertical="center" wrapText="1"/>
    </xf>
    <xf numFmtId="10" fontId="0" fillId="0" borderId="0" xfId="3" applyNumberFormat="1" applyFont="1" applyAlignment="1">
      <alignment horizontal="right"/>
    </xf>
    <xf numFmtId="0" fontId="0" fillId="7" borderId="0" xfId="0" applyFill="1" applyBorder="1" applyAlignment="1">
      <alignment horizontal="left"/>
    </xf>
    <xf numFmtId="2" fontId="0" fillId="3" borderId="0" xfId="0" applyNumberFormat="1" applyFill="1" applyBorder="1"/>
    <xf numFmtId="2" fontId="4" fillId="3" borderId="0" xfId="0" applyNumberFormat="1" applyFont="1" applyFill="1" applyBorder="1"/>
    <xf numFmtId="2" fontId="0" fillId="29" borderId="0" xfId="0" applyNumberFormat="1" applyFill="1" applyAlignment="1">
      <alignment horizontal="right"/>
    </xf>
    <xf numFmtId="1" fontId="4" fillId="3" borderId="9" xfId="0" applyNumberFormat="1" applyFont="1" applyFill="1" applyBorder="1"/>
    <xf numFmtId="0" fontId="0" fillId="0" borderId="0" xfId="0" applyAlignment="1">
      <alignment horizontal="left" wrapText="1"/>
    </xf>
    <xf numFmtId="2" fontId="0" fillId="0" borderId="0" xfId="0" applyNumberFormat="1" applyFont="1" applyFill="1"/>
    <xf numFmtId="16" fontId="0" fillId="0" borderId="0" xfId="0" applyNumberFormat="1" applyFont="1" applyFill="1"/>
    <xf numFmtId="0" fontId="19" fillId="30" borderId="0" xfId="0" applyFont="1" applyFill="1"/>
    <xf numFmtId="2" fontId="19" fillId="30" borderId="0" xfId="0" applyNumberFormat="1" applyFont="1" applyFill="1"/>
    <xf numFmtId="2" fontId="19" fillId="30" borderId="0" xfId="0" applyNumberFormat="1" applyFont="1" applyFill="1" applyAlignment="1">
      <alignment horizontal="center"/>
    </xf>
    <xf numFmtId="2" fontId="19" fillId="30" borderId="0" xfId="0" applyNumberFormat="1" applyFont="1" applyFill="1" applyAlignment="1">
      <alignment horizontal="right"/>
    </xf>
    <xf numFmtId="0" fontId="19" fillId="30" borderId="0" xfId="0" applyFont="1" applyFill="1" applyAlignment="1">
      <alignment horizontal="right"/>
    </xf>
    <xf numFmtId="0" fontId="0" fillId="30" borderId="0" xfId="0" applyFill="1"/>
    <xf numFmtId="16" fontId="0" fillId="30" borderId="0" xfId="0" applyNumberFormat="1" applyFill="1"/>
    <xf numFmtId="2" fontId="0" fillId="30" borderId="0" xfId="0" applyNumberFormat="1" applyFill="1"/>
    <xf numFmtId="10" fontId="0" fillId="30" borderId="0" xfId="0" applyNumberFormat="1" applyFill="1"/>
    <xf numFmtId="10" fontId="0" fillId="30" borderId="0" xfId="0" applyNumberFormat="1" applyFill="1" applyAlignment="1">
      <alignment horizontal="right"/>
    </xf>
    <xf numFmtId="2" fontId="0" fillId="30" borderId="0" xfId="0" applyNumberFormat="1" applyFill="1" applyAlignment="1">
      <alignment horizontal="right"/>
    </xf>
    <xf numFmtId="0" fontId="29" fillId="0" borderId="0" xfId="0" applyFont="1" applyAlignment="1">
      <alignment vertical="center"/>
    </xf>
    <xf numFmtId="2" fontId="0" fillId="0" borderId="0" xfId="0" applyNumberFormat="1" applyAlignment="1">
      <alignment vertical="center" wrapText="1"/>
    </xf>
    <xf numFmtId="10" fontId="3" fillId="0" borderId="0" xfId="3" applyNumberFormat="1" applyFont="1" applyFill="1"/>
    <xf numFmtId="174" fontId="0" fillId="0" borderId="0" xfId="0" applyNumberFormat="1" applyFill="1"/>
    <xf numFmtId="174" fontId="14" fillId="0" borderId="0" xfId="0" applyNumberFormat="1" applyFont="1" applyFill="1"/>
    <xf numFmtId="0" fontId="3" fillId="0" borderId="0" xfId="0" applyFont="1" applyAlignment="1">
      <alignment vertical="center" wrapText="1"/>
    </xf>
    <xf numFmtId="16" fontId="0" fillId="0" borderId="0" xfId="0" applyNumberFormat="1" applyFill="1" applyAlignment="1"/>
    <xf numFmtId="16" fontId="0" fillId="0" borderId="0" xfId="0" applyNumberFormat="1" applyFont="1"/>
    <xf numFmtId="0" fontId="14" fillId="0" borderId="0" xfId="0" applyFont="1" applyAlignment="1">
      <alignment vertical="center" wrapText="1"/>
    </xf>
    <xf numFmtId="16" fontId="0" fillId="4" borderId="0" xfId="0" applyNumberFormat="1" applyFill="1" applyAlignment="1"/>
    <xf numFmtId="0" fontId="19" fillId="12" borderId="0" xfId="0" applyFont="1" applyFill="1"/>
    <xf numFmtId="2" fontId="19" fillId="12" borderId="0" xfId="0" applyNumberFormat="1" applyFont="1" applyFill="1"/>
    <xf numFmtId="2" fontId="19" fillId="12" borderId="0" xfId="0" applyNumberFormat="1" applyFont="1" applyFill="1" applyAlignment="1">
      <alignment horizontal="center"/>
    </xf>
    <xf numFmtId="0" fontId="19" fillId="12" borderId="0" xfId="0" applyFont="1" applyFill="1" applyAlignment="1">
      <alignment horizontal="right"/>
    </xf>
    <xf numFmtId="0" fontId="15" fillId="7" borderId="4" xfId="2" applyFill="1" applyAlignment="1">
      <alignment horizontal="center"/>
    </xf>
    <xf numFmtId="0" fontId="15" fillId="7" borderId="4" xfId="2" applyFill="1" applyAlignment="1">
      <alignment horizontal="center"/>
    </xf>
    <xf numFmtId="16" fontId="3" fillId="0" borderId="0" xfId="0" applyNumberFormat="1" applyFont="1" applyAlignment="1">
      <alignment horizontal="center" vertical="center" wrapText="1"/>
    </xf>
    <xf numFmtId="2" fontId="0" fillId="0" borderId="0" xfId="0" applyNumberFormat="1" applyFont="1"/>
    <xf numFmtId="166" fontId="0" fillId="16" borderId="0" xfId="0" applyNumberFormat="1" applyFill="1" applyAlignment="1">
      <alignment horizontal="right"/>
    </xf>
    <xf numFmtId="0" fontId="0" fillId="0" borderId="0" xfId="0" applyAlignment="1">
      <alignment horizontal="left"/>
    </xf>
    <xf numFmtId="0" fontId="0" fillId="0" borderId="0" xfId="0" applyAlignment="1">
      <alignment horizontal="left"/>
    </xf>
    <xf numFmtId="2" fontId="0" fillId="7" borderId="0" xfId="0" quotePrefix="1" applyNumberFormat="1" applyFill="1"/>
    <xf numFmtId="0" fontId="0" fillId="0" borderId="0" xfId="0" applyFont="1"/>
    <xf numFmtId="0" fontId="0" fillId="0" borderId="0" xfId="0" applyAlignment="1">
      <alignment horizontal="left"/>
    </xf>
    <xf numFmtId="2" fontId="3" fillId="0" borderId="0" xfId="0" applyNumberFormat="1" applyFont="1" applyAlignment="1">
      <alignment horizontal="right"/>
    </xf>
    <xf numFmtId="2" fontId="0" fillId="5" borderId="1" xfId="0" applyNumberFormat="1" applyFill="1" applyBorder="1" applyAlignment="1">
      <alignment horizontal="right"/>
    </xf>
    <xf numFmtId="0" fontId="4" fillId="3" borderId="9" xfId="0" applyFont="1" applyFill="1" applyBorder="1" applyAlignment="1">
      <alignment horizontal="right"/>
    </xf>
    <xf numFmtId="2" fontId="3" fillId="21" borderId="0" xfId="0" applyNumberFormat="1" applyFont="1" applyFill="1" applyAlignment="1">
      <alignment horizontal="right"/>
    </xf>
    <xf numFmtId="2" fontId="0" fillId="21" borderId="0" xfId="0" applyNumberFormat="1" applyFill="1" applyAlignment="1">
      <alignment horizontal="right"/>
    </xf>
    <xf numFmtId="2" fontId="0" fillId="21" borderId="1" xfId="0" applyNumberFormat="1" applyFill="1" applyBorder="1" applyAlignment="1">
      <alignment horizontal="right"/>
    </xf>
    <xf numFmtId="0" fontId="4" fillId="21" borderId="9" xfId="0" applyFont="1" applyFill="1" applyBorder="1" applyAlignment="1">
      <alignment horizontal="right"/>
    </xf>
    <xf numFmtId="0" fontId="15" fillId="7" borderId="4" xfId="2" applyFill="1" applyAlignment="1">
      <alignment horizontal="center"/>
    </xf>
    <xf numFmtId="0" fontId="0" fillId="0" borderId="0" xfId="0" applyAlignment="1">
      <alignment horizontal="left"/>
    </xf>
    <xf numFmtId="0" fontId="15" fillId="7" borderId="4" xfId="2" applyFill="1" applyAlignment="1">
      <alignment horizontal="center"/>
    </xf>
    <xf numFmtId="0" fontId="0" fillId="0" borderId="0" xfId="0" applyAlignment="1">
      <alignment horizontal="left"/>
    </xf>
    <xf numFmtId="0" fontId="0" fillId="31" borderId="0" xfId="0" applyFill="1"/>
    <xf numFmtId="2" fontId="0" fillId="31" borderId="0" xfId="0" applyNumberFormat="1" applyFill="1"/>
    <xf numFmtId="10" fontId="0" fillId="31" borderId="0" xfId="0" applyNumberFormat="1" applyFill="1" applyAlignment="1">
      <alignment horizontal="right"/>
    </xf>
    <xf numFmtId="0" fontId="0" fillId="31" borderId="0" xfId="0" applyNumberFormat="1" applyFill="1" applyAlignment="1">
      <alignment horizontal="right"/>
    </xf>
    <xf numFmtId="16" fontId="0" fillId="31" borderId="0" xfId="0" applyNumberFormat="1" applyFill="1"/>
    <xf numFmtId="10" fontId="0" fillId="31" borderId="0" xfId="0" applyNumberFormat="1" applyFill="1"/>
    <xf numFmtId="0" fontId="0" fillId="31" borderId="0" xfId="0" applyNumberFormat="1" applyFill="1"/>
    <xf numFmtId="2" fontId="0" fillId="31" borderId="0" xfId="0" applyNumberFormat="1" applyFill="1" applyAlignment="1">
      <alignment horizontal="right"/>
    </xf>
    <xf numFmtId="0" fontId="0" fillId="31" borderId="0" xfId="0" applyFill="1" applyBorder="1"/>
    <xf numFmtId="0" fontId="0" fillId="32" borderId="0" xfId="0" applyFill="1"/>
    <xf numFmtId="166" fontId="0" fillId="32" borderId="0" xfId="0" applyNumberFormat="1" applyFill="1" applyAlignment="1">
      <alignment horizontal="right"/>
    </xf>
    <xf numFmtId="0" fontId="0" fillId="0" borderId="0" xfId="0" applyAlignment="1">
      <alignment horizontal="left"/>
    </xf>
    <xf numFmtId="14" fontId="0" fillId="0" borderId="0" xfId="0" applyNumberFormat="1" applyAlignment="1">
      <alignment horizontal="left"/>
    </xf>
    <xf numFmtId="14" fontId="0" fillId="0" borderId="0" xfId="0" applyNumberFormat="1" applyFont="1" applyAlignment="1">
      <alignment horizontal="left"/>
    </xf>
    <xf numFmtId="0" fontId="15" fillId="7" borderId="4" xfId="2" applyFill="1" applyAlignment="1">
      <alignment horizontal="center"/>
    </xf>
    <xf numFmtId="16" fontId="0" fillId="0" borderId="0" xfId="0" applyNumberFormat="1" applyFont="1" applyAlignment="1">
      <alignment horizontal="left"/>
    </xf>
    <xf numFmtId="16" fontId="4" fillId="0" borderId="0" xfId="0" applyNumberFormat="1" applyFont="1"/>
    <xf numFmtId="0" fontId="0" fillId="3" borderId="0" xfId="0" applyFont="1" applyFill="1"/>
    <xf numFmtId="2" fontId="0" fillId="3" borderId="0" xfId="0" applyNumberFormat="1" applyFont="1" applyFill="1"/>
    <xf numFmtId="14" fontId="0" fillId="4" borderId="0" xfId="0" applyNumberFormat="1" applyFont="1" applyFill="1"/>
    <xf numFmtId="9" fontId="0" fillId="0" borderId="0" xfId="0" applyNumberFormat="1"/>
    <xf numFmtId="14" fontId="3" fillId="0" borderId="0" xfId="0" applyNumberFormat="1" applyFont="1" applyAlignment="1">
      <alignment horizontal="right"/>
    </xf>
    <xf numFmtId="14" fontId="0" fillId="0" borderId="0" xfId="0" applyNumberFormat="1" applyFont="1" applyAlignment="1">
      <alignment horizontal="right"/>
    </xf>
    <xf numFmtId="14" fontId="3" fillId="0" borderId="0" xfId="0" applyNumberFormat="1" applyFont="1" applyAlignment="1">
      <alignment horizontal="left"/>
    </xf>
    <xf numFmtId="14" fontId="5" fillId="0" borderId="0" xfId="1" applyNumberFormat="1" applyAlignment="1">
      <alignment horizontal="left"/>
    </xf>
    <xf numFmtId="166" fontId="0" fillId="11" borderId="0" xfId="0" applyNumberFormat="1" applyFill="1" applyAlignment="1">
      <alignment horizontal="right"/>
    </xf>
    <xf numFmtId="2" fontId="14" fillId="29" borderId="0" xfId="0" applyNumberFormat="1" applyFont="1" applyFill="1"/>
    <xf numFmtId="2" fontId="18" fillId="29" borderId="0" xfId="0" applyNumberFormat="1" applyFont="1" applyFill="1"/>
    <xf numFmtId="169" fontId="0" fillId="29" borderId="0" xfId="3" applyNumberFormat="1" applyFont="1" applyFill="1"/>
    <xf numFmtId="6" fontId="0" fillId="28" borderId="0" xfId="3" applyNumberFormat="1" applyFont="1" applyFill="1" applyAlignment="1">
      <alignment horizontal="right"/>
    </xf>
    <xf numFmtId="2" fontId="4" fillId="11" borderId="0" xfId="0" applyNumberFormat="1" applyFont="1" applyFill="1" applyAlignment="1">
      <alignment horizontal="right"/>
    </xf>
    <xf numFmtId="14" fontId="4" fillId="0" borderId="0" xfId="0" applyNumberFormat="1" applyFont="1" applyAlignment="1">
      <alignment horizontal="left"/>
    </xf>
    <xf numFmtId="2" fontId="0" fillId="16" borderId="0" xfId="0" applyNumberFormat="1" applyFill="1"/>
    <xf numFmtId="0" fontId="0" fillId="0" borderId="0" xfId="0" applyAlignment="1">
      <alignment horizontal="left"/>
    </xf>
    <xf numFmtId="0" fontId="5" fillId="0" borderId="0" xfId="1" applyNumberFormat="1"/>
    <xf numFmtId="0" fontId="0" fillId="18" borderId="0" xfId="0" applyFill="1" applyAlignment="1">
      <alignment horizontal="right"/>
    </xf>
    <xf numFmtId="14" fontId="4" fillId="4" borderId="0" xfId="0" applyNumberFormat="1" applyFont="1" applyFill="1"/>
    <xf numFmtId="166" fontId="4" fillId="10" borderId="0" xfId="0" applyNumberFormat="1" applyFont="1" applyFill="1" applyAlignment="1">
      <alignment horizontal="right"/>
    </xf>
    <xf numFmtId="166" fontId="0" fillId="10" borderId="0" xfId="0" applyNumberFormat="1" applyFill="1" applyAlignment="1">
      <alignment horizontal="right"/>
    </xf>
    <xf numFmtId="14" fontId="14" fillId="0" borderId="0" xfId="0" applyNumberFormat="1" applyFont="1" applyAlignment="1">
      <alignment horizontal="right"/>
    </xf>
    <xf numFmtId="0" fontId="15" fillId="7" borderId="4" xfId="2" applyFill="1" applyAlignment="1">
      <alignment horizontal="center"/>
    </xf>
    <xf numFmtId="0" fontId="15" fillId="7" borderId="4" xfId="2" applyFill="1" applyAlignment="1">
      <alignment horizontal="center"/>
    </xf>
    <xf numFmtId="0" fontId="15" fillId="7" borderId="4" xfId="2" applyFill="1" applyAlignment="1">
      <alignment horizontal="center"/>
    </xf>
    <xf numFmtId="16" fontId="0" fillId="0" borderId="0" xfId="0" applyNumberFormat="1" applyFont="1" applyFill="1" applyAlignment="1">
      <alignment horizontal="left"/>
    </xf>
    <xf numFmtId="0" fontId="15" fillId="7" borderId="4" xfId="2" applyFill="1" applyAlignment="1">
      <alignment horizontal="center"/>
    </xf>
    <xf numFmtId="0" fontId="0" fillId="33" borderId="0" xfId="0" applyFill="1"/>
    <xf numFmtId="2" fontId="0" fillId="33" borderId="0" xfId="0" applyNumberFormat="1" applyFill="1"/>
    <xf numFmtId="0" fontId="0" fillId="0" borderId="0" xfId="0" applyNumberFormat="1" applyAlignment="1">
      <alignment horizontal="left"/>
    </xf>
    <xf numFmtId="14" fontId="0" fillId="0" borderId="0" xfId="3" applyNumberFormat="1" applyFont="1"/>
    <xf numFmtId="14" fontId="4" fillId="0" borderId="0" xfId="0" applyNumberFormat="1" applyFont="1" applyAlignment="1">
      <alignment horizontal="right"/>
    </xf>
    <xf numFmtId="10" fontId="0" fillId="7" borderId="0" xfId="0" applyNumberFormat="1" applyFont="1" applyFill="1"/>
    <xf numFmtId="2" fontId="30" fillId="7" borderId="0" xfId="0" applyNumberFormat="1" applyFont="1" applyFill="1"/>
    <xf numFmtId="2" fontId="31" fillId="7" borderId="0" xfId="0" applyNumberFormat="1" applyFont="1" applyFill="1"/>
    <xf numFmtId="2" fontId="4" fillId="7" borderId="0" xfId="0" applyNumberFormat="1" applyFont="1" applyFill="1" applyAlignment="1">
      <alignment horizontal="right"/>
    </xf>
    <xf numFmtId="2" fontId="31" fillId="7" borderId="0" xfId="0" applyNumberFormat="1" applyFont="1" applyFill="1" applyAlignment="1">
      <alignment horizontal="right"/>
    </xf>
    <xf numFmtId="2" fontId="0" fillId="7" borderId="0" xfId="0" applyNumberFormat="1" applyFont="1" applyFill="1" applyAlignment="1">
      <alignment horizontal="right"/>
    </xf>
    <xf numFmtId="0" fontId="15" fillId="7" borderId="4" xfId="2" applyFill="1" applyAlignment="1">
      <alignment horizontal="center"/>
    </xf>
    <xf numFmtId="0" fontId="0" fillId="34" borderId="0" xfId="0" applyFill="1" applyAlignment="1">
      <alignment vertical="center" wrapText="1"/>
    </xf>
    <xf numFmtId="0" fontId="15" fillId="7" borderId="4" xfId="2" applyFill="1" applyAlignment="1">
      <alignment horizontal="center"/>
    </xf>
    <xf numFmtId="0" fontId="0" fillId="0" borderId="0" xfId="0" applyAlignment="1">
      <alignment horizontal="left" vertical="top"/>
    </xf>
    <xf numFmtId="0" fontId="6" fillId="4" borderId="0" xfId="0" applyFont="1" applyFill="1" applyAlignment="1">
      <alignment horizontal="center" vertical="center"/>
    </xf>
    <xf numFmtId="14" fontId="6" fillId="4" borderId="0" xfId="0" applyNumberFormat="1" applyFont="1" applyFill="1" applyAlignment="1">
      <alignment horizontal="center" vertical="center"/>
    </xf>
    <xf numFmtId="10" fontId="6" fillId="4" borderId="0" xfId="3" applyNumberFormat="1" applyFont="1" applyFill="1" applyAlignment="1">
      <alignment horizontal="center" vertical="center"/>
    </xf>
    <xf numFmtId="2" fontId="6" fillId="4" borderId="0" xfId="0" applyNumberFormat="1" applyFont="1" applyFill="1" applyAlignment="1">
      <alignment horizontal="center" vertical="center"/>
    </xf>
    <xf numFmtId="169" fontId="6" fillId="4" borderId="0" xfId="3" applyNumberFormat="1" applyFont="1" applyFill="1" applyAlignment="1">
      <alignment horizontal="center" vertical="center"/>
    </xf>
    <xf numFmtId="10" fontId="6" fillId="10" borderId="0" xfId="0" applyNumberFormat="1" applyFont="1" applyFill="1" applyBorder="1" applyAlignment="1">
      <alignment horizontal="left"/>
    </xf>
    <xf numFmtId="2" fontId="7" fillId="0" borderId="0" xfId="0" applyNumberFormat="1" applyFont="1" applyFill="1" applyAlignment="1">
      <alignment horizontal="right"/>
    </xf>
    <xf numFmtId="0" fontId="7" fillId="0" borderId="0" xfId="0" applyFont="1" applyFill="1" applyAlignment="1">
      <alignment horizontal="right"/>
    </xf>
    <xf numFmtId="0" fontId="7" fillId="0" borderId="0" xfId="0" applyFont="1" applyFill="1" applyAlignment="1">
      <alignment horizontal="center"/>
    </xf>
    <xf numFmtId="0" fontId="25" fillId="0" borderId="0" xfId="0" applyFont="1" applyAlignment="1"/>
    <xf numFmtId="14" fontId="6" fillId="2" borderId="7" xfId="0" applyNumberFormat="1" applyFont="1" applyFill="1" applyBorder="1" applyAlignment="1">
      <alignment horizontal="center"/>
    </xf>
    <xf numFmtId="2" fontId="32" fillId="2" borderId="7" xfId="0" applyNumberFormat="1" applyFont="1" applyFill="1" applyBorder="1" applyAlignment="1"/>
    <xf numFmtId="10" fontId="32" fillId="2" borderId="7" xfId="3" applyNumberFormat="1" applyFont="1" applyFill="1" applyBorder="1" applyAlignment="1"/>
    <xf numFmtId="2" fontId="32" fillId="2" borderId="7" xfId="3" applyNumberFormat="1" applyFont="1" applyFill="1" applyBorder="1" applyAlignment="1"/>
    <xf numFmtId="2" fontId="6" fillId="2" borderId="7" xfId="0" applyNumberFormat="1" applyFont="1" applyFill="1" applyBorder="1" applyAlignment="1"/>
    <xf numFmtId="2" fontId="7" fillId="2" borderId="7" xfId="0" applyNumberFormat="1" applyFont="1" applyFill="1" applyBorder="1" applyAlignment="1">
      <alignment horizontal="right"/>
    </xf>
    <xf numFmtId="0" fontId="7" fillId="2" borderId="7" xfId="0" applyFont="1" applyFill="1" applyBorder="1" applyAlignment="1">
      <alignment horizontal="right"/>
    </xf>
    <xf numFmtId="2" fontId="7" fillId="2" borderId="7" xfId="0" applyNumberFormat="1" applyFont="1" applyFill="1" applyBorder="1" applyAlignment="1"/>
    <xf numFmtId="10" fontId="7" fillId="2" borderId="7" xfId="0" applyNumberFormat="1" applyFont="1" applyFill="1" applyBorder="1" applyAlignment="1">
      <alignment horizontal="right"/>
    </xf>
    <xf numFmtId="10" fontId="7" fillId="2" borderId="0" xfId="0" applyNumberFormat="1" applyFont="1" applyFill="1" applyBorder="1" applyAlignment="1">
      <alignment horizontal="right"/>
    </xf>
    <xf numFmtId="2" fontId="7" fillId="2" borderId="0" xfId="0" applyNumberFormat="1" applyFont="1" applyFill="1" applyBorder="1" applyAlignment="1"/>
    <xf numFmtId="2" fontId="7" fillId="10" borderId="0" xfId="0" applyNumberFormat="1" applyFont="1" applyFill="1" applyBorder="1" applyAlignment="1">
      <alignment horizontal="left"/>
    </xf>
    <xf numFmtId="0" fontId="33" fillId="0" borderId="0" xfId="1" applyFont="1" applyFill="1" applyAlignment="1">
      <alignment horizontal="center"/>
    </xf>
    <xf numFmtId="2" fontId="32" fillId="2" borderId="7" xfId="0" applyNumberFormat="1" applyFont="1" applyFill="1" applyBorder="1" applyAlignment="1">
      <alignment horizontal="right"/>
    </xf>
    <xf numFmtId="10" fontId="7" fillId="2" borderId="7" xfId="3" applyNumberFormat="1" applyFont="1" applyFill="1" applyBorder="1" applyAlignment="1">
      <alignment horizontal="right"/>
    </xf>
    <xf numFmtId="10" fontId="32" fillId="2" borderId="7" xfId="3" applyNumberFormat="1" applyFont="1" applyFill="1" applyBorder="1" applyAlignment="1">
      <alignment horizontal="right"/>
    </xf>
    <xf numFmtId="2" fontId="32" fillId="2" borderId="7" xfId="3" applyNumberFormat="1" applyFont="1" applyFill="1" applyBorder="1" applyAlignment="1">
      <alignment horizontal="right"/>
    </xf>
    <xf numFmtId="14" fontId="6" fillId="0" borderId="7" xfId="0" applyNumberFormat="1" applyFont="1" applyFill="1" applyBorder="1" applyAlignment="1">
      <alignment horizontal="center"/>
    </xf>
    <xf numFmtId="2" fontId="32" fillId="0" borderId="7" xfId="0" applyNumberFormat="1" applyFont="1" applyFill="1" applyBorder="1" applyAlignment="1">
      <alignment horizontal="right"/>
    </xf>
    <xf numFmtId="10" fontId="32" fillId="0" borderId="7" xfId="3" applyNumberFormat="1" applyFont="1" applyFill="1" applyBorder="1" applyAlignment="1">
      <alignment horizontal="right"/>
    </xf>
    <xf numFmtId="2" fontId="32" fillId="0" borderId="7" xfId="3" applyNumberFormat="1" applyFont="1" applyFill="1" applyBorder="1" applyAlignment="1">
      <alignment horizontal="right"/>
    </xf>
    <xf numFmtId="2" fontId="6" fillId="0" borderId="7" xfId="0" applyNumberFormat="1" applyFont="1" applyFill="1" applyBorder="1" applyAlignment="1"/>
    <xf numFmtId="2" fontId="7" fillId="0" borderId="7" xfId="0" applyNumberFormat="1" applyFont="1" applyFill="1" applyBorder="1" applyAlignment="1">
      <alignment horizontal="right"/>
    </xf>
    <xf numFmtId="2" fontId="7" fillId="0" borderId="7" xfId="0" applyNumberFormat="1" applyFont="1" applyFill="1" applyBorder="1" applyAlignment="1"/>
    <xf numFmtId="10" fontId="7" fillId="0" borderId="7" xfId="0" applyNumberFormat="1" applyFont="1" applyFill="1" applyBorder="1" applyAlignment="1">
      <alignment horizontal="right"/>
    </xf>
    <xf numFmtId="10" fontId="7" fillId="0" borderId="0" xfId="0" applyNumberFormat="1" applyFont="1" applyFill="1" applyBorder="1" applyAlignment="1">
      <alignment horizontal="right"/>
    </xf>
    <xf numFmtId="2" fontId="7" fillId="0" borderId="0" xfId="0" applyNumberFormat="1" applyFont="1" applyFill="1" applyBorder="1" applyAlignment="1"/>
    <xf numFmtId="0" fontId="34" fillId="20" borderId="10" xfId="4" applyFont="1" applyAlignment="1"/>
    <xf numFmtId="2" fontId="9" fillId="2" borderId="7" xfId="0" applyNumberFormat="1" applyFont="1" applyFill="1" applyBorder="1" applyAlignment="1"/>
    <xf numFmtId="10" fontId="7" fillId="0" borderId="0" xfId="3" applyNumberFormat="1" applyFont="1" applyFill="1" applyBorder="1" applyAlignment="1"/>
    <xf numFmtId="0" fontId="6" fillId="0" borderId="7" xfId="0" applyFont="1" applyFill="1" applyBorder="1" applyAlignment="1">
      <alignment horizontal="right"/>
    </xf>
    <xf numFmtId="2" fontId="8" fillId="2" borderId="7" xfId="0" applyNumberFormat="1" applyFont="1" applyFill="1" applyBorder="1" applyAlignment="1"/>
    <xf numFmtId="2" fontId="25" fillId="0" borderId="7" xfId="0" applyNumberFormat="1" applyFont="1" applyBorder="1" applyAlignment="1"/>
    <xf numFmtId="2" fontId="25" fillId="2" borderId="7" xfId="0" applyNumberFormat="1" applyFont="1" applyFill="1" applyBorder="1" applyAlignment="1"/>
    <xf numFmtId="0" fontId="32" fillId="2" borderId="7" xfId="0" applyFont="1" applyFill="1" applyBorder="1" applyAlignment="1"/>
    <xf numFmtId="14" fontId="25" fillId="0" borderId="7" xfId="0" applyNumberFormat="1" applyFont="1" applyBorder="1" applyAlignment="1">
      <alignment horizontal="center"/>
    </xf>
    <xf numFmtId="0" fontId="32" fillId="0" borderId="7" xfId="0" applyFont="1" applyBorder="1" applyAlignment="1"/>
    <xf numFmtId="10" fontId="32" fillId="0" borderId="7" xfId="3" applyNumberFormat="1" applyFont="1" applyBorder="1" applyAlignment="1"/>
    <xf numFmtId="2" fontId="32" fillId="0" borderId="7" xfId="3" applyNumberFormat="1" applyFont="1" applyFill="1" applyBorder="1" applyAlignment="1"/>
    <xf numFmtId="2" fontId="25" fillId="0" borderId="7" xfId="0" applyNumberFormat="1" applyFont="1" applyFill="1" applyBorder="1" applyAlignment="1"/>
    <xf numFmtId="0" fontId="32" fillId="0" borderId="7" xfId="0" applyFont="1" applyFill="1" applyBorder="1" applyAlignment="1"/>
    <xf numFmtId="10" fontId="32" fillId="0" borderId="7" xfId="3" applyNumberFormat="1" applyFont="1" applyFill="1" applyBorder="1" applyAlignment="1"/>
    <xf numFmtId="2" fontId="32" fillId="0" borderId="7" xfId="0" applyNumberFormat="1" applyFont="1" applyFill="1" applyBorder="1" applyAlignment="1"/>
    <xf numFmtId="2" fontId="25" fillId="0" borderId="0" xfId="0" applyNumberFormat="1" applyFont="1" applyAlignment="1"/>
    <xf numFmtId="2" fontId="8" fillId="0" borderId="7" xfId="0" applyNumberFormat="1" applyFont="1" applyFill="1" applyBorder="1" applyAlignment="1"/>
    <xf numFmtId="2" fontId="9" fillId="0" borderId="7" xfId="0" applyNumberFormat="1" applyFont="1" applyFill="1" applyBorder="1" applyAlignment="1"/>
    <xf numFmtId="14" fontId="6" fillId="12" borderId="7" xfId="0" applyNumberFormat="1" applyFont="1" applyFill="1" applyBorder="1" applyAlignment="1">
      <alignment horizontal="center"/>
    </xf>
    <xf numFmtId="0" fontId="32" fillId="12" borderId="7" xfId="0" applyFont="1" applyFill="1" applyBorder="1" applyAlignment="1"/>
    <xf numFmtId="10" fontId="32" fillId="12" borderId="7" xfId="3" applyNumberFormat="1" applyFont="1" applyFill="1" applyBorder="1" applyAlignment="1"/>
    <xf numFmtId="2" fontId="32" fillId="12" borderId="7" xfId="3" applyNumberFormat="1" applyFont="1" applyFill="1" applyBorder="1" applyAlignment="1"/>
    <xf numFmtId="10" fontId="32" fillId="12" borderId="7" xfId="3" applyNumberFormat="1" applyFont="1" applyFill="1" applyBorder="1" applyAlignment="1">
      <alignment horizontal="right"/>
    </xf>
    <xf numFmtId="2" fontId="6" fillId="12" borderId="7" xfId="0" applyNumberFormat="1" applyFont="1" applyFill="1" applyBorder="1" applyAlignment="1"/>
    <xf numFmtId="2" fontId="7" fillId="12" borderId="7" xfId="0" applyNumberFormat="1" applyFont="1" applyFill="1" applyBorder="1" applyAlignment="1">
      <alignment horizontal="right"/>
    </xf>
    <xf numFmtId="2" fontId="25" fillId="12" borderId="7" xfId="0" applyNumberFormat="1" applyFont="1" applyFill="1" applyBorder="1" applyAlignment="1"/>
    <xf numFmtId="10" fontId="7" fillId="12" borderId="7" xfId="0" applyNumberFormat="1" applyFont="1" applyFill="1" applyBorder="1" applyAlignment="1">
      <alignment horizontal="right"/>
    </xf>
    <xf numFmtId="10" fontId="7" fillId="12" borderId="0" xfId="0" applyNumberFormat="1" applyFont="1" applyFill="1" applyBorder="1" applyAlignment="1">
      <alignment horizontal="right"/>
    </xf>
    <xf numFmtId="2" fontId="9" fillId="12" borderId="7" xfId="0" applyNumberFormat="1" applyFont="1" applyFill="1" applyBorder="1" applyAlignment="1"/>
    <xf numFmtId="2" fontId="32" fillId="12" borderId="7" xfId="0" applyNumberFormat="1" applyFont="1" applyFill="1" applyBorder="1" applyAlignment="1"/>
    <xf numFmtId="2" fontId="8" fillId="12" borderId="7" xfId="0" applyNumberFormat="1" applyFont="1" applyFill="1" applyBorder="1" applyAlignment="1"/>
    <xf numFmtId="2" fontId="6" fillId="12" borderId="7" xfId="0" applyNumberFormat="1" applyFont="1" applyFill="1" applyBorder="1" applyAlignment="1">
      <alignment wrapText="1"/>
    </xf>
    <xf numFmtId="2" fontId="8" fillId="12" borderId="7" xfId="0" applyNumberFormat="1" applyFont="1" applyFill="1" applyBorder="1" applyAlignment="1">
      <alignment wrapText="1"/>
    </xf>
    <xf numFmtId="2" fontId="7" fillId="12" borderId="7" xfId="0" applyNumberFormat="1" applyFont="1" applyFill="1" applyBorder="1" applyAlignment="1"/>
    <xf numFmtId="2" fontId="9" fillId="12" borderId="7" xfId="0" applyNumberFormat="1" applyFont="1" applyFill="1" applyBorder="1" applyAlignment="1">
      <alignment wrapText="1"/>
    </xf>
    <xf numFmtId="2" fontId="24" fillId="0" borderId="0" xfId="0" applyNumberFormat="1" applyFont="1" applyAlignment="1"/>
    <xf numFmtId="2" fontId="8" fillId="0" borderId="0" xfId="0" applyNumberFormat="1" applyFont="1" applyAlignment="1"/>
    <xf numFmtId="2" fontId="8" fillId="0" borderId="0" xfId="0" applyNumberFormat="1" applyFont="1" applyFill="1" applyAlignment="1"/>
    <xf numFmtId="2" fontId="7" fillId="0" borderId="7" xfId="0" applyNumberFormat="1" applyFont="1" applyFill="1" applyBorder="1" applyAlignment="1">
      <alignment horizontal="right" wrapText="1"/>
    </xf>
    <xf numFmtId="2" fontId="9" fillId="0" borderId="0" xfId="0" applyNumberFormat="1" applyFont="1" applyAlignment="1"/>
    <xf numFmtId="2" fontId="25" fillId="0" borderId="7" xfId="0" applyNumberFormat="1" applyFont="1" applyFill="1" applyBorder="1" applyAlignment="1">
      <alignment horizontal="right"/>
    </xf>
    <xf numFmtId="14" fontId="25" fillId="0" borderId="0" xfId="0" applyNumberFormat="1" applyFont="1" applyAlignment="1"/>
    <xf numFmtId="10" fontId="25" fillId="0" borderId="0" xfId="3" applyNumberFormat="1" applyFont="1" applyAlignment="1"/>
    <xf numFmtId="0" fontId="24" fillId="0" borderId="0" xfId="0" applyFont="1" applyAlignment="1"/>
    <xf numFmtId="0" fontId="25" fillId="0" borderId="0" xfId="0" applyFont="1" applyAlignment="1">
      <alignment horizontal="right"/>
    </xf>
    <xf numFmtId="0" fontId="25" fillId="0" borderId="0" xfId="0" applyFont="1" applyFill="1" applyAlignment="1">
      <alignment horizontal="right"/>
    </xf>
    <xf numFmtId="169" fontId="25" fillId="0" borderId="0" xfId="3" applyNumberFormat="1" applyFont="1" applyFill="1" applyAlignment="1">
      <alignment horizontal="right"/>
    </xf>
    <xf numFmtId="0" fontId="35" fillId="0" borderId="0" xfId="5"/>
    <xf numFmtId="0" fontId="0" fillId="7" borderId="0" xfId="0" applyNumberFormat="1" applyFill="1"/>
    <xf numFmtId="0" fontId="15" fillId="7" borderId="4" xfId="2" applyFill="1" applyAlignment="1">
      <alignment horizontal="center"/>
    </xf>
    <xf numFmtId="0" fontId="15" fillId="7" borderId="4" xfId="2" applyFill="1" applyAlignment="1">
      <alignment horizontal="center"/>
    </xf>
    <xf numFmtId="4" fontId="36" fillId="0" borderId="0" xfId="0" applyNumberFormat="1" applyFont="1"/>
    <xf numFmtId="0" fontId="37" fillId="0" borderId="0" xfId="0" applyFont="1" applyAlignment="1"/>
    <xf numFmtId="0" fontId="15" fillId="7" borderId="4" xfId="2" applyFill="1" applyAlignment="1">
      <alignment horizontal="center"/>
    </xf>
    <xf numFmtId="2" fontId="13" fillId="8" borderId="0" xfId="0" applyNumberFormat="1" applyFont="1" applyFill="1" applyBorder="1" applyAlignment="1">
      <alignment horizontal="center" vertical="center"/>
    </xf>
    <xf numFmtId="10" fontId="13" fillId="8" borderId="0" xfId="3" applyNumberFormat="1" applyFont="1" applyFill="1" applyBorder="1" applyAlignment="1">
      <alignment horizontal="center" vertical="center"/>
    </xf>
    <xf numFmtId="49" fontId="13" fillId="8" borderId="0" xfId="0" applyNumberFormat="1" applyFont="1" applyFill="1" applyBorder="1" applyAlignment="1">
      <alignment horizontal="center" vertical="center"/>
    </xf>
    <xf numFmtId="49" fontId="0" fillId="0" borderId="0" xfId="0" applyNumberFormat="1"/>
    <xf numFmtId="14" fontId="13" fillId="8" borderId="0" xfId="0" applyNumberFormat="1" applyFont="1" applyFill="1" applyBorder="1" applyAlignment="1">
      <alignment horizontal="center" vertical="center"/>
    </xf>
    <xf numFmtId="0" fontId="3" fillId="12" borderId="0" xfId="0" applyFont="1" applyFill="1"/>
    <xf numFmtId="2" fontId="3" fillId="12" borderId="0" xfId="0" applyNumberFormat="1" applyFont="1" applyFill="1"/>
    <xf numFmtId="0" fontId="1" fillId="12" borderId="0" xfId="0" applyFont="1" applyFill="1"/>
    <xf numFmtId="0" fontId="5" fillId="12" borderId="0" xfId="1" applyFill="1"/>
    <xf numFmtId="0" fontId="3" fillId="12" borderId="1" xfId="0" applyFont="1" applyFill="1" applyBorder="1"/>
    <xf numFmtId="0" fontId="0" fillId="12" borderId="1" xfId="0" applyFill="1" applyBorder="1"/>
    <xf numFmtId="2" fontId="0" fillId="12" borderId="1" xfId="0" applyNumberFormat="1" applyFill="1" applyBorder="1"/>
    <xf numFmtId="1" fontId="0" fillId="12" borderId="1" xfId="0" applyNumberFormat="1" applyFill="1" applyBorder="1"/>
    <xf numFmtId="0" fontId="3" fillId="12" borderId="9" xfId="0" applyFont="1" applyFill="1" applyBorder="1"/>
    <xf numFmtId="0" fontId="0" fillId="12" borderId="9" xfId="0" applyFill="1" applyBorder="1"/>
    <xf numFmtId="0" fontId="4" fillId="12" borderId="9" xfId="0" applyFont="1" applyFill="1" applyBorder="1"/>
    <xf numFmtId="2" fontId="4" fillId="12" borderId="9" xfId="0" applyNumberFormat="1" applyFont="1" applyFill="1" applyBorder="1"/>
    <xf numFmtId="8" fontId="0" fillId="0" borderId="0" xfId="0" applyNumberFormat="1"/>
    <xf numFmtId="14" fontId="4" fillId="2" borderId="0" xfId="0" applyNumberFormat="1" applyFont="1" applyFill="1"/>
    <xf numFmtId="2" fontId="31" fillId="12" borderId="0" xfId="0" applyNumberFormat="1" applyFont="1" applyFill="1"/>
    <xf numFmtId="2" fontId="0" fillId="12" borderId="0" xfId="0" applyNumberFormat="1" applyFont="1" applyFill="1"/>
    <xf numFmtId="1" fontId="0" fillId="4" borderId="0" xfId="0" applyNumberFormat="1" applyFill="1"/>
    <xf numFmtId="0" fontId="38" fillId="0" borderId="0" xfId="0" applyFont="1" applyAlignment="1">
      <alignment vertical="center" wrapText="1"/>
    </xf>
    <xf numFmtId="10" fontId="38" fillId="0" borderId="0" xfId="0" applyNumberFormat="1" applyFont="1" applyAlignment="1">
      <alignment vertical="center" wrapText="1"/>
    </xf>
    <xf numFmtId="8" fontId="38" fillId="0" borderId="0" xfId="0" applyNumberFormat="1" applyFont="1" applyAlignment="1">
      <alignment vertical="center" wrapText="1"/>
    </xf>
    <xf numFmtId="16" fontId="0" fillId="13" borderId="8" xfId="0" applyNumberFormat="1" applyFill="1" applyBorder="1" applyAlignment="1">
      <alignment horizontal="right" vertical="center"/>
    </xf>
    <xf numFmtId="0" fontId="15" fillId="7" borderId="4" xfId="2" applyFill="1" applyAlignment="1">
      <alignment horizontal="center"/>
    </xf>
    <xf numFmtId="0" fontId="0" fillId="0" borderId="0" xfId="0" applyAlignment="1">
      <alignment horizontal="left" vertical="top" wrapText="1"/>
    </xf>
    <xf numFmtId="0" fontId="0" fillId="0" borderId="0" xfId="0" applyFill="1" applyAlignment="1">
      <alignment horizontal="center" vertical="center" wrapText="1"/>
    </xf>
    <xf numFmtId="0" fontId="0" fillId="2" borderId="0" xfId="0" applyFill="1" applyAlignment="1">
      <alignment horizontal="center" vertical="center" wrapText="1"/>
    </xf>
    <xf numFmtId="0" fontId="0" fillId="0" borderId="0" xfId="0" applyAlignment="1">
      <alignment horizontal="center" vertical="center" wrapText="1"/>
    </xf>
    <xf numFmtId="0" fontId="14" fillId="0" borderId="0" xfId="0" applyFont="1" applyFill="1" applyAlignment="1">
      <alignment horizontal="center" vertical="center" wrapText="1"/>
    </xf>
    <xf numFmtId="0" fontId="0" fillId="11" borderId="0" xfId="0" applyFill="1" applyAlignment="1">
      <alignment horizontal="center" vertical="center" wrapText="1"/>
    </xf>
    <xf numFmtId="0" fontId="0" fillId="34" borderId="0" xfId="0" applyFill="1" applyAlignment="1">
      <alignment horizontal="center" vertical="center" wrapText="1"/>
    </xf>
    <xf numFmtId="16" fontId="0" fillId="0" borderId="0" xfId="0" applyNumberFormat="1" applyFill="1" applyAlignment="1">
      <alignment horizontal="right" vertical="center"/>
    </xf>
    <xf numFmtId="16" fontId="0" fillId="0" borderId="0" xfId="0" applyNumberFormat="1" applyAlignment="1">
      <alignment horizontal="right" vertical="center"/>
    </xf>
    <xf numFmtId="16" fontId="0" fillId="0" borderId="3" xfId="0" applyNumberFormat="1" applyBorder="1" applyAlignment="1">
      <alignment horizontal="right" vertical="center"/>
    </xf>
    <xf numFmtId="0" fontId="0" fillId="35" borderId="0" xfId="0" applyFill="1" applyAlignment="1">
      <alignment horizontal="center" vertical="center" wrapText="1"/>
    </xf>
    <xf numFmtId="16" fontId="0" fillId="2" borderId="0" xfId="0" applyNumberFormat="1" applyFill="1" applyAlignment="1">
      <alignment horizontal="right" vertical="center"/>
    </xf>
  </cellXfs>
  <cellStyles count="6">
    <cellStyle name="Calculation" xfId="4" builtinId="22"/>
    <cellStyle name="Explanatory Text" xfId="5" builtinId="53"/>
    <cellStyle name="Heading 1" xfId="2" builtinId="16"/>
    <cellStyle name="Hyperlink" xfId="1" builtinId="8"/>
    <cellStyle name="Normal" xfId="0" builtinId="0"/>
    <cellStyle name="Percent" xfId="3" builtinId="5"/>
  </cellStyles>
  <dxfs count="4219">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val="0"/>
        <i val="0"/>
        <strike val="0"/>
        <condense val="0"/>
        <extend val="0"/>
        <outline val="0"/>
        <shadow val="0"/>
        <u val="none"/>
        <vertAlign val="baseline"/>
        <sz val="11"/>
        <color theme="1"/>
        <name val="Calibri"/>
        <scheme val="minor"/>
      </font>
      <numFmt numFmtId="14" formatCode="0.00%"/>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39997558519241921"/>
        </patternFill>
      </fill>
    </dxf>
    <dxf>
      <fill>
        <patternFill patternType="solid">
          <fgColor indexed="64"/>
          <bgColor theme="9" tint="0.79998168889431442"/>
        </patternFill>
      </fill>
    </dxf>
    <dxf>
      <font>
        <b/>
        <i val="0"/>
        <strike val="0"/>
        <condense val="0"/>
        <extend val="0"/>
        <outline val="0"/>
        <shadow val="0"/>
        <u val="none"/>
        <vertAlign val="baseline"/>
        <sz val="11"/>
        <color theme="1"/>
        <name val="Calibri"/>
        <scheme val="minor"/>
      </font>
      <fill>
        <patternFill patternType="solid">
          <fgColor indexed="64"/>
          <bgColor theme="9" tint="0.39997558519241921"/>
        </patternFill>
      </fill>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tableStyleElement type="wholeTable" dxfId="4218"/>
      <tableStyleElement type="headerRow" dxfId="4217"/>
    </tableStyle>
  </tableStyles>
  <colors>
    <mruColors>
      <color rgb="FFFF7C5D"/>
      <color rgb="FFFF3300"/>
      <color rgb="FFE7271D"/>
      <color rgb="FFF9DEDB"/>
      <color rgb="FFED5C55"/>
      <color rgb="FFFBDBD9"/>
      <color rgb="FF00221A"/>
      <color rgb="FFF6F6DE"/>
      <color rgb="FFFF3399"/>
      <color rgb="FFFF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styles" Target="styles.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worksheet" Target="worksheets/sheet66.xml"/><Relationship Id="rId74" Type="http://schemas.openxmlformats.org/officeDocument/2006/relationships/worksheet" Target="worksheets/sheet74.xml"/><Relationship Id="rId79" Type="http://schemas.openxmlformats.org/officeDocument/2006/relationships/worksheet" Target="worksheets/sheet79.xml"/><Relationship Id="rId87" Type="http://schemas.openxmlformats.org/officeDocument/2006/relationships/worksheet" Target="worksheets/sheet87.xml"/><Relationship Id="rId102" Type="http://schemas.openxmlformats.org/officeDocument/2006/relationships/worksheet" Target="worksheets/sheet102.xml"/><Relationship Id="rId110" Type="http://schemas.openxmlformats.org/officeDocument/2006/relationships/worksheet" Target="worksheets/sheet110.xml"/><Relationship Id="rId115" Type="http://schemas.openxmlformats.org/officeDocument/2006/relationships/theme" Target="theme/theme1.xml"/><Relationship Id="rId5" Type="http://schemas.openxmlformats.org/officeDocument/2006/relationships/worksheet" Target="worksheets/sheet5.xml"/><Relationship Id="rId61" Type="http://schemas.openxmlformats.org/officeDocument/2006/relationships/worksheet" Target="worksheets/sheet61.xml"/><Relationship Id="rId82" Type="http://schemas.openxmlformats.org/officeDocument/2006/relationships/worksheet" Target="worksheets/sheet82.xml"/><Relationship Id="rId90" Type="http://schemas.openxmlformats.org/officeDocument/2006/relationships/worksheet" Target="worksheets/sheet90.xml"/><Relationship Id="rId95" Type="http://schemas.openxmlformats.org/officeDocument/2006/relationships/worksheet" Target="worksheets/sheet95.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13" Type="http://schemas.openxmlformats.org/officeDocument/2006/relationships/worksheet" Target="worksheets/sheet113.xml"/><Relationship Id="rId118" Type="http://schemas.openxmlformats.org/officeDocument/2006/relationships/sharedStrings" Target="sharedStrings.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worksheet" Target="worksheets/sheet80.xml"/><Relationship Id="rId85" Type="http://schemas.openxmlformats.org/officeDocument/2006/relationships/worksheet" Target="worksheets/sheet85.xml"/><Relationship Id="rId93" Type="http://schemas.openxmlformats.org/officeDocument/2006/relationships/worksheet" Target="worksheets/sheet93.xml"/><Relationship Id="rId98" Type="http://schemas.openxmlformats.org/officeDocument/2006/relationships/worksheet" Target="worksheets/sheet9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103" Type="http://schemas.openxmlformats.org/officeDocument/2006/relationships/worksheet" Target="worksheets/sheet103.xml"/><Relationship Id="rId108" Type="http://schemas.openxmlformats.org/officeDocument/2006/relationships/worksheet" Target="worksheets/sheet108.xml"/><Relationship Id="rId116" Type="http://schemas.openxmlformats.org/officeDocument/2006/relationships/connections" Target="connections.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openxmlformats.org/officeDocument/2006/relationships/worksheet" Target="worksheets/sheet88.xml"/><Relationship Id="rId91" Type="http://schemas.openxmlformats.org/officeDocument/2006/relationships/worksheet" Target="worksheets/sheet91.xml"/><Relationship Id="rId96" Type="http://schemas.openxmlformats.org/officeDocument/2006/relationships/worksheet" Target="worksheets/sheet96.xml"/><Relationship Id="rId111" Type="http://schemas.openxmlformats.org/officeDocument/2006/relationships/worksheet" Target="worksheets/sheet11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6" Type="http://schemas.openxmlformats.org/officeDocument/2006/relationships/worksheet" Target="worksheets/sheet106.xml"/><Relationship Id="rId114" Type="http://schemas.openxmlformats.org/officeDocument/2006/relationships/worksheet" Target="worksheets/sheet114.xml"/><Relationship Id="rId119" Type="http://schemas.openxmlformats.org/officeDocument/2006/relationships/calcChain" Target="calcChain.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worksheet" Target="worksheets/sheet86.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microsoft.com/office/2006/relationships/vbaProject" Target="vbaProject.bin"/><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2" Type="http://schemas.openxmlformats.org/officeDocument/2006/relationships/worksheet" Target="worksheets/sheet2.xml"/><Relationship Id="rId29" Type="http://schemas.openxmlformats.org/officeDocument/2006/relationships/worksheet" Target="worksheets/sheet29.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1.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2.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43.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44.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45.xml.rels><?xml version="1.0" encoding="UTF-8" standalone="yes"?>
<Relationships xmlns="http://schemas.openxmlformats.org/package/2006/relationships"><Relationship Id="rId2" Type="http://schemas.microsoft.com/office/2011/relationships/chartColorStyle" Target="colors45.xml"/><Relationship Id="rId1" Type="http://schemas.microsoft.com/office/2011/relationships/chartStyle" Target="style45.xml"/></Relationships>
</file>

<file path=xl/charts/_rels/chart46.xml.rels><?xml version="1.0" encoding="UTF-8" standalone="yes"?>
<Relationships xmlns="http://schemas.openxmlformats.org/package/2006/relationships"><Relationship Id="rId2" Type="http://schemas.microsoft.com/office/2011/relationships/chartColorStyle" Target="colors46.xml"/><Relationship Id="rId1" Type="http://schemas.microsoft.com/office/2011/relationships/chartStyle" Target="style46.xml"/></Relationships>
</file>

<file path=xl/charts/_rels/chart47.xml.rels><?xml version="1.0" encoding="UTF-8" standalone="yes"?>
<Relationships xmlns="http://schemas.openxmlformats.org/package/2006/relationships"><Relationship Id="rId2" Type="http://schemas.microsoft.com/office/2011/relationships/chartColorStyle" Target="colors47.xml"/><Relationship Id="rId1" Type="http://schemas.microsoft.com/office/2011/relationships/chartStyle" Target="style47.xml"/></Relationships>
</file>

<file path=xl/charts/_rels/chart48.xml.rels><?xml version="1.0" encoding="UTF-8" standalone="yes"?>
<Relationships xmlns="http://schemas.openxmlformats.org/package/2006/relationships"><Relationship Id="rId2" Type="http://schemas.microsoft.com/office/2011/relationships/chartColorStyle" Target="colors48.xml"/><Relationship Id="rId1" Type="http://schemas.microsoft.com/office/2011/relationships/chartStyle" Target="style48.xml"/></Relationships>
</file>

<file path=xl/charts/_rels/chart49.xml.rels><?xml version="1.0" encoding="UTF-8" standalone="yes"?>
<Relationships xmlns="http://schemas.openxmlformats.org/package/2006/relationships"><Relationship Id="rId2" Type="http://schemas.microsoft.com/office/2011/relationships/chartColorStyle" Target="colors49.xml"/><Relationship Id="rId1" Type="http://schemas.microsoft.com/office/2011/relationships/chartStyle" Target="style49.xml"/></Relationships>
</file>

<file path=xl/charts/_rels/chart50.xml.rels><?xml version="1.0" encoding="UTF-8" standalone="yes"?>
<Relationships xmlns="http://schemas.openxmlformats.org/package/2006/relationships"><Relationship Id="rId2" Type="http://schemas.microsoft.com/office/2011/relationships/chartColorStyle" Target="colors50.xml"/><Relationship Id="rId1" Type="http://schemas.microsoft.com/office/2011/relationships/chartStyle" Target="style50.xml"/></Relationships>
</file>

<file path=xl/charts/_rels/chart51.xml.rels><?xml version="1.0" encoding="UTF-8" standalone="yes"?>
<Relationships xmlns="http://schemas.openxmlformats.org/package/2006/relationships"><Relationship Id="rId2" Type="http://schemas.microsoft.com/office/2011/relationships/chartColorStyle" Target="colors51.xml"/><Relationship Id="rId1" Type="http://schemas.microsoft.com/office/2011/relationships/chartStyle" Target="style51.xml"/></Relationships>
</file>

<file path=xl/charts/_rels/chart52.xml.rels><?xml version="1.0" encoding="UTF-8" standalone="yes"?>
<Relationships xmlns="http://schemas.openxmlformats.org/package/2006/relationships"><Relationship Id="rId2" Type="http://schemas.microsoft.com/office/2011/relationships/chartColorStyle" Target="colors52.xml"/><Relationship Id="rId1" Type="http://schemas.microsoft.com/office/2011/relationships/chartStyle" Target="style52.xml"/></Relationships>
</file>

<file path=xl/charts/_rels/chart53.xml.rels><?xml version="1.0" encoding="UTF-8" standalone="yes"?>
<Relationships xmlns="http://schemas.openxmlformats.org/package/2006/relationships"><Relationship Id="rId2" Type="http://schemas.microsoft.com/office/2011/relationships/chartColorStyle" Target="colors53.xml"/><Relationship Id="rId1" Type="http://schemas.microsoft.com/office/2011/relationships/chartStyle" Target="style53.xml"/></Relationships>
</file>

<file path=xl/charts/_rels/chart54.xml.rels><?xml version="1.0" encoding="UTF-8" standalone="yes"?>
<Relationships xmlns="http://schemas.openxmlformats.org/package/2006/relationships"><Relationship Id="rId2" Type="http://schemas.microsoft.com/office/2011/relationships/chartColorStyle" Target="colors54.xml"/><Relationship Id="rId1" Type="http://schemas.microsoft.com/office/2011/relationships/chartStyle" Target="style54.xml"/></Relationships>
</file>

<file path=xl/charts/_rels/chart55.xml.rels><?xml version="1.0" encoding="UTF-8" standalone="yes"?>
<Relationships xmlns="http://schemas.openxmlformats.org/package/2006/relationships"><Relationship Id="rId2" Type="http://schemas.microsoft.com/office/2011/relationships/chartColorStyle" Target="colors55.xml"/><Relationship Id="rId1" Type="http://schemas.microsoft.com/office/2011/relationships/chartStyle" Target="style55.xml"/></Relationships>
</file>

<file path=xl/charts/_rels/chart56.xml.rels><?xml version="1.0" encoding="UTF-8" standalone="yes"?>
<Relationships xmlns="http://schemas.openxmlformats.org/package/2006/relationships"><Relationship Id="rId2" Type="http://schemas.microsoft.com/office/2011/relationships/chartColorStyle" Target="colors56.xml"/><Relationship Id="rId1" Type="http://schemas.microsoft.com/office/2011/relationships/chartStyle" Target="style56.xml"/></Relationships>
</file>

<file path=xl/charts/_rels/chart57.xml.rels><?xml version="1.0" encoding="UTF-8" standalone="yes"?>
<Relationships xmlns="http://schemas.openxmlformats.org/package/2006/relationships"><Relationship Id="rId2" Type="http://schemas.microsoft.com/office/2011/relationships/chartColorStyle" Target="colors57.xml"/><Relationship Id="rId1" Type="http://schemas.microsoft.com/office/2011/relationships/chartStyle" Target="style57.xml"/></Relationships>
</file>

<file path=xl/charts/_rels/chart58.xml.rels><?xml version="1.0" encoding="UTF-8" standalone="yes"?>
<Relationships xmlns="http://schemas.openxmlformats.org/package/2006/relationships"><Relationship Id="rId2" Type="http://schemas.microsoft.com/office/2011/relationships/chartColorStyle" Target="colors58.xml"/><Relationship Id="rId1" Type="http://schemas.microsoft.com/office/2011/relationships/chartStyle" Target="style58.xml"/></Relationships>
</file>

<file path=xl/charts/_rels/chart59.xml.rels><?xml version="1.0" encoding="UTF-8" standalone="yes"?>
<Relationships xmlns="http://schemas.openxmlformats.org/package/2006/relationships"><Relationship Id="rId2" Type="http://schemas.microsoft.com/office/2011/relationships/chartColorStyle" Target="colors59.xml"/><Relationship Id="rId1" Type="http://schemas.microsoft.com/office/2011/relationships/chartStyle" Target="style59.xml"/></Relationships>
</file>

<file path=xl/charts/_rels/chart60.xml.rels><?xml version="1.0" encoding="UTF-8" standalone="yes"?>
<Relationships xmlns="http://schemas.openxmlformats.org/package/2006/relationships"><Relationship Id="rId2" Type="http://schemas.microsoft.com/office/2011/relationships/chartColorStyle" Target="colors60.xml"/><Relationship Id="rId1" Type="http://schemas.microsoft.com/office/2011/relationships/chartStyle" Target="style60.xml"/></Relationships>
</file>

<file path=xl/charts/_rels/chart61.xml.rels><?xml version="1.0" encoding="UTF-8" standalone="yes"?>
<Relationships xmlns="http://schemas.openxmlformats.org/package/2006/relationships"><Relationship Id="rId2" Type="http://schemas.microsoft.com/office/2011/relationships/chartColorStyle" Target="colors61.xml"/><Relationship Id="rId1" Type="http://schemas.microsoft.com/office/2011/relationships/chartStyle" Target="style61.xml"/></Relationships>
</file>

<file path=xl/charts/_rels/chart62.xml.rels><?xml version="1.0" encoding="UTF-8" standalone="yes"?>
<Relationships xmlns="http://schemas.openxmlformats.org/package/2006/relationships"><Relationship Id="rId2" Type="http://schemas.microsoft.com/office/2011/relationships/chartColorStyle" Target="colors62.xml"/><Relationship Id="rId1" Type="http://schemas.microsoft.com/office/2011/relationships/chartStyle" Target="style62.xml"/></Relationships>
</file>

<file path=xl/charts/_rels/chart63.xml.rels><?xml version="1.0" encoding="UTF-8" standalone="yes"?>
<Relationships xmlns="http://schemas.openxmlformats.org/package/2006/relationships"><Relationship Id="rId2" Type="http://schemas.microsoft.com/office/2011/relationships/chartColorStyle" Target="colors63.xml"/><Relationship Id="rId1" Type="http://schemas.microsoft.com/office/2011/relationships/chartStyle" Target="style63.xml"/></Relationships>
</file>

<file path=xl/charts/_rels/chart64.xml.rels><?xml version="1.0" encoding="UTF-8" standalone="yes"?>
<Relationships xmlns="http://schemas.openxmlformats.org/package/2006/relationships"><Relationship Id="rId2" Type="http://schemas.microsoft.com/office/2011/relationships/chartColorStyle" Target="colors64.xml"/><Relationship Id="rId1" Type="http://schemas.microsoft.com/office/2011/relationships/chartStyle" Target="style64.xml"/></Relationships>
</file>

<file path=xl/charts/_rels/chart65.xml.rels><?xml version="1.0" encoding="UTF-8" standalone="yes"?>
<Relationships xmlns="http://schemas.openxmlformats.org/package/2006/relationships"><Relationship Id="rId2" Type="http://schemas.microsoft.com/office/2011/relationships/chartColorStyle" Target="colors65.xml"/><Relationship Id="rId1" Type="http://schemas.microsoft.com/office/2011/relationships/chartStyle" Target="style65.xml"/></Relationships>
</file>

<file path=xl/charts/_rels/chart66.xml.rels><?xml version="1.0" encoding="UTF-8" standalone="yes"?>
<Relationships xmlns="http://schemas.openxmlformats.org/package/2006/relationships"><Relationship Id="rId2" Type="http://schemas.microsoft.com/office/2011/relationships/chartColorStyle" Target="colors66.xml"/><Relationship Id="rId1" Type="http://schemas.microsoft.com/office/2011/relationships/chartStyle" Target="style66.xml"/></Relationships>
</file>

<file path=xl/charts/_rels/chart67.xml.rels><?xml version="1.0" encoding="UTF-8" standalone="yes"?>
<Relationships xmlns="http://schemas.openxmlformats.org/package/2006/relationships"><Relationship Id="rId2" Type="http://schemas.microsoft.com/office/2011/relationships/chartColorStyle" Target="colors67.xml"/><Relationship Id="rId1" Type="http://schemas.microsoft.com/office/2011/relationships/chartStyle" Target="style67.xml"/></Relationships>
</file>

<file path=xl/charts/_rels/chart68.xml.rels><?xml version="1.0" encoding="UTF-8" standalone="yes"?>
<Relationships xmlns="http://schemas.openxmlformats.org/package/2006/relationships"><Relationship Id="rId2" Type="http://schemas.microsoft.com/office/2011/relationships/chartColorStyle" Target="colors68.xml"/><Relationship Id="rId1" Type="http://schemas.microsoft.com/office/2011/relationships/chartStyle" Target="style68.xml"/></Relationships>
</file>

<file path=xl/charts/_rels/chart69.xml.rels><?xml version="1.0" encoding="UTF-8" standalone="yes"?>
<Relationships xmlns="http://schemas.openxmlformats.org/package/2006/relationships"><Relationship Id="rId2" Type="http://schemas.microsoft.com/office/2011/relationships/chartColorStyle" Target="colors69.xml"/><Relationship Id="rId1" Type="http://schemas.microsoft.com/office/2011/relationships/chartStyle" Target="style69.xml"/></Relationships>
</file>

<file path=xl/charts/_rels/chart70.xml.rels><?xml version="1.0" encoding="UTF-8" standalone="yes"?>
<Relationships xmlns="http://schemas.openxmlformats.org/package/2006/relationships"><Relationship Id="rId2" Type="http://schemas.microsoft.com/office/2011/relationships/chartColorStyle" Target="colors70.xml"/><Relationship Id="rId1" Type="http://schemas.microsoft.com/office/2011/relationships/chartStyle" Target="style70.xml"/></Relationships>
</file>

<file path=xl/charts/_rels/chart71.xml.rels><?xml version="1.0" encoding="UTF-8" standalone="yes"?>
<Relationships xmlns="http://schemas.openxmlformats.org/package/2006/relationships"><Relationship Id="rId2" Type="http://schemas.microsoft.com/office/2011/relationships/chartColorStyle" Target="colors71.xml"/><Relationship Id="rId1" Type="http://schemas.microsoft.com/office/2011/relationships/chartStyle" Target="style71.xml"/></Relationships>
</file>

<file path=xl/charts/_rels/chart72.xml.rels><?xml version="1.0" encoding="UTF-8" standalone="yes"?>
<Relationships xmlns="http://schemas.openxmlformats.org/package/2006/relationships"><Relationship Id="rId2" Type="http://schemas.microsoft.com/office/2011/relationships/chartColorStyle" Target="colors72.xml"/><Relationship Id="rId1" Type="http://schemas.microsoft.com/office/2011/relationships/chartStyle" Target="style72.xml"/></Relationships>
</file>

<file path=xl/charts/_rels/chart73.xml.rels><?xml version="1.0" encoding="UTF-8" standalone="yes"?>
<Relationships xmlns="http://schemas.openxmlformats.org/package/2006/relationships"><Relationship Id="rId2" Type="http://schemas.microsoft.com/office/2011/relationships/chartColorStyle" Target="colors73.xml"/><Relationship Id="rId1" Type="http://schemas.microsoft.com/office/2011/relationships/chartStyle" Target="style73.xml"/></Relationships>
</file>

<file path=xl/charts/_rels/chart74.xml.rels><?xml version="1.0" encoding="UTF-8" standalone="yes"?>
<Relationships xmlns="http://schemas.openxmlformats.org/package/2006/relationships"><Relationship Id="rId2" Type="http://schemas.microsoft.com/office/2011/relationships/chartColorStyle" Target="colors74.xml"/><Relationship Id="rId1" Type="http://schemas.microsoft.com/office/2011/relationships/chartStyle" Target="style74.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Balance</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Balance!$B$2:$B$1848</c:f>
              <c:numCache>
                <c:formatCode>m/d/yyyy</c:formatCode>
                <c:ptCount val="1847"/>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pt idx="1032">
                  <c:v>43804</c:v>
                </c:pt>
                <c:pt idx="1033">
                  <c:v>43805</c:v>
                </c:pt>
                <c:pt idx="1034">
                  <c:v>43808</c:v>
                </c:pt>
                <c:pt idx="1035">
                  <c:v>43809</c:v>
                </c:pt>
              </c:numCache>
            </c:numRef>
          </c:xVal>
          <c:yVal>
            <c:numRef>
              <c:f>Balance!$I$2:$I$1850</c:f>
              <c:numCache>
                <c:formatCode>0.00</c:formatCode>
                <c:ptCount val="1849"/>
                <c:pt idx="0">
                  <c:v>322588.21000000002</c:v>
                </c:pt>
                <c:pt idx="1">
                  <c:v>319994.03000000003</c:v>
                </c:pt>
                <c:pt idx="2">
                  <c:v>311839.78000000003</c:v>
                </c:pt>
                <c:pt idx="3">
                  <c:v>301697.40999999997</c:v>
                </c:pt>
                <c:pt idx="4">
                  <c:v>295093.56</c:v>
                </c:pt>
                <c:pt idx="5">
                  <c:v>283095.28999999998</c:v>
                </c:pt>
                <c:pt idx="6">
                  <c:v>276943.21000000002</c:v>
                </c:pt>
                <c:pt idx="7">
                  <c:v>284832.2</c:v>
                </c:pt>
                <c:pt idx="8">
                  <c:v>300742.98</c:v>
                </c:pt>
                <c:pt idx="9">
                  <c:v>307941.06</c:v>
                </c:pt>
                <c:pt idx="10">
                  <c:v>311200.71000000002</c:v>
                </c:pt>
                <c:pt idx="11">
                  <c:v>307440.78999999998</c:v>
                </c:pt>
                <c:pt idx="12">
                  <c:v>326031.94</c:v>
                </c:pt>
                <c:pt idx="13">
                  <c:v>328219.34000000003</c:v>
                </c:pt>
                <c:pt idx="14">
                  <c:v>324929.40000000002</c:v>
                </c:pt>
                <c:pt idx="15">
                  <c:v>331613.90000000002</c:v>
                </c:pt>
                <c:pt idx="16">
                  <c:v>321792.48</c:v>
                </c:pt>
                <c:pt idx="17">
                  <c:v>323389.99</c:v>
                </c:pt>
                <c:pt idx="18">
                  <c:v>323039.64</c:v>
                </c:pt>
                <c:pt idx="19">
                  <c:v>326015.75</c:v>
                </c:pt>
                <c:pt idx="20">
                  <c:v>328528.74</c:v>
                </c:pt>
                <c:pt idx="21">
                  <c:v>333204.93</c:v>
                </c:pt>
                <c:pt idx="22">
                  <c:v>333913.03999999998</c:v>
                </c:pt>
                <c:pt idx="23">
                  <c:v>334619.5</c:v>
                </c:pt>
                <c:pt idx="24">
                  <c:v>336797.05</c:v>
                </c:pt>
                <c:pt idx="25">
                  <c:v>328628.18</c:v>
                </c:pt>
                <c:pt idx="26">
                  <c:v>321819.21000000002</c:v>
                </c:pt>
                <c:pt idx="27" formatCode="General">
                  <c:v>323446.15999999997</c:v>
                </c:pt>
                <c:pt idx="28">
                  <c:v>320711.92</c:v>
                </c:pt>
                <c:pt idx="29">
                  <c:v>308867.92</c:v>
                </c:pt>
                <c:pt idx="30">
                  <c:v>312033</c:v>
                </c:pt>
                <c:pt idx="31">
                  <c:v>320653.48</c:v>
                </c:pt>
                <c:pt idx="32">
                  <c:v>321963.56</c:v>
                </c:pt>
                <c:pt idx="33">
                  <c:v>336327.01</c:v>
                </c:pt>
                <c:pt idx="34">
                  <c:v>348049.53</c:v>
                </c:pt>
                <c:pt idx="35">
                  <c:v>349442.62</c:v>
                </c:pt>
                <c:pt idx="36">
                  <c:v>351672.29</c:v>
                </c:pt>
                <c:pt idx="37">
                  <c:v>354527.57</c:v>
                </c:pt>
                <c:pt idx="38">
                  <c:v>351691.92</c:v>
                </c:pt>
                <c:pt idx="39">
                  <c:v>348866.78</c:v>
                </c:pt>
                <c:pt idx="40">
                  <c:v>347508.59</c:v>
                </c:pt>
                <c:pt idx="41">
                  <c:v>350349.65</c:v>
                </c:pt>
                <c:pt idx="42">
                  <c:v>353686.58</c:v>
                </c:pt>
                <c:pt idx="43">
                  <c:v>351968.34</c:v>
                </c:pt>
                <c:pt idx="44">
                  <c:v>353616.79</c:v>
                </c:pt>
                <c:pt idx="45">
                  <c:v>352193</c:v>
                </c:pt>
                <c:pt idx="46">
                  <c:v>350311.35</c:v>
                </c:pt>
                <c:pt idx="47">
                  <c:v>353557.89</c:v>
                </c:pt>
                <c:pt idx="48">
                  <c:v>354948.58</c:v>
                </c:pt>
                <c:pt idx="49">
                  <c:v>346950.72</c:v>
                </c:pt>
                <c:pt idx="50">
                  <c:v>345588.46</c:v>
                </c:pt>
                <c:pt idx="51">
                  <c:v>353348</c:v>
                </c:pt>
                <c:pt idx="52">
                  <c:v>349127.55</c:v>
                </c:pt>
                <c:pt idx="53">
                  <c:v>351138.5</c:v>
                </c:pt>
                <c:pt idx="54">
                  <c:v>356948.81</c:v>
                </c:pt>
                <c:pt idx="55">
                  <c:v>362269.44</c:v>
                </c:pt>
                <c:pt idx="56">
                  <c:v>361654.42</c:v>
                </c:pt>
                <c:pt idx="57">
                  <c:v>351667.44</c:v>
                </c:pt>
                <c:pt idx="58">
                  <c:v>351454.25</c:v>
                </c:pt>
                <c:pt idx="59">
                  <c:v>347015.14</c:v>
                </c:pt>
                <c:pt idx="60">
                  <c:v>346488.34</c:v>
                </c:pt>
                <c:pt idx="61">
                  <c:v>341384.62</c:v>
                </c:pt>
                <c:pt idx="62">
                  <c:v>335500.62</c:v>
                </c:pt>
                <c:pt idx="63">
                  <c:v>335955</c:v>
                </c:pt>
                <c:pt idx="64">
                  <c:v>342834.39</c:v>
                </c:pt>
                <c:pt idx="65">
                  <c:v>341363.07</c:v>
                </c:pt>
                <c:pt idx="66">
                  <c:v>349578.29</c:v>
                </c:pt>
                <c:pt idx="67">
                  <c:v>351509.95</c:v>
                </c:pt>
                <c:pt idx="68">
                  <c:v>349809.33</c:v>
                </c:pt>
                <c:pt idx="69">
                  <c:v>352380.62</c:v>
                </c:pt>
                <c:pt idx="70">
                  <c:v>356994.69</c:v>
                </c:pt>
                <c:pt idx="71">
                  <c:v>357953.42</c:v>
                </c:pt>
                <c:pt idx="72">
                  <c:v>355463.47</c:v>
                </c:pt>
                <c:pt idx="73">
                  <c:v>358262.29</c:v>
                </c:pt>
                <c:pt idx="74">
                  <c:v>361281.91</c:v>
                </c:pt>
                <c:pt idx="75">
                  <c:v>349641.2</c:v>
                </c:pt>
                <c:pt idx="76">
                  <c:v>344430.58</c:v>
                </c:pt>
                <c:pt idx="77">
                  <c:v>341064.65</c:v>
                </c:pt>
                <c:pt idx="78">
                  <c:v>323555.34000000003</c:v>
                </c:pt>
                <c:pt idx="79">
                  <c:v>320909.52</c:v>
                </c:pt>
                <c:pt idx="80">
                  <c:v>319453.12</c:v>
                </c:pt>
                <c:pt idx="81">
                  <c:v>324246.53999999998</c:v>
                </c:pt>
                <c:pt idx="82">
                  <c:v>314974.52</c:v>
                </c:pt>
                <c:pt idx="83">
                  <c:v>317127.75</c:v>
                </c:pt>
                <c:pt idx="84">
                  <c:v>315111.13</c:v>
                </c:pt>
                <c:pt idx="85">
                  <c:v>320067.34000000003</c:v>
                </c:pt>
                <c:pt idx="86">
                  <c:v>314862.69</c:v>
                </c:pt>
                <c:pt idx="87">
                  <c:v>315502.05</c:v>
                </c:pt>
                <c:pt idx="88">
                  <c:v>320825.06</c:v>
                </c:pt>
                <c:pt idx="89">
                  <c:v>321902.78000000003</c:v>
                </c:pt>
                <c:pt idx="90">
                  <c:v>330734.09999999998</c:v>
                </c:pt>
                <c:pt idx="91">
                  <c:v>331472.32</c:v>
                </c:pt>
                <c:pt idx="92">
                  <c:v>324433.87</c:v>
                </c:pt>
                <c:pt idx="93">
                  <c:v>326263</c:v>
                </c:pt>
                <c:pt idx="94">
                  <c:v>318053.19</c:v>
                </c:pt>
                <c:pt idx="95">
                  <c:v>320884.32</c:v>
                </c:pt>
                <c:pt idx="96">
                  <c:v>323756.46999999997</c:v>
                </c:pt>
                <c:pt idx="97">
                  <c:v>326120.51</c:v>
                </c:pt>
                <c:pt idx="98">
                  <c:v>307215.3</c:v>
                </c:pt>
                <c:pt idx="99">
                  <c:v>296450.84999999998</c:v>
                </c:pt>
                <c:pt idx="100">
                  <c:v>291709.24</c:v>
                </c:pt>
                <c:pt idx="101">
                  <c:v>278511.46999999997</c:v>
                </c:pt>
                <c:pt idx="102">
                  <c:v>272280.59000000003</c:v>
                </c:pt>
                <c:pt idx="103">
                  <c:v>259060.64</c:v>
                </c:pt>
                <c:pt idx="104">
                  <c:v>267077.40000000002</c:v>
                </c:pt>
                <c:pt idx="105">
                  <c:v>249397.57</c:v>
                </c:pt>
                <c:pt idx="106">
                  <c:v>241697.04</c:v>
                </c:pt>
                <c:pt idx="107">
                  <c:v>239001.56</c:v>
                </c:pt>
                <c:pt idx="108">
                  <c:v>254991.51</c:v>
                </c:pt>
                <c:pt idx="109">
                  <c:v>260098.81</c:v>
                </c:pt>
                <c:pt idx="110">
                  <c:v>241845.81</c:v>
                </c:pt>
                <c:pt idx="111">
                  <c:v>248055.57</c:v>
                </c:pt>
                <c:pt idx="112">
                  <c:v>251585.76</c:v>
                </c:pt>
                <c:pt idx="113">
                  <c:v>256687.6</c:v>
                </c:pt>
                <c:pt idx="114">
                  <c:v>272541.61</c:v>
                </c:pt>
                <c:pt idx="115">
                  <c:v>271687.27</c:v>
                </c:pt>
                <c:pt idx="116">
                  <c:v>258167.62</c:v>
                </c:pt>
                <c:pt idx="117">
                  <c:v>270997.09999999998</c:v>
                </c:pt>
                <c:pt idx="118">
                  <c:v>272162.3</c:v>
                </c:pt>
                <c:pt idx="119">
                  <c:v>257957.43</c:v>
                </c:pt>
                <c:pt idx="120">
                  <c:v>244544.61</c:v>
                </c:pt>
                <c:pt idx="121">
                  <c:v>239055.86</c:v>
                </c:pt>
                <c:pt idx="122">
                  <c:v>235873.97</c:v>
                </c:pt>
                <c:pt idx="123">
                  <c:v>230609.13</c:v>
                </c:pt>
                <c:pt idx="124">
                  <c:v>236989.83</c:v>
                </c:pt>
                <c:pt idx="125">
                  <c:v>243663.46</c:v>
                </c:pt>
                <c:pt idx="126">
                  <c:v>249365.31</c:v>
                </c:pt>
                <c:pt idx="127">
                  <c:v>241680.12</c:v>
                </c:pt>
                <c:pt idx="128">
                  <c:v>236145.17</c:v>
                </c:pt>
                <c:pt idx="129">
                  <c:v>248415.23</c:v>
                </c:pt>
                <c:pt idx="130">
                  <c:v>238794.23</c:v>
                </c:pt>
                <c:pt idx="131">
                  <c:v>242422.46</c:v>
                </c:pt>
                <c:pt idx="132">
                  <c:v>244524.77</c:v>
                </c:pt>
                <c:pt idx="133">
                  <c:v>251916.67</c:v>
                </c:pt>
                <c:pt idx="134">
                  <c:v>254134.09</c:v>
                </c:pt>
                <c:pt idx="135">
                  <c:v>256289.63</c:v>
                </c:pt>
                <c:pt idx="136">
                  <c:v>273591.05</c:v>
                </c:pt>
                <c:pt idx="137">
                  <c:v>284465.09999999998</c:v>
                </c:pt>
                <c:pt idx="138">
                  <c:v>295168.58</c:v>
                </c:pt>
                <c:pt idx="139">
                  <c:v>295332.12</c:v>
                </c:pt>
                <c:pt idx="140">
                  <c:v>279655.23</c:v>
                </c:pt>
                <c:pt idx="141">
                  <c:v>284441.56</c:v>
                </c:pt>
                <c:pt idx="142">
                  <c:v>287418.99</c:v>
                </c:pt>
                <c:pt idx="143">
                  <c:v>297529.25</c:v>
                </c:pt>
                <c:pt idx="144">
                  <c:v>295383.49</c:v>
                </c:pt>
                <c:pt idx="145">
                  <c:v>295669.06</c:v>
                </c:pt>
                <c:pt idx="146">
                  <c:v>297622.03999999998</c:v>
                </c:pt>
                <c:pt idx="147">
                  <c:v>298243.74</c:v>
                </c:pt>
                <c:pt idx="148">
                  <c:v>302252.61</c:v>
                </c:pt>
                <c:pt idx="149">
                  <c:v>302397.02</c:v>
                </c:pt>
                <c:pt idx="150">
                  <c:v>300927.05</c:v>
                </c:pt>
                <c:pt idx="151">
                  <c:v>283106.53999999998</c:v>
                </c:pt>
                <c:pt idx="152">
                  <c:v>283603.99</c:v>
                </c:pt>
                <c:pt idx="153">
                  <c:v>281306.2</c:v>
                </c:pt>
                <c:pt idx="154">
                  <c:v>285322.46999999997</c:v>
                </c:pt>
                <c:pt idx="155">
                  <c:v>288126.49</c:v>
                </c:pt>
                <c:pt idx="156">
                  <c:v>295667.37</c:v>
                </c:pt>
                <c:pt idx="157">
                  <c:v>293885.49</c:v>
                </c:pt>
                <c:pt idx="158">
                  <c:v>291382.05</c:v>
                </c:pt>
                <c:pt idx="159">
                  <c:v>289909.68</c:v>
                </c:pt>
                <c:pt idx="160">
                  <c:v>294800.27</c:v>
                </c:pt>
                <c:pt idx="161">
                  <c:v>296412.12</c:v>
                </c:pt>
                <c:pt idx="162">
                  <c:v>303561.17</c:v>
                </c:pt>
                <c:pt idx="163">
                  <c:v>301374.21999999997</c:v>
                </c:pt>
                <c:pt idx="164">
                  <c:v>314750.48</c:v>
                </c:pt>
                <c:pt idx="165">
                  <c:v>317683.34999999998</c:v>
                </c:pt>
                <c:pt idx="166">
                  <c:v>317242.28999999998</c:v>
                </c:pt>
                <c:pt idx="167">
                  <c:v>317721.64</c:v>
                </c:pt>
                <c:pt idx="168">
                  <c:v>322899.31</c:v>
                </c:pt>
                <c:pt idx="169">
                  <c:v>328320.36</c:v>
                </c:pt>
                <c:pt idx="170">
                  <c:v>329335.82</c:v>
                </c:pt>
                <c:pt idx="171">
                  <c:v>327169.02</c:v>
                </c:pt>
                <c:pt idx="172">
                  <c:v>331471.71000000002</c:v>
                </c:pt>
                <c:pt idx="173">
                  <c:v>325541.03000000003</c:v>
                </c:pt>
                <c:pt idx="174">
                  <c:v>336797.26</c:v>
                </c:pt>
                <c:pt idx="175">
                  <c:v>341540.33</c:v>
                </c:pt>
                <c:pt idx="176">
                  <c:v>336936.02</c:v>
                </c:pt>
                <c:pt idx="177">
                  <c:v>329545.53999999998</c:v>
                </c:pt>
                <c:pt idx="178">
                  <c:v>323730.93</c:v>
                </c:pt>
                <c:pt idx="179">
                  <c:v>314233.52</c:v>
                </c:pt>
                <c:pt idx="180">
                  <c:v>304379.90999999997</c:v>
                </c:pt>
                <c:pt idx="181">
                  <c:v>304854.58</c:v>
                </c:pt>
                <c:pt idx="182">
                  <c:v>304553.01</c:v>
                </c:pt>
                <c:pt idx="183">
                  <c:v>298140.64</c:v>
                </c:pt>
                <c:pt idx="184">
                  <c:v>304800.26</c:v>
                </c:pt>
                <c:pt idx="185">
                  <c:v>308835.23</c:v>
                </c:pt>
                <c:pt idx="186">
                  <c:v>304301.34000000003</c:v>
                </c:pt>
                <c:pt idx="187">
                  <c:v>303736.26</c:v>
                </c:pt>
                <c:pt idx="188">
                  <c:v>310136.52</c:v>
                </c:pt>
                <c:pt idx="189">
                  <c:v>311039.01</c:v>
                </c:pt>
                <c:pt idx="190">
                  <c:v>310817.56</c:v>
                </c:pt>
                <c:pt idx="191">
                  <c:v>311569.3</c:v>
                </c:pt>
                <c:pt idx="192">
                  <c:v>320418.83</c:v>
                </c:pt>
                <c:pt idx="193">
                  <c:v>322945.12</c:v>
                </c:pt>
                <c:pt idx="194">
                  <c:v>324441.06</c:v>
                </c:pt>
                <c:pt idx="195">
                  <c:v>329556.86</c:v>
                </c:pt>
                <c:pt idx="196">
                  <c:v>327477.31</c:v>
                </c:pt>
                <c:pt idx="197">
                  <c:v>327126.28999999998</c:v>
                </c:pt>
                <c:pt idx="198">
                  <c:v>330773</c:v>
                </c:pt>
                <c:pt idx="199">
                  <c:v>334317.64</c:v>
                </c:pt>
                <c:pt idx="200">
                  <c:v>335688.99</c:v>
                </c:pt>
                <c:pt idx="201">
                  <c:v>333931.11</c:v>
                </c:pt>
                <c:pt idx="202">
                  <c:v>340934.25</c:v>
                </c:pt>
                <c:pt idx="203">
                  <c:v>347691.97</c:v>
                </c:pt>
                <c:pt idx="204">
                  <c:v>345415.56</c:v>
                </c:pt>
                <c:pt idx="205">
                  <c:v>343338.01</c:v>
                </c:pt>
                <c:pt idx="206">
                  <c:v>332939.06</c:v>
                </c:pt>
                <c:pt idx="207">
                  <c:v>329797.69</c:v>
                </c:pt>
                <c:pt idx="208">
                  <c:v>327192.19</c:v>
                </c:pt>
                <c:pt idx="209">
                  <c:v>325610.21000000002</c:v>
                </c:pt>
                <c:pt idx="210">
                  <c:v>321688.28999999998</c:v>
                </c:pt>
                <c:pt idx="211">
                  <c:v>328584.48</c:v>
                </c:pt>
                <c:pt idx="212">
                  <c:v>341742.75</c:v>
                </c:pt>
                <c:pt idx="213">
                  <c:v>348811.35</c:v>
                </c:pt>
                <c:pt idx="214">
                  <c:v>345838.5</c:v>
                </c:pt>
                <c:pt idx="215">
                  <c:v>355595.65</c:v>
                </c:pt>
                <c:pt idx="216">
                  <c:v>344597.21</c:v>
                </c:pt>
                <c:pt idx="217">
                  <c:v>328090.52</c:v>
                </c:pt>
                <c:pt idx="218">
                  <c:v>347315.97</c:v>
                </c:pt>
                <c:pt idx="219">
                  <c:v>354799.59</c:v>
                </c:pt>
                <c:pt idx="220">
                  <c:v>358404.16</c:v>
                </c:pt>
                <c:pt idx="221">
                  <c:v>358860.97</c:v>
                </c:pt>
                <c:pt idx="222">
                  <c:v>346939.19</c:v>
                </c:pt>
                <c:pt idx="223">
                  <c:v>347494.51</c:v>
                </c:pt>
                <c:pt idx="224">
                  <c:v>350011.84</c:v>
                </c:pt>
                <c:pt idx="225">
                  <c:v>356546.39999999997</c:v>
                </c:pt>
                <c:pt idx="226">
                  <c:v>356544.06</c:v>
                </c:pt>
                <c:pt idx="227">
                  <c:v>371135.11</c:v>
                </c:pt>
                <c:pt idx="228">
                  <c:v>368490.23999999999</c:v>
                </c:pt>
                <c:pt idx="229">
                  <c:v>370497.23</c:v>
                </c:pt>
                <c:pt idx="230">
                  <c:v>368347.44</c:v>
                </c:pt>
                <c:pt idx="231">
                  <c:v>369686.29000000004</c:v>
                </c:pt>
                <c:pt idx="232">
                  <c:v>364028.85</c:v>
                </c:pt>
                <c:pt idx="233">
                  <c:v>366983.12</c:v>
                </c:pt>
                <c:pt idx="234">
                  <c:v>360321.2</c:v>
                </c:pt>
                <c:pt idx="235">
                  <c:v>357414.17</c:v>
                </c:pt>
                <c:pt idx="236">
                  <c:v>355693.78</c:v>
                </c:pt>
                <c:pt idx="237">
                  <c:v>360934.05</c:v>
                </c:pt>
                <c:pt idx="238">
                  <c:v>351216.14999999997</c:v>
                </c:pt>
                <c:pt idx="239">
                  <c:v>351887.73</c:v>
                </c:pt>
                <c:pt idx="240">
                  <c:v>352850.19</c:v>
                </c:pt>
                <c:pt idx="241">
                  <c:v>345131.68</c:v>
                </c:pt>
                <c:pt idx="242">
                  <c:v>341216.81</c:v>
                </c:pt>
                <c:pt idx="243">
                  <c:v>347416.57</c:v>
                </c:pt>
                <c:pt idx="244">
                  <c:v>348668.66</c:v>
                </c:pt>
                <c:pt idx="245">
                  <c:v>357514.04</c:v>
                </c:pt>
                <c:pt idx="246">
                  <c:v>360717.48</c:v>
                </c:pt>
                <c:pt idx="247">
                  <c:v>360792.14</c:v>
                </c:pt>
                <c:pt idx="248">
                  <c:v>354430.79</c:v>
                </c:pt>
                <c:pt idx="249">
                  <c:v>368660.8</c:v>
                </c:pt>
                <c:pt idx="250">
                  <c:v>370923.19</c:v>
                </c:pt>
                <c:pt idx="251">
                  <c:v>375295.13</c:v>
                </c:pt>
                <c:pt idx="252">
                  <c:v>382262.83</c:v>
                </c:pt>
                <c:pt idx="253">
                  <c:v>382810.75</c:v>
                </c:pt>
                <c:pt idx="254">
                  <c:v>377083.42</c:v>
                </c:pt>
                <c:pt idx="255">
                  <c:v>383610.05</c:v>
                </c:pt>
                <c:pt idx="256">
                  <c:v>380008.25</c:v>
                </c:pt>
                <c:pt idx="257">
                  <c:v>380752.59</c:v>
                </c:pt>
                <c:pt idx="258">
                  <c:v>381100.52</c:v>
                </c:pt>
                <c:pt idx="259">
                  <c:v>382828.93</c:v>
                </c:pt>
                <c:pt idx="260">
                  <c:v>379406.56</c:v>
                </c:pt>
                <c:pt idx="261">
                  <c:v>375078.22</c:v>
                </c:pt>
                <c:pt idx="262">
                  <c:v>374158.47</c:v>
                </c:pt>
                <c:pt idx="263">
                  <c:v>379833.49</c:v>
                </c:pt>
                <c:pt idx="264">
                  <c:v>382927.8</c:v>
                </c:pt>
                <c:pt idx="265">
                  <c:v>386953.84</c:v>
                </c:pt>
                <c:pt idx="266">
                  <c:v>397118.13</c:v>
                </c:pt>
                <c:pt idx="267">
                  <c:v>386211.32</c:v>
                </c:pt>
                <c:pt idx="268">
                  <c:v>387052.15</c:v>
                </c:pt>
                <c:pt idx="269">
                  <c:v>374259.41</c:v>
                </c:pt>
                <c:pt idx="270">
                  <c:v>370693.02</c:v>
                </c:pt>
                <c:pt idx="271">
                  <c:v>375852.08</c:v>
                </c:pt>
                <c:pt idx="272">
                  <c:v>375872.83</c:v>
                </c:pt>
                <c:pt idx="273">
                  <c:v>373123.48</c:v>
                </c:pt>
                <c:pt idx="274">
                  <c:v>372718.71</c:v>
                </c:pt>
                <c:pt idx="275">
                  <c:v>382463.62</c:v>
                </c:pt>
                <c:pt idx="276">
                  <c:v>385198.84</c:v>
                </c:pt>
                <c:pt idx="277">
                  <c:v>381118.05</c:v>
                </c:pt>
                <c:pt idx="278">
                  <c:v>378419.42</c:v>
                </c:pt>
                <c:pt idx="279">
                  <c:v>375834.82</c:v>
                </c:pt>
                <c:pt idx="280">
                  <c:v>385764.92</c:v>
                </c:pt>
                <c:pt idx="281">
                  <c:v>389483.35</c:v>
                </c:pt>
                <c:pt idx="282">
                  <c:v>389657.79</c:v>
                </c:pt>
                <c:pt idx="283">
                  <c:v>389787.58</c:v>
                </c:pt>
                <c:pt idx="284">
                  <c:v>385233.03</c:v>
                </c:pt>
                <c:pt idx="285">
                  <c:v>390592.54</c:v>
                </c:pt>
                <c:pt idx="286">
                  <c:v>390871.84</c:v>
                </c:pt>
                <c:pt idx="287">
                  <c:v>386326.18</c:v>
                </c:pt>
                <c:pt idx="288">
                  <c:v>390200.44</c:v>
                </c:pt>
                <c:pt idx="289">
                  <c:v>374649.22</c:v>
                </c:pt>
                <c:pt idx="290">
                  <c:v>380216.65</c:v>
                </c:pt>
                <c:pt idx="291">
                  <c:v>381021.44</c:v>
                </c:pt>
                <c:pt idx="292">
                  <c:v>378995.29</c:v>
                </c:pt>
                <c:pt idx="293">
                  <c:v>378540.69</c:v>
                </c:pt>
                <c:pt idx="294">
                  <c:v>374243.66</c:v>
                </c:pt>
                <c:pt idx="295">
                  <c:v>374681.1</c:v>
                </c:pt>
                <c:pt idx="296">
                  <c:v>371125.09</c:v>
                </c:pt>
                <c:pt idx="297">
                  <c:v>366496.83</c:v>
                </c:pt>
                <c:pt idx="298">
                  <c:v>359986.87</c:v>
                </c:pt>
                <c:pt idx="299">
                  <c:v>360227.22</c:v>
                </c:pt>
                <c:pt idx="300">
                  <c:v>350822.36</c:v>
                </c:pt>
                <c:pt idx="301">
                  <c:v>366923.87</c:v>
                </c:pt>
                <c:pt idx="302">
                  <c:v>362921.09</c:v>
                </c:pt>
                <c:pt idx="303">
                  <c:v>407026.88</c:v>
                </c:pt>
                <c:pt idx="304">
                  <c:v>401105.48</c:v>
                </c:pt>
                <c:pt idx="305">
                  <c:v>393567.36</c:v>
                </c:pt>
                <c:pt idx="306">
                  <c:v>366163.6</c:v>
                </c:pt>
                <c:pt idx="307">
                  <c:v>361692.5</c:v>
                </c:pt>
                <c:pt idx="308">
                  <c:v>313669.12</c:v>
                </c:pt>
                <c:pt idx="309">
                  <c:v>315749.27</c:v>
                </c:pt>
                <c:pt idx="310">
                  <c:v>317812.25</c:v>
                </c:pt>
                <c:pt idx="311">
                  <c:v>321172.03999999998</c:v>
                </c:pt>
                <c:pt idx="312">
                  <c:v>322327.21999999997</c:v>
                </c:pt>
                <c:pt idx="313">
                  <c:v>323626.28000000003</c:v>
                </c:pt>
                <c:pt idx="314">
                  <c:v>324351.42</c:v>
                </c:pt>
                <c:pt idx="315">
                  <c:v>326932.27</c:v>
                </c:pt>
                <c:pt idx="316">
                  <c:v>323187.58</c:v>
                </c:pt>
                <c:pt idx="317">
                  <c:v>324820.98</c:v>
                </c:pt>
                <c:pt idx="318">
                  <c:v>327045.52</c:v>
                </c:pt>
                <c:pt idx="319">
                  <c:v>327054.27</c:v>
                </c:pt>
                <c:pt idx="320">
                  <c:v>325810.98</c:v>
                </c:pt>
                <c:pt idx="321">
                  <c:v>324443.28000000003</c:v>
                </c:pt>
                <c:pt idx="322">
                  <c:v>328249.78000000003</c:v>
                </c:pt>
                <c:pt idx="323">
                  <c:v>329298.48</c:v>
                </c:pt>
                <c:pt idx="324">
                  <c:v>330109.08</c:v>
                </c:pt>
                <c:pt idx="325">
                  <c:v>326202.98</c:v>
                </c:pt>
                <c:pt idx="326">
                  <c:v>324645.53000000003</c:v>
                </c:pt>
                <c:pt idx="327">
                  <c:v>322309.38</c:v>
                </c:pt>
                <c:pt idx="328">
                  <c:v>327489.65000000002</c:v>
                </c:pt>
                <c:pt idx="329">
                  <c:v>330177.02</c:v>
                </c:pt>
                <c:pt idx="330">
                  <c:v>330571.57</c:v>
                </c:pt>
                <c:pt idx="331">
                  <c:v>329655.77</c:v>
                </c:pt>
                <c:pt idx="332">
                  <c:v>326473.82</c:v>
                </c:pt>
                <c:pt idx="333">
                  <c:v>326978.32</c:v>
                </c:pt>
                <c:pt idx="334">
                  <c:v>329085.82</c:v>
                </c:pt>
                <c:pt idx="335">
                  <c:v>326943.46999999997</c:v>
                </c:pt>
                <c:pt idx="336">
                  <c:v>327247.34999999998</c:v>
                </c:pt>
                <c:pt idx="337">
                  <c:v>326901.49</c:v>
                </c:pt>
                <c:pt idx="338">
                  <c:v>326777.7</c:v>
                </c:pt>
                <c:pt idx="339">
                  <c:v>324862.34999999998</c:v>
                </c:pt>
                <c:pt idx="340">
                  <c:v>326822.08</c:v>
                </c:pt>
                <c:pt idx="341">
                  <c:v>324687.64</c:v>
                </c:pt>
                <c:pt idx="342">
                  <c:v>328611.7</c:v>
                </c:pt>
                <c:pt idx="343">
                  <c:v>331080.08</c:v>
                </c:pt>
                <c:pt idx="344">
                  <c:v>330371.86</c:v>
                </c:pt>
                <c:pt idx="345">
                  <c:v>328778.71999999997</c:v>
                </c:pt>
                <c:pt idx="346">
                  <c:v>323091.52</c:v>
                </c:pt>
                <c:pt idx="347">
                  <c:v>326440.17</c:v>
                </c:pt>
                <c:pt idx="348">
                  <c:v>325798.71999999997</c:v>
                </c:pt>
                <c:pt idx="349">
                  <c:v>326587.24</c:v>
                </c:pt>
                <c:pt idx="350">
                  <c:v>330217.57</c:v>
                </c:pt>
                <c:pt idx="351">
                  <c:v>324431.87</c:v>
                </c:pt>
                <c:pt idx="352">
                  <c:v>321983.64</c:v>
                </c:pt>
                <c:pt idx="353">
                  <c:v>320220.33</c:v>
                </c:pt>
                <c:pt idx="354">
                  <c:v>320817.13</c:v>
                </c:pt>
                <c:pt idx="355">
                  <c:v>324003.01</c:v>
                </c:pt>
                <c:pt idx="356">
                  <c:v>323021.71000000002</c:v>
                </c:pt>
                <c:pt idx="357">
                  <c:v>323822.24</c:v>
                </c:pt>
                <c:pt idx="358">
                  <c:v>324896.15000000002</c:v>
                </c:pt>
                <c:pt idx="359">
                  <c:v>324092.39</c:v>
                </c:pt>
                <c:pt idx="360">
                  <c:v>324795.14</c:v>
                </c:pt>
                <c:pt idx="361">
                  <c:v>327591.99</c:v>
                </c:pt>
                <c:pt idx="362">
                  <c:v>323529.21999999997</c:v>
                </c:pt>
                <c:pt idx="363">
                  <c:v>324343.32</c:v>
                </c:pt>
                <c:pt idx="364">
                  <c:v>322787.92</c:v>
                </c:pt>
                <c:pt idx="365">
                  <c:v>323797.27</c:v>
                </c:pt>
                <c:pt idx="366">
                  <c:v>320573.07</c:v>
                </c:pt>
                <c:pt idx="367">
                  <c:v>325744.14</c:v>
                </c:pt>
                <c:pt idx="368">
                  <c:v>374005.77</c:v>
                </c:pt>
                <c:pt idx="369">
                  <c:v>372756.96</c:v>
                </c:pt>
                <c:pt idx="370">
                  <c:v>373390.96</c:v>
                </c:pt>
                <c:pt idx="371">
                  <c:v>368594.91</c:v>
                </c:pt>
                <c:pt idx="372">
                  <c:v>359694.56</c:v>
                </c:pt>
                <c:pt idx="373">
                  <c:v>368952.54</c:v>
                </c:pt>
                <c:pt idx="374">
                  <c:v>320075.84000000003</c:v>
                </c:pt>
                <c:pt idx="375">
                  <c:v>317453.64</c:v>
                </c:pt>
                <c:pt idx="376">
                  <c:v>413367.17</c:v>
                </c:pt>
                <c:pt idx="377">
                  <c:v>417096.77</c:v>
                </c:pt>
                <c:pt idx="378">
                  <c:v>418538.3</c:v>
                </c:pt>
                <c:pt idx="379">
                  <c:v>417260.19</c:v>
                </c:pt>
                <c:pt idx="380">
                  <c:v>416415.39</c:v>
                </c:pt>
                <c:pt idx="381">
                  <c:v>411936.49</c:v>
                </c:pt>
                <c:pt idx="382">
                  <c:v>410749.09</c:v>
                </c:pt>
                <c:pt idx="383">
                  <c:v>409192.08</c:v>
                </c:pt>
                <c:pt idx="384">
                  <c:v>410959.03</c:v>
                </c:pt>
                <c:pt idx="385">
                  <c:v>411631.08</c:v>
                </c:pt>
                <c:pt idx="386">
                  <c:v>415160.28</c:v>
                </c:pt>
                <c:pt idx="387">
                  <c:v>420963.65</c:v>
                </c:pt>
                <c:pt idx="388">
                  <c:v>421561.9</c:v>
                </c:pt>
                <c:pt idx="389">
                  <c:v>422230.44</c:v>
                </c:pt>
                <c:pt idx="390">
                  <c:v>420788.86</c:v>
                </c:pt>
                <c:pt idx="391">
                  <c:v>422816.59</c:v>
                </c:pt>
                <c:pt idx="392">
                  <c:v>421093.29</c:v>
                </c:pt>
                <c:pt idx="393">
                  <c:v>424138.1</c:v>
                </c:pt>
                <c:pt idx="394">
                  <c:v>423331.5</c:v>
                </c:pt>
                <c:pt idx="395">
                  <c:v>425409.3</c:v>
                </c:pt>
                <c:pt idx="396">
                  <c:v>423985</c:v>
                </c:pt>
                <c:pt idx="397">
                  <c:v>422212.73</c:v>
                </c:pt>
                <c:pt idx="398">
                  <c:v>418306.53</c:v>
                </c:pt>
                <c:pt idx="399">
                  <c:v>420202.33</c:v>
                </c:pt>
                <c:pt idx="400">
                  <c:v>417764.53</c:v>
                </c:pt>
                <c:pt idx="401">
                  <c:v>412053.83</c:v>
                </c:pt>
                <c:pt idx="402">
                  <c:v>413381.09</c:v>
                </c:pt>
                <c:pt idx="403">
                  <c:v>413138.88</c:v>
                </c:pt>
                <c:pt idx="404">
                  <c:v>413141.03</c:v>
                </c:pt>
                <c:pt idx="405">
                  <c:v>416914.62</c:v>
                </c:pt>
                <c:pt idx="406">
                  <c:v>415083.58</c:v>
                </c:pt>
                <c:pt idx="407">
                  <c:v>412891.26</c:v>
                </c:pt>
                <c:pt idx="408">
                  <c:v>363198.65</c:v>
                </c:pt>
                <c:pt idx="409">
                  <c:v>362499.32</c:v>
                </c:pt>
                <c:pt idx="410">
                  <c:v>359669.82</c:v>
                </c:pt>
                <c:pt idx="411">
                  <c:v>359426.22</c:v>
                </c:pt>
                <c:pt idx="412">
                  <c:v>354486.32</c:v>
                </c:pt>
                <c:pt idx="413">
                  <c:v>357180.36</c:v>
                </c:pt>
                <c:pt idx="414">
                  <c:v>358405.67</c:v>
                </c:pt>
                <c:pt idx="415">
                  <c:v>357612.56</c:v>
                </c:pt>
                <c:pt idx="416">
                  <c:v>364191.11</c:v>
                </c:pt>
                <c:pt idx="417">
                  <c:v>363186.71</c:v>
                </c:pt>
                <c:pt idx="418">
                  <c:v>359448.71</c:v>
                </c:pt>
                <c:pt idx="419">
                  <c:v>361662.81</c:v>
                </c:pt>
                <c:pt idx="420">
                  <c:v>359481.11</c:v>
                </c:pt>
                <c:pt idx="421">
                  <c:v>358002.43</c:v>
                </c:pt>
                <c:pt idx="422">
                  <c:v>358058.63</c:v>
                </c:pt>
                <c:pt idx="423">
                  <c:v>363364.53</c:v>
                </c:pt>
                <c:pt idx="424">
                  <c:v>362670.23</c:v>
                </c:pt>
                <c:pt idx="425">
                  <c:v>362550.99</c:v>
                </c:pt>
                <c:pt idx="426">
                  <c:v>361217.77</c:v>
                </c:pt>
                <c:pt idx="427">
                  <c:v>353000.67</c:v>
                </c:pt>
                <c:pt idx="428">
                  <c:v>353471.67</c:v>
                </c:pt>
                <c:pt idx="429">
                  <c:v>350229.07</c:v>
                </c:pt>
                <c:pt idx="430">
                  <c:v>349203.17</c:v>
                </c:pt>
                <c:pt idx="431">
                  <c:v>353722.21</c:v>
                </c:pt>
                <c:pt idx="432">
                  <c:v>351458.31</c:v>
                </c:pt>
                <c:pt idx="433">
                  <c:v>351519.71</c:v>
                </c:pt>
                <c:pt idx="434">
                  <c:v>351863.31</c:v>
                </c:pt>
                <c:pt idx="435">
                  <c:v>346982.81</c:v>
                </c:pt>
                <c:pt idx="436">
                  <c:v>347153.55</c:v>
                </c:pt>
                <c:pt idx="437">
                  <c:v>354123.05</c:v>
                </c:pt>
                <c:pt idx="438">
                  <c:v>354932.43</c:v>
                </c:pt>
                <c:pt idx="439">
                  <c:v>359514.03</c:v>
                </c:pt>
                <c:pt idx="440">
                  <c:v>355660.79999999999</c:v>
                </c:pt>
                <c:pt idx="441">
                  <c:v>343648.95</c:v>
                </c:pt>
                <c:pt idx="442">
                  <c:v>340685.9</c:v>
                </c:pt>
                <c:pt idx="443">
                  <c:v>342070.2</c:v>
                </c:pt>
                <c:pt idx="444">
                  <c:v>340097.61</c:v>
                </c:pt>
                <c:pt idx="445">
                  <c:v>337505.3</c:v>
                </c:pt>
                <c:pt idx="446">
                  <c:v>343410.37</c:v>
                </c:pt>
                <c:pt idx="447">
                  <c:v>341551.16</c:v>
                </c:pt>
                <c:pt idx="448">
                  <c:v>340982.83</c:v>
                </c:pt>
                <c:pt idx="449">
                  <c:v>346881.69</c:v>
                </c:pt>
                <c:pt idx="450">
                  <c:v>344935.7</c:v>
                </c:pt>
                <c:pt idx="451">
                  <c:v>347779.66</c:v>
                </c:pt>
                <c:pt idx="452">
                  <c:v>349490.54</c:v>
                </c:pt>
                <c:pt idx="453">
                  <c:v>348754.42</c:v>
                </c:pt>
                <c:pt idx="454">
                  <c:v>346224.68</c:v>
                </c:pt>
                <c:pt idx="455">
                  <c:v>348198.95</c:v>
                </c:pt>
                <c:pt idx="456">
                  <c:v>352188.09</c:v>
                </c:pt>
                <c:pt idx="457">
                  <c:v>348235.03</c:v>
                </c:pt>
                <c:pt idx="458">
                  <c:v>347445.16</c:v>
                </c:pt>
                <c:pt idx="459">
                  <c:v>344663.89</c:v>
                </c:pt>
                <c:pt idx="460">
                  <c:v>338857.2</c:v>
                </c:pt>
                <c:pt idx="461">
                  <c:v>332438.64</c:v>
                </c:pt>
                <c:pt idx="462">
                  <c:v>331487.06</c:v>
                </c:pt>
                <c:pt idx="463">
                  <c:v>325889.02</c:v>
                </c:pt>
                <c:pt idx="464">
                  <c:v>347339.95</c:v>
                </c:pt>
                <c:pt idx="465">
                  <c:v>347918.93</c:v>
                </c:pt>
                <c:pt idx="466">
                  <c:v>350194.37</c:v>
                </c:pt>
                <c:pt idx="467">
                  <c:v>348569.19</c:v>
                </c:pt>
                <c:pt idx="468">
                  <c:v>350684.01</c:v>
                </c:pt>
                <c:pt idx="469">
                  <c:v>352584.03</c:v>
                </c:pt>
                <c:pt idx="470">
                  <c:v>336954.37</c:v>
                </c:pt>
                <c:pt idx="471">
                  <c:v>336250.61</c:v>
                </c:pt>
                <c:pt idx="472">
                  <c:v>342369.21</c:v>
                </c:pt>
                <c:pt idx="473">
                  <c:v>342957.79</c:v>
                </c:pt>
                <c:pt idx="474">
                  <c:v>335342.87</c:v>
                </c:pt>
                <c:pt idx="475">
                  <c:v>339751.59</c:v>
                </c:pt>
                <c:pt idx="476">
                  <c:v>342729.25</c:v>
                </c:pt>
                <c:pt idx="477">
                  <c:v>346163.11</c:v>
                </c:pt>
                <c:pt idx="478">
                  <c:v>344939.43</c:v>
                </c:pt>
                <c:pt idx="479">
                  <c:v>346855.18</c:v>
                </c:pt>
                <c:pt idx="480">
                  <c:v>347277.37</c:v>
                </c:pt>
                <c:pt idx="481">
                  <c:v>345709.56</c:v>
                </c:pt>
                <c:pt idx="482">
                  <c:v>347542.31</c:v>
                </c:pt>
                <c:pt idx="483">
                  <c:v>348466.58</c:v>
                </c:pt>
                <c:pt idx="484">
                  <c:v>349263.92</c:v>
                </c:pt>
                <c:pt idx="485">
                  <c:v>353035.89</c:v>
                </c:pt>
                <c:pt idx="486">
                  <c:v>354979.17</c:v>
                </c:pt>
                <c:pt idx="487">
                  <c:v>358361.96</c:v>
                </c:pt>
                <c:pt idx="488">
                  <c:v>356533.28</c:v>
                </c:pt>
                <c:pt idx="489">
                  <c:v>356859.34</c:v>
                </c:pt>
                <c:pt idx="490">
                  <c:v>357811.27</c:v>
                </c:pt>
                <c:pt idx="491">
                  <c:v>360621.39</c:v>
                </c:pt>
                <c:pt idx="492">
                  <c:v>360384.52</c:v>
                </c:pt>
                <c:pt idx="493">
                  <c:v>360856.84</c:v>
                </c:pt>
                <c:pt idx="494">
                  <c:v>357118.36</c:v>
                </c:pt>
                <c:pt idx="495">
                  <c:v>354927.69</c:v>
                </c:pt>
                <c:pt idx="496">
                  <c:v>356097.03</c:v>
                </c:pt>
                <c:pt idx="497">
                  <c:v>356596.97</c:v>
                </c:pt>
                <c:pt idx="498">
                  <c:v>355844.19</c:v>
                </c:pt>
                <c:pt idx="499">
                  <c:v>357661.23</c:v>
                </c:pt>
                <c:pt idx="500">
                  <c:v>356269.41</c:v>
                </c:pt>
                <c:pt idx="501">
                  <c:v>356984.93</c:v>
                </c:pt>
                <c:pt idx="502">
                  <c:v>356309.25</c:v>
                </c:pt>
                <c:pt idx="503">
                  <c:v>357443.95</c:v>
                </c:pt>
                <c:pt idx="504">
                  <c:v>360239.92</c:v>
                </c:pt>
                <c:pt idx="505">
                  <c:v>357804.68</c:v>
                </c:pt>
                <c:pt idx="506">
                  <c:v>308838.62</c:v>
                </c:pt>
                <c:pt idx="507">
                  <c:v>306704.96000000002</c:v>
                </c:pt>
                <c:pt idx="508">
                  <c:v>305919.12</c:v>
                </c:pt>
                <c:pt idx="509">
                  <c:v>305278.40999999997</c:v>
                </c:pt>
                <c:pt idx="510">
                  <c:v>307777.62</c:v>
                </c:pt>
                <c:pt idx="511">
                  <c:v>309994</c:v>
                </c:pt>
                <c:pt idx="512">
                  <c:v>314097.48</c:v>
                </c:pt>
                <c:pt idx="513">
                  <c:v>315145.06</c:v>
                </c:pt>
                <c:pt idx="514">
                  <c:v>316040.12</c:v>
                </c:pt>
                <c:pt idx="515">
                  <c:v>319399.58</c:v>
                </c:pt>
                <c:pt idx="516">
                  <c:v>318506.81</c:v>
                </c:pt>
                <c:pt idx="517">
                  <c:v>317938.40999999997</c:v>
                </c:pt>
                <c:pt idx="518">
                  <c:v>318455.09000000003</c:v>
                </c:pt>
                <c:pt idx="519">
                  <c:v>318102.55</c:v>
                </c:pt>
                <c:pt idx="520">
                  <c:v>317452.71000000002</c:v>
                </c:pt>
                <c:pt idx="521">
                  <c:v>315348.65000000002</c:v>
                </c:pt>
                <c:pt idx="522">
                  <c:v>313226.95</c:v>
                </c:pt>
                <c:pt idx="523">
                  <c:v>314306.15000000002</c:v>
                </c:pt>
                <c:pt idx="524">
                  <c:v>321104.7</c:v>
                </c:pt>
                <c:pt idx="525">
                  <c:v>317244.77</c:v>
                </c:pt>
                <c:pt idx="526">
                  <c:v>314456.46999999997</c:v>
                </c:pt>
                <c:pt idx="527">
                  <c:v>318417.02</c:v>
                </c:pt>
                <c:pt idx="528">
                  <c:v>319044.73</c:v>
                </c:pt>
                <c:pt idx="529">
                  <c:v>316554.36</c:v>
                </c:pt>
                <c:pt idx="530">
                  <c:v>320874.51</c:v>
                </c:pt>
                <c:pt idx="531">
                  <c:v>325656.67</c:v>
                </c:pt>
                <c:pt idx="532">
                  <c:v>329885.27</c:v>
                </c:pt>
                <c:pt idx="533">
                  <c:v>330901.76000000001</c:v>
                </c:pt>
                <c:pt idx="534">
                  <c:v>332631.36</c:v>
                </c:pt>
                <c:pt idx="535">
                  <c:v>331089.06</c:v>
                </c:pt>
                <c:pt idx="536">
                  <c:v>327613.65999999997</c:v>
                </c:pt>
                <c:pt idx="537">
                  <c:v>319288.36</c:v>
                </c:pt>
                <c:pt idx="538">
                  <c:v>322861.36</c:v>
                </c:pt>
                <c:pt idx="539">
                  <c:v>322942.15999999997</c:v>
                </c:pt>
                <c:pt idx="540">
                  <c:v>323980.06</c:v>
                </c:pt>
                <c:pt idx="541">
                  <c:v>324790.59000000003</c:v>
                </c:pt>
                <c:pt idx="542">
                  <c:v>322223.39</c:v>
                </c:pt>
                <c:pt idx="543">
                  <c:v>323833.19</c:v>
                </c:pt>
                <c:pt idx="544">
                  <c:v>328097.89</c:v>
                </c:pt>
                <c:pt idx="545">
                  <c:v>330798.90000000002</c:v>
                </c:pt>
                <c:pt idx="546">
                  <c:v>332590.03999999998</c:v>
                </c:pt>
                <c:pt idx="547">
                  <c:v>338086.81</c:v>
                </c:pt>
                <c:pt idx="548">
                  <c:v>338627.13</c:v>
                </c:pt>
                <c:pt idx="549">
                  <c:v>340189.13</c:v>
                </c:pt>
                <c:pt idx="550">
                  <c:v>338273.53</c:v>
                </c:pt>
                <c:pt idx="551">
                  <c:v>338405.59</c:v>
                </c:pt>
                <c:pt idx="552">
                  <c:v>337203.38</c:v>
                </c:pt>
                <c:pt idx="553">
                  <c:v>343412.47999999998</c:v>
                </c:pt>
                <c:pt idx="554">
                  <c:v>344644.23</c:v>
                </c:pt>
                <c:pt idx="555">
                  <c:v>346398.26</c:v>
                </c:pt>
                <c:pt idx="556">
                  <c:v>346659.69</c:v>
                </c:pt>
                <c:pt idx="557">
                  <c:v>347500.29</c:v>
                </c:pt>
                <c:pt idx="558">
                  <c:v>347598.39</c:v>
                </c:pt>
                <c:pt idx="559">
                  <c:v>346712.84</c:v>
                </c:pt>
                <c:pt idx="560">
                  <c:v>352178.1</c:v>
                </c:pt>
                <c:pt idx="561">
                  <c:v>354257.05</c:v>
                </c:pt>
                <c:pt idx="562">
                  <c:v>351080.55</c:v>
                </c:pt>
                <c:pt idx="563">
                  <c:v>354388.75</c:v>
                </c:pt>
                <c:pt idx="564">
                  <c:v>353987.72</c:v>
                </c:pt>
                <c:pt idx="565">
                  <c:v>365192.76</c:v>
                </c:pt>
                <c:pt idx="566">
                  <c:v>368309.46</c:v>
                </c:pt>
                <c:pt idx="567">
                  <c:v>368315.52</c:v>
                </c:pt>
                <c:pt idx="568">
                  <c:v>368621.05</c:v>
                </c:pt>
                <c:pt idx="569">
                  <c:v>365192.24</c:v>
                </c:pt>
                <c:pt idx="570">
                  <c:v>367940.03</c:v>
                </c:pt>
                <c:pt idx="571">
                  <c:v>367642.25</c:v>
                </c:pt>
                <c:pt idx="572">
                  <c:v>363472.55</c:v>
                </c:pt>
                <c:pt idx="573">
                  <c:v>363062.5</c:v>
                </c:pt>
                <c:pt idx="574">
                  <c:v>363770.56</c:v>
                </c:pt>
                <c:pt idx="575">
                  <c:v>356559.21</c:v>
                </c:pt>
                <c:pt idx="576">
                  <c:v>346151.51</c:v>
                </c:pt>
                <c:pt idx="577">
                  <c:v>368455.72</c:v>
                </c:pt>
                <c:pt idx="578">
                  <c:v>449047.22</c:v>
                </c:pt>
                <c:pt idx="579">
                  <c:v>437852.33</c:v>
                </c:pt>
                <c:pt idx="580">
                  <c:v>439997.44</c:v>
                </c:pt>
                <c:pt idx="581">
                  <c:v>444241.95</c:v>
                </c:pt>
                <c:pt idx="582">
                  <c:v>443416.54</c:v>
                </c:pt>
                <c:pt idx="583">
                  <c:v>451561.53</c:v>
                </c:pt>
                <c:pt idx="584">
                  <c:v>450705.94</c:v>
                </c:pt>
                <c:pt idx="585">
                  <c:v>447551.93</c:v>
                </c:pt>
                <c:pt idx="586">
                  <c:v>445228.37</c:v>
                </c:pt>
                <c:pt idx="587">
                  <c:v>442526.81</c:v>
                </c:pt>
                <c:pt idx="588">
                  <c:v>441168.86</c:v>
                </c:pt>
                <c:pt idx="589">
                  <c:v>446261.7</c:v>
                </c:pt>
                <c:pt idx="590">
                  <c:v>445461.4</c:v>
                </c:pt>
                <c:pt idx="591">
                  <c:v>439475.96</c:v>
                </c:pt>
                <c:pt idx="592">
                  <c:v>434359.8</c:v>
                </c:pt>
                <c:pt idx="593">
                  <c:v>432219.29</c:v>
                </c:pt>
                <c:pt idx="594">
                  <c:v>435569.11</c:v>
                </c:pt>
                <c:pt idx="595">
                  <c:v>441211.16</c:v>
                </c:pt>
                <c:pt idx="596">
                  <c:v>440897.46</c:v>
                </c:pt>
                <c:pt idx="597">
                  <c:v>435779.16</c:v>
                </c:pt>
                <c:pt idx="598">
                  <c:v>429670.56</c:v>
                </c:pt>
                <c:pt idx="599">
                  <c:v>438280.9</c:v>
                </c:pt>
                <c:pt idx="600">
                  <c:v>437286.12</c:v>
                </c:pt>
                <c:pt idx="601">
                  <c:v>435615.49</c:v>
                </c:pt>
                <c:pt idx="602">
                  <c:v>429341.77</c:v>
                </c:pt>
                <c:pt idx="603">
                  <c:v>429379.29</c:v>
                </c:pt>
                <c:pt idx="604">
                  <c:v>432834.68</c:v>
                </c:pt>
                <c:pt idx="605">
                  <c:v>436840.3</c:v>
                </c:pt>
                <c:pt idx="606">
                  <c:v>437944.26</c:v>
                </c:pt>
                <c:pt idx="607">
                  <c:v>444291.72</c:v>
                </c:pt>
                <c:pt idx="608">
                  <c:v>436497.12</c:v>
                </c:pt>
                <c:pt idx="609">
                  <c:v>432731.74</c:v>
                </c:pt>
                <c:pt idx="610">
                  <c:v>442155.65</c:v>
                </c:pt>
                <c:pt idx="611">
                  <c:v>435282.26</c:v>
                </c:pt>
                <c:pt idx="612">
                  <c:v>434900.1</c:v>
                </c:pt>
                <c:pt idx="613">
                  <c:v>442598.74</c:v>
                </c:pt>
                <c:pt idx="614">
                  <c:v>431276</c:v>
                </c:pt>
                <c:pt idx="615">
                  <c:v>437107.28</c:v>
                </c:pt>
                <c:pt idx="616">
                  <c:v>442334.44</c:v>
                </c:pt>
                <c:pt idx="617">
                  <c:v>448428.71</c:v>
                </c:pt>
                <c:pt idx="618">
                  <c:v>452280.76</c:v>
                </c:pt>
                <c:pt idx="619">
                  <c:v>451911.76</c:v>
                </c:pt>
                <c:pt idx="620">
                  <c:v>439634.82</c:v>
                </c:pt>
                <c:pt idx="621">
                  <c:v>440157.4</c:v>
                </c:pt>
                <c:pt idx="622">
                  <c:v>442188.11</c:v>
                </c:pt>
                <c:pt idx="623">
                  <c:v>443860.83</c:v>
                </c:pt>
                <c:pt idx="624">
                  <c:v>447856.68</c:v>
                </c:pt>
                <c:pt idx="625">
                  <c:v>449537.42</c:v>
                </c:pt>
                <c:pt idx="626">
                  <c:v>450989.65</c:v>
                </c:pt>
                <c:pt idx="627">
                  <c:v>446018.81</c:v>
                </c:pt>
                <c:pt idx="628">
                  <c:v>445087.3</c:v>
                </c:pt>
                <c:pt idx="629">
                  <c:v>449342.79</c:v>
                </c:pt>
                <c:pt idx="630">
                  <c:v>448523.78</c:v>
                </c:pt>
                <c:pt idx="631">
                  <c:v>451776.44</c:v>
                </c:pt>
                <c:pt idx="632">
                  <c:v>455463.88</c:v>
                </c:pt>
                <c:pt idx="633">
                  <c:v>455928.5</c:v>
                </c:pt>
                <c:pt idx="634">
                  <c:v>453815.46</c:v>
                </c:pt>
                <c:pt idx="635">
                  <c:v>452706.55</c:v>
                </c:pt>
                <c:pt idx="636">
                  <c:v>450912.32</c:v>
                </c:pt>
                <c:pt idx="637">
                  <c:v>452277.59</c:v>
                </c:pt>
                <c:pt idx="638">
                  <c:v>457844.7</c:v>
                </c:pt>
                <c:pt idx="639">
                  <c:v>456957.86</c:v>
                </c:pt>
                <c:pt idx="640">
                  <c:v>457631.51</c:v>
                </c:pt>
                <c:pt idx="641">
                  <c:v>461579.02</c:v>
                </c:pt>
                <c:pt idx="642">
                  <c:v>464024.89</c:v>
                </c:pt>
                <c:pt idx="643">
                  <c:v>464999.67</c:v>
                </c:pt>
                <c:pt idx="644">
                  <c:v>467579.22</c:v>
                </c:pt>
                <c:pt idx="645">
                  <c:v>466861.67</c:v>
                </c:pt>
                <c:pt idx="646">
                  <c:v>469460.39</c:v>
                </c:pt>
                <c:pt idx="647">
                  <c:v>471759.89</c:v>
                </c:pt>
                <c:pt idx="648">
                  <c:v>368892.97</c:v>
                </c:pt>
                <c:pt idx="649">
                  <c:v>370544.71</c:v>
                </c:pt>
                <c:pt idx="650">
                  <c:v>369224.1</c:v>
                </c:pt>
                <c:pt idx="651">
                  <c:v>369307.32</c:v>
                </c:pt>
                <c:pt idx="652">
                  <c:v>369717.91</c:v>
                </c:pt>
                <c:pt idx="653">
                  <c:v>370226.78</c:v>
                </c:pt>
                <c:pt idx="654">
                  <c:v>367527</c:v>
                </c:pt>
                <c:pt idx="655">
                  <c:v>372747.09</c:v>
                </c:pt>
                <c:pt idx="656">
                  <c:v>367531.04</c:v>
                </c:pt>
                <c:pt idx="657">
                  <c:v>369254.27</c:v>
                </c:pt>
                <c:pt idx="658">
                  <c:v>371020.96</c:v>
                </c:pt>
                <c:pt idx="659">
                  <c:v>370163.04</c:v>
                </c:pt>
                <c:pt idx="660">
                  <c:v>374822.41</c:v>
                </c:pt>
                <c:pt idx="661">
                  <c:v>377198.67</c:v>
                </c:pt>
                <c:pt idx="662">
                  <c:v>379330.1</c:v>
                </c:pt>
                <c:pt idx="663">
                  <c:v>382027.21</c:v>
                </c:pt>
                <c:pt idx="664">
                  <c:v>383351.38</c:v>
                </c:pt>
                <c:pt idx="665">
                  <c:v>383566.49</c:v>
                </c:pt>
                <c:pt idx="666">
                  <c:v>383755.49</c:v>
                </c:pt>
                <c:pt idx="667">
                  <c:v>382086.2</c:v>
                </c:pt>
                <c:pt idx="668">
                  <c:v>381438.85</c:v>
                </c:pt>
                <c:pt idx="669">
                  <c:v>382081.51</c:v>
                </c:pt>
                <c:pt idx="670">
                  <c:v>384754.19</c:v>
                </c:pt>
                <c:pt idx="671">
                  <c:v>386790.11</c:v>
                </c:pt>
                <c:pt idx="672">
                  <c:v>393809.39</c:v>
                </c:pt>
                <c:pt idx="673">
                  <c:v>389217.82</c:v>
                </c:pt>
                <c:pt idx="674">
                  <c:v>389379.96</c:v>
                </c:pt>
                <c:pt idx="675">
                  <c:v>389218.36</c:v>
                </c:pt>
                <c:pt idx="676">
                  <c:v>385956.85</c:v>
                </c:pt>
                <c:pt idx="677">
                  <c:v>386037.42</c:v>
                </c:pt>
                <c:pt idx="678">
                  <c:v>385840.77</c:v>
                </c:pt>
                <c:pt idx="679">
                  <c:v>389787.46</c:v>
                </c:pt>
                <c:pt idx="680">
                  <c:v>390550.57</c:v>
                </c:pt>
                <c:pt idx="681">
                  <c:v>394408.13</c:v>
                </c:pt>
                <c:pt idx="682">
                  <c:v>396269.68</c:v>
                </c:pt>
                <c:pt idx="683">
                  <c:v>397186.29</c:v>
                </c:pt>
                <c:pt idx="684">
                  <c:v>394153.65</c:v>
                </c:pt>
                <c:pt idx="685">
                  <c:v>395295.9</c:v>
                </c:pt>
                <c:pt idx="686">
                  <c:v>396222.85</c:v>
                </c:pt>
                <c:pt idx="687">
                  <c:v>392316.49</c:v>
                </c:pt>
                <c:pt idx="688">
                  <c:v>393640.6</c:v>
                </c:pt>
                <c:pt idx="689">
                  <c:v>393399.1</c:v>
                </c:pt>
                <c:pt idx="690">
                  <c:v>394279.56</c:v>
                </c:pt>
                <c:pt idx="691">
                  <c:v>393654.11</c:v>
                </c:pt>
                <c:pt idx="692">
                  <c:v>395267.72</c:v>
                </c:pt>
                <c:pt idx="693">
                  <c:v>396061.88</c:v>
                </c:pt>
                <c:pt idx="694">
                  <c:v>397194.94</c:v>
                </c:pt>
                <c:pt idx="695">
                  <c:v>399108.12</c:v>
                </c:pt>
                <c:pt idx="696">
                  <c:v>400512.23</c:v>
                </c:pt>
                <c:pt idx="697">
                  <c:v>404801.42</c:v>
                </c:pt>
                <c:pt idx="698">
                  <c:v>404183.05</c:v>
                </c:pt>
                <c:pt idx="699">
                  <c:v>400088.38</c:v>
                </c:pt>
                <c:pt idx="700">
                  <c:v>403196.94</c:v>
                </c:pt>
                <c:pt idx="701">
                  <c:v>406121.93</c:v>
                </c:pt>
                <c:pt idx="702">
                  <c:v>404173.08</c:v>
                </c:pt>
                <c:pt idx="703">
                  <c:v>403006.24</c:v>
                </c:pt>
                <c:pt idx="704">
                  <c:v>400744.76</c:v>
                </c:pt>
                <c:pt idx="705">
                  <c:v>401364.9</c:v>
                </c:pt>
                <c:pt idx="706">
                  <c:v>400580.36</c:v>
                </c:pt>
                <c:pt idx="707">
                  <c:v>398850.59</c:v>
                </c:pt>
                <c:pt idx="708">
                  <c:v>402192.82</c:v>
                </c:pt>
                <c:pt idx="709">
                  <c:v>438277.71</c:v>
                </c:pt>
                <c:pt idx="710">
                  <c:v>442870.6</c:v>
                </c:pt>
                <c:pt idx="711">
                  <c:v>446704.3</c:v>
                </c:pt>
                <c:pt idx="712">
                  <c:v>448608.02</c:v>
                </c:pt>
                <c:pt idx="713">
                  <c:v>450054.3</c:v>
                </c:pt>
                <c:pt idx="714">
                  <c:v>449791.66</c:v>
                </c:pt>
                <c:pt idx="715">
                  <c:v>448763.14</c:v>
                </c:pt>
                <c:pt idx="716">
                  <c:v>448975.99</c:v>
                </c:pt>
                <c:pt idx="717">
                  <c:v>412623.99</c:v>
                </c:pt>
                <c:pt idx="718">
                  <c:v>411952.19</c:v>
                </c:pt>
                <c:pt idx="719">
                  <c:v>414525.25</c:v>
                </c:pt>
                <c:pt idx="720">
                  <c:v>412063.95</c:v>
                </c:pt>
                <c:pt idx="721">
                  <c:v>412813.75</c:v>
                </c:pt>
                <c:pt idx="722">
                  <c:v>410071.63</c:v>
                </c:pt>
                <c:pt idx="723">
                  <c:v>412285.82</c:v>
                </c:pt>
                <c:pt idx="724">
                  <c:v>409892.48</c:v>
                </c:pt>
                <c:pt idx="725">
                  <c:v>409918.35</c:v>
                </c:pt>
                <c:pt idx="726">
                  <c:v>410285.83</c:v>
                </c:pt>
                <c:pt idx="727">
                  <c:v>411136.15</c:v>
                </c:pt>
                <c:pt idx="728">
                  <c:v>415391.37</c:v>
                </c:pt>
                <c:pt idx="729">
                  <c:v>415289.92</c:v>
                </c:pt>
                <c:pt idx="730">
                  <c:v>415230.06</c:v>
                </c:pt>
                <c:pt idx="731">
                  <c:v>416438.79</c:v>
                </c:pt>
                <c:pt idx="732">
                  <c:v>418074.92</c:v>
                </c:pt>
                <c:pt idx="733">
                  <c:v>419431.72</c:v>
                </c:pt>
                <c:pt idx="734">
                  <c:v>420883.98</c:v>
                </c:pt>
                <c:pt idx="735">
                  <c:v>421490.01</c:v>
                </c:pt>
                <c:pt idx="736">
                  <c:v>418954.22</c:v>
                </c:pt>
                <c:pt idx="737">
                  <c:v>417620.33</c:v>
                </c:pt>
                <c:pt idx="738">
                  <c:v>416840.38</c:v>
                </c:pt>
                <c:pt idx="739">
                  <c:v>416479.53</c:v>
                </c:pt>
                <c:pt idx="740">
                  <c:v>416216.28</c:v>
                </c:pt>
                <c:pt idx="741">
                  <c:v>417593.36</c:v>
                </c:pt>
                <c:pt idx="742">
                  <c:v>417774.27</c:v>
                </c:pt>
                <c:pt idx="743">
                  <c:v>417130.14</c:v>
                </c:pt>
                <c:pt idx="744">
                  <c:v>415878.56</c:v>
                </c:pt>
                <c:pt idx="745">
                  <c:v>413387.15</c:v>
                </c:pt>
                <c:pt idx="746">
                  <c:v>415077.53</c:v>
                </c:pt>
                <c:pt idx="747">
                  <c:v>410358.85</c:v>
                </c:pt>
                <c:pt idx="748">
                  <c:v>403954.59</c:v>
                </c:pt>
                <c:pt idx="749">
                  <c:v>394351.69</c:v>
                </c:pt>
                <c:pt idx="750">
                  <c:v>399150.6</c:v>
                </c:pt>
                <c:pt idx="751">
                  <c:v>400317.06</c:v>
                </c:pt>
                <c:pt idx="752">
                  <c:v>406323.52</c:v>
                </c:pt>
                <c:pt idx="753">
                  <c:v>404984.75</c:v>
                </c:pt>
                <c:pt idx="754">
                  <c:v>398417.9</c:v>
                </c:pt>
                <c:pt idx="755">
                  <c:v>401358.47</c:v>
                </c:pt>
                <c:pt idx="756">
                  <c:v>397031.87</c:v>
                </c:pt>
                <c:pt idx="757">
                  <c:v>395838.43</c:v>
                </c:pt>
                <c:pt idx="758">
                  <c:v>381951.73</c:v>
                </c:pt>
                <c:pt idx="759">
                  <c:v>387671.37</c:v>
                </c:pt>
                <c:pt idx="760">
                  <c:v>386488.67</c:v>
                </c:pt>
                <c:pt idx="761">
                  <c:v>380872.48</c:v>
                </c:pt>
                <c:pt idx="762">
                  <c:v>390321.89</c:v>
                </c:pt>
                <c:pt idx="763">
                  <c:v>392394.69</c:v>
                </c:pt>
                <c:pt idx="764">
                  <c:v>401445.79</c:v>
                </c:pt>
                <c:pt idx="765">
                  <c:v>400476</c:v>
                </c:pt>
                <c:pt idx="766">
                  <c:v>405572.13</c:v>
                </c:pt>
                <c:pt idx="767">
                  <c:v>410029.68</c:v>
                </c:pt>
                <c:pt idx="768">
                  <c:v>413975.81</c:v>
                </c:pt>
                <c:pt idx="769">
                  <c:v>409057.68</c:v>
                </c:pt>
                <c:pt idx="770">
                  <c:v>406425.49</c:v>
                </c:pt>
                <c:pt idx="771">
                  <c:v>406411.58</c:v>
                </c:pt>
                <c:pt idx="772">
                  <c:v>407328.9</c:v>
                </c:pt>
                <c:pt idx="773">
                  <c:v>410478.11</c:v>
                </c:pt>
                <c:pt idx="774">
                  <c:v>411834.34</c:v>
                </c:pt>
                <c:pt idx="775">
                  <c:v>409587.48</c:v>
                </c:pt>
                <c:pt idx="776">
                  <c:v>402621.49</c:v>
                </c:pt>
                <c:pt idx="777">
                  <c:v>406305.97</c:v>
                </c:pt>
                <c:pt idx="778">
                  <c:v>403083.15</c:v>
                </c:pt>
                <c:pt idx="779">
                  <c:v>409353.88</c:v>
                </c:pt>
                <c:pt idx="780">
                  <c:v>410089.31</c:v>
                </c:pt>
                <c:pt idx="781">
                  <c:v>414246.66</c:v>
                </c:pt>
                <c:pt idx="782">
                  <c:v>414192.78</c:v>
                </c:pt>
                <c:pt idx="783">
                  <c:v>414816.13</c:v>
                </c:pt>
                <c:pt idx="784">
                  <c:v>421570.64</c:v>
                </c:pt>
                <c:pt idx="785">
                  <c:v>410018.82</c:v>
                </c:pt>
                <c:pt idx="786">
                  <c:v>407546.45</c:v>
                </c:pt>
                <c:pt idx="787">
                  <c:v>400207.22</c:v>
                </c:pt>
                <c:pt idx="788">
                  <c:v>394920</c:v>
                </c:pt>
                <c:pt idx="789">
                  <c:v>394934.34</c:v>
                </c:pt>
                <c:pt idx="790">
                  <c:v>397418.44</c:v>
                </c:pt>
                <c:pt idx="791">
                  <c:v>395222.97</c:v>
                </c:pt>
                <c:pt idx="792">
                  <c:v>390251.59</c:v>
                </c:pt>
                <c:pt idx="793">
                  <c:v>403520.73</c:v>
                </c:pt>
                <c:pt idx="794">
                  <c:v>400572.75</c:v>
                </c:pt>
                <c:pt idx="795">
                  <c:v>393811.15</c:v>
                </c:pt>
                <c:pt idx="796">
                  <c:v>391645.45</c:v>
                </c:pt>
                <c:pt idx="797">
                  <c:v>379670.04</c:v>
                </c:pt>
                <c:pt idx="798">
                  <c:v>369856.13</c:v>
                </c:pt>
                <c:pt idx="799">
                  <c:v>397720.93</c:v>
                </c:pt>
                <c:pt idx="800">
                  <c:v>400089.72</c:v>
                </c:pt>
                <c:pt idx="801">
                  <c:v>399683.68</c:v>
                </c:pt>
                <c:pt idx="802">
                  <c:v>401403.32</c:v>
                </c:pt>
                <c:pt idx="803">
                  <c:v>406235.48</c:v>
                </c:pt>
                <c:pt idx="804">
                  <c:v>401859.19</c:v>
                </c:pt>
                <c:pt idx="805">
                  <c:v>405483.08</c:v>
                </c:pt>
                <c:pt idx="806">
                  <c:v>390817.23</c:v>
                </c:pt>
                <c:pt idx="807">
                  <c:v>393176.44</c:v>
                </c:pt>
                <c:pt idx="808">
                  <c:v>395249.1</c:v>
                </c:pt>
                <c:pt idx="809">
                  <c:v>398388.83</c:v>
                </c:pt>
                <c:pt idx="810">
                  <c:v>398679.45</c:v>
                </c:pt>
                <c:pt idx="811">
                  <c:v>396928.57</c:v>
                </c:pt>
                <c:pt idx="812">
                  <c:v>398718.09</c:v>
                </c:pt>
                <c:pt idx="813">
                  <c:v>398368.72</c:v>
                </c:pt>
                <c:pt idx="814">
                  <c:v>401047.52</c:v>
                </c:pt>
                <c:pt idx="815">
                  <c:v>406382.95</c:v>
                </c:pt>
                <c:pt idx="816">
                  <c:v>400544.64</c:v>
                </c:pt>
                <c:pt idx="817">
                  <c:v>400803.81</c:v>
                </c:pt>
                <c:pt idx="818">
                  <c:v>391425.07</c:v>
                </c:pt>
                <c:pt idx="819">
                  <c:v>395488.83</c:v>
                </c:pt>
                <c:pt idx="820">
                  <c:v>395484.69</c:v>
                </c:pt>
                <c:pt idx="821">
                  <c:v>396270.66</c:v>
                </c:pt>
                <c:pt idx="822">
                  <c:v>397387.82</c:v>
                </c:pt>
                <c:pt idx="823">
                  <c:v>398929.08</c:v>
                </c:pt>
                <c:pt idx="824">
                  <c:v>399784.64</c:v>
                </c:pt>
                <c:pt idx="825">
                  <c:v>400045.9</c:v>
                </c:pt>
                <c:pt idx="826">
                  <c:v>401573.77</c:v>
                </c:pt>
                <c:pt idx="827">
                  <c:v>400657.85</c:v>
                </c:pt>
                <c:pt idx="828">
                  <c:v>396182.66</c:v>
                </c:pt>
                <c:pt idx="829">
                  <c:v>394817.52</c:v>
                </c:pt>
                <c:pt idx="830">
                  <c:v>396278.65</c:v>
                </c:pt>
                <c:pt idx="831">
                  <c:v>402240.41</c:v>
                </c:pt>
                <c:pt idx="832">
                  <c:v>402473.84</c:v>
                </c:pt>
                <c:pt idx="833">
                  <c:v>405300.44</c:v>
                </c:pt>
                <c:pt idx="834">
                  <c:v>416948.08</c:v>
                </c:pt>
                <c:pt idx="835">
                  <c:v>417878.34</c:v>
                </c:pt>
                <c:pt idx="836">
                  <c:v>419215.09</c:v>
                </c:pt>
                <c:pt idx="837">
                  <c:v>418665.85</c:v>
                </c:pt>
                <c:pt idx="838">
                  <c:v>410165.69</c:v>
                </c:pt>
                <c:pt idx="839">
                  <c:v>410247.07</c:v>
                </c:pt>
                <c:pt idx="840">
                  <c:v>408143.39</c:v>
                </c:pt>
                <c:pt idx="841">
                  <c:v>407049.01</c:v>
                </c:pt>
                <c:pt idx="842">
                  <c:v>406098.27</c:v>
                </c:pt>
                <c:pt idx="843">
                  <c:v>408382.16</c:v>
                </c:pt>
                <c:pt idx="844">
                  <c:v>408818.86</c:v>
                </c:pt>
                <c:pt idx="845">
                  <c:v>407753.37</c:v>
                </c:pt>
                <c:pt idx="846">
                  <c:v>405633.75</c:v>
                </c:pt>
                <c:pt idx="847">
                  <c:v>403450.65</c:v>
                </c:pt>
                <c:pt idx="848">
                  <c:v>402362.46</c:v>
                </c:pt>
                <c:pt idx="849">
                  <c:v>405590.7</c:v>
                </c:pt>
                <c:pt idx="850">
                  <c:v>406795.63</c:v>
                </c:pt>
                <c:pt idx="851">
                  <c:v>409368.31</c:v>
                </c:pt>
                <c:pt idx="852">
                  <c:v>408269.23</c:v>
                </c:pt>
                <c:pt idx="853">
                  <c:v>408869.92</c:v>
                </c:pt>
                <c:pt idx="854">
                  <c:v>410877.17</c:v>
                </c:pt>
                <c:pt idx="855">
                  <c:v>410458.62</c:v>
                </c:pt>
                <c:pt idx="856">
                  <c:v>409825.74</c:v>
                </c:pt>
                <c:pt idx="857">
                  <c:v>412377.54</c:v>
                </c:pt>
                <c:pt idx="858">
                  <c:v>406223.07</c:v>
                </c:pt>
                <c:pt idx="859">
                  <c:v>405489.52</c:v>
                </c:pt>
                <c:pt idx="860">
                  <c:v>407594.72</c:v>
                </c:pt>
                <c:pt idx="861">
                  <c:v>406813.72</c:v>
                </c:pt>
                <c:pt idx="862">
                  <c:v>407443.32</c:v>
                </c:pt>
                <c:pt idx="863">
                  <c:v>408307.24</c:v>
                </c:pt>
                <c:pt idx="864">
                  <c:v>411874.17</c:v>
                </c:pt>
                <c:pt idx="865">
                  <c:v>408880.97</c:v>
                </c:pt>
                <c:pt idx="866">
                  <c:v>409389.95</c:v>
                </c:pt>
                <c:pt idx="867">
                  <c:v>411494.73</c:v>
                </c:pt>
                <c:pt idx="868">
                  <c:v>414382.34</c:v>
                </c:pt>
                <c:pt idx="869">
                  <c:v>414279.77</c:v>
                </c:pt>
                <c:pt idx="870">
                  <c:v>412104.49</c:v>
                </c:pt>
                <c:pt idx="871">
                  <c:v>412359.33</c:v>
                </c:pt>
                <c:pt idx="872">
                  <c:v>411204.51</c:v>
                </c:pt>
                <c:pt idx="873">
                  <c:v>413392.93</c:v>
                </c:pt>
                <c:pt idx="874">
                  <c:v>362992.11</c:v>
                </c:pt>
                <c:pt idx="875">
                  <c:v>362919.13</c:v>
                </c:pt>
                <c:pt idx="876">
                  <c:v>311173.65999999997</c:v>
                </c:pt>
                <c:pt idx="877">
                  <c:v>311138.59999999998</c:v>
                </c:pt>
                <c:pt idx="878">
                  <c:v>312483.15000000002</c:v>
                </c:pt>
                <c:pt idx="879">
                  <c:v>314529.84999999998</c:v>
                </c:pt>
                <c:pt idx="880">
                  <c:v>313915.59999999998</c:v>
                </c:pt>
                <c:pt idx="881">
                  <c:v>311882.3</c:v>
                </c:pt>
                <c:pt idx="882">
                  <c:v>313209.32</c:v>
                </c:pt>
                <c:pt idx="883">
                  <c:v>313441.76</c:v>
                </c:pt>
                <c:pt idx="884">
                  <c:v>314082.93</c:v>
                </c:pt>
                <c:pt idx="885">
                  <c:v>312139.53000000003</c:v>
                </c:pt>
                <c:pt idx="886">
                  <c:v>308787.27</c:v>
                </c:pt>
                <c:pt idx="887">
                  <c:v>312595.8</c:v>
                </c:pt>
                <c:pt idx="888">
                  <c:v>311204.36</c:v>
                </c:pt>
                <c:pt idx="889">
                  <c:v>308040.06</c:v>
                </c:pt>
                <c:pt idx="890">
                  <c:v>308089.84000000003</c:v>
                </c:pt>
                <c:pt idx="891">
                  <c:v>306512.14</c:v>
                </c:pt>
                <c:pt idx="892">
                  <c:v>306372.58</c:v>
                </c:pt>
                <c:pt idx="893">
                  <c:v>300130.46000000002</c:v>
                </c:pt>
                <c:pt idx="894">
                  <c:v>302326.94</c:v>
                </c:pt>
                <c:pt idx="895">
                  <c:v>301641.46000000002</c:v>
                </c:pt>
                <c:pt idx="896">
                  <c:v>302556.53999999998</c:v>
                </c:pt>
                <c:pt idx="897">
                  <c:v>301348.26</c:v>
                </c:pt>
                <c:pt idx="898">
                  <c:v>300301.14</c:v>
                </c:pt>
                <c:pt idx="899">
                  <c:v>303500.03999999998</c:v>
                </c:pt>
                <c:pt idx="900">
                  <c:v>301520.19</c:v>
                </c:pt>
                <c:pt idx="901">
                  <c:v>295844.55</c:v>
                </c:pt>
                <c:pt idx="902">
                  <c:v>295352.09000000003</c:v>
                </c:pt>
                <c:pt idx="903">
                  <c:v>289554.75</c:v>
                </c:pt>
                <c:pt idx="904">
                  <c:v>288093.69</c:v>
                </c:pt>
                <c:pt idx="905">
                  <c:v>283348.55</c:v>
                </c:pt>
                <c:pt idx="906">
                  <c:v>280628.69</c:v>
                </c:pt>
                <c:pt idx="907">
                  <c:v>284389.43</c:v>
                </c:pt>
                <c:pt idx="908">
                  <c:v>290087.31</c:v>
                </c:pt>
                <c:pt idx="909">
                  <c:v>288753.23</c:v>
                </c:pt>
                <c:pt idx="910">
                  <c:v>289340.01</c:v>
                </c:pt>
                <c:pt idx="911">
                  <c:v>289123.67</c:v>
                </c:pt>
                <c:pt idx="912">
                  <c:v>291790.94</c:v>
                </c:pt>
                <c:pt idx="913">
                  <c:v>291353.98</c:v>
                </c:pt>
                <c:pt idx="914">
                  <c:v>289732.38</c:v>
                </c:pt>
                <c:pt idx="915">
                  <c:v>291703.69</c:v>
                </c:pt>
                <c:pt idx="916">
                  <c:v>288557.03000000003</c:v>
                </c:pt>
                <c:pt idx="917">
                  <c:v>290076.03999999998</c:v>
                </c:pt>
                <c:pt idx="918">
                  <c:v>293039</c:v>
                </c:pt>
                <c:pt idx="919">
                  <c:v>292400.86</c:v>
                </c:pt>
                <c:pt idx="920">
                  <c:v>295186.48</c:v>
                </c:pt>
                <c:pt idx="921">
                  <c:v>295644.83</c:v>
                </c:pt>
                <c:pt idx="922">
                  <c:v>292944.21000000002</c:v>
                </c:pt>
                <c:pt idx="923">
                  <c:v>294354.13</c:v>
                </c:pt>
                <c:pt idx="924">
                  <c:v>297196.7</c:v>
                </c:pt>
                <c:pt idx="925">
                  <c:v>297430.07</c:v>
                </c:pt>
                <c:pt idx="926">
                  <c:v>299186.87</c:v>
                </c:pt>
                <c:pt idx="927">
                  <c:v>300505.87</c:v>
                </c:pt>
                <c:pt idx="928">
                  <c:v>296218.53999999998</c:v>
                </c:pt>
                <c:pt idx="929">
                  <c:v>298370.77</c:v>
                </c:pt>
                <c:pt idx="930">
                  <c:v>298558.45</c:v>
                </c:pt>
                <c:pt idx="931">
                  <c:v>295611.11</c:v>
                </c:pt>
                <c:pt idx="932">
                  <c:v>294624.46000000002</c:v>
                </c:pt>
                <c:pt idx="933">
                  <c:v>297341.7</c:v>
                </c:pt>
                <c:pt idx="934">
                  <c:v>294521.34000000003</c:v>
                </c:pt>
                <c:pt idx="935">
                  <c:v>298612.23</c:v>
                </c:pt>
                <c:pt idx="936">
                  <c:v>293556.21000000002</c:v>
                </c:pt>
                <c:pt idx="937">
                  <c:v>301174.8</c:v>
                </c:pt>
                <c:pt idx="938">
                  <c:v>298988.58</c:v>
                </c:pt>
                <c:pt idx="939">
                  <c:v>299905.98</c:v>
                </c:pt>
                <c:pt idx="940">
                  <c:v>302279.08</c:v>
                </c:pt>
                <c:pt idx="941">
                  <c:v>301207.26</c:v>
                </c:pt>
                <c:pt idx="942">
                  <c:v>303851.98</c:v>
                </c:pt>
                <c:pt idx="943">
                  <c:v>297171.44</c:v>
                </c:pt>
                <c:pt idx="944">
                  <c:v>293197.07</c:v>
                </c:pt>
                <c:pt idx="945">
                  <c:v>293444.43</c:v>
                </c:pt>
                <c:pt idx="946">
                  <c:v>292294.65000000002</c:v>
                </c:pt>
                <c:pt idx="947">
                  <c:v>296863.11</c:v>
                </c:pt>
                <c:pt idx="948">
                  <c:v>295312.03000000003</c:v>
                </c:pt>
                <c:pt idx="949">
                  <c:v>289817.96000000002</c:v>
                </c:pt>
                <c:pt idx="950">
                  <c:v>289446.74</c:v>
                </c:pt>
                <c:pt idx="951">
                  <c:v>285701.65000000002</c:v>
                </c:pt>
                <c:pt idx="952">
                  <c:v>280908.61</c:v>
                </c:pt>
                <c:pt idx="953">
                  <c:v>282283.34999999998</c:v>
                </c:pt>
                <c:pt idx="954">
                  <c:v>289284.46000000002</c:v>
                </c:pt>
                <c:pt idx="955">
                  <c:v>286544.7</c:v>
                </c:pt>
                <c:pt idx="956">
                  <c:v>282557.90999999997</c:v>
                </c:pt>
                <c:pt idx="957">
                  <c:v>285623.73</c:v>
                </c:pt>
                <c:pt idx="958">
                  <c:v>274275.75</c:v>
                </c:pt>
                <c:pt idx="959">
                  <c:v>276044.53000000003</c:v>
                </c:pt>
                <c:pt idx="960">
                  <c:v>283183</c:v>
                </c:pt>
                <c:pt idx="961">
                  <c:v>290017.02</c:v>
                </c:pt>
                <c:pt idx="962">
                  <c:v>287447.59000000003</c:v>
                </c:pt>
                <c:pt idx="963">
                  <c:v>288115.06</c:v>
                </c:pt>
                <c:pt idx="964">
                  <c:v>282099.93</c:v>
                </c:pt>
                <c:pt idx="965">
                  <c:v>283114.25</c:v>
                </c:pt>
                <c:pt idx="966">
                  <c:v>288169.15000000002</c:v>
                </c:pt>
                <c:pt idx="967">
                  <c:v>291211.78000000003</c:v>
                </c:pt>
                <c:pt idx="968">
                  <c:v>288863.32</c:v>
                </c:pt>
                <c:pt idx="969">
                  <c:v>294694.48</c:v>
                </c:pt>
                <c:pt idx="970">
                  <c:v>301138.12</c:v>
                </c:pt>
                <c:pt idx="971">
                  <c:v>301209.53000000003</c:v>
                </c:pt>
                <c:pt idx="972">
                  <c:v>308856.67</c:v>
                </c:pt>
                <c:pt idx="973">
                  <c:v>303766.71999999997</c:v>
                </c:pt>
                <c:pt idx="974">
                  <c:v>297684.73</c:v>
                </c:pt>
                <c:pt idx="975">
                  <c:v>293768.06</c:v>
                </c:pt>
                <c:pt idx="976">
                  <c:v>295160.71999999997</c:v>
                </c:pt>
                <c:pt idx="977">
                  <c:v>306425.3</c:v>
                </c:pt>
                <c:pt idx="978">
                  <c:v>296923.40000000002</c:v>
                </c:pt>
                <c:pt idx="979">
                  <c:v>295703.02</c:v>
                </c:pt>
                <c:pt idx="980">
                  <c:v>294179.44</c:v>
                </c:pt>
                <c:pt idx="981">
                  <c:v>295138.21999999997</c:v>
                </c:pt>
                <c:pt idx="982">
                  <c:v>293888.78000000003</c:v>
                </c:pt>
                <c:pt idx="983">
                  <c:v>286085.94</c:v>
                </c:pt>
                <c:pt idx="984">
                  <c:v>287730.05</c:v>
                </c:pt>
                <c:pt idx="985">
                  <c:v>283046.77</c:v>
                </c:pt>
                <c:pt idx="986">
                  <c:v>286264.84000000003</c:v>
                </c:pt>
                <c:pt idx="987">
                  <c:v>287454.52</c:v>
                </c:pt>
                <c:pt idx="988">
                  <c:v>280923.06</c:v>
                </c:pt>
                <c:pt idx="989">
                  <c:v>274919.71999999997</c:v>
                </c:pt>
                <c:pt idx="990">
                  <c:v>278187.09999999998</c:v>
                </c:pt>
                <c:pt idx="991">
                  <c:v>278198.58</c:v>
                </c:pt>
                <c:pt idx="992">
                  <c:v>276433.09999999998</c:v>
                </c:pt>
                <c:pt idx="993">
                  <c:v>270764.12</c:v>
                </c:pt>
                <c:pt idx="994">
                  <c:v>276088.21000000002</c:v>
                </c:pt>
                <c:pt idx="995">
                  <c:v>282417.59999999998</c:v>
                </c:pt>
                <c:pt idx="996">
                  <c:v>281724.02</c:v>
                </c:pt>
                <c:pt idx="997">
                  <c:v>284007.53999999998</c:v>
                </c:pt>
                <c:pt idx="998">
                  <c:v>282466.64</c:v>
                </c:pt>
                <c:pt idx="999">
                  <c:v>284069.58</c:v>
                </c:pt>
                <c:pt idx="1000">
                  <c:v>281072.06</c:v>
                </c:pt>
                <c:pt idx="1001">
                  <c:v>284468.65999999997</c:v>
                </c:pt>
                <c:pt idx="1002">
                  <c:v>286274.18</c:v>
                </c:pt>
                <c:pt idx="1003">
                  <c:v>289534.26</c:v>
                </c:pt>
                <c:pt idx="1004">
                  <c:v>289008.84000000003</c:v>
                </c:pt>
                <c:pt idx="1005">
                  <c:v>290735.03999999998</c:v>
                </c:pt>
                <c:pt idx="1006">
                  <c:v>291095.28000000003</c:v>
                </c:pt>
                <c:pt idx="1007">
                  <c:v>292366.2</c:v>
                </c:pt>
                <c:pt idx="1008">
                  <c:v>288015.74</c:v>
                </c:pt>
                <c:pt idx="1009">
                  <c:v>290011.92</c:v>
                </c:pt>
                <c:pt idx="1010">
                  <c:v>297254.08</c:v>
                </c:pt>
                <c:pt idx="1011">
                  <c:v>304485.95</c:v>
                </c:pt>
                <c:pt idx="1012">
                  <c:v>305310.88</c:v>
                </c:pt>
                <c:pt idx="1013">
                  <c:v>304518.69</c:v>
                </c:pt>
                <c:pt idx="1014">
                  <c:v>306683.56</c:v>
                </c:pt>
                <c:pt idx="1015">
                  <c:v>303671.92</c:v>
                </c:pt>
                <c:pt idx="1016">
                  <c:v>304000.24</c:v>
                </c:pt>
                <c:pt idx="1017">
                  <c:v>302012.73</c:v>
                </c:pt>
                <c:pt idx="1018">
                  <c:v>300551.93</c:v>
                </c:pt>
                <c:pt idx="1019">
                  <c:v>303684.33</c:v>
                </c:pt>
                <c:pt idx="1020">
                  <c:v>299076.23</c:v>
                </c:pt>
                <c:pt idx="1021">
                  <c:v>296508.21000000002</c:v>
                </c:pt>
                <c:pt idx="1022">
                  <c:v>297016.03000000003</c:v>
                </c:pt>
                <c:pt idx="1023">
                  <c:v>297885.84999999998</c:v>
                </c:pt>
                <c:pt idx="1024">
                  <c:v>300725.86</c:v>
                </c:pt>
                <c:pt idx="1025">
                  <c:v>302961.64</c:v>
                </c:pt>
                <c:pt idx="1026">
                  <c:v>299211.64</c:v>
                </c:pt>
                <c:pt idx="1027">
                  <c:v>301307.12</c:v>
                </c:pt>
                <c:pt idx="1028">
                  <c:v>298919.11</c:v>
                </c:pt>
                <c:pt idx="1029">
                  <c:v>300908.87</c:v>
                </c:pt>
                <c:pt idx="1030">
                  <c:v>298053.65000000002</c:v>
                </c:pt>
                <c:pt idx="1031">
                  <c:v>302081.05</c:v>
                </c:pt>
                <c:pt idx="1032">
                  <c:v>301225.2</c:v>
                </c:pt>
                <c:pt idx="1033">
                  <c:v>306123.40000000002</c:v>
                </c:pt>
                <c:pt idx="1034">
                  <c:v>306718.5</c:v>
                </c:pt>
                <c:pt idx="1035">
                  <c:v>305904.09999999998</c:v>
                </c:pt>
              </c:numCache>
            </c:numRef>
          </c:yVal>
          <c:smooth val="1"/>
        </c:ser>
        <c:dLbls>
          <c:showLegendKey val="0"/>
          <c:showVal val="0"/>
          <c:showCatName val="0"/>
          <c:showSerName val="0"/>
          <c:showPercent val="0"/>
          <c:showBubbleSize val="0"/>
        </c:dLbls>
        <c:axId val="395892712"/>
        <c:axId val="395891536"/>
      </c:scatterChart>
      <c:valAx>
        <c:axId val="395892712"/>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95891536"/>
        <c:crosses val="autoZero"/>
        <c:crossBetween val="midCat"/>
      </c:valAx>
      <c:valAx>
        <c:axId val="395891536"/>
        <c:scaling>
          <c:orientation val="minMax"/>
          <c:min val="2300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95892712"/>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P/L</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2297954080661064E-2"/>
          <c:y val="0.10303256735765172"/>
          <c:w val="0.91335400661446786"/>
          <c:h val="0.85268376068376073"/>
        </c:manualLayout>
      </c:layout>
      <c:scatterChart>
        <c:scatterStyle val="smoothMarker"/>
        <c:varyColors val="0"/>
        <c:ser>
          <c:idx val="0"/>
          <c:order val="0"/>
          <c:spPr>
            <a:ln w="3175" cap="rnd">
              <a:solidFill>
                <a:schemeClr val="accent4"/>
              </a:solidFill>
            </a:ln>
            <a:effectLst>
              <a:glow rad="12700">
                <a:schemeClr val="accent4">
                  <a:satMod val="175000"/>
                  <a:alpha val="14000"/>
                </a:schemeClr>
              </a:glow>
            </a:effectLst>
          </c:spPr>
          <c:marker>
            <c:symbol val="circle"/>
            <c:size val="2"/>
            <c:spPr>
              <a:solidFill>
                <a:schemeClr val="accent1">
                  <a:lumMod val="50000"/>
                </a:schemeClr>
              </a:solidFill>
              <a:ln>
                <a:solidFill>
                  <a:schemeClr val="accent1">
                    <a:lumMod val="75000"/>
                  </a:schemeClr>
                </a:solidFill>
              </a:ln>
              <a:effectLst>
                <a:glow rad="12700">
                  <a:schemeClr val="accent4">
                    <a:satMod val="175000"/>
                    <a:alpha val="14000"/>
                  </a:schemeClr>
                </a:glow>
              </a:effectLst>
            </c:spPr>
          </c:marker>
          <c:xVal>
            <c:numRef>
              <c:f>Balance!$B$2:$B$1939</c:f>
              <c:numCache>
                <c:formatCode>m/d/yyyy</c:formatCode>
                <c:ptCount val="193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pt idx="1032">
                  <c:v>43804</c:v>
                </c:pt>
                <c:pt idx="1033">
                  <c:v>43805</c:v>
                </c:pt>
                <c:pt idx="1034">
                  <c:v>43808</c:v>
                </c:pt>
                <c:pt idx="1035">
                  <c:v>43809</c:v>
                </c:pt>
              </c:numCache>
            </c:numRef>
          </c:xVal>
          <c:yVal>
            <c:numRef>
              <c:f>Balance!$M$2:$M$1989</c:f>
              <c:numCache>
                <c:formatCode>0.00</c:formatCode>
                <c:ptCount val="1988"/>
                <c:pt idx="0">
                  <c:v>-37411.789999999979</c:v>
                </c:pt>
                <c:pt idx="1">
                  <c:v>-40005.969999999972</c:v>
                </c:pt>
                <c:pt idx="2">
                  <c:v>-48160.219999999972</c:v>
                </c:pt>
                <c:pt idx="3">
                  <c:v>-58302.590000000026</c:v>
                </c:pt>
                <c:pt idx="4">
                  <c:v>-64906.44</c:v>
                </c:pt>
                <c:pt idx="5">
                  <c:v>-76904.710000000021</c:v>
                </c:pt>
                <c:pt idx="6">
                  <c:v>-83056.789999999979</c:v>
                </c:pt>
                <c:pt idx="7">
                  <c:v>-75167.799999999988</c:v>
                </c:pt>
                <c:pt idx="8">
                  <c:v>-59257.020000000019</c:v>
                </c:pt>
                <c:pt idx="9">
                  <c:v>-52058.94</c:v>
                </c:pt>
                <c:pt idx="10">
                  <c:v>-48799.289999999979</c:v>
                </c:pt>
                <c:pt idx="11">
                  <c:v>-57559.210000000021</c:v>
                </c:pt>
                <c:pt idx="12">
                  <c:v>-53968.06</c:v>
                </c:pt>
                <c:pt idx="13">
                  <c:v>-51780.659999999974</c:v>
                </c:pt>
                <c:pt idx="14">
                  <c:v>-55070.599999999977</c:v>
                </c:pt>
                <c:pt idx="15">
                  <c:v>-48386.099999999977</c:v>
                </c:pt>
                <c:pt idx="16">
                  <c:v>-58207.520000000019</c:v>
                </c:pt>
                <c:pt idx="17">
                  <c:v>-56610.010000000009</c:v>
                </c:pt>
                <c:pt idx="18">
                  <c:v>-56960.359999999986</c:v>
                </c:pt>
                <c:pt idx="19">
                  <c:v>-53984.25</c:v>
                </c:pt>
                <c:pt idx="20">
                  <c:v>-51471.260000000009</c:v>
                </c:pt>
                <c:pt idx="21">
                  <c:v>-46795.070000000007</c:v>
                </c:pt>
                <c:pt idx="22">
                  <c:v>-46086.960000000021</c:v>
                </c:pt>
                <c:pt idx="23">
                  <c:v>-55380.5</c:v>
                </c:pt>
                <c:pt idx="24">
                  <c:v>-53202.950000000012</c:v>
                </c:pt>
                <c:pt idx="25">
                  <c:v>-61371.820000000007</c:v>
                </c:pt>
                <c:pt idx="26">
                  <c:v>-68180.789999999979</c:v>
                </c:pt>
                <c:pt idx="27">
                  <c:v>-66553.840000000026</c:v>
                </c:pt>
                <c:pt idx="28">
                  <c:v>-69288.080000000016</c:v>
                </c:pt>
                <c:pt idx="29">
                  <c:v>-81132.080000000016</c:v>
                </c:pt>
                <c:pt idx="30">
                  <c:v>-77967</c:v>
                </c:pt>
                <c:pt idx="31">
                  <c:v>-69346.520000000019</c:v>
                </c:pt>
                <c:pt idx="32">
                  <c:v>-68036.44</c:v>
                </c:pt>
                <c:pt idx="33">
                  <c:v>-53672.989999999991</c:v>
                </c:pt>
                <c:pt idx="34">
                  <c:v>-41950.469999999972</c:v>
                </c:pt>
                <c:pt idx="35">
                  <c:v>-40557.380000000005</c:v>
                </c:pt>
                <c:pt idx="36">
                  <c:v>-38327.710000000021</c:v>
                </c:pt>
                <c:pt idx="37">
                  <c:v>-35472.429999999993</c:v>
                </c:pt>
                <c:pt idx="38">
                  <c:v>-38308.080000000016</c:v>
                </c:pt>
                <c:pt idx="39">
                  <c:v>-41133.219999999972</c:v>
                </c:pt>
                <c:pt idx="40">
                  <c:v>-42491.409999999974</c:v>
                </c:pt>
                <c:pt idx="41">
                  <c:v>-39650.349999999977</c:v>
                </c:pt>
                <c:pt idx="42">
                  <c:v>-36313.419999999984</c:v>
                </c:pt>
                <c:pt idx="43">
                  <c:v>-38031.659999999974</c:v>
                </c:pt>
                <c:pt idx="44">
                  <c:v>-36383.210000000021</c:v>
                </c:pt>
                <c:pt idx="45">
                  <c:v>-42807</c:v>
                </c:pt>
                <c:pt idx="46">
                  <c:v>-49688.650000000023</c:v>
                </c:pt>
                <c:pt idx="47">
                  <c:v>-46442.109999999986</c:v>
                </c:pt>
                <c:pt idx="48">
                  <c:v>-45051.419999999984</c:v>
                </c:pt>
                <c:pt idx="49">
                  <c:v>-53049.280000000028</c:v>
                </c:pt>
                <c:pt idx="50">
                  <c:v>-54411.539999999979</c:v>
                </c:pt>
                <c:pt idx="51">
                  <c:v>-46652</c:v>
                </c:pt>
                <c:pt idx="52">
                  <c:v>-50872.450000000012</c:v>
                </c:pt>
                <c:pt idx="53">
                  <c:v>-48861.5</c:v>
                </c:pt>
                <c:pt idx="54">
                  <c:v>-43051.19</c:v>
                </c:pt>
                <c:pt idx="55">
                  <c:v>-37730.559999999998</c:v>
                </c:pt>
                <c:pt idx="56">
                  <c:v>-38345.580000000016</c:v>
                </c:pt>
                <c:pt idx="57">
                  <c:v>-48332.56</c:v>
                </c:pt>
                <c:pt idx="58">
                  <c:v>-48545.75</c:v>
                </c:pt>
                <c:pt idx="59">
                  <c:v>-52984.859999999986</c:v>
                </c:pt>
                <c:pt idx="60">
                  <c:v>-53511.659999999974</c:v>
                </c:pt>
                <c:pt idx="61">
                  <c:v>-58615.380000000005</c:v>
                </c:pt>
                <c:pt idx="62">
                  <c:v>-64499.380000000005</c:v>
                </c:pt>
                <c:pt idx="63">
                  <c:v>-64045</c:v>
                </c:pt>
                <c:pt idx="64">
                  <c:v>-57165.609999999986</c:v>
                </c:pt>
                <c:pt idx="65">
                  <c:v>-58636.929999999993</c:v>
                </c:pt>
                <c:pt idx="66">
                  <c:v>-50421.710000000021</c:v>
                </c:pt>
                <c:pt idx="67">
                  <c:v>-48490.049999999988</c:v>
                </c:pt>
                <c:pt idx="68">
                  <c:v>-50190.669999999984</c:v>
                </c:pt>
                <c:pt idx="69">
                  <c:v>-47619.380000000005</c:v>
                </c:pt>
                <c:pt idx="70">
                  <c:v>-43005.31</c:v>
                </c:pt>
                <c:pt idx="71">
                  <c:v>-42046.580000000016</c:v>
                </c:pt>
                <c:pt idx="72">
                  <c:v>-44536.530000000028</c:v>
                </c:pt>
                <c:pt idx="73">
                  <c:v>-41737.710000000021</c:v>
                </c:pt>
                <c:pt idx="74">
                  <c:v>-38718.090000000026</c:v>
                </c:pt>
                <c:pt idx="75">
                  <c:v>-50358.799999999988</c:v>
                </c:pt>
                <c:pt idx="76">
                  <c:v>-55569.419999999984</c:v>
                </c:pt>
                <c:pt idx="77">
                  <c:v>-58935.349999999977</c:v>
                </c:pt>
                <c:pt idx="78">
                  <c:v>-76444.659999999974</c:v>
                </c:pt>
                <c:pt idx="79">
                  <c:v>-79090.479999999981</c:v>
                </c:pt>
                <c:pt idx="80">
                  <c:v>-80546.880000000005</c:v>
                </c:pt>
                <c:pt idx="81">
                  <c:v>-75753.460000000021</c:v>
                </c:pt>
                <c:pt idx="82">
                  <c:v>-85025.479999999981</c:v>
                </c:pt>
                <c:pt idx="83">
                  <c:v>-82872.25</c:v>
                </c:pt>
                <c:pt idx="84">
                  <c:v>-84888.87</c:v>
                </c:pt>
                <c:pt idx="85">
                  <c:v>-79932.659999999974</c:v>
                </c:pt>
                <c:pt idx="86">
                  <c:v>-85137.31</c:v>
                </c:pt>
                <c:pt idx="87">
                  <c:v>-84497.950000000012</c:v>
                </c:pt>
                <c:pt idx="88">
                  <c:v>-79174.94</c:v>
                </c:pt>
                <c:pt idx="89">
                  <c:v>-78097.219999999972</c:v>
                </c:pt>
                <c:pt idx="90">
                  <c:v>-69265.900000000023</c:v>
                </c:pt>
                <c:pt idx="91">
                  <c:v>-68527.679999999993</c:v>
                </c:pt>
                <c:pt idx="92">
                  <c:v>-75566.13</c:v>
                </c:pt>
                <c:pt idx="93">
                  <c:v>-73737</c:v>
                </c:pt>
                <c:pt idx="94">
                  <c:v>-81946.81</c:v>
                </c:pt>
                <c:pt idx="95">
                  <c:v>-79115.679999999993</c:v>
                </c:pt>
                <c:pt idx="96">
                  <c:v>-76243.530000000028</c:v>
                </c:pt>
                <c:pt idx="97">
                  <c:v>-73879.489999999991</c:v>
                </c:pt>
                <c:pt idx="98">
                  <c:v>-92784.700000000012</c:v>
                </c:pt>
                <c:pt idx="99">
                  <c:v>-103549.15000000002</c:v>
                </c:pt>
                <c:pt idx="100">
                  <c:v>-108290.76000000001</c:v>
                </c:pt>
                <c:pt idx="101">
                  <c:v>-121488.53000000003</c:v>
                </c:pt>
                <c:pt idx="102">
                  <c:v>-127719.40999999997</c:v>
                </c:pt>
                <c:pt idx="103">
                  <c:v>-140939.35999999999</c:v>
                </c:pt>
                <c:pt idx="104">
                  <c:v>-132922.59999999998</c:v>
                </c:pt>
                <c:pt idx="105">
                  <c:v>-150602.43</c:v>
                </c:pt>
                <c:pt idx="106">
                  <c:v>-158302.96</c:v>
                </c:pt>
                <c:pt idx="107">
                  <c:v>-160998.44</c:v>
                </c:pt>
                <c:pt idx="108">
                  <c:v>-145008.49</c:v>
                </c:pt>
                <c:pt idx="109">
                  <c:v>-139901.19</c:v>
                </c:pt>
                <c:pt idx="110">
                  <c:v>-158154.19</c:v>
                </c:pt>
                <c:pt idx="111">
                  <c:v>-151944.43</c:v>
                </c:pt>
                <c:pt idx="112">
                  <c:v>-148414.24</c:v>
                </c:pt>
                <c:pt idx="113">
                  <c:v>-143312.4</c:v>
                </c:pt>
                <c:pt idx="114">
                  <c:v>-127458.39000000001</c:v>
                </c:pt>
                <c:pt idx="115">
                  <c:v>-128312.72999999998</c:v>
                </c:pt>
                <c:pt idx="116">
                  <c:v>-141832.38</c:v>
                </c:pt>
                <c:pt idx="117">
                  <c:v>-129002.90000000002</c:v>
                </c:pt>
                <c:pt idx="118">
                  <c:v>-127837.70000000001</c:v>
                </c:pt>
                <c:pt idx="119">
                  <c:v>-142042.57</c:v>
                </c:pt>
                <c:pt idx="120">
                  <c:v>-155455.39000000001</c:v>
                </c:pt>
                <c:pt idx="121">
                  <c:v>-160944.14000000001</c:v>
                </c:pt>
                <c:pt idx="122">
                  <c:v>-164126.03</c:v>
                </c:pt>
                <c:pt idx="123">
                  <c:v>-169390.87</c:v>
                </c:pt>
                <c:pt idx="124">
                  <c:v>-163010.17000000001</c:v>
                </c:pt>
                <c:pt idx="125">
                  <c:v>-156336.54</c:v>
                </c:pt>
                <c:pt idx="126">
                  <c:v>-150634.69</c:v>
                </c:pt>
                <c:pt idx="127">
                  <c:v>-158319.88</c:v>
                </c:pt>
                <c:pt idx="128">
                  <c:v>-163854.82999999999</c:v>
                </c:pt>
                <c:pt idx="129">
                  <c:v>-151584.76999999999</c:v>
                </c:pt>
                <c:pt idx="130">
                  <c:v>-161205.76999999999</c:v>
                </c:pt>
                <c:pt idx="131">
                  <c:v>-157577.54</c:v>
                </c:pt>
                <c:pt idx="132">
                  <c:v>-155475.23000000001</c:v>
                </c:pt>
                <c:pt idx="133">
                  <c:v>-148083.32999999999</c:v>
                </c:pt>
                <c:pt idx="134">
                  <c:v>-145865.91</c:v>
                </c:pt>
                <c:pt idx="135">
                  <c:v>-143710.37</c:v>
                </c:pt>
                <c:pt idx="136">
                  <c:v>-126408.95000000001</c:v>
                </c:pt>
                <c:pt idx="137">
                  <c:v>-115534.90000000002</c:v>
                </c:pt>
                <c:pt idx="138">
                  <c:v>-104831.41999999998</c:v>
                </c:pt>
                <c:pt idx="139">
                  <c:v>-104667.88</c:v>
                </c:pt>
                <c:pt idx="140">
                  <c:v>-120344.77000000002</c:v>
                </c:pt>
                <c:pt idx="141">
                  <c:v>-115558.44</c:v>
                </c:pt>
                <c:pt idx="142">
                  <c:v>-112581.01000000001</c:v>
                </c:pt>
                <c:pt idx="143">
                  <c:v>-102470.75</c:v>
                </c:pt>
                <c:pt idx="144">
                  <c:v>-104616.51000000001</c:v>
                </c:pt>
                <c:pt idx="145">
                  <c:v>-104330.94</c:v>
                </c:pt>
                <c:pt idx="146">
                  <c:v>-102377.96000000002</c:v>
                </c:pt>
                <c:pt idx="147">
                  <c:v>-101756.26000000001</c:v>
                </c:pt>
                <c:pt idx="148">
                  <c:v>-97747.390000000014</c:v>
                </c:pt>
                <c:pt idx="149">
                  <c:v>-97602.979999999981</c:v>
                </c:pt>
                <c:pt idx="150">
                  <c:v>-99072.950000000012</c:v>
                </c:pt>
                <c:pt idx="151">
                  <c:v>-116893.46000000002</c:v>
                </c:pt>
                <c:pt idx="152">
                  <c:v>-116396.01000000001</c:v>
                </c:pt>
                <c:pt idx="153">
                  <c:v>-118693.79999999999</c:v>
                </c:pt>
                <c:pt idx="154">
                  <c:v>-114677.53000000003</c:v>
                </c:pt>
                <c:pt idx="155">
                  <c:v>-111873.51000000001</c:v>
                </c:pt>
                <c:pt idx="156">
                  <c:v>-104332.63</c:v>
                </c:pt>
                <c:pt idx="157">
                  <c:v>-106114.51000000001</c:v>
                </c:pt>
                <c:pt idx="158">
                  <c:v>-108617.95000000001</c:v>
                </c:pt>
                <c:pt idx="159">
                  <c:v>-110090.32</c:v>
                </c:pt>
                <c:pt idx="160">
                  <c:v>-105199.72999999998</c:v>
                </c:pt>
                <c:pt idx="161">
                  <c:v>-103587.88</c:v>
                </c:pt>
                <c:pt idx="162">
                  <c:v>-96438.830000000016</c:v>
                </c:pt>
                <c:pt idx="163">
                  <c:v>-98625.780000000028</c:v>
                </c:pt>
                <c:pt idx="164">
                  <c:v>-85249.520000000019</c:v>
                </c:pt>
                <c:pt idx="165">
                  <c:v>-82316.650000000023</c:v>
                </c:pt>
                <c:pt idx="166">
                  <c:v>-82757.710000000021</c:v>
                </c:pt>
                <c:pt idx="167">
                  <c:v>-82278.359999999986</c:v>
                </c:pt>
                <c:pt idx="168">
                  <c:v>-77100.69</c:v>
                </c:pt>
                <c:pt idx="169">
                  <c:v>-71679.640000000014</c:v>
                </c:pt>
                <c:pt idx="170">
                  <c:v>-70664.179999999993</c:v>
                </c:pt>
                <c:pt idx="171">
                  <c:v>-72830.979999999981</c:v>
                </c:pt>
                <c:pt idx="172">
                  <c:v>-68528.289999999979</c:v>
                </c:pt>
                <c:pt idx="173">
                  <c:v>-74458.969999999972</c:v>
                </c:pt>
                <c:pt idx="174">
                  <c:v>-63202.739999999991</c:v>
                </c:pt>
                <c:pt idx="175">
                  <c:v>-58459.669999999984</c:v>
                </c:pt>
                <c:pt idx="176">
                  <c:v>-63063.979999999981</c:v>
                </c:pt>
                <c:pt idx="177">
                  <c:v>-70454.460000000021</c:v>
                </c:pt>
                <c:pt idx="178">
                  <c:v>-76269.070000000007</c:v>
                </c:pt>
                <c:pt idx="179">
                  <c:v>-85766.479999999981</c:v>
                </c:pt>
                <c:pt idx="180">
                  <c:v>-95620.090000000026</c:v>
                </c:pt>
                <c:pt idx="181">
                  <c:v>-95145.419999999984</c:v>
                </c:pt>
                <c:pt idx="182">
                  <c:v>-95446.989999999991</c:v>
                </c:pt>
                <c:pt idx="183">
                  <c:v>-101859.35999999999</c:v>
                </c:pt>
                <c:pt idx="184">
                  <c:v>-95199.739999999991</c:v>
                </c:pt>
                <c:pt idx="185">
                  <c:v>-91164.770000000019</c:v>
                </c:pt>
                <c:pt idx="186">
                  <c:v>-95698.659999999974</c:v>
                </c:pt>
                <c:pt idx="187">
                  <c:v>-96263.739999999991</c:v>
                </c:pt>
                <c:pt idx="188">
                  <c:v>-89863.479999999981</c:v>
                </c:pt>
                <c:pt idx="189">
                  <c:v>-88960.989999999991</c:v>
                </c:pt>
                <c:pt idx="190">
                  <c:v>-89182.44</c:v>
                </c:pt>
                <c:pt idx="191">
                  <c:v>-88430.700000000012</c:v>
                </c:pt>
                <c:pt idx="192">
                  <c:v>-79581.169999999984</c:v>
                </c:pt>
                <c:pt idx="193">
                  <c:v>-77054.880000000005</c:v>
                </c:pt>
                <c:pt idx="194">
                  <c:v>-75558.94</c:v>
                </c:pt>
                <c:pt idx="195">
                  <c:v>-70443.140000000014</c:v>
                </c:pt>
                <c:pt idx="196">
                  <c:v>-72522.69</c:v>
                </c:pt>
                <c:pt idx="197">
                  <c:v>-72873.710000000021</c:v>
                </c:pt>
                <c:pt idx="198">
                  <c:v>-69227</c:v>
                </c:pt>
                <c:pt idx="199">
                  <c:v>-65682.359999999986</c:v>
                </c:pt>
                <c:pt idx="200">
                  <c:v>-64311.010000000009</c:v>
                </c:pt>
                <c:pt idx="201">
                  <c:v>-66068.890000000014</c:v>
                </c:pt>
                <c:pt idx="202">
                  <c:v>-59065.75</c:v>
                </c:pt>
                <c:pt idx="203">
                  <c:v>-52308.030000000028</c:v>
                </c:pt>
                <c:pt idx="204">
                  <c:v>-54584.44</c:v>
                </c:pt>
                <c:pt idx="205">
                  <c:v>-56661.989999999991</c:v>
                </c:pt>
                <c:pt idx="206">
                  <c:v>-67060.94</c:v>
                </c:pt>
                <c:pt idx="207">
                  <c:v>-70202.31</c:v>
                </c:pt>
                <c:pt idx="208">
                  <c:v>-72807.81</c:v>
                </c:pt>
                <c:pt idx="209">
                  <c:v>-74389.789999999979</c:v>
                </c:pt>
                <c:pt idx="210">
                  <c:v>-78311.710000000021</c:v>
                </c:pt>
                <c:pt idx="211">
                  <c:v>-71415.520000000019</c:v>
                </c:pt>
                <c:pt idx="212">
                  <c:v>-58257.25</c:v>
                </c:pt>
                <c:pt idx="213">
                  <c:v>-51188.650000000023</c:v>
                </c:pt>
                <c:pt idx="214">
                  <c:v>-54161.5</c:v>
                </c:pt>
                <c:pt idx="215">
                  <c:v>-44404.349999999977</c:v>
                </c:pt>
                <c:pt idx="216">
                  <c:v>-55402.789999999979</c:v>
                </c:pt>
                <c:pt idx="217">
                  <c:v>-71909.479999999981</c:v>
                </c:pt>
                <c:pt idx="218">
                  <c:v>-52684.030000000028</c:v>
                </c:pt>
                <c:pt idx="219">
                  <c:v>-45200.409999999974</c:v>
                </c:pt>
                <c:pt idx="220">
                  <c:v>-41595.840000000026</c:v>
                </c:pt>
                <c:pt idx="221">
                  <c:v>-41139.030000000028</c:v>
                </c:pt>
                <c:pt idx="222">
                  <c:v>-53060.81</c:v>
                </c:pt>
                <c:pt idx="223">
                  <c:v>-52505.489999999991</c:v>
                </c:pt>
                <c:pt idx="224">
                  <c:v>-49988.159999999974</c:v>
                </c:pt>
                <c:pt idx="225">
                  <c:v>-43453.600000000035</c:v>
                </c:pt>
                <c:pt idx="226">
                  <c:v>-43455.94</c:v>
                </c:pt>
                <c:pt idx="227">
                  <c:v>-28864.890000000014</c:v>
                </c:pt>
                <c:pt idx="228">
                  <c:v>-31509.760000000009</c:v>
                </c:pt>
                <c:pt idx="229">
                  <c:v>-29502.770000000019</c:v>
                </c:pt>
                <c:pt idx="230">
                  <c:v>-31652.559999999998</c:v>
                </c:pt>
                <c:pt idx="231">
                  <c:v>-30313.709999999963</c:v>
                </c:pt>
                <c:pt idx="232">
                  <c:v>-35971.150000000023</c:v>
                </c:pt>
                <c:pt idx="233">
                  <c:v>-33016.880000000005</c:v>
                </c:pt>
                <c:pt idx="234">
                  <c:v>-39678.799999999988</c:v>
                </c:pt>
                <c:pt idx="235">
                  <c:v>-42585.830000000016</c:v>
                </c:pt>
                <c:pt idx="236">
                  <c:v>-44306.219999999972</c:v>
                </c:pt>
                <c:pt idx="237">
                  <c:v>-39065.950000000012</c:v>
                </c:pt>
                <c:pt idx="238">
                  <c:v>-48783.850000000035</c:v>
                </c:pt>
                <c:pt idx="239">
                  <c:v>-48112.270000000019</c:v>
                </c:pt>
                <c:pt idx="240">
                  <c:v>-47149.81</c:v>
                </c:pt>
                <c:pt idx="241">
                  <c:v>-54868.320000000007</c:v>
                </c:pt>
                <c:pt idx="242">
                  <c:v>-58783.19</c:v>
                </c:pt>
                <c:pt idx="243">
                  <c:v>-52583.429999999993</c:v>
                </c:pt>
                <c:pt idx="244">
                  <c:v>-51331.340000000026</c:v>
                </c:pt>
                <c:pt idx="245">
                  <c:v>-42485.960000000021</c:v>
                </c:pt>
                <c:pt idx="246">
                  <c:v>-39282.520000000019</c:v>
                </c:pt>
                <c:pt idx="247">
                  <c:v>-39207.859999999986</c:v>
                </c:pt>
                <c:pt idx="248">
                  <c:v>-45569.210000000021</c:v>
                </c:pt>
                <c:pt idx="249">
                  <c:v>-31339.200000000012</c:v>
                </c:pt>
                <c:pt idx="250">
                  <c:v>-29076.809999999998</c:v>
                </c:pt>
                <c:pt idx="251">
                  <c:v>-24704.869999999995</c:v>
                </c:pt>
                <c:pt idx="252">
                  <c:v>-17737.169999999984</c:v>
                </c:pt>
                <c:pt idx="253">
                  <c:v>-17189.25</c:v>
                </c:pt>
                <c:pt idx="254">
                  <c:v>-22916.580000000016</c:v>
                </c:pt>
                <c:pt idx="255">
                  <c:v>-16389.950000000012</c:v>
                </c:pt>
                <c:pt idx="256">
                  <c:v>-19991.75</c:v>
                </c:pt>
                <c:pt idx="257">
                  <c:v>-19247.409999999974</c:v>
                </c:pt>
                <c:pt idx="258">
                  <c:v>-18899.479999999981</c:v>
                </c:pt>
                <c:pt idx="259">
                  <c:v>-17171.070000000007</c:v>
                </c:pt>
                <c:pt idx="260">
                  <c:v>-20593.440000000002</c:v>
                </c:pt>
                <c:pt idx="261">
                  <c:v>-24921.780000000028</c:v>
                </c:pt>
                <c:pt idx="262">
                  <c:v>-25841.530000000028</c:v>
                </c:pt>
                <c:pt idx="263">
                  <c:v>-20166.510000000009</c:v>
                </c:pt>
                <c:pt idx="264">
                  <c:v>-17072.200000000012</c:v>
                </c:pt>
                <c:pt idx="265">
                  <c:v>-13046.159999999974</c:v>
                </c:pt>
                <c:pt idx="266">
                  <c:v>-2881.8699999999953</c:v>
                </c:pt>
                <c:pt idx="267">
                  <c:v>-13788.679999999993</c:v>
                </c:pt>
                <c:pt idx="268">
                  <c:v>-12947.849999999977</c:v>
                </c:pt>
                <c:pt idx="269">
                  <c:v>-25740.590000000026</c:v>
                </c:pt>
                <c:pt idx="270">
                  <c:v>-29306.979999999981</c:v>
                </c:pt>
                <c:pt idx="271">
                  <c:v>-24147.919999999984</c:v>
                </c:pt>
                <c:pt idx="272">
                  <c:v>-24127.169999999984</c:v>
                </c:pt>
                <c:pt idx="273">
                  <c:v>-26876.520000000019</c:v>
                </c:pt>
                <c:pt idx="274">
                  <c:v>-27281.289999999979</c:v>
                </c:pt>
                <c:pt idx="275">
                  <c:v>-17536.380000000005</c:v>
                </c:pt>
                <c:pt idx="276">
                  <c:v>-14801.159999999974</c:v>
                </c:pt>
                <c:pt idx="277">
                  <c:v>-18881.950000000012</c:v>
                </c:pt>
                <c:pt idx="278">
                  <c:v>-21580.580000000016</c:v>
                </c:pt>
                <c:pt idx="279">
                  <c:v>-24165.179999999993</c:v>
                </c:pt>
                <c:pt idx="280">
                  <c:v>-14235.080000000016</c:v>
                </c:pt>
                <c:pt idx="281">
                  <c:v>-10516.650000000023</c:v>
                </c:pt>
                <c:pt idx="282">
                  <c:v>-10342.210000000021</c:v>
                </c:pt>
                <c:pt idx="283">
                  <c:v>-10212.419999999984</c:v>
                </c:pt>
                <c:pt idx="284">
                  <c:v>-14766.969999999972</c:v>
                </c:pt>
                <c:pt idx="285">
                  <c:v>-9407.460000000021</c:v>
                </c:pt>
                <c:pt idx="286">
                  <c:v>-9128.1599999999744</c:v>
                </c:pt>
                <c:pt idx="287">
                  <c:v>-13673.820000000007</c:v>
                </c:pt>
                <c:pt idx="288">
                  <c:v>-9799.5599999999977</c:v>
                </c:pt>
                <c:pt idx="289">
                  <c:v>-25350.780000000028</c:v>
                </c:pt>
                <c:pt idx="290">
                  <c:v>-19783.349999999977</c:v>
                </c:pt>
                <c:pt idx="291">
                  <c:v>-18978.559999999998</c:v>
                </c:pt>
                <c:pt idx="292">
                  <c:v>-21004.710000000021</c:v>
                </c:pt>
                <c:pt idx="293">
                  <c:v>-21459.309999999998</c:v>
                </c:pt>
                <c:pt idx="294">
                  <c:v>-25756.340000000026</c:v>
                </c:pt>
                <c:pt idx="295">
                  <c:v>-25318.900000000023</c:v>
                </c:pt>
                <c:pt idx="296">
                  <c:v>-28874.909999999974</c:v>
                </c:pt>
                <c:pt idx="297">
                  <c:v>-33503.169999999984</c:v>
                </c:pt>
                <c:pt idx="298">
                  <c:v>-40013.130000000005</c:v>
                </c:pt>
                <c:pt idx="299">
                  <c:v>-39772.780000000028</c:v>
                </c:pt>
                <c:pt idx="300">
                  <c:v>-49177.640000000014</c:v>
                </c:pt>
                <c:pt idx="301">
                  <c:v>-33076.130000000005</c:v>
                </c:pt>
                <c:pt idx="302">
                  <c:v>-37078.909999999974</c:v>
                </c:pt>
                <c:pt idx="303">
                  <c:v>7026.8800000000047</c:v>
                </c:pt>
                <c:pt idx="304">
                  <c:v>1105.4799999999814</c:v>
                </c:pt>
                <c:pt idx="305">
                  <c:v>-6432.640000000014</c:v>
                </c:pt>
                <c:pt idx="306">
                  <c:v>16163.599999999977</c:v>
                </c:pt>
                <c:pt idx="307">
                  <c:v>11692.5</c:v>
                </c:pt>
                <c:pt idx="308">
                  <c:v>13669.119999999995</c:v>
                </c:pt>
                <c:pt idx="309">
                  <c:v>15749.270000000019</c:v>
                </c:pt>
                <c:pt idx="310">
                  <c:v>17812.25</c:v>
                </c:pt>
                <c:pt idx="311">
                  <c:v>21172.039999999979</c:v>
                </c:pt>
                <c:pt idx="312">
                  <c:v>22327.219999999972</c:v>
                </c:pt>
                <c:pt idx="313">
                  <c:v>23626.280000000028</c:v>
                </c:pt>
                <c:pt idx="314">
                  <c:v>24351.419999999984</c:v>
                </c:pt>
                <c:pt idx="315">
                  <c:v>26932.270000000019</c:v>
                </c:pt>
                <c:pt idx="316">
                  <c:v>23187.580000000016</c:v>
                </c:pt>
                <c:pt idx="317">
                  <c:v>24820.979999999981</c:v>
                </c:pt>
                <c:pt idx="318">
                  <c:v>27045.520000000019</c:v>
                </c:pt>
                <c:pt idx="319">
                  <c:v>27054.270000000019</c:v>
                </c:pt>
                <c:pt idx="320">
                  <c:v>25810.979999999981</c:v>
                </c:pt>
                <c:pt idx="321">
                  <c:v>24443.280000000028</c:v>
                </c:pt>
                <c:pt idx="322">
                  <c:v>28249.780000000028</c:v>
                </c:pt>
                <c:pt idx="323">
                  <c:v>29298.479999999981</c:v>
                </c:pt>
                <c:pt idx="324">
                  <c:v>30109.080000000016</c:v>
                </c:pt>
                <c:pt idx="325">
                  <c:v>26202.979999999981</c:v>
                </c:pt>
                <c:pt idx="326">
                  <c:v>24645.530000000028</c:v>
                </c:pt>
                <c:pt idx="327">
                  <c:v>22309.380000000005</c:v>
                </c:pt>
                <c:pt idx="328">
                  <c:v>27489.650000000023</c:v>
                </c:pt>
                <c:pt idx="329">
                  <c:v>30177.020000000019</c:v>
                </c:pt>
                <c:pt idx="330">
                  <c:v>30571.570000000007</c:v>
                </c:pt>
                <c:pt idx="331">
                  <c:v>29655.770000000019</c:v>
                </c:pt>
                <c:pt idx="332">
                  <c:v>26473.820000000007</c:v>
                </c:pt>
                <c:pt idx="333">
                  <c:v>26978.320000000007</c:v>
                </c:pt>
                <c:pt idx="334">
                  <c:v>29085.820000000007</c:v>
                </c:pt>
                <c:pt idx="335">
                  <c:v>26943.469999999972</c:v>
                </c:pt>
                <c:pt idx="336">
                  <c:v>27247.349999999977</c:v>
                </c:pt>
                <c:pt idx="337">
                  <c:v>26901.489999999991</c:v>
                </c:pt>
                <c:pt idx="338">
                  <c:v>26777.700000000012</c:v>
                </c:pt>
                <c:pt idx="339">
                  <c:v>24862.349999999977</c:v>
                </c:pt>
                <c:pt idx="340">
                  <c:v>26822.080000000016</c:v>
                </c:pt>
                <c:pt idx="341">
                  <c:v>24687.640000000014</c:v>
                </c:pt>
                <c:pt idx="342">
                  <c:v>28611.700000000012</c:v>
                </c:pt>
                <c:pt idx="343">
                  <c:v>31080.080000000016</c:v>
                </c:pt>
                <c:pt idx="344">
                  <c:v>30371.859999999986</c:v>
                </c:pt>
                <c:pt idx="345">
                  <c:v>28778.719999999972</c:v>
                </c:pt>
                <c:pt idx="346">
                  <c:v>23091.520000000019</c:v>
                </c:pt>
                <c:pt idx="347">
                  <c:v>26440.169999999984</c:v>
                </c:pt>
                <c:pt idx="348">
                  <c:v>25798.719999999972</c:v>
                </c:pt>
                <c:pt idx="349">
                  <c:v>26587.239999999991</c:v>
                </c:pt>
                <c:pt idx="350">
                  <c:v>30217.570000000007</c:v>
                </c:pt>
                <c:pt idx="351">
                  <c:v>24431.869999999995</c:v>
                </c:pt>
                <c:pt idx="352">
                  <c:v>21983.640000000014</c:v>
                </c:pt>
                <c:pt idx="353">
                  <c:v>20220.330000000016</c:v>
                </c:pt>
                <c:pt idx="354">
                  <c:v>20817.130000000005</c:v>
                </c:pt>
                <c:pt idx="355">
                  <c:v>24003.010000000009</c:v>
                </c:pt>
                <c:pt idx="356">
                  <c:v>23021.710000000021</c:v>
                </c:pt>
                <c:pt idx="357">
                  <c:v>23822.239999999991</c:v>
                </c:pt>
                <c:pt idx="358">
                  <c:v>24896.150000000023</c:v>
                </c:pt>
                <c:pt idx="359">
                  <c:v>24092.390000000014</c:v>
                </c:pt>
                <c:pt idx="360">
                  <c:v>24795.140000000014</c:v>
                </c:pt>
                <c:pt idx="361">
                  <c:v>27591.989999999991</c:v>
                </c:pt>
                <c:pt idx="362">
                  <c:v>23529.219999999972</c:v>
                </c:pt>
                <c:pt idx="363">
                  <c:v>24343.320000000007</c:v>
                </c:pt>
                <c:pt idx="364">
                  <c:v>22787.919999999984</c:v>
                </c:pt>
                <c:pt idx="365">
                  <c:v>23797.270000000019</c:v>
                </c:pt>
                <c:pt idx="366">
                  <c:v>20573.070000000007</c:v>
                </c:pt>
                <c:pt idx="367">
                  <c:v>25744.140000000014</c:v>
                </c:pt>
                <c:pt idx="368">
                  <c:v>24005.770000000019</c:v>
                </c:pt>
                <c:pt idx="369">
                  <c:v>22756.960000000021</c:v>
                </c:pt>
                <c:pt idx="370">
                  <c:v>23390.960000000021</c:v>
                </c:pt>
                <c:pt idx="371">
                  <c:v>18594.909999999974</c:v>
                </c:pt>
                <c:pt idx="372">
                  <c:v>9694.5599999999977</c:v>
                </c:pt>
                <c:pt idx="373">
                  <c:v>18952.539999999979</c:v>
                </c:pt>
                <c:pt idx="374">
                  <c:v>20075.840000000026</c:v>
                </c:pt>
                <c:pt idx="375">
                  <c:v>17453.640000000014</c:v>
                </c:pt>
                <c:pt idx="376">
                  <c:v>13367.169999999984</c:v>
                </c:pt>
                <c:pt idx="377">
                  <c:v>17096.770000000019</c:v>
                </c:pt>
                <c:pt idx="378">
                  <c:v>18538.299999999988</c:v>
                </c:pt>
                <c:pt idx="379">
                  <c:v>17260.190000000002</c:v>
                </c:pt>
                <c:pt idx="380">
                  <c:v>16415.390000000014</c:v>
                </c:pt>
                <c:pt idx="381">
                  <c:v>11936.489999999991</c:v>
                </c:pt>
                <c:pt idx="382">
                  <c:v>10749.090000000026</c:v>
                </c:pt>
                <c:pt idx="383">
                  <c:v>9192.0800000000163</c:v>
                </c:pt>
                <c:pt idx="384">
                  <c:v>10959.030000000028</c:v>
                </c:pt>
                <c:pt idx="385">
                  <c:v>11631.080000000016</c:v>
                </c:pt>
                <c:pt idx="386">
                  <c:v>15160.280000000028</c:v>
                </c:pt>
                <c:pt idx="387">
                  <c:v>20963.650000000023</c:v>
                </c:pt>
                <c:pt idx="388">
                  <c:v>21561.900000000023</c:v>
                </c:pt>
                <c:pt idx="389">
                  <c:v>22230.440000000002</c:v>
                </c:pt>
                <c:pt idx="390">
                  <c:v>20788.859999999986</c:v>
                </c:pt>
                <c:pt idx="391">
                  <c:v>22816.590000000026</c:v>
                </c:pt>
                <c:pt idx="392">
                  <c:v>21093.289999999979</c:v>
                </c:pt>
                <c:pt idx="393">
                  <c:v>24138.099999999977</c:v>
                </c:pt>
                <c:pt idx="394">
                  <c:v>23331.5</c:v>
                </c:pt>
                <c:pt idx="395">
                  <c:v>25409.299999999988</c:v>
                </c:pt>
                <c:pt idx="396">
                  <c:v>23985</c:v>
                </c:pt>
                <c:pt idx="397">
                  <c:v>22212.729999999981</c:v>
                </c:pt>
                <c:pt idx="398">
                  <c:v>18306.530000000028</c:v>
                </c:pt>
                <c:pt idx="399">
                  <c:v>20202.330000000016</c:v>
                </c:pt>
                <c:pt idx="400">
                  <c:v>17764.530000000028</c:v>
                </c:pt>
                <c:pt idx="401">
                  <c:v>12053.830000000016</c:v>
                </c:pt>
                <c:pt idx="402">
                  <c:v>13381.090000000026</c:v>
                </c:pt>
                <c:pt idx="403">
                  <c:v>13138.880000000005</c:v>
                </c:pt>
                <c:pt idx="404">
                  <c:v>13141.030000000028</c:v>
                </c:pt>
                <c:pt idx="405">
                  <c:v>16914.619999999995</c:v>
                </c:pt>
                <c:pt idx="406">
                  <c:v>15083.580000000016</c:v>
                </c:pt>
                <c:pt idx="407">
                  <c:v>12891.260000000009</c:v>
                </c:pt>
                <c:pt idx="408">
                  <c:v>13198.650000000023</c:v>
                </c:pt>
                <c:pt idx="409">
                  <c:v>12499.320000000007</c:v>
                </c:pt>
                <c:pt idx="410">
                  <c:v>9669.820000000007</c:v>
                </c:pt>
                <c:pt idx="411">
                  <c:v>9426.2199999999721</c:v>
                </c:pt>
                <c:pt idx="412">
                  <c:v>4486.320000000007</c:v>
                </c:pt>
                <c:pt idx="413">
                  <c:v>7180.359999999986</c:v>
                </c:pt>
                <c:pt idx="414">
                  <c:v>8405.6699999999837</c:v>
                </c:pt>
                <c:pt idx="415">
                  <c:v>7612.5599999999977</c:v>
                </c:pt>
                <c:pt idx="416">
                  <c:v>14191.109999999986</c:v>
                </c:pt>
                <c:pt idx="417">
                  <c:v>13186.710000000021</c:v>
                </c:pt>
                <c:pt idx="418">
                  <c:v>9448.710000000021</c:v>
                </c:pt>
                <c:pt idx="419">
                  <c:v>11662.809999999998</c:v>
                </c:pt>
                <c:pt idx="420">
                  <c:v>9481.109999999986</c:v>
                </c:pt>
                <c:pt idx="421">
                  <c:v>8002.429999999993</c:v>
                </c:pt>
                <c:pt idx="422">
                  <c:v>8058.6300000000047</c:v>
                </c:pt>
                <c:pt idx="423">
                  <c:v>13364.530000000028</c:v>
                </c:pt>
                <c:pt idx="424">
                  <c:v>12670.229999999981</c:v>
                </c:pt>
                <c:pt idx="425">
                  <c:v>12550.989999999991</c:v>
                </c:pt>
                <c:pt idx="426">
                  <c:v>11217.770000000019</c:v>
                </c:pt>
                <c:pt idx="427">
                  <c:v>3000.6699999999837</c:v>
                </c:pt>
                <c:pt idx="428">
                  <c:v>3471.6699999999837</c:v>
                </c:pt>
                <c:pt idx="429">
                  <c:v>229.07000000000698</c:v>
                </c:pt>
                <c:pt idx="430">
                  <c:v>-796.8300000000163</c:v>
                </c:pt>
                <c:pt idx="431">
                  <c:v>3722.210000000021</c:v>
                </c:pt>
                <c:pt idx="432">
                  <c:v>1458.3099999999977</c:v>
                </c:pt>
                <c:pt idx="433">
                  <c:v>1519.710000000021</c:v>
                </c:pt>
                <c:pt idx="434">
                  <c:v>1863.3099999999977</c:v>
                </c:pt>
                <c:pt idx="435">
                  <c:v>-3017.1900000000023</c:v>
                </c:pt>
                <c:pt idx="436">
                  <c:v>-2846.4500000000116</c:v>
                </c:pt>
                <c:pt idx="437">
                  <c:v>4123.0499999999884</c:v>
                </c:pt>
                <c:pt idx="438">
                  <c:v>4932.429999999993</c:v>
                </c:pt>
                <c:pt idx="439">
                  <c:v>9514.0300000000279</c:v>
                </c:pt>
                <c:pt idx="440">
                  <c:v>5660.7999999999884</c:v>
                </c:pt>
                <c:pt idx="441">
                  <c:v>-6351.0499999999884</c:v>
                </c:pt>
                <c:pt idx="442">
                  <c:v>-9314.0999999999767</c:v>
                </c:pt>
                <c:pt idx="443">
                  <c:v>-7929.7999999999884</c:v>
                </c:pt>
                <c:pt idx="444">
                  <c:v>-9902.390000000014</c:v>
                </c:pt>
                <c:pt idx="445">
                  <c:v>-12494.700000000012</c:v>
                </c:pt>
                <c:pt idx="446">
                  <c:v>-6589.6300000000047</c:v>
                </c:pt>
                <c:pt idx="447">
                  <c:v>-8448.8400000000256</c:v>
                </c:pt>
                <c:pt idx="448">
                  <c:v>-9017.1699999999837</c:v>
                </c:pt>
                <c:pt idx="449">
                  <c:v>-3118.3099999999977</c:v>
                </c:pt>
                <c:pt idx="450">
                  <c:v>-5064.2999999999884</c:v>
                </c:pt>
                <c:pt idx="451">
                  <c:v>-2220.3400000000256</c:v>
                </c:pt>
                <c:pt idx="452">
                  <c:v>-509.46000000002095</c:v>
                </c:pt>
                <c:pt idx="453">
                  <c:v>-1245.5800000000163</c:v>
                </c:pt>
                <c:pt idx="454">
                  <c:v>-3775.320000000007</c:v>
                </c:pt>
                <c:pt idx="455">
                  <c:v>-1801.0499999999884</c:v>
                </c:pt>
                <c:pt idx="456">
                  <c:v>2188.0900000000256</c:v>
                </c:pt>
                <c:pt idx="457">
                  <c:v>-1764.9699999999721</c:v>
                </c:pt>
                <c:pt idx="458">
                  <c:v>-2554.8400000000256</c:v>
                </c:pt>
                <c:pt idx="459">
                  <c:v>-5336.109999999986</c:v>
                </c:pt>
                <c:pt idx="460">
                  <c:v>-11142.799999999988</c:v>
                </c:pt>
                <c:pt idx="461">
                  <c:v>-17561.359999999986</c:v>
                </c:pt>
                <c:pt idx="462">
                  <c:v>-18512.940000000002</c:v>
                </c:pt>
                <c:pt idx="463">
                  <c:v>-24110.979999999981</c:v>
                </c:pt>
                <c:pt idx="464">
                  <c:v>-22660.049999999988</c:v>
                </c:pt>
                <c:pt idx="465">
                  <c:v>-22081.070000000007</c:v>
                </c:pt>
                <c:pt idx="466">
                  <c:v>-19805.630000000005</c:v>
                </c:pt>
                <c:pt idx="467">
                  <c:v>-21430.809999999998</c:v>
                </c:pt>
                <c:pt idx="468">
                  <c:v>-19315.989999999991</c:v>
                </c:pt>
                <c:pt idx="469">
                  <c:v>-17415.969999999972</c:v>
                </c:pt>
                <c:pt idx="470">
                  <c:v>-13045.630000000005</c:v>
                </c:pt>
                <c:pt idx="471">
                  <c:v>-13749.390000000014</c:v>
                </c:pt>
                <c:pt idx="472">
                  <c:v>-7630.789999999979</c:v>
                </c:pt>
                <c:pt idx="473">
                  <c:v>-7042.210000000021</c:v>
                </c:pt>
                <c:pt idx="474">
                  <c:v>-14657.130000000005</c:v>
                </c:pt>
                <c:pt idx="475">
                  <c:v>-10248.409999999974</c:v>
                </c:pt>
                <c:pt idx="476">
                  <c:v>-7270.75</c:v>
                </c:pt>
                <c:pt idx="477">
                  <c:v>-3836.890000000014</c:v>
                </c:pt>
                <c:pt idx="478">
                  <c:v>-5060.570000000007</c:v>
                </c:pt>
                <c:pt idx="479">
                  <c:v>-3144.820000000007</c:v>
                </c:pt>
                <c:pt idx="480">
                  <c:v>-2722.6300000000047</c:v>
                </c:pt>
                <c:pt idx="481">
                  <c:v>-4290.4400000000023</c:v>
                </c:pt>
                <c:pt idx="482">
                  <c:v>-2457.6900000000023</c:v>
                </c:pt>
                <c:pt idx="483">
                  <c:v>-1533.4199999999837</c:v>
                </c:pt>
                <c:pt idx="484">
                  <c:v>-736.0800000000163</c:v>
                </c:pt>
                <c:pt idx="485">
                  <c:v>3035.890000000014</c:v>
                </c:pt>
                <c:pt idx="486">
                  <c:v>4979.1699999999837</c:v>
                </c:pt>
                <c:pt idx="487">
                  <c:v>8361.960000000021</c:v>
                </c:pt>
                <c:pt idx="488">
                  <c:v>6533.2800000000279</c:v>
                </c:pt>
                <c:pt idx="489">
                  <c:v>6859.3400000000256</c:v>
                </c:pt>
                <c:pt idx="490">
                  <c:v>7811.2700000000186</c:v>
                </c:pt>
                <c:pt idx="491">
                  <c:v>10621.390000000014</c:v>
                </c:pt>
                <c:pt idx="492">
                  <c:v>10384.520000000019</c:v>
                </c:pt>
                <c:pt idx="493">
                  <c:v>10856.840000000026</c:v>
                </c:pt>
                <c:pt idx="494">
                  <c:v>7118.359999999986</c:v>
                </c:pt>
                <c:pt idx="495">
                  <c:v>4927.6900000000023</c:v>
                </c:pt>
                <c:pt idx="496">
                  <c:v>6097.0300000000279</c:v>
                </c:pt>
                <c:pt idx="497">
                  <c:v>6596.9699999999721</c:v>
                </c:pt>
                <c:pt idx="498">
                  <c:v>5844.1900000000023</c:v>
                </c:pt>
                <c:pt idx="499">
                  <c:v>7661.2299999999814</c:v>
                </c:pt>
                <c:pt idx="500">
                  <c:v>6269.4099999999744</c:v>
                </c:pt>
                <c:pt idx="501">
                  <c:v>6984.929999999993</c:v>
                </c:pt>
                <c:pt idx="502">
                  <c:v>6309.25</c:v>
                </c:pt>
                <c:pt idx="503">
                  <c:v>7443.9500000000116</c:v>
                </c:pt>
                <c:pt idx="504">
                  <c:v>10239.919999999984</c:v>
                </c:pt>
                <c:pt idx="505">
                  <c:v>7804.679999999993</c:v>
                </c:pt>
                <c:pt idx="506">
                  <c:v>8838.6199999999953</c:v>
                </c:pt>
                <c:pt idx="507">
                  <c:v>6704.960000000021</c:v>
                </c:pt>
                <c:pt idx="508">
                  <c:v>5919.1199999999953</c:v>
                </c:pt>
                <c:pt idx="509">
                  <c:v>5278.4099999999744</c:v>
                </c:pt>
                <c:pt idx="510">
                  <c:v>7777.6199999999953</c:v>
                </c:pt>
                <c:pt idx="511">
                  <c:v>9994</c:v>
                </c:pt>
                <c:pt idx="512">
                  <c:v>14097.479999999981</c:v>
                </c:pt>
                <c:pt idx="513">
                  <c:v>15145.059999999998</c:v>
                </c:pt>
                <c:pt idx="514">
                  <c:v>16040.119999999995</c:v>
                </c:pt>
                <c:pt idx="515">
                  <c:v>19399.580000000016</c:v>
                </c:pt>
                <c:pt idx="516">
                  <c:v>18506.809999999998</c:v>
                </c:pt>
                <c:pt idx="517">
                  <c:v>17938.409999999974</c:v>
                </c:pt>
                <c:pt idx="518">
                  <c:v>18455.090000000026</c:v>
                </c:pt>
                <c:pt idx="519">
                  <c:v>18102.549999999988</c:v>
                </c:pt>
                <c:pt idx="520">
                  <c:v>17452.710000000021</c:v>
                </c:pt>
                <c:pt idx="521">
                  <c:v>15348.650000000023</c:v>
                </c:pt>
                <c:pt idx="522">
                  <c:v>13226.950000000012</c:v>
                </c:pt>
                <c:pt idx="523">
                  <c:v>14306.150000000023</c:v>
                </c:pt>
                <c:pt idx="524">
                  <c:v>21104.700000000012</c:v>
                </c:pt>
                <c:pt idx="525">
                  <c:v>17244.770000000019</c:v>
                </c:pt>
                <c:pt idx="526">
                  <c:v>14456.469999999972</c:v>
                </c:pt>
                <c:pt idx="527">
                  <c:v>18417.020000000019</c:v>
                </c:pt>
                <c:pt idx="528">
                  <c:v>19044.729999999981</c:v>
                </c:pt>
                <c:pt idx="529">
                  <c:v>16554.359999999986</c:v>
                </c:pt>
                <c:pt idx="530">
                  <c:v>20874.510000000009</c:v>
                </c:pt>
                <c:pt idx="531">
                  <c:v>25656.669999999984</c:v>
                </c:pt>
                <c:pt idx="532">
                  <c:v>29885.270000000019</c:v>
                </c:pt>
                <c:pt idx="533">
                  <c:v>30901.760000000009</c:v>
                </c:pt>
                <c:pt idx="534">
                  <c:v>32631.359999999986</c:v>
                </c:pt>
                <c:pt idx="535">
                  <c:v>31089.059999999998</c:v>
                </c:pt>
                <c:pt idx="536">
                  <c:v>27613.659999999974</c:v>
                </c:pt>
                <c:pt idx="537">
                  <c:v>29288.359999999986</c:v>
                </c:pt>
                <c:pt idx="538">
                  <c:v>32861.359999999986</c:v>
                </c:pt>
                <c:pt idx="539">
                  <c:v>32942.159999999974</c:v>
                </c:pt>
                <c:pt idx="540">
                  <c:v>33980.06</c:v>
                </c:pt>
                <c:pt idx="541">
                  <c:v>34790.590000000026</c:v>
                </c:pt>
                <c:pt idx="542">
                  <c:v>32223.390000000014</c:v>
                </c:pt>
                <c:pt idx="543">
                  <c:v>33833.19</c:v>
                </c:pt>
                <c:pt idx="544">
                  <c:v>38097.890000000014</c:v>
                </c:pt>
                <c:pt idx="545">
                  <c:v>40798.900000000023</c:v>
                </c:pt>
                <c:pt idx="546">
                  <c:v>42590.039999999979</c:v>
                </c:pt>
                <c:pt idx="547">
                  <c:v>48086.81</c:v>
                </c:pt>
                <c:pt idx="548">
                  <c:v>48627.130000000005</c:v>
                </c:pt>
                <c:pt idx="549">
                  <c:v>50189.130000000005</c:v>
                </c:pt>
                <c:pt idx="550">
                  <c:v>48273.530000000028</c:v>
                </c:pt>
                <c:pt idx="551">
                  <c:v>48405.590000000026</c:v>
                </c:pt>
                <c:pt idx="552">
                  <c:v>47203.380000000005</c:v>
                </c:pt>
                <c:pt idx="553">
                  <c:v>53412.479999999981</c:v>
                </c:pt>
                <c:pt idx="554">
                  <c:v>54644.229999999981</c:v>
                </c:pt>
                <c:pt idx="555">
                  <c:v>56398.260000000009</c:v>
                </c:pt>
                <c:pt idx="556">
                  <c:v>56659.69</c:v>
                </c:pt>
                <c:pt idx="557">
                  <c:v>57500.289999999979</c:v>
                </c:pt>
                <c:pt idx="558">
                  <c:v>57598.390000000014</c:v>
                </c:pt>
                <c:pt idx="559">
                  <c:v>56712.840000000026</c:v>
                </c:pt>
                <c:pt idx="560">
                  <c:v>62178.099999999977</c:v>
                </c:pt>
                <c:pt idx="561">
                  <c:v>64257.049999999988</c:v>
                </c:pt>
                <c:pt idx="562">
                  <c:v>61080.549999999988</c:v>
                </c:pt>
                <c:pt idx="563">
                  <c:v>64388.75</c:v>
                </c:pt>
                <c:pt idx="564">
                  <c:v>63987.719999999972</c:v>
                </c:pt>
                <c:pt idx="565">
                  <c:v>65192.760000000009</c:v>
                </c:pt>
                <c:pt idx="566">
                  <c:v>68309.460000000021</c:v>
                </c:pt>
                <c:pt idx="567">
                  <c:v>68315.520000000019</c:v>
                </c:pt>
                <c:pt idx="568">
                  <c:v>68621.049999999988</c:v>
                </c:pt>
                <c:pt idx="569">
                  <c:v>65192.239999999991</c:v>
                </c:pt>
                <c:pt idx="570">
                  <c:v>67940.030000000028</c:v>
                </c:pt>
                <c:pt idx="571">
                  <c:v>67642.25</c:v>
                </c:pt>
                <c:pt idx="572">
                  <c:v>63472.549999999988</c:v>
                </c:pt>
                <c:pt idx="573">
                  <c:v>63062.5</c:v>
                </c:pt>
                <c:pt idx="574">
                  <c:v>63770.559999999998</c:v>
                </c:pt>
                <c:pt idx="575">
                  <c:v>56559.210000000021</c:v>
                </c:pt>
                <c:pt idx="576">
                  <c:v>46151.510000000009</c:v>
                </c:pt>
                <c:pt idx="577">
                  <c:v>53455.719999999972</c:v>
                </c:pt>
                <c:pt idx="578">
                  <c:v>49047.219999999972</c:v>
                </c:pt>
                <c:pt idx="579">
                  <c:v>37852.330000000016</c:v>
                </c:pt>
                <c:pt idx="580">
                  <c:v>39997.440000000002</c:v>
                </c:pt>
                <c:pt idx="581">
                  <c:v>44241.950000000012</c:v>
                </c:pt>
                <c:pt idx="582">
                  <c:v>43416.539999999979</c:v>
                </c:pt>
                <c:pt idx="583">
                  <c:v>51561.530000000028</c:v>
                </c:pt>
                <c:pt idx="584">
                  <c:v>50705.94</c:v>
                </c:pt>
                <c:pt idx="585">
                  <c:v>47551.929999999993</c:v>
                </c:pt>
                <c:pt idx="586">
                  <c:v>45228.369999999995</c:v>
                </c:pt>
                <c:pt idx="587">
                  <c:v>42526.81</c:v>
                </c:pt>
                <c:pt idx="588">
                  <c:v>41168.859999999986</c:v>
                </c:pt>
                <c:pt idx="589">
                  <c:v>46261.700000000012</c:v>
                </c:pt>
                <c:pt idx="590">
                  <c:v>45461.400000000023</c:v>
                </c:pt>
                <c:pt idx="591">
                  <c:v>39475.960000000021</c:v>
                </c:pt>
                <c:pt idx="592">
                  <c:v>34359.799999999988</c:v>
                </c:pt>
                <c:pt idx="593">
                  <c:v>32219.289999999979</c:v>
                </c:pt>
                <c:pt idx="594">
                  <c:v>35569.109999999986</c:v>
                </c:pt>
                <c:pt idx="595">
                  <c:v>41211.159999999974</c:v>
                </c:pt>
                <c:pt idx="596">
                  <c:v>40897.460000000021</c:v>
                </c:pt>
                <c:pt idx="597">
                  <c:v>35779.159999999974</c:v>
                </c:pt>
                <c:pt idx="598">
                  <c:v>29670.559999999998</c:v>
                </c:pt>
                <c:pt idx="599">
                  <c:v>38280.900000000023</c:v>
                </c:pt>
                <c:pt idx="600">
                  <c:v>37286.119999999995</c:v>
                </c:pt>
                <c:pt idx="601">
                  <c:v>35615.489999999991</c:v>
                </c:pt>
                <c:pt idx="602">
                  <c:v>29341.770000000019</c:v>
                </c:pt>
                <c:pt idx="603">
                  <c:v>29379.289999999979</c:v>
                </c:pt>
                <c:pt idx="604">
                  <c:v>32834.679999999993</c:v>
                </c:pt>
                <c:pt idx="605">
                  <c:v>26840.299999999988</c:v>
                </c:pt>
                <c:pt idx="606">
                  <c:v>27944.260000000009</c:v>
                </c:pt>
                <c:pt idx="607">
                  <c:v>34291.719999999972</c:v>
                </c:pt>
                <c:pt idx="608">
                  <c:v>26497.119999999995</c:v>
                </c:pt>
                <c:pt idx="609">
                  <c:v>22731.739999999991</c:v>
                </c:pt>
                <c:pt idx="610">
                  <c:v>32155.650000000023</c:v>
                </c:pt>
                <c:pt idx="611">
                  <c:v>25282.260000000009</c:v>
                </c:pt>
                <c:pt idx="612">
                  <c:v>24900.099999999977</c:v>
                </c:pt>
                <c:pt idx="613">
                  <c:v>32598.739999999991</c:v>
                </c:pt>
                <c:pt idx="614">
                  <c:v>21276</c:v>
                </c:pt>
                <c:pt idx="615">
                  <c:v>27107.280000000028</c:v>
                </c:pt>
                <c:pt idx="616">
                  <c:v>32334.440000000002</c:v>
                </c:pt>
                <c:pt idx="617">
                  <c:v>38428.710000000021</c:v>
                </c:pt>
                <c:pt idx="618">
                  <c:v>32280.760000000009</c:v>
                </c:pt>
                <c:pt idx="619">
                  <c:v>31911.760000000009</c:v>
                </c:pt>
                <c:pt idx="620">
                  <c:v>39634.820000000007</c:v>
                </c:pt>
                <c:pt idx="621">
                  <c:v>40157.400000000023</c:v>
                </c:pt>
                <c:pt idx="622">
                  <c:v>42188.109999999986</c:v>
                </c:pt>
                <c:pt idx="623">
                  <c:v>43860.830000000016</c:v>
                </c:pt>
                <c:pt idx="624">
                  <c:v>47856.679999999993</c:v>
                </c:pt>
                <c:pt idx="625">
                  <c:v>49537.419999999984</c:v>
                </c:pt>
                <c:pt idx="626">
                  <c:v>50989.650000000023</c:v>
                </c:pt>
                <c:pt idx="627">
                  <c:v>46018.81</c:v>
                </c:pt>
                <c:pt idx="628">
                  <c:v>45087.299999999988</c:v>
                </c:pt>
                <c:pt idx="629">
                  <c:v>49342.789999999979</c:v>
                </c:pt>
                <c:pt idx="630">
                  <c:v>48523.780000000028</c:v>
                </c:pt>
                <c:pt idx="631">
                  <c:v>51776.44</c:v>
                </c:pt>
                <c:pt idx="632">
                  <c:v>55463.880000000005</c:v>
                </c:pt>
                <c:pt idx="633">
                  <c:v>55928.5</c:v>
                </c:pt>
                <c:pt idx="634">
                  <c:v>53815.460000000021</c:v>
                </c:pt>
                <c:pt idx="635">
                  <c:v>52706.549999999988</c:v>
                </c:pt>
                <c:pt idx="636">
                  <c:v>50912.320000000007</c:v>
                </c:pt>
                <c:pt idx="637">
                  <c:v>52277.590000000026</c:v>
                </c:pt>
                <c:pt idx="638">
                  <c:v>57844.700000000012</c:v>
                </c:pt>
                <c:pt idx="639">
                  <c:v>56957.859999999986</c:v>
                </c:pt>
                <c:pt idx="640">
                  <c:v>57631.510000000009</c:v>
                </c:pt>
                <c:pt idx="641">
                  <c:v>61579.020000000019</c:v>
                </c:pt>
                <c:pt idx="642">
                  <c:v>64024.890000000014</c:v>
                </c:pt>
                <c:pt idx="643">
                  <c:v>64999.669999999984</c:v>
                </c:pt>
                <c:pt idx="644">
                  <c:v>67579.219999999972</c:v>
                </c:pt>
                <c:pt idx="645">
                  <c:v>66861.669999999984</c:v>
                </c:pt>
                <c:pt idx="646">
                  <c:v>69460.390000000014</c:v>
                </c:pt>
                <c:pt idx="647">
                  <c:v>71759.890000000014</c:v>
                </c:pt>
                <c:pt idx="648">
                  <c:v>68892.969999999972</c:v>
                </c:pt>
                <c:pt idx="649">
                  <c:v>70544.710000000021</c:v>
                </c:pt>
                <c:pt idx="650">
                  <c:v>69224.099999999977</c:v>
                </c:pt>
                <c:pt idx="651">
                  <c:v>69307.320000000007</c:v>
                </c:pt>
                <c:pt idx="652">
                  <c:v>69717.909999999974</c:v>
                </c:pt>
                <c:pt idx="653">
                  <c:v>70226.780000000028</c:v>
                </c:pt>
                <c:pt idx="654">
                  <c:v>67527</c:v>
                </c:pt>
                <c:pt idx="655">
                  <c:v>72747.090000000026</c:v>
                </c:pt>
                <c:pt idx="656">
                  <c:v>67531.039999999979</c:v>
                </c:pt>
                <c:pt idx="657">
                  <c:v>69254.270000000019</c:v>
                </c:pt>
                <c:pt idx="658">
                  <c:v>71020.960000000021</c:v>
                </c:pt>
                <c:pt idx="659">
                  <c:v>70163.039999999979</c:v>
                </c:pt>
                <c:pt idx="660">
                  <c:v>74822.409999999974</c:v>
                </c:pt>
                <c:pt idx="661">
                  <c:v>77198.669999999984</c:v>
                </c:pt>
                <c:pt idx="662">
                  <c:v>79330.099999999977</c:v>
                </c:pt>
                <c:pt idx="663">
                  <c:v>82027.210000000021</c:v>
                </c:pt>
                <c:pt idx="664">
                  <c:v>83351.38</c:v>
                </c:pt>
                <c:pt idx="665">
                  <c:v>83566.489999999991</c:v>
                </c:pt>
                <c:pt idx="666">
                  <c:v>83755.489999999991</c:v>
                </c:pt>
                <c:pt idx="667">
                  <c:v>82086.200000000012</c:v>
                </c:pt>
                <c:pt idx="668">
                  <c:v>81438.849999999977</c:v>
                </c:pt>
                <c:pt idx="669">
                  <c:v>82081.510000000009</c:v>
                </c:pt>
                <c:pt idx="670">
                  <c:v>84754.19</c:v>
                </c:pt>
                <c:pt idx="671">
                  <c:v>86790.109999999986</c:v>
                </c:pt>
                <c:pt idx="672">
                  <c:v>93809.390000000014</c:v>
                </c:pt>
                <c:pt idx="673">
                  <c:v>89217.82</c:v>
                </c:pt>
                <c:pt idx="674">
                  <c:v>89379.960000000021</c:v>
                </c:pt>
                <c:pt idx="675">
                  <c:v>89218.359999999986</c:v>
                </c:pt>
                <c:pt idx="676">
                  <c:v>85956.849999999977</c:v>
                </c:pt>
                <c:pt idx="677">
                  <c:v>86037.419999999984</c:v>
                </c:pt>
                <c:pt idx="678">
                  <c:v>85840.770000000019</c:v>
                </c:pt>
                <c:pt idx="679">
                  <c:v>89787.460000000021</c:v>
                </c:pt>
                <c:pt idx="680">
                  <c:v>90550.57</c:v>
                </c:pt>
                <c:pt idx="681">
                  <c:v>94408.13</c:v>
                </c:pt>
                <c:pt idx="682">
                  <c:v>96269.68</c:v>
                </c:pt>
                <c:pt idx="683">
                  <c:v>97186.289999999979</c:v>
                </c:pt>
                <c:pt idx="684">
                  <c:v>94153.650000000023</c:v>
                </c:pt>
                <c:pt idx="685">
                  <c:v>95295.900000000023</c:v>
                </c:pt>
                <c:pt idx="686">
                  <c:v>96222.849999999977</c:v>
                </c:pt>
                <c:pt idx="687">
                  <c:v>92316.489999999991</c:v>
                </c:pt>
                <c:pt idx="688">
                  <c:v>93640.599999999977</c:v>
                </c:pt>
                <c:pt idx="689">
                  <c:v>93399.099999999977</c:v>
                </c:pt>
                <c:pt idx="690">
                  <c:v>94279.56</c:v>
                </c:pt>
                <c:pt idx="691">
                  <c:v>93654.109999999986</c:v>
                </c:pt>
                <c:pt idx="692">
                  <c:v>95267.719999999972</c:v>
                </c:pt>
                <c:pt idx="693">
                  <c:v>96061.88</c:v>
                </c:pt>
                <c:pt idx="694">
                  <c:v>97194.94</c:v>
                </c:pt>
                <c:pt idx="695">
                  <c:v>99108.12</c:v>
                </c:pt>
                <c:pt idx="696">
                  <c:v>100512.22999999998</c:v>
                </c:pt>
                <c:pt idx="697">
                  <c:v>104801.41999999998</c:v>
                </c:pt>
                <c:pt idx="698">
                  <c:v>104183.04999999999</c:v>
                </c:pt>
                <c:pt idx="699">
                  <c:v>100088.38</c:v>
                </c:pt>
                <c:pt idx="700">
                  <c:v>103196.94</c:v>
                </c:pt>
                <c:pt idx="701">
                  <c:v>106121.93</c:v>
                </c:pt>
                <c:pt idx="702">
                  <c:v>104173.08000000002</c:v>
                </c:pt>
                <c:pt idx="703">
                  <c:v>103006.23999999999</c:v>
                </c:pt>
                <c:pt idx="704">
                  <c:v>100744.76000000001</c:v>
                </c:pt>
                <c:pt idx="705">
                  <c:v>101364.90000000002</c:v>
                </c:pt>
                <c:pt idx="706">
                  <c:v>100580.35999999999</c:v>
                </c:pt>
                <c:pt idx="707">
                  <c:v>98850.590000000026</c:v>
                </c:pt>
                <c:pt idx="708">
                  <c:v>102192.82</c:v>
                </c:pt>
                <c:pt idx="709">
                  <c:v>98277.710000000021</c:v>
                </c:pt>
                <c:pt idx="710">
                  <c:v>102870.59999999998</c:v>
                </c:pt>
                <c:pt idx="711">
                  <c:v>106704.29999999999</c:v>
                </c:pt>
                <c:pt idx="712">
                  <c:v>108608.02000000002</c:v>
                </c:pt>
                <c:pt idx="713">
                  <c:v>110054.29999999999</c:v>
                </c:pt>
                <c:pt idx="714">
                  <c:v>109791.65999999997</c:v>
                </c:pt>
                <c:pt idx="715">
                  <c:v>108763.14000000001</c:v>
                </c:pt>
                <c:pt idx="716">
                  <c:v>108975.98999999999</c:v>
                </c:pt>
                <c:pt idx="717">
                  <c:v>112623.98999999999</c:v>
                </c:pt>
                <c:pt idx="718">
                  <c:v>111952.19</c:v>
                </c:pt>
                <c:pt idx="719">
                  <c:v>114525.25</c:v>
                </c:pt>
                <c:pt idx="720">
                  <c:v>112063.95000000001</c:v>
                </c:pt>
                <c:pt idx="721">
                  <c:v>112813.75</c:v>
                </c:pt>
                <c:pt idx="722">
                  <c:v>110071.63</c:v>
                </c:pt>
                <c:pt idx="723">
                  <c:v>112285.82</c:v>
                </c:pt>
                <c:pt idx="724">
                  <c:v>109892.47999999998</c:v>
                </c:pt>
                <c:pt idx="725">
                  <c:v>109918.34999999998</c:v>
                </c:pt>
                <c:pt idx="726">
                  <c:v>110285.83000000002</c:v>
                </c:pt>
                <c:pt idx="727">
                  <c:v>111136.15000000002</c:v>
                </c:pt>
                <c:pt idx="728">
                  <c:v>115391.37</c:v>
                </c:pt>
                <c:pt idx="729">
                  <c:v>115289.91999999998</c:v>
                </c:pt>
                <c:pt idx="730">
                  <c:v>115230.06</c:v>
                </c:pt>
                <c:pt idx="731">
                  <c:v>116438.78999999998</c:v>
                </c:pt>
                <c:pt idx="732">
                  <c:v>118074.91999999998</c:v>
                </c:pt>
                <c:pt idx="733">
                  <c:v>119431.71999999997</c:v>
                </c:pt>
                <c:pt idx="734">
                  <c:v>120883.97999999998</c:v>
                </c:pt>
                <c:pt idx="735">
                  <c:v>121490.01000000001</c:v>
                </c:pt>
                <c:pt idx="736">
                  <c:v>118954.21999999997</c:v>
                </c:pt>
                <c:pt idx="737">
                  <c:v>117620.33000000002</c:v>
                </c:pt>
                <c:pt idx="738">
                  <c:v>116840.38</c:v>
                </c:pt>
                <c:pt idx="739">
                  <c:v>116479.53000000003</c:v>
                </c:pt>
                <c:pt idx="740">
                  <c:v>116216.28000000003</c:v>
                </c:pt>
                <c:pt idx="741">
                  <c:v>117593.35999999999</c:v>
                </c:pt>
                <c:pt idx="742">
                  <c:v>117774.27000000002</c:v>
                </c:pt>
                <c:pt idx="743">
                  <c:v>117130.14000000001</c:v>
                </c:pt>
                <c:pt idx="744">
                  <c:v>115878.56</c:v>
                </c:pt>
                <c:pt idx="745">
                  <c:v>113387.15000000002</c:v>
                </c:pt>
                <c:pt idx="746">
                  <c:v>115077.53000000003</c:v>
                </c:pt>
                <c:pt idx="747">
                  <c:v>110358.84999999998</c:v>
                </c:pt>
                <c:pt idx="748">
                  <c:v>103954.59000000003</c:v>
                </c:pt>
                <c:pt idx="749">
                  <c:v>94351.69</c:v>
                </c:pt>
                <c:pt idx="750">
                  <c:v>99150.599999999977</c:v>
                </c:pt>
                <c:pt idx="751">
                  <c:v>100317.06</c:v>
                </c:pt>
                <c:pt idx="752">
                  <c:v>106323.52000000002</c:v>
                </c:pt>
                <c:pt idx="753">
                  <c:v>104984.75</c:v>
                </c:pt>
                <c:pt idx="754">
                  <c:v>98417.900000000023</c:v>
                </c:pt>
                <c:pt idx="755">
                  <c:v>101358.46999999997</c:v>
                </c:pt>
                <c:pt idx="756">
                  <c:v>97031.87</c:v>
                </c:pt>
                <c:pt idx="757">
                  <c:v>95838.43</c:v>
                </c:pt>
                <c:pt idx="758">
                  <c:v>81951.729999999981</c:v>
                </c:pt>
                <c:pt idx="759">
                  <c:v>87671.37</c:v>
                </c:pt>
                <c:pt idx="760">
                  <c:v>81488.669999999984</c:v>
                </c:pt>
                <c:pt idx="761">
                  <c:v>80872.479999999981</c:v>
                </c:pt>
                <c:pt idx="762">
                  <c:v>90321.890000000014</c:v>
                </c:pt>
                <c:pt idx="763">
                  <c:v>92394.69</c:v>
                </c:pt>
                <c:pt idx="764">
                  <c:v>101445.78999999998</c:v>
                </c:pt>
                <c:pt idx="765">
                  <c:v>100476</c:v>
                </c:pt>
                <c:pt idx="766">
                  <c:v>105572.13</c:v>
                </c:pt>
                <c:pt idx="767">
                  <c:v>110029.68</c:v>
                </c:pt>
                <c:pt idx="768">
                  <c:v>113975.81</c:v>
                </c:pt>
                <c:pt idx="769">
                  <c:v>109057.68</c:v>
                </c:pt>
                <c:pt idx="770">
                  <c:v>106425.48999999999</c:v>
                </c:pt>
                <c:pt idx="771">
                  <c:v>106411.58000000002</c:v>
                </c:pt>
                <c:pt idx="772">
                  <c:v>107328.90000000002</c:v>
                </c:pt>
                <c:pt idx="773">
                  <c:v>110478.10999999999</c:v>
                </c:pt>
                <c:pt idx="774">
                  <c:v>111834.34000000003</c:v>
                </c:pt>
                <c:pt idx="775">
                  <c:v>109587.47999999998</c:v>
                </c:pt>
                <c:pt idx="776">
                  <c:v>102621.48999999999</c:v>
                </c:pt>
                <c:pt idx="777">
                  <c:v>106305.96999999997</c:v>
                </c:pt>
                <c:pt idx="778">
                  <c:v>103083.15000000002</c:v>
                </c:pt>
                <c:pt idx="779">
                  <c:v>109353.88</c:v>
                </c:pt>
                <c:pt idx="780">
                  <c:v>110089.31</c:v>
                </c:pt>
                <c:pt idx="781">
                  <c:v>114246.65999999997</c:v>
                </c:pt>
                <c:pt idx="782">
                  <c:v>114192.78000000003</c:v>
                </c:pt>
                <c:pt idx="783">
                  <c:v>114816.13</c:v>
                </c:pt>
                <c:pt idx="784">
                  <c:v>121570.64000000001</c:v>
                </c:pt>
                <c:pt idx="785">
                  <c:v>110018.82</c:v>
                </c:pt>
                <c:pt idx="786">
                  <c:v>107546.45000000001</c:v>
                </c:pt>
                <c:pt idx="787">
                  <c:v>100207.21999999997</c:v>
                </c:pt>
                <c:pt idx="788">
                  <c:v>94920</c:v>
                </c:pt>
                <c:pt idx="789">
                  <c:v>94934.340000000026</c:v>
                </c:pt>
                <c:pt idx="790">
                  <c:v>97418.44</c:v>
                </c:pt>
                <c:pt idx="791">
                  <c:v>95222.969999999972</c:v>
                </c:pt>
                <c:pt idx="792">
                  <c:v>90251.590000000026</c:v>
                </c:pt>
                <c:pt idx="793">
                  <c:v>83520.729999999981</c:v>
                </c:pt>
                <c:pt idx="794">
                  <c:v>80572.75</c:v>
                </c:pt>
                <c:pt idx="795">
                  <c:v>73811.150000000023</c:v>
                </c:pt>
                <c:pt idx="796">
                  <c:v>67645.450000000012</c:v>
                </c:pt>
                <c:pt idx="797">
                  <c:v>59670.039999999979</c:v>
                </c:pt>
                <c:pt idx="798">
                  <c:v>49856.130000000005</c:v>
                </c:pt>
                <c:pt idx="799">
                  <c:v>67720.929999999993</c:v>
                </c:pt>
                <c:pt idx="800">
                  <c:v>70089.719999999972</c:v>
                </c:pt>
                <c:pt idx="801">
                  <c:v>69683.679999999993</c:v>
                </c:pt>
                <c:pt idx="802">
                  <c:v>71403.320000000007</c:v>
                </c:pt>
                <c:pt idx="803">
                  <c:v>76235.479999999981</c:v>
                </c:pt>
                <c:pt idx="804">
                  <c:v>71859.19</c:v>
                </c:pt>
                <c:pt idx="805">
                  <c:v>85483.080000000016</c:v>
                </c:pt>
                <c:pt idx="806">
                  <c:v>90817.229999999981</c:v>
                </c:pt>
                <c:pt idx="807">
                  <c:v>93176.44</c:v>
                </c:pt>
                <c:pt idx="808">
                  <c:v>95249.099999999977</c:v>
                </c:pt>
                <c:pt idx="809">
                  <c:v>98388.830000000016</c:v>
                </c:pt>
                <c:pt idx="810">
                  <c:v>98679.450000000012</c:v>
                </c:pt>
                <c:pt idx="811">
                  <c:v>96928.57</c:v>
                </c:pt>
                <c:pt idx="812">
                  <c:v>98718.090000000026</c:v>
                </c:pt>
                <c:pt idx="813">
                  <c:v>98368.719999999972</c:v>
                </c:pt>
                <c:pt idx="814">
                  <c:v>101047.52000000002</c:v>
                </c:pt>
                <c:pt idx="815">
                  <c:v>106382.95000000001</c:v>
                </c:pt>
                <c:pt idx="816">
                  <c:v>100544.64000000001</c:v>
                </c:pt>
                <c:pt idx="817">
                  <c:v>100803.81</c:v>
                </c:pt>
                <c:pt idx="818">
                  <c:v>101425.07</c:v>
                </c:pt>
                <c:pt idx="819">
                  <c:v>105488.83000000002</c:v>
                </c:pt>
                <c:pt idx="820">
                  <c:v>105484.69</c:v>
                </c:pt>
                <c:pt idx="821">
                  <c:v>106270.65999999997</c:v>
                </c:pt>
                <c:pt idx="822">
                  <c:v>107387.82</c:v>
                </c:pt>
                <c:pt idx="823">
                  <c:v>108929.08000000002</c:v>
                </c:pt>
                <c:pt idx="824">
                  <c:v>109784.64000000001</c:v>
                </c:pt>
                <c:pt idx="825">
                  <c:v>110045.90000000002</c:v>
                </c:pt>
                <c:pt idx="826">
                  <c:v>111573.77000000002</c:v>
                </c:pt>
                <c:pt idx="827">
                  <c:v>110657.84999999998</c:v>
                </c:pt>
                <c:pt idx="828">
                  <c:v>106182.65999999997</c:v>
                </c:pt>
                <c:pt idx="829">
                  <c:v>104817.52000000002</c:v>
                </c:pt>
                <c:pt idx="830">
                  <c:v>106278.65000000002</c:v>
                </c:pt>
                <c:pt idx="831">
                  <c:v>112240.40999999997</c:v>
                </c:pt>
                <c:pt idx="832">
                  <c:v>112473.84000000003</c:v>
                </c:pt>
                <c:pt idx="833">
                  <c:v>115300.44</c:v>
                </c:pt>
                <c:pt idx="834">
                  <c:v>116948.08000000002</c:v>
                </c:pt>
                <c:pt idx="835">
                  <c:v>117878.34000000003</c:v>
                </c:pt>
                <c:pt idx="836">
                  <c:v>119215.09000000003</c:v>
                </c:pt>
                <c:pt idx="837">
                  <c:v>118665.84999999998</c:v>
                </c:pt>
                <c:pt idx="838">
                  <c:v>110165.69</c:v>
                </c:pt>
                <c:pt idx="839">
                  <c:v>110247.07</c:v>
                </c:pt>
                <c:pt idx="840">
                  <c:v>108143.39000000001</c:v>
                </c:pt>
                <c:pt idx="841">
                  <c:v>107049.01000000001</c:v>
                </c:pt>
                <c:pt idx="842">
                  <c:v>106098.27000000002</c:v>
                </c:pt>
                <c:pt idx="843">
                  <c:v>108382.15999999997</c:v>
                </c:pt>
                <c:pt idx="844">
                  <c:v>108818.85999999999</c:v>
                </c:pt>
                <c:pt idx="845">
                  <c:v>107753.37</c:v>
                </c:pt>
                <c:pt idx="846">
                  <c:v>105633.75</c:v>
                </c:pt>
                <c:pt idx="847">
                  <c:v>103450.65000000002</c:v>
                </c:pt>
                <c:pt idx="848">
                  <c:v>102362.46000000002</c:v>
                </c:pt>
                <c:pt idx="849">
                  <c:v>105590.70000000001</c:v>
                </c:pt>
                <c:pt idx="850">
                  <c:v>106795.63</c:v>
                </c:pt>
                <c:pt idx="851">
                  <c:v>109368.31</c:v>
                </c:pt>
                <c:pt idx="852">
                  <c:v>108269.22999999998</c:v>
                </c:pt>
                <c:pt idx="853">
                  <c:v>108869.91999999998</c:v>
                </c:pt>
                <c:pt idx="854">
                  <c:v>110877.16999999998</c:v>
                </c:pt>
                <c:pt idx="855">
                  <c:v>110458.62</c:v>
                </c:pt>
                <c:pt idx="856">
                  <c:v>109825.73999999999</c:v>
                </c:pt>
                <c:pt idx="857">
                  <c:v>112377.53999999998</c:v>
                </c:pt>
                <c:pt idx="858">
                  <c:v>106223.07</c:v>
                </c:pt>
                <c:pt idx="859">
                  <c:v>105489.52000000002</c:v>
                </c:pt>
                <c:pt idx="860">
                  <c:v>107594.71999999997</c:v>
                </c:pt>
                <c:pt idx="861">
                  <c:v>106813.71999999997</c:v>
                </c:pt>
                <c:pt idx="862">
                  <c:v>107443.32</c:v>
                </c:pt>
                <c:pt idx="863">
                  <c:v>108307.23999999999</c:v>
                </c:pt>
                <c:pt idx="864">
                  <c:v>111874.16999999998</c:v>
                </c:pt>
                <c:pt idx="865">
                  <c:v>108880.96999999997</c:v>
                </c:pt>
                <c:pt idx="866">
                  <c:v>109389.95000000001</c:v>
                </c:pt>
                <c:pt idx="867">
                  <c:v>111494.72999999998</c:v>
                </c:pt>
                <c:pt idx="868">
                  <c:v>114382.34000000003</c:v>
                </c:pt>
                <c:pt idx="869">
                  <c:v>114279.77000000002</c:v>
                </c:pt>
                <c:pt idx="870">
                  <c:v>112104.48999999999</c:v>
                </c:pt>
                <c:pt idx="871">
                  <c:v>112359.33000000002</c:v>
                </c:pt>
                <c:pt idx="872">
                  <c:v>111204.51000000001</c:v>
                </c:pt>
                <c:pt idx="873">
                  <c:v>113392.93</c:v>
                </c:pt>
                <c:pt idx="874">
                  <c:v>112992.10999999999</c:v>
                </c:pt>
                <c:pt idx="875">
                  <c:v>112919.13</c:v>
                </c:pt>
                <c:pt idx="876">
                  <c:v>111173.65999999997</c:v>
                </c:pt>
                <c:pt idx="877">
                  <c:v>111138.59999999998</c:v>
                </c:pt>
                <c:pt idx="878">
                  <c:v>112483.15000000002</c:v>
                </c:pt>
                <c:pt idx="879">
                  <c:v>114529.84999999998</c:v>
                </c:pt>
                <c:pt idx="880">
                  <c:v>113915.59999999998</c:v>
                </c:pt>
                <c:pt idx="881">
                  <c:v>111882.29999999999</c:v>
                </c:pt>
                <c:pt idx="882">
                  <c:v>113209.32</c:v>
                </c:pt>
                <c:pt idx="883">
                  <c:v>113441.76000000001</c:v>
                </c:pt>
                <c:pt idx="884">
                  <c:v>114082.93</c:v>
                </c:pt>
                <c:pt idx="885">
                  <c:v>112139.53000000003</c:v>
                </c:pt>
                <c:pt idx="886">
                  <c:v>108787.27000000002</c:v>
                </c:pt>
                <c:pt idx="887">
                  <c:v>112595.79999999999</c:v>
                </c:pt>
                <c:pt idx="888">
                  <c:v>111204.35999999999</c:v>
                </c:pt>
                <c:pt idx="889">
                  <c:v>108040.06</c:v>
                </c:pt>
                <c:pt idx="890">
                  <c:v>108089.84000000003</c:v>
                </c:pt>
                <c:pt idx="891">
                  <c:v>106512.14000000001</c:v>
                </c:pt>
                <c:pt idx="892">
                  <c:v>106372.58000000002</c:v>
                </c:pt>
                <c:pt idx="893">
                  <c:v>100130.46000000002</c:v>
                </c:pt>
                <c:pt idx="894">
                  <c:v>102326.94</c:v>
                </c:pt>
                <c:pt idx="895">
                  <c:v>101641.46000000002</c:v>
                </c:pt>
                <c:pt idx="896">
                  <c:v>102556.53999999998</c:v>
                </c:pt>
                <c:pt idx="897">
                  <c:v>101348.26000000001</c:v>
                </c:pt>
                <c:pt idx="898">
                  <c:v>100301.14000000001</c:v>
                </c:pt>
                <c:pt idx="899">
                  <c:v>103500.03999999998</c:v>
                </c:pt>
                <c:pt idx="900">
                  <c:v>101520.19</c:v>
                </c:pt>
                <c:pt idx="901">
                  <c:v>95844.549999999988</c:v>
                </c:pt>
                <c:pt idx="902">
                  <c:v>95352.090000000026</c:v>
                </c:pt>
                <c:pt idx="903">
                  <c:v>89554.75</c:v>
                </c:pt>
                <c:pt idx="904">
                  <c:v>88093.69</c:v>
                </c:pt>
                <c:pt idx="905">
                  <c:v>83348.549999999988</c:v>
                </c:pt>
                <c:pt idx="906">
                  <c:v>80628.69</c:v>
                </c:pt>
                <c:pt idx="907">
                  <c:v>84389.43</c:v>
                </c:pt>
                <c:pt idx="908">
                  <c:v>90087.31</c:v>
                </c:pt>
                <c:pt idx="909">
                  <c:v>88753.229999999981</c:v>
                </c:pt>
                <c:pt idx="910">
                  <c:v>89340.010000000009</c:v>
                </c:pt>
                <c:pt idx="911">
                  <c:v>89123.669999999984</c:v>
                </c:pt>
                <c:pt idx="912">
                  <c:v>91790.94</c:v>
                </c:pt>
                <c:pt idx="913">
                  <c:v>91353.979999999981</c:v>
                </c:pt>
                <c:pt idx="914">
                  <c:v>89732.38</c:v>
                </c:pt>
                <c:pt idx="915">
                  <c:v>91703.69</c:v>
                </c:pt>
                <c:pt idx="916">
                  <c:v>88557.030000000028</c:v>
                </c:pt>
                <c:pt idx="917">
                  <c:v>90076.039999999979</c:v>
                </c:pt>
                <c:pt idx="918">
                  <c:v>93039</c:v>
                </c:pt>
                <c:pt idx="919">
                  <c:v>92400.859999999986</c:v>
                </c:pt>
                <c:pt idx="920">
                  <c:v>95186.479999999981</c:v>
                </c:pt>
                <c:pt idx="921">
                  <c:v>95644.830000000016</c:v>
                </c:pt>
                <c:pt idx="922">
                  <c:v>92944.210000000021</c:v>
                </c:pt>
                <c:pt idx="923">
                  <c:v>94354.13</c:v>
                </c:pt>
                <c:pt idx="924">
                  <c:v>97196.700000000012</c:v>
                </c:pt>
                <c:pt idx="925">
                  <c:v>97430.07</c:v>
                </c:pt>
                <c:pt idx="926">
                  <c:v>99186.87</c:v>
                </c:pt>
                <c:pt idx="927">
                  <c:v>100505.87</c:v>
                </c:pt>
                <c:pt idx="928">
                  <c:v>96218.539999999979</c:v>
                </c:pt>
                <c:pt idx="929">
                  <c:v>98370.770000000019</c:v>
                </c:pt>
                <c:pt idx="930">
                  <c:v>98558.450000000012</c:v>
                </c:pt>
                <c:pt idx="931">
                  <c:v>95611.109999999986</c:v>
                </c:pt>
                <c:pt idx="932">
                  <c:v>94624.460000000021</c:v>
                </c:pt>
                <c:pt idx="933">
                  <c:v>97341.700000000012</c:v>
                </c:pt>
                <c:pt idx="934">
                  <c:v>94521.340000000026</c:v>
                </c:pt>
                <c:pt idx="935">
                  <c:v>98612.229999999981</c:v>
                </c:pt>
                <c:pt idx="936">
                  <c:v>93556.210000000021</c:v>
                </c:pt>
                <c:pt idx="937">
                  <c:v>91174.799999999988</c:v>
                </c:pt>
                <c:pt idx="938">
                  <c:v>88988.580000000016</c:v>
                </c:pt>
                <c:pt idx="939">
                  <c:v>89905.979999999981</c:v>
                </c:pt>
                <c:pt idx="940">
                  <c:v>92279.080000000016</c:v>
                </c:pt>
                <c:pt idx="941">
                  <c:v>91207.260000000009</c:v>
                </c:pt>
                <c:pt idx="942">
                  <c:v>93851.979999999981</c:v>
                </c:pt>
                <c:pt idx="943">
                  <c:v>97171.44</c:v>
                </c:pt>
                <c:pt idx="944">
                  <c:v>93197.07</c:v>
                </c:pt>
                <c:pt idx="945">
                  <c:v>93444.43</c:v>
                </c:pt>
                <c:pt idx="946">
                  <c:v>92294.650000000023</c:v>
                </c:pt>
                <c:pt idx="947">
                  <c:v>96863.109999999986</c:v>
                </c:pt>
                <c:pt idx="948">
                  <c:v>95312.030000000028</c:v>
                </c:pt>
                <c:pt idx="949">
                  <c:v>89817.960000000021</c:v>
                </c:pt>
                <c:pt idx="950">
                  <c:v>89446.739999999991</c:v>
                </c:pt>
                <c:pt idx="951">
                  <c:v>80701.650000000023</c:v>
                </c:pt>
                <c:pt idx="952">
                  <c:v>75908.609999999986</c:v>
                </c:pt>
                <c:pt idx="953">
                  <c:v>77283.349999999977</c:v>
                </c:pt>
                <c:pt idx="954">
                  <c:v>84284.460000000021</c:v>
                </c:pt>
                <c:pt idx="955">
                  <c:v>81544.700000000012</c:v>
                </c:pt>
                <c:pt idx="956">
                  <c:v>77557.909999999974</c:v>
                </c:pt>
                <c:pt idx="957">
                  <c:v>80623.729999999981</c:v>
                </c:pt>
                <c:pt idx="958">
                  <c:v>69275.75</c:v>
                </c:pt>
                <c:pt idx="959">
                  <c:v>66044.530000000028</c:v>
                </c:pt>
                <c:pt idx="960">
                  <c:v>73183</c:v>
                </c:pt>
                <c:pt idx="961">
                  <c:v>80017.020000000019</c:v>
                </c:pt>
                <c:pt idx="962">
                  <c:v>77447.590000000026</c:v>
                </c:pt>
                <c:pt idx="963">
                  <c:v>78115.06</c:v>
                </c:pt>
                <c:pt idx="964">
                  <c:v>67099.929999999993</c:v>
                </c:pt>
                <c:pt idx="965">
                  <c:v>68114.25</c:v>
                </c:pt>
                <c:pt idx="966">
                  <c:v>73169.150000000023</c:v>
                </c:pt>
                <c:pt idx="967">
                  <c:v>71211.780000000028</c:v>
                </c:pt>
                <c:pt idx="968">
                  <c:v>68863.320000000007</c:v>
                </c:pt>
                <c:pt idx="969">
                  <c:v>74694.479999999981</c:v>
                </c:pt>
                <c:pt idx="970">
                  <c:v>81138.12</c:v>
                </c:pt>
                <c:pt idx="971">
                  <c:v>81209.530000000028</c:v>
                </c:pt>
                <c:pt idx="972">
                  <c:v>88856.669999999984</c:v>
                </c:pt>
                <c:pt idx="973">
                  <c:v>93766.719999999972</c:v>
                </c:pt>
                <c:pt idx="974">
                  <c:v>97684.729999999981</c:v>
                </c:pt>
                <c:pt idx="975">
                  <c:v>93768.06</c:v>
                </c:pt>
                <c:pt idx="976">
                  <c:v>95160.719999999972</c:v>
                </c:pt>
                <c:pt idx="977">
                  <c:v>106425.29999999999</c:v>
                </c:pt>
                <c:pt idx="978">
                  <c:v>96923.400000000023</c:v>
                </c:pt>
                <c:pt idx="979">
                  <c:v>95703.020000000019</c:v>
                </c:pt>
                <c:pt idx="980">
                  <c:v>94179.44</c:v>
                </c:pt>
                <c:pt idx="981">
                  <c:v>95138.219999999972</c:v>
                </c:pt>
                <c:pt idx="982">
                  <c:v>93888.780000000028</c:v>
                </c:pt>
                <c:pt idx="983">
                  <c:v>86085.94</c:v>
                </c:pt>
                <c:pt idx="984">
                  <c:v>87730.049999999988</c:v>
                </c:pt>
                <c:pt idx="985">
                  <c:v>83046.770000000019</c:v>
                </c:pt>
                <c:pt idx="986">
                  <c:v>86264.840000000026</c:v>
                </c:pt>
                <c:pt idx="987">
                  <c:v>87454.520000000019</c:v>
                </c:pt>
                <c:pt idx="988">
                  <c:v>80923.06</c:v>
                </c:pt>
                <c:pt idx="989">
                  <c:v>74919.719999999972</c:v>
                </c:pt>
                <c:pt idx="990">
                  <c:v>78187.099999999977</c:v>
                </c:pt>
                <c:pt idx="991">
                  <c:v>78198.580000000016</c:v>
                </c:pt>
                <c:pt idx="992">
                  <c:v>76433.099999999977</c:v>
                </c:pt>
                <c:pt idx="993">
                  <c:v>70764.12</c:v>
                </c:pt>
                <c:pt idx="994">
                  <c:v>76088.210000000021</c:v>
                </c:pt>
                <c:pt idx="995">
                  <c:v>82417.599999999977</c:v>
                </c:pt>
                <c:pt idx="996">
                  <c:v>81724.020000000019</c:v>
                </c:pt>
                <c:pt idx="997">
                  <c:v>84007.539999999979</c:v>
                </c:pt>
                <c:pt idx="998">
                  <c:v>82466.640000000014</c:v>
                </c:pt>
                <c:pt idx="999">
                  <c:v>84069.580000000016</c:v>
                </c:pt>
                <c:pt idx="1000">
                  <c:v>81072.06</c:v>
                </c:pt>
                <c:pt idx="1001">
                  <c:v>84468.659999999974</c:v>
                </c:pt>
                <c:pt idx="1002">
                  <c:v>86274.18</c:v>
                </c:pt>
                <c:pt idx="1003">
                  <c:v>89534.260000000009</c:v>
                </c:pt>
                <c:pt idx="1004">
                  <c:v>89008.840000000026</c:v>
                </c:pt>
                <c:pt idx="1005">
                  <c:v>90735.039999999979</c:v>
                </c:pt>
                <c:pt idx="1006">
                  <c:v>91095.280000000028</c:v>
                </c:pt>
                <c:pt idx="1007">
                  <c:v>92366.200000000012</c:v>
                </c:pt>
                <c:pt idx="1008">
                  <c:v>88015.739999999991</c:v>
                </c:pt>
                <c:pt idx="1009">
                  <c:v>90011.919999999984</c:v>
                </c:pt>
                <c:pt idx="1010">
                  <c:v>97254.080000000016</c:v>
                </c:pt>
                <c:pt idx="1011">
                  <c:v>104485.95000000001</c:v>
                </c:pt>
                <c:pt idx="1012">
                  <c:v>105310.88</c:v>
                </c:pt>
                <c:pt idx="1013">
                  <c:v>104518.69</c:v>
                </c:pt>
                <c:pt idx="1014">
                  <c:v>106683.56</c:v>
                </c:pt>
                <c:pt idx="1015">
                  <c:v>103671.91999999998</c:v>
                </c:pt>
                <c:pt idx="1016">
                  <c:v>104000.23999999999</c:v>
                </c:pt>
                <c:pt idx="1017">
                  <c:v>102012.72999999998</c:v>
                </c:pt>
                <c:pt idx="1018">
                  <c:v>100551.93</c:v>
                </c:pt>
                <c:pt idx="1019">
                  <c:v>103684.33000000002</c:v>
                </c:pt>
                <c:pt idx="1020">
                  <c:v>99076.229999999981</c:v>
                </c:pt>
                <c:pt idx="1021">
                  <c:v>96508.210000000021</c:v>
                </c:pt>
                <c:pt idx="1022">
                  <c:v>97016.030000000028</c:v>
                </c:pt>
                <c:pt idx="1023">
                  <c:v>97885.849999999977</c:v>
                </c:pt>
                <c:pt idx="1024">
                  <c:v>100725.85999999999</c:v>
                </c:pt>
                <c:pt idx="1025">
                  <c:v>102961.64000000001</c:v>
                </c:pt>
                <c:pt idx="1026">
                  <c:v>99211.640000000014</c:v>
                </c:pt>
                <c:pt idx="1027">
                  <c:v>101307.12</c:v>
                </c:pt>
                <c:pt idx="1028">
                  <c:v>98919.109999999986</c:v>
                </c:pt>
                <c:pt idx="1029">
                  <c:v>100908.87</c:v>
                </c:pt>
                <c:pt idx="1030">
                  <c:v>98053.650000000023</c:v>
                </c:pt>
                <c:pt idx="1031">
                  <c:v>102081.04999999999</c:v>
                </c:pt>
                <c:pt idx="1032">
                  <c:v>101225.20000000001</c:v>
                </c:pt>
                <c:pt idx="1033">
                  <c:v>106123.40000000002</c:v>
                </c:pt>
                <c:pt idx="1034">
                  <c:v>106718.5</c:v>
                </c:pt>
                <c:pt idx="1035">
                  <c:v>105904.09999999998</c:v>
                </c:pt>
              </c:numCache>
            </c:numRef>
          </c:yVal>
          <c:smooth val="1"/>
        </c:ser>
        <c:dLbls>
          <c:showLegendKey val="0"/>
          <c:showVal val="0"/>
          <c:showCatName val="0"/>
          <c:showSerName val="0"/>
          <c:showPercent val="0"/>
          <c:showBubbleSize val="0"/>
        </c:dLbls>
        <c:axId val="395892320"/>
        <c:axId val="395894280"/>
      </c:scatterChart>
      <c:valAx>
        <c:axId val="395892320"/>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95894280"/>
        <c:crosses val="autoZero"/>
        <c:crossBetween val="midCat"/>
      </c:valAx>
      <c:valAx>
        <c:axId val="395894280"/>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out"/>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95892320"/>
        <c:crosses val="autoZero"/>
        <c:crossBetween val="midCat"/>
        <c:majorUnit val="50000"/>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SPX</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Balance!$B$2:$B$1989</c:f>
              <c:numCache>
                <c:formatCode>m/d/yyyy</c:formatCode>
                <c:ptCount val="1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pt idx="1032">
                  <c:v>43804</c:v>
                </c:pt>
                <c:pt idx="1033">
                  <c:v>43805</c:v>
                </c:pt>
                <c:pt idx="1034">
                  <c:v>43808</c:v>
                </c:pt>
                <c:pt idx="1035">
                  <c:v>43809</c:v>
                </c:pt>
              </c:numCache>
            </c:numRef>
          </c:xVal>
          <c:yVal>
            <c:numRef>
              <c:f>Balance!$C$2:$C$1991</c:f>
              <c:numCache>
                <c:formatCode>0.00</c:formatCode>
                <c:ptCount val="1990"/>
                <c:pt idx="0">
                  <c:v>2102.44</c:v>
                </c:pt>
                <c:pt idx="1">
                  <c:v>2096.92</c:v>
                </c:pt>
                <c:pt idx="2">
                  <c:v>2079.61</c:v>
                </c:pt>
                <c:pt idx="3">
                  <c:v>2035.73</c:v>
                </c:pt>
                <c:pt idx="4">
                  <c:v>1970.89</c:v>
                </c:pt>
                <c:pt idx="5">
                  <c:v>1893.21</c:v>
                </c:pt>
                <c:pt idx="6">
                  <c:v>1867.61</c:v>
                </c:pt>
                <c:pt idx="7">
                  <c:v>1940.51</c:v>
                </c:pt>
                <c:pt idx="8">
                  <c:v>1987.66</c:v>
                </c:pt>
                <c:pt idx="9">
                  <c:v>1988.87</c:v>
                </c:pt>
                <c:pt idx="10">
                  <c:v>1972.18</c:v>
                </c:pt>
                <c:pt idx="11">
                  <c:v>1913.85</c:v>
                </c:pt>
                <c:pt idx="12">
                  <c:v>1948.86</c:v>
                </c:pt>
                <c:pt idx="13">
                  <c:v>1951.13</c:v>
                </c:pt>
                <c:pt idx="14">
                  <c:v>1921.22</c:v>
                </c:pt>
                <c:pt idx="15">
                  <c:v>1969.41</c:v>
                </c:pt>
                <c:pt idx="16">
                  <c:v>1942.04</c:v>
                </c:pt>
                <c:pt idx="17">
                  <c:v>1952.29</c:v>
                </c:pt>
                <c:pt idx="18">
                  <c:v>1961.05</c:v>
                </c:pt>
                <c:pt idx="19">
                  <c:v>1953.03</c:v>
                </c:pt>
                <c:pt idx="20">
                  <c:v>1978.09</c:v>
                </c:pt>
                <c:pt idx="21">
                  <c:v>1995.31</c:v>
                </c:pt>
                <c:pt idx="22">
                  <c:v>1990.2</c:v>
                </c:pt>
                <c:pt idx="23">
                  <c:v>1958.08</c:v>
                </c:pt>
                <c:pt idx="24">
                  <c:v>1966.97</c:v>
                </c:pt>
                <c:pt idx="25">
                  <c:v>1942.74</c:v>
                </c:pt>
                <c:pt idx="26">
                  <c:v>1938.76</c:v>
                </c:pt>
                <c:pt idx="27">
                  <c:v>1932.24</c:v>
                </c:pt>
                <c:pt idx="28">
                  <c:v>1931.34</c:v>
                </c:pt>
                <c:pt idx="29">
                  <c:v>1881.77</c:v>
                </c:pt>
                <c:pt idx="30">
                  <c:v>1884.09</c:v>
                </c:pt>
                <c:pt idx="31">
                  <c:v>1920.03</c:v>
                </c:pt>
                <c:pt idx="32">
                  <c:v>1923.82</c:v>
                </c:pt>
                <c:pt idx="33">
                  <c:v>1951.36</c:v>
                </c:pt>
                <c:pt idx="34">
                  <c:v>1987.05</c:v>
                </c:pt>
                <c:pt idx="35">
                  <c:v>1979.92</c:v>
                </c:pt>
                <c:pt idx="36">
                  <c:v>1995.83</c:v>
                </c:pt>
                <c:pt idx="37">
                  <c:v>2013.43</c:v>
                </c:pt>
                <c:pt idx="38">
                  <c:v>2014.89</c:v>
                </c:pt>
                <c:pt idx="39">
                  <c:v>2017.46</c:v>
                </c:pt>
                <c:pt idx="40">
                  <c:v>2003.69</c:v>
                </c:pt>
                <c:pt idx="41" formatCode="General">
                  <c:v>1994.24</c:v>
                </c:pt>
                <c:pt idx="42" formatCode="General">
                  <c:v>2023.86</c:v>
                </c:pt>
                <c:pt idx="43" formatCode="General">
                  <c:v>2033.11</c:v>
                </c:pt>
                <c:pt idx="44" formatCode="General">
                  <c:v>2033.66</c:v>
                </c:pt>
                <c:pt idx="45" formatCode="General">
                  <c:v>2030.77</c:v>
                </c:pt>
                <c:pt idx="46" formatCode="General">
                  <c:v>2018.94</c:v>
                </c:pt>
                <c:pt idx="47" formatCode="General">
                  <c:v>2052.5100000000002</c:v>
                </c:pt>
                <c:pt idx="48" formatCode="General">
                  <c:v>2075.15</c:v>
                </c:pt>
                <c:pt idx="49">
                  <c:v>2071.1799999999998</c:v>
                </c:pt>
                <c:pt idx="50">
                  <c:v>2065.89</c:v>
                </c:pt>
                <c:pt idx="51" formatCode="General">
                  <c:v>2090.31</c:v>
                </c:pt>
                <c:pt idx="52" formatCode="General">
                  <c:v>2089.41</c:v>
                </c:pt>
                <c:pt idx="53" formatCode="General">
                  <c:v>2079.36</c:v>
                </c:pt>
                <c:pt idx="54" formatCode="General">
                  <c:v>2104.0500000000002</c:v>
                </c:pt>
                <c:pt idx="55" formatCode="General">
                  <c:v>2109.79</c:v>
                </c:pt>
                <c:pt idx="56" formatCode="General">
                  <c:v>2102.31</c:v>
                </c:pt>
                <c:pt idx="57" formatCode="General">
                  <c:v>2099.9299999999998</c:v>
                </c:pt>
                <c:pt idx="58">
                  <c:v>2099.1999999999998</c:v>
                </c:pt>
                <c:pt idx="59">
                  <c:v>2078.58</c:v>
                </c:pt>
                <c:pt idx="60">
                  <c:v>2081.7199999999998</c:v>
                </c:pt>
                <c:pt idx="61">
                  <c:v>2075</c:v>
                </c:pt>
                <c:pt idx="62" formatCode="General">
                  <c:v>2045.97</c:v>
                </c:pt>
                <c:pt idx="63" formatCode="General">
                  <c:v>2023.04</c:v>
                </c:pt>
                <c:pt idx="64" formatCode="General">
                  <c:v>2053.19</c:v>
                </c:pt>
                <c:pt idx="65" formatCode="General">
                  <c:v>2050.44</c:v>
                </c:pt>
                <c:pt idx="66" formatCode="General">
                  <c:v>2083.58</c:v>
                </c:pt>
                <c:pt idx="67" formatCode="General">
                  <c:v>2081.2399999999998</c:v>
                </c:pt>
                <c:pt idx="68">
                  <c:v>2089.17</c:v>
                </c:pt>
                <c:pt idx="69">
                  <c:v>2086.59</c:v>
                </c:pt>
                <c:pt idx="70">
                  <c:v>2089.14</c:v>
                </c:pt>
                <c:pt idx="71">
                  <c:v>2088.87</c:v>
                </c:pt>
                <c:pt idx="72" formatCode="General">
                  <c:v>2090.11</c:v>
                </c:pt>
                <c:pt idx="73" formatCode="General">
                  <c:v>2080.41</c:v>
                </c:pt>
                <c:pt idx="74" formatCode="General">
                  <c:v>2102.63</c:v>
                </c:pt>
                <c:pt idx="75" formatCode="General">
                  <c:v>2079.5100000000002</c:v>
                </c:pt>
                <c:pt idx="76" formatCode="General">
                  <c:v>2049.62</c:v>
                </c:pt>
                <c:pt idx="77" formatCode="General">
                  <c:v>2091.69</c:v>
                </c:pt>
                <c:pt idx="78">
                  <c:v>2077.0700000000002</c:v>
                </c:pt>
                <c:pt idx="79">
                  <c:v>2063.59</c:v>
                </c:pt>
                <c:pt idx="80">
                  <c:v>2047.62</c:v>
                </c:pt>
                <c:pt idx="81" formatCode="General">
                  <c:v>2052.23</c:v>
                </c:pt>
                <c:pt idx="82" formatCode="General">
                  <c:v>2012.37</c:v>
                </c:pt>
                <c:pt idx="83" formatCode="General">
                  <c:v>2021.94</c:v>
                </c:pt>
                <c:pt idx="84" formatCode="General">
                  <c:v>2043.41</c:v>
                </c:pt>
                <c:pt idx="85" formatCode="General">
                  <c:v>2073.0700000000002</c:v>
                </c:pt>
                <c:pt idx="86" formatCode="General">
                  <c:v>2041.89</c:v>
                </c:pt>
                <c:pt idx="87" formatCode="General">
                  <c:v>2005.52</c:v>
                </c:pt>
                <c:pt idx="88">
                  <c:v>2021.15</c:v>
                </c:pt>
                <c:pt idx="89">
                  <c:v>2038.97</c:v>
                </c:pt>
                <c:pt idx="90">
                  <c:v>2064.29</c:v>
                </c:pt>
                <c:pt idx="91" formatCode="General">
                  <c:v>2060.9899999999998</c:v>
                </c:pt>
                <c:pt idx="92">
                  <c:v>2056.5</c:v>
                </c:pt>
                <c:pt idx="93" formatCode="General">
                  <c:v>2078.36</c:v>
                </c:pt>
                <c:pt idx="94" formatCode="General">
                  <c:v>2063.36</c:v>
                </c:pt>
                <c:pt idx="95" formatCode="General">
                  <c:v>2043.94</c:v>
                </c:pt>
                <c:pt idx="96">
                  <c:v>2012.66</c:v>
                </c:pt>
                <c:pt idx="97">
                  <c:v>2016.71</c:v>
                </c:pt>
                <c:pt idx="98">
                  <c:v>1990.26</c:v>
                </c:pt>
                <c:pt idx="99" formatCode="General">
                  <c:v>1943.09</c:v>
                </c:pt>
                <c:pt idx="100" formatCode="General">
                  <c:v>1922.03</c:v>
                </c:pt>
                <c:pt idx="101">
                  <c:v>1923.67</c:v>
                </c:pt>
                <c:pt idx="102" formatCode="General">
                  <c:v>1938.68</c:v>
                </c:pt>
                <c:pt idx="103" formatCode="General">
                  <c:v>1890.28</c:v>
                </c:pt>
                <c:pt idx="104" formatCode="General">
                  <c:v>1921.84</c:v>
                </c:pt>
                <c:pt idx="105" formatCode="General">
                  <c:v>1880.33</c:v>
                </c:pt>
                <c:pt idx="106">
                  <c:v>1881.33</c:v>
                </c:pt>
                <c:pt idx="107">
                  <c:v>1859.33</c:v>
                </c:pt>
                <c:pt idx="108">
                  <c:v>1868.99</c:v>
                </c:pt>
                <c:pt idx="109" formatCode="General">
                  <c:v>1906.9</c:v>
                </c:pt>
                <c:pt idx="110">
                  <c:v>1877.08</c:v>
                </c:pt>
                <c:pt idx="111" formatCode="General">
                  <c:v>1903.63</c:v>
                </c:pt>
                <c:pt idx="112" formatCode="General">
                  <c:v>1882.95</c:v>
                </c:pt>
                <c:pt idx="113" formatCode="General">
                  <c:v>1893.36</c:v>
                </c:pt>
                <c:pt idx="114" formatCode="General">
                  <c:v>1940.24</c:v>
                </c:pt>
                <c:pt idx="115" formatCode="General">
                  <c:v>1939.38</c:v>
                </c:pt>
                <c:pt idx="116" formatCode="General">
                  <c:v>1903.03</c:v>
                </c:pt>
                <c:pt idx="117" formatCode="General">
                  <c:v>1912.53</c:v>
                </c:pt>
                <c:pt idx="118" formatCode="General">
                  <c:v>1915.45</c:v>
                </c:pt>
                <c:pt idx="119" formatCode="General">
                  <c:v>1880.02</c:v>
                </c:pt>
                <c:pt idx="120">
                  <c:v>1853.44</c:v>
                </c:pt>
                <c:pt idx="121" formatCode="General">
                  <c:v>1852.21</c:v>
                </c:pt>
                <c:pt idx="122" formatCode="General">
                  <c:v>1851.86</c:v>
                </c:pt>
                <c:pt idx="123" formatCode="General">
                  <c:v>1829.08</c:v>
                </c:pt>
                <c:pt idx="124" formatCode="General">
                  <c:v>1864.78</c:v>
                </c:pt>
                <c:pt idx="125" formatCode="General">
                  <c:v>1895.58</c:v>
                </c:pt>
                <c:pt idx="126" formatCode="General">
                  <c:v>1926.82</c:v>
                </c:pt>
                <c:pt idx="127" formatCode="General">
                  <c:v>1917.83</c:v>
                </c:pt>
                <c:pt idx="128" formatCode="General">
                  <c:v>1917.78</c:v>
                </c:pt>
                <c:pt idx="129">
                  <c:v>1945.5</c:v>
                </c:pt>
                <c:pt idx="130" formatCode="General">
                  <c:v>1921.27</c:v>
                </c:pt>
                <c:pt idx="131">
                  <c:v>1929.8</c:v>
                </c:pt>
                <c:pt idx="132">
                  <c:v>1951.7</c:v>
                </c:pt>
                <c:pt idx="133">
                  <c:v>1948.05</c:v>
                </c:pt>
                <c:pt idx="134" formatCode="General">
                  <c:v>1932.23</c:v>
                </c:pt>
                <c:pt idx="135" formatCode="General">
                  <c:v>1978.35</c:v>
                </c:pt>
                <c:pt idx="136">
                  <c:v>1986.4749999999999</c:v>
                </c:pt>
                <c:pt idx="137">
                  <c:v>1993.4</c:v>
                </c:pt>
                <c:pt idx="138" formatCode="General">
                  <c:v>1999.99</c:v>
                </c:pt>
                <c:pt idx="139">
                  <c:v>2001.76</c:v>
                </c:pt>
                <c:pt idx="140">
                  <c:v>1979.26</c:v>
                </c:pt>
                <c:pt idx="141">
                  <c:v>1989.26</c:v>
                </c:pt>
                <c:pt idx="142">
                  <c:v>1989.57</c:v>
                </c:pt>
                <c:pt idx="143">
                  <c:v>2022.19</c:v>
                </c:pt>
                <c:pt idx="144" formatCode="General">
                  <c:v>2019.64</c:v>
                </c:pt>
                <c:pt idx="145" formatCode="General">
                  <c:v>2015.93</c:v>
                </c:pt>
                <c:pt idx="146" formatCode="General">
                  <c:v>2027.22</c:v>
                </c:pt>
                <c:pt idx="147" formatCode="General">
                  <c:v>2040.59</c:v>
                </c:pt>
                <c:pt idx="148" formatCode="General">
                  <c:v>2049.56</c:v>
                </c:pt>
                <c:pt idx="149">
                  <c:v>2051.6</c:v>
                </c:pt>
                <c:pt idx="150">
                  <c:v>2052.6</c:v>
                </c:pt>
                <c:pt idx="151">
                  <c:v>2036.71</c:v>
                </c:pt>
                <c:pt idx="152">
                  <c:v>2035.94</c:v>
                </c:pt>
                <c:pt idx="153" formatCode="General">
                  <c:v>2037.05</c:v>
                </c:pt>
                <c:pt idx="154" formatCode="General">
                  <c:v>2055.0100000000002</c:v>
                </c:pt>
                <c:pt idx="155" formatCode="General">
                  <c:v>2063.9499999999998</c:v>
                </c:pt>
                <c:pt idx="156" formatCode="General">
                  <c:v>2059.7399999999998</c:v>
                </c:pt>
                <c:pt idx="157" formatCode="General">
                  <c:v>2072.7800000000002</c:v>
                </c:pt>
                <c:pt idx="158">
                  <c:v>2066.13</c:v>
                </c:pt>
                <c:pt idx="159">
                  <c:v>2045.17</c:v>
                </c:pt>
                <c:pt idx="160">
                  <c:v>2066.66</c:v>
                </c:pt>
                <c:pt idx="161">
                  <c:v>2041.91</c:v>
                </c:pt>
                <c:pt idx="162">
                  <c:v>2047.6</c:v>
                </c:pt>
                <c:pt idx="163" formatCode="General">
                  <c:v>2041.99</c:v>
                </c:pt>
                <c:pt idx="164" formatCode="General">
                  <c:v>2061.7199999999998</c:v>
                </c:pt>
                <c:pt idx="165" formatCode="General">
                  <c:v>2082.42</c:v>
                </c:pt>
                <c:pt idx="166" formatCode="General">
                  <c:v>2082.7800000000002</c:v>
                </c:pt>
                <c:pt idx="167" formatCode="General">
                  <c:v>2080.73</c:v>
                </c:pt>
                <c:pt idx="168">
                  <c:v>2094.39</c:v>
                </c:pt>
                <c:pt idx="169">
                  <c:v>2100.8000000000002</c:v>
                </c:pt>
                <c:pt idx="170">
                  <c:v>2102.4</c:v>
                </c:pt>
                <c:pt idx="171">
                  <c:v>2091.48</c:v>
                </c:pt>
                <c:pt idx="172">
                  <c:v>2091.58</c:v>
                </c:pt>
                <c:pt idx="173" formatCode="General">
                  <c:v>2087.79</c:v>
                </c:pt>
                <c:pt idx="174">
                  <c:v>2091.6999999999998</c:v>
                </c:pt>
                <c:pt idx="175">
                  <c:v>2095.15</c:v>
                </c:pt>
                <c:pt idx="176">
                  <c:v>2075.81</c:v>
                </c:pt>
                <c:pt idx="177">
                  <c:v>2065.3000000000002</c:v>
                </c:pt>
                <c:pt idx="178">
                  <c:v>2081.4299999999998</c:v>
                </c:pt>
                <c:pt idx="179">
                  <c:v>2063.37</c:v>
                </c:pt>
                <c:pt idx="180">
                  <c:v>2051.12</c:v>
                </c:pt>
                <c:pt idx="181">
                  <c:v>2050.63</c:v>
                </c:pt>
                <c:pt idx="182">
                  <c:v>2057.14</c:v>
                </c:pt>
                <c:pt idx="183" formatCode="General">
                  <c:v>2058.69</c:v>
                </c:pt>
                <c:pt idx="184" formatCode="General">
                  <c:v>2084.39</c:v>
                </c:pt>
                <c:pt idx="185" formatCode="General">
                  <c:v>2064.46</c:v>
                </c:pt>
                <c:pt idx="186" formatCode="General">
                  <c:v>2064.11</c:v>
                </c:pt>
                <c:pt idx="187" formatCode="General">
                  <c:v>2046.61</c:v>
                </c:pt>
                <c:pt idx="188">
                  <c:v>2066.66</c:v>
                </c:pt>
                <c:pt idx="189">
                  <c:v>2047.21</c:v>
                </c:pt>
                <c:pt idx="190">
                  <c:v>2047.63</c:v>
                </c:pt>
                <c:pt idx="191">
                  <c:v>2040.04</c:v>
                </c:pt>
                <c:pt idx="192">
                  <c:v>2052.3200000000002</c:v>
                </c:pt>
                <c:pt idx="193" formatCode="General">
                  <c:v>2048.04</c:v>
                </c:pt>
                <c:pt idx="194" formatCode="General">
                  <c:v>2076.06</c:v>
                </c:pt>
                <c:pt idx="195" formatCode="General">
                  <c:v>2090.54</c:v>
                </c:pt>
                <c:pt idx="196" formatCode="General">
                  <c:v>2090.1</c:v>
                </c:pt>
                <c:pt idx="197" formatCode="General">
                  <c:v>2099.06</c:v>
                </c:pt>
                <c:pt idx="198">
                  <c:v>2096.9499999999998</c:v>
                </c:pt>
                <c:pt idx="199">
                  <c:v>2099.33</c:v>
                </c:pt>
                <c:pt idx="200">
                  <c:v>2105.2600000000002</c:v>
                </c:pt>
                <c:pt idx="201">
                  <c:v>2099.13</c:v>
                </c:pt>
                <c:pt idx="202" formatCode="General">
                  <c:v>2109.41</c:v>
                </c:pt>
                <c:pt idx="203" formatCode="General">
                  <c:v>2112.13</c:v>
                </c:pt>
                <c:pt idx="204" formatCode="General">
                  <c:v>2119.12</c:v>
                </c:pt>
                <c:pt idx="205" formatCode="General">
                  <c:v>2115.48</c:v>
                </c:pt>
                <c:pt idx="206" formatCode="General">
                  <c:v>2096.0700000000002</c:v>
                </c:pt>
                <c:pt idx="207">
                  <c:v>2079.06</c:v>
                </c:pt>
                <c:pt idx="208">
                  <c:v>2075.3200000000002</c:v>
                </c:pt>
                <c:pt idx="209">
                  <c:v>2071.5</c:v>
                </c:pt>
                <c:pt idx="210">
                  <c:v>2077.9899999999998</c:v>
                </c:pt>
                <c:pt idx="211">
                  <c:v>2071.2199999999998</c:v>
                </c:pt>
                <c:pt idx="212" formatCode="General">
                  <c:v>2083.25</c:v>
                </c:pt>
                <c:pt idx="213" formatCode="General">
                  <c:v>2088.9</c:v>
                </c:pt>
                <c:pt idx="214" formatCode="General">
                  <c:v>2085.4499999999998</c:v>
                </c:pt>
                <c:pt idx="215" formatCode="General">
                  <c:v>2113.3200000000002</c:v>
                </c:pt>
                <c:pt idx="216" formatCode="General">
                  <c:v>2037.3</c:v>
                </c:pt>
                <c:pt idx="217">
                  <c:v>2000.54</c:v>
                </c:pt>
                <c:pt idx="218">
                  <c:v>2036.09</c:v>
                </c:pt>
                <c:pt idx="219">
                  <c:v>2070.77</c:v>
                </c:pt>
                <c:pt idx="220">
                  <c:v>2098.86</c:v>
                </c:pt>
                <c:pt idx="221">
                  <c:v>2102.9499999999998</c:v>
                </c:pt>
                <c:pt idx="222" formatCode="General">
                  <c:v>2088.5500000000002</c:v>
                </c:pt>
                <c:pt idx="223" formatCode="General">
                  <c:v>2088.5500000000002</c:v>
                </c:pt>
                <c:pt idx="224" formatCode="General">
                  <c:v>2088.5500000000002</c:v>
                </c:pt>
                <c:pt idx="225" formatCode="General">
                  <c:v>2088.5500000000002</c:v>
                </c:pt>
                <c:pt idx="226">
                  <c:v>2137.16</c:v>
                </c:pt>
                <c:pt idx="227">
                  <c:v>2152.14</c:v>
                </c:pt>
                <c:pt idx="228">
                  <c:v>2152.4299999999998</c:v>
                </c:pt>
                <c:pt idx="229">
                  <c:v>2163.75</c:v>
                </c:pt>
                <c:pt idx="230">
                  <c:v>2161.7399999999998</c:v>
                </c:pt>
                <c:pt idx="231" formatCode="General">
                  <c:v>2166.89</c:v>
                </c:pt>
                <c:pt idx="232" formatCode="General">
                  <c:v>2163.7800000000002</c:v>
                </c:pt>
                <c:pt idx="233" formatCode="General">
                  <c:v>2173.02</c:v>
                </c:pt>
                <c:pt idx="234" formatCode="General">
                  <c:v>2165.17</c:v>
                </c:pt>
                <c:pt idx="235" formatCode="General">
                  <c:v>2175.0300000000002</c:v>
                </c:pt>
                <c:pt idx="236">
                  <c:v>2168.48</c:v>
                </c:pt>
                <c:pt idx="237">
                  <c:v>2169.1799999999998</c:v>
                </c:pt>
                <c:pt idx="238">
                  <c:v>2166.58</c:v>
                </c:pt>
                <c:pt idx="239">
                  <c:v>2170.06</c:v>
                </c:pt>
                <c:pt idx="240">
                  <c:v>2173.6</c:v>
                </c:pt>
                <c:pt idx="241" formatCode="General">
                  <c:v>2170.84</c:v>
                </c:pt>
                <c:pt idx="242" formatCode="General">
                  <c:v>2157.0300000000002</c:v>
                </c:pt>
                <c:pt idx="243" formatCode="General">
                  <c:v>2163.79</c:v>
                </c:pt>
                <c:pt idx="244" formatCode="General">
                  <c:v>2164.25</c:v>
                </c:pt>
                <c:pt idx="245" formatCode="General">
                  <c:v>2182.87</c:v>
                </c:pt>
                <c:pt idx="246">
                  <c:v>2180.89</c:v>
                </c:pt>
                <c:pt idx="247">
                  <c:v>2181.89</c:v>
                </c:pt>
                <c:pt idx="248">
                  <c:v>2175.4899999999998</c:v>
                </c:pt>
                <c:pt idx="249" formatCode="General">
                  <c:v>2190.15</c:v>
                </c:pt>
                <c:pt idx="250" formatCode="General">
                  <c:v>2178.15</c:v>
                </c:pt>
                <c:pt idx="251" formatCode="General">
                  <c:v>2182.2199999999998</c:v>
                </c:pt>
                <c:pt idx="252" formatCode="General">
                  <c:v>2187.02</c:v>
                </c:pt>
                <c:pt idx="253" formatCode="General">
                  <c:v>2183.87</c:v>
                </c:pt>
                <c:pt idx="254">
                  <c:v>2182.64</c:v>
                </c:pt>
                <c:pt idx="255">
                  <c:v>2186.9</c:v>
                </c:pt>
                <c:pt idx="256">
                  <c:v>2175.44</c:v>
                </c:pt>
                <c:pt idx="257">
                  <c:v>2172.4699999999998</c:v>
                </c:pt>
                <c:pt idx="258">
                  <c:v>2169.04</c:v>
                </c:pt>
                <c:pt idx="259" formatCode="General">
                  <c:v>2180.38</c:v>
                </c:pt>
                <c:pt idx="260" formatCode="General">
                  <c:v>2176.12</c:v>
                </c:pt>
                <c:pt idx="261" formatCode="General">
                  <c:v>2170.94</c:v>
                </c:pt>
                <c:pt idx="262" formatCode="General">
                  <c:v>2170.86</c:v>
                </c:pt>
                <c:pt idx="263" formatCode="General">
                  <c:v>2179.98</c:v>
                </c:pt>
                <c:pt idx="264">
                  <c:v>2186.48</c:v>
                </c:pt>
                <c:pt idx="265">
                  <c:v>2186.16</c:v>
                </c:pt>
                <c:pt idx="266">
                  <c:v>2181.3000000000002</c:v>
                </c:pt>
                <c:pt idx="267">
                  <c:v>2127.81</c:v>
                </c:pt>
                <c:pt idx="268" formatCode="General">
                  <c:v>2159.04</c:v>
                </c:pt>
                <c:pt idx="269" formatCode="General">
                  <c:v>2127.02</c:v>
                </c:pt>
                <c:pt idx="270" formatCode="General">
                  <c:v>2125.77</c:v>
                </c:pt>
                <c:pt idx="271" formatCode="General">
                  <c:v>2147.2600000000002</c:v>
                </c:pt>
                <c:pt idx="272" formatCode="General">
                  <c:v>2139.16</c:v>
                </c:pt>
                <c:pt idx="273">
                  <c:v>2139.12</c:v>
                </c:pt>
                <c:pt idx="274">
                  <c:v>2139.7600000000002</c:v>
                </c:pt>
                <c:pt idx="275">
                  <c:v>2163.12</c:v>
                </c:pt>
                <c:pt idx="276">
                  <c:v>2177.1799999999998</c:v>
                </c:pt>
                <c:pt idx="277">
                  <c:v>2164.69</c:v>
                </c:pt>
                <c:pt idx="278">
                  <c:v>2146.1</c:v>
                </c:pt>
                <c:pt idx="279">
                  <c:v>2159.9299999999998</c:v>
                </c:pt>
                <c:pt idx="280" formatCode="General">
                  <c:v>2171.37</c:v>
                </c:pt>
                <c:pt idx="281" formatCode="General">
                  <c:v>2151.13</c:v>
                </c:pt>
                <c:pt idx="282" formatCode="General">
                  <c:v>2168.27</c:v>
                </c:pt>
                <c:pt idx="283">
                  <c:v>2161.1999999999998</c:v>
                </c:pt>
                <c:pt idx="284">
                  <c:v>2150.4899999999998</c:v>
                </c:pt>
                <c:pt idx="285">
                  <c:v>2159.73</c:v>
                </c:pt>
                <c:pt idx="286">
                  <c:v>2160.77</c:v>
                </c:pt>
                <c:pt idx="287">
                  <c:v>2153.7399999999998</c:v>
                </c:pt>
                <c:pt idx="288" formatCode="General">
                  <c:v>2163.66</c:v>
                </c:pt>
                <c:pt idx="289">
                  <c:v>2139.6</c:v>
                </c:pt>
                <c:pt idx="290">
                  <c:v>2144.29</c:v>
                </c:pt>
                <c:pt idx="291">
                  <c:v>2141.34</c:v>
                </c:pt>
                <c:pt idx="292">
                  <c:v>2141.16</c:v>
                </c:pt>
                <c:pt idx="293" formatCode="General">
                  <c:v>2151.33</c:v>
                </c:pt>
                <c:pt idx="294" formatCode="General">
                  <c:v>2143.16</c:v>
                </c:pt>
                <c:pt idx="295" formatCode="General">
                  <c:v>2139.4299999999998</c:v>
                </c:pt>
                <c:pt idx="296" formatCode="General">
                  <c:v>2133.04</c:v>
                </c:pt>
                <c:pt idx="297" formatCode="General">
                  <c:v>2126.41</c:v>
                </c:pt>
                <c:pt idx="298">
                  <c:v>2126.15</c:v>
                </c:pt>
                <c:pt idx="299">
                  <c:v>2111.7199999999998</c:v>
                </c:pt>
                <c:pt idx="300">
                  <c:v>2097.94</c:v>
                </c:pt>
                <c:pt idx="301">
                  <c:v>2088.66</c:v>
                </c:pt>
                <c:pt idx="302">
                  <c:v>2085.1799999999998</c:v>
                </c:pt>
                <c:pt idx="303" formatCode="General">
                  <c:v>2213.35</c:v>
                </c:pt>
                <c:pt idx="304">
                  <c:v>2201.7199999999998</c:v>
                </c:pt>
                <c:pt idx="305">
                  <c:v>2204.66</c:v>
                </c:pt>
                <c:pt idx="306">
                  <c:v>2198.81</c:v>
                </c:pt>
                <c:pt idx="307">
                  <c:v>2191.08</c:v>
                </c:pt>
                <c:pt idx="308">
                  <c:v>2191.9499999999998</c:v>
                </c:pt>
                <c:pt idx="309" formatCode="General">
                  <c:v>2204.71</c:v>
                </c:pt>
                <c:pt idx="310" formatCode="General">
                  <c:v>2212.23</c:v>
                </c:pt>
                <c:pt idx="311" formatCode="General">
                  <c:v>2241.35</c:v>
                </c:pt>
                <c:pt idx="312" formatCode="General">
                  <c:v>2246.19</c:v>
                </c:pt>
                <c:pt idx="313" formatCode="General">
                  <c:v>2259.5300000000002</c:v>
                </c:pt>
                <c:pt idx="314">
                  <c:v>2256.96</c:v>
                </c:pt>
                <c:pt idx="315">
                  <c:v>2271.7199999999998</c:v>
                </c:pt>
                <c:pt idx="316">
                  <c:v>2253.2800000000002</c:v>
                </c:pt>
                <c:pt idx="317">
                  <c:v>2262.0300000000002</c:v>
                </c:pt>
                <c:pt idx="318">
                  <c:v>2258.0700000000002</c:v>
                </c:pt>
                <c:pt idx="319" formatCode="General">
                  <c:v>2262.5300000000002</c:v>
                </c:pt>
                <c:pt idx="320" formatCode="General">
                  <c:v>2270.7600000000002</c:v>
                </c:pt>
                <c:pt idx="321" formatCode="General">
                  <c:v>2265.1799999999998</c:v>
                </c:pt>
                <c:pt idx="322" formatCode="General">
                  <c:v>2260.96</c:v>
                </c:pt>
                <c:pt idx="323" formatCode="General">
                  <c:v>2263.79</c:v>
                </c:pt>
                <c:pt idx="324">
                  <c:v>2268.88</c:v>
                </c:pt>
                <c:pt idx="325">
                  <c:v>2249.92</c:v>
                </c:pt>
                <c:pt idx="326">
                  <c:v>2249.2600000000002</c:v>
                </c:pt>
                <c:pt idx="327">
                  <c:v>2238.83</c:v>
                </c:pt>
                <c:pt idx="328" formatCode="General">
                  <c:v>2257.83</c:v>
                </c:pt>
                <c:pt idx="329" formatCode="General">
                  <c:v>2270.75</c:v>
                </c:pt>
                <c:pt idx="330">
                  <c:v>2269</c:v>
                </c:pt>
                <c:pt idx="331">
                  <c:v>2276.98</c:v>
                </c:pt>
                <c:pt idx="332">
                  <c:v>2268.9</c:v>
                </c:pt>
                <c:pt idx="333">
                  <c:v>2268.9</c:v>
                </c:pt>
                <c:pt idx="334">
                  <c:v>2275.3200000000002</c:v>
                </c:pt>
                <c:pt idx="335">
                  <c:v>2270.44</c:v>
                </c:pt>
                <c:pt idx="336">
                  <c:v>2274.64</c:v>
                </c:pt>
                <c:pt idx="337">
                  <c:v>2267.89</c:v>
                </c:pt>
                <c:pt idx="338">
                  <c:v>2271.89</c:v>
                </c:pt>
                <c:pt idx="339">
                  <c:v>2263.69</c:v>
                </c:pt>
                <c:pt idx="340">
                  <c:v>2271.31</c:v>
                </c:pt>
                <c:pt idx="341">
                  <c:v>2265.1999999999998</c:v>
                </c:pt>
                <c:pt idx="342">
                  <c:v>2280.0700000000002</c:v>
                </c:pt>
                <c:pt idx="343">
                  <c:v>2298.37</c:v>
                </c:pt>
                <c:pt idx="344">
                  <c:v>2296.6799999999998</c:v>
                </c:pt>
                <c:pt idx="345">
                  <c:v>2294.69</c:v>
                </c:pt>
                <c:pt idx="346">
                  <c:v>2280.9</c:v>
                </c:pt>
                <c:pt idx="347">
                  <c:v>2278.87</c:v>
                </c:pt>
                <c:pt idx="348">
                  <c:v>2279.5500000000002</c:v>
                </c:pt>
                <c:pt idx="349">
                  <c:v>2280.85</c:v>
                </c:pt>
                <c:pt idx="350">
                  <c:v>2297.42</c:v>
                </c:pt>
                <c:pt idx="351">
                  <c:v>2292.56</c:v>
                </c:pt>
                <c:pt idx="352">
                  <c:v>2293.08</c:v>
                </c:pt>
                <c:pt idx="353">
                  <c:v>2294.67</c:v>
                </c:pt>
                <c:pt idx="354">
                  <c:v>2307.87</c:v>
                </c:pt>
                <c:pt idx="355">
                  <c:v>2316.1</c:v>
                </c:pt>
                <c:pt idx="356">
                  <c:v>2328.25</c:v>
                </c:pt>
                <c:pt idx="357">
                  <c:v>2337.58</c:v>
                </c:pt>
                <c:pt idx="358">
                  <c:v>2349.25</c:v>
                </c:pt>
                <c:pt idx="359">
                  <c:v>2347.2199999999998</c:v>
                </c:pt>
                <c:pt idx="360">
                  <c:v>2351.16</c:v>
                </c:pt>
                <c:pt idx="361">
                  <c:v>2365.38</c:v>
                </c:pt>
                <c:pt idx="362">
                  <c:v>2362.8200000000002</c:v>
                </c:pt>
                <c:pt idx="363">
                  <c:v>2363.81</c:v>
                </c:pt>
                <c:pt idx="364">
                  <c:v>2367.34</c:v>
                </c:pt>
                <c:pt idx="365">
                  <c:v>2369.75</c:v>
                </c:pt>
                <c:pt idx="366">
                  <c:v>2363.64</c:v>
                </c:pt>
                <c:pt idx="367">
                  <c:v>2395.96</c:v>
                </c:pt>
                <c:pt idx="368">
                  <c:v>2381.92</c:v>
                </c:pt>
                <c:pt idx="369">
                  <c:v>2383.12</c:v>
                </c:pt>
                <c:pt idx="370">
                  <c:v>2375.31</c:v>
                </c:pt>
                <c:pt idx="371">
                  <c:v>2368.39</c:v>
                </c:pt>
                <c:pt idx="372">
                  <c:v>2369.39</c:v>
                </c:pt>
                <c:pt idx="373">
                  <c:v>2364.87</c:v>
                </c:pt>
                <c:pt idx="374">
                  <c:v>2372.6</c:v>
                </c:pt>
                <c:pt idx="375">
                  <c:v>2373.4699999999998</c:v>
                </c:pt>
                <c:pt idx="376">
                  <c:v>2365.4499999999998</c:v>
                </c:pt>
                <c:pt idx="377">
                  <c:v>2385.2600000000002</c:v>
                </c:pt>
                <c:pt idx="378">
                  <c:v>2381.38</c:v>
                </c:pt>
                <c:pt idx="379">
                  <c:v>2378.25</c:v>
                </c:pt>
                <c:pt idx="380">
                  <c:v>2373.4699999999998</c:v>
                </c:pt>
                <c:pt idx="381">
                  <c:v>2344.02</c:v>
                </c:pt>
                <c:pt idx="382">
                  <c:v>2348.4499999999998</c:v>
                </c:pt>
                <c:pt idx="383">
                  <c:v>2345.96</c:v>
                </c:pt>
                <c:pt idx="384">
                  <c:v>2343.98</c:v>
                </c:pt>
                <c:pt idx="385">
                  <c:v>2341.59</c:v>
                </c:pt>
                <c:pt idx="386">
                  <c:v>2358.5700000000002</c:v>
                </c:pt>
                <c:pt idx="387">
                  <c:v>2361.13</c:v>
                </c:pt>
                <c:pt idx="388">
                  <c:v>2368.06</c:v>
                </c:pt>
                <c:pt idx="389">
                  <c:v>2362.7199999999998</c:v>
                </c:pt>
                <c:pt idx="390">
                  <c:v>2358.84</c:v>
                </c:pt>
                <c:pt idx="391">
                  <c:v>2360.16</c:v>
                </c:pt>
                <c:pt idx="392">
                  <c:v>2352.9499999999998</c:v>
                </c:pt>
                <c:pt idx="393">
                  <c:v>2357.4899999999998</c:v>
                </c:pt>
                <c:pt idx="394">
                  <c:v>2355.54</c:v>
                </c:pt>
                <c:pt idx="395">
                  <c:v>2357.16</c:v>
                </c:pt>
                <c:pt idx="396">
                  <c:v>2353.7800000000002</c:v>
                </c:pt>
                <c:pt idx="397">
                  <c:v>2344.9299999999998</c:v>
                </c:pt>
                <c:pt idx="398">
                  <c:v>2328.9499999999998</c:v>
                </c:pt>
                <c:pt idx="399">
                  <c:v>2349.0100000000002</c:v>
                </c:pt>
                <c:pt idx="400">
                  <c:v>2342.19</c:v>
                </c:pt>
                <c:pt idx="401">
                  <c:v>2338.17</c:v>
                </c:pt>
                <c:pt idx="402">
                  <c:v>2355.84</c:v>
                </c:pt>
                <c:pt idx="403">
                  <c:v>2348.69</c:v>
                </c:pt>
                <c:pt idx="404">
                  <c:v>2374.15</c:v>
                </c:pt>
                <c:pt idx="405">
                  <c:v>2388.61</c:v>
                </c:pt>
                <c:pt idx="406">
                  <c:v>2387.4499999999998</c:v>
                </c:pt>
                <c:pt idx="407">
                  <c:v>2388.77</c:v>
                </c:pt>
                <c:pt idx="408">
                  <c:v>2384.1999999999998</c:v>
                </c:pt>
                <c:pt idx="409">
                  <c:v>2388.33</c:v>
                </c:pt>
                <c:pt idx="410">
                  <c:v>2391.17</c:v>
                </c:pt>
                <c:pt idx="411">
                  <c:v>2388.13</c:v>
                </c:pt>
                <c:pt idx="412">
                  <c:v>2389.52</c:v>
                </c:pt>
                <c:pt idx="413">
                  <c:v>2399.29</c:v>
                </c:pt>
                <c:pt idx="414">
                  <c:v>2399.38</c:v>
                </c:pt>
                <c:pt idx="415">
                  <c:v>2396.92</c:v>
                </c:pt>
                <c:pt idx="416">
                  <c:v>2399.63</c:v>
                </c:pt>
                <c:pt idx="417">
                  <c:v>2394.44</c:v>
                </c:pt>
                <c:pt idx="418">
                  <c:v>2390.9</c:v>
                </c:pt>
                <c:pt idx="419">
                  <c:v>2402.3200000000002</c:v>
                </c:pt>
                <c:pt idx="420">
                  <c:v>2400.67</c:v>
                </c:pt>
                <c:pt idx="421">
                  <c:v>2357.0300000000002</c:v>
                </c:pt>
                <c:pt idx="422">
                  <c:v>2365.7199999999998</c:v>
                </c:pt>
                <c:pt idx="423">
                  <c:v>2381.73</c:v>
                </c:pt>
                <c:pt idx="424">
                  <c:v>2394.02</c:v>
                </c:pt>
                <c:pt idx="425">
                  <c:v>2398.42</c:v>
                </c:pt>
                <c:pt idx="426">
                  <c:v>2404.39</c:v>
                </c:pt>
                <c:pt idx="427">
                  <c:v>2415.0700000000002</c:v>
                </c:pt>
                <c:pt idx="428">
                  <c:v>2415.8200000000002</c:v>
                </c:pt>
                <c:pt idx="429">
                  <c:v>2412.91</c:v>
                </c:pt>
                <c:pt idx="430">
                  <c:v>2411.8000000000002</c:v>
                </c:pt>
                <c:pt idx="431">
                  <c:v>2430.06</c:v>
                </c:pt>
                <c:pt idx="432">
                  <c:v>2439.0700000000002</c:v>
                </c:pt>
                <c:pt idx="433">
                  <c:v>2436.1</c:v>
                </c:pt>
                <c:pt idx="434">
                  <c:v>2429.33</c:v>
                </c:pt>
                <c:pt idx="435">
                  <c:v>2433.14</c:v>
                </c:pt>
                <c:pt idx="436">
                  <c:v>2433.79</c:v>
                </c:pt>
                <c:pt idx="437">
                  <c:v>2431.77</c:v>
                </c:pt>
                <c:pt idx="438">
                  <c:v>2429.39</c:v>
                </c:pt>
                <c:pt idx="439">
                  <c:v>2440.35</c:v>
                </c:pt>
                <c:pt idx="440">
                  <c:v>2437.92</c:v>
                </c:pt>
                <c:pt idx="441">
                  <c:v>2432.46</c:v>
                </c:pt>
                <c:pt idx="442">
                  <c:v>2433.46</c:v>
                </c:pt>
                <c:pt idx="443">
                  <c:v>2453.46</c:v>
                </c:pt>
                <c:pt idx="444">
                  <c:v>2423.41</c:v>
                </c:pt>
                <c:pt idx="445">
                  <c:v>2459.27</c:v>
                </c:pt>
                <c:pt idx="446">
                  <c:v>2473.83</c:v>
                </c:pt>
                <c:pt idx="447">
                  <c:v>2472.54</c:v>
                </c:pt>
                <c:pt idx="448">
                  <c:v>2469.91</c:v>
                </c:pt>
                <c:pt idx="449">
                  <c:v>2477.13</c:v>
                </c:pt>
                <c:pt idx="450">
                  <c:v>2477.83</c:v>
                </c:pt>
                <c:pt idx="451">
                  <c:v>2475.42</c:v>
                </c:pt>
                <c:pt idx="452">
                  <c:v>2472.1</c:v>
                </c:pt>
                <c:pt idx="453">
                  <c:v>2470.3000000000002</c:v>
                </c:pt>
                <c:pt idx="454">
                  <c:v>2477.5700000000002</c:v>
                </c:pt>
                <c:pt idx="455">
                  <c:v>2472.16</c:v>
                </c:pt>
                <c:pt idx="456">
                  <c:v>2476.83</c:v>
                </c:pt>
                <c:pt idx="457">
                  <c:v>2480.91</c:v>
                </c:pt>
                <c:pt idx="458">
                  <c:v>2474.92</c:v>
                </c:pt>
                <c:pt idx="459">
                  <c:v>2474.02</c:v>
                </c:pt>
                <c:pt idx="460">
                  <c:v>2438.21</c:v>
                </c:pt>
                <c:pt idx="461">
                  <c:v>2464.61</c:v>
                </c:pt>
                <c:pt idx="462">
                  <c:v>2468.11</c:v>
                </c:pt>
                <c:pt idx="463">
                  <c:v>2430.0100000000002</c:v>
                </c:pt>
                <c:pt idx="464">
                  <c:v>2425.5500000000002</c:v>
                </c:pt>
                <c:pt idx="465">
                  <c:v>2452.5100000000002</c:v>
                </c:pt>
                <c:pt idx="466">
                  <c:v>2443.0500000000002</c:v>
                </c:pt>
                <c:pt idx="467">
                  <c:v>2446.3000000000002</c:v>
                </c:pt>
                <c:pt idx="468">
                  <c:v>2457.59</c:v>
                </c:pt>
                <c:pt idx="469">
                  <c:v>2471.65</c:v>
                </c:pt>
                <c:pt idx="470">
                  <c:v>2476.5500000000002</c:v>
                </c:pt>
                <c:pt idx="471">
                  <c:v>2457.85</c:v>
                </c:pt>
                <c:pt idx="472">
                  <c:v>2465.54</c:v>
                </c:pt>
                <c:pt idx="473">
                  <c:v>2465.1</c:v>
                </c:pt>
                <c:pt idx="474">
                  <c:v>2461.4299999999998</c:v>
                </c:pt>
                <c:pt idx="475">
                  <c:v>2488.11</c:v>
                </c:pt>
                <c:pt idx="476">
                  <c:v>2496.48</c:v>
                </c:pt>
                <c:pt idx="477">
                  <c:v>2498.37</c:v>
                </c:pt>
                <c:pt idx="478">
                  <c:v>2495.62</c:v>
                </c:pt>
                <c:pt idx="479">
                  <c:v>2500.23</c:v>
                </c:pt>
                <c:pt idx="480">
                  <c:v>2503.87</c:v>
                </c:pt>
                <c:pt idx="481">
                  <c:v>2506.65</c:v>
                </c:pt>
                <c:pt idx="482">
                  <c:v>2508.2399999999998</c:v>
                </c:pt>
                <c:pt idx="483">
                  <c:v>2500.6</c:v>
                </c:pt>
                <c:pt idx="484">
                  <c:v>2502.2199999999998</c:v>
                </c:pt>
                <c:pt idx="485">
                  <c:v>2496.66</c:v>
                </c:pt>
                <c:pt idx="486">
                  <c:v>2496.84</c:v>
                </c:pt>
                <c:pt idx="487">
                  <c:v>2507.2399999999998</c:v>
                </c:pt>
                <c:pt idx="488">
                  <c:v>2510.06</c:v>
                </c:pt>
                <c:pt idx="489">
                  <c:v>2519.36</c:v>
                </c:pt>
                <c:pt idx="490">
                  <c:v>2529.12</c:v>
                </c:pt>
                <c:pt idx="491">
                  <c:v>2534.58</c:v>
                </c:pt>
                <c:pt idx="492">
                  <c:v>2537.7399999999998</c:v>
                </c:pt>
                <c:pt idx="493">
                  <c:v>2552.0700000000002</c:v>
                </c:pt>
                <c:pt idx="494">
                  <c:v>2549.33</c:v>
                </c:pt>
                <c:pt idx="495">
                  <c:v>2544.73</c:v>
                </c:pt>
                <c:pt idx="496">
                  <c:v>2550.64</c:v>
                </c:pt>
                <c:pt idx="497">
                  <c:v>2555.2399999999998</c:v>
                </c:pt>
                <c:pt idx="498">
                  <c:v>2550.9299999999998</c:v>
                </c:pt>
                <c:pt idx="499">
                  <c:v>2553.17</c:v>
                </c:pt>
                <c:pt idx="500">
                  <c:v>2557.64</c:v>
                </c:pt>
                <c:pt idx="501">
                  <c:v>2559.36</c:v>
                </c:pt>
                <c:pt idx="502">
                  <c:v>2561.2600000000002</c:v>
                </c:pt>
                <c:pt idx="503">
                  <c:v>2562.1</c:v>
                </c:pt>
                <c:pt idx="504">
                  <c:v>2575.21</c:v>
                </c:pt>
                <c:pt idx="505">
                  <c:v>2564.98</c:v>
                </c:pt>
                <c:pt idx="506">
                  <c:v>2569.13</c:v>
                </c:pt>
                <c:pt idx="507">
                  <c:v>2557.15</c:v>
                </c:pt>
                <c:pt idx="508">
                  <c:v>2560.4</c:v>
                </c:pt>
                <c:pt idx="509">
                  <c:v>2581.0700000000002</c:v>
                </c:pt>
                <c:pt idx="510">
                  <c:v>2572.83</c:v>
                </c:pt>
                <c:pt idx="511">
                  <c:v>2575.2600000000002</c:v>
                </c:pt>
                <c:pt idx="512">
                  <c:v>2579.36</c:v>
                </c:pt>
                <c:pt idx="513">
                  <c:v>2579.85</c:v>
                </c:pt>
                <c:pt idx="514">
                  <c:v>2587.84</c:v>
                </c:pt>
                <c:pt idx="515">
                  <c:v>2591.13</c:v>
                </c:pt>
                <c:pt idx="516">
                  <c:v>2590.64</c:v>
                </c:pt>
                <c:pt idx="517">
                  <c:v>2594.38</c:v>
                </c:pt>
                <c:pt idx="518">
                  <c:v>2584.62</c:v>
                </c:pt>
                <c:pt idx="519">
                  <c:v>2582.3000000000002</c:v>
                </c:pt>
                <c:pt idx="520">
                  <c:v>2584.84</c:v>
                </c:pt>
                <c:pt idx="521">
                  <c:v>2578.87</c:v>
                </c:pt>
                <c:pt idx="522">
                  <c:v>2564.62</c:v>
                </c:pt>
                <c:pt idx="523">
                  <c:v>2585.64</c:v>
                </c:pt>
                <c:pt idx="524">
                  <c:v>2578.85</c:v>
                </c:pt>
                <c:pt idx="525">
                  <c:v>2582.14</c:v>
                </c:pt>
                <c:pt idx="526">
                  <c:v>2599.0300000000002</c:v>
                </c:pt>
                <c:pt idx="527">
                  <c:v>2597.08</c:v>
                </c:pt>
                <c:pt idx="528">
                  <c:v>2602.42</c:v>
                </c:pt>
                <c:pt idx="529">
                  <c:v>2601.42</c:v>
                </c:pt>
                <c:pt idx="530">
                  <c:v>2627.04</c:v>
                </c:pt>
                <c:pt idx="531">
                  <c:v>2626.07</c:v>
                </c:pt>
                <c:pt idx="532">
                  <c:v>2647.58</c:v>
                </c:pt>
                <c:pt idx="533">
                  <c:v>2642.22</c:v>
                </c:pt>
                <c:pt idx="534">
                  <c:v>2639.44</c:v>
                </c:pt>
                <c:pt idx="535">
                  <c:v>2629.57</c:v>
                </c:pt>
                <c:pt idx="536">
                  <c:v>2629.27</c:v>
                </c:pt>
                <c:pt idx="537">
                  <c:v>2636.98</c:v>
                </c:pt>
                <c:pt idx="538">
                  <c:v>2651.5</c:v>
                </c:pt>
                <c:pt idx="539">
                  <c:v>2659.99</c:v>
                </c:pt>
                <c:pt idx="540">
                  <c:v>2664.11</c:v>
                </c:pt>
                <c:pt idx="541">
                  <c:v>2662.85</c:v>
                </c:pt>
                <c:pt idx="542">
                  <c:v>2652.01</c:v>
                </c:pt>
                <c:pt idx="543">
                  <c:v>2675.81</c:v>
                </c:pt>
                <c:pt idx="544">
                  <c:v>2690.16</c:v>
                </c:pt>
                <c:pt idx="545">
                  <c:v>2681.47</c:v>
                </c:pt>
                <c:pt idx="546">
                  <c:v>2679.25</c:v>
                </c:pt>
                <c:pt idx="547">
                  <c:v>2684.59</c:v>
                </c:pt>
                <c:pt idx="548">
                  <c:v>2681.34</c:v>
                </c:pt>
                <c:pt idx="549">
                  <c:v>2680.5</c:v>
                </c:pt>
                <c:pt idx="550">
                  <c:v>2682.62</c:v>
                </c:pt>
                <c:pt idx="551">
                  <c:v>2687.54</c:v>
                </c:pt>
                <c:pt idx="552">
                  <c:v>2673.61</c:v>
                </c:pt>
                <c:pt idx="553">
                  <c:v>2695.81</c:v>
                </c:pt>
                <c:pt idx="554">
                  <c:v>2713.06</c:v>
                </c:pt>
                <c:pt idx="555">
                  <c:v>2723.99</c:v>
                </c:pt>
                <c:pt idx="556">
                  <c:v>2743.15</c:v>
                </c:pt>
                <c:pt idx="557">
                  <c:v>2747.71</c:v>
                </c:pt>
                <c:pt idx="558">
                  <c:v>2751.29</c:v>
                </c:pt>
                <c:pt idx="559">
                  <c:v>2748.23</c:v>
                </c:pt>
                <c:pt idx="560">
                  <c:v>2767.56</c:v>
                </c:pt>
                <c:pt idx="561">
                  <c:v>2786.24</c:v>
                </c:pt>
                <c:pt idx="562">
                  <c:v>2776.42</c:v>
                </c:pt>
                <c:pt idx="563">
                  <c:v>2802.56</c:v>
                </c:pt>
                <c:pt idx="564">
                  <c:v>2798.03</c:v>
                </c:pt>
                <c:pt idx="565">
                  <c:v>2810.3</c:v>
                </c:pt>
                <c:pt idx="566">
                  <c:v>2832.97</c:v>
                </c:pt>
                <c:pt idx="567">
                  <c:v>2839.12</c:v>
                </c:pt>
                <c:pt idx="568">
                  <c:v>2837.54</c:v>
                </c:pt>
                <c:pt idx="569">
                  <c:v>2839.25</c:v>
                </c:pt>
                <c:pt idx="570">
                  <c:v>2872.87</c:v>
                </c:pt>
                <c:pt idx="571">
                  <c:v>2853.53</c:v>
                </c:pt>
                <c:pt idx="572">
                  <c:v>2822.43</c:v>
                </c:pt>
                <c:pt idx="573">
                  <c:v>2823.81</c:v>
                </c:pt>
                <c:pt idx="574">
                  <c:v>2821.98</c:v>
                </c:pt>
                <c:pt idx="575">
                  <c:v>2762.13</c:v>
                </c:pt>
                <c:pt idx="576">
                  <c:v>2648.94</c:v>
                </c:pt>
                <c:pt idx="577">
                  <c:v>2695.14</c:v>
                </c:pt>
                <c:pt idx="578">
                  <c:v>2681.66</c:v>
                </c:pt>
                <c:pt idx="579">
                  <c:v>2581</c:v>
                </c:pt>
                <c:pt idx="580">
                  <c:v>2619.5500000000002</c:v>
                </c:pt>
                <c:pt idx="581">
                  <c:v>2656</c:v>
                </c:pt>
                <c:pt idx="582">
                  <c:v>2662.94</c:v>
                </c:pt>
                <c:pt idx="583">
                  <c:v>2698.63</c:v>
                </c:pt>
                <c:pt idx="584">
                  <c:v>2731.2</c:v>
                </c:pt>
                <c:pt idx="585">
                  <c:v>2732.22</c:v>
                </c:pt>
                <c:pt idx="586">
                  <c:v>2716.26</c:v>
                </c:pt>
                <c:pt idx="587">
                  <c:v>2701.33</c:v>
                </c:pt>
                <c:pt idx="588">
                  <c:v>2703.96</c:v>
                </c:pt>
                <c:pt idx="589">
                  <c:v>2747.3</c:v>
                </c:pt>
                <c:pt idx="590">
                  <c:v>2779.6</c:v>
                </c:pt>
                <c:pt idx="591">
                  <c:v>2744.28</c:v>
                </c:pt>
                <c:pt idx="592">
                  <c:v>2713.83</c:v>
                </c:pt>
                <c:pt idx="593">
                  <c:v>2677.67</c:v>
                </c:pt>
                <c:pt idx="594">
                  <c:v>2691.25</c:v>
                </c:pt>
                <c:pt idx="595">
                  <c:v>2720.94</c:v>
                </c:pt>
                <c:pt idx="596">
                  <c:v>2728.12</c:v>
                </c:pt>
                <c:pt idx="597">
                  <c:v>2726.8</c:v>
                </c:pt>
                <c:pt idx="598">
                  <c:v>2738.97</c:v>
                </c:pt>
                <c:pt idx="599">
                  <c:v>2786.57</c:v>
                </c:pt>
                <c:pt idx="600">
                  <c:v>2783.02</c:v>
                </c:pt>
                <c:pt idx="601">
                  <c:v>2765.31</c:v>
                </c:pt>
                <c:pt idx="602">
                  <c:v>2749.48</c:v>
                </c:pt>
                <c:pt idx="603">
                  <c:v>2747.33</c:v>
                </c:pt>
                <c:pt idx="604">
                  <c:v>2752.02</c:v>
                </c:pt>
                <c:pt idx="605">
                  <c:v>2712.92</c:v>
                </c:pt>
                <c:pt idx="606">
                  <c:v>2716.94</c:v>
                </c:pt>
                <c:pt idx="607">
                  <c:v>2711.93</c:v>
                </c:pt>
                <c:pt idx="608">
                  <c:v>2643.69</c:v>
                </c:pt>
                <c:pt idx="609">
                  <c:v>2588.2800000000002</c:v>
                </c:pt>
                <c:pt idx="610">
                  <c:v>2658.55</c:v>
                </c:pt>
                <c:pt idx="611">
                  <c:v>2612.62</c:v>
                </c:pt>
                <c:pt idx="612">
                  <c:v>2605</c:v>
                </c:pt>
                <c:pt idx="613">
                  <c:v>2640.87</c:v>
                </c:pt>
                <c:pt idx="614">
                  <c:v>2581.88</c:v>
                </c:pt>
                <c:pt idx="615">
                  <c:v>2614.4499999999998</c:v>
                </c:pt>
                <c:pt idx="616">
                  <c:v>2644.69</c:v>
                </c:pt>
                <c:pt idx="617">
                  <c:v>2662.84</c:v>
                </c:pt>
                <c:pt idx="618">
                  <c:v>2604.4699999999998</c:v>
                </c:pt>
                <c:pt idx="619">
                  <c:v>2613.16</c:v>
                </c:pt>
                <c:pt idx="620">
                  <c:v>2656.87</c:v>
                </c:pt>
                <c:pt idx="621">
                  <c:v>2642.19</c:v>
                </c:pt>
                <c:pt idx="622">
                  <c:v>2663.99</c:v>
                </c:pt>
                <c:pt idx="623">
                  <c:v>2656.3</c:v>
                </c:pt>
                <c:pt idx="624">
                  <c:v>2677.84</c:v>
                </c:pt>
                <c:pt idx="625">
                  <c:v>2706.39</c:v>
                </c:pt>
                <c:pt idx="626">
                  <c:v>2708.64</c:v>
                </c:pt>
                <c:pt idx="627">
                  <c:v>2693.13</c:v>
                </c:pt>
                <c:pt idx="628">
                  <c:v>2670.14</c:v>
                </c:pt>
                <c:pt idx="629">
                  <c:v>2670.29</c:v>
                </c:pt>
                <c:pt idx="630">
                  <c:v>2634.56</c:v>
                </c:pt>
                <c:pt idx="631">
                  <c:v>2639.4</c:v>
                </c:pt>
                <c:pt idx="632">
                  <c:v>2666.94</c:v>
                </c:pt>
                <c:pt idx="633">
                  <c:v>2669.91</c:v>
                </c:pt>
                <c:pt idx="634">
                  <c:v>2648.05</c:v>
                </c:pt>
                <c:pt idx="635">
                  <c:v>2654.8</c:v>
                </c:pt>
                <c:pt idx="636">
                  <c:v>2635.67</c:v>
                </c:pt>
                <c:pt idx="637">
                  <c:v>2629.373</c:v>
                </c:pt>
                <c:pt idx="638">
                  <c:v>2663.42</c:v>
                </c:pt>
                <c:pt idx="639">
                  <c:v>2672.63</c:v>
                </c:pt>
                <c:pt idx="640">
                  <c:v>2671.92</c:v>
                </c:pt>
                <c:pt idx="641">
                  <c:v>2697.79</c:v>
                </c:pt>
                <c:pt idx="642">
                  <c:v>2723.07</c:v>
                </c:pt>
                <c:pt idx="643">
                  <c:v>2727.72</c:v>
                </c:pt>
                <c:pt idx="644">
                  <c:v>2730.13</c:v>
                </c:pt>
                <c:pt idx="645">
                  <c:v>2711.45</c:v>
                </c:pt>
                <c:pt idx="646">
                  <c:v>2722.46</c:v>
                </c:pt>
                <c:pt idx="647">
                  <c:v>2720.13</c:v>
                </c:pt>
                <c:pt idx="648">
                  <c:v>2712.97</c:v>
                </c:pt>
                <c:pt idx="649">
                  <c:v>2733.01</c:v>
                </c:pt>
                <c:pt idx="650">
                  <c:v>2724.44</c:v>
                </c:pt>
                <c:pt idx="651">
                  <c:v>2733.29</c:v>
                </c:pt>
                <c:pt idx="652">
                  <c:v>2727.76</c:v>
                </c:pt>
                <c:pt idx="653">
                  <c:v>2721.33</c:v>
                </c:pt>
                <c:pt idx="654">
                  <c:v>2689.86</c:v>
                </c:pt>
                <c:pt idx="655">
                  <c:v>2724.01</c:v>
                </c:pt>
                <c:pt idx="656">
                  <c:v>2705.27</c:v>
                </c:pt>
                <c:pt idx="657">
                  <c:v>2734.62</c:v>
                </c:pt>
                <c:pt idx="658">
                  <c:v>2746.87</c:v>
                </c:pt>
                <c:pt idx="659">
                  <c:v>2748.8</c:v>
                </c:pt>
                <c:pt idx="660">
                  <c:v>2772.35</c:v>
                </c:pt>
                <c:pt idx="661">
                  <c:v>2770.37</c:v>
                </c:pt>
                <c:pt idx="662">
                  <c:v>2779.03</c:v>
                </c:pt>
                <c:pt idx="663">
                  <c:v>2782</c:v>
                </c:pt>
                <c:pt idx="664">
                  <c:v>2786.85</c:v>
                </c:pt>
                <c:pt idx="665">
                  <c:v>2775.63</c:v>
                </c:pt>
                <c:pt idx="666">
                  <c:v>2782.49</c:v>
                </c:pt>
                <c:pt idx="667">
                  <c:v>2779.66</c:v>
                </c:pt>
                <c:pt idx="668">
                  <c:v>2773.75</c:v>
                </c:pt>
                <c:pt idx="669">
                  <c:v>2762.59</c:v>
                </c:pt>
                <c:pt idx="670">
                  <c:v>2767.32</c:v>
                </c:pt>
                <c:pt idx="671">
                  <c:v>2749.76</c:v>
                </c:pt>
                <c:pt idx="672">
                  <c:v>2754.88</c:v>
                </c:pt>
                <c:pt idx="673">
                  <c:v>2717.07</c:v>
                </c:pt>
                <c:pt idx="674">
                  <c:v>2723.06</c:v>
                </c:pt>
                <c:pt idx="675">
                  <c:v>2699.23</c:v>
                </c:pt>
                <c:pt idx="676">
                  <c:v>2716.31</c:v>
                </c:pt>
                <c:pt idx="677">
                  <c:v>2718.37</c:v>
                </c:pt>
                <c:pt idx="678">
                  <c:v>2726.71</c:v>
                </c:pt>
                <c:pt idx="679">
                  <c:v>2713.22</c:v>
                </c:pt>
                <c:pt idx="680">
                  <c:v>2736.61</c:v>
                </c:pt>
                <c:pt idx="681">
                  <c:v>2759.82</c:v>
                </c:pt>
                <c:pt idx="682">
                  <c:v>2784.17</c:v>
                </c:pt>
                <c:pt idx="683">
                  <c:v>2793.84</c:v>
                </c:pt>
                <c:pt idx="684">
                  <c:v>2774.02</c:v>
                </c:pt>
                <c:pt idx="685">
                  <c:v>2798.29</c:v>
                </c:pt>
                <c:pt idx="686">
                  <c:v>2801.31</c:v>
                </c:pt>
                <c:pt idx="687">
                  <c:v>2798.43</c:v>
                </c:pt>
                <c:pt idx="688">
                  <c:v>2809.55</c:v>
                </c:pt>
                <c:pt idx="689">
                  <c:v>2815.62</c:v>
                </c:pt>
                <c:pt idx="690">
                  <c:v>2804.49</c:v>
                </c:pt>
                <c:pt idx="691">
                  <c:v>2801.83</c:v>
                </c:pt>
                <c:pt idx="692">
                  <c:v>2806.98</c:v>
                </c:pt>
                <c:pt idx="693">
                  <c:v>2820.4</c:v>
                </c:pt>
                <c:pt idx="694">
                  <c:v>2846.07</c:v>
                </c:pt>
                <c:pt idx="695">
                  <c:v>2837.44</c:v>
                </c:pt>
                <c:pt idx="696">
                  <c:v>2818.85</c:v>
                </c:pt>
                <c:pt idx="697">
                  <c:v>2802.6</c:v>
                </c:pt>
                <c:pt idx="698">
                  <c:v>2816.29</c:v>
                </c:pt>
                <c:pt idx="699">
                  <c:v>2813.36</c:v>
                </c:pt>
                <c:pt idx="700">
                  <c:v>2827.22</c:v>
                </c:pt>
                <c:pt idx="701">
                  <c:v>2840.35</c:v>
                </c:pt>
                <c:pt idx="702">
                  <c:v>2850.4</c:v>
                </c:pt>
                <c:pt idx="703">
                  <c:v>2858.45</c:v>
                </c:pt>
                <c:pt idx="704">
                  <c:v>2857.7</c:v>
                </c:pt>
                <c:pt idx="705">
                  <c:v>2853.58</c:v>
                </c:pt>
                <c:pt idx="706">
                  <c:v>2833.28</c:v>
                </c:pt>
                <c:pt idx="707">
                  <c:v>2821.93</c:v>
                </c:pt>
                <c:pt idx="708">
                  <c:v>2839.96</c:v>
                </c:pt>
                <c:pt idx="709">
                  <c:v>2818.37</c:v>
                </c:pt>
                <c:pt idx="710">
                  <c:v>2840.69</c:v>
                </c:pt>
                <c:pt idx="711">
                  <c:v>2850.13</c:v>
                </c:pt>
                <c:pt idx="712">
                  <c:v>2857.05</c:v>
                </c:pt>
                <c:pt idx="713">
                  <c:v>2862.96</c:v>
                </c:pt>
                <c:pt idx="714">
                  <c:v>2861.82</c:v>
                </c:pt>
                <c:pt idx="715">
                  <c:v>2856.98</c:v>
                </c:pt>
                <c:pt idx="716">
                  <c:v>2874.69</c:v>
                </c:pt>
                <c:pt idx="717">
                  <c:v>2896.74</c:v>
                </c:pt>
                <c:pt idx="718">
                  <c:v>2897.52</c:v>
                </c:pt>
                <c:pt idx="719">
                  <c:v>2914.04</c:v>
                </c:pt>
                <c:pt idx="720">
                  <c:v>2901.13</c:v>
                </c:pt>
                <c:pt idx="721">
                  <c:v>2901.52</c:v>
                </c:pt>
                <c:pt idx="722">
                  <c:v>2896.72</c:v>
                </c:pt>
                <c:pt idx="723">
                  <c:v>2888.6</c:v>
                </c:pt>
                <c:pt idx="724">
                  <c:v>2878.05</c:v>
                </c:pt>
                <c:pt idx="725">
                  <c:v>2871.68</c:v>
                </c:pt>
                <c:pt idx="726">
                  <c:v>2877.13</c:v>
                </c:pt>
                <c:pt idx="727">
                  <c:v>2887.89</c:v>
                </c:pt>
                <c:pt idx="728">
                  <c:v>2888.92</c:v>
                </c:pt>
                <c:pt idx="729">
                  <c:v>2904.18</c:v>
                </c:pt>
                <c:pt idx="730">
                  <c:v>2904.98</c:v>
                </c:pt>
                <c:pt idx="731">
                  <c:v>2888.8</c:v>
                </c:pt>
                <c:pt idx="732">
                  <c:v>2904.31</c:v>
                </c:pt>
                <c:pt idx="733">
                  <c:v>2907.95</c:v>
                </c:pt>
                <c:pt idx="734">
                  <c:v>2930.75</c:v>
                </c:pt>
                <c:pt idx="735">
                  <c:v>2929.67</c:v>
                </c:pt>
                <c:pt idx="736">
                  <c:v>2919.37</c:v>
                </c:pt>
                <c:pt idx="737">
                  <c:v>2915.56</c:v>
                </c:pt>
                <c:pt idx="738">
                  <c:v>2905.97</c:v>
                </c:pt>
                <c:pt idx="739">
                  <c:v>2914</c:v>
                </c:pt>
                <c:pt idx="740">
                  <c:v>2913.98</c:v>
                </c:pt>
                <c:pt idx="741">
                  <c:v>2924.59</c:v>
                </c:pt>
                <c:pt idx="742">
                  <c:v>2923.43</c:v>
                </c:pt>
                <c:pt idx="743">
                  <c:v>2925.51</c:v>
                </c:pt>
                <c:pt idx="744">
                  <c:v>2901.61</c:v>
                </c:pt>
                <c:pt idx="745">
                  <c:v>2885.57</c:v>
                </c:pt>
                <c:pt idx="746">
                  <c:v>2884.43</c:v>
                </c:pt>
                <c:pt idx="747">
                  <c:v>2880.34</c:v>
                </c:pt>
                <c:pt idx="748">
                  <c:v>2785.68</c:v>
                </c:pt>
                <c:pt idx="749">
                  <c:v>2728.37</c:v>
                </c:pt>
                <c:pt idx="750">
                  <c:v>2767.13</c:v>
                </c:pt>
                <c:pt idx="751">
                  <c:v>2750.79</c:v>
                </c:pt>
                <c:pt idx="752">
                  <c:v>2809.92</c:v>
                </c:pt>
                <c:pt idx="753">
                  <c:v>2809.21</c:v>
                </c:pt>
                <c:pt idx="754">
                  <c:v>2768.78</c:v>
                </c:pt>
                <c:pt idx="755">
                  <c:v>2767.78</c:v>
                </c:pt>
                <c:pt idx="756">
                  <c:v>2755.88</c:v>
                </c:pt>
                <c:pt idx="757">
                  <c:v>2740.69</c:v>
                </c:pt>
                <c:pt idx="758">
                  <c:v>2656.1</c:v>
                </c:pt>
                <c:pt idx="759">
                  <c:v>2705.57</c:v>
                </c:pt>
                <c:pt idx="760">
                  <c:v>2658.69</c:v>
                </c:pt>
                <c:pt idx="761">
                  <c:v>2641.25</c:v>
                </c:pt>
                <c:pt idx="762">
                  <c:v>2682.63</c:v>
                </c:pt>
                <c:pt idx="763">
                  <c:v>2711.74</c:v>
                </c:pt>
                <c:pt idx="764">
                  <c:v>2740.37</c:v>
                </c:pt>
                <c:pt idx="765">
                  <c:v>2723.06</c:v>
                </c:pt>
                <c:pt idx="766">
                  <c:v>2738.31</c:v>
                </c:pt>
                <c:pt idx="767">
                  <c:v>2755.45</c:v>
                </c:pt>
                <c:pt idx="768">
                  <c:v>2813.89</c:v>
                </c:pt>
                <c:pt idx="769">
                  <c:v>2781.01</c:v>
                </c:pt>
                <c:pt idx="770">
                  <c:v>2726.22</c:v>
                </c:pt>
                <c:pt idx="771">
                  <c:v>2722.18</c:v>
                </c:pt>
                <c:pt idx="772">
                  <c:v>2701.58</c:v>
                </c:pt>
                <c:pt idx="773">
                  <c:v>2730.2</c:v>
                </c:pt>
                <c:pt idx="774">
                  <c:v>2736.27</c:v>
                </c:pt>
                <c:pt idx="775">
                  <c:v>2690.73</c:v>
                </c:pt>
                <c:pt idx="776">
                  <c:v>2641.89</c:v>
                </c:pt>
                <c:pt idx="777">
                  <c:v>2649.93</c:v>
                </c:pt>
                <c:pt idx="778">
                  <c:v>2632.56</c:v>
                </c:pt>
                <c:pt idx="779">
                  <c:v>2673.45</c:v>
                </c:pt>
                <c:pt idx="780">
                  <c:v>2682.17</c:v>
                </c:pt>
                <c:pt idx="781">
                  <c:v>2743.79</c:v>
                </c:pt>
                <c:pt idx="782">
                  <c:v>2737.76</c:v>
                </c:pt>
                <c:pt idx="783">
                  <c:v>2760.17</c:v>
                </c:pt>
                <c:pt idx="784">
                  <c:v>2790.37</c:v>
                </c:pt>
                <c:pt idx="785">
                  <c:v>2700.06</c:v>
                </c:pt>
                <c:pt idx="786">
                  <c:v>2695.95</c:v>
                </c:pt>
                <c:pt idx="787">
                  <c:v>2633.08</c:v>
                </c:pt>
                <c:pt idx="788">
                  <c:v>2637.72</c:v>
                </c:pt>
                <c:pt idx="789">
                  <c:v>2636.78</c:v>
                </c:pt>
                <c:pt idx="790">
                  <c:v>2651.07</c:v>
                </c:pt>
                <c:pt idx="791">
                  <c:v>2650.54</c:v>
                </c:pt>
                <c:pt idx="792">
                  <c:v>2599.9499999999998</c:v>
                </c:pt>
                <c:pt idx="793">
                  <c:v>2545.94</c:v>
                </c:pt>
                <c:pt idx="794">
                  <c:v>2546.16</c:v>
                </c:pt>
                <c:pt idx="795">
                  <c:v>2506.96</c:v>
                </c:pt>
                <c:pt idx="796">
                  <c:v>2467.42</c:v>
                </c:pt>
                <c:pt idx="797">
                  <c:v>2416.62</c:v>
                </c:pt>
                <c:pt idx="798">
                  <c:v>2351.1</c:v>
                </c:pt>
                <c:pt idx="799">
                  <c:v>2467.6999999999998</c:v>
                </c:pt>
                <c:pt idx="800">
                  <c:v>2488.83</c:v>
                </c:pt>
                <c:pt idx="801">
                  <c:v>2485.7399999999998</c:v>
                </c:pt>
                <c:pt idx="802">
                  <c:v>2506.85</c:v>
                </c:pt>
                <c:pt idx="803">
                  <c:v>2510.0300000000002</c:v>
                </c:pt>
                <c:pt idx="804">
                  <c:v>2447.89</c:v>
                </c:pt>
                <c:pt idx="805">
                  <c:v>2531.94</c:v>
                </c:pt>
                <c:pt idx="806">
                  <c:v>2549.69</c:v>
                </c:pt>
                <c:pt idx="807">
                  <c:v>2574.41</c:v>
                </c:pt>
                <c:pt idx="808">
                  <c:v>2584.96</c:v>
                </c:pt>
                <c:pt idx="809">
                  <c:v>2596.64</c:v>
                </c:pt>
                <c:pt idx="810">
                  <c:v>2596.2600000000002</c:v>
                </c:pt>
                <c:pt idx="811">
                  <c:v>2582.61</c:v>
                </c:pt>
                <c:pt idx="812">
                  <c:v>2610.3000000000002</c:v>
                </c:pt>
                <c:pt idx="813">
                  <c:v>2616.1</c:v>
                </c:pt>
                <c:pt idx="814">
                  <c:v>2635.96</c:v>
                </c:pt>
                <c:pt idx="815">
                  <c:v>2670.71</c:v>
                </c:pt>
                <c:pt idx="816">
                  <c:v>2632.9</c:v>
                </c:pt>
                <c:pt idx="817">
                  <c:v>2638.7</c:v>
                </c:pt>
                <c:pt idx="818">
                  <c:v>2642.33</c:v>
                </c:pt>
                <c:pt idx="819">
                  <c:v>2664.76</c:v>
                </c:pt>
                <c:pt idx="820">
                  <c:v>2643.85</c:v>
                </c:pt>
                <c:pt idx="821">
                  <c:v>2640</c:v>
                </c:pt>
                <c:pt idx="822">
                  <c:v>2681.05</c:v>
                </c:pt>
                <c:pt idx="823">
                  <c:v>2704.1</c:v>
                </c:pt>
                <c:pt idx="824">
                  <c:v>2706.53</c:v>
                </c:pt>
                <c:pt idx="825">
                  <c:v>2724.87</c:v>
                </c:pt>
                <c:pt idx="826">
                  <c:v>2737.7</c:v>
                </c:pt>
                <c:pt idx="827">
                  <c:v>2731.61</c:v>
                </c:pt>
                <c:pt idx="828">
                  <c:v>2706.05</c:v>
                </c:pt>
                <c:pt idx="829">
                  <c:v>2707.88</c:v>
                </c:pt>
                <c:pt idx="830">
                  <c:v>2709.8</c:v>
                </c:pt>
                <c:pt idx="831">
                  <c:v>2744.73</c:v>
                </c:pt>
                <c:pt idx="832">
                  <c:v>2753.03</c:v>
                </c:pt>
                <c:pt idx="833">
                  <c:v>2745.73</c:v>
                </c:pt>
                <c:pt idx="834">
                  <c:v>2775.6</c:v>
                </c:pt>
                <c:pt idx="835">
                  <c:v>2779.76</c:v>
                </c:pt>
                <c:pt idx="836">
                  <c:v>2784.7</c:v>
                </c:pt>
                <c:pt idx="837">
                  <c:v>2774.88</c:v>
                </c:pt>
                <c:pt idx="838">
                  <c:v>2792.67</c:v>
                </c:pt>
                <c:pt idx="839">
                  <c:v>2796.11</c:v>
                </c:pt>
                <c:pt idx="840">
                  <c:v>2793.9</c:v>
                </c:pt>
                <c:pt idx="841">
                  <c:v>2792.38</c:v>
                </c:pt>
                <c:pt idx="842">
                  <c:v>2784.49</c:v>
                </c:pt>
                <c:pt idx="843">
                  <c:v>2803.69</c:v>
                </c:pt>
                <c:pt idx="844">
                  <c:v>2792.81</c:v>
                </c:pt>
                <c:pt idx="845">
                  <c:v>2789.65</c:v>
                </c:pt>
                <c:pt idx="846">
                  <c:v>2771.45</c:v>
                </c:pt>
                <c:pt idx="847">
                  <c:v>2748.93</c:v>
                </c:pt>
                <c:pt idx="848">
                  <c:v>2743.07</c:v>
                </c:pt>
                <c:pt idx="849">
                  <c:v>2783.3</c:v>
                </c:pt>
                <c:pt idx="850">
                  <c:v>2791.52</c:v>
                </c:pt>
                <c:pt idx="851">
                  <c:v>2810.92</c:v>
                </c:pt>
                <c:pt idx="852">
                  <c:v>2808.48</c:v>
                </c:pt>
                <c:pt idx="853">
                  <c:v>2822.48</c:v>
                </c:pt>
                <c:pt idx="854">
                  <c:v>2832.94</c:v>
                </c:pt>
                <c:pt idx="855">
                  <c:v>2832.57</c:v>
                </c:pt>
                <c:pt idx="856">
                  <c:v>2824.23</c:v>
                </c:pt>
                <c:pt idx="857">
                  <c:v>2854.88</c:v>
                </c:pt>
                <c:pt idx="858">
                  <c:v>2800.71</c:v>
                </c:pt>
                <c:pt idx="859">
                  <c:v>2798.36</c:v>
                </c:pt>
                <c:pt idx="860">
                  <c:v>2818.46</c:v>
                </c:pt>
                <c:pt idx="861">
                  <c:v>2805.37</c:v>
                </c:pt>
                <c:pt idx="862">
                  <c:v>2815.44</c:v>
                </c:pt>
                <c:pt idx="863">
                  <c:v>2834.4</c:v>
                </c:pt>
                <c:pt idx="864">
                  <c:v>2867.19</c:v>
                </c:pt>
                <c:pt idx="865">
                  <c:v>2867.24</c:v>
                </c:pt>
                <c:pt idx="866">
                  <c:v>2873.4</c:v>
                </c:pt>
                <c:pt idx="867">
                  <c:v>2879.39</c:v>
                </c:pt>
                <c:pt idx="868">
                  <c:v>2892.74</c:v>
                </c:pt>
                <c:pt idx="869">
                  <c:v>2895.77</c:v>
                </c:pt>
                <c:pt idx="870">
                  <c:v>2878.2</c:v>
                </c:pt>
                <c:pt idx="871">
                  <c:v>2888.21</c:v>
                </c:pt>
                <c:pt idx="872">
                  <c:v>2888.32</c:v>
                </c:pt>
                <c:pt idx="873">
                  <c:v>2907.41</c:v>
                </c:pt>
                <c:pt idx="874">
                  <c:v>2905.58</c:v>
                </c:pt>
                <c:pt idx="875">
                  <c:v>2907.06</c:v>
                </c:pt>
                <c:pt idx="876">
                  <c:v>2900.45</c:v>
                </c:pt>
                <c:pt idx="877">
                  <c:v>2905.03</c:v>
                </c:pt>
                <c:pt idx="878">
                  <c:v>2907.97</c:v>
                </c:pt>
                <c:pt idx="879">
                  <c:v>2933.68</c:v>
                </c:pt>
                <c:pt idx="880">
                  <c:v>2927.25</c:v>
                </c:pt>
                <c:pt idx="881">
                  <c:v>2926.17</c:v>
                </c:pt>
                <c:pt idx="882">
                  <c:v>2939.88</c:v>
                </c:pt>
                <c:pt idx="883">
                  <c:v>2943.03</c:v>
                </c:pt>
                <c:pt idx="884">
                  <c:v>2945.83</c:v>
                </c:pt>
                <c:pt idx="885">
                  <c:v>2923.73</c:v>
                </c:pt>
                <c:pt idx="886">
                  <c:v>2917.52</c:v>
                </c:pt>
                <c:pt idx="887">
                  <c:v>2945.64</c:v>
                </c:pt>
                <c:pt idx="888">
                  <c:v>2932.47</c:v>
                </c:pt>
                <c:pt idx="889">
                  <c:v>2884.05</c:v>
                </c:pt>
                <c:pt idx="890">
                  <c:v>2879.42</c:v>
                </c:pt>
                <c:pt idx="891">
                  <c:v>2870.72</c:v>
                </c:pt>
                <c:pt idx="892">
                  <c:v>2881.4</c:v>
                </c:pt>
                <c:pt idx="893">
                  <c:v>2811.87</c:v>
                </c:pt>
                <c:pt idx="894">
                  <c:v>2834.41</c:v>
                </c:pt>
                <c:pt idx="895">
                  <c:v>2850.96</c:v>
                </c:pt>
                <c:pt idx="896">
                  <c:v>2876.32</c:v>
                </c:pt>
                <c:pt idx="897">
                  <c:v>2859.53</c:v>
                </c:pt>
                <c:pt idx="898">
                  <c:v>2840.23</c:v>
                </c:pt>
                <c:pt idx="899">
                  <c:v>2864.36</c:v>
                </c:pt>
                <c:pt idx="900">
                  <c:v>2856.27</c:v>
                </c:pt>
                <c:pt idx="901">
                  <c:v>2822.24</c:v>
                </c:pt>
                <c:pt idx="902">
                  <c:v>2826.06</c:v>
                </c:pt>
                <c:pt idx="903">
                  <c:v>2802.39</c:v>
                </c:pt>
                <c:pt idx="904">
                  <c:v>2783.02</c:v>
                </c:pt>
                <c:pt idx="905">
                  <c:v>2788.86</c:v>
                </c:pt>
                <c:pt idx="906">
                  <c:v>2752.06</c:v>
                </c:pt>
                <c:pt idx="907">
                  <c:v>2744.45</c:v>
                </c:pt>
                <c:pt idx="908">
                  <c:v>2803.27</c:v>
                </c:pt>
                <c:pt idx="909">
                  <c:v>2826.15</c:v>
                </c:pt>
                <c:pt idx="910">
                  <c:v>2843.49</c:v>
                </c:pt>
                <c:pt idx="911">
                  <c:v>2873.34</c:v>
                </c:pt>
                <c:pt idx="912">
                  <c:v>2886.73</c:v>
                </c:pt>
                <c:pt idx="913">
                  <c:v>2885.72</c:v>
                </c:pt>
                <c:pt idx="914">
                  <c:v>2879.84</c:v>
                </c:pt>
                <c:pt idx="915">
                  <c:v>2891.64</c:v>
                </c:pt>
                <c:pt idx="916">
                  <c:v>2886.98</c:v>
                </c:pt>
                <c:pt idx="917">
                  <c:v>2889.67</c:v>
                </c:pt>
                <c:pt idx="918">
                  <c:v>2917.75</c:v>
                </c:pt>
                <c:pt idx="919">
                  <c:v>2926.46</c:v>
                </c:pt>
                <c:pt idx="920">
                  <c:v>2954.18</c:v>
                </c:pt>
                <c:pt idx="921">
                  <c:v>2950.46</c:v>
                </c:pt>
                <c:pt idx="922">
                  <c:v>2945.35</c:v>
                </c:pt>
                <c:pt idx="923">
                  <c:v>2917.38</c:v>
                </c:pt>
                <c:pt idx="924">
                  <c:v>2913.78</c:v>
                </c:pt>
                <c:pt idx="925">
                  <c:v>2924.92</c:v>
                </c:pt>
                <c:pt idx="926">
                  <c:v>2941.76</c:v>
                </c:pt>
                <c:pt idx="927">
                  <c:v>2964.33</c:v>
                </c:pt>
                <c:pt idx="928">
                  <c:v>2973.01</c:v>
                </c:pt>
                <c:pt idx="929">
                  <c:v>2995.82</c:v>
                </c:pt>
                <c:pt idx="930">
                  <c:v>2990.41</c:v>
                </c:pt>
                <c:pt idx="931">
                  <c:v>2975.95</c:v>
                </c:pt>
                <c:pt idx="932">
                  <c:v>2979.63</c:v>
                </c:pt>
                <c:pt idx="933">
                  <c:v>2993.07</c:v>
                </c:pt>
                <c:pt idx="934">
                  <c:v>2999.91</c:v>
                </c:pt>
                <c:pt idx="935">
                  <c:v>3013.77</c:v>
                </c:pt>
                <c:pt idx="936">
                  <c:v>3014.3</c:v>
                </c:pt>
                <c:pt idx="937">
                  <c:v>3004.04</c:v>
                </c:pt>
                <c:pt idx="938">
                  <c:v>2984.42</c:v>
                </c:pt>
                <c:pt idx="939">
                  <c:v>2995.11</c:v>
                </c:pt>
                <c:pt idx="940">
                  <c:v>2976.61</c:v>
                </c:pt>
                <c:pt idx="941">
                  <c:v>2985.03</c:v>
                </c:pt>
                <c:pt idx="942">
                  <c:v>3005.47</c:v>
                </c:pt>
                <c:pt idx="943">
                  <c:v>3019.56</c:v>
                </c:pt>
                <c:pt idx="944">
                  <c:v>3003.67</c:v>
                </c:pt>
                <c:pt idx="945">
                  <c:v>3025.86</c:v>
                </c:pt>
                <c:pt idx="946">
                  <c:v>3020.97</c:v>
                </c:pt>
                <c:pt idx="947">
                  <c:v>3013.18</c:v>
                </c:pt>
                <c:pt idx="948">
                  <c:v>2980.38</c:v>
                </c:pt>
                <c:pt idx="949">
                  <c:v>2953.56</c:v>
                </c:pt>
                <c:pt idx="950">
                  <c:v>2932.05</c:v>
                </c:pt>
                <c:pt idx="951">
                  <c:v>2844.74</c:v>
                </c:pt>
                <c:pt idx="952">
                  <c:v>2881.77</c:v>
                </c:pt>
                <c:pt idx="953">
                  <c:v>2883.98</c:v>
                </c:pt>
                <c:pt idx="954">
                  <c:v>2938.09</c:v>
                </c:pt>
                <c:pt idx="955">
                  <c:v>2918.65</c:v>
                </c:pt>
                <c:pt idx="956">
                  <c:v>2883.09</c:v>
                </c:pt>
                <c:pt idx="957">
                  <c:v>2926.32</c:v>
                </c:pt>
                <c:pt idx="958">
                  <c:v>2840.6</c:v>
                </c:pt>
                <c:pt idx="959">
                  <c:v>2847.6</c:v>
                </c:pt>
                <c:pt idx="960">
                  <c:v>2888.68</c:v>
                </c:pt>
                <c:pt idx="961">
                  <c:v>2923.65</c:v>
                </c:pt>
                <c:pt idx="962">
                  <c:v>2900.51</c:v>
                </c:pt>
                <c:pt idx="963">
                  <c:v>2924.43</c:v>
                </c:pt>
                <c:pt idx="964">
                  <c:v>2847.11</c:v>
                </c:pt>
                <c:pt idx="965">
                  <c:v>2878.38</c:v>
                </c:pt>
                <c:pt idx="966">
                  <c:v>2924.58</c:v>
                </c:pt>
                <c:pt idx="967">
                  <c:v>2926.46</c:v>
                </c:pt>
                <c:pt idx="968">
                  <c:v>2906.27</c:v>
                </c:pt>
                <c:pt idx="969">
                  <c:v>2937.78</c:v>
                </c:pt>
                <c:pt idx="970">
                  <c:v>2976</c:v>
                </c:pt>
                <c:pt idx="971">
                  <c:v>2978.71</c:v>
                </c:pt>
                <c:pt idx="972">
                  <c:v>2978.43</c:v>
                </c:pt>
                <c:pt idx="973">
                  <c:v>2979.39</c:v>
                </c:pt>
                <c:pt idx="974">
                  <c:v>3000.93</c:v>
                </c:pt>
                <c:pt idx="975">
                  <c:v>3009.57</c:v>
                </c:pt>
                <c:pt idx="976">
                  <c:v>3007.39</c:v>
                </c:pt>
                <c:pt idx="977">
                  <c:v>2997.96</c:v>
                </c:pt>
                <c:pt idx="978">
                  <c:v>3005.7</c:v>
                </c:pt>
                <c:pt idx="979">
                  <c:v>3006.73</c:v>
                </c:pt>
                <c:pt idx="980">
                  <c:v>3006.79</c:v>
                </c:pt>
                <c:pt idx="981">
                  <c:v>2992.07</c:v>
                </c:pt>
                <c:pt idx="982">
                  <c:v>2991.48</c:v>
                </c:pt>
                <c:pt idx="983">
                  <c:v>2966.6</c:v>
                </c:pt>
                <c:pt idx="984">
                  <c:v>2984.87</c:v>
                </c:pt>
                <c:pt idx="985">
                  <c:v>2977.62</c:v>
                </c:pt>
                <c:pt idx="986">
                  <c:v>2961.79</c:v>
                </c:pt>
                <c:pt idx="987">
                  <c:v>2976.74</c:v>
                </c:pt>
                <c:pt idx="988">
                  <c:v>2940.25</c:v>
                </c:pt>
                <c:pt idx="989">
                  <c:v>2887.61</c:v>
                </c:pt>
                <c:pt idx="990">
                  <c:v>2910.63</c:v>
                </c:pt>
                <c:pt idx="991">
                  <c:v>2952.01</c:v>
                </c:pt>
                <c:pt idx="992">
                  <c:v>2938.79</c:v>
                </c:pt>
                <c:pt idx="993">
                  <c:v>2893.06</c:v>
                </c:pt>
                <c:pt idx="994">
                  <c:v>2938.13</c:v>
                </c:pt>
                <c:pt idx="995">
                  <c:v>2970.27</c:v>
                </c:pt>
                <c:pt idx="996">
                  <c:v>2966.15</c:v>
                </c:pt>
                <c:pt idx="997">
                  <c:v>2995.68</c:v>
                </c:pt>
                <c:pt idx="998">
                  <c:v>2989.69</c:v>
                </c:pt>
                <c:pt idx="999">
                  <c:v>2997.95</c:v>
                </c:pt>
                <c:pt idx="1000">
                  <c:v>2986.2</c:v>
                </c:pt>
                <c:pt idx="1001">
                  <c:v>3006.72</c:v>
                </c:pt>
                <c:pt idx="1002">
                  <c:v>2995.99</c:v>
                </c:pt>
                <c:pt idx="1003">
                  <c:v>3004.52</c:v>
                </c:pt>
                <c:pt idx="1004">
                  <c:v>3010.29</c:v>
                </c:pt>
                <c:pt idx="1005">
                  <c:v>3022.55</c:v>
                </c:pt>
                <c:pt idx="1006">
                  <c:v>3039.42</c:v>
                </c:pt>
                <c:pt idx="1007">
                  <c:v>3036.89</c:v>
                </c:pt>
                <c:pt idx="1008">
                  <c:v>3046.77</c:v>
                </c:pt>
                <c:pt idx="1009">
                  <c:v>3037.56</c:v>
                </c:pt>
                <c:pt idx="1010">
                  <c:v>3066.91</c:v>
                </c:pt>
                <c:pt idx="1011">
                  <c:v>3078.27</c:v>
                </c:pt>
                <c:pt idx="1012">
                  <c:v>3074.62</c:v>
                </c:pt>
                <c:pt idx="1013">
                  <c:v>3085.18</c:v>
                </c:pt>
                <c:pt idx="1014">
                  <c:v>3093.08</c:v>
                </c:pt>
                <c:pt idx="1015">
                  <c:v>3087.01</c:v>
                </c:pt>
                <c:pt idx="1016">
                  <c:v>3091.84</c:v>
                </c:pt>
                <c:pt idx="1017">
                  <c:v>3094.04</c:v>
                </c:pt>
                <c:pt idx="1018">
                  <c:v>3096.63</c:v>
                </c:pt>
                <c:pt idx="1019">
                  <c:v>3120.46</c:v>
                </c:pt>
                <c:pt idx="1020">
                  <c:v>3122.03</c:v>
                </c:pt>
                <c:pt idx="1021">
                  <c:v>3120.18</c:v>
                </c:pt>
                <c:pt idx="1022">
                  <c:v>3108.46</c:v>
                </c:pt>
                <c:pt idx="1023">
                  <c:v>3103.54</c:v>
                </c:pt>
                <c:pt idx="1024">
                  <c:v>3110.29</c:v>
                </c:pt>
                <c:pt idx="1025">
                  <c:v>3133.64</c:v>
                </c:pt>
                <c:pt idx="1026">
                  <c:v>3140.52</c:v>
                </c:pt>
                <c:pt idx="1027">
                  <c:v>3153.63</c:v>
                </c:pt>
                <c:pt idx="1028">
                  <c:v>3140.98</c:v>
                </c:pt>
                <c:pt idx="1029">
                  <c:v>3113.87</c:v>
                </c:pt>
                <c:pt idx="1030">
                  <c:v>3093.2</c:v>
                </c:pt>
                <c:pt idx="1031">
                  <c:v>3112.76</c:v>
                </c:pt>
                <c:pt idx="1032">
                  <c:v>3117.43</c:v>
                </c:pt>
                <c:pt idx="1033">
                  <c:v>3145.91</c:v>
                </c:pt>
                <c:pt idx="1034">
                  <c:v>3135.96</c:v>
                </c:pt>
                <c:pt idx="1035">
                  <c:v>3132.52</c:v>
                </c:pt>
              </c:numCache>
            </c:numRef>
          </c:yVal>
          <c:smooth val="1"/>
        </c:ser>
        <c:dLbls>
          <c:showLegendKey val="0"/>
          <c:showVal val="0"/>
          <c:showCatName val="0"/>
          <c:showSerName val="0"/>
          <c:showPercent val="0"/>
          <c:showBubbleSize val="0"/>
        </c:dLbls>
        <c:axId val="395893104"/>
        <c:axId val="395893496"/>
      </c:scatterChart>
      <c:valAx>
        <c:axId val="395893104"/>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95893496"/>
        <c:crosses val="autoZero"/>
        <c:crossBetween val="midCat"/>
      </c:valAx>
      <c:valAx>
        <c:axId val="395893496"/>
        <c:scaling>
          <c:orientation val="minMax"/>
          <c:min val="15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95893104"/>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Beat</a:t>
            </a:r>
            <a:r>
              <a:rPr lang="en-US" baseline="0"/>
              <a:t> ratio</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Balance!$B$2:$B$1989</c:f>
              <c:numCache>
                <c:formatCode>m/d/yyyy</c:formatCode>
                <c:ptCount val="1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pt idx="1032">
                  <c:v>43804</c:v>
                </c:pt>
                <c:pt idx="1033">
                  <c:v>43805</c:v>
                </c:pt>
                <c:pt idx="1034">
                  <c:v>43808</c:v>
                </c:pt>
                <c:pt idx="1035">
                  <c:v>43809</c:v>
                </c:pt>
              </c:numCache>
            </c:numRef>
          </c:xVal>
          <c:yVal>
            <c:numRef>
              <c:f>Balance!$Q$2:$Q$1992</c:f>
              <c:numCache>
                <c:formatCode>0.00%</c:formatCode>
                <c:ptCount val="1991"/>
                <c:pt idx="0">
                  <c:v>0</c:v>
                </c:pt>
                <c:pt idx="1">
                  <c:v>0</c:v>
                </c:pt>
                <c:pt idx="2">
                  <c:v>0</c:v>
                </c:pt>
                <c:pt idx="3">
                  <c:v>0</c:v>
                </c:pt>
                <c:pt idx="4">
                  <c:v>0.2</c:v>
                </c:pt>
                <c:pt idx="5">
                  <c:v>0.16666666666666666</c:v>
                </c:pt>
                <c:pt idx="6">
                  <c:v>0.14285714285714285</c:v>
                </c:pt>
                <c:pt idx="7">
                  <c:v>0.125</c:v>
                </c:pt>
                <c:pt idx="8">
                  <c:v>0.22222222222222221</c:v>
                </c:pt>
                <c:pt idx="9">
                  <c:v>0.3</c:v>
                </c:pt>
                <c:pt idx="10">
                  <c:v>0.36363636363636365</c:v>
                </c:pt>
                <c:pt idx="11">
                  <c:v>0.41666666666666669</c:v>
                </c:pt>
                <c:pt idx="12">
                  <c:v>0.38461538461538464</c:v>
                </c:pt>
                <c:pt idx="13">
                  <c:v>0.42857142857142855</c:v>
                </c:pt>
                <c:pt idx="14">
                  <c:v>0.46666666666666667</c:v>
                </c:pt>
                <c:pt idx="15">
                  <c:v>0.4375</c:v>
                </c:pt>
                <c:pt idx="16">
                  <c:v>0.41176470588235292</c:v>
                </c:pt>
                <c:pt idx="17">
                  <c:v>0.3888888888888889</c:v>
                </c:pt>
                <c:pt idx="18">
                  <c:v>0.36842105263157893</c:v>
                </c:pt>
                <c:pt idx="19">
                  <c:v>0.4</c:v>
                </c:pt>
                <c:pt idx="20">
                  <c:v>0.38095238095238093</c:v>
                </c:pt>
                <c:pt idx="21">
                  <c:v>0.40909090909090912</c:v>
                </c:pt>
                <c:pt idx="22">
                  <c:v>0.43478260869565216</c:v>
                </c:pt>
                <c:pt idx="23">
                  <c:v>0.41666666666666669</c:v>
                </c:pt>
                <c:pt idx="24">
                  <c:v>0.44</c:v>
                </c:pt>
                <c:pt idx="25">
                  <c:v>0.42307692307692307</c:v>
                </c:pt>
                <c:pt idx="26">
                  <c:v>0.40740740740740738</c:v>
                </c:pt>
                <c:pt idx="27">
                  <c:v>0.42857142857142855</c:v>
                </c:pt>
                <c:pt idx="28">
                  <c:v>0.41379310344827586</c:v>
                </c:pt>
                <c:pt idx="29">
                  <c:v>0.4</c:v>
                </c:pt>
                <c:pt idx="30">
                  <c:v>0.41935483870967744</c:v>
                </c:pt>
                <c:pt idx="31">
                  <c:v>0.4375</c:v>
                </c:pt>
                <c:pt idx="32">
                  <c:v>0.45454545454545453</c:v>
                </c:pt>
                <c:pt idx="33">
                  <c:v>0.47058823529411764</c:v>
                </c:pt>
                <c:pt idx="34">
                  <c:v>0.48571428571428571</c:v>
                </c:pt>
                <c:pt idx="35">
                  <c:v>0.5</c:v>
                </c:pt>
                <c:pt idx="36">
                  <c:v>0.48648648648648651</c:v>
                </c:pt>
                <c:pt idx="37">
                  <c:v>0.47368421052631576</c:v>
                </c:pt>
                <c:pt idx="38">
                  <c:v>0.46153846153846156</c:v>
                </c:pt>
                <c:pt idx="39">
                  <c:v>0.45</c:v>
                </c:pt>
                <c:pt idx="40">
                  <c:v>0.46341463414634149</c:v>
                </c:pt>
                <c:pt idx="41">
                  <c:v>0.47619047619047616</c:v>
                </c:pt>
                <c:pt idx="42">
                  <c:v>0.46511627906976744</c:v>
                </c:pt>
                <c:pt idx="43">
                  <c:v>0.45454545454545453</c:v>
                </c:pt>
                <c:pt idx="44">
                  <c:v>0.46666666666666667</c:v>
                </c:pt>
                <c:pt idx="45">
                  <c:v>0.45652173913043476</c:v>
                </c:pt>
                <c:pt idx="46">
                  <c:v>0.44680851063829785</c:v>
                </c:pt>
                <c:pt idx="47">
                  <c:v>0.4375</c:v>
                </c:pt>
                <c:pt idx="48">
                  <c:v>0.42857142857142855</c:v>
                </c:pt>
                <c:pt idx="49">
                  <c:v>0.42</c:v>
                </c:pt>
                <c:pt idx="50">
                  <c:v>0.41176470588235292</c:v>
                </c:pt>
                <c:pt idx="51">
                  <c:v>0.42307692307692307</c:v>
                </c:pt>
                <c:pt idx="52">
                  <c:v>0.41509433962264153</c:v>
                </c:pt>
                <c:pt idx="53">
                  <c:v>0.42592592592592593</c:v>
                </c:pt>
                <c:pt idx="54">
                  <c:v>0.43636363636363634</c:v>
                </c:pt>
                <c:pt idx="55">
                  <c:v>0.44642857142857145</c:v>
                </c:pt>
                <c:pt idx="56">
                  <c:v>0.45614035087719296</c:v>
                </c:pt>
                <c:pt idx="57">
                  <c:v>0.44827586206896552</c:v>
                </c:pt>
                <c:pt idx="58">
                  <c:v>0.44067796610169491</c:v>
                </c:pt>
                <c:pt idx="59">
                  <c:v>0.43333333333333335</c:v>
                </c:pt>
                <c:pt idx="60">
                  <c:v>0.42622950819672129</c:v>
                </c:pt>
                <c:pt idx="61">
                  <c:v>0.41935483870967744</c:v>
                </c:pt>
                <c:pt idx="62">
                  <c:v>0.41269841269841268</c:v>
                </c:pt>
                <c:pt idx="63">
                  <c:v>0.421875</c:v>
                </c:pt>
                <c:pt idx="64">
                  <c:v>0.43076923076923079</c:v>
                </c:pt>
                <c:pt idx="65">
                  <c:v>0.42424242424242425</c:v>
                </c:pt>
                <c:pt idx="66">
                  <c:v>0.43283582089552236</c:v>
                </c:pt>
                <c:pt idx="67">
                  <c:v>0.44117647058823528</c:v>
                </c:pt>
                <c:pt idx="68">
                  <c:v>0.43478260869565216</c:v>
                </c:pt>
                <c:pt idx="69">
                  <c:v>0.44285714285714284</c:v>
                </c:pt>
                <c:pt idx="70">
                  <c:v>0.45070422535211269</c:v>
                </c:pt>
                <c:pt idx="71">
                  <c:v>0.45833333333333331</c:v>
                </c:pt>
                <c:pt idx="72">
                  <c:v>0.45205479452054792</c:v>
                </c:pt>
                <c:pt idx="73">
                  <c:v>0.45945945945945948</c:v>
                </c:pt>
                <c:pt idx="74">
                  <c:v>0.45333333333333331</c:v>
                </c:pt>
                <c:pt idx="75">
                  <c:v>0.44736842105263158</c:v>
                </c:pt>
                <c:pt idx="76">
                  <c:v>0.44155844155844154</c:v>
                </c:pt>
                <c:pt idx="77">
                  <c:v>0.4358974358974359</c:v>
                </c:pt>
                <c:pt idx="78">
                  <c:v>0.43037974683544306</c:v>
                </c:pt>
                <c:pt idx="79">
                  <c:v>0.42499999999999999</c:v>
                </c:pt>
                <c:pt idx="80">
                  <c:v>0.43209876543209874</c:v>
                </c:pt>
                <c:pt idx="81">
                  <c:v>0.43902439024390244</c:v>
                </c:pt>
                <c:pt idx="82">
                  <c:v>0.43373493975903615</c:v>
                </c:pt>
                <c:pt idx="83">
                  <c:v>0.44047619047619047</c:v>
                </c:pt>
                <c:pt idx="84">
                  <c:v>0.43529411764705883</c:v>
                </c:pt>
                <c:pt idx="85">
                  <c:v>0.44186046511627908</c:v>
                </c:pt>
                <c:pt idx="86">
                  <c:v>0.43678160919540232</c:v>
                </c:pt>
                <c:pt idx="87">
                  <c:v>0.44318181818181818</c:v>
                </c:pt>
                <c:pt idx="88">
                  <c:v>0.449438202247191</c:v>
                </c:pt>
                <c:pt idx="89">
                  <c:v>0.44444444444444442</c:v>
                </c:pt>
                <c:pt idx="90">
                  <c:v>0.45054945054945056</c:v>
                </c:pt>
                <c:pt idx="91">
                  <c:v>0.45652173913043476</c:v>
                </c:pt>
                <c:pt idx="92">
                  <c:v>0.45161290322580644</c:v>
                </c:pt>
                <c:pt idx="93">
                  <c:v>0.44680851063829785</c:v>
                </c:pt>
                <c:pt idx="94">
                  <c:v>0.44210526315789472</c:v>
                </c:pt>
                <c:pt idx="95">
                  <c:v>0.44791666666666669</c:v>
                </c:pt>
                <c:pt idx="96">
                  <c:v>0.45360824742268041</c:v>
                </c:pt>
                <c:pt idx="97">
                  <c:v>0.45918367346938777</c:v>
                </c:pt>
                <c:pt idx="98">
                  <c:v>0.45454545454545453</c:v>
                </c:pt>
                <c:pt idx="99">
                  <c:v>0.45</c:v>
                </c:pt>
                <c:pt idx="100">
                  <c:v>0.44554455445544555</c:v>
                </c:pt>
                <c:pt idx="101">
                  <c:v>0.44117647058823528</c:v>
                </c:pt>
                <c:pt idx="102">
                  <c:v>0.43689320388349512</c:v>
                </c:pt>
                <c:pt idx="103">
                  <c:v>0.43269230769230771</c:v>
                </c:pt>
                <c:pt idx="104">
                  <c:v>0.43809523809523809</c:v>
                </c:pt>
                <c:pt idx="105">
                  <c:v>0.43396226415094341</c:v>
                </c:pt>
                <c:pt idx="106">
                  <c:v>0.42990654205607476</c:v>
                </c:pt>
                <c:pt idx="107">
                  <c:v>0.43518518518518517</c:v>
                </c:pt>
                <c:pt idx="108">
                  <c:v>0.44036697247706424</c:v>
                </c:pt>
                <c:pt idx="109">
                  <c:v>0.43636363636363634</c:v>
                </c:pt>
                <c:pt idx="110">
                  <c:v>0.43243243243243246</c:v>
                </c:pt>
                <c:pt idx="111">
                  <c:v>0.4375</c:v>
                </c:pt>
                <c:pt idx="112">
                  <c:v>0.44247787610619471</c:v>
                </c:pt>
                <c:pt idx="113">
                  <c:v>0.44736842105263158</c:v>
                </c:pt>
                <c:pt idx="114">
                  <c:v>0.45217391304347826</c:v>
                </c:pt>
                <c:pt idx="115">
                  <c:v>0.44827586206896552</c:v>
                </c:pt>
                <c:pt idx="116">
                  <c:v>0.44444444444444442</c:v>
                </c:pt>
                <c:pt idx="117">
                  <c:v>0.44915254237288138</c:v>
                </c:pt>
                <c:pt idx="118">
                  <c:v>0.45378151260504201</c:v>
                </c:pt>
                <c:pt idx="119">
                  <c:v>0.45</c:v>
                </c:pt>
                <c:pt idx="120">
                  <c:v>0.4462809917355372</c:v>
                </c:pt>
                <c:pt idx="121">
                  <c:v>0.44262295081967212</c:v>
                </c:pt>
                <c:pt idx="122">
                  <c:v>0.43902439024390244</c:v>
                </c:pt>
                <c:pt idx="123">
                  <c:v>0.43548387096774194</c:v>
                </c:pt>
                <c:pt idx="124">
                  <c:v>0.44</c:v>
                </c:pt>
                <c:pt idx="125">
                  <c:v>0.44444444444444442</c:v>
                </c:pt>
                <c:pt idx="126">
                  <c:v>0.44881889763779526</c:v>
                </c:pt>
                <c:pt idx="127">
                  <c:v>0.4453125</c:v>
                </c:pt>
                <c:pt idx="128">
                  <c:v>0.44186046511627908</c:v>
                </c:pt>
                <c:pt idx="129">
                  <c:v>0.44615384615384618</c:v>
                </c:pt>
                <c:pt idx="130">
                  <c:v>0.44274809160305345</c:v>
                </c:pt>
                <c:pt idx="131">
                  <c:v>0.44696969696969696</c:v>
                </c:pt>
                <c:pt idx="132">
                  <c:v>0.44360902255639095</c:v>
                </c:pt>
                <c:pt idx="133">
                  <c:v>0.44776119402985076</c:v>
                </c:pt>
                <c:pt idx="134">
                  <c:v>0.45185185185185184</c:v>
                </c:pt>
                <c:pt idx="135">
                  <c:v>0.4485294117647059</c:v>
                </c:pt>
                <c:pt idx="136">
                  <c:v>0.45255474452554745</c:v>
                </c:pt>
                <c:pt idx="137">
                  <c:v>0.45652173913043476</c:v>
                </c:pt>
                <c:pt idx="138">
                  <c:v>0.46043165467625902</c:v>
                </c:pt>
                <c:pt idx="139">
                  <c:v>0.45714285714285713</c:v>
                </c:pt>
                <c:pt idx="140">
                  <c:v>0.45390070921985815</c:v>
                </c:pt>
                <c:pt idx="141">
                  <c:v>0.45774647887323944</c:v>
                </c:pt>
                <c:pt idx="142">
                  <c:v>0.46153846153846156</c:v>
                </c:pt>
                <c:pt idx="143">
                  <c:v>0.46527777777777779</c:v>
                </c:pt>
                <c:pt idx="144">
                  <c:v>0.46206896551724136</c:v>
                </c:pt>
                <c:pt idx="145">
                  <c:v>0.46575342465753422</c:v>
                </c:pt>
                <c:pt idx="146">
                  <c:v>0.46938775510204084</c:v>
                </c:pt>
                <c:pt idx="147">
                  <c:v>0.46621621621621623</c:v>
                </c:pt>
                <c:pt idx="148">
                  <c:v>0.46979865771812079</c:v>
                </c:pt>
                <c:pt idx="149">
                  <c:v>0.46666666666666667</c:v>
                </c:pt>
                <c:pt idx="150">
                  <c:v>0.46357615894039733</c:v>
                </c:pt>
                <c:pt idx="151">
                  <c:v>0.46052631578947367</c:v>
                </c:pt>
                <c:pt idx="152">
                  <c:v>0.46405228758169936</c:v>
                </c:pt>
                <c:pt idx="153">
                  <c:v>0.46103896103896103</c:v>
                </c:pt>
                <c:pt idx="154">
                  <c:v>0.46451612903225808</c:v>
                </c:pt>
                <c:pt idx="155">
                  <c:v>0.46794871794871795</c:v>
                </c:pt>
                <c:pt idx="156">
                  <c:v>0.4713375796178344</c:v>
                </c:pt>
                <c:pt idx="157">
                  <c:v>0.46835443037974683</c:v>
                </c:pt>
                <c:pt idx="158">
                  <c:v>0.46540880503144655</c:v>
                </c:pt>
                <c:pt idx="159">
                  <c:v>0.46875</c:v>
                </c:pt>
                <c:pt idx="160">
                  <c:v>0.47204968944099379</c:v>
                </c:pt>
                <c:pt idx="161">
                  <c:v>0.47530864197530864</c:v>
                </c:pt>
                <c:pt idx="162">
                  <c:v>0.4785276073619632</c:v>
                </c:pt>
                <c:pt idx="163">
                  <c:v>0.47560975609756095</c:v>
                </c:pt>
                <c:pt idx="164">
                  <c:v>0.47878787878787876</c:v>
                </c:pt>
                <c:pt idx="165">
                  <c:v>0.4759036144578313</c:v>
                </c:pt>
                <c:pt idx="166">
                  <c:v>0.47305389221556887</c:v>
                </c:pt>
                <c:pt idx="167">
                  <c:v>0.47619047619047616</c:v>
                </c:pt>
                <c:pt idx="168">
                  <c:v>0.47928994082840237</c:v>
                </c:pt>
                <c:pt idx="169">
                  <c:v>0.4823529411764706</c:v>
                </c:pt>
                <c:pt idx="170">
                  <c:v>0.4853801169590643</c:v>
                </c:pt>
                <c:pt idx="171">
                  <c:v>0.48255813953488375</c:v>
                </c:pt>
                <c:pt idx="172">
                  <c:v>0.48554913294797686</c:v>
                </c:pt>
                <c:pt idx="173">
                  <c:v>0.48275862068965519</c:v>
                </c:pt>
                <c:pt idx="174">
                  <c:v>0.48571428571428571</c:v>
                </c:pt>
                <c:pt idx="175">
                  <c:v>0.48863636363636365</c:v>
                </c:pt>
                <c:pt idx="176">
                  <c:v>0.48587570621468928</c:v>
                </c:pt>
                <c:pt idx="177">
                  <c:v>0.48314606741573035</c:v>
                </c:pt>
                <c:pt idx="178">
                  <c:v>0.48044692737430167</c:v>
                </c:pt>
                <c:pt idx="179">
                  <c:v>0.4777777777777778</c:v>
                </c:pt>
                <c:pt idx="180">
                  <c:v>0.47513812154696133</c:v>
                </c:pt>
                <c:pt idx="181">
                  <c:v>0.47802197802197804</c:v>
                </c:pt>
                <c:pt idx="182">
                  <c:v>0.47540983606557374</c:v>
                </c:pt>
                <c:pt idx="183">
                  <c:v>0.47282608695652173</c:v>
                </c:pt>
                <c:pt idx="184">
                  <c:v>0.4756756756756757</c:v>
                </c:pt>
                <c:pt idx="185">
                  <c:v>0.478494623655914</c:v>
                </c:pt>
                <c:pt idx="186">
                  <c:v>0.47593582887700536</c:v>
                </c:pt>
                <c:pt idx="187">
                  <c:v>0.47872340425531917</c:v>
                </c:pt>
                <c:pt idx="188">
                  <c:v>0.48148148148148145</c:v>
                </c:pt>
                <c:pt idx="189">
                  <c:v>0.48421052631578948</c:v>
                </c:pt>
                <c:pt idx="190">
                  <c:v>0.48167539267015708</c:v>
                </c:pt>
                <c:pt idx="191">
                  <c:v>0.484375</c:v>
                </c:pt>
                <c:pt idx="192">
                  <c:v>0.48704663212435234</c:v>
                </c:pt>
                <c:pt idx="193">
                  <c:v>0.48969072164948452</c:v>
                </c:pt>
                <c:pt idx="194">
                  <c:v>0.48717948717948717</c:v>
                </c:pt>
                <c:pt idx="195">
                  <c:v>0.48979591836734693</c:v>
                </c:pt>
                <c:pt idx="196">
                  <c:v>0.48730964467005078</c:v>
                </c:pt>
                <c:pt idx="197">
                  <c:v>0.48484848484848486</c:v>
                </c:pt>
                <c:pt idx="198">
                  <c:v>0.48743718592964824</c:v>
                </c:pt>
                <c:pt idx="199">
                  <c:v>0.49</c:v>
                </c:pt>
                <c:pt idx="200">
                  <c:v>0.4925373134328358</c:v>
                </c:pt>
                <c:pt idx="201">
                  <c:v>0.49009900990099009</c:v>
                </c:pt>
                <c:pt idx="202">
                  <c:v>0.49261083743842365</c:v>
                </c:pt>
                <c:pt idx="203">
                  <c:v>0.49509803921568629</c:v>
                </c:pt>
                <c:pt idx="204">
                  <c:v>0.49268292682926829</c:v>
                </c:pt>
                <c:pt idx="205">
                  <c:v>0.49029126213592233</c:v>
                </c:pt>
                <c:pt idx="206">
                  <c:v>0.48792270531400966</c:v>
                </c:pt>
                <c:pt idx="207">
                  <c:v>0.48557692307692307</c:v>
                </c:pt>
                <c:pt idx="208">
                  <c:v>0.48325358851674644</c:v>
                </c:pt>
                <c:pt idx="209">
                  <c:v>0.48095238095238096</c:v>
                </c:pt>
                <c:pt idx="210">
                  <c:v>0.47867298578199052</c:v>
                </c:pt>
                <c:pt idx="211">
                  <c:v>0.48113207547169812</c:v>
                </c:pt>
                <c:pt idx="212">
                  <c:v>0.48356807511737088</c:v>
                </c:pt>
                <c:pt idx="213">
                  <c:v>0.48598130841121495</c:v>
                </c:pt>
                <c:pt idx="214">
                  <c:v>0.48372093023255813</c:v>
                </c:pt>
                <c:pt idx="215">
                  <c:v>0.4861111111111111</c:v>
                </c:pt>
                <c:pt idx="216">
                  <c:v>0.48847926267281105</c:v>
                </c:pt>
                <c:pt idx="217">
                  <c:v>0.48623853211009177</c:v>
                </c:pt>
                <c:pt idx="218">
                  <c:v>0.48858447488584472</c:v>
                </c:pt>
                <c:pt idx="219">
                  <c:v>0.49090909090909091</c:v>
                </c:pt>
                <c:pt idx="220">
                  <c:v>0.48868778280542985</c:v>
                </c:pt>
                <c:pt idx="221">
                  <c:v>0.48648648648648651</c:v>
                </c:pt>
                <c:pt idx="222">
                  <c:v>0.48430493273542602</c:v>
                </c:pt>
                <c:pt idx="223">
                  <c:v>0.48660714285714285</c:v>
                </c:pt>
                <c:pt idx="224">
                  <c:v>0.48888888888888887</c:v>
                </c:pt>
                <c:pt idx="225">
                  <c:v>0.49115044247787609</c:v>
                </c:pt>
                <c:pt idx="226">
                  <c:v>0.48898678414096919</c:v>
                </c:pt>
                <c:pt idx="227">
                  <c:v>0.49122807017543857</c:v>
                </c:pt>
                <c:pt idx="228">
                  <c:v>0.48908296943231439</c:v>
                </c:pt>
                <c:pt idx="229">
                  <c:v>0.49130434782608695</c:v>
                </c:pt>
                <c:pt idx="230">
                  <c:v>0.48917748917748916</c:v>
                </c:pt>
                <c:pt idx="231">
                  <c:v>0.49137931034482757</c:v>
                </c:pt>
                <c:pt idx="232">
                  <c:v>0.48927038626609443</c:v>
                </c:pt>
                <c:pt idx="233">
                  <c:v>0.49145299145299143</c:v>
                </c:pt>
                <c:pt idx="234">
                  <c:v>0.48936170212765956</c:v>
                </c:pt>
                <c:pt idx="235">
                  <c:v>0.48728813559322032</c:v>
                </c:pt>
                <c:pt idx="236">
                  <c:v>0.48523206751054854</c:v>
                </c:pt>
                <c:pt idx="237">
                  <c:v>0.48739495798319327</c:v>
                </c:pt>
                <c:pt idx="238">
                  <c:v>0.48535564853556484</c:v>
                </c:pt>
                <c:pt idx="239">
                  <c:v>0.48749999999999999</c:v>
                </c:pt>
                <c:pt idx="240">
                  <c:v>0.48962655601659749</c:v>
                </c:pt>
                <c:pt idx="241">
                  <c:v>0.48760330578512395</c:v>
                </c:pt>
                <c:pt idx="242">
                  <c:v>0.48559670781893005</c:v>
                </c:pt>
                <c:pt idx="243">
                  <c:v>0.48770491803278687</c:v>
                </c:pt>
                <c:pt idx="244">
                  <c:v>0.48979591836734693</c:v>
                </c:pt>
                <c:pt idx="245">
                  <c:v>0.491869918699187</c:v>
                </c:pt>
                <c:pt idx="246">
                  <c:v>0.49392712550607287</c:v>
                </c:pt>
                <c:pt idx="247">
                  <c:v>0.49193548387096775</c:v>
                </c:pt>
                <c:pt idx="248">
                  <c:v>0.48995983935742971</c:v>
                </c:pt>
                <c:pt idx="249">
                  <c:v>0.49199999999999999</c:v>
                </c:pt>
                <c:pt idx="250">
                  <c:v>0.49402390438247012</c:v>
                </c:pt>
                <c:pt idx="251">
                  <c:v>0.49603174603174605</c:v>
                </c:pt>
                <c:pt idx="252">
                  <c:v>0.49802371541501977</c:v>
                </c:pt>
                <c:pt idx="253">
                  <c:v>0.5</c:v>
                </c:pt>
                <c:pt idx="254">
                  <c:v>0.49803921568627452</c:v>
                </c:pt>
                <c:pt idx="255">
                  <c:v>0.5</c:v>
                </c:pt>
                <c:pt idx="256">
                  <c:v>0.49805447470817121</c:v>
                </c:pt>
                <c:pt idx="257">
                  <c:v>0.5</c:v>
                </c:pt>
                <c:pt idx="258">
                  <c:v>0.50193050193050193</c:v>
                </c:pt>
                <c:pt idx="259">
                  <c:v>0.5</c:v>
                </c:pt>
                <c:pt idx="260">
                  <c:v>0.49808429118773945</c:v>
                </c:pt>
                <c:pt idx="261">
                  <c:v>0.49618320610687022</c:v>
                </c:pt>
                <c:pt idx="262">
                  <c:v>0.49429657794676807</c:v>
                </c:pt>
                <c:pt idx="263">
                  <c:v>0.49621212121212122</c:v>
                </c:pt>
                <c:pt idx="264">
                  <c:v>0.49811320754716981</c:v>
                </c:pt>
                <c:pt idx="265">
                  <c:v>0.5</c:v>
                </c:pt>
                <c:pt idx="266">
                  <c:v>0.50187265917602997</c:v>
                </c:pt>
                <c:pt idx="267">
                  <c:v>0.5</c:v>
                </c:pt>
                <c:pt idx="268">
                  <c:v>0.49814126394052044</c:v>
                </c:pt>
                <c:pt idx="269">
                  <c:v>0.49629629629629629</c:v>
                </c:pt>
                <c:pt idx="270">
                  <c:v>0.49446494464944651</c:v>
                </c:pt>
                <c:pt idx="271">
                  <c:v>0.49632352941176472</c:v>
                </c:pt>
                <c:pt idx="272">
                  <c:v>0.49816849816849818</c:v>
                </c:pt>
                <c:pt idx="273">
                  <c:v>0.49635036496350365</c:v>
                </c:pt>
                <c:pt idx="274">
                  <c:v>0.49454545454545457</c:v>
                </c:pt>
                <c:pt idx="275">
                  <c:v>0.49637681159420288</c:v>
                </c:pt>
                <c:pt idx="276">
                  <c:v>0.49819494584837543</c:v>
                </c:pt>
                <c:pt idx="277">
                  <c:v>0.49640287769784175</c:v>
                </c:pt>
                <c:pt idx="278">
                  <c:v>0.49820788530465948</c:v>
                </c:pt>
                <c:pt idx="279">
                  <c:v>0.49642857142857144</c:v>
                </c:pt>
                <c:pt idx="280">
                  <c:v>0.49822064056939502</c:v>
                </c:pt>
                <c:pt idx="281">
                  <c:v>0.5</c:v>
                </c:pt>
                <c:pt idx="282">
                  <c:v>0.49823321554770317</c:v>
                </c:pt>
                <c:pt idx="283">
                  <c:v>0.5</c:v>
                </c:pt>
                <c:pt idx="284">
                  <c:v>0.49824561403508771</c:v>
                </c:pt>
                <c:pt idx="285">
                  <c:v>0.5</c:v>
                </c:pt>
                <c:pt idx="286">
                  <c:v>0.50174216027874563</c:v>
                </c:pt>
                <c:pt idx="287">
                  <c:v>0.5</c:v>
                </c:pt>
                <c:pt idx="288">
                  <c:v>0.5017301038062284</c:v>
                </c:pt>
                <c:pt idx="289">
                  <c:v>0.5</c:v>
                </c:pt>
                <c:pt idx="290">
                  <c:v>0.50171821305841924</c:v>
                </c:pt>
                <c:pt idx="291">
                  <c:v>0.50342465753424659</c:v>
                </c:pt>
                <c:pt idx="292">
                  <c:v>0.50170648464163825</c:v>
                </c:pt>
                <c:pt idx="293">
                  <c:v>0.5</c:v>
                </c:pt>
                <c:pt idx="294">
                  <c:v>0.49830508474576274</c:v>
                </c:pt>
                <c:pt idx="295">
                  <c:v>0.5</c:v>
                </c:pt>
                <c:pt idx="296">
                  <c:v>0.49831649831649832</c:v>
                </c:pt>
                <c:pt idx="297">
                  <c:v>0.49664429530201343</c:v>
                </c:pt>
                <c:pt idx="298">
                  <c:v>0.49498327759197325</c:v>
                </c:pt>
                <c:pt idx="299">
                  <c:v>0.49666666666666665</c:v>
                </c:pt>
                <c:pt idx="300">
                  <c:v>0.49501661129568109</c:v>
                </c:pt>
                <c:pt idx="301">
                  <c:v>0.49668874172185429</c:v>
                </c:pt>
                <c:pt idx="302">
                  <c:v>0.49504950495049505</c:v>
                </c:pt>
                <c:pt idx="303">
                  <c:v>0.49671052631578949</c:v>
                </c:pt>
                <c:pt idx="304">
                  <c:v>0.49508196721311476</c:v>
                </c:pt>
                <c:pt idx="305">
                  <c:v>0.49346405228758172</c:v>
                </c:pt>
                <c:pt idx="306">
                  <c:v>0.49511400651465798</c:v>
                </c:pt>
                <c:pt idx="307">
                  <c:v>0.4935064935064935</c:v>
                </c:pt>
                <c:pt idx="308">
                  <c:v>0.49514563106796117</c:v>
                </c:pt>
                <c:pt idx="309">
                  <c:v>0.49677419354838709</c:v>
                </c:pt>
                <c:pt idx="310">
                  <c:v>0.49839228295819937</c:v>
                </c:pt>
                <c:pt idx="311">
                  <c:v>0.49679487179487181</c:v>
                </c:pt>
                <c:pt idx="312">
                  <c:v>0.49840255591054311</c:v>
                </c:pt>
                <c:pt idx="313">
                  <c:v>0.49681528662420382</c:v>
                </c:pt>
                <c:pt idx="314">
                  <c:v>0.49841269841269842</c:v>
                </c:pt>
                <c:pt idx="315">
                  <c:v>0.5</c:v>
                </c:pt>
                <c:pt idx="316">
                  <c:v>0.49842271293375395</c:v>
                </c:pt>
                <c:pt idx="317">
                  <c:v>0.5</c:v>
                </c:pt>
                <c:pt idx="318">
                  <c:v>0.50156739811912221</c:v>
                </c:pt>
                <c:pt idx="319">
                  <c:v>0.5</c:v>
                </c:pt>
                <c:pt idx="320">
                  <c:v>0.49844236760124611</c:v>
                </c:pt>
                <c:pt idx="321">
                  <c:v>0.49689440993788819</c:v>
                </c:pt>
                <c:pt idx="322">
                  <c:v>0.49845201238390091</c:v>
                </c:pt>
                <c:pt idx="323">
                  <c:v>0.5</c:v>
                </c:pt>
                <c:pt idx="324">
                  <c:v>0.50153846153846149</c:v>
                </c:pt>
                <c:pt idx="325">
                  <c:v>0.5</c:v>
                </c:pt>
                <c:pt idx="326">
                  <c:v>0.49847094801223241</c:v>
                </c:pt>
                <c:pt idx="327">
                  <c:v>0.49695121951219512</c:v>
                </c:pt>
                <c:pt idx="328">
                  <c:v>0.49848024316109424</c:v>
                </c:pt>
                <c:pt idx="329">
                  <c:v>0.5</c:v>
                </c:pt>
                <c:pt idx="330">
                  <c:v>0.50151057401812693</c:v>
                </c:pt>
                <c:pt idx="331">
                  <c:v>0.5</c:v>
                </c:pt>
                <c:pt idx="332">
                  <c:v>0.49849849849849848</c:v>
                </c:pt>
                <c:pt idx="333">
                  <c:v>0.5</c:v>
                </c:pt>
                <c:pt idx="334">
                  <c:v>0.5014925373134328</c:v>
                </c:pt>
                <c:pt idx="335">
                  <c:v>0.5</c:v>
                </c:pt>
                <c:pt idx="336">
                  <c:v>0.49851632047477745</c:v>
                </c:pt>
                <c:pt idx="337">
                  <c:v>0.5</c:v>
                </c:pt>
                <c:pt idx="338">
                  <c:v>0.49852507374631266</c:v>
                </c:pt>
                <c:pt idx="339">
                  <c:v>0.49705882352941178</c:v>
                </c:pt>
                <c:pt idx="340">
                  <c:v>0.49853372434017595</c:v>
                </c:pt>
                <c:pt idx="341">
                  <c:v>0.49707602339181284</c:v>
                </c:pt>
                <c:pt idx="342">
                  <c:v>0.49854227405247814</c:v>
                </c:pt>
                <c:pt idx="343">
                  <c:v>0.49709302325581395</c:v>
                </c:pt>
                <c:pt idx="344">
                  <c:v>0.4956521739130435</c:v>
                </c:pt>
                <c:pt idx="345">
                  <c:v>0.49421965317919075</c:v>
                </c:pt>
                <c:pt idx="346">
                  <c:v>0.49279538904899134</c:v>
                </c:pt>
                <c:pt idx="347">
                  <c:v>0.4942528735632184</c:v>
                </c:pt>
                <c:pt idx="348">
                  <c:v>0.49283667621776506</c:v>
                </c:pt>
                <c:pt idx="349">
                  <c:v>0.49428571428571427</c:v>
                </c:pt>
                <c:pt idx="350">
                  <c:v>0.49572649572649574</c:v>
                </c:pt>
                <c:pt idx="351">
                  <c:v>0.49431818181818182</c:v>
                </c:pt>
                <c:pt idx="352">
                  <c:v>0.49291784702549574</c:v>
                </c:pt>
                <c:pt idx="353">
                  <c:v>0.49152542372881358</c:v>
                </c:pt>
                <c:pt idx="354">
                  <c:v>0.49014084507042255</c:v>
                </c:pt>
                <c:pt idx="355">
                  <c:v>0.49157303370786515</c:v>
                </c:pt>
                <c:pt idx="356">
                  <c:v>0.49019607843137253</c:v>
                </c:pt>
                <c:pt idx="357">
                  <c:v>0.48882681564245811</c:v>
                </c:pt>
                <c:pt idx="358">
                  <c:v>0.48746518105849584</c:v>
                </c:pt>
                <c:pt idx="359">
                  <c:v>0.4861111111111111</c:v>
                </c:pt>
                <c:pt idx="360">
                  <c:v>0.48753462603878117</c:v>
                </c:pt>
                <c:pt idx="361">
                  <c:v>0.4889502762430939</c:v>
                </c:pt>
                <c:pt idx="362">
                  <c:v>0.48760330578512395</c:v>
                </c:pt>
                <c:pt idx="363">
                  <c:v>0.48901098901098899</c:v>
                </c:pt>
                <c:pt idx="364">
                  <c:v>0.48767123287671232</c:v>
                </c:pt>
                <c:pt idx="365">
                  <c:v>0.48907103825136611</c:v>
                </c:pt>
                <c:pt idx="366">
                  <c:v>0.4877384196185286</c:v>
                </c:pt>
                <c:pt idx="367">
                  <c:v>0.4891304347826087</c:v>
                </c:pt>
                <c:pt idx="368">
                  <c:v>0.49051490514905149</c:v>
                </c:pt>
                <c:pt idx="369">
                  <c:v>0.48918918918918919</c:v>
                </c:pt>
                <c:pt idx="370">
                  <c:v>0.49056603773584906</c:v>
                </c:pt>
                <c:pt idx="371">
                  <c:v>0.489247311827957</c:v>
                </c:pt>
                <c:pt idx="372">
                  <c:v>0.48793565683646112</c:v>
                </c:pt>
                <c:pt idx="373">
                  <c:v>0.48930481283422461</c:v>
                </c:pt>
                <c:pt idx="374">
                  <c:v>0.48799999999999999</c:v>
                </c:pt>
                <c:pt idx="375">
                  <c:v>0.48670212765957449</c:v>
                </c:pt>
                <c:pt idx="376">
                  <c:v>0.48541114058355439</c:v>
                </c:pt>
                <c:pt idx="377">
                  <c:v>0.48677248677248675</c:v>
                </c:pt>
                <c:pt idx="378">
                  <c:v>0.48812664907651715</c:v>
                </c:pt>
                <c:pt idx="379">
                  <c:v>0.48684210526315791</c:v>
                </c:pt>
                <c:pt idx="380">
                  <c:v>0.48556430446194226</c:v>
                </c:pt>
                <c:pt idx="381">
                  <c:v>0.48691099476439792</c:v>
                </c:pt>
                <c:pt idx="382">
                  <c:v>0.48563968668407309</c:v>
                </c:pt>
                <c:pt idx="383">
                  <c:v>0.484375</c:v>
                </c:pt>
                <c:pt idx="384">
                  <c:v>0.48571428571428571</c:v>
                </c:pt>
                <c:pt idx="385">
                  <c:v>0.48704663212435234</c:v>
                </c:pt>
                <c:pt idx="386">
                  <c:v>0.48837209302325579</c:v>
                </c:pt>
                <c:pt idx="387">
                  <c:v>0.48969072164948452</c:v>
                </c:pt>
                <c:pt idx="388">
                  <c:v>0.4884318766066838</c:v>
                </c:pt>
                <c:pt idx="389">
                  <c:v>0.48974358974358972</c:v>
                </c:pt>
                <c:pt idx="390">
                  <c:v>0.48849104859335041</c:v>
                </c:pt>
                <c:pt idx="391">
                  <c:v>0.48979591836734693</c:v>
                </c:pt>
                <c:pt idx="392">
                  <c:v>0.48854961832061067</c:v>
                </c:pt>
                <c:pt idx="393">
                  <c:v>0.48984771573604063</c:v>
                </c:pt>
                <c:pt idx="394">
                  <c:v>0.48860759493670886</c:v>
                </c:pt>
                <c:pt idx="395">
                  <c:v>0.48989898989898989</c:v>
                </c:pt>
                <c:pt idx="396">
                  <c:v>0.48866498740554154</c:v>
                </c:pt>
                <c:pt idx="397">
                  <c:v>0.48743718592964824</c:v>
                </c:pt>
                <c:pt idx="398">
                  <c:v>0.48621553884711777</c:v>
                </c:pt>
                <c:pt idx="399">
                  <c:v>0.48499999999999999</c:v>
                </c:pt>
                <c:pt idx="400">
                  <c:v>0.48379052369077308</c:v>
                </c:pt>
                <c:pt idx="401">
                  <c:v>0.48258706467661694</c:v>
                </c:pt>
                <c:pt idx="402">
                  <c:v>0.4813895781637717</c:v>
                </c:pt>
                <c:pt idx="403">
                  <c:v>0.48267326732673266</c:v>
                </c:pt>
                <c:pt idx="404">
                  <c:v>0.48148148148148145</c:v>
                </c:pt>
                <c:pt idx="405">
                  <c:v>0.48275862068965519</c:v>
                </c:pt>
                <c:pt idx="406">
                  <c:v>0.48157248157248156</c:v>
                </c:pt>
                <c:pt idx="407">
                  <c:v>0.48039215686274511</c:v>
                </c:pt>
                <c:pt idx="408">
                  <c:v>0.48166259168704156</c:v>
                </c:pt>
                <c:pt idx="409">
                  <c:v>0.48048780487804876</c:v>
                </c:pt>
                <c:pt idx="410">
                  <c:v>0.47931873479318737</c:v>
                </c:pt>
                <c:pt idx="411">
                  <c:v>0.48058252427184467</c:v>
                </c:pt>
                <c:pt idx="412">
                  <c:v>0.47941888619854722</c:v>
                </c:pt>
                <c:pt idx="413">
                  <c:v>0.48067632850241548</c:v>
                </c:pt>
                <c:pt idx="414">
                  <c:v>0.48192771084337349</c:v>
                </c:pt>
                <c:pt idx="415">
                  <c:v>0.48076923076923078</c:v>
                </c:pt>
                <c:pt idx="416">
                  <c:v>0.48201438848920863</c:v>
                </c:pt>
                <c:pt idx="417">
                  <c:v>0.48086124401913877</c:v>
                </c:pt>
                <c:pt idx="418">
                  <c:v>0.47971360381861577</c:v>
                </c:pt>
                <c:pt idx="419">
                  <c:v>0.48095238095238096</c:v>
                </c:pt>
                <c:pt idx="420">
                  <c:v>0.47980997624703087</c:v>
                </c:pt>
                <c:pt idx="421">
                  <c:v>0.48104265402843605</c:v>
                </c:pt>
                <c:pt idx="422">
                  <c:v>0.47990543735224589</c:v>
                </c:pt>
                <c:pt idx="423">
                  <c:v>0.48113207547169812</c:v>
                </c:pt>
                <c:pt idx="424">
                  <c:v>0.48</c:v>
                </c:pt>
                <c:pt idx="425">
                  <c:v>0.47887323943661969</c:v>
                </c:pt>
                <c:pt idx="426">
                  <c:v>0.47775175644028101</c:v>
                </c:pt>
                <c:pt idx="427">
                  <c:v>0.47663551401869159</c:v>
                </c:pt>
                <c:pt idx="428">
                  <c:v>0.47785547785547783</c:v>
                </c:pt>
                <c:pt idx="429">
                  <c:v>0.47674418604651164</c:v>
                </c:pt>
                <c:pt idx="430">
                  <c:v>0.47563805104408352</c:v>
                </c:pt>
                <c:pt idx="431">
                  <c:v>0.47685185185185186</c:v>
                </c:pt>
                <c:pt idx="432">
                  <c:v>0.47575057736720555</c:v>
                </c:pt>
                <c:pt idx="433">
                  <c:v>0.47695852534562211</c:v>
                </c:pt>
                <c:pt idx="434">
                  <c:v>0.47816091954022988</c:v>
                </c:pt>
                <c:pt idx="435">
                  <c:v>0.47706422018348627</c:v>
                </c:pt>
                <c:pt idx="436">
                  <c:v>0.47826086956521741</c:v>
                </c:pt>
                <c:pt idx="437">
                  <c:v>0.47945205479452052</c:v>
                </c:pt>
                <c:pt idx="438">
                  <c:v>0.48063781321184512</c:v>
                </c:pt>
                <c:pt idx="439">
                  <c:v>0.48181818181818181</c:v>
                </c:pt>
                <c:pt idx="440">
                  <c:v>0.48072562358276644</c:v>
                </c:pt>
                <c:pt idx="441">
                  <c:v>0.47963800904977377</c:v>
                </c:pt>
                <c:pt idx="442">
                  <c:v>0.47855530474040631</c:v>
                </c:pt>
                <c:pt idx="443">
                  <c:v>0.47747747747747749</c:v>
                </c:pt>
                <c:pt idx="444">
                  <c:v>0.47865168539325842</c:v>
                </c:pt>
                <c:pt idx="445">
                  <c:v>0.47757847533632286</c:v>
                </c:pt>
                <c:pt idx="446">
                  <c:v>0.47874720357941836</c:v>
                </c:pt>
                <c:pt idx="447">
                  <c:v>0.47767857142857145</c:v>
                </c:pt>
                <c:pt idx="448">
                  <c:v>0.47661469933184858</c:v>
                </c:pt>
                <c:pt idx="449">
                  <c:v>0.4777777777777778</c:v>
                </c:pt>
                <c:pt idx="450">
                  <c:v>0.47671840354767187</c:v>
                </c:pt>
                <c:pt idx="451">
                  <c:v>0.47787610619469029</c:v>
                </c:pt>
                <c:pt idx="452">
                  <c:v>0.47902869757174393</c:v>
                </c:pt>
                <c:pt idx="453">
                  <c:v>0.47797356828193832</c:v>
                </c:pt>
                <c:pt idx="454">
                  <c:v>0.47692307692307695</c:v>
                </c:pt>
                <c:pt idx="455">
                  <c:v>0.47807017543859648</c:v>
                </c:pt>
                <c:pt idx="456">
                  <c:v>0.47921225382932164</c:v>
                </c:pt>
                <c:pt idx="457">
                  <c:v>0.47816593886462883</c:v>
                </c:pt>
                <c:pt idx="458">
                  <c:v>0.47930283224400871</c:v>
                </c:pt>
                <c:pt idx="459">
                  <c:v>0.47826086956521741</c:v>
                </c:pt>
                <c:pt idx="460">
                  <c:v>0.47722342733188722</c:v>
                </c:pt>
                <c:pt idx="461">
                  <c:v>0.47619047619047616</c:v>
                </c:pt>
                <c:pt idx="462">
                  <c:v>0.47516198704103674</c:v>
                </c:pt>
                <c:pt idx="463">
                  <c:v>0.47413793103448276</c:v>
                </c:pt>
                <c:pt idx="464">
                  <c:v>0.47526881720430109</c:v>
                </c:pt>
                <c:pt idx="465">
                  <c:v>0.47424892703862659</c:v>
                </c:pt>
                <c:pt idx="466">
                  <c:v>0.47537473233404709</c:v>
                </c:pt>
                <c:pt idx="467">
                  <c:v>0.47435897435897434</c:v>
                </c:pt>
                <c:pt idx="468">
                  <c:v>0.47547974413646055</c:v>
                </c:pt>
                <c:pt idx="469">
                  <c:v>0.474468085106383</c:v>
                </c:pt>
                <c:pt idx="470">
                  <c:v>0.47558386411889597</c:v>
                </c:pt>
                <c:pt idx="471">
                  <c:v>0.47669491525423729</c:v>
                </c:pt>
                <c:pt idx="472">
                  <c:v>0.47780126849894294</c:v>
                </c:pt>
                <c:pt idx="473">
                  <c:v>0.47890295358649787</c:v>
                </c:pt>
                <c:pt idx="474">
                  <c:v>0.47789473684210526</c:v>
                </c:pt>
                <c:pt idx="475">
                  <c:v>0.47899159663865548</c:v>
                </c:pt>
                <c:pt idx="476">
                  <c:v>0.48008385744234799</c:v>
                </c:pt>
                <c:pt idx="477">
                  <c:v>0.48117154811715479</c:v>
                </c:pt>
                <c:pt idx="478">
                  <c:v>0.4801670146137787</c:v>
                </c:pt>
                <c:pt idx="479">
                  <c:v>0.48125000000000001</c:v>
                </c:pt>
                <c:pt idx="480">
                  <c:v>0.48024948024948028</c:v>
                </c:pt>
                <c:pt idx="481">
                  <c:v>0.47925311203319504</c:v>
                </c:pt>
                <c:pt idx="482">
                  <c:v>0.48033126293995859</c:v>
                </c:pt>
                <c:pt idx="483">
                  <c:v>0.48140495867768596</c:v>
                </c:pt>
                <c:pt idx="484">
                  <c:v>0.48247422680412372</c:v>
                </c:pt>
                <c:pt idx="485">
                  <c:v>0.48353909465020578</c:v>
                </c:pt>
                <c:pt idx="486">
                  <c:v>0.48459958932238195</c:v>
                </c:pt>
                <c:pt idx="487">
                  <c:v>0.48565573770491804</c:v>
                </c:pt>
                <c:pt idx="488">
                  <c:v>0.48466257668711654</c:v>
                </c:pt>
                <c:pt idx="489">
                  <c:v>0.48367346938775513</c:v>
                </c:pt>
                <c:pt idx="490">
                  <c:v>0.48268839103869654</c:v>
                </c:pt>
                <c:pt idx="491">
                  <c:v>0.48373983739837401</c:v>
                </c:pt>
                <c:pt idx="492">
                  <c:v>0.48275862068965519</c:v>
                </c:pt>
                <c:pt idx="493">
                  <c:v>0.48178137651821862</c:v>
                </c:pt>
                <c:pt idx="494">
                  <c:v>0.4808080808080808</c:v>
                </c:pt>
                <c:pt idx="495">
                  <c:v>0.47983870967741937</c:v>
                </c:pt>
                <c:pt idx="496">
                  <c:v>0.48088531187122735</c:v>
                </c:pt>
                <c:pt idx="497">
                  <c:v>0.47991967871485941</c:v>
                </c:pt>
                <c:pt idx="498">
                  <c:v>0.47895791583166331</c:v>
                </c:pt>
                <c:pt idx="499">
                  <c:v>0.48</c:v>
                </c:pt>
                <c:pt idx="500">
                  <c:v>0.47904191616766467</c:v>
                </c:pt>
                <c:pt idx="501">
                  <c:v>0.48007968127490042</c:v>
                </c:pt>
                <c:pt idx="502">
                  <c:v>0.47912524850894633</c:v>
                </c:pt>
                <c:pt idx="503">
                  <c:v>0.48015873015873017</c:v>
                </c:pt>
                <c:pt idx="504">
                  <c:v>0.48118811881188117</c:v>
                </c:pt>
                <c:pt idx="505">
                  <c:v>0.48023715415019763</c:v>
                </c:pt>
                <c:pt idx="506">
                  <c:v>0.48126232741617359</c:v>
                </c:pt>
                <c:pt idx="507">
                  <c:v>0.48031496062992124</c:v>
                </c:pt>
                <c:pt idx="508">
                  <c:v>0.47937131630648327</c:v>
                </c:pt>
                <c:pt idx="509">
                  <c:v>0.47843137254901963</c:v>
                </c:pt>
                <c:pt idx="510">
                  <c:v>0.47945205479452052</c:v>
                </c:pt>
                <c:pt idx="511">
                  <c:v>0.48046875</c:v>
                </c:pt>
                <c:pt idx="512">
                  <c:v>0.48148148148148145</c:v>
                </c:pt>
                <c:pt idx="513">
                  <c:v>0.48249027237354086</c:v>
                </c:pt>
                <c:pt idx="514">
                  <c:v>0.48155339805825242</c:v>
                </c:pt>
                <c:pt idx="515">
                  <c:v>0.48255813953488375</c:v>
                </c:pt>
                <c:pt idx="516">
                  <c:v>0.48162475822050288</c:v>
                </c:pt>
                <c:pt idx="517">
                  <c:v>0.48069498069498068</c:v>
                </c:pt>
                <c:pt idx="518">
                  <c:v>0.48169556840077071</c:v>
                </c:pt>
                <c:pt idx="519">
                  <c:v>0.48076923076923078</c:v>
                </c:pt>
                <c:pt idx="520">
                  <c:v>0.47984644913627639</c:v>
                </c:pt>
                <c:pt idx="521">
                  <c:v>0.47892720306513409</c:v>
                </c:pt>
                <c:pt idx="522">
                  <c:v>0.47801147227533458</c:v>
                </c:pt>
                <c:pt idx="523">
                  <c:v>0.47709923664122139</c:v>
                </c:pt>
                <c:pt idx="524">
                  <c:v>0.47809523809523807</c:v>
                </c:pt>
                <c:pt idx="525">
                  <c:v>0.47718631178707227</c:v>
                </c:pt>
                <c:pt idx="526">
                  <c:v>0.47628083491461098</c:v>
                </c:pt>
                <c:pt idx="527">
                  <c:v>0.47727272727272729</c:v>
                </c:pt>
                <c:pt idx="528">
                  <c:v>0.47637051039697542</c:v>
                </c:pt>
                <c:pt idx="529">
                  <c:v>0.47547169811320755</c:v>
                </c:pt>
                <c:pt idx="530">
                  <c:v>0.47645951035781542</c:v>
                </c:pt>
                <c:pt idx="531">
                  <c:v>0.47744360902255639</c:v>
                </c:pt>
                <c:pt idx="532">
                  <c:v>0.47842401500938087</c:v>
                </c:pt>
                <c:pt idx="533">
                  <c:v>0.47940074906367042</c:v>
                </c:pt>
                <c:pt idx="534">
                  <c:v>0.48037383177570092</c:v>
                </c:pt>
                <c:pt idx="535">
                  <c:v>0.47947761194029853</c:v>
                </c:pt>
                <c:pt idx="536">
                  <c:v>0.47858472998137802</c:v>
                </c:pt>
                <c:pt idx="537">
                  <c:v>0.4795539033457249</c:v>
                </c:pt>
                <c:pt idx="538">
                  <c:v>0.48051948051948051</c:v>
                </c:pt>
                <c:pt idx="539">
                  <c:v>0.47962962962962963</c:v>
                </c:pt>
                <c:pt idx="540">
                  <c:v>0.48059149722735672</c:v>
                </c:pt>
                <c:pt idx="541">
                  <c:v>0.48154981549815495</c:v>
                </c:pt>
                <c:pt idx="542">
                  <c:v>0.48066298342541436</c:v>
                </c:pt>
                <c:pt idx="543">
                  <c:v>0.4797794117647059</c:v>
                </c:pt>
                <c:pt idx="544">
                  <c:v>0.48073394495412847</c:v>
                </c:pt>
                <c:pt idx="545">
                  <c:v>0.48168498168498169</c:v>
                </c:pt>
                <c:pt idx="546">
                  <c:v>0.48263254113345522</c:v>
                </c:pt>
                <c:pt idx="547">
                  <c:v>0.48357664233576642</c:v>
                </c:pt>
                <c:pt idx="548">
                  <c:v>0.48451730418943534</c:v>
                </c:pt>
                <c:pt idx="549">
                  <c:v>0.48545454545454547</c:v>
                </c:pt>
                <c:pt idx="550">
                  <c:v>0.48457350272232302</c:v>
                </c:pt>
                <c:pt idx="551">
                  <c:v>0.48369565217391303</c:v>
                </c:pt>
                <c:pt idx="552">
                  <c:v>0.48462929475587702</c:v>
                </c:pt>
                <c:pt idx="553">
                  <c:v>0.48555956678700363</c:v>
                </c:pt>
                <c:pt idx="554">
                  <c:v>0.48468468468468467</c:v>
                </c:pt>
                <c:pt idx="555">
                  <c:v>0.48561151079136688</c:v>
                </c:pt>
                <c:pt idx="556">
                  <c:v>0.48473967684021546</c:v>
                </c:pt>
                <c:pt idx="557">
                  <c:v>0.48566308243727596</c:v>
                </c:pt>
                <c:pt idx="558">
                  <c:v>0.48479427549194992</c:v>
                </c:pt>
                <c:pt idx="559">
                  <c:v>0.48392857142857143</c:v>
                </c:pt>
                <c:pt idx="560">
                  <c:v>0.48484848484848486</c:v>
                </c:pt>
                <c:pt idx="561">
                  <c:v>0.48398576512455516</c:v>
                </c:pt>
                <c:pt idx="562">
                  <c:v>0.48312611012433393</c:v>
                </c:pt>
                <c:pt idx="563">
                  <c:v>0.48404255319148937</c:v>
                </c:pt>
                <c:pt idx="564">
                  <c:v>0.4849557522123894</c:v>
                </c:pt>
                <c:pt idx="565">
                  <c:v>0.48409893992932862</c:v>
                </c:pt>
                <c:pt idx="566">
                  <c:v>0.48500881834215165</c:v>
                </c:pt>
                <c:pt idx="567">
                  <c:v>0.48415492957746481</c:v>
                </c:pt>
                <c:pt idx="568">
                  <c:v>0.48506151142355008</c:v>
                </c:pt>
                <c:pt idx="569">
                  <c:v>0.48421052631578948</c:v>
                </c:pt>
                <c:pt idx="570">
                  <c:v>0.48336252189141854</c:v>
                </c:pt>
                <c:pt idx="571">
                  <c:v>0.48426573426573427</c:v>
                </c:pt>
                <c:pt idx="572">
                  <c:v>0.48342059336823734</c:v>
                </c:pt>
                <c:pt idx="573">
                  <c:v>0.48257839721254353</c:v>
                </c:pt>
                <c:pt idx="574">
                  <c:v>0.48347826086956519</c:v>
                </c:pt>
                <c:pt idx="575">
                  <c:v>0.484375</c:v>
                </c:pt>
                <c:pt idx="576">
                  <c:v>0.48526863084922012</c:v>
                </c:pt>
                <c:pt idx="577">
                  <c:v>0.48615916955017302</c:v>
                </c:pt>
                <c:pt idx="578">
                  <c:v>0.48531951640759929</c:v>
                </c:pt>
                <c:pt idx="579">
                  <c:v>0.48620689655172411</c:v>
                </c:pt>
                <c:pt idx="580">
                  <c:v>0.48537005163511188</c:v>
                </c:pt>
                <c:pt idx="581">
                  <c:v>0.4845360824742268</c:v>
                </c:pt>
                <c:pt idx="582">
                  <c:v>0.483704974271012</c:v>
                </c:pt>
                <c:pt idx="583">
                  <c:v>0.4845890410958904</c:v>
                </c:pt>
                <c:pt idx="584">
                  <c:v>0.48376068376068376</c:v>
                </c:pt>
                <c:pt idx="585">
                  <c:v>0.48293515358361777</c:v>
                </c:pt>
                <c:pt idx="586">
                  <c:v>0.48381601362862009</c:v>
                </c:pt>
                <c:pt idx="587">
                  <c:v>0.48299319727891155</c:v>
                </c:pt>
                <c:pt idx="588">
                  <c:v>0.48217317487266553</c:v>
                </c:pt>
                <c:pt idx="589">
                  <c:v>0.48135593220338985</c:v>
                </c:pt>
                <c:pt idx="590">
                  <c:v>0.48054145516074448</c:v>
                </c:pt>
                <c:pt idx="591">
                  <c:v>0.47972972972972971</c:v>
                </c:pt>
                <c:pt idx="592">
                  <c:v>0.47892074198988194</c:v>
                </c:pt>
                <c:pt idx="593">
                  <c:v>0.47979797979797978</c:v>
                </c:pt>
                <c:pt idx="594">
                  <c:v>0.48067226890756304</c:v>
                </c:pt>
                <c:pt idx="595">
                  <c:v>0.48154362416107382</c:v>
                </c:pt>
                <c:pt idx="596">
                  <c:v>0.48073701842546063</c:v>
                </c:pt>
                <c:pt idx="597">
                  <c:v>0.47993311036789299</c:v>
                </c:pt>
                <c:pt idx="598">
                  <c:v>0.47913188647746241</c:v>
                </c:pt>
                <c:pt idx="599">
                  <c:v>0.48</c:v>
                </c:pt>
                <c:pt idx="600">
                  <c:v>0.47920133111480867</c:v>
                </c:pt>
                <c:pt idx="601">
                  <c:v>0.48006644518272423</c:v>
                </c:pt>
                <c:pt idx="602">
                  <c:v>0.4792703150912106</c:v>
                </c:pt>
                <c:pt idx="603">
                  <c:v>0.48013245033112584</c:v>
                </c:pt>
                <c:pt idx="604">
                  <c:v>0.4809917355371901</c:v>
                </c:pt>
                <c:pt idx="605">
                  <c:v>0.48184818481848185</c:v>
                </c:pt>
                <c:pt idx="606">
                  <c:v>0.48270181219110381</c:v>
                </c:pt>
                <c:pt idx="607">
                  <c:v>0.48355263157894735</c:v>
                </c:pt>
                <c:pt idx="608">
                  <c:v>0.48440065681444994</c:v>
                </c:pt>
                <c:pt idx="609">
                  <c:v>0.48524590163934428</c:v>
                </c:pt>
                <c:pt idx="610">
                  <c:v>0.48445171849427171</c:v>
                </c:pt>
                <c:pt idx="611">
                  <c:v>0.48529411764705882</c:v>
                </c:pt>
                <c:pt idx="612">
                  <c:v>0.48613376835236544</c:v>
                </c:pt>
                <c:pt idx="613">
                  <c:v>0.48697068403908794</c:v>
                </c:pt>
                <c:pt idx="614">
                  <c:v>0.48617886178861791</c:v>
                </c:pt>
                <c:pt idx="615">
                  <c:v>0.48701298701298701</c:v>
                </c:pt>
                <c:pt idx="616">
                  <c:v>0.4878444084278768</c:v>
                </c:pt>
                <c:pt idx="617">
                  <c:v>0.48867313915857608</c:v>
                </c:pt>
                <c:pt idx="618">
                  <c:v>0.48949919224555732</c:v>
                </c:pt>
                <c:pt idx="619">
                  <c:v>0.48870967741935484</c:v>
                </c:pt>
                <c:pt idx="620">
                  <c:v>0.48953301127214172</c:v>
                </c:pt>
                <c:pt idx="621">
                  <c:v>0.49035369774919613</c:v>
                </c:pt>
                <c:pt idx="622">
                  <c:v>0.4895666131621188</c:v>
                </c:pt>
                <c:pt idx="623">
                  <c:v>0.49038461538461536</c:v>
                </c:pt>
                <c:pt idx="624">
                  <c:v>0.49120000000000003</c:v>
                </c:pt>
                <c:pt idx="625">
                  <c:v>0.49041533546325877</c:v>
                </c:pt>
                <c:pt idx="626">
                  <c:v>0.49122807017543857</c:v>
                </c:pt>
                <c:pt idx="627">
                  <c:v>0.49044585987261147</c:v>
                </c:pt>
                <c:pt idx="628">
                  <c:v>0.49125596184419712</c:v>
                </c:pt>
                <c:pt idx="629">
                  <c:v>0.49206349206349204</c:v>
                </c:pt>
                <c:pt idx="630">
                  <c:v>0.49286846275752771</c:v>
                </c:pt>
                <c:pt idx="631">
                  <c:v>0.49367088607594939</c:v>
                </c:pt>
                <c:pt idx="632">
                  <c:v>0.49289099526066349</c:v>
                </c:pt>
                <c:pt idx="633">
                  <c:v>0.49211356466876971</c:v>
                </c:pt>
                <c:pt idx="634">
                  <c:v>0.49291338582677163</c:v>
                </c:pt>
                <c:pt idx="635">
                  <c:v>0.49213836477987422</c:v>
                </c:pt>
                <c:pt idx="636">
                  <c:v>0.49293563579277866</c:v>
                </c:pt>
                <c:pt idx="637">
                  <c:v>0.49373040752351099</c:v>
                </c:pt>
                <c:pt idx="638">
                  <c:v>0.49295774647887325</c:v>
                </c:pt>
                <c:pt idx="639">
                  <c:v>0.4921875</c:v>
                </c:pt>
                <c:pt idx="640">
                  <c:v>0.49297971918876754</c:v>
                </c:pt>
                <c:pt idx="641">
                  <c:v>0.49221183800623053</c:v>
                </c:pt>
                <c:pt idx="642">
                  <c:v>0.49144634525660963</c:v>
                </c:pt>
                <c:pt idx="643">
                  <c:v>0.49223602484472051</c:v>
                </c:pt>
                <c:pt idx="644">
                  <c:v>0.49302325581395351</c:v>
                </c:pt>
                <c:pt idx="645">
                  <c:v>0.4938080495356037</c:v>
                </c:pt>
                <c:pt idx="646">
                  <c:v>0.49459041731066461</c:v>
                </c:pt>
                <c:pt idx="647">
                  <c:v>0.49537037037037035</c:v>
                </c:pt>
                <c:pt idx="648">
                  <c:v>0.49460708782742679</c:v>
                </c:pt>
                <c:pt idx="649">
                  <c:v>0.49384615384615382</c:v>
                </c:pt>
                <c:pt idx="650">
                  <c:v>0.49308755760368661</c:v>
                </c:pt>
                <c:pt idx="651">
                  <c:v>0.49233128834355827</c:v>
                </c:pt>
                <c:pt idx="652">
                  <c:v>0.49310872894333846</c:v>
                </c:pt>
                <c:pt idx="653">
                  <c:v>0.49388379204892968</c:v>
                </c:pt>
                <c:pt idx="654">
                  <c:v>0.4946564885496183</c:v>
                </c:pt>
                <c:pt idx="655">
                  <c:v>0.49542682926829268</c:v>
                </c:pt>
                <c:pt idx="656">
                  <c:v>0.49467275494672752</c:v>
                </c:pt>
                <c:pt idx="657">
                  <c:v>0.4939209726443769</c:v>
                </c:pt>
                <c:pt idx="658">
                  <c:v>0.49468892261001518</c:v>
                </c:pt>
                <c:pt idx="659">
                  <c:v>0.49393939393939396</c:v>
                </c:pt>
                <c:pt idx="660">
                  <c:v>0.49470499243570348</c:v>
                </c:pt>
                <c:pt idx="661">
                  <c:v>0.49546827794561932</c:v>
                </c:pt>
                <c:pt idx="662">
                  <c:v>0.4962292609351433</c:v>
                </c:pt>
                <c:pt idx="663">
                  <c:v>0.49698795180722893</c:v>
                </c:pt>
                <c:pt idx="664">
                  <c:v>0.49774436090225566</c:v>
                </c:pt>
                <c:pt idx="665">
                  <c:v>0.49849849849849848</c:v>
                </c:pt>
                <c:pt idx="666">
                  <c:v>0.49775112443778113</c:v>
                </c:pt>
                <c:pt idx="667">
                  <c:v>0.49700598802395207</c:v>
                </c:pt>
                <c:pt idx="668">
                  <c:v>0.49775784753363228</c:v>
                </c:pt>
                <c:pt idx="669">
                  <c:v>0.49850746268656715</c:v>
                </c:pt>
                <c:pt idx="670">
                  <c:v>0.49925484351713861</c:v>
                </c:pt>
                <c:pt idx="671">
                  <c:v>0.5</c:v>
                </c:pt>
                <c:pt idx="672">
                  <c:v>0.50074294205052006</c:v>
                </c:pt>
                <c:pt idx="673">
                  <c:v>0.50148367952522255</c:v>
                </c:pt>
                <c:pt idx="674">
                  <c:v>0.50074074074074071</c:v>
                </c:pt>
                <c:pt idx="675">
                  <c:v>0.50147928994082835</c:v>
                </c:pt>
                <c:pt idx="676">
                  <c:v>0.50073855243722309</c:v>
                </c:pt>
                <c:pt idx="677">
                  <c:v>0.5</c:v>
                </c:pt>
                <c:pt idx="678">
                  <c:v>0.49926362297496318</c:v>
                </c:pt>
                <c:pt idx="679">
                  <c:v>0.5</c:v>
                </c:pt>
                <c:pt idx="680">
                  <c:v>0.49926578560939794</c:v>
                </c:pt>
                <c:pt idx="681">
                  <c:v>0.5</c:v>
                </c:pt>
                <c:pt idx="682">
                  <c:v>0.49926793557833088</c:v>
                </c:pt>
                <c:pt idx="683">
                  <c:v>0.49853801169590645</c:v>
                </c:pt>
                <c:pt idx="684">
                  <c:v>0.49781021897810218</c:v>
                </c:pt>
                <c:pt idx="685">
                  <c:v>0.49708454810495628</c:v>
                </c:pt>
                <c:pt idx="686">
                  <c:v>0.49781659388646288</c:v>
                </c:pt>
                <c:pt idx="687">
                  <c:v>0.49709302325581395</c:v>
                </c:pt>
                <c:pt idx="688">
                  <c:v>0.49637155297532654</c:v>
                </c:pt>
                <c:pt idx="689">
                  <c:v>0.4956521739130435</c:v>
                </c:pt>
                <c:pt idx="690">
                  <c:v>0.49638205499276411</c:v>
                </c:pt>
                <c:pt idx="691">
                  <c:v>0.49566473988439308</c:v>
                </c:pt>
                <c:pt idx="692">
                  <c:v>0.49639249639249639</c:v>
                </c:pt>
                <c:pt idx="693">
                  <c:v>0.49567723342939479</c:v>
                </c:pt>
                <c:pt idx="694">
                  <c:v>0.49496402877697843</c:v>
                </c:pt>
                <c:pt idx="695">
                  <c:v>0.49568965517241381</c:v>
                </c:pt>
                <c:pt idx="696">
                  <c:v>0.4964131994261119</c:v>
                </c:pt>
                <c:pt idx="697">
                  <c:v>0.49713467048710602</c:v>
                </c:pt>
                <c:pt idx="698">
                  <c:v>0.49642346208869814</c:v>
                </c:pt>
                <c:pt idx="699">
                  <c:v>0.49571428571428572</c:v>
                </c:pt>
                <c:pt idx="700">
                  <c:v>0.49643366619115548</c:v>
                </c:pt>
                <c:pt idx="701">
                  <c:v>0.49715099715099714</c:v>
                </c:pt>
                <c:pt idx="702">
                  <c:v>0.49644381223328593</c:v>
                </c:pt>
                <c:pt idx="703">
                  <c:v>0.49573863636363635</c:v>
                </c:pt>
                <c:pt idx="704">
                  <c:v>0.49503546099290779</c:v>
                </c:pt>
                <c:pt idx="705">
                  <c:v>0.49575070821529743</c:v>
                </c:pt>
                <c:pt idx="706">
                  <c:v>0.49646393210749645</c:v>
                </c:pt>
                <c:pt idx="707">
                  <c:v>0.49576271186440679</c:v>
                </c:pt>
                <c:pt idx="708">
                  <c:v>0.49647390691114246</c:v>
                </c:pt>
                <c:pt idx="709">
                  <c:v>0.49577464788732395</c:v>
                </c:pt>
                <c:pt idx="710">
                  <c:v>0.49648382559774967</c:v>
                </c:pt>
                <c:pt idx="711">
                  <c:v>0.49719101123595505</c:v>
                </c:pt>
                <c:pt idx="712">
                  <c:v>0.49789621318373073</c:v>
                </c:pt>
                <c:pt idx="713">
                  <c:v>0.49859943977591037</c:v>
                </c:pt>
                <c:pt idx="714">
                  <c:v>0.49790209790209788</c:v>
                </c:pt>
                <c:pt idx="715">
                  <c:v>0.4972067039106145</c:v>
                </c:pt>
                <c:pt idx="716">
                  <c:v>0.49651324965132498</c:v>
                </c:pt>
                <c:pt idx="717">
                  <c:v>0.49721448467966572</c:v>
                </c:pt>
                <c:pt idx="718">
                  <c:v>0.49652294853963841</c:v>
                </c:pt>
                <c:pt idx="719">
                  <c:v>0.49722222222222223</c:v>
                </c:pt>
                <c:pt idx="720">
                  <c:v>0.49653259361997226</c:v>
                </c:pt>
                <c:pt idx="721">
                  <c:v>0.49722991689750695</c:v>
                </c:pt>
                <c:pt idx="722">
                  <c:v>0.49654218533886585</c:v>
                </c:pt>
                <c:pt idx="723">
                  <c:v>0.49723756906077349</c:v>
                </c:pt>
                <c:pt idx="724">
                  <c:v>0.49655172413793103</c:v>
                </c:pt>
                <c:pt idx="725">
                  <c:v>0.49724517906336091</c:v>
                </c:pt>
                <c:pt idx="726">
                  <c:v>0.49656121045392021</c:v>
                </c:pt>
                <c:pt idx="727">
                  <c:v>0.49587912087912089</c:v>
                </c:pt>
                <c:pt idx="728">
                  <c:v>0.49657064471879286</c:v>
                </c:pt>
                <c:pt idx="729">
                  <c:v>0.49589041095890413</c:v>
                </c:pt>
                <c:pt idx="730">
                  <c:v>0.49521203830369359</c:v>
                </c:pt>
                <c:pt idx="731">
                  <c:v>0.49590163934426229</c:v>
                </c:pt>
                <c:pt idx="732">
                  <c:v>0.495225102319236</c:v>
                </c:pt>
                <c:pt idx="733">
                  <c:v>0.49591280653950953</c:v>
                </c:pt>
                <c:pt idx="734">
                  <c:v>0.49523809523809526</c:v>
                </c:pt>
                <c:pt idx="735">
                  <c:v>0.49592391304347827</c:v>
                </c:pt>
                <c:pt idx="736">
                  <c:v>0.49525101763907736</c:v>
                </c:pt>
                <c:pt idx="737">
                  <c:v>0.49457994579945802</c:v>
                </c:pt>
                <c:pt idx="738">
                  <c:v>0.49526387009472261</c:v>
                </c:pt>
                <c:pt idx="739">
                  <c:v>0.49459459459459459</c:v>
                </c:pt>
                <c:pt idx="740">
                  <c:v>0.49392712550607287</c:v>
                </c:pt>
                <c:pt idx="741">
                  <c:v>0.49326145552560646</c:v>
                </c:pt>
                <c:pt idx="742">
                  <c:v>0.4939434724091521</c:v>
                </c:pt>
                <c:pt idx="743">
                  <c:v>0.49327956989247312</c:v>
                </c:pt>
                <c:pt idx="744">
                  <c:v>0.49395973154362416</c:v>
                </c:pt>
                <c:pt idx="745">
                  <c:v>0.49329758713136729</c:v>
                </c:pt>
                <c:pt idx="746">
                  <c:v>0.49397590361445781</c:v>
                </c:pt>
                <c:pt idx="747">
                  <c:v>0.49331550802139035</c:v>
                </c:pt>
                <c:pt idx="748">
                  <c:v>0.49399198931909211</c:v>
                </c:pt>
                <c:pt idx="749">
                  <c:v>0.49333333333333335</c:v>
                </c:pt>
                <c:pt idx="750">
                  <c:v>0.49267643142476697</c:v>
                </c:pt>
                <c:pt idx="751">
                  <c:v>0.49335106382978722</c:v>
                </c:pt>
                <c:pt idx="752">
                  <c:v>0.49269588313413015</c:v>
                </c:pt>
                <c:pt idx="753">
                  <c:v>0.49204244031830241</c:v>
                </c:pt>
                <c:pt idx="754">
                  <c:v>0.49139072847682119</c:v>
                </c:pt>
                <c:pt idx="755">
                  <c:v>0.49206349206349204</c:v>
                </c:pt>
                <c:pt idx="756">
                  <c:v>0.4914134742404227</c:v>
                </c:pt>
                <c:pt idx="757">
                  <c:v>0.4920844327176781</c:v>
                </c:pt>
                <c:pt idx="758">
                  <c:v>0.49143610013175232</c:v>
                </c:pt>
                <c:pt idx="759">
                  <c:v>0.49078947368421055</c:v>
                </c:pt>
                <c:pt idx="760">
                  <c:v>0.49145860709592643</c:v>
                </c:pt>
                <c:pt idx="761">
                  <c:v>0.49212598425196852</c:v>
                </c:pt>
                <c:pt idx="762">
                  <c:v>0.49279161205766708</c:v>
                </c:pt>
                <c:pt idx="763">
                  <c:v>0.49214659685863876</c:v>
                </c:pt>
                <c:pt idx="764">
                  <c:v>0.49281045751633989</c:v>
                </c:pt>
                <c:pt idx="765">
                  <c:v>0.49347258485639689</c:v>
                </c:pt>
                <c:pt idx="766">
                  <c:v>0.49413298565840941</c:v>
                </c:pt>
                <c:pt idx="767">
                  <c:v>0.49479166666666669</c:v>
                </c:pt>
                <c:pt idx="768">
                  <c:v>0.49414824447334199</c:v>
                </c:pt>
                <c:pt idx="769">
                  <c:v>0.4935064935064935</c:v>
                </c:pt>
                <c:pt idx="770">
                  <c:v>0.49416342412451364</c:v>
                </c:pt>
                <c:pt idx="771">
                  <c:v>0.49481865284974091</c:v>
                </c:pt>
                <c:pt idx="772">
                  <c:v>0.49547218628719275</c:v>
                </c:pt>
                <c:pt idx="773">
                  <c:v>0.49483204134366926</c:v>
                </c:pt>
                <c:pt idx="774">
                  <c:v>0.49548387096774194</c:v>
                </c:pt>
                <c:pt idx="775">
                  <c:v>0.49613402061855671</c:v>
                </c:pt>
                <c:pt idx="776">
                  <c:v>0.49678249678249681</c:v>
                </c:pt>
                <c:pt idx="777">
                  <c:v>0.49742930591259638</c:v>
                </c:pt>
                <c:pt idx="778">
                  <c:v>0.496790757381258</c:v>
                </c:pt>
                <c:pt idx="779">
                  <c:v>0.49743589743589745</c:v>
                </c:pt>
                <c:pt idx="780">
                  <c:v>0.49679897567221509</c:v>
                </c:pt>
                <c:pt idx="781">
                  <c:v>0.49616368286445012</c:v>
                </c:pt>
                <c:pt idx="782">
                  <c:v>0.49680715197956576</c:v>
                </c:pt>
                <c:pt idx="783">
                  <c:v>0.49617346938775508</c:v>
                </c:pt>
                <c:pt idx="784">
                  <c:v>0.49681528662420382</c:v>
                </c:pt>
                <c:pt idx="785">
                  <c:v>0.49745547073791346</c:v>
                </c:pt>
                <c:pt idx="786">
                  <c:v>0.49682337992376113</c:v>
                </c:pt>
                <c:pt idx="787">
                  <c:v>0.49746192893401014</c:v>
                </c:pt>
                <c:pt idx="788">
                  <c:v>0.49683143219264891</c:v>
                </c:pt>
                <c:pt idx="789">
                  <c:v>0.49746835443037973</c:v>
                </c:pt>
                <c:pt idx="790">
                  <c:v>0.49810366624525915</c:v>
                </c:pt>
                <c:pt idx="791">
                  <c:v>0.49747474747474746</c:v>
                </c:pt>
                <c:pt idx="792">
                  <c:v>0.49810844892812106</c:v>
                </c:pt>
                <c:pt idx="793">
                  <c:v>0.4987405541561713</c:v>
                </c:pt>
                <c:pt idx="794">
                  <c:v>0.49811320754716981</c:v>
                </c:pt>
                <c:pt idx="795">
                  <c:v>0.49748743718592964</c:v>
                </c:pt>
                <c:pt idx="796">
                  <c:v>0.49811794228356338</c:v>
                </c:pt>
                <c:pt idx="797">
                  <c:v>0.49874686716791977</c:v>
                </c:pt>
                <c:pt idx="798">
                  <c:v>0.49937421777221525</c:v>
                </c:pt>
                <c:pt idx="799">
                  <c:v>0.49875000000000003</c:v>
                </c:pt>
                <c:pt idx="800">
                  <c:v>0.49812734082397003</c:v>
                </c:pt>
                <c:pt idx="801">
                  <c:v>0.49875311720698257</c:v>
                </c:pt>
                <c:pt idx="802">
                  <c:v>0.49813200498132004</c:v>
                </c:pt>
                <c:pt idx="803">
                  <c:v>0.49875621890547261</c:v>
                </c:pt>
                <c:pt idx="804">
                  <c:v>0.49937888198757763</c:v>
                </c:pt>
                <c:pt idx="805">
                  <c:v>0.4987593052109181</c:v>
                </c:pt>
                <c:pt idx="806">
                  <c:v>0.49938042131350679</c:v>
                </c:pt>
                <c:pt idx="807">
                  <c:v>0.49876237623762376</c:v>
                </c:pt>
                <c:pt idx="808">
                  <c:v>0.49938195302843014</c:v>
                </c:pt>
                <c:pt idx="809">
                  <c:v>0.5</c:v>
                </c:pt>
                <c:pt idx="810">
                  <c:v>0.50061652281134406</c:v>
                </c:pt>
                <c:pt idx="811">
                  <c:v>0.50123152709359609</c:v>
                </c:pt>
                <c:pt idx="812">
                  <c:v>0.50061500615006149</c:v>
                </c:pt>
                <c:pt idx="813">
                  <c:v>0.5</c:v>
                </c:pt>
                <c:pt idx="814">
                  <c:v>0.49938650306748467</c:v>
                </c:pt>
                <c:pt idx="815">
                  <c:v>0.5</c:v>
                </c:pt>
                <c:pt idx="816">
                  <c:v>0.49938800489596086</c:v>
                </c:pt>
                <c:pt idx="817">
                  <c:v>0.49877750611246946</c:v>
                </c:pt>
                <c:pt idx="818">
                  <c:v>0.49938949938949939</c:v>
                </c:pt>
                <c:pt idx="819">
                  <c:v>0.5</c:v>
                </c:pt>
                <c:pt idx="820">
                  <c:v>0.50060901339829478</c:v>
                </c:pt>
                <c:pt idx="821">
                  <c:v>0.5012165450121655</c:v>
                </c:pt>
                <c:pt idx="822">
                  <c:v>0.50060753341433784</c:v>
                </c:pt>
                <c:pt idx="823">
                  <c:v>0.5</c:v>
                </c:pt>
                <c:pt idx="824">
                  <c:v>0.50060606060606061</c:v>
                </c:pt>
                <c:pt idx="825">
                  <c:v>0.5</c:v>
                </c:pt>
                <c:pt idx="826">
                  <c:v>0.49939540507859737</c:v>
                </c:pt>
                <c:pt idx="827">
                  <c:v>0.49879227053140096</c:v>
                </c:pt>
                <c:pt idx="828">
                  <c:v>0.49819059107358266</c:v>
                </c:pt>
                <c:pt idx="829">
                  <c:v>0.49759036144578311</c:v>
                </c:pt>
                <c:pt idx="830">
                  <c:v>0.49819494584837543</c:v>
                </c:pt>
                <c:pt idx="831">
                  <c:v>0.49879807692307693</c:v>
                </c:pt>
                <c:pt idx="832">
                  <c:v>0.49819927971188477</c:v>
                </c:pt>
                <c:pt idx="833">
                  <c:v>0.49880095923261392</c:v>
                </c:pt>
                <c:pt idx="834">
                  <c:v>0.49820359281437127</c:v>
                </c:pt>
                <c:pt idx="835">
                  <c:v>0.49880382775119619</c:v>
                </c:pt>
                <c:pt idx="836">
                  <c:v>0.49940262843488648</c:v>
                </c:pt>
                <c:pt idx="837">
                  <c:v>0.5</c:v>
                </c:pt>
                <c:pt idx="838">
                  <c:v>0.49940405244338498</c:v>
                </c:pt>
                <c:pt idx="839">
                  <c:v>0.49880952380952381</c:v>
                </c:pt>
                <c:pt idx="840">
                  <c:v>0.49821640903686087</c:v>
                </c:pt>
                <c:pt idx="841">
                  <c:v>0.49762470308788598</c:v>
                </c:pt>
                <c:pt idx="842">
                  <c:v>0.49822064056939502</c:v>
                </c:pt>
                <c:pt idx="843">
                  <c:v>0.49763033175355448</c:v>
                </c:pt>
                <c:pt idx="844">
                  <c:v>0.49822485207100592</c:v>
                </c:pt>
                <c:pt idx="845">
                  <c:v>0.49763593380614657</c:v>
                </c:pt>
                <c:pt idx="846">
                  <c:v>0.49822904368358911</c:v>
                </c:pt>
                <c:pt idx="847">
                  <c:v>0.49882075471698112</c:v>
                </c:pt>
                <c:pt idx="848">
                  <c:v>0.49823321554770317</c:v>
                </c:pt>
                <c:pt idx="849">
                  <c:v>0.49764705882352939</c:v>
                </c:pt>
                <c:pt idx="850">
                  <c:v>0.49823736780258521</c:v>
                </c:pt>
                <c:pt idx="851">
                  <c:v>0.49765258215962443</c:v>
                </c:pt>
                <c:pt idx="852">
                  <c:v>0.49706916764361081</c:v>
                </c:pt>
                <c:pt idx="853">
                  <c:v>0.49648711943793911</c:v>
                </c:pt>
                <c:pt idx="854">
                  <c:v>0.49707602339181284</c:v>
                </c:pt>
                <c:pt idx="855">
                  <c:v>0.49649532710280375</c:v>
                </c:pt>
                <c:pt idx="856">
                  <c:v>0.49708284714119022</c:v>
                </c:pt>
                <c:pt idx="857">
                  <c:v>0.49650349650349651</c:v>
                </c:pt>
                <c:pt idx="858">
                  <c:v>0.49708963911525028</c:v>
                </c:pt>
                <c:pt idx="859">
                  <c:v>0.49651162790697673</c:v>
                </c:pt>
                <c:pt idx="860">
                  <c:v>0.49593495934959347</c:v>
                </c:pt>
                <c:pt idx="861">
                  <c:v>0.49651972157772623</c:v>
                </c:pt>
                <c:pt idx="862">
                  <c:v>0.4959443800695249</c:v>
                </c:pt>
                <c:pt idx="863">
                  <c:v>0.49537037037037035</c:v>
                </c:pt>
                <c:pt idx="864">
                  <c:v>0.49479768786127165</c:v>
                </c:pt>
                <c:pt idx="865">
                  <c:v>0.49422632794457277</c:v>
                </c:pt>
                <c:pt idx="866">
                  <c:v>0.49365628604382927</c:v>
                </c:pt>
                <c:pt idx="867">
                  <c:v>0.49423963133640553</c:v>
                </c:pt>
                <c:pt idx="868">
                  <c:v>0.49482163406214041</c:v>
                </c:pt>
                <c:pt idx="869">
                  <c:v>0.4942528735632184</c:v>
                </c:pt>
                <c:pt idx="870">
                  <c:v>0.49483352468427094</c:v>
                </c:pt>
                <c:pt idx="871">
                  <c:v>0.49426605504587157</c:v>
                </c:pt>
                <c:pt idx="872">
                  <c:v>0.49369988545246279</c:v>
                </c:pt>
                <c:pt idx="873">
                  <c:v>0.49313501144164762</c:v>
                </c:pt>
                <c:pt idx="874">
                  <c:v>0.49257142857142855</c:v>
                </c:pt>
                <c:pt idx="875">
                  <c:v>0.49200913242009131</c:v>
                </c:pt>
                <c:pt idx="876">
                  <c:v>0.49144811858608894</c:v>
                </c:pt>
                <c:pt idx="877">
                  <c:v>0.49088838268792712</c:v>
                </c:pt>
                <c:pt idx="878">
                  <c:v>0.49146757679180886</c:v>
                </c:pt>
                <c:pt idx="879">
                  <c:v>0.49090909090909091</c:v>
                </c:pt>
                <c:pt idx="880">
                  <c:v>0.49148694665153236</c:v>
                </c:pt>
                <c:pt idx="881">
                  <c:v>0.49092970521541951</c:v>
                </c:pt>
                <c:pt idx="882">
                  <c:v>0.49037372593431483</c:v>
                </c:pt>
                <c:pt idx="883">
                  <c:v>0.48981900452488686</c:v>
                </c:pt>
                <c:pt idx="884">
                  <c:v>0.49039548022598872</c:v>
                </c:pt>
                <c:pt idx="885">
                  <c:v>0.49097065462753953</c:v>
                </c:pt>
                <c:pt idx="886">
                  <c:v>0.4904171364148816</c:v>
                </c:pt>
                <c:pt idx="887">
                  <c:v>0.49099099099099097</c:v>
                </c:pt>
                <c:pt idx="888">
                  <c:v>0.49156355455568052</c:v>
                </c:pt>
                <c:pt idx="889">
                  <c:v>0.49213483146067416</c:v>
                </c:pt>
                <c:pt idx="890">
                  <c:v>0.49270482603815935</c:v>
                </c:pt>
                <c:pt idx="891">
                  <c:v>0.49215246636771298</c:v>
                </c:pt>
                <c:pt idx="892">
                  <c:v>0.49160134378499443</c:v>
                </c:pt>
                <c:pt idx="893">
                  <c:v>0.49217002237136465</c:v>
                </c:pt>
                <c:pt idx="894">
                  <c:v>0.49162011173184356</c:v>
                </c:pt>
                <c:pt idx="895">
                  <c:v>0.49107142857142855</c:v>
                </c:pt>
                <c:pt idx="896">
                  <c:v>0.49052396878483834</c:v>
                </c:pt>
                <c:pt idx="897">
                  <c:v>0.49109131403118039</c:v>
                </c:pt>
                <c:pt idx="898">
                  <c:v>0.49165739710789769</c:v>
                </c:pt>
                <c:pt idx="899">
                  <c:v>0.49222222222222223</c:v>
                </c:pt>
                <c:pt idx="900">
                  <c:v>0.49167591564927859</c:v>
                </c:pt>
                <c:pt idx="901">
                  <c:v>0.4911308203991131</c:v>
                </c:pt>
                <c:pt idx="902">
                  <c:v>0.49058693244739754</c:v>
                </c:pt>
                <c:pt idx="903">
                  <c:v>0.49004424778761063</c:v>
                </c:pt>
                <c:pt idx="904">
                  <c:v>0.49060773480662984</c:v>
                </c:pt>
                <c:pt idx="905">
                  <c:v>0.49006622516556292</c:v>
                </c:pt>
                <c:pt idx="906">
                  <c:v>0.49062844542447631</c:v>
                </c:pt>
                <c:pt idx="907">
                  <c:v>0.49118942731277532</c:v>
                </c:pt>
                <c:pt idx="908">
                  <c:v>0.49064906490649063</c:v>
                </c:pt>
                <c:pt idx="909">
                  <c:v>0.49010989010989009</c:v>
                </c:pt>
                <c:pt idx="910">
                  <c:v>0.48957189901207465</c:v>
                </c:pt>
                <c:pt idx="911">
                  <c:v>0.48903508771929827</c:v>
                </c:pt>
                <c:pt idx="912">
                  <c:v>0.48959474260679081</c:v>
                </c:pt>
                <c:pt idx="913">
                  <c:v>0.48905908096280087</c:v>
                </c:pt>
                <c:pt idx="914">
                  <c:v>0.4885245901639344</c:v>
                </c:pt>
                <c:pt idx="915">
                  <c:v>0.48908296943231439</c:v>
                </c:pt>
                <c:pt idx="916">
                  <c:v>0.48854961832061067</c:v>
                </c:pt>
                <c:pt idx="917">
                  <c:v>0.48910675381263619</c:v>
                </c:pt>
                <c:pt idx="918">
                  <c:v>0.48966267682263331</c:v>
                </c:pt>
                <c:pt idx="919">
                  <c:v>0.4891304347826087</c:v>
                </c:pt>
                <c:pt idx="920">
                  <c:v>0.48968512486427795</c:v>
                </c:pt>
                <c:pt idx="921">
                  <c:v>0.49023861171366595</c:v>
                </c:pt>
                <c:pt idx="922">
                  <c:v>0.48970747562296857</c:v>
                </c:pt>
                <c:pt idx="923">
                  <c:v>0.49025974025974028</c:v>
                </c:pt>
                <c:pt idx="924">
                  <c:v>0.49081081081081079</c:v>
                </c:pt>
                <c:pt idx="925">
                  <c:v>0.49028077753779697</c:v>
                </c:pt>
                <c:pt idx="926">
                  <c:v>0.49083063646170444</c:v>
                </c:pt>
                <c:pt idx="927">
                  <c:v>0.49030172413793105</c:v>
                </c:pt>
                <c:pt idx="928">
                  <c:v>0.48977395048439182</c:v>
                </c:pt>
                <c:pt idx="929">
                  <c:v>0.489247311827957</c:v>
                </c:pt>
                <c:pt idx="930">
                  <c:v>0.48979591836734693</c:v>
                </c:pt>
                <c:pt idx="931">
                  <c:v>0.48927038626609443</c:v>
                </c:pt>
                <c:pt idx="932">
                  <c:v>0.4887459807073955</c:v>
                </c:pt>
                <c:pt idx="933">
                  <c:v>0.48929336188436828</c:v>
                </c:pt>
                <c:pt idx="934">
                  <c:v>0.48877005347593583</c:v>
                </c:pt>
                <c:pt idx="935">
                  <c:v>0.4893162393162393</c:v>
                </c:pt>
                <c:pt idx="936">
                  <c:v>0.48879402347918888</c:v>
                </c:pt>
                <c:pt idx="937">
                  <c:v>0.48827292110874199</c:v>
                </c:pt>
                <c:pt idx="938">
                  <c:v>0.48775292864749736</c:v>
                </c:pt>
                <c:pt idx="939">
                  <c:v>0.48723404255319147</c:v>
                </c:pt>
                <c:pt idx="940">
                  <c:v>0.48777895855472903</c:v>
                </c:pt>
                <c:pt idx="941">
                  <c:v>0.48726114649681529</c:v>
                </c:pt>
                <c:pt idx="942">
                  <c:v>0.48780487804878048</c:v>
                </c:pt>
                <c:pt idx="943">
                  <c:v>0.48834745762711862</c:v>
                </c:pt>
                <c:pt idx="944">
                  <c:v>0.48783068783068784</c:v>
                </c:pt>
                <c:pt idx="945">
                  <c:v>0.48731501057082455</c:v>
                </c:pt>
                <c:pt idx="946">
                  <c:v>0.48680042238648363</c:v>
                </c:pt>
                <c:pt idx="947">
                  <c:v>0.48734177215189872</c:v>
                </c:pt>
                <c:pt idx="948">
                  <c:v>0.48788198103266595</c:v>
                </c:pt>
                <c:pt idx="949">
                  <c:v>0.48736842105263156</c:v>
                </c:pt>
                <c:pt idx="950">
                  <c:v>0.48790746582544692</c:v>
                </c:pt>
                <c:pt idx="951">
                  <c:v>0.48739495798319327</c:v>
                </c:pt>
                <c:pt idx="952">
                  <c:v>0.48688352570828963</c:v>
                </c:pt>
                <c:pt idx="953">
                  <c:v>0.48742138364779874</c:v>
                </c:pt>
                <c:pt idx="954">
                  <c:v>0.48795811518324606</c:v>
                </c:pt>
                <c:pt idx="955">
                  <c:v>0.4874476987447699</c:v>
                </c:pt>
                <c:pt idx="956">
                  <c:v>0.48693834900731453</c:v>
                </c:pt>
                <c:pt idx="957">
                  <c:v>0.48643006263048016</c:v>
                </c:pt>
                <c:pt idx="958">
                  <c:v>0.48592283628779981</c:v>
                </c:pt>
                <c:pt idx="959">
                  <c:v>0.48541666666666666</c:v>
                </c:pt>
                <c:pt idx="960">
                  <c:v>0.48595213319458896</c:v>
                </c:pt>
                <c:pt idx="961">
                  <c:v>0.48648648648648651</c:v>
                </c:pt>
                <c:pt idx="962">
                  <c:v>0.48598130841121495</c:v>
                </c:pt>
                <c:pt idx="963">
                  <c:v>0.48547717842323651</c:v>
                </c:pt>
                <c:pt idx="964">
                  <c:v>0.48497409326424873</c:v>
                </c:pt>
                <c:pt idx="965">
                  <c:v>0.48447204968944102</c:v>
                </c:pt>
                <c:pt idx="966">
                  <c:v>0.48500517063081694</c:v>
                </c:pt>
                <c:pt idx="967">
                  <c:v>0.48450413223140498</c:v>
                </c:pt>
                <c:pt idx="968">
                  <c:v>0.48400412796697628</c:v>
                </c:pt>
                <c:pt idx="969">
                  <c:v>0.4845360824742268</c:v>
                </c:pt>
                <c:pt idx="970">
                  <c:v>0.48506694129763128</c:v>
                </c:pt>
                <c:pt idx="971">
                  <c:v>0.48456790123456789</c:v>
                </c:pt>
                <c:pt idx="972">
                  <c:v>0.48509763617677287</c:v>
                </c:pt>
                <c:pt idx="973">
                  <c:v>0.48562628336755648</c:v>
                </c:pt>
                <c:pt idx="974">
                  <c:v>0.48615384615384616</c:v>
                </c:pt>
                <c:pt idx="975">
                  <c:v>0.48565573770491804</c:v>
                </c:pt>
                <c:pt idx="976">
                  <c:v>0.48618219037871035</c:v>
                </c:pt>
                <c:pt idx="977">
                  <c:v>0.48670756646216767</c:v>
                </c:pt>
                <c:pt idx="978">
                  <c:v>0.48621041879468846</c:v>
                </c:pt>
                <c:pt idx="979">
                  <c:v>0.48571428571428571</c:v>
                </c:pt>
                <c:pt idx="980">
                  <c:v>0.48521916411824667</c:v>
                </c:pt>
                <c:pt idx="981">
                  <c:v>0.48574338085539714</c:v>
                </c:pt>
                <c:pt idx="982">
                  <c:v>0.48524923702950151</c:v>
                </c:pt>
                <c:pt idx="983">
                  <c:v>0.4847560975609756</c:v>
                </c:pt>
                <c:pt idx="984">
                  <c:v>0.48426395939086292</c:v>
                </c:pt>
                <c:pt idx="985">
                  <c:v>0.48377281947261663</c:v>
                </c:pt>
                <c:pt idx="986">
                  <c:v>0.48429584599797365</c:v>
                </c:pt>
                <c:pt idx="987">
                  <c:v>0.48380566801619435</c:v>
                </c:pt>
                <c:pt idx="988">
                  <c:v>0.4833164812942366</c:v>
                </c:pt>
                <c:pt idx="989">
                  <c:v>0.48282828282828283</c:v>
                </c:pt>
                <c:pt idx="990">
                  <c:v>0.48335015136226034</c:v>
                </c:pt>
                <c:pt idx="991">
                  <c:v>0.48286290322580644</c:v>
                </c:pt>
                <c:pt idx="992">
                  <c:v>0.4823766364551863</c:v>
                </c:pt>
                <c:pt idx="993">
                  <c:v>0.48189134808853118</c:v>
                </c:pt>
                <c:pt idx="994">
                  <c:v>0.48241206030150752</c:v>
                </c:pt>
                <c:pt idx="995">
                  <c:v>0.48293172690763053</c:v>
                </c:pt>
                <c:pt idx="996">
                  <c:v>0.48244734202607825</c:v>
                </c:pt>
                <c:pt idx="997">
                  <c:v>0.4819639278557114</c:v>
                </c:pt>
                <c:pt idx="998">
                  <c:v>0.48148148148148145</c:v>
                </c:pt>
                <c:pt idx="999">
                  <c:v>0.48199999999999998</c:v>
                </c:pt>
                <c:pt idx="1000">
                  <c:v>0.48151848151848153</c:v>
                </c:pt>
                <c:pt idx="1001">
                  <c:v>0.4820359281437126</c:v>
                </c:pt>
                <c:pt idx="1002">
                  <c:v>0.48255234297108673</c:v>
                </c:pt>
                <c:pt idx="1003">
                  <c:v>0.48306772908366535</c:v>
                </c:pt>
                <c:pt idx="1004">
                  <c:v>0.48258706467661694</c:v>
                </c:pt>
                <c:pt idx="1005">
                  <c:v>0.48310139165009941</c:v>
                </c:pt>
                <c:pt idx="1006">
                  <c:v>0.4826216484607746</c:v>
                </c:pt>
                <c:pt idx="1007">
                  <c:v>0.48313492063492064</c:v>
                </c:pt>
                <c:pt idx="1008">
                  <c:v>0.48265609514370666</c:v>
                </c:pt>
                <c:pt idx="1009">
                  <c:v>0.48316831683168315</c:v>
                </c:pt>
                <c:pt idx="1010">
                  <c:v>0.48367952522255192</c:v>
                </c:pt>
                <c:pt idx="1011">
                  <c:v>0.48418972332015808</c:v>
                </c:pt>
                <c:pt idx="1012">
                  <c:v>0.48469891411648569</c:v>
                </c:pt>
                <c:pt idx="1013">
                  <c:v>0.48422090729783035</c:v>
                </c:pt>
                <c:pt idx="1014">
                  <c:v>0.48472906403940885</c:v>
                </c:pt>
                <c:pt idx="1015">
                  <c:v>0.48425196850393698</c:v>
                </c:pt>
                <c:pt idx="1016">
                  <c:v>0.48377581120943952</c:v>
                </c:pt>
                <c:pt idx="1017">
                  <c:v>0.48330058939096265</c:v>
                </c:pt>
                <c:pt idx="1018">
                  <c:v>0.48282630029440626</c:v>
                </c:pt>
                <c:pt idx="1019">
                  <c:v>0.48333333333333334</c:v>
                </c:pt>
                <c:pt idx="1020">
                  <c:v>0.48285994123408421</c:v>
                </c:pt>
                <c:pt idx="1021">
                  <c:v>0.48238747553816047</c:v>
                </c:pt>
                <c:pt idx="1022">
                  <c:v>0.48289345063538613</c:v>
                </c:pt>
                <c:pt idx="1023">
                  <c:v>0.4833984375</c:v>
                </c:pt>
                <c:pt idx="1024">
                  <c:v>0.48390243902439023</c:v>
                </c:pt>
                <c:pt idx="1025">
                  <c:v>0.48343079922027288</c:v>
                </c:pt>
                <c:pt idx="1026">
                  <c:v>0.48296007789678674</c:v>
                </c:pt>
                <c:pt idx="1027">
                  <c:v>0.48346303501945526</c:v>
                </c:pt>
                <c:pt idx="1028">
                  <c:v>0.48299319727891155</c:v>
                </c:pt>
                <c:pt idx="1029">
                  <c:v>0.48349514563106794</c:v>
                </c:pt>
                <c:pt idx="1030">
                  <c:v>0.4830261881668283</c:v>
                </c:pt>
                <c:pt idx="1031">
                  <c:v>0.48352713178294576</c:v>
                </c:pt>
                <c:pt idx="1032">
                  <c:v>0.48305905130687321</c:v>
                </c:pt>
                <c:pt idx="1033">
                  <c:v>0.48355899419729209</c:v>
                </c:pt>
                <c:pt idx="1034">
                  <c:v>0.48405797101449277</c:v>
                </c:pt>
                <c:pt idx="1035">
                  <c:v>0.48359073359073357</c:v>
                </c:pt>
              </c:numCache>
            </c:numRef>
          </c:yVal>
          <c:smooth val="1"/>
        </c:ser>
        <c:dLbls>
          <c:showLegendKey val="0"/>
          <c:showVal val="0"/>
          <c:showCatName val="0"/>
          <c:showSerName val="0"/>
          <c:showPercent val="0"/>
          <c:showBubbleSize val="0"/>
        </c:dLbls>
        <c:axId val="406471280"/>
        <c:axId val="406474024"/>
      </c:scatterChart>
      <c:valAx>
        <c:axId val="406471280"/>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06474024"/>
        <c:crosses val="autoZero"/>
        <c:crossBetween val="midCat"/>
      </c:valAx>
      <c:valAx>
        <c:axId val="406474024"/>
        <c:scaling>
          <c:orientation val="minMax"/>
          <c:min val="0.43000000000000005"/>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06471280"/>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Vol</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1"/>
          <c:order val="0"/>
          <c:spPr>
            <a:ln w="22225" cap="rnd">
              <a:solidFill>
                <a:schemeClr val="accent2"/>
              </a:solidFill>
            </a:ln>
            <a:effectLst>
              <a:glow rad="25400">
                <a:schemeClr val="bg1">
                  <a:alpha val="14000"/>
                </a:schemeClr>
              </a:glow>
            </a:effectLst>
          </c:spPr>
          <c:marker>
            <c:symbol val="square"/>
            <c:size val="2"/>
            <c:spPr>
              <a:solidFill>
                <a:schemeClr val="accent2"/>
              </a:solidFill>
              <a:ln w="3175">
                <a:solidFill>
                  <a:schemeClr val="accent2"/>
                </a:solidFill>
              </a:ln>
              <a:effectLst>
                <a:glow rad="25400">
                  <a:schemeClr val="bg1">
                    <a:alpha val="14000"/>
                  </a:schemeClr>
                </a:glow>
              </a:effectLst>
            </c:spPr>
          </c:marker>
          <c:dPt>
            <c:idx val="580"/>
            <c:marker>
              <c:symbol val="square"/>
              <c:size val="2"/>
              <c:spPr>
                <a:solidFill>
                  <a:schemeClr val="accent2"/>
                </a:solidFill>
                <a:ln w="3175">
                  <a:solidFill>
                    <a:schemeClr val="accent2"/>
                  </a:solidFill>
                </a:ln>
                <a:effectLst>
                  <a:glow rad="25400">
                    <a:schemeClr val="bg1">
                      <a:alpha val="14000"/>
                    </a:schemeClr>
                  </a:glow>
                </a:effectLst>
              </c:spPr>
            </c:marker>
            <c:bubble3D val="0"/>
            <c:spPr>
              <a:ln w="0" cap="rnd">
                <a:solidFill>
                  <a:schemeClr val="accent2"/>
                </a:solidFill>
              </a:ln>
              <a:effectLst>
                <a:glow rad="25400">
                  <a:schemeClr val="bg1">
                    <a:alpha val="14000"/>
                  </a:schemeClr>
                </a:glow>
              </a:effectLst>
            </c:spPr>
          </c:dPt>
          <c:xVal>
            <c:numRef>
              <c:f>Balance!$B$2:$B$1786</c:f>
              <c:numCache>
                <c:formatCode>m/d/yyyy</c:formatCode>
                <c:ptCount val="17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pt idx="1032">
                  <c:v>43804</c:v>
                </c:pt>
                <c:pt idx="1033">
                  <c:v>43805</c:v>
                </c:pt>
                <c:pt idx="1034">
                  <c:v>43808</c:v>
                </c:pt>
                <c:pt idx="1035">
                  <c:v>43809</c:v>
                </c:pt>
              </c:numCache>
            </c:numRef>
          </c:xVal>
          <c:yVal>
            <c:numRef>
              <c:f>Balance!$W$2:$W$1793</c:f>
              <c:numCache>
                <c:formatCode>0.00%</c:formatCode>
                <c:ptCount val="1792"/>
                <c:pt idx="2">
                  <c:v>0.19577179003677936</c:v>
                </c:pt>
                <c:pt idx="3">
                  <c:v>0.20008182112239786</c:v>
                </c:pt>
                <c:pt idx="4">
                  <c:v>0.16336924292253127</c:v>
                </c:pt>
                <c:pt idx="5">
                  <c:v>0.19389190476539761</c:v>
                </c:pt>
                <c:pt idx="6">
                  <c:v>0.17533735395795544</c:v>
                </c:pt>
                <c:pt idx="7">
                  <c:v>0.35891083910893234</c:v>
                </c:pt>
                <c:pt idx="8">
                  <c:v>0.52868202794227925</c:v>
                </c:pt>
                <c:pt idx="9">
                  <c:v>0.52303521027280186</c:v>
                </c:pt>
                <c:pt idx="10">
                  <c:v>0.49903486890486387</c:v>
                </c:pt>
                <c:pt idx="11">
                  <c:v>0.48831680410668976</c:v>
                </c:pt>
                <c:pt idx="12">
                  <c:v>0.47214016149480637</c:v>
                </c:pt>
                <c:pt idx="13">
                  <c:v>0.45448950679382538</c:v>
                </c:pt>
                <c:pt idx="14">
                  <c:v>0.43762621603032426</c:v>
                </c:pt>
                <c:pt idx="15">
                  <c:v>0.43324605788841486</c:v>
                </c:pt>
                <c:pt idx="16">
                  <c:v>0.43262248943141224</c:v>
                </c:pt>
                <c:pt idx="17">
                  <c:v>0.42023205119752755</c:v>
                </c:pt>
                <c:pt idx="18">
                  <c:v>0.40776589668846686</c:v>
                </c:pt>
                <c:pt idx="19">
                  <c:v>0.39882009643497413</c:v>
                </c:pt>
                <c:pt idx="20">
                  <c:v>0.38986525703766828</c:v>
                </c:pt>
                <c:pt idx="21">
                  <c:v>0.38411926521956707</c:v>
                </c:pt>
                <c:pt idx="22">
                  <c:v>0.37503116894241934</c:v>
                </c:pt>
                <c:pt idx="23">
                  <c:v>0.37697940519041084</c:v>
                </c:pt>
                <c:pt idx="24">
                  <c:v>0.36977509623053162</c:v>
                </c:pt>
                <c:pt idx="25">
                  <c:v>0.36891081336097858</c:v>
                </c:pt>
                <c:pt idx="26">
                  <c:v>0.36576166417456935</c:v>
                </c:pt>
                <c:pt idx="27">
                  <c:v>0.35959656379312804</c:v>
                </c:pt>
                <c:pt idx="28">
                  <c:v>0.35323644241397795</c:v>
                </c:pt>
                <c:pt idx="29">
                  <c:v>0.36074758156117998</c:v>
                </c:pt>
                <c:pt idx="30">
                  <c:v>0.35703191736213136</c:v>
                </c:pt>
                <c:pt idx="31">
                  <c:v>0.36241608593546876</c:v>
                </c:pt>
                <c:pt idx="32">
                  <c:v>0.35707118458821713</c:v>
                </c:pt>
                <c:pt idx="33">
                  <c:v>0.37502060427916972</c:v>
                </c:pt>
                <c:pt idx="34">
                  <c:v>0.38219304301343621</c:v>
                </c:pt>
                <c:pt idx="35">
                  <c:v>0.37670306697854899</c:v>
                </c:pt>
                <c:pt idx="36">
                  <c:v>0.37168118749449619</c:v>
                </c:pt>
                <c:pt idx="37">
                  <c:v>0.36708606132795213</c:v>
                </c:pt>
                <c:pt idx="38">
                  <c:v>0.36271772022566956</c:v>
                </c:pt>
                <c:pt idx="39">
                  <c:v>0.35850362464103236</c:v>
                </c:pt>
                <c:pt idx="40">
                  <c:v>0.35400225993009587</c:v>
                </c:pt>
                <c:pt idx="41">
                  <c:v>0.35017187352757795</c:v>
                </c:pt>
                <c:pt idx="42">
                  <c:v>0.34666743153233776</c:v>
                </c:pt>
                <c:pt idx="43">
                  <c:v>0.34273345139982825</c:v>
                </c:pt>
                <c:pt idx="44">
                  <c:v>0.33890448472804552</c:v>
                </c:pt>
                <c:pt idx="45">
                  <c:v>0.33783134123152347</c:v>
                </c:pt>
                <c:pt idx="46">
                  <c:v>0.33709966873657005</c:v>
                </c:pt>
                <c:pt idx="47">
                  <c:v>0.33420544036824928</c:v>
                </c:pt>
                <c:pt idx="48">
                  <c:v>0.33078274353135961</c:v>
                </c:pt>
                <c:pt idx="49">
                  <c:v>0.33116253966336157</c:v>
                </c:pt>
                <c:pt idx="50">
                  <c:v>0.32784098915228843</c:v>
                </c:pt>
                <c:pt idx="51">
                  <c:v>0.32865868284465172</c:v>
                </c:pt>
                <c:pt idx="52">
                  <c:v>0.32641026079746971</c:v>
                </c:pt>
                <c:pt idx="53">
                  <c:v>0.32355647040832186</c:v>
                </c:pt>
                <c:pt idx="54">
                  <c:v>0.32260027221647702</c:v>
                </c:pt>
                <c:pt idx="55">
                  <c:v>0.32122906847311467</c:v>
                </c:pt>
                <c:pt idx="56">
                  <c:v>0.31831780697519846</c:v>
                </c:pt>
                <c:pt idx="57">
                  <c:v>0.32078118980306136</c:v>
                </c:pt>
                <c:pt idx="58">
                  <c:v>0.31795506965896425</c:v>
                </c:pt>
                <c:pt idx="59">
                  <c:v>0.31620783635013966</c:v>
                </c:pt>
                <c:pt idx="60">
                  <c:v>0.31352177036879675</c:v>
                </c:pt>
                <c:pt idx="61">
                  <c:v>0.31221077177668255</c:v>
                </c:pt>
                <c:pt idx="62">
                  <c:v>0.311389828072407</c:v>
                </c:pt>
                <c:pt idx="63">
                  <c:v>0.30890912442956392</c:v>
                </c:pt>
                <c:pt idx="64">
                  <c:v>0.30942792293284299</c:v>
                </c:pt>
                <c:pt idx="65">
                  <c:v>0.30707902780871166</c:v>
                </c:pt>
                <c:pt idx="66">
                  <c:v>0.30856663188820815</c:v>
                </c:pt>
                <c:pt idx="67">
                  <c:v>0.30643952094821814</c:v>
                </c:pt>
                <c:pt idx="68">
                  <c:v>0.30426600271918647</c:v>
                </c:pt>
                <c:pt idx="69">
                  <c:v>0.30238621984250691</c:v>
                </c:pt>
                <c:pt idx="70">
                  <c:v>0.30126350583982381</c:v>
                </c:pt>
                <c:pt idx="71">
                  <c:v>0.29915075312421052</c:v>
                </c:pt>
                <c:pt idx="72">
                  <c:v>0.29731455796464418</c:v>
                </c:pt>
                <c:pt idx="73">
                  <c:v>0.29562170062555598</c:v>
                </c:pt>
                <c:pt idx="74">
                  <c:v>0.29400855496408335</c:v>
                </c:pt>
                <c:pt idx="75">
                  <c:v>0.29794414920309426</c:v>
                </c:pt>
                <c:pt idx="76">
                  <c:v>0.29712936975574017</c:v>
                </c:pt>
                <c:pt idx="77">
                  <c:v>0.29563649002359699</c:v>
                </c:pt>
                <c:pt idx="78">
                  <c:v>0.3074916653921197</c:v>
                </c:pt>
                <c:pt idx="79">
                  <c:v>0.3057577572819663</c:v>
                </c:pt>
                <c:pt idx="80">
                  <c:v>0.30386643217647319</c:v>
                </c:pt>
                <c:pt idx="81">
                  <c:v>0.30335650462124281</c:v>
                </c:pt>
                <c:pt idx="82">
                  <c:v>0.3052608066855817</c:v>
                </c:pt>
                <c:pt idx="83">
                  <c:v>0.30374972032355096</c:v>
                </c:pt>
                <c:pt idx="84">
                  <c:v>0.30203167512176549</c:v>
                </c:pt>
                <c:pt idx="85">
                  <c:v>0.30170012255410639</c:v>
                </c:pt>
                <c:pt idx="86">
                  <c:v>0.30100381031831397</c:v>
                </c:pt>
                <c:pt idx="87">
                  <c:v>0.29930992001467371</c:v>
                </c:pt>
                <c:pt idx="88">
                  <c:v>0.29920187088435746</c:v>
                </c:pt>
                <c:pt idx="89">
                  <c:v>0.29759929719842121</c:v>
                </c:pt>
                <c:pt idx="90">
                  <c:v>0.29978352577242878</c:v>
                </c:pt>
                <c:pt idx="91">
                  <c:v>0.29815917239051543</c:v>
                </c:pt>
                <c:pt idx="92">
                  <c:v>0.29842518034690152</c:v>
                </c:pt>
                <c:pt idx="93">
                  <c:v>0.29700566198828871</c:v>
                </c:pt>
                <c:pt idx="94">
                  <c:v>0.29803742324397353</c:v>
                </c:pt>
                <c:pt idx="95">
                  <c:v>0.29691114338787766</c:v>
                </c:pt>
                <c:pt idx="96">
                  <c:v>0.29579926006722401</c:v>
                </c:pt>
                <c:pt idx="97">
                  <c:v>0.29456352660323443</c:v>
                </c:pt>
                <c:pt idx="98">
                  <c:v>0.30696087260477756</c:v>
                </c:pt>
                <c:pt idx="99">
                  <c:v>0.3100263800011836</c:v>
                </c:pt>
                <c:pt idx="100">
                  <c:v>0.30926714125463156</c:v>
                </c:pt>
                <c:pt idx="101">
                  <c:v>0.31519307674971891</c:v>
                </c:pt>
                <c:pt idx="102">
                  <c:v>0.31518540993187888</c:v>
                </c:pt>
                <c:pt idx="103">
                  <c:v>0.32174542830097441</c:v>
                </c:pt>
                <c:pt idx="104">
                  <c:v>0.32453820781135018</c:v>
                </c:pt>
                <c:pt idx="105">
                  <c:v>0.33758588878684614</c:v>
                </c:pt>
                <c:pt idx="106">
                  <c:v>0.33863790038958375</c:v>
                </c:pt>
                <c:pt idx="107">
                  <c:v>0.33723365750596535</c:v>
                </c:pt>
                <c:pt idx="108">
                  <c:v>0.35256157198523613</c:v>
                </c:pt>
                <c:pt idx="109">
                  <c:v>0.35267737853182896</c:v>
                </c:pt>
                <c:pt idx="110">
                  <c:v>0.36554774877731538</c:v>
                </c:pt>
                <c:pt idx="111">
                  <c:v>0.36652123813825849</c:v>
                </c:pt>
                <c:pt idx="112">
                  <c:v>0.36580201811385399</c:v>
                </c:pt>
                <c:pt idx="113">
                  <c:v>0.36582687593251006</c:v>
                </c:pt>
                <c:pt idx="114">
                  <c:v>0.37665623164224904</c:v>
                </c:pt>
                <c:pt idx="115">
                  <c:v>0.37500277790793834</c:v>
                </c:pt>
                <c:pt idx="116">
                  <c:v>0.37987177172236325</c:v>
                </c:pt>
                <c:pt idx="117">
                  <c:v>0.38596402182857842</c:v>
                </c:pt>
                <c:pt idx="118">
                  <c:v>0.38442983265447928</c:v>
                </c:pt>
                <c:pt idx="119">
                  <c:v>0.38965360022711565</c:v>
                </c:pt>
                <c:pt idx="120">
                  <c:v>0.39455956732672759</c:v>
                </c:pt>
                <c:pt idx="121">
                  <c:v>0.39391134458203264</c:v>
                </c:pt>
                <c:pt idx="122">
                  <c:v>0.39255054022656277</c:v>
                </c:pt>
                <c:pt idx="123">
                  <c:v>0.39188934391979374</c:v>
                </c:pt>
                <c:pt idx="124">
                  <c:v>0.39280034902438915</c:v>
                </c:pt>
                <c:pt idx="125">
                  <c:v>0.39373317711022293</c:v>
                </c:pt>
                <c:pt idx="126">
                  <c:v>0.39391671411506929</c:v>
                </c:pt>
                <c:pt idx="127">
                  <c:v>0.39434419152440775</c:v>
                </c:pt>
                <c:pt idx="128">
                  <c:v>0.39378743351445816</c:v>
                </c:pt>
                <c:pt idx="129">
                  <c:v>0.39971891584326358</c:v>
                </c:pt>
                <c:pt idx="130">
                  <c:v>0.40132200578539856</c:v>
                </c:pt>
                <c:pt idx="131">
                  <c:v>0.40056518042041067</c:v>
                </c:pt>
                <c:pt idx="132">
                  <c:v>0.399347738080158</c:v>
                </c:pt>
                <c:pt idx="133">
                  <c:v>0.40040715107254371</c:v>
                </c:pt>
                <c:pt idx="134">
                  <c:v>0.39919785402030938</c:v>
                </c:pt>
                <c:pt idx="135">
                  <c:v>0.39798205719407453</c:v>
                </c:pt>
                <c:pt idx="136">
                  <c:v>0.40773104370834762</c:v>
                </c:pt>
                <c:pt idx="137">
                  <c:v>0.41011498593156359</c:v>
                </c:pt>
                <c:pt idx="138">
                  <c:v>0.41201829569755161</c:v>
                </c:pt>
                <c:pt idx="139">
                  <c:v>0.41052951691081185</c:v>
                </c:pt>
                <c:pt idx="140">
                  <c:v>0.41493428525347442</c:v>
                </c:pt>
                <c:pt idx="141">
                  <c:v>0.41420228414527577</c:v>
                </c:pt>
                <c:pt idx="142">
                  <c:v>0.41303460915058671</c:v>
                </c:pt>
                <c:pt idx="143">
                  <c:v>0.41442203469244021</c:v>
                </c:pt>
                <c:pt idx="144">
                  <c:v>0.41305007987980863</c:v>
                </c:pt>
                <c:pt idx="145">
                  <c:v>0.41162261053938765</c:v>
                </c:pt>
                <c:pt idx="146">
                  <c:v>0.41032597832718526</c:v>
                </c:pt>
                <c:pt idx="147">
                  <c:v>0.40893908230401166</c:v>
                </c:pt>
                <c:pt idx="148">
                  <c:v>0.40798335166369004</c:v>
                </c:pt>
                <c:pt idx="149">
                  <c:v>0.40660686098578552</c:v>
                </c:pt>
                <c:pt idx="150">
                  <c:v>0.40527216981287528</c:v>
                </c:pt>
                <c:pt idx="151">
                  <c:v>0.41087213630897762</c:v>
                </c:pt>
                <c:pt idx="152">
                  <c:v>0.40952879368350692</c:v>
                </c:pt>
                <c:pt idx="153">
                  <c:v>0.40827222780986738</c:v>
                </c:pt>
                <c:pt idx="154">
                  <c:v>0.4074274282139313</c:v>
                </c:pt>
                <c:pt idx="155">
                  <c:v>0.40634858436204313</c:v>
                </c:pt>
                <c:pt idx="156">
                  <c:v>0.40652602523849884</c:v>
                </c:pt>
                <c:pt idx="157">
                  <c:v>0.40527068703901437</c:v>
                </c:pt>
                <c:pt idx="158">
                  <c:v>0.40408811296561892</c:v>
                </c:pt>
                <c:pt idx="159">
                  <c:v>0.40283814257892614</c:v>
                </c:pt>
                <c:pt idx="160">
                  <c:v>0.40220348115797722</c:v>
                </c:pt>
                <c:pt idx="161">
                  <c:v>0.40102645372059886</c:v>
                </c:pt>
                <c:pt idx="162">
                  <c:v>0.40100153728117882</c:v>
                </c:pt>
                <c:pt idx="163">
                  <c:v>0.39984095752163645</c:v>
                </c:pt>
                <c:pt idx="164">
                  <c:v>0.40253727965834457</c:v>
                </c:pt>
                <c:pt idx="165">
                  <c:v>0.40149438106382634</c:v>
                </c:pt>
                <c:pt idx="166">
                  <c:v>0.40027732610236538</c:v>
                </c:pt>
                <c:pt idx="167">
                  <c:v>0.39907765714792898</c:v>
                </c:pt>
                <c:pt idx="168">
                  <c:v>0.39841300907192778</c:v>
                </c:pt>
                <c:pt idx="169">
                  <c:v>0.39778020996769808</c:v>
                </c:pt>
                <c:pt idx="170">
                  <c:v>0.39662320245584515</c:v>
                </c:pt>
                <c:pt idx="171">
                  <c:v>0.39552870627175002</c:v>
                </c:pt>
                <c:pt idx="172">
                  <c:v>0.39470764282961784</c:v>
                </c:pt>
                <c:pt idx="173">
                  <c:v>0.39413441432117591</c:v>
                </c:pt>
                <c:pt idx="174">
                  <c:v>0.39523474671048564</c:v>
                </c:pt>
                <c:pt idx="175">
                  <c:v>0.39446713655061666</c:v>
                </c:pt>
                <c:pt idx="176">
                  <c:v>0.39366590594633838</c:v>
                </c:pt>
                <c:pt idx="177">
                  <c:v>0.39340624271023572</c:v>
                </c:pt>
                <c:pt idx="178">
                  <c:v>0.39283799176483652</c:v>
                </c:pt>
                <c:pt idx="179">
                  <c:v>0.3932386492905699</c:v>
                </c:pt>
                <c:pt idx="180">
                  <c:v>0.39383207665570702</c:v>
                </c:pt>
                <c:pt idx="181">
                  <c:v>0.39274558948509919</c:v>
                </c:pt>
                <c:pt idx="182">
                  <c:v>0.39165931974206192</c:v>
                </c:pt>
                <c:pt idx="183">
                  <c:v>0.39131263252933984</c:v>
                </c:pt>
                <c:pt idx="184">
                  <c:v>0.39117995017069312</c:v>
                </c:pt>
                <c:pt idx="185">
                  <c:v>0.39045309819153251</c:v>
                </c:pt>
                <c:pt idx="186">
                  <c:v>0.38974137838139039</c:v>
                </c:pt>
                <c:pt idx="187">
                  <c:v>0.38869471253740751</c:v>
                </c:pt>
                <c:pt idx="188">
                  <c:v>0.38847097955636578</c:v>
                </c:pt>
                <c:pt idx="189">
                  <c:v>0.38745717293573728</c:v>
                </c:pt>
                <c:pt idx="190">
                  <c:v>0.38643084331736716</c:v>
                </c:pt>
                <c:pt idx="191">
                  <c:v>0.38542760333105391</c:v>
                </c:pt>
                <c:pt idx="192">
                  <c:v>0.38584361102495252</c:v>
                </c:pt>
                <c:pt idx="193">
                  <c:v>0.38495329027119468</c:v>
                </c:pt>
                <c:pt idx="194">
                  <c:v>0.38399644388523335</c:v>
                </c:pt>
                <c:pt idx="195">
                  <c:v>0.38344132562048239</c:v>
                </c:pt>
                <c:pt idx="196">
                  <c:v>0.38251907030209392</c:v>
                </c:pt>
                <c:pt idx="197">
                  <c:v>0.38154311840719901</c:v>
                </c:pt>
                <c:pt idx="198">
                  <c:v>0.38079113185082497</c:v>
                </c:pt>
                <c:pt idx="199">
                  <c:v>0.3800270839694988</c:v>
                </c:pt>
                <c:pt idx="200">
                  <c:v>0.37910108221879157</c:v>
                </c:pt>
                <c:pt idx="201">
                  <c:v>0.37819539294836535</c:v>
                </c:pt>
                <c:pt idx="202">
                  <c:v>0.3779906391006832</c:v>
                </c:pt>
                <c:pt idx="203">
                  <c:v>0.37770326655936998</c:v>
                </c:pt>
                <c:pt idx="204">
                  <c:v>0.37684312307903423</c:v>
                </c:pt>
                <c:pt idx="205">
                  <c:v>0.37597781518957712</c:v>
                </c:pt>
                <c:pt idx="206">
                  <c:v>0.37655142178170292</c:v>
                </c:pt>
                <c:pt idx="207">
                  <c:v>0.3757757250288794</c:v>
                </c:pt>
                <c:pt idx="208">
                  <c:v>0.37496263559037396</c:v>
                </c:pt>
                <c:pt idx="209">
                  <c:v>0.37409419523712373</c:v>
                </c:pt>
                <c:pt idx="210">
                  <c:v>0.37342122618774559</c:v>
                </c:pt>
                <c:pt idx="211">
                  <c:v>0.37328913049687473</c:v>
                </c:pt>
                <c:pt idx="212">
                  <c:v>0.37498171296802196</c:v>
                </c:pt>
                <c:pt idx="213">
                  <c:v>0.37477394701034494</c:v>
                </c:pt>
                <c:pt idx="214">
                  <c:v>0.37400942044017926</c:v>
                </c:pt>
                <c:pt idx="215">
                  <c:v>0.37437996728891731</c:v>
                </c:pt>
                <c:pt idx="216">
                  <c:v>0.37501491948250398</c:v>
                </c:pt>
                <c:pt idx="217">
                  <c:v>0.37769251793384978</c:v>
                </c:pt>
                <c:pt idx="218">
                  <c:v>0.38208789279178124</c:v>
                </c:pt>
                <c:pt idx="219">
                  <c:v>0.38190631702856759</c:v>
                </c:pt>
                <c:pt idx="220">
                  <c:v>0.38118352520471832</c:v>
                </c:pt>
                <c:pt idx="221">
                  <c:v>0.3803179125579893</c:v>
                </c:pt>
                <c:pt idx="222">
                  <c:v>0.38112496311245453</c:v>
                </c:pt>
                <c:pt idx="223">
                  <c:v>0.38026911407606601</c:v>
                </c:pt>
                <c:pt idx="224">
                  <c:v>0.3794918182893931</c:v>
                </c:pt>
                <c:pt idx="225">
                  <c:v>0.37915328642285256</c:v>
                </c:pt>
                <c:pt idx="226">
                  <c:v>0.37830983950867753</c:v>
                </c:pt>
                <c:pt idx="227">
                  <c:v>0.37990463509326544</c:v>
                </c:pt>
                <c:pt idx="228">
                  <c:v>0.3791487014021947</c:v>
                </c:pt>
                <c:pt idx="229">
                  <c:v>0.378354378552888</c:v>
                </c:pt>
                <c:pt idx="230">
                  <c:v>0.37758235657631534</c:v>
                </c:pt>
                <c:pt idx="231">
                  <c:v>0.37677647505559991</c:v>
                </c:pt>
                <c:pt idx="232">
                  <c:v>0.37631344049170978</c:v>
                </c:pt>
                <c:pt idx="233">
                  <c:v>0.37559009819227351</c:v>
                </c:pt>
                <c:pt idx="234">
                  <c:v>0.37527253812431671</c:v>
                </c:pt>
                <c:pt idx="235">
                  <c:v>0.37456834740512818</c:v>
                </c:pt>
                <c:pt idx="236">
                  <c:v>0.37380634336339558</c:v>
                </c:pt>
                <c:pt idx="237">
                  <c:v>0.37331560015373266</c:v>
                </c:pt>
                <c:pt idx="238">
                  <c:v>0.37357383869513988</c:v>
                </c:pt>
                <c:pt idx="239">
                  <c:v>0.37279274055236694</c:v>
                </c:pt>
                <c:pt idx="240">
                  <c:v>0.37202162492103208</c:v>
                </c:pt>
                <c:pt idx="241">
                  <c:v>0.37192751121581696</c:v>
                </c:pt>
                <c:pt idx="242">
                  <c:v>0.37133699496327655</c:v>
                </c:pt>
                <c:pt idx="243">
                  <c:v>0.37103067638911486</c:v>
                </c:pt>
                <c:pt idx="244">
                  <c:v>0.37028383202660053</c:v>
                </c:pt>
                <c:pt idx="245">
                  <c:v>0.37041269754030803</c:v>
                </c:pt>
                <c:pt idx="246">
                  <c:v>0.36976250802064314</c:v>
                </c:pt>
                <c:pt idx="247">
                  <c:v>0.36901019344056429</c:v>
                </c:pt>
                <c:pt idx="248">
                  <c:v>0.36870219429475543</c:v>
                </c:pt>
                <c:pt idx="249">
                  <c:v>0.37015124159076757</c:v>
                </c:pt>
                <c:pt idx="250">
                  <c:v>0.36945344751699344</c:v>
                </c:pt>
                <c:pt idx="251">
                  <c:v>0.36889217852396583</c:v>
                </c:pt>
                <c:pt idx="252">
                  <c:v>0.36860527111095059</c:v>
                </c:pt>
                <c:pt idx="253">
                  <c:v>0.36787447588145594</c:v>
                </c:pt>
                <c:pt idx="254">
                  <c:v>0.36746793184663218</c:v>
                </c:pt>
                <c:pt idx="255">
                  <c:v>0.36712884125938189</c:v>
                </c:pt>
                <c:pt idx="256">
                  <c:v>0.36653871966751894</c:v>
                </c:pt>
                <c:pt idx="257">
                  <c:v>0.36582526513101316</c:v>
                </c:pt>
                <c:pt idx="258">
                  <c:v>0.36511315760461099</c:v>
                </c:pt>
                <c:pt idx="259">
                  <c:v>0.36442732658879068</c:v>
                </c:pt>
                <c:pt idx="260">
                  <c:v>0.36384060156715331</c:v>
                </c:pt>
                <c:pt idx="261">
                  <c:v>0.36332602481523973</c:v>
                </c:pt>
                <c:pt idx="262">
                  <c:v>0.36263989119612255</c:v>
                </c:pt>
                <c:pt idx="263">
                  <c:v>0.3622373095628969</c:v>
                </c:pt>
                <c:pt idx="264">
                  <c:v>0.36162688235726198</c:v>
                </c:pt>
                <c:pt idx="265">
                  <c:v>0.3610748681776339</c:v>
                </c:pt>
                <c:pt idx="266">
                  <c:v>0.36126574974857484</c:v>
                </c:pt>
                <c:pt idx="267">
                  <c:v>0.36161388324136196</c:v>
                </c:pt>
                <c:pt idx="268">
                  <c:v>0.36093984423813291</c:v>
                </c:pt>
                <c:pt idx="269">
                  <c:v>0.36172480886226521</c:v>
                </c:pt>
                <c:pt idx="270">
                  <c:v>0.36117811757925894</c:v>
                </c:pt>
                <c:pt idx="271">
                  <c:v>0.36074703023734866</c:v>
                </c:pt>
                <c:pt idx="272">
                  <c:v>0.36008095750354496</c:v>
                </c:pt>
                <c:pt idx="273">
                  <c:v>0.35949423119806312</c:v>
                </c:pt>
                <c:pt idx="274">
                  <c:v>0.35883781630276246</c:v>
                </c:pt>
                <c:pt idx="275">
                  <c:v>0.35903354110809649</c:v>
                </c:pt>
                <c:pt idx="276">
                  <c:v>0.35843771988043882</c:v>
                </c:pt>
                <c:pt idx="277">
                  <c:v>0.35794291849606197</c:v>
                </c:pt>
                <c:pt idx="278">
                  <c:v>0.35736746994840918</c:v>
                </c:pt>
                <c:pt idx="279">
                  <c:v>0.35679007137958157</c:v>
                </c:pt>
                <c:pt idx="280">
                  <c:v>0.35700717953973932</c:v>
                </c:pt>
                <c:pt idx="281">
                  <c:v>0.35647523622237404</c:v>
                </c:pt>
                <c:pt idx="282">
                  <c:v>0.35584037520231043</c:v>
                </c:pt>
                <c:pt idx="283">
                  <c:v>0.35520892170812252</c:v>
                </c:pt>
                <c:pt idx="284">
                  <c:v>0.35476607688224249</c:v>
                </c:pt>
                <c:pt idx="285">
                  <c:v>0.35436735180004281</c:v>
                </c:pt>
                <c:pt idx="286">
                  <c:v>0.35374517129723698</c:v>
                </c:pt>
                <c:pt idx="287">
                  <c:v>0.35330879271171961</c:v>
                </c:pt>
                <c:pt idx="288">
                  <c:v>0.35280655192521093</c:v>
                </c:pt>
                <c:pt idx="289">
                  <c:v>0.35420191935581979</c:v>
                </c:pt>
                <c:pt idx="290">
                  <c:v>0.3538474741949057</c:v>
                </c:pt>
                <c:pt idx="291">
                  <c:v>0.35324050890305325</c:v>
                </c:pt>
                <c:pt idx="292">
                  <c:v>0.35267302551448443</c:v>
                </c:pt>
                <c:pt idx="293">
                  <c:v>0.35207165866831386</c:v>
                </c:pt>
                <c:pt idx="294">
                  <c:v>0.35163793771094465</c:v>
                </c:pt>
                <c:pt idx="295">
                  <c:v>0.3510402532906407</c:v>
                </c:pt>
                <c:pt idx="296">
                  <c:v>0.3505620528969402</c:v>
                </c:pt>
                <c:pt idx="297">
                  <c:v>0.35016714235962632</c:v>
                </c:pt>
                <c:pt idx="298">
                  <c:v>0.34996980187049981</c:v>
                </c:pt>
                <c:pt idx="299">
                  <c:v>0.34938237475224687</c:v>
                </c:pt>
                <c:pt idx="300">
                  <c:v>0.34963013361097944</c:v>
                </c:pt>
                <c:pt idx="301">
                  <c:v>0.35155170674162023</c:v>
                </c:pt>
                <c:pt idx="302">
                  <c:v>0.35111566598352262</c:v>
                </c:pt>
                <c:pt idx="303">
                  <c:v>0.36757496684562585</c:v>
                </c:pt>
                <c:pt idx="304">
                  <c:v>0.36722797653623318</c:v>
                </c:pt>
                <c:pt idx="305">
                  <c:v>0.36704612962809202</c:v>
                </c:pt>
                <c:pt idx="306">
                  <c:v>0.37006384127225039</c:v>
                </c:pt>
                <c:pt idx="307">
                  <c:v>0.36964383438211174</c:v>
                </c:pt>
                <c:pt idx="308">
                  <c:v>0.36906691391637653</c:v>
                </c:pt>
                <c:pt idx="309">
                  <c:v>0.3685065540926854</c:v>
                </c:pt>
                <c:pt idx="310">
                  <c:v>0.36794744748761488</c:v>
                </c:pt>
                <c:pt idx="311">
                  <c:v>0.36746067349044381</c:v>
                </c:pt>
                <c:pt idx="312">
                  <c:v>0.36687837723498989</c:v>
                </c:pt>
                <c:pt idx="313">
                  <c:v>0.36630175469945664</c:v>
                </c:pt>
                <c:pt idx="314">
                  <c:v>0.36571853063602927</c:v>
                </c:pt>
                <c:pt idx="315">
                  <c:v>0.36519230283112208</c:v>
                </c:pt>
                <c:pt idx="316">
                  <c:v>0.36477613743457138</c:v>
                </c:pt>
                <c:pt idx="317">
                  <c:v>0.36421868785433931</c:v>
                </c:pt>
                <c:pt idx="318">
                  <c:v>0.36368405399671344</c:v>
                </c:pt>
                <c:pt idx="319">
                  <c:v>0.36311240060215538</c:v>
                </c:pt>
                <c:pt idx="320">
                  <c:v>0.36256564475592484</c:v>
                </c:pt>
                <c:pt idx="321">
                  <c:v>0.36202544499478717</c:v>
                </c:pt>
                <c:pt idx="322">
                  <c:v>0.36159155840983148</c:v>
                </c:pt>
                <c:pt idx="323">
                  <c:v>0.36103590347828884</c:v>
                </c:pt>
                <c:pt idx="324">
                  <c:v>0.36047958608732461</c:v>
                </c:pt>
                <c:pt idx="325">
                  <c:v>0.36009473393131058</c:v>
                </c:pt>
                <c:pt idx="326">
                  <c:v>0.35957326133174794</c:v>
                </c:pt>
                <c:pt idx="327">
                  <c:v>0.35908901250550984</c:v>
                </c:pt>
                <c:pt idx="328">
                  <c:v>0.35879195158503097</c:v>
                </c:pt>
                <c:pt idx="329">
                  <c:v>0.3583037455998867</c:v>
                </c:pt>
                <c:pt idx="330">
                  <c:v>0.35775897178882049</c:v>
                </c:pt>
                <c:pt idx="331">
                  <c:v>0.35723001747832872</c:v>
                </c:pt>
                <c:pt idx="332">
                  <c:v>0.35680577395997881</c:v>
                </c:pt>
                <c:pt idx="333">
                  <c:v>0.35626868426595099</c:v>
                </c:pt>
                <c:pt idx="334">
                  <c:v>0.35576772600589157</c:v>
                </c:pt>
                <c:pt idx="335">
                  <c:v>0.35529082433819081</c:v>
                </c:pt>
                <c:pt idx="336">
                  <c:v>0.35476017854562014</c:v>
                </c:pt>
                <c:pt idx="337">
                  <c:v>0.35423530326809799</c:v>
                </c:pt>
                <c:pt idx="338">
                  <c:v>0.35371066425752529</c:v>
                </c:pt>
                <c:pt idx="339">
                  <c:v>0.35323287120524727</c:v>
                </c:pt>
                <c:pt idx="340">
                  <c:v>0.35274115689547414</c:v>
                </c:pt>
                <c:pt idx="341">
                  <c:v>0.3522774110686045</c:v>
                </c:pt>
                <c:pt idx="342">
                  <c:v>0.35189592517189633</c:v>
                </c:pt>
                <c:pt idx="343">
                  <c:v>0.35142892173835949</c:v>
                </c:pt>
                <c:pt idx="344">
                  <c:v>0.35092507165589804</c:v>
                </c:pt>
                <c:pt idx="345">
                  <c:v>0.35044708647568024</c:v>
                </c:pt>
                <c:pt idx="346">
                  <c:v>0.35027731512032595</c:v>
                </c:pt>
                <c:pt idx="347">
                  <c:v>0.34986792755966306</c:v>
                </c:pt>
                <c:pt idx="348">
                  <c:v>0.34937088827322704</c:v>
                </c:pt>
                <c:pt idx="349">
                  <c:v>0.34887158546682562</c:v>
                </c:pt>
                <c:pt idx="350">
                  <c:v>0.34848319217701207</c:v>
                </c:pt>
                <c:pt idx="351">
                  <c:v>0.34832898633424447</c:v>
                </c:pt>
                <c:pt idx="352">
                  <c:v>0.34790227833602405</c:v>
                </c:pt>
                <c:pt idx="353">
                  <c:v>0.34744654612529025</c:v>
                </c:pt>
                <c:pt idx="354">
                  <c:v>0.34695557071098138</c:v>
                </c:pt>
                <c:pt idx="355">
                  <c:v>0.34655330158164083</c:v>
                </c:pt>
                <c:pt idx="356">
                  <c:v>0.34607892866590223</c:v>
                </c:pt>
                <c:pt idx="357">
                  <c:v>0.34559585796203202</c:v>
                </c:pt>
                <c:pt idx="358">
                  <c:v>0.34511860211054446</c:v>
                </c:pt>
                <c:pt idx="359">
                  <c:v>0.34464640532598995</c:v>
                </c:pt>
                <c:pt idx="360">
                  <c:v>0.34416833184520351</c:v>
                </c:pt>
                <c:pt idx="361">
                  <c:v>0.34375388760818432</c:v>
                </c:pt>
                <c:pt idx="362">
                  <c:v>0.34345146520795911</c:v>
                </c:pt>
                <c:pt idx="363">
                  <c:v>0.34298022830974206</c:v>
                </c:pt>
                <c:pt idx="364">
                  <c:v>0.34253765890970073</c:v>
                </c:pt>
                <c:pt idx="365">
                  <c:v>0.34207298681396164</c:v>
                </c:pt>
                <c:pt idx="366">
                  <c:v>0.34171768375155076</c:v>
                </c:pt>
                <c:pt idx="367">
                  <c:v>0.34149211977878058</c:v>
                </c:pt>
                <c:pt idx="368">
                  <c:v>0.34106282769709534</c:v>
                </c:pt>
                <c:pt idx="369">
                  <c:v>0.34061512766334867</c:v>
                </c:pt>
                <c:pt idx="370">
                  <c:v>0.34015438804580067</c:v>
                </c:pt>
                <c:pt idx="371">
                  <c:v>0.3398764241842348</c:v>
                </c:pt>
                <c:pt idx="372">
                  <c:v>0.34002930219024635</c:v>
                </c:pt>
                <c:pt idx="373">
                  <c:v>0.34020267972894408</c:v>
                </c:pt>
                <c:pt idx="374">
                  <c:v>0.33975219328051109</c:v>
                </c:pt>
                <c:pt idx="375">
                  <c:v>0.33937458902110801</c:v>
                </c:pt>
                <c:pt idx="376">
                  <c:v>0.33910114383939616</c:v>
                </c:pt>
                <c:pt idx="377">
                  <c:v>0.33872055138052226</c:v>
                </c:pt>
                <c:pt idx="378">
                  <c:v>0.33827914909370027</c:v>
                </c:pt>
                <c:pt idx="379">
                  <c:v>0.33784447155709396</c:v>
                </c:pt>
                <c:pt idx="380">
                  <c:v>0.33740515012051464</c:v>
                </c:pt>
                <c:pt idx="381">
                  <c:v>0.33708689228182726</c:v>
                </c:pt>
                <c:pt idx="382">
                  <c:v>0.33665574417634986</c:v>
                </c:pt>
                <c:pt idx="383">
                  <c:v>0.336233128166948</c:v>
                </c:pt>
                <c:pt idx="384">
                  <c:v>0.33580795162240923</c:v>
                </c:pt>
                <c:pt idx="385">
                  <c:v>0.33537159778544912</c:v>
                </c:pt>
                <c:pt idx="386">
                  <c:v>0.33499869256198822</c:v>
                </c:pt>
                <c:pt idx="387">
                  <c:v>0.3347396845919004</c:v>
                </c:pt>
                <c:pt idx="388">
                  <c:v>0.3343075900232127</c:v>
                </c:pt>
                <c:pt idx="389">
                  <c:v>0.33387745459794199</c:v>
                </c:pt>
                <c:pt idx="390">
                  <c:v>0.33346362819879094</c:v>
                </c:pt>
                <c:pt idx="391">
                  <c:v>0.33305315734956037</c:v>
                </c:pt>
                <c:pt idx="392">
                  <c:v>0.33264809996553257</c:v>
                </c:pt>
                <c:pt idx="393">
                  <c:v>0.33226612910747538</c:v>
                </c:pt>
                <c:pt idx="394">
                  <c:v>0.33184917870470027</c:v>
                </c:pt>
                <c:pt idx="395">
                  <c:v>0.3314456683195206</c:v>
                </c:pt>
                <c:pt idx="396">
                  <c:v>0.33104089578978618</c:v>
                </c:pt>
                <c:pt idx="397">
                  <c:v>0.33064456752182653</c:v>
                </c:pt>
                <c:pt idx="398">
                  <c:v>0.33032064931831551</c:v>
                </c:pt>
                <c:pt idx="399">
                  <c:v>0.32992050318629979</c:v>
                </c:pt>
                <c:pt idx="400">
                  <c:v>0.32954563372803763</c:v>
                </c:pt>
                <c:pt idx="401">
                  <c:v>0.32932657085630085</c:v>
                </c:pt>
                <c:pt idx="402">
                  <c:v>0.32892263497234886</c:v>
                </c:pt>
                <c:pt idx="403">
                  <c:v>0.32851445080511427</c:v>
                </c:pt>
                <c:pt idx="404">
                  <c:v>0.32810686732873107</c:v>
                </c:pt>
                <c:pt idx="405">
                  <c:v>0.32777093379998218</c:v>
                </c:pt>
                <c:pt idx="406">
                  <c:v>0.32738912351132043</c:v>
                </c:pt>
                <c:pt idx="407">
                  <c:v>0.32701768242254636</c:v>
                </c:pt>
                <c:pt idx="408">
                  <c:v>0.32661574241785396</c:v>
                </c:pt>
                <c:pt idx="409">
                  <c:v>0.32622087133744371</c:v>
                </c:pt>
                <c:pt idx="410">
                  <c:v>0.32588707199779721</c:v>
                </c:pt>
                <c:pt idx="411">
                  <c:v>0.32549069352237764</c:v>
                </c:pt>
                <c:pt idx="412">
                  <c:v>0.32528498931668604</c:v>
                </c:pt>
                <c:pt idx="413">
                  <c:v>0.32493792680240624</c:v>
                </c:pt>
                <c:pt idx="414">
                  <c:v>0.32455251041041699</c:v>
                </c:pt>
                <c:pt idx="415">
                  <c:v>0.32416708817907541</c:v>
                </c:pt>
                <c:pt idx="416">
                  <c:v>0.32407666797384388</c:v>
                </c:pt>
                <c:pt idx="417">
                  <c:v>0.32369692065240813</c:v>
                </c:pt>
                <c:pt idx="418">
                  <c:v>0.32341728992205637</c:v>
                </c:pt>
                <c:pt idx="419">
                  <c:v>0.32306020565165067</c:v>
                </c:pt>
                <c:pt idx="420">
                  <c:v>0.32271407708105421</c:v>
                </c:pt>
                <c:pt idx="421">
                  <c:v>0.32234925335581999</c:v>
                </c:pt>
                <c:pt idx="422">
                  <c:v>0.32196627838552588</c:v>
                </c:pt>
                <c:pt idx="423">
                  <c:v>0.32177526697453379</c:v>
                </c:pt>
                <c:pt idx="424">
                  <c:v>0.32140007588338698</c:v>
                </c:pt>
                <c:pt idx="425">
                  <c:v>0.32102147148537991</c:v>
                </c:pt>
                <c:pt idx="426">
                  <c:v>0.32065963038398737</c:v>
                </c:pt>
                <c:pt idx="427">
                  <c:v>0.32077996360853689</c:v>
                </c:pt>
                <c:pt idx="428">
                  <c:v>0.3204048737589808</c:v>
                </c:pt>
                <c:pt idx="429">
                  <c:v>0.32011502320683888</c:v>
                </c:pt>
                <c:pt idx="430">
                  <c:v>0.31975192949675368</c:v>
                </c:pt>
                <c:pt idx="431">
                  <c:v>0.31952378804389292</c:v>
                </c:pt>
                <c:pt idx="432">
                  <c:v>0.31919554315894061</c:v>
                </c:pt>
                <c:pt idx="433">
                  <c:v>0.31882594274949316</c:v>
                </c:pt>
                <c:pt idx="434">
                  <c:v>0.3184578591374711</c:v>
                </c:pt>
                <c:pt idx="435">
                  <c:v>0.31827656927387871</c:v>
                </c:pt>
                <c:pt idx="436">
                  <c:v>0.31791053438121292</c:v>
                </c:pt>
                <c:pt idx="437">
                  <c:v>0.3178976683829039</c:v>
                </c:pt>
                <c:pt idx="438">
                  <c:v>0.3175368564907623</c:v>
                </c:pt>
                <c:pt idx="439">
                  <c:v>0.31731497088300775</c:v>
                </c:pt>
                <c:pt idx="440">
                  <c:v>0.3170662521053495</c:v>
                </c:pt>
                <c:pt idx="441">
                  <c:v>0.31775974785827971</c:v>
                </c:pt>
                <c:pt idx="442">
                  <c:v>0.31747170066336466</c:v>
                </c:pt>
                <c:pt idx="443">
                  <c:v>0.31712481290126882</c:v>
                </c:pt>
                <c:pt idx="444">
                  <c:v>0.31680015908275011</c:v>
                </c:pt>
                <c:pt idx="445">
                  <c:v>0.31649981867146626</c:v>
                </c:pt>
                <c:pt idx="446">
                  <c:v>0.31640768671182717</c:v>
                </c:pt>
                <c:pt idx="447">
                  <c:v>0.3160824345317183</c:v>
                </c:pt>
                <c:pt idx="448">
                  <c:v>0.31573225572131869</c:v>
                </c:pt>
                <c:pt idx="449">
                  <c:v>0.31563562645422927</c:v>
                </c:pt>
                <c:pt idx="450">
                  <c:v>0.31531573939865265</c:v>
                </c:pt>
                <c:pt idx="451">
                  <c:v>0.31502032970329025</c:v>
                </c:pt>
                <c:pt idx="452">
                  <c:v>0.3146891603387108</c:v>
                </c:pt>
                <c:pt idx="453">
                  <c:v>0.31434636500825969</c:v>
                </c:pt>
                <c:pt idx="454">
                  <c:v>0.31405074697791074</c:v>
                </c:pt>
                <c:pt idx="455">
                  <c:v>0.31372982471955946</c:v>
                </c:pt>
                <c:pt idx="456">
                  <c:v>0.31349308569145112</c:v>
                </c:pt>
                <c:pt idx="457">
                  <c:v>0.31326813608511911</c:v>
                </c:pt>
                <c:pt idx="458">
                  <c:v>0.31293135224758201</c:v>
                </c:pt>
                <c:pt idx="459">
                  <c:v>0.31265113323308852</c:v>
                </c:pt>
                <c:pt idx="460">
                  <c:v>0.31256971763489261</c:v>
                </c:pt>
                <c:pt idx="461">
                  <c:v>0.31255421973327635</c:v>
                </c:pt>
                <c:pt idx="462">
                  <c:v>0.312223627542843</c:v>
                </c:pt>
                <c:pt idx="463">
                  <c:v>0.31214219131133292</c:v>
                </c:pt>
                <c:pt idx="464">
                  <c:v>0.31182045349782028</c:v>
                </c:pt>
                <c:pt idx="465">
                  <c:v>0.31148603418004434</c:v>
                </c:pt>
                <c:pt idx="466">
                  <c:v>0.31118539712304355</c:v>
                </c:pt>
                <c:pt idx="467">
                  <c:v>0.31087213053146129</c:v>
                </c:pt>
                <c:pt idx="468">
                  <c:v>0.31056850522583535</c:v>
                </c:pt>
                <c:pt idx="469">
                  <c:v>0.31025959043644818</c:v>
                </c:pt>
                <c:pt idx="470">
                  <c:v>0.31005583574297191</c:v>
                </c:pt>
                <c:pt idx="471">
                  <c:v>0.30973071524404033</c:v>
                </c:pt>
                <c:pt idx="472">
                  <c:v>0.30967830740703384</c:v>
                </c:pt>
                <c:pt idx="473">
                  <c:v>0.30935175432104961</c:v>
                </c:pt>
                <c:pt idx="474">
                  <c:v>0.30946102397648323</c:v>
                </c:pt>
                <c:pt idx="475">
                  <c:v>0.30927640165645359</c:v>
                </c:pt>
                <c:pt idx="476">
                  <c:v>0.30901192178328862</c:v>
                </c:pt>
                <c:pt idx="477">
                  <c:v>0.30876753627425929</c:v>
                </c:pt>
                <c:pt idx="478">
                  <c:v>0.30845659017030708</c:v>
                </c:pt>
                <c:pt idx="479">
                  <c:v>0.30815698264983843</c:v>
                </c:pt>
                <c:pt idx="480">
                  <c:v>0.30783578900658637</c:v>
                </c:pt>
                <c:pt idx="481">
                  <c:v>0.3075351311503991</c:v>
                </c:pt>
                <c:pt idx="482">
                  <c:v>0.30723621311065613</c:v>
                </c:pt>
                <c:pt idx="483">
                  <c:v>0.30692186377022179</c:v>
                </c:pt>
                <c:pt idx="484">
                  <c:v>0.30660714220309959</c:v>
                </c:pt>
                <c:pt idx="485">
                  <c:v>0.30638265374051055</c:v>
                </c:pt>
                <c:pt idx="486">
                  <c:v>0.30608885692923749</c:v>
                </c:pt>
                <c:pt idx="487">
                  <c:v>0.30584441738354512</c:v>
                </c:pt>
                <c:pt idx="488">
                  <c:v>0.30555594359067673</c:v>
                </c:pt>
                <c:pt idx="489">
                  <c:v>0.30524293675127467</c:v>
                </c:pt>
                <c:pt idx="490">
                  <c:v>0.30493499881552349</c:v>
                </c:pt>
                <c:pt idx="491">
                  <c:v>0.30467040638109993</c:v>
                </c:pt>
                <c:pt idx="492">
                  <c:v>0.30436097081382762</c:v>
                </c:pt>
                <c:pt idx="493">
                  <c:v>0.30405217201951462</c:v>
                </c:pt>
                <c:pt idx="494">
                  <c:v>0.30384122519704199</c:v>
                </c:pt>
                <c:pt idx="495">
                  <c:v>0.30356932879528697</c:v>
                </c:pt>
                <c:pt idx="496">
                  <c:v>0.30326962638945343</c:v>
                </c:pt>
                <c:pt idx="497">
                  <c:v>0.30296461457562501</c:v>
                </c:pt>
                <c:pt idx="498">
                  <c:v>0.30266491141400748</c:v>
                </c:pt>
                <c:pt idx="499">
                  <c:v>0.30237946520340636</c:v>
                </c:pt>
                <c:pt idx="500">
                  <c:v>0.30209167628759925</c:v>
                </c:pt>
                <c:pt idx="501">
                  <c:v>0.30179161775372321</c:v>
                </c:pt>
                <c:pt idx="502">
                  <c:v>0.30149462610170669</c:v>
                </c:pt>
                <c:pt idx="503">
                  <c:v>0.3012006871665695</c:v>
                </c:pt>
                <c:pt idx="504">
                  <c:v>0.30094697841501933</c:v>
                </c:pt>
                <c:pt idx="505">
                  <c:v>0.30069091329485875</c:v>
                </c:pt>
                <c:pt idx="506">
                  <c:v>0.30039821437301584</c:v>
                </c:pt>
                <c:pt idx="507">
                  <c:v>0.30014545244323337</c:v>
                </c:pt>
                <c:pt idx="508">
                  <c:v>0.29985648816309529</c:v>
                </c:pt>
                <c:pt idx="509">
                  <c:v>0.2995662631727638</c:v>
                </c:pt>
                <c:pt idx="510">
                  <c:v>0.29932223329084218</c:v>
                </c:pt>
                <c:pt idx="511">
                  <c:v>0.29906689628726874</c:v>
                </c:pt>
                <c:pt idx="512">
                  <c:v>0.29890977574603156</c:v>
                </c:pt>
                <c:pt idx="513">
                  <c:v>0.29862468189332236</c:v>
                </c:pt>
                <c:pt idx="514">
                  <c:v>0.29833824227628286</c:v>
                </c:pt>
                <c:pt idx="515">
                  <c:v>0.29813314270213698</c:v>
                </c:pt>
                <c:pt idx="516">
                  <c:v>0.29785222799898087</c:v>
                </c:pt>
                <c:pt idx="517">
                  <c:v>0.29756756692220915</c:v>
                </c:pt>
                <c:pt idx="518">
                  <c:v>0.29728077984751194</c:v>
                </c:pt>
                <c:pt idx="519">
                  <c:v>0.29699567117525927</c:v>
                </c:pt>
                <c:pt idx="520">
                  <c:v>0.2967144709504862</c:v>
                </c:pt>
                <c:pt idx="521">
                  <c:v>0.29646980505097381</c:v>
                </c:pt>
                <c:pt idx="522">
                  <c:v>0.29622688136541453</c:v>
                </c:pt>
                <c:pt idx="523">
                  <c:v>0.29595048173151545</c:v>
                </c:pt>
                <c:pt idx="524">
                  <c:v>0.2960330501805109</c:v>
                </c:pt>
                <c:pt idx="525">
                  <c:v>0.29587683509559043</c:v>
                </c:pt>
                <c:pt idx="526">
                  <c:v>0.29566388479473038</c:v>
                </c:pt>
                <c:pt idx="527">
                  <c:v>0.29550266839423467</c:v>
                </c:pt>
                <c:pt idx="528">
                  <c:v>0.29522406153940112</c:v>
                </c:pt>
                <c:pt idx="529">
                  <c:v>0.29499933504599252</c:v>
                </c:pt>
                <c:pt idx="530">
                  <c:v>0.29486126793955258</c:v>
                </c:pt>
                <c:pt idx="531">
                  <c:v>0.29475108064348648</c:v>
                </c:pt>
                <c:pt idx="532">
                  <c:v>0.29459910800633998</c:v>
                </c:pt>
                <c:pt idx="533">
                  <c:v>0.29432742820874164</c:v>
                </c:pt>
                <c:pt idx="534">
                  <c:v>0.29406904488179125</c:v>
                </c:pt>
                <c:pt idx="535">
                  <c:v>0.29381487860209421</c:v>
                </c:pt>
                <c:pt idx="536">
                  <c:v>0.29363715283343611</c:v>
                </c:pt>
                <c:pt idx="537">
                  <c:v>0.29338020197975673</c:v>
                </c:pt>
                <c:pt idx="538">
                  <c:v>0.2931982547993664</c:v>
                </c:pt>
                <c:pt idx="539">
                  <c:v>0.29292569594123619</c:v>
                </c:pt>
                <c:pt idx="540">
                  <c:v>0.29265963822651819</c:v>
                </c:pt>
                <c:pt idx="541">
                  <c:v>0.29239165383062016</c:v>
                </c:pt>
                <c:pt idx="542">
                  <c:v>0.29217784159777338</c:v>
                </c:pt>
                <c:pt idx="543">
                  <c:v>0.29192417621615652</c:v>
                </c:pt>
                <c:pt idx="544">
                  <c:v>0.29178232228521001</c:v>
                </c:pt>
                <c:pt idx="545">
                  <c:v>0.29156092168419684</c:v>
                </c:pt>
                <c:pt idx="546">
                  <c:v>0.29131201485323877</c:v>
                </c:pt>
                <c:pt idx="547">
                  <c:v>0.291246718230385</c:v>
                </c:pt>
                <c:pt idx="548">
                  <c:v>0.29098117176035337</c:v>
                </c:pt>
                <c:pt idx="549">
                  <c:v>0.29072829644289788</c:v>
                </c:pt>
                <c:pt idx="550">
                  <c:v>0.29049404453363842</c:v>
                </c:pt>
                <c:pt idx="551">
                  <c:v>0.29022987077746648</c:v>
                </c:pt>
                <c:pt idx="552">
                  <c:v>0.28997990122526646</c:v>
                </c:pt>
                <c:pt idx="553">
                  <c:v>0.28996702596265966</c:v>
                </c:pt>
                <c:pt idx="554">
                  <c:v>0.2897116598883494</c:v>
                </c:pt>
                <c:pt idx="555">
                  <c:v>0.28946572718948649</c:v>
                </c:pt>
                <c:pt idx="556">
                  <c:v>0.2892048419948855</c:v>
                </c:pt>
                <c:pt idx="557">
                  <c:v>0.28894717192273284</c:v>
                </c:pt>
                <c:pt idx="558">
                  <c:v>0.28868777341821511</c:v>
                </c:pt>
                <c:pt idx="559">
                  <c:v>0.28843687816025637</c:v>
                </c:pt>
                <c:pt idx="560">
                  <c:v>0.28835759971493757</c:v>
                </c:pt>
                <c:pt idx="561">
                  <c:v>0.28812150589296726</c:v>
                </c:pt>
                <c:pt idx="562">
                  <c:v>0.28793680916923503</c:v>
                </c:pt>
                <c:pt idx="563">
                  <c:v>0.28774044965708556</c:v>
                </c:pt>
                <c:pt idx="564">
                  <c:v>0.28748729200804252</c:v>
                </c:pt>
                <c:pt idx="565">
                  <c:v>0.28723816892790788</c:v>
                </c:pt>
                <c:pt idx="566">
                  <c:v>0.28703192101417985</c:v>
                </c:pt>
                <c:pt idx="567">
                  <c:v>0.28677858516310845</c:v>
                </c:pt>
                <c:pt idx="568">
                  <c:v>0.28652560070203631</c:v>
                </c:pt>
                <c:pt idx="569">
                  <c:v>0.28635026505168731</c:v>
                </c:pt>
                <c:pt idx="570">
                  <c:v>0.28613494749113977</c:v>
                </c:pt>
                <c:pt idx="571">
                  <c:v>0.28588553208856937</c:v>
                </c:pt>
                <c:pt idx="572">
                  <c:v>0.28574629394244244</c:v>
                </c:pt>
                <c:pt idx="573">
                  <c:v>0.28549883335268605</c:v>
                </c:pt>
                <c:pt idx="574">
                  <c:v>0.28525091154522259</c:v>
                </c:pt>
                <c:pt idx="575">
                  <c:v>0.28532431904874161</c:v>
                </c:pt>
                <c:pt idx="576">
                  <c:v>0.28575670816669452</c:v>
                </c:pt>
                <c:pt idx="577">
                  <c:v>0.28583112452570963</c:v>
                </c:pt>
                <c:pt idx="578">
                  <c:v>0.28570370626215735</c:v>
                </c:pt>
                <c:pt idx="579">
                  <c:v>0.28595185199746759</c:v>
                </c:pt>
                <c:pt idx="580">
                  <c:v>0.28571933333245791</c:v>
                </c:pt>
                <c:pt idx="581">
                  <c:v>0.28553596486340588</c:v>
                </c:pt>
                <c:pt idx="582">
                  <c:v>0.28529453793858889</c:v>
                </c:pt>
                <c:pt idx="583">
                  <c:v>0.28529002745867649</c:v>
                </c:pt>
                <c:pt idx="584">
                  <c:v>0.28504987730153164</c:v>
                </c:pt>
                <c:pt idx="585">
                  <c:v>0.28484907912566382</c:v>
                </c:pt>
                <c:pt idx="586">
                  <c:v>0.28463051579206888</c:v>
                </c:pt>
                <c:pt idx="587">
                  <c:v>0.28442061992708212</c:v>
                </c:pt>
                <c:pt idx="588">
                  <c:v>0.2841880695419704</c:v>
                </c:pt>
                <c:pt idx="589">
                  <c:v>0.28403762341097771</c:v>
                </c:pt>
                <c:pt idx="590">
                  <c:v>0.28380054359843188</c:v>
                </c:pt>
                <c:pt idx="591">
                  <c:v>0.28370694512028866</c:v>
                </c:pt>
                <c:pt idx="592">
                  <c:v>0.28357793902623352</c:v>
                </c:pt>
                <c:pt idx="593">
                  <c:v>0.28336045846644775</c:v>
                </c:pt>
                <c:pt idx="594">
                  <c:v>0.28316087017865788</c:v>
                </c:pt>
                <c:pt idx="595">
                  <c:v>0.28303833628625708</c:v>
                </c:pt>
                <c:pt idx="596">
                  <c:v>0.28280153709709011</c:v>
                </c:pt>
                <c:pt idx="597">
                  <c:v>0.28267415895687487</c:v>
                </c:pt>
                <c:pt idx="598">
                  <c:v>0.28259463012255009</c:v>
                </c:pt>
                <c:pt idx="599">
                  <c:v>0.2826430633070916</c:v>
                </c:pt>
                <c:pt idx="600">
                  <c:v>0.28241279907260419</c:v>
                </c:pt>
                <c:pt idx="601">
                  <c:v>0.28219128709643676</c:v>
                </c:pt>
                <c:pt idx="602">
                  <c:v>0.28212127314780289</c:v>
                </c:pt>
                <c:pt idx="603">
                  <c:v>0.2818869686749797</c:v>
                </c:pt>
                <c:pt idx="604">
                  <c:v>0.28169557911049675</c:v>
                </c:pt>
                <c:pt idx="605">
                  <c:v>0.28161437917604071</c:v>
                </c:pt>
                <c:pt idx="606">
                  <c:v>0.28138468339100431</c:v>
                </c:pt>
                <c:pt idx="607">
                  <c:v>0.28129760062211118</c:v>
                </c:pt>
                <c:pt idx="608">
                  <c:v>0.28130554779717615</c:v>
                </c:pt>
                <c:pt idx="609">
                  <c:v>0.28113491852881572</c:v>
                </c:pt>
                <c:pt idx="610">
                  <c:v>0.28123835873909325</c:v>
                </c:pt>
                <c:pt idx="611">
                  <c:v>0.28119620130080319</c:v>
                </c:pt>
                <c:pt idx="612">
                  <c:v>0.28096730052537355</c:v>
                </c:pt>
                <c:pt idx="613">
                  <c:v>0.28095538225453753</c:v>
                </c:pt>
                <c:pt idx="614">
                  <c:v>0.28122231314673968</c:v>
                </c:pt>
                <c:pt idx="615">
                  <c:v>0.28111794508373883</c:v>
                </c:pt>
                <c:pt idx="616">
                  <c:v>0.28098554360281597</c:v>
                </c:pt>
                <c:pt idx="617">
                  <c:v>0.28088596589043324</c:v>
                </c:pt>
                <c:pt idx="618">
                  <c:v>0.28080493083804442</c:v>
                </c:pt>
                <c:pt idx="619">
                  <c:v>0.28057886587067182</c:v>
                </c:pt>
                <c:pt idx="620">
                  <c:v>0.28055213722502925</c:v>
                </c:pt>
                <c:pt idx="621">
                  <c:v>0.28032613427425968</c:v>
                </c:pt>
                <c:pt idx="622">
                  <c:v>0.28011254999585899</c:v>
                </c:pt>
                <c:pt idx="623">
                  <c:v>0.27989502416613538</c:v>
                </c:pt>
                <c:pt idx="624">
                  <c:v>0.27972229117666914</c:v>
                </c:pt>
                <c:pt idx="625">
                  <c:v>0.279505557722312</c:v>
                </c:pt>
                <c:pt idx="626">
                  <c:v>0.27928710037433652</c:v>
                </c:pt>
                <c:pt idx="627">
                  <c:v>0.27916017460324782</c:v>
                </c:pt>
                <c:pt idx="628">
                  <c:v>0.27894236718958543</c:v>
                </c:pt>
                <c:pt idx="629">
                  <c:v>0.27877897541972796</c:v>
                </c:pt>
                <c:pt idx="630">
                  <c:v>0.27856125991838609</c:v>
                </c:pt>
                <c:pt idx="631">
                  <c:v>0.27837253154363339</c:v>
                </c:pt>
                <c:pt idx="632">
                  <c:v>0.27819352385926271</c:v>
                </c:pt>
                <c:pt idx="633">
                  <c:v>0.27797350516495312</c:v>
                </c:pt>
                <c:pt idx="634">
                  <c:v>0.27777308803681044</c:v>
                </c:pt>
                <c:pt idx="635">
                  <c:v>0.2775603122196989</c:v>
                </c:pt>
                <c:pt idx="636">
                  <c:v>0.27735614722341684</c:v>
                </c:pt>
                <c:pt idx="637">
                  <c:v>0.27714246426885808</c:v>
                </c:pt>
                <c:pt idx="638">
                  <c:v>0.27702369325517084</c:v>
                </c:pt>
                <c:pt idx="639">
                  <c:v>0.27681092205628688</c:v>
                </c:pt>
                <c:pt idx="640">
                  <c:v>0.27659484922159572</c:v>
                </c:pt>
                <c:pt idx="641">
                  <c:v>0.27642504992045575</c:v>
                </c:pt>
                <c:pt idx="642">
                  <c:v>0.2762252800180221</c:v>
                </c:pt>
                <c:pt idx="643">
                  <c:v>0.27601172944324498</c:v>
                </c:pt>
                <c:pt idx="644">
                  <c:v>0.27581457099278633</c:v>
                </c:pt>
                <c:pt idx="645">
                  <c:v>0.27560351789719828</c:v>
                </c:pt>
                <c:pt idx="646">
                  <c:v>0.2754074158314333</c:v>
                </c:pt>
                <c:pt idx="647">
                  <c:v>0.27520733292205884</c:v>
                </c:pt>
                <c:pt idx="648">
                  <c:v>0.27502601707498364</c:v>
                </c:pt>
                <c:pt idx="649">
                  <c:v>0.27482444645236265</c:v>
                </c:pt>
                <c:pt idx="650">
                  <c:v>0.27462480184217142</c:v>
                </c:pt>
                <c:pt idx="651">
                  <c:v>0.27441355998676326</c:v>
                </c:pt>
                <c:pt idx="652">
                  <c:v>0.27420291468288271</c:v>
                </c:pt>
                <c:pt idx="653">
                  <c:v>0.27399300064676285</c:v>
                </c:pt>
                <c:pt idx="654">
                  <c:v>0.27382676083750657</c:v>
                </c:pt>
                <c:pt idx="655">
                  <c:v>0.27374796229721837</c:v>
                </c:pt>
                <c:pt idx="656">
                  <c:v>0.27368824315462342</c:v>
                </c:pt>
                <c:pt idx="657">
                  <c:v>0.27349145962953619</c:v>
                </c:pt>
                <c:pt idx="658">
                  <c:v>0.27329565666030325</c:v>
                </c:pt>
                <c:pt idx="659">
                  <c:v>0.27309377092885773</c:v>
                </c:pt>
                <c:pt idx="660">
                  <c:v>0.27298737663475708</c:v>
                </c:pt>
                <c:pt idx="661">
                  <c:v>0.27280354449400568</c:v>
                </c:pt>
                <c:pt idx="662">
                  <c:v>0.27261488916591109</c:v>
                </c:pt>
                <c:pt idx="663">
                  <c:v>0.27243836617833139</c:v>
                </c:pt>
                <c:pt idx="664">
                  <c:v>0.27223846906338528</c:v>
                </c:pt>
                <c:pt idx="665">
                  <c:v>0.27203339591623577</c:v>
                </c:pt>
                <c:pt idx="666">
                  <c:v>0.27182879493933965</c:v>
                </c:pt>
                <c:pt idx="667">
                  <c:v>0.27164186009172409</c:v>
                </c:pt>
                <c:pt idx="668">
                  <c:v>0.27144187055309588</c:v>
                </c:pt>
                <c:pt idx="669">
                  <c:v>0.2712394142936202</c:v>
                </c:pt>
                <c:pt idx="670">
                  <c:v>0.27106484707651579</c:v>
                </c:pt>
                <c:pt idx="671">
                  <c:v>0.27087757391976441</c:v>
                </c:pt>
                <c:pt idx="672">
                  <c:v>0.27088806472355031</c:v>
                </c:pt>
                <c:pt idx="673">
                  <c:v>0.27079136945867271</c:v>
                </c:pt>
                <c:pt idx="674">
                  <c:v>0.27059014708609302</c:v>
                </c:pt>
                <c:pt idx="675">
                  <c:v>0.27039010703840782</c:v>
                </c:pt>
                <c:pt idx="676">
                  <c:v>0.27024584552699632</c:v>
                </c:pt>
                <c:pt idx="677">
                  <c:v>0.27004600526294353</c:v>
                </c:pt>
                <c:pt idx="678">
                  <c:v>0.26984737448960039</c:v>
                </c:pt>
                <c:pt idx="679">
                  <c:v>0.26971178795215239</c:v>
                </c:pt>
                <c:pt idx="680">
                  <c:v>0.26951430387366743</c:v>
                </c:pt>
                <c:pt idx="681">
                  <c:v>0.2693746812100854</c:v>
                </c:pt>
                <c:pt idx="682">
                  <c:v>0.2691881821835182</c:v>
                </c:pt>
                <c:pt idx="683">
                  <c:v>0.26899263458634343</c:v>
                </c:pt>
                <c:pt idx="684">
                  <c:v>0.26884281071905403</c:v>
                </c:pt>
                <c:pt idx="685">
                  <c:v>0.26864967909317089</c:v>
                </c:pt>
                <c:pt idx="686">
                  <c:v>0.26845547284380461</c:v>
                </c:pt>
                <c:pt idx="687">
                  <c:v>0.2683352993857776</c:v>
                </c:pt>
                <c:pt idx="688">
                  <c:v>0.26814504427740948</c:v>
                </c:pt>
                <c:pt idx="689">
                  <c:v>0.26795117899797427</c:v>
                </c:pt>
                <c:pt idx="690">
                  <c:v>0.26775839705405224</c:v>
                </c:pt>
                <c:pt idx="691">
                  <c:v>0.26756768889690702</c:v>
                </c:pt>
                <c:pt idx="692">
                  <c:v>0.2673821540591399</c:v>
                </c:pt>
                <c:pt idx="693">
                  <c:v>0.26719015389352224</c:v>
                </c:pt>
                <c:pt idx="694">
                  <c:v>0.26700063672614199</c:v>
                </c:pt>
                <c:pt idx="695">
                  <c:v>0.26681999531144557</c:v>
                </c:pt>
                <c:pt idx="696">
                  <c:v>0.26663352765470749</c:v>
                </c:pt>
                <c:pt idx="697">
                  <c:v>0.26651040634496115</c:v>
                </c:pt>
                <c:pt idx="698">
                  <c:v>0.26632244353509082</c:v>
                </c:pt>
                <c:pt idx="699">
                  <c:v>0.26621063577113346</c:v>
                </c:pt>
                <c:pt idx="700">
                  <c:v>0.2660543756926837</c:v>
                </c:pt>
                <c:pt idx="701">
                  <c:v>0.2658936052973383</c:v>
                </c:pt>
                <c:pt idx="702">
                  <c:v>0.26572413352504948</c:v>
                </c:pt>
                <c:pt idx="703">
                  <c:v>0.26554333708806838</c:v>
                </c:pt>
                <c:pt idx="704">
                  <c:v>0.2653809631222358</c:v>
                </c:pt>
                <c:pt idx="705">
                  <c:v>0.26519295255991954</c:v>
                </c:pt>
                <c:pt idx="706">
                  <c:v>0.26500939544091756</c:v>
                </c:pt>
                <c:pt idx="707">
                  <c:v>0.26483827026358581</c:v>
                </c:pt>
                <c:pt idx="708">
                  <c:v>0.26469113136530925</c:v>
                </c:pt>
                <c:pt idx="709">
                  <c:v>0.26457666476506175</c:v>
                </c:pt>
                <c:pt idx="710">
                  <c:v>0.26445497109682869</c:v>
                </c:pt>
                <c:pt idx="711">
                  <c:v>0.2643115961929387</c:v>
                </c:pt>
                <c:pt idx="712">
                  <c:v>0.26413431736495274</c:v>
                </c:pt>
                <c:pt idx="713">
                  <c:v>0.2639531260054746</c:v>
                </c:pt>
                <c:pt idx="714">
                  <c:v>0.26376902077554487</c:v>
                </c:pt>
                <c:pt idx="715">
                  <c:v>0.26359010186642334</c:v>
                </c:pt>
                <c:pt idx="716">
                  <c:v>0.26340573402898931</c:v>
                </c:pt>
                <c:pt idx="717">
                  <c:v>0.26325884026684176</c:v>
                </c:pt>
                <c:pt idx="718">
                  <c:v>0.2630787445338289</c:v>
                </c:pt>
                <c:pt idx="719">
                  <c:v>0.26291615689456543</c:v>
                </c:pt>
                <c:pt idx="720">
                  <c:v>0.26276246137940545</c:v>
                </c:pt>
                <c:pt idx="721">
                  <c:v>0.26258079637782822</c:v>
                </c:pt>
                <c:pt idx="722">
                  <c:v>0.26243426115951046</c:v>
                </c:pt>
                <c:pt idx="723">
                  <c:v>0.2622673448272777</c:v>
                </c:pt>
                <c:pt idx="724">
                  <c:v>0.26211377023163424</c:v>
                </c:pt>
                <c:pt idx="725">
                  <c:v>0.26193292929655376</c:v>
                </c:pt>
                <c:pt idx="726">
                  <c:v>0.26175225971231963</c:v>
                </c:pt>
                <c:pt idx="727">
                  <c:v>0.26157324325497439</c:v>
                </c:pt>
                <c:pt idx="728">
                  <c:v>0.26145537814371811</c:v>
                </c:pt>
                <c:pt idx="729">
                  <c:v>0.26127630871836671</c:v>
                </c:pt>
                <c:pt idx="730">
                  <c:v>0.2610974913994204</c:v>
                </c:pt>
                <c:pt idx="731">
                  <c:v>0.26092189563988533</c:v>
                </c:pt>
                <c:pt idx="732">
                  <c:v>0.2607503367308307</c:v>
                </c:pt>
                <c:pt idx="733">
                  <c:v>0.2605764967656935</c:v>
                </c:pt>
                <c:pt idx="734">
                  <c:v>0.26040376705486901</c:v>
                </c:pt>
                <c:pt idx="735">
                  <c:v>0.26022668937948867</c:v>
                </c:pt>
                <c:pt idx="736">
                  <c:v>0.26007922673864475</c:v>
                </c:pt>
                <c:pt idx="737">
                  <c:v>0.25991231713034102</c:v>
                </c:pt>
                <c:pt idx="738">
                  <c:v>0.25974018410209759</c:v>
                </c:pt>
                <c:pt idx="739">
                  <c:v>0.25956570616493319</c:v>
                </c:pt>
                <c:pt idx="740">
                  <c:v>0.25939114357403653</c:v>
                </c:pt>
                <c:pt idx="741">
                  <c:v>0.2592203859750481</c:v>
                </c:pt>
                <c:pt idx="742">
                  <c:v>0.25904545233684084</c:v>
                </c:pt>
                <c:pt idx="743">
                  <c:v>0.25887404950468873</c:v>
                </c:pt>
                <c:pt idx="744">
                  <c:v>0.25870860408644841</c:v>
                </c:pt>
                <c:pt idx="745">
                  <c:v>0.25856366506134476</c:v>
                </c:pt>
                <c:pt idx="746">
                  <c:v>0.25839777521285073</c:v>
                </c:pt>
                <c:pt idx="747">
                  <c:v>0.25831903556755864</c:v>
                </c:pt>
                <c:pt idx="748">
                  <c:v>0.25831836082290399</c:v>
                </c:pt>
                <c:pt idx="749">
                  <c:v>0.25853317657038244</c:v>
                </c:pt>
                <c:pt idx="750">
                  <c:v>0.25844768892939957</c:v>
                </c:pt>
                <c:pt idx="751">
                  <c:v>0.25827881749426812</c:v>
                </c:pt>
                <c:pt idx="752">
                  <c:v>0.25824128288061354</c:v>
                </c:pt>
                <c:pt idx="753">
                  <c:v>0.25807950320983214</c:v>
                </c:pt>
                <c:pt idx="754">
                  <c:v>0.25809172420010795</c:v>
                </c:pt>
                <c:pt idx="755">
                  <c:v>0.2579502579046023</c:v>
                </c:pt>
                <c:pt idx="756">
                  <c:v>0.25786323561379038</c:v>
                </c:pt>
                <c:pt idx="757">
                  <c:v>0.25770100934758433</c:v>
                </c:pt>
                <c:pt idx="758">
                  <c:v>0.25835077818336272</c:v>
                </c:pt>
                <c:pt idx="759">
                  <c:v>0.25831418937183692</c:v>
                </c:pt>
                <c:pt idx="760">
                  <c:v>0.25831897595423781</c:v>
                </c:pt>
                <c:pt idx="761">
                  <c:v>0.2581518960532464</c:v>
                </c:pt>
                <c:pt idx="762">
                  <c:v>0.25835956536901572</c:v>
                </c:pt>
                <c:pt idx="763">
                  <c:v>0.25820435870061342</c:v>
                </c:pt>
                <c:pt idx="764">
                  <c:v>0.2583581958790987</c:v>
                </c:pt>
                <c:pt idx="765">
                  <c:v>0.25819487917742606</c:v>
                </c:pt>
                <c:pt idx="766">
                  <c:v>0.25811975955253785</c:v>
                </c:pt>
                <c:pt idx="767">
                  <c:v>0.25801974526519544</c:v>
                </c:pt>
                <c:pt idx="768">
                  <c:v>0.25790294822831933</c:v>
                </c:pt>
                <c:pt idx="769">
                  <c:v>0.25783465784296999</c:v>
                </c:pt>
                <c:pt idx="770">
                  <c:v>0.25769861871465011</c:v>
                </c:pt>
                <c:pt idx="771">
                  <c:v>0.25753149648917045</c:v>
                </c:pt>
                <c:pt idx="772">
                  <c:v>0.25736613915990925</c:v>
                </c:pt>
                <c:pt idx="773">
                  <c:v>0.25723146304485106</c:v>
                </c:pt>
                <c:pt idx="774">
                  <c:v>0.25706956152341037</c:v>
                </c:pt>
                <c:pt idx="775">
                  <c:v>0.25692688467355634</c:v>
                </c:pt>
                <c:pt idx="776">
                  <c:v>0.25695755532405573</c:v>
                </c:pt>
                <c:pt idx="777">
                  <c:v>0.25683810810658303</c:v>
                </c:pt>
                <c:pt idx="778">
                  <c:v>0.25671882677048874</c:v>
                </c:pt>
                <c:pt idx="779">
                  <c:v>0.25669478490584341</c:v>
                </c:pt>
                <c:pt idx="780">
                  <c:v>0.25653084551820676</c:v>
                </c:pt>
                <c:pt idx="781">
                  <c:v>0.25642333940628448</c:v>
                </c:pt>
                <c:pt idx="782">
                  <c:v>0.25625948948857508</c:v>
                </c:pt>
                <c:pt idx="783">
                  <c:v>0.25609606710112842</c:v>
                </c:pt>
                <c:pt idx="784">
                  <c:v>0.25608623353884191</c:v>
                </c:pt>
                <c:pt idx="785">
                  <c:v>0.25641602783691181</c:v>
                </c:pt>
                <c:pt idx="786">
                  <c:v>0.25628029389269719</c:v>
                </c:pt>
                <c:pt idx="787">
                  <c:v>0.25633378715539085</c:v>
                </c:pt>
                <c:pt idx="788">
                  <c:v>0.25628966236844403</c:v>
                </c:pt>
                <c:pt idx="789">
                  <c:v>0.25612716650451428</c:v>
                </c:pt>
                <c:pt idx="790">
                  <c:v>0.25598521011278219</c:v>
                </c:pt>
                <c:pt idx="791">
                  <c:v>0.25584630103004341</c:v>
                </c:pt>
                <c:pt idx="792">
                  <c:v>0.25579202214238894</c:v>
                </c:pt>
                <c:pt idx="793">
                  <c:v>0.25582729145072775</c:v>
                </c:pt>
                <c:pt idx="794">
                  <c:v>0.25570401974375362</c:v>
                </c:pt>
                <c:pt idx="795">
                  <c:v>0.2557305996993815</c:v>
                </c:pt>
                <c:pt idx="796">
                  <c:v>0.25573125260044621</c:v>
                </c:pt>
                <c:pt idx="797">
                  <c:v>0.25583906651797655</c:v>
                </c:pt>
                <c:pt idx="798">
                  <c:v>0.25610524568081611</c:v>
                </c:pt>
                <c:pt idx="799">
                  <c:v>0.25735367126463243</c:v>
                </c:pt>
                <c:pt idx="800">
                  <c:v>0.25721095976864045</c:v>
                </c:pt>
                <c:pt idx="801">
                  <c:v>0.25705152605780235</c:v>
                </c:pt>
                <c:pt idx="802">
                  <c:v>0.25689994881657369</c:v>
                </c:pt>
                <c:pt idx="803">
                  <c:v>0.25682128433122575</c:v>
                </c:pt>
                <c:pt idx="804">
                  <c:v>0.25673890812985084</c:v>
                </c:pt>
                <c:pt idx="805">
                  <c:v>0.25725945989975946</c:v>
                </c:pt>
                <c:pt idx="806">
                  <c:v>0.25719655134931968</c:v>
                </c:pt>
                <c:pt idx="807">
                  <c:v>0.25705527784328136</c:v>
                </c:pt>
                <c:pt idx="808">
                  <c:v>0.25690949190835705</c:v>
                </c:pt>
                <c:pt idx="809">
                  <c:v>0.25678356661731394</c:v>
                </c:pt>
                <c:pt idx="810">
                  <c:v>0.25662482955047305</c:v>
                </c:pt>
                <c:pt idx="811">
                  <c:v>0.2564812571496366</c:v>
                </c:pt>
                <c:pt idx="812">
                  <c:v>0.25633252174594051</c:v>
                </c:pt>
                <c:pt idx="813">
                  <c:v>0.25617588848295436</c:v>
                </c:pt>
                <c:pt idx="814">
                  <c:v>0.25604124492596109</c:v>
                </c:pt>
                <c:pt idx="815">
                  <c:v>0.25598186879007967</c:v>
                </c:pt>
                <c:pt idx="816">
                  <c:v>0.2559596857009227</c:v>
                </c:pt>
                <c:pt idx="817">
                  <c:v>0.25580280339327321</c:v>
                </c:pt>
                <c:pt idx="818">
                  <c:v>0.2556467869561983</c:v>
                </c:pt>
                <c:pt idx="819">
                  <c:v>0.25554845627068484</c:v>
                </c:pt>
                <c:pt idx="820">
                  <c:v>0.25539260644864942</c:v>
                </c:pt>
                <c:pt idx="821">
                  <c:v>0.25523802260297879</c:v>
                </c:pt>
                <c:pt idx="822">
                  <c:v>0.25508554008666545</c:v>
                </c:pt>
                <c:pt idx="823">
                  <c:v>0.25493684745531853</c:v>
                </c:pt>
                <c:pt idx="824">
                  <c:v>0.25478337109882809</c:v>
                </c:pt>
                <c:pt idx="825">
                  <c:v>0.25462872499432798</c:v>
                </c:pt>
                <c:pt idx="826">
                  <c:v>0.25448060687659302</c:v>
                </c:pt>
                <c:pt idx="827">
                  <c:v>0.25433146852233829</c:v>
                </c:pt>
                <c:pt idx="828">
                  <c:v>0.25426044550181115</c:v>
                </c:pt>
                <c:pt idx="829">
                  <c:v>0.25411653775614662</c:v>
                </c:pt>
                <c:pt idx="830">
                  <c:v>0.2539690766921448</c:v>
                </c:pt>
                <c:pt idx="831">
                  <c:v>0.25394106485907758</c:v>
                </c:pt>
                <c:pt idx="832">
                  <c:v>0.25378822650323002</c:v>
                </c:pt>
                <c:pt idx="833">
                  <c:v>0.25366031982836423</c:v>
                </c:pt>
                <c:pt idx="834">
                  <c:v>0.2535151700626439</c:v>
                </c:pt>
                <c:pt idx="835">
                  <c:v>0.25336471207681943</c:v>
                </c:pt>
                <c:pt idx="836">
                  <c:v>0.25321695041310477</c:v>
                </c:pt>
                <c:pt idx="837">
                  <c:v>0.25306765260955155</c:v>
                </c:pt>
                <c:pt idx="838">
                  <c:v>0.25317624402984179</c:v>
                </c:pt>
                <c:pt idx="839">
                  <c:v>0.25302522676654315</c:v>
                </c:pt>
                <c:pt idx="840">
                  <c:v>0.25289373174447405</c:v>
                </c:pt>
                <c:pt idx="841">
                  <c:v>0.25274944226103996</c:v>
                </c:pt>
                <c:pt idx="842">
                  <c:v>0.25260413740985471</c:v>
                </c:pt>
                <c:pt idx="843">
                  <c:v>0.25246922402091343</c:v>
                </c:pt>
                <c:pt idx="844">
                  <c:v>0.25231958020936623</c:v>
                </c:pt>
                <c:pt idx="845">
                  <c:v>0.25217604057964216</c:v>
                </c:pt>
                <c:pt idx="846">
                  <c:v>0.25204644815919974</c:v>
                </c:pt>
                <c:pt idx="847">
                  <c:v>0.25191831907772888</c:v>
                </c:pt>
                <c:pt idx="848">
                  <c:v>0.25177581298171214</c:v>
                </c:pt>
                <c:pt idx="849">
                  <c:v>0.25166022553264777</c:v>
                </c:pt>
                <c:pt idx="850">
                  <c:v>0.25151539171606602</c:v>
                </c:pt>
                <c:pt idx="851">
                  <c:v>0.25138693540850249</c:v>
                </c:pt>
                <c:pt idx="852">
                  <c:v>0.25124543315113962</c:v>
                </c:pt>
                <c:pt idx="853">
                  <c:v>0.2510984255680288</c:v>
                </c:pt>
                <c:pt idx="854">
                  <c:v>0.25096227263966736</c:v>
                </c:pt>
                <c:pt idx="855">
                  <c:v>0.25081678650042438</c:v>
                </c:pt>
                <c:pt idx="856">
                  <c:v>0.25067269127528252</c:v>
                </c:pt>
                <c:pt idx="857">
                  <c:v>0.25054500691190368</c:v>
                </c:pt>
                <c:pt idx="858">
                  <c:v>0.25053966066556538</c:v>
                </c:pt>
                <c:pt idx="859">
                  <c:v>0.25039688954864897</c:v>
                </c:pt>
                <c:pt idx="860">
                  <c:v>0.25026368256415366</c:v>
                </c:pt>
                <c:pt idx="861">
                  <c:v>0.25012172766059143</c:v>
                </c:pt>
                <c:pt idx="862">
                  <c:v>0.24997700752704366</c:v>
                </c:pt>
                <c:pt idx="863">
                  <c:v>0.24983339171198773</c:v>
                </c:pt>
                <c:pt idx="864">
                  <c:v>0.24972763301688028</c:v>
                </c:pt>
                <c:pt idx="865">
                  <c:v>0.24961892169781513</c:v>
                </c:pt>
                <c:pt idx="866">
                  <c:v>0.2494748640660745</c:v>
                </c:pt>
                <c:pt idx="867">
                  <c:v>0.24934300587144956</c:v>
                </c:pt>
                <c:pt idx="868">
                  <c:v>0.24922340084880154</c:v>
                </c:pt>
                <c:pt idx="869">
                  <c:v>0.24908019122913738</c:v>
                </c:pt>
                <c:pt idx="870">
                  <c:v>0.24895657241898997</c:v>
                </c:pt>
                <c:pt idx="871">
                  <c:v>0.24881345431798768</c:v>
                </c:pt>
                <c:pt idx="872">
                  <c:v>0.24867717137389692</c:v>
                </c:pt>
                <c:pt idx="873">
                  <c:v>0.24854769029020352</c:v>
                </c:pt>
                <c:pt idx="874">
                  <c:v>0.24840667034322358</c:v>
                </c:pt>
                <c:pt idx="875">
                  <c:v>0.24826486277313137</c:v>
                </c:pt>
                <c:pt idx="876">
                  <c:v>0.24813970797794255</c:v>
                </c:pt>
                <c:pt idx="877">
                  <c:v>0.2479982974257921</c:v>
                </c:pt>
                <c:pt idx="878">
                  <c:v>0.24786506176179646</c:v>
                </c:pt>
                <c:pt idx="879">
                  <c:v>0.24774460348570995</c:v>
                </c:pt>
                <c:pt idx="880">
                  <c:v>0.24760732097095264</c:v>
                </c:pt>
                <c:pt idx="881">
                  <c:v>0.24749527484148853</c:v>
                </c:pt>
                <c:pt idx="882">
                  <c:v>0.24736265899936918</c:v>
                </c:pt>
                <c:pt idx="883">
                  <c:v>0.24722240934696565</c:v>
                </c:pt>
                <c:pt idx="884">
                  <c:v>0.24708364614419251</c:v>
                </c:pt>
                <c:pt idx="885">
                  <c:v>0.24697014457340391</c:v>
                </c:pt>
                <c:pt idx="886">
                  <c:v>0.24690409989403062</c:v>
                </c:pt>
                <c:pt idx="887">
                  <c:v>0.24684471182503409</c:v>
                </c:pt>
                <c:pt idx="888">
                  <c:v>0.24671996081490044</c:v>
                </c:pt>
                <c:pt idx="889">
                  <c:v>0.24664705684350771</c:v>
                </c:pt>
                <c:pt idx="890">
                  <c:v>0.24650837874149417</c:v>
                </c:pt>
                <c:pt idx="891">
                  <c:v>0.24638824745292387</c:v>
                </c:pt>
                <c:pt idx="892">
                  <c:v>0.2462505050290556</c:v>
                </c:pt>
                <c:pt idx="893">
                  <c:v>0.24636290245249015</c:v>
                </c:pt>
                <c:pt idx="894">
                  <c:v>0.24625145894301553</c:v>
                </c:pt>
                <c:pt idx="895">
                  <c:v>0.24611813068994468</c:v>
                </c:pt>
                <c:pt idx="896">
                  <c:v>0.24598422571340819</c:v>
                </c:pt>
                <c:pt idx="897">
                  <c:v>0.24585854247458633</c:v>
                </c:pt>
                <c:pt idx="898">
                  <c:v>0.24573053404916037</c:v>
                </c:pt>
                <c:pt idx="899">
                  <c:v>0.24565240309826983</c:v>
                </c:pt>
                <c:pt idx="900">
                  <c:v>0.24554401539452675</c:v>
                </c:pt>
                <c:pt idx="901">
                  <c:v>0.24562048626922267</c:v>
                </c:pt>
                <c:pt idx="902">
                  <c:v>0.24548678394339588</c:v>
                </c:pt>
                <c:pt idx="903">
                  <c:v>0.24558068044554449</c:v>
                </c:pt>
                <c:pt idx="904">
                  <c:v>0.2454619055738802</c:v>
                </c:pt>
                <c:pt idx="905">
                  <c:v>0.24548870183128582</c:v>
                </c:pt>
                <c:pt idx="906">
                  <c:v>0.24541015233301053</c:v>
                </c:pt>
                <c:pt idx="907">
                  <c:v>0.24536997270852465</c:v>
                </c:pt>
                <c:pt idx="908">
                  <c:v>0.24545178444383223</c:v>
                </c:pt>
                <c:pt idx="909">
                  <c:v>0.24533107335550031</c:v>
                </c:pt>
                <c:pt idx="910">
                  <c:v>0.24519748796993773</c:v>
                </c:pt>
                <c:pt idx="911">
                  <c:v>0.24506355130225671</c:v>
                </c:pt>
                <c:pt idx="912">
                  <c:v>0.24497235192607605</c:v>
                </c:pt>
                <c:pt idx="913">
                  <c:v>0.24484019002050003</c:v>
                </c:pt>
                <c:pt idx="914">
                  <c:v>0.24472656895868289</c:v>
                </c:pt>
                <c:pt idx="915">
                  <c:v>0.24461531012338106</c:v>
                </c:pt>
                <c:pt idx="916">
                  <c:v>0.24455285864438039</c:v>
                </c:pt>
                <c:pt idx="917">
                  <c:v>0.24443233426546662</c:v>
                </c:pt>
                <c:pt idx="918">
                  <c:v>0.24435246904930347</c:v>
                </c:pt>
                <c:pt idx="919">
                  <c:v>0.24422328117464936</c:v>
                </c:pt>
                <c:pt idx="920">
                  <c:v>0.24413640980195364</c:v>
                </c:pt>
                <c:pt idx="921">
                  <c:v>0.24400433876033914</c:v>
                </c:pt>
                <c:pt idx="922">
                  <c:v>0.24392362124250982</c:v>
                </c:pt>
                <c:pt idx="923">
                  <c:v>0.24380187385596575</c:v>
                </c:pt>
                <c:pt idx="924">
                  <c:v>0.24371696230556017</c:v>
                </c:pt>
                <c:pt idx="925">
                  <c:v>0.2435850961491518</c:v>
                </c:pt>
                <c:pt idx="926">
                  <c:v>0.2434698298739886</c:v>
                </c:pt>
                <c:pt idx="927">
                  <c:v>0.24334691096328048</c:v>
                </c:pt>
                <c:pt idx="928">
                  <c:v>0.24333722036238817</c:v>
                </c:pt>
                <c:pt idx="929">
                  <c:v>0.24323177106447086</c:v>
                </c:pt>
                <c:pt idx="930">
                  <c:v>0.24310083684181399</c:v>
                </c:pt>
                <c:pt idx="931">
                  <c:v>0.24302984540222991</c:v>
                </c:pt>
                <c:pt idx="932">
                  <c:v>0.24290737591486583</c:v>
                </c:pt>
                <c:pt idx="933">
                  <c:v>0.24281963815358895</c:v>
                </c:pt>
                <c:pt idx="934">
                  <c:v>0.24274466234966813</c:v>
                </c:pt>
                <c:pt idx="935">
                  <c:v>0.24271471125345553</c:v>
                </c:pt>
                <c:pt idx="936">
                  <c:v>0.24275311670349176</c:v>
                </c:pt>
                <c:pt idx="937">
                  <c:v>0.24266417247479363</c:v>
                </c:pt>
                <c:pt idx="938">
                  <c:v>0.24256760505814945</c:v>
                </c:pt>
                <c:pt idx="939">
                  <c:v>0.2424420732648381</c:v>
                </c:pt>
                <c:pt idx="940">
                  <c:v>0.24234375107450054</c:v>
                </c:pt>
                <c:pt idx="941">
                  <c:v>0.24222367113479376</c:v>
                </c:pt>
                <c:pt idx="942">
                  <c:v>0.24213323737881526</c:v>
                </c:pt>
                <c:pt idx="943">
                  <c:v>0.24206510945509185</c:v>
                </c:pt>
                <c:pt idx="944">
                  <c:v>0.24204249163935318</c:v>
                </c:pt>
                <c:pt idx="945">
                  <c:v>0.24191433884899888</c:v>
                </c:pt>
                <c:pt idx="946">
                  <c:v>0.24179686325243863</c:v>
                </c:pt>
                <c:pt idx="947">
                  <c:v>0.24179577993799878</c:v>
                </c:pt>
                <c:pt idx="948">
                  <c:v>0.24168592178887111</c:v>
                </c:pt>
                <c:pt idx="949">
                  <c:v>0.24175819656440992</c:v>
                </c:pt>
                <c:pt idx="950">
                  <c:v>0.24163242173002106</c:v>
                </c:pt>
                <c:pt idx="951">
                  <c:v>0.24202023483288324</c:v>
                </c:pt>
                <c:pt idx="952">
                  <c:v>0.24205452430232197</c:v>
                </c:pt>
                <c:pt idx="953">
                  <c:v>0.24193843542247787</c:v>
                </c:pt>
                <c:pt idx="954">
                  <c:v>0.24213655240117371</c:v>
                </c:pt>
                <c:pt idx="955">
                  <c:v>0.24206296946207687</c:v>
                </c:pt>
                <c:pt idx="956">
                  <c:v>0.2420479753930995</c:v>
                </c:pt>
                <c:pt idx="957">
                  <c:v>0.24198080546477138</c:v>
                </c:pt>
                <c:pt idx="958">
                  <c:v>0.24272891610494826</c:v>
                </c:pt>
                <c:pt idx="959">
                  <c:v>0.24268209709340491</c:v>
                </c:pt>
                <c:pt idx="960">
                  <c:v>0.24290730927840837</c:v>
                </c:pt>
                <c:pt idx="961">
                  <c:v>0.24308525958324595</c:v>
                </c:pt>
                <c:pt idx="962">
                  <c:v>0.24300501842326361</c:v>
                </c:pt>
                <c:pt idx="963">
                  <c:v>0.24288068341235566</c:v>
                </c:pt>
                <c:pt idx="964">
                  <c:v>0.24355666039905371</c:v>
                </c:pt>
                <c:pt idx="965">
                  <c:v>0.24343592635772884</c:v>
                </c:pt>
                <c:pt idx="966">
                  <c:v>0.24347376942997817</c:v>
                </c:pt>
                <c:pt idx="967">
                  <c:v>0.24337524935636293</c:v>
                </c:pt>
                <c:pt idx="968">
                  <c:v>0.24328745301508617</c:v>
                </c:pt>
                <c:pt idx="969">
                  <c:v>0.2433718163771301</c:v>
                </c:pt>
                <c:pt idx="970">
                  <c:v>0.24349252514309916</c:v>
                </c:pt>
                <c:pt idx="971">
                  <c:v>0.24336699622966118</c:v>
                </c:pt>
                <c:pt idx="972">
                  <c:v>0.24357404651708159</c:v>
                </c:pt>
                <c:pt idx="973">
                  <c:v>0.24357593322244106</c:v>
                </c:pt>
                <c:pt idx="974">
                  <c:v>0.24353310319582019</c:v>
                </c:pt>
                <c:pt idx="975">
                  <c:v>0.24350647238996198</c:v>
                </c:pt>
                <c:pt idx="976">
                  <c:v>0.24339135104089449</c:v>
                </c:pt>
                <c:pt idx="977">
                  <c:v>0.24401952802005264</c:v>
                </c:pt>
                <c:pt idx="978">
                  <c:v>0.24441810690964627</c:v>
                </c:pt>
                <c:pt idx="979">
                  <c:v>0.24430410187074672</c:v>
                </c:pt>
                <c:pt idx="980">
                  <c:v>0.24419583312835605</c:v>
                </c:pt>
                <c:pt idx="981">
                  <c:v>0.24407537660245329</c:v>
                </c:pt>
                <c:pt idx="982">
                  <c:v>0.24396247373049068</c:v>
                </c:pt>
                <c:pt idx="983">
                  <c:v>0.24422097751624602</c:v>
                </c:pt>
                <c:pt idx="984">
                  <c:v>0.24411162824297997</c:v>
                </c:pt>
                <c:pt idx="985">
                  <c:v>0.24413370498923076</c:v>
                </c:pt>
                <c:pt idx="986">
                  <c:v>0.24407269868874765</c:v>
                </c:pt>
                <c:pt idx="987">
                  <c:v>0.24395621698452175</c:v>
                </c:pt>
                <c:pt idx="988">
                  <c:v>0.24411253724173404</c:v>
                </c:pt>
                <c:pt idx="989">
                  <c:v>0.24423623160832397</c:v>
                </c:pt>
                <c:pt idx="990">
                  <c:v>0.24418179006796323</c:v>
                </c:pt>
                <c:pt idx="991">
                  <c:v>0.24405849671128343</c:v>
                </c:pt>
                <c:pt idx="992">
                  <c:v>0.24395892373845568</c:v>
                </c:pt>
                <c:pt idx="993">
                  <c:v>0.24406284011559098</c:v>
                </c:pt>
                <c:pt idx="994">
                  <c:v>0.24413350706786341</c:v>
                </c:pt>
                <c:pt idx="995">
                  <c:v>0.24427437668979674</c:v>
                </c:pt>
                <c:pt idx="996">
                  <c:v>0.24415582080387374</c:v>
                </c:pt>
                <c:pt idx="997">
                  <c:v>0.24406399183134539</c:v>
                </c:pt>
                <c:pt idx="998">
                  <c:v>0.24395915482883668</c:v>
                </c:pt>
                <c:pt idx="999">
                  <c:v>0.24385129698743901</c:v>
                </c:pt>
                <c:pt idx="1000">
                  <c:v>0.24379126846775737</c:v>
                </c:pt>
                <c:pt idx="1001">
                  <c:v>0.24373993898986673</c:v>
                </c:pt>
                <c:pt idx="1002">
                  <c:v>0.24363638412869537</c:v>
                </c:pt>
                <c:pt idx="1003">
                  <c:v>0.24357693109177511</c:v>
                </c:pt>
                <c:pt idx="1004">
                  <c:v>0.2434580552594445</c:v>
                </c:pt>
                <c:pt idx="1005">
                  <c:v>0.24335266879937589</c:v>
                </c:pt>
                <c:pt idx="1006">
                  <c:v>0.24323190877918982</c:v>
                </c:pt>
                <c:pt idx="1007">
                  <c:v>0.24311897763410198</c:v>
                </c:pt>
                <c:pt idx="1008">
                  <c:v>0.24311877959253259</c:v>
                </c:pt>
                <c:pt idx="1009">
                  <c:v>0.2430199737802837</c:v>
                </c:pt>
                <c:pt idx="1010">
                  <c:v>0.24320888614464095</c:v>
                </c:pt>
                <c:pt idx="1011">
                  <c:v>0.24338072805766311</c:v>
                </c:pt>
                <c:pt idx="1012">
                  <c:v>0.24326290037797121</c:v>
                </c:pt>
                <c:pt idx="1013">
                  <c:v>0.24314749040223338</c:v>
                </c:pt>
                <c:pt idx="1014">
                  <c:v>0.24304999505301925</c:v>
                </c:pt>
                <c:pt idx="1015">
                  <c:v>0.24298427060921535</c:v>
                </c:pt>
                <c:pt idx="1016">
                  <c:v>0.24286473848335483</c:v>
                </c:pt>
                <c:pt idx="1017">
                  <c:v>0.2427702192843158</c:v>
                </c:pt>
                <c:pt idx="1018">
                  <c:v>0.24266513632328315</c:v>
                </c:pt>
                <c:pt idx="1019">
                  <c:v>0.24259657861165004</c:v>
                </c:pt>
                <c:pt idx="1020">
                  <c:v>0.24260204839394928</c:v>
                </c:pt>
                <c:pt idx="1021">
                  <c:v>0.24252463066611843</c:v>
                </c:pt>
                <c:pt idx="1022">
                  <c:v>0.24240665867555655</c:v>
                </c:pt>
                <c:pt idx="1023">
                  <c:v>0.24229118328664698</c:v>
                </c:pt>
                <c:pt idx="1024">
                  <c:v>0.24221472452368475</c:v>
                </c:pt>
                <c:pt idx="1025">
                  <c:v>0.24212118660105708</c:v>
                </c:pt>
                <c:pt idx="1026">
                  <c:v>0.2420866461543712</c:v>
                </c:pt>
                <c:pt idx="1027">
                  <c:v>0.24199044453178148</c:v>
                </c:pt>
                <c:pt idx="1028">
                  <c:v>0.24190816434834644</c:v>
                </c:pt>
                <c:pt idx="1029">
                  <c:v>0.24181002149892358</c:v>
                </c:pt>
                <c:pt idx="1030">
                  <c:v>0.2417424846344709</c:v>
                </c:pt>
                <c:pt idx="1031">
                  <c:v>0.24171151813715913</c:v>
                </c:pt>
                <c:pt idx="1032">
                  <c:v>0.24159972513749275</c:v>
                </c:pt>
                <c:pt idx="1033">
                  <c:v>0.24160888234039213</c:v>
                </c:pt>
                <c:pt idx="1034">
                  <c:v>0.2414930123713932</c:v>
                </c:pt>
                <c:pt idx="1035">
                  <c:v>0.24138112303631046</c:v>
                </c:pt>
              </c:numCache>
            </c:numRef>
          </c:yVal>
          <c:smooth val="1"/>
        </c:ser>
        <c:ser>
          <c:idx val="0"/>
          <c:order val="1"/>
          <c:spPr>
            <a:ln w="22225" cap="rnd">
              <a:solidFill>
                <a:srgbClr val="00B0F0"/>
              </a:solidFill>
            </a:ln>
            <a:effectLst>
              <a:glow rad="139700">
                <a:schemeClr val="accent2">
                  <a:satMod val="175000"/>
                  <a:alpha val="14000"/>
                </a:schemeClr>
              </a:glow>
            </a:effectLst>
          </c:spPr>
          <c:marker>
            <c:symbol val="none"/>
          </c:marker>
          <c:xVal>
            <c:numRef>
              <c:f>Balance!$B$2:$B$1986</c:f>
              <c:numCache>
                <c:formatCode>m/d/yyyy</c:formatCode>
                <c:ptCount val="19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pt idx="1032">
                  <c:v>43804</c:v>
                </c:pt>
                <c:pt idx="1033">
                  <c:v>43805</c:v>
                </c:pt>
                <c:pt idx="1034">
                  <c:v>43808</c:v>
                </c:pt>
                <c:pt idx="1035">
                  <c:v>43809</c:v>
                </c:pt>
              </c:numCache>
            </c:numRef>
          </c:xVal>
          <c:yVal>
            <c:numRef>
              <c:f>Balance!$V$2:$V$1993</c:f>
              <c:numCache>
                <c:formatCode>0.00%</c:formatCode>
                <c:ptCount val="1992"/>
                <c:pt idx="2">
                  <c:v>6.3190347694703594E-2</c:v>
                </c:pt>
                <c:pt idx="3">
                  <c:v>0.15031949910961184</c:v>
                </c:pt>
                <c:pt idx="4">
                  <c:v>0.20821641331654633</c:v>
                </c:pt>
                <c:pt idx="5">
                  <c:v>0.24544711494961968</c:v>
                </c:pt>
                <c:pt idx="6">
                  <c:v>0.22434082778798065</c:v>
                </c:pt>
                <c:pt idx="7">
                  <c:v>0.40635063731985605</c:v>
                </c:pt>
                <c:pt idx="8">
                  <c:v>0.42545538355052082</c:v>
                </c:pt>
                <c:pt idx="9">
                  <c:v>0.39984128605241964</c:v>
                </c:pt>
                <c:pt idx="10">
                  <c:v>0.37718652016375942</c:v>
                </c:pt>
                <c:pt idx="11">
                  <c:v>0.37502713989732378</c:v>
                </c:pt>
                <c:pt idx="12">
                  <c:v>0.37770238456909672</c:v>
                </c:pt>
                <c:pt idx="13">
                  <c:v>0.3630118196770083</c:v>
                </c:pt>
                <c:pt idx="14">
                  <c:v>0.35126122417304334</c:v>
                </c:pt>
                <c:pt idx="15">
                  <c:v>0.36194228365900932</c:v>
                </c:pt>
                <c:pt idx="16">
                  <c:v>0.35182224095506454</c:v>
                </c:pt>
                <c:pt idx="17">
                  <c:v>0.34281735693264087</c:v>
                </c:pt>
                <c:pt idx="18">
                  <c:v>0.33414073790213511</c:v>
                </c:pt>
                <c:pt idx="19">
                  <c:v>0.3247303591191491</c:v>
                </c:pt>
                <c:pt idx="20">
                  <c:v>0.32145355759875488</c:v>
                </c:pt>
                <c:pt idx="21">
                  <c:v>0.31586031332458192</c:v>
                </c:pt>
                <c:pt idx="22">
                  <c:v>0.30824938276419228</c:v>
                </c:pt>
                <c:pt idx="23">
                  <c:v>0.30462094080099172</c:v>
                </c:pt>
                <c:pt idx="24">
                  <c:v>0.29890210628506431</c:v>
                </c:pt>
                <c:pt idx="25">
                  <c:v>0.29423063039577757</c:v>
                </c:pt>
                <c:pt idx="26">
                  <c:v>0.288300857286579</c:v>
                </c:pt>
                <c:pt idx="27">
                  <c:v>0.28270501442194107</c:v>
                </c:pt>
                <c:pt idx="28">
                  <c:v>0.27752195461786261</c:v>
                </c:pt>
                <c:pt idx="29">
                  <c:v>0.28067725027853285</c:v>
                </c:pt>
                <c:pt idx="30">
                  <c:v>0.27616064910345123</c:v>
                </c:pt>
                <c:pt idx="31">
                  <c:v>0.27904525871697899</c:v>
                </c:pt>
                <c:pt idx="32">
                  <c:v>0.27483074679675301</c:v>
                </c:pt>
                <c:pt idx="33">
                  <c:v>0.27452334333609368</c:v>
                </c:pt>
                <c:pt idx="34">
                  <c:v>0.27597887919090974</c:v>
                </c:pt>
                <c:pt idx="35">
                  <c:v>0.27194715501453054</c:v>
                </c:pt>
                <c:pt idx="36">
                  <c:v>0.26923649970087526</c:v>
                </c:pt>
                <c:pt idx="37">
                  <c:v>0.26678199068533232</c:v>
                </c:pt>
                <c:pt idx="38">
                  <c:v>0.26319098013674441</c:v>
                </c:pt>
                <c:pt idx="39">
                  <c:v>0.25976838750277326</c:v>
                </c:pt>
                <c:pt idx="40">
                  <c:v>0.2568435001245859</c:v>
                </c:pt>
                <c:pt idx="41">
                  <c:v>0.25377333453127793</c:v>
                </c:pt>
                <c:pt idx="42">
                  <c:v>0.25371078720500778</c:v>
                </c:pt>
                <c:pt idx="43">
                  <c:v>0.25100684114352073</c:v>
                </c:pt>
                <c:pt idx="44">
                  <c:v>0.24808092074482793</c:v>
                </c:pt>
                <c:pt idx="45">
                  <c:v>0.24525265348900513</c:v>
                </c:pt>
                <c:pt idx="46">
                  <c:v>0.24281424638505256</c:v>
                </c:pt>
                <c:pt idx="47">
                  <c:v>0.24351413133026822</c:v>
                </c:pt>
                <c:pt idx="48">
                  <c:v>0.2423280462112376</c:v>
                </c:pt>
                <c:pt idx="49">
                  <c:v>0.23982354896201158</c:v>
                </c:pt>
                <c:pt idx="50">
                  <c:v>0.2374229026669446</c:v>
                </c:pt>
                <c:pt idx="51">
                  <c:v>0.23656092323249167</c:v>
                </c:pt>
                <c:pt idx="52">
                  <c:v>0.23423209631374151</c:v>
                </c:pt>
                <c:pt idx="53">
                  <c:v>0.23220468856265722</c:v>
                </c:pt>
                <c:pt idx="54">
                  <c:v>0.23145429539624826</c:v>
                </c:pt>
                <c:pt idx="55">
                  <c:v>0.22936919812964679</c:v>
                </c:pt>
                <c:pt idx="56">
                  <c:v>0.22741079678230972</c:v>
                </c:pt>
                <c:pt idx="57">
                  <c:v>0.2253860839795564</c:v>
                </c:pt>
                <c:pt idx="58">
                  <c:v>0.22340202899589548</c:v>
                </c:pt>
                <c:pt idx="59">
                  <c:v>0.2224096817728117</c:v>
                </c:pt>
                <c:pt idx="60">
                  <c:v>0.22054140197015909</c:v>
                </c:pt>
                <c:pt idx="61">
                  <c:v>0.21879001839109452</c:v>
                </c:pt>
                <c:pt idx="62">
                  <c:v>0.21878322617502383</c:v>
                </c:pt>
                <c:pt idx="63">
                  <c:v>0.21809630494176296</c:v>
                </c:pt>
                <c:pt idx="64">
                  <c:v>0.2185117014996438</c:v>
                </c:pt>
                <c:pt idx="65">
                  <c:v>0.21680795188349017</c:v>
                </c:pt>
                <c:pt idx="66">
                  <c:v>0.21752341302178005</c:v>
                </c:pt>
                <c:pt idx="67">
                  <c:v>0.21587936448621181</c:v>
                </c:pt>
                <c:pt idx="68">
                  <c:v>0.21439176321013317</c:v>
                </c:pt>
                <c:pt idx="69">
                  <c:v>0.21282253565490999</c:v>
                </c:pt>
                <c:pt idx="70">
                  <c:v>0.21128787806615651</c:v>
                </c:pt>
                <c:pt idx="71">
                  <c:v>0.20977338456133537</c:v>
                </c:pt>
                <c:pt idx="72">
                  <c:v>0.20829387869007757</c:v>
                </c:pt>
                <c:pt idx="73">
                  <c:v>0.20702224585874895</c:v>
                </c:pt>
                <c:pt idx="74">
                  <c:v>0.20655260318517649</c:v>
                </c:pt>
                <c:pt idx="75">
                  <c:v>0.20615523591080137</c:v>
                </c:pt>
                <c:pt idx="76">
                  <c:v>0.20642766070992974</c:v>
                </c:pt>
                <c:pt idx="77">
                  <c:v>0.2084813160993948</c:v>
                </c:pt>
                <c:pt idx="78">
                  <c:v>0.20750582350249624</c:v>
                </c:pt>
                <c:pt idx="79">
                  <c:v>0.20648984597109604</c:v>
                </c:pt>
                <c:pt idx="80">
                  <c:v>0.20562012018240991</c:v>
                </c:pt>
                <c:pt idx="81">
                  <c:v>0.20437847650239915</c:v>
                </c:pt>
                <c:pt idx="82">
                  <c:v>0.20588473038733746</c:v>
                </c:pt>
                <c:pt idx="83">
                  <c:v>0.20482646913198044</c:v>
                </c:pt>
                <c:pt idx="84">
                  <c:v>0.20447942963510182</c:v>
                </c:pt>
                <c:pt idx="85">
                  <c:v>0.20484383238315154</c:v>
                </c:pt>
                <c:pt idx="86">
                  <c:v>0.20523864420055984</c:v>
                </c:pt>
                <c:pt idx="87">
                  <c:v>0.20621771492919441</c:v>
                </c:pt>
                <c:pt idx="88">
                  <c:v>0.20550415563548391</c:v>
                </c:pt>
                <c:pt idx="89">
                  <c:v>0.20491645962952909</c:v>
                </c:pt>
                <c:pt idx="90">
                  <c:v>0.20486368921422393</c:v>
                </c:pt>
                <c:pt idx="91">
                  <c:v>0.20373721805124861</c:v>
                </c:pt>
                <c:pt idx="92">
                  <c:v>0.20264285644820698</c:v>
                </c:pt>
                <c:pt idx="93">
                  <c:v>0.2023195411541808</c:v>
                </c:pt>
                <c:pt idx="94">
                  <c:v>0.20157138397467259</c:v>
                </c:pt>
                <c:pt idx="95">
                  <c:v>0.20106669704355981</c:v>
                </c:pt>
                <c:pt idx="96">
                  <c:v>0.20149367115092381</c:v>
                </c:pt>
                <c:pt idx="97">
                  <c:v>0.20047839614181759</c:v>
                </c:pt>
                <c:pt idx="98">
                  <c:v>0.20049006957671658</c:v>
                </c:pt>
                <c:pt idx="99">
                  <c:v>0.20287568849216503</c:v>
                </c:pt>
                <c:pt idx="100">
                  <c:v>0.20248720457618641</c:v>
                </c:pt>
                <c:pt idx="101">
                  <c:v>0.20148947946934948</c:v>
                </c:pt>
                <c:pt idx="102">
                  <c:v>0.20094495344626548</c:v>
                </c:pt>
                <c:pt idx="103">
                  <c:v>0.20352342454405692</c:v>
                </c:pt>
                <c:pt idx="104">
                  <c:v>0.20438733546247476</c:v>
                </c:pt>
                <c:pt idx="105">
                  <c:v>0.20594332584152428</c:v>
                </c:pt>
                <c:pt idx="106">
                  <c:v>0.20497353903003479</c:v>
                </c:pt>
                <c:pt idx="107">
                  <c:v>0.20466775158586656</c:v>
                </c:pt>
                <c:pt idx="108">
                  <c:v>0.20393347244728127</c:v>
                </c:pt>
                <c:pt idx="109">
                  <c:v>0.20555239783673285</c:v>
                </c:pt>
                <c:pt idx="110">
                  <c:v>0.2058342089719612</c:v>
                </c:pt>
                <c:pt idx="111">
                  <c:v>0.20615429037873539</c:v>
                </c:pt>
                <c:pt idx="112">
                  <c:v>0.20577679311518093</c:v>
                </c:pt>
                <c:pt idx="113">
                  <c:v>0.20508094349641362</c:v>
                </c:pt>
                <c:pt idx="114">
                  <c:v>0.2076899725605586</c:v>
                </c:pt>
                <c:pt idx="115">
                  <c:v>0.20677720896061949</c:v>
                </c:pt>
                <c:pt idx="116">
                  <c:v>0.20760234411553996</c:v>
                </c:pt>
                <c:pt idx="117">
                  <c:v>0.20687869960829744</c:v>
                </c:pt>
                <c:pt idx="118">
                  <c:v>0.20601897567851155</c:v>
                </c:pt>
                <c:pt idx="119">
                  <c:v>0.20677147424628983</c:v>
                </c:pt>
                <c:pt idx="120">
                  <c:v>0.20679867923754305</c:v>
                </c:pt>
                <c:pt idx="121">
                  <c:v>0.20593567657799225</c:v>
                </c:pt>
                <c:pt idx="122">
                  <c:v>0.20508595535618429</c:v>
                </c:pt>
                <c:pt idx="123">
                  <c:v>0.20488816456150158</c:v>
                </c:pt>
                <c:pt idx="124">
                  <c:v>0.20614925630726783</c:v>
                </c:pt>
                <c:pt idx="125">
                  <c:v>0.2067973574201509</c:v>
                </c:pt>
                <c:pt idx="126">
                  <c:v>0.20740391827467</c:v>
                </c:pt>
                <c:pt idx="127">
                  <c:v>0.20665833739123632</c:v>
                </c:pt>
                <c:pt idx="128">
                  <c:v>0.20584491170892685</c:v>
                </c:pt>
                <c:pt idx="129">
                  <c:v>0.20612093442208271</c:v>
                </c:pt>
                <c:pt idx="130">
                  <c:v>0.20599200020691141</c:v>
                </c:pt>
                <c:pt idx="131">
                  <c:v>0.2053176523633603</c:v>
                </c:pt>
                <c:pt idx="132">
                  <c:v>0.2051944315202551</c:v>
                </c:pt>
                <c:pt idx="133">
                  <c:v>0.20442465292014791</c:v>
                </c:pt>
                <c:pt idx="134">
                  <c:v>0.20392331073233147</c:v>
                </c:pt>
                <c:pt idx="135">
                  <c:v>0.205881606235845</c:v>
                </c:pt>
                <c:pt idx="136">
                  <c:v>0.20520805198323436</c:v>
                </c:pt>
                <c:pt idx="137">
                  <c:v>0.20451785527923064</c:v>
                </c:pt>
                <c:pt idx="138">
                  <c:v>0.20382852547723848</c:v>
                </c:pt>
                <c:pt idx="139">
                  <c:v>0.20309473146639889</c:v>
                </c:pt>
                <c:pt idx="140">
                  <c:v>0.2028972139328496</c:v>
                </c:pt>
                <c:pt idx="141">
                  <c:v>0.20230024410689199</c:v>
                </c:pt>
                <c:pt idx="142">
                  <c:v>0.20158255288168328</c:v>
                </c:pt>
                <c:pt idx="143">
                  <c:v>0.20209170666788678</c:v>
                </c:pt>
                <c:pt idx="144">
                  <c:v>0.20138882204680125</c:v>
                </c:pt>
                <c:pt idx="145">
                  <c:v>0.20069995386729664</c:v>
                </c:pt>
                <c:pt idx="146">
                  <c:v>0.20015232316185677</c:v>
                </c:pt>
                <c:pt idx="147">
                  <c:v>0.19966229894539708</c:v>
                </c:pt>
                <c:pt idx="148">
                  <c:v>0.19906941872329306</c:v>
                </c:pt>
                <c:pt idx="149">
                  <c:v>0.19840080405595206</c:v>
                </c:pt>
                <c:pt idx="150">
                  <c:v>0.19773530847085422</c:v>
                </c:pt>
                <c:pt idx="151">
                  <c:v>0.19732328223466214</c:v>
                </c:pt>
                <c:pt idx="152">
                  <c:v>0.19666906063244452</c:v>
                </c:pt>
                <c:pt idx="153">
                  <c:v>0.19602299974071929</c:v>
                </c:pt>
                <c:pt idx="154">
                  <c:v>0.19571630227727144</c:v>
                </c:pt>
                <c:pt idx="155">
                  <c:v>0.19516132328288105</c:v>
                </c:pt>
                <c:pt idx="156">
                  <c:v>0.19454728889036682</c:v>
                </c:pt>
                <c:pt idx="157">
                  <c:v>0.19409152607046717</c:v>
                </c:pt>
                <c:pt idx="158">
                  <c:v>0.19351440870684267</c:v>
                </c:pt>
                <c:pt idx="159">
                  <c:v>0.19332034289533651</c:v>
                </c:pt>
                <c:pt idx="160">
                  <c:v>0.19317071885367709</c:v>
                </c:pt>
                <c:pt idx="161">
                  <c:v>0.19314485515344837</c:v>
                </c:pt>
                <c:pt idx="162">
                  <c:v>0.19257792977422014</c:v>
                </c:pt>
                <c:pt idx="163">
                  <c:v>0.19201090434466217</c:v>
                </c:pt>
                <c:pt idx="164">
                  <c:v>0.19180360559269574</c:v>
                </c:pt>
                <c:pt idx="165">
                  <c:v>0.19162382789500107</c:v>
                </c:pt>
                <c:pt idx="166">
                  <c:v>0.19104236676485162</c:v>
                </c:pt>
                <c:pt idx="167">
                  <c:v>0.1904700278981748</c:v>
                </c:pt>
                <c:pt idx="168">
                  <c:v>0.19006855377528359</c:v>
                </c:pt>
                <c:pt idx="169">
                  <c:v>0.18953771970498626</c:v>
                </c:pt>
                <c:pt idx="170">
                  <c:v>0.18897802119908777</c:v>
                </c:pt>
                <c:pt idx="171">
                  <c:v>0.18852973440522966</c:v>
                </c:pt>
                <c:pt idx="172">
                  <c:v>0.18797766983654679</c:v>
                </c:pt>
                <c:pt idx="173">
                  <c:v>0.18744374998531149</c:v>
                </c:pt>
                <c:pt idx="174">
                  <c:v>0.18691439115354258</c:v>
                </c:pt>
                <c:pt idx="175">
                  <c:v>0.18638651777551687</c:v>
                </c:pt>
                <c:pt idx="176">
                  <c:v>0.18618462851964468</c:v>
                </c:pt>
                <c:pt idx="177">
                  <c:v>0.18575305494733241</c:v>
                </c:pt>
                <c:pt idx="178">
                  <c:v>0.18546248521467029</c:v>
                </c:pt>
                <c:pt idx="179">
                  <c:v>0.18522787612316166</c:v>
                </c:pt>
                <c:pt idx="180">
                  <c:v>0.18484162325464118</c:v>
                </c:pt>
                <c:pt idx="181">
                  <c:v>0.18432756719124724</c:v>
                </c:pt>
                <c:pt idx="182">
                  <c:v>0.18385733310568392</c:v>
                </c:pt>
                <c:pt idx="183">
                  <c:v>0.18335397650588192</c:v>
                </c:pt>
                <c:pt idx="184">
                  <c:v>0.1834395508093867</c:v>
                </c:pt>
                <c:pt idx="185">
                  <c:v>0.18328184052807739</c:v>
                </c:pt>
                <c:pt idx="186">
                  <c:v>0.1827858829252009</c:v>
                </c:pt>
                <c:pt idx="187">
                  <c:v>0.18255729754579855</c:v>
                </c:pt>
                <c:pt idx="188">
                  <c:v>0.18242711588099725</c:v>
                </c:pt>
                <c:pt idx="189">
                  <c:v>0.18226379341821147</c:v>
                </c:pt>
                <c:pt idx="190">
                  <c:v>0.18178126131382988</c:v>
                </c:pt>
                <c:pt idx="191">
                  <c:v>0.18135027686058963</c:v>
                </c:pt>
                <c:pt idx="192">
                  <c:v>0.18101041145584279</c:v>
                </c:pt>
                <c:pt idx="193">
                  <c:v>0.18055323575964988</c:v>
                </c:pt>
                <c:pt idx="194">
                  <c:v>0.18076572452731524</c:v>
                </c:pt>
                <c:pt idx="195">
                  <c:v>0.18047351369657114</c:v>
                </c:pt>
                <c:pt idx="196">
                  <c:v>0.18001038194737823</c:v>
                </c:pt>
                <c:pt idx="197">
                  <c:v>0.17961500199880534</c:v>
                </c:pt>
                <c:pt idx="198">
                  <c:v>0.17916254338672621</c:v>
                </c:pt>
                <c:pt idx="199">
                  <c:v>0.17871370889489749</c:v>
                </c:pt>
                <c:pt idx="200">
                  <c:v>0.17829120938366202</c:v>
                </c:pt>
                <c:pt idx="201">
                  <c:v>0.17787624865882645</c:v>
                </c:pt>
                <c:pt idx="202">
                  <c:v>0.17751563901521938</c:v>
                </c:pt>
                <c:pt idx="203">
                  <c:v>0.1770808372915795</c:v>
                </c:pt>
                <c:pt idx="204">
                  <c:v>0.1766804976423699</c:v>
                </c:pt>
                <c:pt idx="205">
                  <c:v>0.17625845275295093</c:v>
                </c:pt>
                <c:pt idx="206">
                  <c:v>0.17612650252391751</c:v>
                </c:pt>
                <c:pt idx="207">
                  <c:v>0.17592912166326158</c:v>
                </c:pt>
                <c:pt idx="208">
                  <c:v>0.17551491583407813</c:v>
                </c:pt>
                <c:pt idx="209">
                  <c:v>0.17510414280535444</c:v>
                </c:pt>
                <c:pt idx="210">
                  <c:v>0.17471866463196331</c:v>
                </c:pt>
                <c:pt idx="211">
                  <c:v>0.1743386358196137</c:v>
                </c:pt>
                <c:pt idx="212">
                  <c:v>0.1740406908760673</c:v>
                </c:pt>
                <c:pt idx="213">
                  <c:v>0.17365448408627729</c:v>
                </c:pt>
                <c:pt idx="214">
                  <c:v>0.17325596668423277</c:v>
                </c:pt>
                <c:pt idx="215">
                  <c:v>0.17345322733352617</c:v>
                </c:pt>
                <c:pt idx="216">
                  <c:v>0.17737738991567559</c:v>
                </c:pt>
                <c:pt idx="217">
                  <c:v>0.17802153758815042</c:v>
                </c:pt>
                <c:pt idx="218">
                  <c:v>0.17865473175577545</c:v>
                </c:pt>
                <c:pt idx="219">
                  <c:v>0.17918768492627107</c:v>
                </c:pt>
                <c:pt idx="220">
                  <c:v>0.17936712847918884</c:v>
                </c:pt>
                <c:pt idx="221">
                  <c:v>0.17897042454940121</c:v>
                </c:pt>
                <c:pt idx="222">
                  <c:v>0.1787168459746149</c:v>
                </c:pt>
                <c:pt idx="223">
                  <c:v>0.17831387977448732</c:v>
                </c:pt>
                <c:pt idx="224">
                  <c:v>0.17791362713368658</c:v>
                </c:pt>
                <c:pt idx="225">
                  <c:v>0.17751605773328505</c:v>
                </c:pt>
                <c:pt idx="226">
                  <c:v>0.17881334891320599</c:v>
                </c:pt>
                <c:pt idx="227">
                  <c:v>0.17856422908432967</c:v>
                </c:pt>
                <c:pt idx="228">
                  <c:v>0.17817048471828337</c:v>
                </c:pt>
                <c:pt idx="229">
                  <c:v>0.17785960012092625</c:v>
                </c:pt>
                <c:pt idx="230">
                  <c:v>0.17747468742677538</c:v>
                </c:pt>
                <c:pt idx="231">
                  <c:v>0.17710334708213829</c:v>
                </c:pt>
                <c:pt idx="232">
                  <c:v>0.17672773618130258</c:v>
                </c:pt>
                <c:pt idx="233">
                  <c:v>0.17639759874782845</c:v>
                </c:pt>
                <c:pt idx="234">
                  <c:v>0.17606319207854554</c:v>
                </c:pt>
                <c:pt idx="235">
                  <c:v>0.17574477489002999</c:v>
                </c:pt>
                <c:pt idx="236">
                  <c:v>0.17540195592552774</c:v>
                </c:pt>
                <c:pt idx="237">
                  <c:v>0.17502999912472075</c:v>
                </c:pt>
                <c:pt idx="238">
                  <c:v>0.17466621287076281</c:v>
                </c:pt>
                <c:pt idx="239">
                  <c:v>0.17430497581384302</c:v>
                </c:pt>
                <c:pt idx="240">
                  <c:v>0.173946186031568</c:v>
                </c:pt>
                <c:pt idx="241">
                  <c:v>0.17358991388387063</c:v>
                </c:pt>
                <c:pt idx="242">
                  <c:v>0.17335845617207907</c:v>
                </c:pt>
                <c:pt idx="243">
                  <c:v>0.17302631654204345</c:v>
                </c:pt>
                <c:pt idx="244">
                  <c:v>0.1726699319358726</c:v>
                </c:pt>
                <c:pt idx="245">
                  <c:v>0.17252748561218473</c:v>
                </c:pt>
                <c:pt idx="246">
                  <c:v>0.17217875518634856</c:v>
                </c:pt>
                <c:pt idx="247">
                  <c:v>0.17182862889451342</c:v>
                </c:pt>
                <c:pt idx="248">
                  <c:v>0.17150968940597233</c:v>
                </c:pt>
                <c:pt idx="249">
                  <c:v>0.17129006286582368</c:v>
                </c:pt>
                <c:pt idx="250">
                  <c:v>0.17104156878989371</c:v>
                </c:pt>
                <c:pt idx="251">
                  <c:v>0.17070733564482474</c:v>
                </c:pt>
                <c:pt idx="252">
                  <c:v>0.17037860468394234</c:v>
                </c:pt>
                <c:pt idx="253">
                  <c:v>0.17004823124419763</c:v>
                </c:pt>
                <c:pt idx="254">
                  <c:v>0.1697135708935549</c:v>
                </c:pt>
                <c:pt idx="255">
                  <c:v>0.16938806622202984</c:v>
                </c:pt>
                <c:pt idx="256">
                  <c:v>0.1691421099558785</c:v>
                </c:pt>
                <c:pt idx="257">
                  <c:v>0.16881845547722549</c:v>
                </c:pt>
                <c:pt idx="258">
                  <c:v>0.16849870140291789</c:v>
                </c:pt>
                <c:pt idx="259">
                  <c:v>0.16824562360938053</c:v>
                </c:pt>
                <c:pt idx="260">
                  <c:v>0.16793385572919492</c:v>
                </c:pt>
                <c:pt idx="261">
                  <c:v>0.16762959845319877</c:v>
                </c:pt>
                <c:pt idx="262">
                  <c:v>0.16730829405773207</c:v>
                </c:pt>
                <c:pt idx="263">
                  <c:v>0.16703513483712773</c:v>
                </c:pt>
                <c:pt idx="264">
                  <c:v>0.16673953715434717</c:v>
                </c:pt>
                <c:pt idx="265">
                  <c:v>0.16642379270655777</c:v>
                </c:pt>
                <c:pt idx="266">
                  <c:v>0.16612626124990684</c:v>
                </c:pt>
                <c:pt idx="267">
                  <c:v>0.1675431453543596</c:v>
                </c:pt>
                <c:pt idx="268">
                  <c:v>0.16782539199806834</c:v>
                </c:pt>
                <c:pt idx="269">
                  <c:v>0.16813876158922561</c:v>
                </c:pt>
                <c:pt idx="270">
                  <c:v>0.16782725694658282</c:v>
                </c:pt>
                <c:pt idx="271">
                  <c:v>0.16779419960031708</c:v>
                </c:pt>
                <c:pt idx="272">
                  <c:v>0.16752651970065091</c:v>
                </c:pt>
                <c:pt idx="273">
                  <c:v>0.16721833549598966</c:v>
                </c:pt>
                <c:pt idx="274">
                  <c:v>0.16691188354135808</c:v>
                </c:pt>
                <c:pt idx="275">
                  <c:v>0.16692734623146724</c:v>
                </c:pt>
                <c:pt idx="276">
                  <c:v>0.16673370046778063</c:v>
                </c:pt>
                <c:pt idx="277">
                  <c:v>0.16652707926624533</c:v>
                </c:pt>
                <c:pt idx="278">
                  <c:v>0.1664347537339865</c:v>
                </c:pt>
                <c:pt idx="279">
                  <c:v>0.16624352629269787</c:v>
                </c:pt>
                <c:pt idx="280">
                  <c:v>0.16601709899528619</c:v>
                </c:pt>
                <c:pt idx="281">
                  <c:v>0.16596393387436578</c:v>
                </c:pt>
                <c:pt idx="282">
                  <c:v>0.16583370781569123</c:v>
                </c:pt>
                <c:pt idx="283">
                  <c:v>0.16557095301003413</c:v>
                </c:pt>
                <c:pt idx="284">
                  <c:v>0.16534817054416481</c:v>
                </c:pt>
                <c:pt idx="285">
                  <c:v>0.16510322057626589</c:v>
                </c:pt>
                <c:pt idx="286">
                  <c:v>0.16481360805187978</c:v>
                </c:pt>
                <c:pt idx="287">
                  <c:v>0.16455611820081531</c:v>
                </c:pt>
                <c:pt idx="288">
                  <c:v>0.16432235109111573</c:v>
                </c:pt>
                <c:pt idx="289">
                  <c:v>0.16437424820296684</c:v>
                </c:pt>
                <c:pt idx="290">
                  <c:v>0.16410104874699943</c:v>
                </c:pt>
                <c:pt idx="291">
                  <c:v>0.16382379522732679</c:v>
                </c:pt>
                <c:pt idx="292">
                  <c:v>0.16354217458793488</c:v>
                </c:pt>
                <c:pt idx="293">
                  <c:v>0.16331845604618789</c:v>
                </c:pt>
                <c:pt idx="294">
                  <c:v>0.16308008977690622</c:v>
                </c:pt>
                <c:pt idx="295">
                  <c:v>0.16281156659849447</c:v>
                </c:pt>
                <c:pt idx="296">
                  <c:v>0.16256052123167744</c:v>
                </c:pt>
                <c:pt idx="297">
                  <c:v>0.16231261803243649</c:v>
                </c:pt>
                <c:pt idx="298">
                  <c:v>0.16203925205045192</c:v>
                </c:pt>
                <c:pt idx="299">
                  <c:v>0.16189028230482433</c:v>
                </c:pt>
                <c:pt idx="300">
                  <c:v>0.16173222652481728</c:v>
                </c:pt>
                <c:pt idx="301">
                  <c:v>0.16151419687276639</c:v>
                </c:pt>
                <c:pt idx="302">
                  <c:v>0.16125311992836353</c:v>
                </c:pt>
                <c:pt idx="303">
                  <c:v>0.17045897478056438</c:v>
                </c:pt>
                <c:pt idx="304">
                  <c:v>0.17025062089045567</c:v>
                </c:pt>
                <c:pt idx="305">
                  <c:v>0.16997345622567742</c:v>
                </c:pt>
                <c:pt idx="306">
                  <c:v>0.16971451435778193</c:v>
                </c:pt>
                <c:pt idx="307">
                  <c:v>0.16947047230211157</c:v>
                </c:pt>
                <c:pt idx="308">
                  <c:v>0.16919433911473156</c:v>
                </c:pt>
                <c:pt idx="309">
                  <c:v>0.16899593279406544</c:v>
                </c:pt>
                <c:pt idx="310">
                  <c:v>0.1687469337814691</c:v>
                </c:pt>
                <c:pt idx="311">
                  <c:v>0.16887690023643279</c:v>
                </c:pt>
                <c:pt idx="312">
                  <c:v>0.16861379822258454</c:v>
                </c:pt>
                <c:pt idx="313">
                  <c:v>0.16842024942459102</c:v>
                </c:pt>
                <c:pt idx="314">
                  <c:v>0.16815582865464937</c:v>
                </c:pt>
                <c:pt idx="315">
                  <c:v>0.16798113436370918</c:v>
                </c:pt>
                <c:pt idx="316">
                  <c:v>0.1678827042507858</c:v>
                </c:pt>
                <c:pt idx="317">
                  <c:v>0.16764772855773447</c:v>
                </c:pt>
                <c:pt idx="318">
                  <c:v>0.16739291241779608</c:v>
                </c:pt>
                <c:pt idx="319">
                  <c:v>0.16713630063292181</c:v>
                </c:pt>
                <c:pt idx="320">
                  <c:v>0.16690064073830019</c:v>
                </c:pt>
                <c:pt idx="321">
                  <c:v>0.16665750598477963</c:v>
                </c:pt>
                <c:pt idx="322">
                  <c:v>0.16640858320872839</c:v>
                </c:pt>
                <c:pt idx="323">
                  <c:v>0.16615219867312236</c:v>
                </c:pt>
                <c:pt idx="324">
                  <c:v>0.16590384909473915</c:v>
                </c:pt>
                <c:pt idx="325">
                  <c:v>0.16582249339031452</c:v>
                </c:pt>
                <c:pt idx="326">
                  <c:v>0.16556790757023543</c:v>
                </c:pt>
                <c:pt idx="327">
                  <c:v>0.16536968849667288</c:v>
                </c:pt>
                <c:pt idx="328">
                  <c:v>0.16527453966612005</c:v>
                </c:pt>
                <c:pt idx="329">
                  <c:v>0.1650913475554088</c:v>
                </c:pt>
                <c:pt idx="330">
                  <c:v>0.16484285342326518</c:v>
                </c:pt>
                <c:pt idx="331">
                  <c:v>0.16461706321052907</c:v>
                </c:pt>
                <c:pt idx="332">
                  <c:v>0.1644023055783676</c:v>
                </c:pt>
                <c:pt idx="333">
                  <c:v>0.16415470946518282</c:v>
                </c:pt>
                <c:pt idx="334">
                  <c:v>0.16392298199837227</c:v>
                </c:pt>
                <c:pt idx="335">
                  <c:v>0.1636910220978732</c:v>
                </c:pt>
                <c:pt idx="336">
                  <c:v>0.1634521615646928</c:v>
                </c:pt>
                <c:pt idx="337">
                  <c:v>0.16323301111868488</c:v>
                </c:pt>
                <c:pt idx="338">
                  <c:v>0.16299569851885642</c:v>
                </c:pt>
                <c:pt idx="339">
                  <c:v>0.16278897536112508</c:v>
                </c:pt>
                <c:pt idx="340">
                  <c:v>0.16257054597852011</c:v>
                </c:pt>
                <c:pt idx="341">
                  <c:v>0.16235136583576509</c:v>
                </c:pt>
                <c:pt idx="342">
                  <c:v>0.16220313783315865</c:v>
                </c:pt>
                <c:pt idx="343">
                  <c:v>0.16210153500122582</c:v>
                </c:pt>
                <c:pt idx="344">
                  <c:v>0.16186754333702152</c:v>
                </c:pt>
                <c:pt idx="345">
                  <c:v>0.16163521958957874</c:v>
                </c:pt>
                <c:pt idx="346">
                  <c:v>0.16149074119515683</c:v>
                </c:pt>
                <c:pt idx="347">
                  <c:v>0.16126032344317026</c:v>
                </c:pt>
                <c:pt idx="348">
                  <c:v>0.1610277927077004</c:v>
                </c:pt>
                <c:pt idx="349">
                  <c:v>0.16079644900185747</c:v>
                </c:pt>
                <c:pt idx="350">
                  <c:v>0.16067512606366424</c:v>
                </c:pt>
                <c:pt idx="351">
                  <c:v>0.16045852618505879</c:v>
                </c:pt>
                <c:pt idx="352">
                  <c:v>0.16022980090956176</c:v>
                </c:pt>
                <c:pt idx="353">
                  <c:v>0.16000238989195567</c:v>
                </c:pt>
                <c:pt idx="354">
                  <c:v>0.15984184975435473</c:v>
                </c:pt>
                <c:pt idx="355">
                  <c:v>0.15963944268127239</c:v>
                </c:pt>
                <c:pt idx="356">
                  <c:v>0.15946823741298166</c:v>
                </c:pt>
                <c:pt idx="357">
                  <c:v>0.15927396470902513</c:v>
                </c:pt>
                <c:pt idx="358">
                  <c:v>0.15909847799191273</c:v>
                </c:pt>
                <c:pt idx="359">
                  <c:v>0.15887942855924012</c:v>
                </c:pt>
                <c:pt idx="360">
                  <c:v>0.15866184861852722</c:v>
                </c:pt>
                <c:pt idx="361">
                  <c:v>0.15851258059839493</c:v>
                </c:pt>
                <c:pt idx="362">
                  <c:v>0.15829755838348511</c:v>
                </c:pt>
                <c:pt idx="363">
                  <c:v>0.15807876897869375</c:v>
                </c:pt>
                <c:pt idx="364">
                  <c:v>0.1578636357935907</c:v>
                </c:pt>
                <c:pt idx="365">
                  <c:v>0.15764754565745331</c:v>
                </c:pt>
                <c:pt idx="366">
                  <c:v>0.15745054015923535</c:v>
                </c:pt>
                <c:pt idx="367">
                  <c:v>0.15762134629623176</c:v>
                </c:pt>
                <c:pt idx="368">
                  <c:v>0.15749181284138711</c:v>
                </c:pt>
                <c:pt idx="369">
                  <c:v>0.15727771285381495</c:v>
                </c:pt>
                <c:pt idx="370">
                  <c:v>0.15709358659899947</c:v>
                </c:pt>
                <c:pt idx="371">
                  <c:v>0.15690461195475305</c:v>
                </c:pt>
                <c:pt idx="372">
                  <c:v>0.1566930134881471</c:v>
                </c:pt>
                <c:pt idx="373">
                  <c:v>0.15649345994634845</c:v>
                </c:pt>
                <c:pt idx="374">
                  <c:v>0.15630173237062933</c:v>
                </c:pt>
                <c:pt idx="375">
                  <c:v>0.15609263301968265</c:v>
                </c:pt>
                <c:pt idx="376">
                  <c:v>0.15591460635897464</c:v>
                </c:pt>
                <c:pt idx="377">
                  <c:v>0.15584490061103998</c:v>
                </c:pt>
                <c:pt idx="378">
                  <c:v>0.15564672021947359</c:v>
                </c:pt>
                <c:pt idx="379">
                  <c:v>0.15544682366475293</c:v>
                </c:pt>
                <c:pt idx="380">
                  <c:v>0.15525374064420308</c:v>
                </c:pt>
                <c:pt idx="381">
                  <c:v>0.15539701480265106</c:v>
                </c:pt>
                <c:pt idx="382">
                  <c:v>0.15519809817215222</c:v>
                </c:pt>
                <c:pt idx="383">
                  <c:v>0.15499897175263969</c:v>
                </c:pt>
                <c:pt idx="384">
                  <c:v>0.15479943060985338</c:v>
                </c:pt>
                <c:pt idx="385">
                  <c:v>0.15460159662915288</c:v>
                </c:pt>
                <c:pt idx="386">
                  <c:v>0.15450201975673039</c:v>
                </c:pt>
                <c:pt idx="387">
                  <c:v>0.15430291454708026</c:v>
                </c:pt>
                <c:pt idx="388">
                  <c:v>0.15411754273939668</c:v>
                </c:pt>
                <c:pt idx="389">
                  <c:v>0.15393312876739909</c:v>
                </c:pt>
                <c:pt idx="390">
                  <c:v>0.15374345797285574</c:v>
                </c:pt>
                <c:pt idx="391">
                  <c:v>0.15354632404261861</c:v>
                </c:pt>
                <c:pt idx="392">
                  <c:v>0.15337403613806713</c:v>
                </c:pt>
                <c:pt idx="393">
                  <c:v>0.15318361130660466</c:v>
                </c:pt>
                <c:pt idx="394">
                  <c:v>0.15299143349186958</c:v>
                </c:pt>
                <c:pt idx="395">
                  <c:v>0.15279741867910826</c:v>
                </c:pt>
                <c:pt idx="396">
                  <c:v>0.15261041063464104</c:v>
                </c:pt>
                <c:pt idx="397">
                  <c:v>0.15245244674413128</c:v>
                </c:pt>
                <c:pt idx="398">
                  <c:v>0.15236615023728597</c:v>
                </c:pt>
                <c:pt idx="399">
                  <c:v>0.15231786401444669</c:v>
                </c:pt>
                <c:pt idx="400">
                  <c:v>0.15214843271809947</c:v>
                </c:pt>
                <c:pt idx="401">
                  <c:v>0.15196666630040803</c:v>
                </c:pt>
                <c:pt idx="402">
                  <c:v>0.15188546729503541</c:v>
                </c:pt>
                <c:pt idx="403">
                  <c:v>0.15171975521586792</c:v>
                </c:pt>
                <c:pt idx="404">
                  <c:v>0.15175900014627838</c:v>
                </c:pt>
                <c:pt idx="405">
                  <c:v>0.15163877531320741</c:v>
                </c:pt>
                <c:pt idx="406">
                  <c:v>0.15145291849813278</c:v>
                </c:pt>
                <c:pt idx="407">
                  <c:v>0.15126636249512601</c:v>
                </c:pt>
                <c:pt idx="408">
                  <c:v>0.15109096913628567</c:v>
                </c:pt>
                <c:pt idx="409">
                  <c:v>0.15090957633377333</c:v>
                </c:pt>
                <c:pt idx="410">
                  <c:v>0.1507263900275706</c:v>
                </c:pt>
                <c:pt idx="411">
                  <c:v>0.1505478764486444</c:v>
                </c:pt>
                <c:pt idx="412">
                  <c:v>0.15036472166048559</c:v>
                </c:pt>
                <c:pt idx="413">
                  <c:v>0.15021044016687626</c:v>
                </c:pt>
                <c:pt idx="414">
                  <c:v>0.15002869389277509</c:v>
                </c:pt>
                <c:pt idx="415">
                  <c:v>0.1498512986426479</c:v>
                </c:pt>
                <c:pt idx="416">
                  <c:v>0.14967184694168775</c:v>
                </c:pt>
                <c:pt idx="417">
                  <c:v>0.14950473025316971</c:v>
                </c:pt>
                <c:pt idx="418">
                  <c:v>0.14933215368764829</c:v>
                </c:pt>
                <c:pt idx="419">
                  <c:v>0.14919288792479243</c:v>
                </c:pt>
                <c:pt idx="420">
                  <c:v>0.1490169627374561</c:v>
                </c:pt>
                <c:pt idx="421">
                  <c:v>0.1495288876053591</c:v>
                </c:pt>
                <c:pt idx="422">
                  <c:v>0.14937391224983806</c:v>
                </c:pt>
                <c:pt idx="423">
                  <c:v>0.14927970106208843</c:v>
                </c:pt>
                <c:pt idx="424">
                  <c:v>0.14914946204860074</c:v>
                </c:pt>
                <c:pt idx="425">
                  <c:v>0.1489778784266331</c:v>
                </c:pt>
                <c:pt idx="426">
                  <c:v>0.14881157011695953</c:v>
                </c:pt>
                <c:pt idx="427">
                  <c:v>0.14866989936871414</c:v>
                </c:pt>
                <c:pt idx="428">
                  <c:v>0.14849571742002676</c:v>
                </c:pt>
                <c:pt idx="429">
                  <c:v>0.14832703796630264</c:v>
                </c:pt>
                <c:pt idx="430">
                  <c:v>0.14815540660544116</c:v>
                </c:pt>
                <c:pt idx="431">
                  <c:v>0.14808564864409832</c:v>
                </c:pt>
                <c:pt idx="432">
                  <c:v>0.14793559836685169</c:v>
                </c:pt>
                <c:pt idx="433">
                  <c:v>0.14776934878372619</c:v>
                </c:pt>
                <c:pt idx="434">
                  <c:v>0.14761828585147854</c:v>
                </c:pt>
                <c:pt idx="435">
                  <c:v>0.14745091296310839</c:v>
                </c:pt>
                <c:pt idx="436">
                  <c:v>0.14728135611412443</c:v>
                </c:pt>
                <c:pt idx="437">
                  <c:v>0.14711522117325773</c:v>
                </c:pt>
                <c:pt idx="438">
                  <c:v>0.14695039242949098</c:v>
                </c:pt>
                <c:pt idx="439">
                  <c:v>0.14681603465160581</c:v>
                </c:pt>
                <c:pt idx="440">
                  <c:v>0.14665243029152958</c:v>
                </c:pt>
                <c:pt idx="441">
                  <c:v>0.1464990590899134</c:v>
                </c:pt>
                <c:pt idx="442">
                  <c:v>0.14633286893407277</c:v>
                </c:pt>
                <c:pt idx="443">
                  <c:v>0.14628696674144756</c:v>
                </c:pt>
                <c:pt idx="444">
                  <c:v>0.14643166967945351</c:v>
                </c:pt>
                <c:pt idx="445">
                  <c:v>0.14666948290901966</c:v>
                </c:pt>
                <c:pt idx="446">
                  <c:v>0.14656345819426395</c:v>
                </c:pt>
                <c:pt idx="447">
                  <c:v>0.14640071777698352</c:v>
                </c:pt>
                <c:pt idx="448">
                  <c:v>0.14624101621643504</c:v>
                </c:pt>
                <c:pt idx="449">
                  <c:v>0.14608992125066686</c:v>
                </c:pt>
                <c:pt idx="450">
                  <c:v>0.14592717685018944</c:v>
                </c:pt>
                <c:pt idx="451">
                  <c:v>0.14576859451697097</c:v>
                </c:pt>
                <c:pt idx="452">
                  <c:v>0.14561273064343241</c:v>
                </c:pt>
                <c:pt idx="453">
                  <c:v>0.14545400037786788</c:v>
                </c:pt>
                <c:pt idx="454">
                  <c:v>0.14530573959175411</c:v>
                </c:pt>
                <c:pt idx="455">
                  <c:v>0.14515839119279755</c:v>
                </c:pt>
                <c:pt idx="456">
                  <c:v>0.14500302685679403</c:v>
                </c:pt>
                <c:pt idx="457">
                  <c:v>0.14484690154006488</c:v>
                </c:pt>
                <c:pt idx="458">
                  <c:v>0.14470343899895807</c:v>
                </c:pt>
                <c:pt idx="459">
                  <c:v>0.14454647992700137</c:v>
                </c:pt>
                <c:pt idx="460">
                  <c:v>0.14480781665948367</c:v>
                </c:pt>
                <c:pt idx="461">
                  <c:v>0.14485707775910978</c:v>
                </c:pt>
                <c:pt idx="462">
                  <c:v>0.14470189508724368</c:v>
                </c:pt>
                <c:pt idx="463">
                  <c:v>0.14501595644672607</c:v>
                </c:pt>
                <c:pt idx="464">
                  <c:v>0.14486825523803426</c:v>
                </c:pt>
                <c:pt idx="465">
                  <c:v>0.14492890674225326</c:v>
                </c:pt>
                <c:pt idx="466">
                  <c:v>0.14480639993993136</c:v>
                </c:pt>
                <c:pt idx="467">
                  <c:v>0.14465268757046457</c:v>
                </c:pt>
                <c:pt idx="468">
                  <c:v>0.14453137067764452</c:v>
                </c:pt>
                <c:pt idx="469">
                  <c:v>0.14443004981901336</c:v>
                </c:pt>
                <c:pt idx="470">
                  <c:v>0.1442807254907349</c:v>
                </c:pt>
                <c:pt idx="471">
                  <c:v>0.14424413570977887</c:v>
                </c:pt>
                <c:pt idx="472">
                  <c:v>0.14410499979088631</c:v>
                </c:pt>
                <c:pt idx="473">
                  <c:v>0.14395283952494337</c:v>
                </c:pt>
                <c:pt idx="474">
                  <c:v>0.1438070269592682</c:v>
                </c:pt>
                <c:pt idx="475">
                  <c:v>0.14385736210567479</c:v>
                </c:pt>
                <c:pt idx="476">
                  <c:v>0.14372208387906182</c:v>
                </c:pt>
                <c:pt idx="477">
                  <c:v>0.14357126818301891</c:v>
                </c:pt>
                <c:pt idx="478">
                  <c:v>0.14342484838502698</c:v>
                </c:pt>
                <c:pt idx="479">
                  <c:v>0.14327859255827297</c:v>
                </c:pt>
                <c:pt idx="480">
                  <c:v>0.143130989675923</c:v>
                </c:pt>
                <c:pt idx="481">
                  <c:v>0.14298272953663635</c:v>
                </c:pt>
                <c:pt idx="482">
                  <c:v>0.14283411686318409</c:v>
                </c:pt>
                <c:pt idx="483">
                  <c:v>0.14270766261353252</c:v>
                </c:pt>
                <c:pt idx="484">
                  <c:v>0.14255996830243736</c:v>
                </c:pt>
                <c:pt idx="485">
                  <c:v>0.14242515955078755</c:v>
                </c:pt>
                <c:pt idx="486">
                  <c:v>0.1422784431195839</c:v>
                </c:pt>
                <c:pt idx="487">
                  <c:v>0.14215788029055842</c:v>
                </c:pt>
                <c:pt idx="488">
                  <c:v>0.14201280348305981</c:v>
                </c:pt>
                <c:pt idx="489">
                  <c:v>0.14188702615366891</c:v>
                </c:pt>
                <c:pt idx="490">
                  <c:v>0.14176364260850624</c:v>
                </c:pt>
                <c:pt idx="491">
                  <c:v>0.14162441046518581</c:v>
                </c:pt>
                <c:pt idx="492">
                  <c:v>0.14148135258004679</c:v>
                </c:pt>
                <c:pt idx="493">
                  <c:v>0.14138684968311818</c:v>
                </c:pt>
                <c:pt idx="494">
                  <c:v>0.14124747997458517</c:v>
                </c:pt>
                <c:pt idx="495">
                  <c:v>0.14111344767392758</c:v>
                </c:pt>
                <c:pt idx="496">
                  <c:v>0.14097732351097575</c:v>
                </c:pt>
                <c:pt idx="497">
                  <c:v>0.14083853845440183</c:v>
                </c:pt>
                <c:pt idx="498">
                  <c:v>0.14070484863788504</c:v>
                </c:pt>
                <c:pt idx="499">
                  <c:v>0.14056387251664079</c:v>
                </c:pt>
                <c:pt idx="500">
                  <c:v>0.14042609448007151</c:v>
                </c:pt>
                <c:pt idx="501">
                  <c:v>0.14028570263636367</c:v>
                </c:pt>
                <c:pt idx="502">
                  <c:v>0.14014580009075686</c:v>
                </c:pt>
                <c:pt idx="503">
                  <c:v>0.14000616246662231</c:v>
                </c:pt>
                <c:pt idx="504">
                  <c:v>0.13990614860228603</c:v>
                </c:pt>
                <c:pt idx="505">
                  <c:v>0.13980205559585135</c:v>
                </c:pt>
                <c:pt idx="506">
                  <c:v>0.13966607476231604</c:v>
                </c:pt>
                <c:pt idx="507">
                  <c:v>0.13957427800139766</c:v>
                </c:pt>
                <c:pt idx="508">
                  <c:v>0.13943783652554134</c:v>
                </c:pt>
                <c:pt idx="509">
                  <c:v>0.13940439146779132</c:v>
                </c:pt>
                <c:pt idx="510">
                  <c:v>0.13929080890854997</c:v>
                </c:pt>
                <c:pt idx="511">
                  <c:v>0.13915464346541059</c:v>
                </c:pt>
                <c:pt idx="512">
                  <c:v>0.13902078631505016</c:v>
                </c:pt>
                <c:pt idx="513">
                  <c:v>0.13888506589975202</c:v>
                </c:pt>
                <c:pt idx="514">
                  <c:v>0.13876213440493015</c:v>
                </c:pt>
                <c:pt idx="515">
                  <c:v>0.1386282991301003</c:v>
                </c:pt>
                <c:pt idx="516">
                  <c:v>0.1384943496004884</c:v>
                </c:pt>
                <c:pt idx="517">
                  <c:v>0.13836184953741584</c:v>
                </c:pt>
                <c:pt idx="518">
                  <c:v>0.13825910776296965</c:v>
                </c:pt>
                <c:pt idx="519">
                  <c:v>0.13812871674554664</c:v>
                </c:pt>
                <c:pt idx="520">
                  <c:v>0.13799611122091809</c:v>
                </c:pt>
                <c:pt idx="521">
                  <c:v>0.13787657219144886</c:v>
                </c:pt>
                <c:pt idx="522">
                  <c:v>0.13780632580778587</c:v>
                </c:pt>
                <c:pt idx="523">
                  <c:v>0.13778008469132433</c:v>
                </c:pt>
                <c:pt idx="524">
                  <c:v>0.13766464845192211</c:v>
                </c:pt>
                <c:pt idx="525">
                  <c:v>0.13753448250442588</c:v>
                </c:pt>
                <c:pt idx="526">
                  <c:v>0.1374685486648749</c:v>
                </c:pt>
                <c:pt idx="527">
                  <c:v>0.13734028165816675</c:v>
                </c:pt>
                <c:pt idx="528">
                  <c:v>0.13721446818561206</c:v>
                </c:pt>
                <c:pt idx="529">
                  <c:v>0.13708565300302389</c:v>
                </c:pt>
                <c:pt idx="530">
                  <c:v>0.13710959839796619</c:v>
                </c:pt>
                <c:pt idx="531">
                  <c:v>0.13698137278007791</c:v>
                </c:pt>
                <c:pt idx="532">
                  <c:v>0.13695583195186545</c:v>
                </c:pt>
                <c:pt idx="533">
                  <c:v>0.13683780831243603</c:v>
                </c:pt>
                <c:pt idx="534">
                  <c:v>0.13671335945296428</c:v>
                </c:pt>
                <c:pt idx="535">
                  <c:v>0.13661573923542011</c:v>
                </c:pt>
                <c:pt idx="536">
                  <c:v>0.13648855933627946</c:v>
                </c:pt>
                <c:pt idx="537">
                  <c:v>0.13637174643805675</c:v>
                </c:pt>
                <c:pt idx="538">
                  <c:v>0.13628850101154497</c:v>
                </c:pt>
                <c:pt idx="539">
                  <c:v>0.13617461101801917</c:v>
                </c:pt>
                <c:pt idx="540">
                  <c:v>0.13605021547233165</c:v>
                </c:pt>
                <c:pt idx="541">
                  <c:v>0.13592572490380506</c:v>
                </c:pt>
                <c:pt idx="542">
                  <c:v>0.1358353877857523</c:v>
                </c:pt>
                <c:pt idx="543">
                  <c:v>0.13583377183481007</c:v>
                </c:pt>
                <c:pt idx="544">
                  <c:v>0.13574931194663536</c:v>
                </c:pt>
                <c:pt idx="545">
                  <c:v>0.13564807194101525</c:v>
                </c:pt>
                <c:pt idx="546">
                  <c:v>0.13552649245745849</c:v>
                </c:pt>
                <c:pt idx="547">
                  <c:v>0.13540621962900054</c:v>
                </c:pt>
                <c:pt idx="548">
                  <c:v>0.13528726740433272</c:v>
                </c:pt>
                <c:pt idx="549">
                  <c:v>0.1351648425652329</c:v>
                </c:pt>
                <c:pt idx="550">
                  <c:v>0.13504185089620829</c:v>
                </c:pt>
                <c:pt idx="551">
                  <c:v>0.13492214065501756</c:v>
                </c:pt>
                <c:pt idx="552">
                  <c:v>0.13485398052483238</c:v>
                </c:pt>
                <c:pt idx="553">
                  <c:v>0.13483546761309076</c:v>
                </c:pt>
                <c:pt idx="554">
                  <c:v>0.13477252040825866</c:v>
                </c:pt>
                <c:pt idx="555">
                  <c:v>0.13467186615728099</c:v>
                </c:pt>
                <c:pt idx="556">
                  <c:v>0.13462231067466959</c:v>
                </c:pt>
                <c:pt idx="557">
                  <c:v>0.13450340927460769</c:v>
                </c:pt>
                <c:pt idx="558">
                  <c:v>0.13438365522082504</c:v>
                </c:pt>
                <c:pt idx="559">
                  <c:v>0.13426764638873573</c:v>
                </c:pt>
                <c:pt idx="560">
                  <c:v>0.13421874970356712</c:v>
                </c:pt>
                <c:pt idx="561">
                  <c:v>0.13416370433949046</c:v>
                </c:pt>
                <c:pt idx="562">
                  <c:v>0.13407167164533457</c:v>
                </c:pt>
                <c:pt idx="563">
                  <c:v>0.13408415455090031</c:v>
                </c:pt>
                <c:pt idx="564">
                  <c:v>0.13397282052500681</c:v>
                </c:pt>
                <c:pt idx="565">
                  <c:v>0.13387859886701176</c:v>
                </c:pt>
                <c:pt idx="566">
                  <c:v>0.13385409195936193</c:v>
                </c:pt>
                <c:pt idx="567">
                  <c:v>0.1337400925810926</c:v>
                </c:pt>
                <c:pt idx="568">
                  <c:v>0.13362419314060342</c:v>
                </c:pt>
                <c:pt idx="569">
                  <c:v>0.13350651695509588</c:v>
                </c:pt>
                <c:pt idx="570">
                  <c:v>0.13359975823184689</c:v>
                </c:pt>
                <c:pt idx="571">
                  <c:v>0.13357094602559386</c:v>
                </c:pt>
                <c:pt idx="572">
                  <c:v>0.13367087900186314</c:v>
                </c:pt>
                <c:pt idx="573">
                  <c:v>0.13355398891699974</c:v>
                </c:pt>
                <c:pt idx="574">
                  <c:v>0.13343976080758532</c:v>
                </c:pt>
                <c:pt idx="575">
                  <c:v>0.13409921649872969</c:v>
                </c:pt>
                <c:pt idx="576">
                  <c:v>0.13676413993416908</c:v>
                </c:pt>
                <c:pt idx="577">
                  <c:v>0.13710658349791818</c:v>
                </c:pt>
                <c:pt idx="578">
                  <c:v>0.13703531607045086</c:v>
                </c:pt>
                <c:pt idx="579">
                  <c:v>0.13919227894653693</c:v>
                </c:pt>
                <c:pt idx="580">
                  <c:v>0.13940203230869319</c:v>
                </c:pt>
                <c:pt idx="581">
                  <c:v>0.13956515808931669</c:v>
                </c:pt>
                <c:pt idx="582">
                  <c:v>0.13945232278826475</c:v>
                </c:pt>
                <c:pt idx="583">
                  <c:v>0.13959266682591912</c:v>
                </c:pt>
                <c:pt idx="584">
                  <c:v>0.13968097297667137</c:v>
                </c:pt>
                <c:pt idx="585">
                  <c:v>0.13956135167754313</c:v>
                </c:pt>
                <c:pt idx="586">
                  <c:v>0.13950374983937611</c:v>
                </c:pt>
                <c:pt idx="587">
                  <c:v>0.13943958663784506</c:v>
                </c:pt>
                <c:pt idx="588">
                  <c:v>0.13932115984802981</c:v>
                </c:pt>
                <c:pt idx="589">
                  <c:v>0.13957430470539237</c:v>
                </c:pt>
                <c:pt idx="590">
                  <c:v>0.13964993647213261</c:v>
                </c:pt>
                <c:pt idx="591">
                  <c:v>0.139798275476226</c:v>
                </c:pt>
                <c:pt idx="592">
                  <c:v>0.13988432434963807</c:v>
                </c:pt>
                <c:pt idx="593">
                  <c:v>0.14005511018347203</c:v>
                </c:pt>
                <c:pt idx="594">
                  <c:v>0.13996938804181233</c:v>
                </c:pt>
                <c:pt idx="595">
                  <c:v>0.14002083127496495</c:v>
                </c:pt>
                <c:pt idx="596">
                  <c:v>0.13991020947866528</c:v>
                </c:pt>
                <c:pt idx="597">
                  <c:v>0.13979417676369779</c:v>
                </c:pt>
                <c:pt idx="598">
                  <c:v>0.13970104530269922</c:v>
                </c:pt>
                <c:pt idx="599">
                  <c:v>0.14001382261721679</c:v>
                </c:pt>
                <c:pt idx="600">
                  <c:v>0.13990167405306719</c:v>
                </c:pt>
                <c:pt idx="601">
                  <c:v>0.13985580631771188</c:v>
                </c:pt>
                <c:pt idx="602">
                  <c:v>0.1397973286660589</c:v>
                </c:pt>
                <c:pt idx="603">
                  <c:v>0.13968356910665927</c:v>
                </c:pt>
                <c:pt idx="604">
                  <c:v>0.13956993901998668</c:v>
                </c:pt>
                <c:pt idx="605">
                  <c:v>0.13977635246668721</c:v>
                </c:pt>
                <c:pt idx="606">
                  <c:v>0.13966234092312027</c:v>
                </c:pt>
                <c:pt idx="607">
                  <c:v>0.13955496906364678</c:v>
                </c:pt>
                <c:pt idx="608">
                  <c:v>0.1404121731089179</c:v>
                </c:pt>
                <c:pt idx="609">
                  <c:v>0.14096884043280336</c:v>
                </c:pt>
                <c:pt idx="610">
                  <c:v>0.14189996990715831</c:v>
                </c:pt>
                <c:pt idx="611">
                  <c:v>0.14223860281970682</c:v>
                </c:pt>
                <c:pt idx="612">
                  <c:v>0.14213804976079963</c:v>
                </c:pt>
                <c:pt idx="613">
                  <c:v>0.1422807158227519</c:v>
                </c:pt>
                <c:pt idx="614">
                  <c:v>0.14290971909934441</c:v>
                </c:pt>
                <c:pt idx="615">
                  <c:v>0.14300808205246943</c:v>
                </c:pt>
                <c:pt idx="616">
                  <c:v>0.14307030762480688</c:v>
                </c:pt>
                <c:pt idx="617">
                  <c:v>0.14301354420635809</c:v>
                </c:pt>
                <c:pt idx="618">
                  <c:v>0.14360814849494091</c:v>
                </c:pt>
                <c:pt idx="619">
                  <c:v>0.14350425117553484</c:v>
                </c:pt>
                <c:pt idx="620">
                  <c:v>0.14376596078910708</c:v>
                </c:pt>
                <c:pt idx="621">
                  <c:v>0.14369986563516796</c:v>
                </c:pt>
                <c:pt idx="622">
                  <c:v>0.14367084903913591</c:v>
                </c:pt>
                <c:pt idx="623">
                  <c:v>0.14357072949050406</c:v>
                </c:pt>
                <c:pt idx="624">
                  <c:v>0.14353873169966588</c:v>
                </c:pt>
                <c:pt idx="625">
                  <c:v>0.14357078410269888</c:v>
                </c:pt>
                <c:pt idx="626">
                  <c:v>0.14345609099216267</c:v>
                </c:pt>
                <c:pt idx="627">
                  <c:v>0.14339485353266779</c:v>
                </c:pt>
                <c:pt idx="628">
                  <c:v>0.14339314066387959</c:v>
                </c:pt>
                <c:pt idx="629">
                  <c:v>0.14327911519808631</c:v>
                </c:pt>
                <c:pt idx="630">
                  <c:v>0.14343102619616427</c:v>
                </c:pt>
                <c:pt idx="631">
                  <c:v>0.14332002858767423</c:v>
                </c:pt>
                <c:pt idx="632">
                  <c:v>0.1433464849778508</c:v>
                </c:pt>
                <c:pt idx="633">
                  <c:v>0.14323370726891749</c:v>
                </c:pt>
                <c:pt idx="634">
                  <c:v>0.14322332561157627</c:v>
                </c:pt>
                <c:pt idx="635">
                  <c:v>0.14311670464868867</c:v>
                </c:pt>
                <c:pt idx="636">
                  <c:v>0.14308425772624728</c:v>
                </c:pt>
                <c:pt idx="637">
                  <c:v>0.14298245766560941</c:v>
                </c:pt>
                <c:pt idx="638">
                  <c:v>0.14308797968431308</c:v>
                </c:pt>
                <c:pt idx="639">
                  <c:v>0.14298859813162662</c:v>
                </c:pt>
                <c:pt idx="640">
                  <c:v>0.14287731014679592</c:v>
                </c:pt>
                <c:pt idx="641">
                  <c:v>0.14288383857583484</c:v>
                </c:pt>
                <c:pt idx="642">
                  <c:v>0.14288219336570368</c:v>
                </c:pt>
                <c:pt idx="643">
                  <c:v>0.14277306456679006</c:v>
                </c:pt>
                <c:pt idx="644">
                  <c:v>0.14266226356718267</c:v>
                </c:pt>
                <c:pt idx="645">
                  <c:v>0.1426242316403005</c:v>
                </c:pt>
                <c:pt idx="646">
                  <c:v>0.14253161835311137</c:v>
                </c:pt>
                <c:pt idx="647">
                  <c:v>0.14242355455399155</c:v>
                </c:pt>
                <c:pt idx="648">
                  <c:v>0.14232632938568604</c:v>
                </c:pt>
                <c:pt idx="649">
                  <c:v>0.14228245000566273</c:v>
                </c:pt>
                <c:pt idx="650">
                  <c:v>0.14219026559539735</c:v>
                </c:pt>
                <c:pt idx="651">
                  <c:v>0.1420915986337544</c:v>
                </c:pt>
                <c:pt idx="652">
                  <c:v>0.14199070268800965</c:v>
                </c:pt>
                <c:pt idx="653">
                  <c:v>0.14189240854304816</c:v>
                </c:pt>
                <c:pt idx="654">
                  <c:v>0.14197923510555985</c:v>
                </c:pt>
                <c:pt idx="655">
                  <c:v>0.14207494036026391</c:v>
                </c:pt>
                <c:pt idx="656">
                  <c:v>0.14203882295195239</c:v>
                </c:pt>
                <c:pt idx="657">
                  <c:v>0.14207729241612863</c:v>
                </c:pt>
                <c:pt idx="658">
                  <c:v>0.14199113164686064</c:v>
                </c:pt>
                <c:pt idx="659">
                  <c:v>0.14188328311500059</c:v>
                </c:pt>
                <c:pt idx="660">
                  <c:v>0.14186436211681544</c:v>
                </c:pt>
                <c:pt idx="661">
                  <c:v>0.14175869937017727</c:v>
                </c:pt>
                <c:pt idx="662">
                  <c:v>0.14166099718805908</c:v>
                </c:pt>
                <c:pt idx="663">
                  <c:v>0.1415544573663266</c:v>
                </c:pt>
                <c:pt idx="664">
                  <c:v>0.14144986592538053</c:v>
                </c:pt>
                <c:pt idx="665">
                  <c:v>0.14137033731973925</c:v>
                </c:pt>
                <c:pt idx="666">
                  <c:v>0.14126943660076133</c:v>
                </c:pt>
                <c:pt idx="667">
                  <c:v>0.14116625992619064</c:v>
                </c:pt>
                <c:pt idx="668">
                  <c:v>0.14106932916582796</c:v>
                </c:pt>
                <c:pt idx="669">
                  <c:v>0.14099048564823533</c:v>
                </c:pt>
                <c:pt idx="670">
                  <c:v>0.14088720655990541</c:v>
                </c:pt>
                <c:pt idx="671">
                  <c:v>0.1408436003599591</c:v>
                </c:pt>
                <c:pt idx="672">
                  <c:v>0.14074130676281663</c:v>
                </c:pt>
                <c:pt idx="673">
                  <c:v>0.14090345423327139</c:v>
                </c:pt>
                <c:pt idx="674">
                  <c:v>0.14080295835010456</c:v>
                </c:pt>
                <c:pt idx="675">
                  <c:v>0.14081008898410585</c:v>
                </c:pt>
                <c:pt idx="676">
                  <c:v>0.14075213595058755</c:v>
                </c:pt>
                <c:pt idx="677">
                  <c:v>0.14064814386240324</c:v>
                </c:pt>
                <c:pt idx="678">
                  <c:v>0.14055350948419473</c:v>
                </c:pt>
                <c:pt idx="679">
                  <c:v>0.14048791411058481</c:v>
                </c:pt>
                <c:pt idx="680">
                  <c:v>0.14047327528724421</c:v>
                </c:pt>
                <c:pt idx="681">
                  <c:v>0.14045543259882526</c:v>
                </c:pt>
                <c:pt idx="682">
                  <c:v>0.14044477475064268</c:v>
                </c:pt>
                <c:pt idx="683">
                  <c:v>0.14035377759574863</c:v>
                </c:pt>
                <c:pt idx="684">
                  <c:v>0.1403258328218375</c:v>
                </c:pt>
                <c:pt idx="685">
                  <c:v>0.14031365874172999</c:v>
                </c:pt>
                <c:pt idx="686">
                  <c:v>0.14021171061753313</c:v>
                </c:pt>
                <c:pt idx="687">
                  <c:v>0.14011236678602129</c:v>
                </c:pt>
                <c:pt idx="688">
                  <c:v>0.14002654726015454</c:v>
                </c:pt>
                <c:pt idx="689">
                  <c:v>0.13992852439635978</c:v>
                </c:pt>
                <c:pt idx="690">
                  <c:v>0.13985240552391423</c:v>
                </c:pt>
                <c:pt idx="691">
                  <c:v>0.13975360173239254</c:v>
                </c:pt>
                <c:pt idx="692">
                  <c:v>0.13965493723627229</c:v>
                </c:pt>
                <c:pt idx="693">
                  <c:v>0.13957835749612202</c:v>
                </c:pt>
                <c:pt idx="694">
                  <c:v>0.13957472754547251</c:v>
                </c:pt>
                <c:pt idx="695">
                  <c:v>0.13949012206949335</c:v>
                </c:pt>
                <c:pt idx="696">
                  <c:v>0.13945375345080335</c:v>
                </c:pt>
                <c:pt idx="697">
                  <c:v>0.13940379006719908</c:v>
                </c:pt>
                <c:pt idx="698">
                  <c:v>0.13932922287713678</c:v>
                </c:pt>
                <c:pt idx="699">
                  <c:v>0.13923228528742781</c:v>
                </c:pt>
                <c:pt idx="700">
                  <c:v>0.13915851795625786</c:v>
                </c:pt>
                <c:pt idx="701">
                  <c:v>0.1390816932746255</c:v>
                </c:pt>
                <c:pt idx="702">
                  <c:v>0.13899463239959842</c:v>
                </c:pt>
                <c:pt idx="703">
                  <c:v>0.13890273764231756</c:v>
                </c:pt>
                <c:pt idx="704">
                  <c:v>0.13880461129455129</c:v>
                </c:pt>
                <c:pt idx="705">
                  <c:v>0.13871072335629728</c:v>
                </c:pt>
                <c:pt idx="706">
                  <c:v>0.13868637564219252</c:v>
                </c:pt>
                <c:pt idx="707">
                  <c:v>0.13861377569377581</c:v>
                </c:pt>
                <c:pt idx="708">
                  <c:v>0.1385609570709799</c:v>
                </c:pt>
                <c:pt idx="709">
                  <c:v>0.1385465281537335</c:v>
                </c:pt>
                <c:pt idx="710">
                  <c:v>0.13852025737304866</c:v>
                </c:pt>
                <c:pt idx="711">
                  <c:v>0.13843315342520635</c:v>
                </c:pt>
                <c:pt idx="712">
                  <c:v>0.13834069219200648</c:v>
                </c:pt>
                <c:pt idx="713">
                  <c:v>0.13824678029914197</c:v>
                </c:pt>
                <c:pt idx="714">
                  <c:v>0.13815076411124269</c:v>
                </c:pt>
                <c:pt idx="715">
                  <c:v>0.13805994708907388</c:v>
                </c:pt>
                <c:pt idx="716">
                  <c:v>0.13800527156812348</c:v>
                </c:pt>
                <c:pt idx="717">
                  <c:v>0.13797482705192232</c:v>
                </c:pt>
                <c:pt idx="718">
                  <c:v>0.13787863585854168</c:v>
                </c:pt>
                <c:pt idx="719">
                  <c:v>0.1378171980906662</c:v>
                </c:pt>
                <c:pt idx="720">
                  <c:v>0.13775210603753521</c:v>
                </c:pt>
                <c:pt idx="721">
                  <c:v>0.13765656757867564</c:v>
                </c:pt>
                <c:pt idx="722">
                  <c:v>0.13756687517396576</c:v>
                </c:pt>
                <c:pt idx="723">
                  <c:v>0.13748525083439084</c:v>
                </c:pt>
                <c:pt idx="724">
                  <c:v>0.13741173460493136</c:v>
                </c:pt>
                <c:pt idx="725">
                  <c:v>0.13732592506285154</c:v>
                </c:pt>
                <c:pt idx="726">
                  <c:v>0.13723377207884299</c:v>
                </c:pt>
                <c:pt idx="727">
                  <c:v>0.13715274152410675</c:v>
                </c:pt>
                <c:pt idx="728">
                  <c:v>0.13705839856990906</c:v>
                </c:pt>
                <c:pt idx="729">
                  <c:v>0.13699340643062369</c:v>
                </c:pt>
                <c:pt idx="730">
                  <c:v>0.13689946734645103</c:v>
                </c:pt>
                <c:pt idx="731">
                  <c:v>0.13685177611451066</c:v>
                </c:pt>
                <c:pt idx="732">
                  <c:v>0.13678831974223632</c:v>
                </c:pt>
                <c:pt idx="733">
                  <c:v>0.13669560794570593</c:v>
                </c:pt>
                <c:pt idx="734">
                  <c:v>0.13667040524290835</c:v>
                </c:pt>
                <c:pt idx="735">
                  <c:v>0.13657819814952279</c:v>
                </c:pt>
                <c:pt idx="736">
                  <c:v>0.13650536639100233</c:v>
                </c:pt>
                <c:pt idx="737">
                  <c:v>0.13641660742721073</c:v>
                </c:pt>
                <c:pt idx="738">
                  <c:v>0.1363418252525197</c:v>
                </c:pt>
                <c:pt idx="739">
                  <c:v>0.13625597083804902</c:v>
                </c:pt>
                <c:pt idx="740">
                  <c:v>0.1361640449257997</c:v>
                </c:pt>
                <c:pt idx="741">
                  <c:v>0.13608451347021563</c:v>
                </c:pt>
                <c:pt idx="742">
                  <c:v>0.13599362203592741</c:v>
                </c:pt>
                <c:pt idx="743">
                  <c:v>0.13590201750235897</c:v>
                </c:pt>
                <c:pt idx="744">
                  <c:v>0.13590382160138992</c:v>
                </c:pt>
                <c:pt idx="745">
                  <c:v>0.1358572466290649</c:v>
                </c:pt>
                <c:pt idx="746">
                  <c:v>0.13576694979485771</c:v>
                </c:pt>
                <c:pt idx="747">
                  <c:v>0.13568030952855945</c:v>
                </c:pt>
                <c:pt idx="748">
                  <c:v>0.13696197828439696</c:v>
                </c:pt>
                <c:pt idx="749">
                  <c:v>0.13741065749556494</c:v>
                </c:pt>
                <c:pt idx="750">
                  <c:v>0.13755239317681453</c:v>
                </c:pt>
                <c:pt idx="751">
                  <c:v>0.13750923270259074</c:v>
                </c:pt>
                <c:pt idx="752">
                  <c:v>0.13795943645893607</c:v>
                </c:pt>
                <c:pt idx="753">
                  <c:v>0.13786823256243061</c:v>
                </c:pt>
                <c:pt idx="754">
                  <c:v>0.13804259581395359</c:v>
                </c:pt>
                <c:pt idx="755">
                  <c:v>0.13795173166869251</c:v>
                </c:pt>
                <c:pt idx="756">
                  <c:v>0.13788706222905875</c:v>
                </c:pt>
                <c:pt idx="757">
                  <c:v>0.13783798661094573</c:v>
                </c:pt>
                <c:pt idx="758">
                  <c:v>0.13892057070548908</c:v>
                </c:pt>
                <c:pt idx="759">
                  <c:v>0.13922783596607022</c:v>
                </c:pt>
                <c:pt idx="760">
                  <c:v>0.13950880979423808</c:v>
                </c:pt>
                <c:pt idx="761">
                  <c:v>0.13947364456120845</c:v>
                </c:pt>
                <c:pt idx="762">
                  <c:v>0.13966043960093341</c:v>
                </c:pt>
                <c:pt idx="763">
                  <c:v>0.13969897542483761</c:v>
                </c:pt>
                <c:pt idx="764">
                  <c:v>0.13972990133605417</c:v>
                </c:pt>
                <c:pt idx="765">
                  <c:v>0.13969139995219287</c:v>
                </c:pt>
                <c:pt idx="766">
                  <c:v>0.13963221400780843</c:v>
                </c:pt>
                <c:pt idx="767">
                  <c:v>0.13958167740728689</c:v>
                </c:pt>
                <c:pt idx="768">
                  <c:v>0.13999943692669356</c:v>
                </c:pt>
                <c:pt idx="769">
                  <c:v>0.14007971517341553</c:v>
                </c:pt>
                <c:pt idx="770">
                  <c:v>0.14046026693746491</c:v>
                </c:pt>
                <c:pt idx="771">
                  <c:v>0.14037305068685352</c:v>
                </c:pt>
                <c:pt idx="772">
                  <c:v>0.14035534831421267</c:v>
                </c:pt>
                <c:pt idx="773">
                  <c:v>0.14038597691913626</c:v>
                </c:pt>
                <c:pt idx="774">
                  <c:v>0.14029909623346137</c:v>
                </c:pt>
                <c:pt idx="775">
                  <c:v>0.14054403945239702</c:v>
                </c:pt>
                <c:pt idx="776">
                  <c:v>0.14084881356005374</c:v>
                </c:pt>
                <c:pt idx="777">
                  <c:v>0.14076648906391917</c:v>
                </c:pt>
                <c:pt idx="778">
                  <c:v>0.14073055163912401</c:v>
                </c:pt>
                <c:pt idx="779">
                  <c:v>0.14090568207330634</c:v>
                </c:pt>
                <c:pt idx="780">
                  <c:v>0.14082495256612623</c:v>
                </c:pt>
                <c:pt idx="781">
                  <c:v>0.14132010283971275</c:v>
                </c:pt>
                <c:pt idx="782">
                  <c:v>0.14123718368532329</c:v>
                </c:pt>
                <c:pt idx="783">
                  <c:v>0.14121634234290364</c:v>
                </c:pt>
                <c:pt idx="784">
                  <c:v>0.14125293018736088</c:v>
                </c:pt>
                <c:pt idx="785">
                  <c:v>0.14237830466833196</c:v>
                </c:pt>
                <c:pt idx="786">
                  <c:v>0.14229157572570017</c:v>
                </c:pt>
                <c:pt idx="787">
                  <c:v>0.14283079204781629</c:v>
                </c:pt>
                <c:pt idx="788">
                  <c:v>0.14274232840004178</c:v>
                </c:pt>
                <c:pt idx="789">
                  <c:v>0.14265225189057229</c:v>
                </c:pt>
                <c:pt idx="790">
                  <c:v>0.14259082814261542</c:v>
                </c:pt>
                <c:pt idx="791">
                  <c:v>0.14250087072688253</c:v>
                </c:pt>
                <c:pt idx="792">
                  <c:v>0.14283144875016193</c:v>
                </c:pt>
                <c:pt idx="793">
                  <c:v>0.14323513589501158</c:v>
                </c:pt>
                <c:pt idx="794">
                  <c:v>0.14314483766750083</c:v>
                </c:pt>
                <c:pt idx="795">
                  <c:v>0.14332671673748226</c:v>
                </c:pt>
                <c:pt idx="796">
                  <c:v>0.1435203831717361</c:v>
                </c:pt>
                <c:pt idx="797">
                  <c:v>0.14390766757524359</c:v>
                </c:pt>
                <c:pt idx="798">
                  <c:v>0.14463496169790896</c:v>
                </c:pt>
                <c:pt idx="799">
                  <c:v>0.1471839430636058</c:v>
                </c:pt>
                <c:pt idx="800">
                  <c:v>0.14716589634566396</c:v>
                </c:pt>
                <c:pt idx="801">
                  <c:v>0.14707628063753114</c:v>
                </c:pt>
                <c:pt idx="802">
                  <c:v>0.14705700784721867</c:v>
                </c:pt>
                <c:pt idx="803">
                  <c:v>0.14696637891454736</c:v>
                </c:pt>
                <c:pt idx="804">
                  <c:v>0.14754128427348881</c:v>
                </c:pt>
                <c:pt idx="805">
                  <c:v>0.14867896934148553</c:v>
                </c:pt>
                <c:pt idx="806">
                  <c:v>0.14863431874319047</c:v>
                </c:pt>
                <c:pt idx="807">
                  <c:v>0.14863517283995908</c:v>
                </c:pt>
                <c:pt idx="808">
                  <c:v>0.14855823737622129</c:v>
                </c:pt>
                <c:pt idx="809">
                  <c:v>0.14848495074372062</c:v>
                </c:pt>
                <c:pt idx="810">
                  <c:v>0.14839336495231253</c:v>
                </c:pt>
                <c:pt idx="811">
                  <c:v>0.14833413784678093</c:v>
                </c:pt>
                <c:pt idx="812">
                  <c:v>0.14835636313212094</c:v>
                </c:pt>
                <c:pt idx="813">
                  <c:v>0.14826880322458727</c:v>
                </c:pt>
                <c:pt idx="814">
                  <c:v>0.1482329269169857</c:v>
                </c:pt>
                <c:pt idx="815">
                  <c:v>0.14831438078037773</c:v>
                </c:pt>
                <c:pt idx="816">
                  <c:v>0.14844206249511938</c:v>
                </c:pt>
                <c:pt idx="817">
                  <c:v>0.14835476523907773</c:v>
                </c:pt>
                <c:pt idx="818">
                  <c:v>0.14826509905690491</c:v>
                </c:pt>
                <c:pt idx="819">
                  <c:v>0.14824365935565442</c:v>
                </c:pt>
                <c:pt idx="820">
                  <c:v>0.14822250914047161</c:v>
                </c:pt>
                <c:pt idx="821">
                  <c:v>0.14813538173261068</c:v>
                </c:pt>
                <c:pt idx="822">
                  <c:v>0.14828505452786289</c:v>
                </c:pt>
                <c:pt idx="823">
                  <c:v>0.14826526356297684</c:v>
                </c:pt>
                <c:pt idx="824">
                  <c:v>0.14817547136633374</c:v>
                </c:pt>
                <c:pt idx="825">
                  <c:v>0.14812811505907053</c:v>
                </c:pt>
                <c:pt idx="826">
                  <c:v>0.14805781560677195</c:v>
                </c:pt>
                <c:pt idx="827">
                  <c:v>0.14797505943148828</c:v>
                </c:pt>
                <c:pt idx="828">
                  <c:v>0.14798269617263782</c:v>
                </c:pt>
                <c:pt idx="829">
                  <c:v>0.14789341819898402</c:v>
                </c:pt>
                <c:pt idx="830">
                  <c:v>0.14780432477645816</c:v>
                </c:pt>
                <c:pt idx="831">
                  <c:v>0.14787661380003408</c:v>
                </c:pt>
                <c:pt idx="832">
                  <c:v>0.14779486111360304</c:v>
                </c:pt>
                <c:pt idx="833">
                  <c:v>0.1477153488930065</c:v>
                </c:pt>
                <c:pt idx="834">
                  <c:v>0.14773976393576149</c:v>
                </c:pt>
                <c:pt idx="835">
                  <c:v>0.14765245184344195</c:v>
                </c:pt>
                <c:pt idx="836">
                  <c:v>0.14756601090213103</c:v>
                </c:pt>
                <c:pt idx="837">
                  <c:v>0.14749329834613209</c:v>
                </c:pt>
                <c:pt idx="838">
                  <c:v>0.1474423265735898</c:v>
                </c:pt>
                <c:pt idx="839">
                  <c:v>0.14735506367475187</c:v>
                </c:pt>
                <c:pt idx="840">
                  <c:v>0.14726862384432793</c:v>
                </c:pt>
                <c:pt idx="841">
                  <c:v>0.14718180993202409</c:v>
                </c:pt>
                <c:pt idx="842">
                  <c:v>0.14710473603203039</c:v>
                </c:pt>
                <c:pt idx="843">
                  <c:v>0.14706055059854223</c:v>
                </c:pt>
                <c:pt idx="844">
                  <c:v>0.14699177564103172</c:v>
                </c:pt>
                <c:pt idx="845">
                  <c:v>0.14690698618791181</c:v>
                </c:pt>
                <c:pt idx="846">
                  <c:v>0.14686834457900724</c:v>
                </c:pt>
                <c:pt idx="847">
                  <c:v>0.14685463844115168</c:v>
                </c:pt>
                <c:pt idx="848">
                  <c:v>0.14677420397300664</c:v>
                </c:pt>
                <c:pt idx="849">
                  <c:v>0.14689466097900916</c:v>
                </c:pt>
                <c:pt idx="850">
                  <c:v>0.146814846393508</c:v>
                </c:pt>
                <c:pt idx="851">
                  <c:v>0.14677205382395897</c:v>
                </c:pt>
                <c:pt idx="852">
                  <c:v>0.14668737392437423</c:v>
                </c:pt>
                <c:pt idx="853">
                  <c:v>0.14662260535930305</c:v>
                </c:pt>
                <c:pt idx="854">
                  <c:v>0.14654771915074563</c:v>
                </c:pt>
                <c:pt idx="855">
                  <c:v>0.14646216787783717</c:v>
                </c:pt>
                <c:pt idx="856">
                  <c:v>0.1463876801648317</c:v>
                </c:pt>
                <c:pt idx="857">
                  <c:v>0.14641216795322529</c:v>
                </c:pt>
                <c:pt idx="858">
                  <c:v>0.14670294276551785</c:v>
                </c:pt>
                <c:pt idx="859">
                  <c:v>0.14661890598695551</c:v>
                </c:pt>
                <c:pt idx="860">
                  <c:v>0.14657986259259756</c:v>
                </c:pt>
                <c:pt idx="861">
                  <c:v>0.14651986748209284</c:v>
                </c:pt>
                <c:pt idx="862">
                  <c:v>0.14644505331981272</c:v>
                </c:pt>
                <c:pt idx="863">
                  <c:v>0.14640033954500242</c:v>
                </c:pt>
                <c:pt idx="864">
                  <c:v>0.14644001926411532</c:v>
                </c:pt>
                <c:pt idx="865">
                  <c:v>0.14635539626377603</c:v>
                </c:pt>
                <c:pt idx="866">
                  <c:v>0.14627380985149704</c:v>
                </c:pt>
                <c:pt idx="867">
                  <c:v>0.14619214226488625</c:v>
                </c:pt>
                <c:pt idx="868">
                  <c:v>0.1461255950963456</c:v>
                </c:pt>
                <c:pt idx="869">
                  <c:v>0.14604180049821511</c:v>
                </c:pt>
                <c:pt idx="870">
                  <c:v>0.14599938428893539</c:v>
                </c:pt>
                <c:pt idx="871">
                  <c:v>0.14592482378205116</c:v>
                </c:pt>
                <c:pt idx="872">
                  <c:v>0.14584116589953847</c:v>
                </c:pt>
                <c:pt idx="873">
                  <c:v>0.14579561218422463</c:v>
                </c:pt>
                <c:pt idx="874">
                  <c:v>0.14571316181964991</c:v>
                </c:pt>
                <c:pt idx="875">
                  <c:v>0.14562978733826315</c:v>
                </c:pt>
                <c:pt idx="876">
                  <c:v>0.14555367732179997</c:v>
                </c:pt>
                <c:pt idx="877">
                  <c:v>0.14547192625046898</c:v>
                </c:pt>
                <c:pt idx="878">
                  <c:v>0.1453893222608437</c:v>
                </c:pt>
                <c:pt idx="879">
                  <c:v>0.14537658846818913</c:v>
                </c:pt>
                <c:pt idx="880">
                  <c:v>0.14530059784205274</c:v>
                </c:pt>
                <c:pt idx="881">
                  <c:v>0.14521862715768946</c:v>
                </c:pt>
                <c:pt idx="882">
                  <c:v>0.14515411699714284</c:v>
                </c:pt>
                <c:pt idx="883">
                  <c:v>0.1450722216914348</c:v>
                </c:pt>
                <c:pt idx="884">
                  <c:v>0.1449903258553164</c:v>
                </c:pt>
                <c:pt idx="885">
                  <c:v>0.14496999485701381</c:v>
                </c:pt>
                <c:pt idx="886">
                  <c:v>0.14489439181395231</c:v>
                </c:pt>
                <c:pt idx="887">
                  <c:v>0.14489608741419618</c:v>
                </c:pt>
                <c:pt idx="888">
                  <c:v>0.14483784217238554</c:v>
                </c:pt>
                <c:pt idx="889">
                  <c:v>0.14503656761320463</c:v>
                </c:pt>
                <c:pt idx="890">
                  <c:v>0.14495888901519272</c:v>
                </c:pt>
                <c:pt idx="891">
                  <c:v>0.1448888216943805</c:v>
                </c:pt>
                <c:pt idx="892">
                  <c:v>0.14481830250305269</c:v>
                </c:pt>
                <c:pt idx="893">
                  <c:v>0.14532230010110933</c:v>
                </c:pt>
                <c:pt idx="894">
                  <c:v>0.1452976658899926</c:v>
                </c:pt>
                <c:pt idx="895">
                  <c:v>0.14524530946432906</c:v>
                </c:pt>
                <c:pt idx="896">
                  <c:v>0.14523433350287379</c:v>
                </c:pt>
                <c:pt idx="897">
                  <c:v>0.14519080810987667</c:v>
                </c:pt>
                <c:pt idx="898">
                  <c:v>0.14515905827705936</c:v>
                </c:pt>
                <c:pt idx="899">
                  <c:v>0.14514187990773372</c:v>
                </c:pt>
                <c:pt idx="900">
                  <c:v>0.14507107876069966</c:v>
                </c:pt>
                <c:pt idx="901">
                  <c:v>0.14513622298618384</c:v>
                </c:pt>
                <c:pt idx="902">
                  <c:v>0.14505659308303423</c:v>
                </c:pt>
                <c:pt idx="903">
                  <c:v>0.14504975381192564</c:v>
                </c:pt>
                <c:pt idx="904">
                  <c:v>0.1450202499838853</c:v>
                </c:pt>
                <c:pt idx="905">
                  <c:v>0.14494294737944377</c:v>
                </c:pt>
                <c:pt idx="906">
                  <c:v>0.14503898383311883</c:v>
                </c:pt>
                <c:pt idx="907">
                  <c:v>0.1449681520963983</c:v>
                </c:pt>
                <c:pt idx="908">
                  <c:v>0.1453138596827816</c:v>
                </c:pt>
                <c:pt idx="909">
                  <c:v>0.14529192102337321</c:v>
                </c:pt>
                <c:pt idx="910">
                  <c:v>0.14524370263912065</c:v>
                </c:pt>
                <c:pt idx="911">
                  <c:v>0.14526149916989023</c:v>
                </c:pt>
                <c:pt idx="912">
                  <c:v>0.14519914368071157</c:v>
                </c:pt>
                <c:pt idx="913">
                  <c:v>0.14512003690243366</c:v>
                </c:pt>
                <c:pt idx="914">
                  <c:v>0.14504613598381358</c:v>
                </c:pt>
                <c:pt idx="915">
                  <c:v>0.14497985152547707</c:v>
                </c:pt>
                <c:pt idx="916">
                  <c:v>0.14490440918503747</c:v>
                </c:pt>
                <c:pt idx="917">
                  <c:v>0.14482557194770035</c:v>
                </c:pt>
                <c:pt idx="918">
                  <c:v>0.14482908380967008</c:v>
                </c:pt>
                <c:pt idx="919">
                  <c:v>0.14475651608985191</c:v>
                </c:pt>
                <c:pt idx="920">
                  <c:v>0.14475560337555893</c:v>
                </c:pt>
                <c:pt idx="921">
                  <c:v>0.144679549369371</c:v>
                </c:pt>
                <c:pt idx="922">
                  <c:v>0.14460531703736179</c:v>
                </c:pt>
                <c:pt idx="923">
                  <c:v>0.1446194865402943</c:v>
                </c:pt>
                <c:pt idx="924">
                  <c:v>0.14454363111161053</c:v>
                </c:pt>
                <c:pt idx="925">
                  <c:v>0.14447647686814663</c:v>
                </c:pt>
                <c:pt idx="926">
                  <c:v>0.14442542047345583</c:v>
                </c:pt>
                <c:pt idx="927">
                  <c:v>0.1443971494228829</c:v>
                </c:pt>
                <c:pt idx="928">
                  <c:v>0.14432520031780793</c:v>
                </c:pt>
                <c:pt idx="929">
                  <c:v>0.14429693582091482</c:v>
                </c:pt>
                <c:pt idx="930">
                  <c:v>0.14422391727268513</c:v>
                </c:pt>
                <c:pt idx="931">
                  <c:v>0.14417228789297992</c:v>
                </c:pt>
                <c:pt idx="932">
                  <c:v>0.14409547243074866</c:v>
                </c:pt>
                <c:pt idx="933">
                  <c:v>0.14403387287744715</c:v>
                </c:pt>
                <c:pt idx="934">
                  <c:v>0.14395992484531736</c:v>
                </c:pt>
                <c:pt idx="935">
                  <c:v>0.14389934557230019</c:v>
                </c:pt>
                <c:pt idx="936">
                  <c:v>0.14382243214964419</c:v>
                </c:pt>
                <c:pt idx="937">
                  <c:v>0.14375930358244041</c:v>
                </c:pt>
                <c:pt idx="938">
                  <c:v>0.14372776168978002</c:v>
                </c:pt>
                <c:pt idx="939">
                  <c:v>0.14366049861920796</c:v>
                </c:pt>
                <c:pt idx="940">
                  <c:v>0.14362457477823484</c:v>
                </c:pt>
                <c:pt idx="941">
                  <c:v>0.1435536114839015</c:v>
                </c:pt>
                <c:pt idx="942">
                  <c:v>0.14351590199407518</c:v>
                </c:pt>
                <c:pt idx="943">
                  <c:v>0.14345667187007743</c:v>
                </c:pt>
                <c:pt idx="944">
                  <c:v>0.14341069341565849</c:v>
                </c:pt>
                <c:pt idx="945">
                  <c:v>0.14337988370164961</c:v>
                </c:pt>
                <c:pt idx="946">
                  <c:v>0.14330787747098622</c:v>
                </c:pt>
                <c:pt idx="947">
                  <c:v>0.14324048792563662</c:v>
                </c:pt>
                <c:pt idx="948">
                  <c:v>0.14328346739291589</c:v>
                </c:pt>
                <c:pt idx="949">
                  <c:v>0.14328990772090364</c:v>
                </c:pt>
                <c:pt idx="950">
                  <c:v>0.14326903014414949</c:v>
                </c:pt>
                <c:pt idx="951">
                  <c:v>0.14403327281679196</c:v>
                </c:pt>
                <c:pt idx="952">
                  <c:v>0.14410475616781504</c:v>
                </c:pt>
                <c:pt idx="953">
                  <c:v>0.14402919383745108</c:v>
                </c:pt>
                <c:pt idx="954">
                  <c:v>0.14426354092248339</c:v>
                </c:pt>
                <c:pt idx="955">
                  <c:v>0.14423285224205917</c:v>
                </c:pt>
                <c:pt idx="956">
                  <c:v>0.14430167092911678</c:v>
                </c:pt>
                <c:pt idx="957">
                  <c:v>0.14442124269146442</c:v>
                </c:pt>
                <c:pt idx="958">
                  <c:v>0.14514618643694724</c:v>
                </c:pt>
                <c:pt idx="959">
                  <c:v>0.14507443756748861</c:v>
                </c:pt>
                <c:pt idx="960">
                  <c:v>0.14517781290090198</c:v>
                </c:pt>
                <c:pt idx="961">
                  <c:v>0.14522651984110871</c:v>
                </c:pt>
                <c:pt idx="962">
                  <c:v>0.14521308629558402</c:v>
                </c:pt>
                <c:pt idx="963">
                  <c:v>0.14519342364182886</c:v>
                </c:pt>
                <c:pt idx="964">
                  <c:v>0.14576463822621741</c:v>
                </c:pt>
                <c:pt idx="965">
                  <c:v>0.14579018022699047</c:v>
                </c:pt>
                <c:pt idx="966">
                  <c:v>0.14593461958919526</c:v>
                </c:pt>
                <c:pt idx="967">
                  <c:v>0.14585912437149404</c:v>
                </c:pt>
                <c:pt idx="968">
                  <c:v>0.14583104296283578</c:v>
                </c:pt>
                <c:pt idx="969">
                  <c:v>0.14585337270121748</c:v>
                </c:pt>
                <c:pt idx="970">
                  <c:v>0.14591999039265519</c:v>
                </c:pt>
                <c:pt idx="971">
                  <c:v>0.14584498600838502</c:v>
                </c:pt>
                <c:pt idx="972">
                  <c:v>0.14577008420023385</c:v>
                </c:pt>
                <c:pt idx="973">
                  <c:v>0.14569508573201739</c:v>
                </c:pt>
                <c:pt idx="974">
                  <c:v>0.14566162303516325</c:v>
                </c:pt>
                <c:pt idx="975">
                  <c:v>0.14559225141922988</c:v>
                </c:pt>
                <c:pt idx="976">
                  <c:v>0.14551871116278217</c:v>
                </c:pt>
                <c:pt idx="977">
                  <c:v>0.14545528296022373</c:v>
                </c:pt>
                <c:pt idx="978">
                  <c:v>0.14538502221651831</c:v>
                </c:pt>
                <c:pt idx="979">
                  <c:v>0.14531067920085391</c:v>
                </c:pt>
                <c:pt idx="980">
                  <c:v>0.14523657928458297</c:v>
                </c:pt>
                <c:pt idx="981">
                  <c:v>0.14518733621398944</c:v>
                </c:pt>
                <c:pt idx="982">
                  <c:v>0.14511363469020724</c:v>
                </c:pt>
                <c:pt idx="983">
                  <c:v>0.14510688056819443</c:v>
                </c:pt>
                <c:pt idx="984">
                  <c:v>0.1450624087221693</c:v>
                </c:pt>
                <c:pt idx="985">
                  <c:v>0.14499572964740223</c:v>
                </c:pt>
                <c:pt idx="986">
                  <c:v>0.14495087004580443</c:v>
                </c:pt>
                <c:pt idx="987">
                  <c:v>0.1448964667198713</c:v>
                </c:pt>
                <c:pt idx="988">
                  <c:v>0.14496394538950558</c:v>
                </c:pt>
                <c:pt idx="989">
                  <c:v>0.14518423351471621</c:v>
                </c:pt>
                <c:pt idx="990">
                  <c:v>0.14516158988298616</c:v>
                </c:pt>
                <c:pt idx="991">
                  <c:v>0.14525617255525491</c:v>
                </c:pt>
                <c:pt idx="992">
                  <c:v>0.1452035518452103</c:v>
                </c:pt>
                <c:pt idx="993">
                  <c:v>0.14535233151361104</c:v>
                </c:pt>
                <c:pt idx="994">
                  <c:v>0.14548097820936073</c:v>
                </c:pt>
                <c:pt idx="995">
                  <c:v>0.14550486671093901</c:v>
                </c:pt>
                <c:pt idx="996">
                  <c:v>0.14543447531099926</c:v>
                </c:pt>
                <c:pt idx="997">
                  <c:v>0.14544101944097362</c:v>
                </c:pt>
                <c:pt idx="998">
                  <c:v>0.14537305058699254</c:v>
                </c:pt>
                <c:pt idx="999">
                  <c:v>0.14530506780011945</c:v>
                </c:pt>
                <c:pt idx="1000">
                  <c:v>0.14524848806498969</c:v>
                </c:pt>
                <c:pt idx="1001">
                  <c:v>0.1452122351637983</c:v>
                </c:pt>
                <c:pt idx="1002">
                  <c:v>0.14515332396744546</c:v>
                </c:pt>
                <c:pt idx="1003">
                  <c:v>0.14508607915355401</c:v>
                </c:pt>
                <c:pt idx="1004">
                  <c:v>0.14501574153955024</c:v>
                </c:pt>
                <c:pt idx="1005">
                  <c:v>0.14495517606156794</c:v>
                </c:pt>
                <c:pt idx="1006">
                  <c:v>0.1449062213385317</c:v>
                </c:pt>
                <c:pt idx="1007">
                  <c:v>0.14483551183473128</c:v>
                </c:pt>
                <c:pt idx="1008">
                  <c:v>0.14477057567461529</c:v>
                </c:pt>
                <c:pt idx="1009">
                  <c:v>0.14470891503038755</c:v>
                </c:pt>
                <c:pt idx="1010">
                  <c:v>0.14471106573537257</c:v>
                </c:pt>
                <c:pt idx="1011">
                  <c:v>0.14464872729431574</c:v>
                </c:pt>
                <c:pt idx="1012">
                  <c:v>0.14457938895028405</c:v>
                </c:pt>
                <c:pt idx="1013">
                  <c:v>0.14451577561777501</c:v>
                </c:pt>
                <c:pt idx="1014">
                  <c:v>0.1444483690066673</c:v>
                </c:pt>
                <c:pt idx="1015">
                  <c:v>0.14438201373414047</c:v>
                </c:pt>
                <c:pt idx="1016">
                  <c:v>0.14431199825154808</c:v>
                </c:pt>
                <c:pt idx="1017">
                  <c:v>0.1442410336048105</c:v>
                </c:pt>
                <c:pt idx="1018">
                  <c:v>0.1441702496497817</c:v>
                </c:pt>
                <c:pt idx="1019">
                  <c:v>0.14414481453303532</c:v>
                </c:pt>
                <c:pt idx="1020">
                  <c:v>0.14407407334327912</c:v>
                </c:pt>
                <c:pt idx="1021">
                  <c:v>0.14400432561349985</c:v>
                </c:pt>
                <c:pt idx="1022">
                  <c:v>0.1439487816801294</c:v>
                </c:pt>
                <c:pt idx="1023">
                  <c:v>0.143881786090789</c:v>
                </c:pt>
                <c:pt idx="1024">
                  <c:v>0.14381407504568225</c:v>
                </c:pt>
                <c:pt idx="1025">
                  <c:v>0.14378674286300017</c:v>
                </c:pt>
                <c:pt idx="1026">
                  <c:v>0.14371924806975861</c:v>
                </c:pt>
                <c:pt idx="1027">
                  <c:v>0.14366115303441751</c:v>
                </c:pt>
                <c:pt idx="1028">
                  <c:v>0.14360807381785332</c:v>
                </c:pt>
                <c:pt idx="1029">
                  <c:v>0.14360825447016315</c:v>
                </c:pt>
                <c:pt idx="1030">
                  <c:v>0.1435809384677231</c:v>
                </c:pt>
                <c:pt idx="1031">
                  <c:v>0.14354094015272015</c:v>
                </c:pt>
                <c:pt idx="1032">
                  <c:v>0.14347230102177752</c:v>
                </c:pt>
                <c:pt idx="1033">
                  <c:v>0.14346733233086773</c:v>
                </c:pt>
                <c:pt idx="1034">
                  <c:v>0.14340884874234125</c:v>
                </c:pt>
                <c:pt idx="1035">
                  <c:v>0.14334145922694536</c:v>
                </c:pt>
              </c:numCache>
            </c:numRef>
          </c:yVal>
          <c:smooth val="1"/>
        </c:ser>
        <c:dLbls>
          <c:showLegendKey val="0"/>
          <c:showVal val="0"/>
          <c:showCatName val="0"/>
          <c:showSerName val="0"/>
          <c:showPercent val="0"/>
          <c:showBubbleSize val="0"/>
        </c:dLbls>
        <c:axId val="406474416"/>
        <c:axId val="406473240"/>
      </c:scatterChart>
      <c:valAx>
        <c:axId val="406474416"/>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06473240"/>
        <c:crosses val="autoZero"/>
        <c:crossBetween val="midCat"/>
      </c:valAx>
      <c:valAx>
        <c:axId val="406473240"/>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06474416"/>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Sharpe</a:t>
            </a:r>
            <a:r>
              <a:rPr lang="en-US" baseline="0"/>
              <a:t>  Ratio</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Balance!$B$2:$B$2089</c:f>
              <c:numCache>
                <c:formatCode>m/d/yyyy</c:formatCode>
                <c:ptCount val="20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pt idx="1032">
                  <c:v>43804</c:v>
                </c:pt>
                <c:pt idx="1033">
                  <c:v>43805</c:v>
                </c:pt>
                <c:pt idx="1034">
                  <c:v>43808</c:v>
                </c:pt>
                <c:pt idx="1035">
                  <c:v>43809</c:v>
                </c:pt>
              </c:numCache>
            </c:numRef>
          </c:xVal>
          <c:yVal>
            <c:numRef>
              <c:f>Balance!$Y$2:$Y$2093</c:f>
              <c:numCache>
                <c:formatCode>0.00</c:formatCode>
                <c:ptCount val="2092"/>
                <c:pt idx="24">
                  <c:v>-3.8499547775497365</c:v>
                </c:pt>
                <c:pt idx="25">
                  <c:v>-4.3278353920474375</c:v>
                </c:pt>
                <c:pt idx="26">
                  <c:v>-4.7183237601413186</c:v>
                </c:pt>
                <c:pt idx="27">
                  <c:v>-4.5614152079646777</c:v>
                </c:pt>
                <c:pt idx="28">
                  <c:v>-4.7103592958503597</c:v>
                </c:pt>
                <c:pt idx="29">
                  <c:v>-5.0149373180224526</c:v>
                </c:pt>
                <c:pt idx="30">
                  <c:v>-4.7562091451914448</c:v>
                </c:pt>
                <c:pt idx="31">
                  <c:v>-4.0727724589998608</c:v>
                </c:pt>
                <c:pt idx="32">
                  <c:v>-3.9655175896671575</c:v>
                </c:pt>
                <c:pt idx="33">
                  <c:v>-2.9138584194180774</c:v>
                </c:pt>
                <c:pt idx="34">
                  <c:v>-2.0978942422866593</c:v>
                </c:pt>
                <c:pt idx="35">
                  <c:v>-2.0166305824844115</c:v>
                </c:pt>
                <c:pt idx="36">
                  <c:v>-1.8936413715872129</c:v>
                </c:pt>
                <c:pt idx="37">
                  <c:v>-1.7403849542828786</c:v>
                </c:pt>
                <c:pt idx="38">
                  <c:v>-1.8662566168727561</c:v>
                </c:pt>
                <c:pt idx="39">
                  <c:v>-1.918831096472563</c:v>
                </c:pt>
                <c:pt idx="40">
                  <c:v>-1.9721769105971136</c:v>
                </c:pt>
                <c:pt idx="41">
                  <c:v>-1.8283670645532104</c:v>
                </c:pt>
                <c:pt idx="42">
                  <c:v>-1.6627529073415339</c:v>
                </c:pt>
                <c:pt idx="43">
                  <c:v>-1.7320608868047245</c:v>
                </c:pt>
                <c:pt idx="44">
                  <c:v>-1.5959113571845522</c:v>
                </c:pt>
                <c:pt idx="45">
                  <c:v>-1.8307456474026849</c:v>
                </c:pt>
                <c:pt idx="46">
                  <c:v>-2.0706931573680341</c:v>
                </c:pt>
                <c:pt idx="47">
                  <c:v>-1.9225813504621905</c:v>
                </c:pt>
                <c:pt idx="48">
                  <c:v>-1.8561841928589706</c:v>
                </c:pt>
                <c:pt idx="49">
                  <c:v>-2.0896352351084859</c:v>
                </c:pt>
                <c:pt idx="50">
                  <c:v>-2.134517162088684</c:v>
                </c:pt>
                <c:pt idx="51">
                  <c:v>-1.8002088540986232</c:v>
                </c:pt>
                <c:pt idx="52">
                  <c:v>-1.949513398393995</c:v>
                </c:pt>
                <c:pt idx="53">
                  <c:v>-1.8634391674201358</c:v>
                </c:pt>
                <c:pt idx="54">
                  <c:v>-1.5825591056937076</c:v>
                </c:pt>
                <c:pt idx="55">
                  <c:v>-1.3750359199801869</c:v>
                </c:pt>
                <c:pt idx="56">
                  <c:v>-1.392379174437274</c:v>
                </c:pt>
                <c:pt idx="57">
                  <c:v>-1.7197730981785118</c:v>
                </c:pt>
                <c:pt idx="58">
                  <c:v>-1.7211973764090402</c:v>
                </c:pt>
                <c:pt idx="59">
                  <c:v>-1.821503918418542</c:v>
                </c:pt>
                <c:pt idx="60">
                  <c:v>-1.8335469215919467</c:v>
                </c:pt>
                <c:pt idx="61">
                  <c:v>-1.9934047281330927</c:v>
                </c:pt>
                <c:pt idx="62">
                  <c:v>-2.1740128109567562</c:v>
                </c:pt>
                <c:pt idx="63">
                  <c:v>-2.1513053369289294</c:v>
                </c:pt>
                <c:pt idx="64">
                  <c:v>-1.8538055625429346</c:v>
                </c:pt>
                <c:pt idx="65">
                  <c:v>-1.8952367680443036</c:v>
                </c:pt>
                <c:pt idx="66">
                  <c:v>-1.6044119753509889</c:v>
                </c:pt>
                <c:pt idx="67">
                  <c:v>-1.5371287192553631</c:v>
                </c:pt>
                <c:pt idx="68">
                  <c:v>-1.5855363099590469</c:v>
                </c:pt>
                <c:pt idx="69">
                  <c:v>-1.4673235853852784</c:v>
                </c:pt>
                <c:pt idx="70">
                  <c:v>-1.3166507641993983</c:v>
                </c:pt>
                <c:pt idx="71">
                  <c:v>-1.2834259302886835</c:v>
                </c:pt>
                <c:pt idx="72">
                  <c:v>-1.3410045864387201</c:v>
                </c:pt>
                <c:pt idx="73">
                  <c:v>-1.2278158639299235</c:v>
                </c:pt>
                <c:pt idx="74">
                  <c:v>-1.134431626201303</c:v>
                </c:pt>
                <c:pt idx="75">
                  <c:v>-1.4424041619564663</c:v>
                </c:pt>
                <c:pt idx="76">
                  <c:v>-1.5812362423520514</c:v>
                </c:pt>
                <c:pt idx="77">
                  <c:v>-1.6700195873374537</c:v>
                </c:pt>
                <c:pt idx="78">
                  <c:v>-2.0268705632315123</c:v>
                </c:pt>
                <c:pt idx="79">
                  <c:v>-2.0902513706285379</c:v>
                </c:pt>
                <c:pt idx="80">
                  <c:v>-2.1232023093344758</c:v>
                </c:pt>
                <c:pt idx="81">
                  <c:v>-1.9828120754967253</c:v>
                </c:pt>
                <c:pt idx="82">
                  <c:v>-2.1925539521879425</c:v>
                </c:pt>
                <c:pt idx="83">
                  <c:v>-2.093517113300396</c:v>
                </c:pt>
                <c:pt idx="84">
                  <c:v>-2.1386870926561983</c:v>
                </c:pt>
                <c:pt idx="85">
                  <c:v>-1.9993721669141093</c:v>
                </c:pt>
                <c:pt idx="86">
                  <c:v>-2.1169876938434293</c:v>
                </c:pt>
                <c:pt idx="87">
                  <c:v>-2.0958016775346406</c:v>
                </c:pt>
                <c:pt idx="88">
                  <c:v>-1.9177108538849612</c:v>
                </c:pt>
                <c:pt idx="89">
                  <c:v>-1.8868187606367703</c:v>
                </c:pt>
                <c:pt idx="90">
                  <c:v>-1.6482837692666303</c:v>
                </c:pt>
                <c:pt idx="91">
                  <c:v>-1.6268907045770358</c:v>
                </c:pt>
                <c:pt idx="92">
                  <c:v>-1.7384824402491641</c:v>
                </c:pt>
                <c:pt idx="93">
                  <c:v>-1.6917888977808908</c:v>
                </c:pt>
                <c:pt idx="94">
                  <c:v>-1.8597634874367968</c:v>
                </c:pt>
                <c:pt idx="95">
                  <c:v>-1.7890702445540221</c:v>
                </c:pt>
                <c:pt idx="96">
                  <c:v>-1.6811563673144914</c:v>
                </c:pt>
                <c:pt idx="97">
                  <c:v>-1.6242618306121068</c:v>
                </c:pt>
                <c:pt idx="98">
                  <c:v>-1.9437268594096122</c:v>
                </c:pt>
                <c:pt idx="99">
                  <c:v>-2.132760480390671</c:v>
                </c:pt>
                <c:pt idx="100">
                  <c:v>-2.2203700618719266</c:v>
                </c:pt>
                <c:pt idx="101">
                  <c:v>-2.3942610811481182</c:v>
                </c:pt>
                <c:pt idx="102">
                  <c:v>-2.5001111439637489</c:v>
                </c:pt>
                <c:pt idx="103">
                  <c:v>-2.6845028861280862</c:v>
                </c:pt>
                <c:pt idx="104">
                  <c:v>-2.4932852527809537</c:v>
                </c:pt>
                <c:pt idx="105">
                  <c:v>-2.6977455241425847</c:v>
                </c:pt>
                <c:pt idx="106">
                  <c:v>-2.7539243613178055</c:v>
                </c:pt>
                <c:pt idx="107">
                  <c:v>-2.794450300846401</c:v>
                </c:pt>
                <c:pt idx="108">
                  <c:v>-2.3921534617724527</c:v>
                </c:pt>
                <c:pt idx="109">
                  <c:v>-2.2925401531290008</c:v>
                </c:pt>
                <c:pt idx="110">
                  <c:v>-2.4538100780579715</c:v>
                </c:pt>
                <c:pt idx="111">
                  <c:v>-2.3366886982819146</c:v>
                </c:pt>
                <c:pt idx="112">
                  <c:v>-2.272856957569918</c:v>
                </c:pt>
                <c:pt idx="113">
                  <c:v>-2.18119526361036</c:v>
                </c:pt>
                <c:pt idx="114">
                  <c:v>-1.8727058206654761</c:v>
                </c:pt>
                <c:pt idx="115">
                  <c:v>-1.8597570421263978</c:v>
                </c:pt>
                <c:pt idx="116">
                  <c:v>-2.0173529927552201</c:v>
                </c:pt>
                <c:pt idx="117">
                  <c:v>-1.7952873142152721</c:v>
                </c:pt>
                <c:pt idx="118">
                  <c:v>-1.7757261434499982</c:v>
                </c:pt>
                <c:pt idx="119">
                  <c:v>-1.935270223670144</c:v>
                </c:pt>
                <c:pt idx="120">
                  <c:v>-2.0558214380731248</c:v>
                </c:pt>
                <c:pt idx="121">
                  <c:v>-2.1197968645803273</c:v>
                </c:pt>
                <c:pt idx="122">
                  <c:v>-2.156943912237657</c:v>
                </c:pt>
                <c:pt idx="123">
                  <c:v>-2.2173628910061138</c:v>
                </c:pt>
                <c:pt idx="124">
                  <c:v>-2.1169960009379838</c:v>
                </c:pt>
                <c:pt idx="125">
                  <c:v>-1.9812424670785269</c:v>
                </c:pt>
                <c:pt idx="126">
                  <c:v>-1.8977237802010791</c:v>
                </c:pt>
                <c:pt idx="127">
                  <c:v>-1.9816114756235828</c:v>
                </c:pt>
                <c:pt idx="128">
                  <c:v>-2.0427474823868996</c:v>
                </c:pt>
                <c:pt idx="129">
                  <c:v>-1.8321848909479606</c:v>
                </c:pt>
                <c:pt idx="130">
                  <c:v>-1.9304752609628064</c:v>
                </c:pt>
                <c:pt idx="131">
                  <c:v>-1.8806933426854744</c:v>
                </c:pt>
                <c:pt idx="132">
                  <c:v>-1.8515650889385118</c:v>
                </c:pt>
                <c:pt idx="133">
                  <c:v>-1.7497551123679653</c:v>
                </c:pt>
                <c:pt idx="134">
                  <c:v>-1.7023143874821338</c:v>
                </c:pt>
                <c:pt idx="135">
                  <c:v>-1.6737424156111842</c:v>
                </c:pt>
                <c:pt idx="136">
                  <c:v>-1.4297795728694578</c:v>
                </c:pt>
                <c:pt idx="137">
                  <c:v>-1.2926611916912221</c:v>
                </c:pt>
                <c:pt idx="138">
                  <c:v>-1.1616497542352806</c:v>
                </c:pt>
                <c:pt idx="139">
                  <c:v>-1.1468410640670468</c:v>
                </c:pt>
                <c:pt idx="140">
                  <c:v>-1.2982190146643116</c:v>
                </c:pt>
                <c:pt idx="141">
                  <c:v>-1.2426978675553815</c:v>
                </c:pt>
                <c:pt idx="142">
                  <c:v>-1.2082080074209431</c:v>
                </c:pt>
                <c:pt idx="143">
                  <c:v>-1.0907292608579511</c:v>
                </c:pt>
                <c:pt idx="144">
                  <c:v>-1.1013071427947407</c:v>
                </c:pt>
                <c:pt idx="145">
                  <c:v>-1.0968864601377382</c:v>
                </c:pt>
                <c:pt idx="146">
                  <c:v>-1.0746618457569814</c:v>
                </c:pt>
                <c:pt idx="147">
                  <c:v>-1.0667266571557021</c:v>
                </c:pt>
                <c:pt idx="148">
                  <c:v>-1.0223019481153968</c:v>
                </c:pt>
                <c:pt idx="149">
                  <c:v>-1.0100872160095207</c:v>
                </c:pt>
                <c:pt idx="150">
                  <c:v>-1.0239577864055074</c:v>
                </c:pt>
                <c:pt idx="151">
                  <c:v>-1.1862320179918258</c:v>
                </c:pt>
                <c:pt idx="152">
                  <c:v>-1.1796718156280581</c:v>
                </c:pt>
                <c:pt idx="153">
                  <c:v>-1.185114769089648</c:v>
                </c:pt>
                <c:pt idx="154">
                  <c:v>-1.1422884429345836</c:v>
                </c:pt>
                <c:pt idx="155">
                  <c:v>-1.1123726625743722</c:v>
                </c:pt>
                <c:pt idx="156">
                  <c:v>-1.0323719058163814</c:v>
                </c:pt>
                <c:pt idx="157">
                  <c:v>-1.0486364914206709</c:v>
                </c:pt>
                <c:pt idx="158">
                  <c:v>-1.0625363103669607</c:v>
                </c:pt>
                <c:pt idx="159">
                  <c:v>-1.0756247770147234</c:v>
                </c:pt>
                <c:pt idx="160">
                  <c:v>-1.0250454264618656</c:v>
                </c:pt>
                <c:pt idx="161">
                  <c:v>-1.0079762493343094</c:v>
                </c:pt>
                <c:pt idx="162">
                  <c:v>-0.93447624612781754</c:v>
                </c:pt>
                <c:pt idx="163">
                  <c:v>-0.9463601585207827</c:v>
                </c:pt>
                <c:pt idx="164">
                  <c:v>-0.80912974593689146</c:v>
                </c:pt>
                <c:pt idx="165">
                  <c:v>-0.78005856138516372</c:v>
                </c:pt>
                <c:pt idx="166">
                  <c:v>-0.78335868986521107</c:v>
                </c:pt>
                <c:pt idx="167">
                  <c:v>-0.77793458571168805</c:v>
                </c:pt>
                <c:pt idx="168">
                  <c:v>-0.72125510978247331</c:v>
                </c:pt>
                <c:pt idx="169">
                  <c:v>-0.66887932012516438</c:v>
                </c:pt>
                <c:pt idx="170">
                  <c:v>-0.65864968259380929</c:v>
                </c:pt>
                <c:pt idx="171">
                  <c:v>-0.67797971095778808</c:v>
                </c:pt>
                <c:pt idx="172">
                  <c:v>-0.63668591927203844</c:v>
                </c:pt>
                <c:pt idx="173">
                  <c:v>-0.68454556214279183</c:v>
                </c:pt>
                <c:pt idx="174">
                  <c:v>-0.57715239257739082</c:v>
                </c:pt>
                <c:pt idx="175">
                  <c:v>-0.53277280512346881</c:v>
                </c:pt>
                <c:pt idx="176">
                  <c:v>-0.57364554480625507</c:v>
                </c:pt>
                <c:pt idx="177">
                  <c:v>-0.6387891212526341</c:v>
                </c:pt>
                <c:pt idx="178">
                  <c:v>-0.68448736798101806</c:v>
                </c:pt>
                <c:pt idx="179">
                  <c:v>-0.7659814915415738</c:v>
                </c:pt>
                <c:pt idx="180">
                  <c:v>-0.84943037818037204</c:v>
                </c:pt>
                <c:pt idx="181">
                  <c:v>-0.84431695951043073</c:v>
                </c:pt>
                <c:pt idx="182">
                  <c:v>-0.8461127834742066</c:v>
                </c:pt>
                <c:pt idx="183">
                  <c:v>-0.89356401640769378</c:v>
                </c:pt>
                <c:pt idx="184">
                  <c:v>-0.83229665108841255</c:v>
                </c:pt>
                <c:pt idx="185">
                  <c:v>-0.7955245867281886</c:v>
                </c:pt>
                <c:pt idx="186">
                  <c:v>-0.83350324162671152</c:v>
                </c:pt>
                <c:pt idx="187">
                  <c:v>-0.83756894599669407</c:v>
                </c:pt>
                <c:pt idx="188">
                  <c:v>-0.77373499232264575</c:v>
                </c:pt>
                <c:pt idx="189">
                  <c:v>-0.76516583866958454</c:v>
                </c:pt>
                <c:pt idx="190">
                  <c:v>-0.76631108358378452</c:v>
                </c:pt>
                <c:pt idx="191">
                  <c:v>-0.75906925191313057</c:v>
                </c:pt>
                <c:pt idx="192">
                  <c:v>-0.67990693451316542</c:v>
                </c:pt>
                <c:pt idx="193">
                  <c:v>-0.65277620389468705</c:v>
                </c:pt>
                <c:pt idx="194">
                  <c:v>-0.63941462813460226</c:v>
                </c:pt>
                <c:pt idx="195">
                  <c:v>-0.59486841992373629</c:v>
                </c:pt>
                <c:pt idx="196">
                  <c:v>-0.6117368052531752</c:v>
                </c:pt>
                <c:pt idx="197">
                  <c:v>-0.61410007201864025</c:v>
                </c:pt>
                <c:pt idx="198">
                  <c:v>-0.57640326400266151</c:v>
                </c:pt>
                <c:pt idx="199">
                  <c:v>-0.54609297540860979</c:v>
                </c:pt>
                <c:pt idx="200">
                  <c:v>-0.53414914968335436</c:v>
                </c:pt>
                <c:pt idx="201">
                  <c:v>-0.54817347946899575</c:v>
                </c:pt>
                <c:pt idx="202">
                  <c:v>-0.48533049570728737</c:v>
                </c:pt>
                <c:pt idx="203">
                  <c:v>-0.42867271406068974</c:v>
                </c:pt>
                <c:pt idx="204">
                  <c:v>-0.44683459202589337</c:v>
                </c:pt>
                <c:pt idx="205">
                  <c:v>-0.46334383318732236</c:v>
                </c:pt>
                <c:pt idx="206">
                  <c:v>-0.54570673543979042</c:v>
                </c:pt>
                <c:pt idx="207">
                  <c:v>-0.56674333187611492</c:v>
                </c:pt>
                <c:pt idx="208">
                  <c:v>-0.58710160168724712</c:v>
                </c:pt>
                <c:pt idx="209">
                  <c:v>-0.59926645519720934</c:v>
                </c:pt>
                <c:pt idx="210">
                  <c:v>-0.62991848976897058</c:v>
                </c:pt>
                <c:pt idx="211">
                  <c:v>-0.5727665573314209</c:v>
                </c:pt>
                <c:pt idx="212">
                  <c:v>-0.46059520056581643</c:v>
                </c:pt>
                <c:pt idx="213">
                  <c:v>-0.40362312196068761</c:v>
                </c:pt>
                <c:pt idx="214">
                  <c:v>-0.42655661547926044</c:v>
                </c:pt>
                <c:pt idx="215">
                  <c:v>-0.34824329181571689</c:v>
                </c:pt>
                <c:pt idx="216">
                  <c:v>-0.43237316217261174</c:v>
                </c:pt>
                <c:pt idx="217">
                  <c:v>-0.55190896186272698</c:v>
                </c:pt>
                <c:pt idx="218">
                  <c:v>-0.39843626711658386</c:v>
                </c:pt>
                <c:pt idx="219">
                  <c:v>-0.34092315843402937</c:v>
                </c:pt>
                <c:pt idx="220">
                  <c:v>-0.31334220134911017</c:v>
                </c:pt>
                <c:pt idx="221">
                  <c:v>-0.30963269795000409</c:v>
                </c:pt>
                <c:pt idx="222">
                  <c:v>-0.39358105998833326</c:v>
                </c:pt>
                <c:pt idx="223">
                  <c:v>-0.38913373808917301</c:v>
                </c:pt>
                <c:pt idx="224">
                  <c:v>-0.37009362683417002</c:v>
                </c:pt>
                <c:pt idx="225">
                  <c:v>-0.32101370254511552</c:v>
                </c:pt>
                <c:pt idx="226">
                  <c:v>-0.31881287146864001</c:v>
                </c:pt>
                <c:pt idx="227">
                  <c:v>-0.21023818951523621</c:v>
                </c:pt>
                <c:pt idx="228">
                  <c:v>-0.22926500122767923</c:v>
                </c:pt>
                <c:pt idx="229">
                  <c:v>-0.21446487755999355</c:v>
                </c:pt>
                <c:pt idx="230">
                  <c:v>-0.22987045094898106</c:v>
                </c:pt>
                <c:pt idx="231">
                  <c:v>-0.21864838239892248</c:v>
                </c:pt>
                <c:pt idx="232">
                  <c:v>-0.25900307778432563</c:v>
                </c:pt>
                <c:pt idx="233">
                  <c:v>-0.2374845877052984</c:v>
                </c:pt>
                <c:pt idx="234">
                  <c:v>-0.28480150496094381</c:v>
                </c:pt>
                <c:pt idx="235">
                  <c:v>-0.30534116441388054</c:v>
                </c:pt>
                <c:pt idx="236">
                  <c:v>-0.3155398000077938</c:v>
                </c:pt>
                <c:pt idx="237">
                  <c:v>-0.27777556647702273</c:v>
                </c:pt>
                <c:pt idx="238">
                  <c:v>-0.34562946157915941</c:v>
                </c:pt>
                <c:pt idx="239">
                  <c:v>-0.34059834689584434</c:v>
                </c:pt>
                <c:pt idx="240">
                  <c:v>-0.33351281047184927</c:v>
                </c:pt>
                <c:pt idx="241">
                  <c:v>-0.38488018067376056</c:v>
                </c:pt>
                <c:pt idx="242">
                  <c:v>-0.41182058251403098</c:v>
                </c:pt>
                <c:pt idx="243">
                  <c:v>-0.36764330643238863</c:v>
                </c:pt>
                <c:pt idx="244">
                  <c:v>-0.3585942983279467</c:v>
                </c:pt>
                <c:pt idx="245">
                  <c:v>-0.29586019659875096</c:v>
                </c:pt>
                <c:pt idx="246">
                  <c:v>-0.27173055985902822</c:v>
                </c:pt>
                <c:pt idx="247">
                  <c:v>-0.27100791953477571</c:v>
                </c:pt>
                <c:pt idx="248">
                  <c:v>-0.31436309944786184</c:v>
                </c:pt>
                <c:pt idx="249">
                  <c:v>-0.21239170199709825</c:v>
                </c:pt>
                <c:pt idx="250">
                  <c:v>-0.19689033773293813</c:v>
                </c:pt>
                <c:pt idx="251">
                  <c:v>-0.16708300352857525</c:v>
                </c:pt>
                <c:pt idx="252">
                  <c:v>-0.11972558179033062</c:v>
                </c:pt>
                <c:pt idx="253">
                  <c:v>-0.11594170595354422</c:v>
                </c:pt>
                <c:pt idx="254">
                  <c:v>-0.15349233184444946</c:v>
                </c:pt>
                <c:pt idx="255">
                  <c:v>-0.10958381571512156</c:v>
                </c:pt>
                <c:pt idx="256">
                  <c:v>-0.13352185434946193</c:v>
                </c:pt>
                <c:pt idx="257">
                  <c:v>-0.12845683950457279</c:v>
                </c:pt>
                <c:pt idx="258">
                  <c:v>-0.12604375613829913</c:v>
                </c:pt>
                <c:pt idx="259">
                  <c:v>-0.11382164476139263</c:v>
                </c:pt>
                <c:pt idx="260">
                  <c:v>-0.13636683503481539</c:v>
                </c:pt>
                <c:pt idx="261">
                  <c:v>-0.1648273162264661</c:v>
                </c:pt>
                <c:pt idx="262">
                  <c:v>-0.17078428474787347</c:v>
                </c:pt>
                <c:pt idx="263">
                  <c:v>-0.13307743971835154</c:v>
                </c:pt>
                <c:pt idx="264">
                  <c:v>-0.11167905005743611</c:v>
                </c:pt>
                <c:pt idx="265">
                  <c:v>-8.5252025733191322E-2</c:v>
                </c:pt>
                <c:pt idx="266">
                  <c:v>-1.8773537049167073E-2</c:v>
                </c:pt>
                <c:pt idx="267">
                  <c:v>-8.9507253067199047E-2</c:v>
                </c:pt>
                <c:pt idx="268">
                  <c:v>-8.3561648506023864E-2</c:v>
                </c:pt>
                <c:pt idx="269">
                  <c:v>-0.16533998131736136</c:v>
                </c:pt>
                <c:pt idx="270">
                  <c:v>-0.18805446493040667</c:v>
                </c:pt>
                <c:pt idx="271">
                  <c:v>-0.15474267548698431</c:v>
                </c:pt>
                <c:pt idx="272">
                  <c:v>-0.1545045511950095</c:v>
                </c:pt>
                <c:pt idx="273">
                  <c:v>-0.17109544476126018</c:v>
                </c:pt>
                <c:pt idx="274">
                  <c:v>-0.17355492369728123</c:v>
                </c:pt>
                <c:pt idx="275">
                  <c:v>-0.11122202191628326</c:v>
                </c:pt>
                <c:pt idx="276">
                  <c:v>-9.379641242195963E-2</c:v>
                </c:pt>
                <c:pt idx="277">
                  <c:v>-0.11952486328311787</c:v>
                </c:pt>
                <c:pt idx="278">
                  <c:v>-0.13581642505201377</c:v>
                </c:pt>
                <c:pt idx="279">
                  <c:v>-0.15195433630048219</c:v>
                </c:pt>
                <c:pt idx="280">
                  <c:v>-8.9238658362597242E-2</c:v>
                </c:pt>
                <c:pt idx="281">
                  <c:v>-6.5865043106320076E-2</c:v>
                </c:pt>
                <c:pt idx="282">
                  <c:v>-6.4729835748792333E-2</c:v>
                </c:pt>
                <c:pt idx="283">
                  <c:v>-6.3566014665554588E-2</c:v>
                </c:pt>
                <c:pt idx="284">
                  <c:v>-9.1807719423733836E-2</c:v>
                </c:pt>
                <c:pt idx="285">
                  <c:v>-5.8411830173252167E-2</c:v>
                </c:pt>
                <c:pt idx="286">
                  <c:v>-5.6640832269130054E-2</c:v>
                </c:pt>
                <c:pt idx="287">
                  <c:v>-8.4748026002935531E-2</c:v>
                </c:pt>
                <c:pt idx="288">
                  <c:v>-6.0388032128647948E-2</c:v>
                </c:pt>
                <c:pt idx="289">
                  <c:v>-0.15269572572626519</c:v>
                </c:pt>
                <c:pt idx="290">
                  <c:v>-0.11900266180578474</c:v>
                </c:pt>
                <c:pt idx="291">
                  <c:v>-0.11409182658261245</c:v>
                </c:pt>
                <c:pt idx="292">
                  <c:v>-0.12618200077428562</c:v>
                </c:pt>
                <c:pt idx="293">
                  <c:v>-0.12824049658303618</c:v>
                </c:pt>
                <c:pt idx="294">
                  <c:v>-0.15375505444769291</c:v>
                </c:pt>
                <c:pt idx="295">
                  <c:v>-0.15105380108356853</c:v>
                </c:pt>
                <c:pt idx="296">
                  <c:v>-0.17210937682239094</c:v>
                </c:pt>
                <c:pt idx="297">
                  <c:v>-0.19946496806492994</c:v>
                </c:pt>
                <c:pt idx="298">
                  <c:v>-0.23673561404745108</c:v>
                </c:pt>
                <c:pt idx="299">
                  <c:v>-0.23517595673222838</c:v>
                </c:pt>
                <c:pt idx="300">
                  <c:v>-0.28992477868380434</c:v>
                </c:pt>
                <c:pt idx="301">
                  <c:v>-0.19349633461099588</c:v>
                </c:pt>
                <c:pt idx="302">
                  <c:v>-0.21669404370203071</c:v>
                </c:pt>
                <c:pt idx="303">
                  <c:v>3.7299326544472711E-2</c:v>
                </c:pt>
                <c:pt idx="304">
                  <c:v>5.8610107881684305E-3</c:v>
                </c:pt>
                <c:pt idx="305">
                  <c:v>-3.4048734372640818E-2</c:v>
                </c:pt>
                <c:pt idx="306">
                  <c:v>9.677489639838105E-2</c:v>
                </c:pt>
                <c:pt idx="307">
                  <c:v>6.9936532128903758E-2</c:v>
                </c:pt>
                <c:pt idx="308">
                  <c:v>9.5333002650095297E-2</c:v>
                </c:pt>
                <c:pt idx="309">
                  <c:v>0.10931436320149325</c:v>
                </c:pt>
                <c:pt idx="310">
                  <c:v>0.1235616156331534</c:v>
                </c:pt>
                <c:pt idx="311">
                  <c:v>0.146755001912896</c:v>
                </c:pt>
                <c:pt idx="312">
                  <c:v>0.15468421288266263</c:v>
                </c:pt>
                <c:pt idx="313">
                  <c:v>0.16360029408222659</c:v>
                </c:pt>
                <c:pt idx="314">
                  <c:v>0.16784142733917065</c:v>
                </c:pt>
                <c:pt idx="315">
                  <c:v>0.18551325799973731</c:v>
                </c:pt>
                <c:pt idx="316">
                  <c:v>0.15957183390850352</c:v>
                </c:pt>
                <c:pt idx="317">
                  <c:v>0.17072196461028116</c:v>
                </c:pt>
                <c:pt idx="318">
                  <c:v>0.18591356771614484</c:v>
                </c:pt>
                <c:pt idx="319">
                  <c:v>0.18512609021101351</c:v>
                </c:pt>
                <c:pt idx="320">
                  <c:v>0.17652463506121255</c:v>
                </c:pt>
                <c:pt idx="321">
                  <c:v>0.16707991812063958</c:v>
                </c:pt>
                <c:pt idx="322">
                  <c:v>0.19293847326513064</c:v>
                </c:pt>
                <c:pt idx="323">
                  <c:v>0.20000309577218833</c:v>
                </c:pt>
                <c:pt idx="324">
                  <c:v>0.20420032878690758</c:v>
                </c:pt>
                <c:pt idx="325">
                  <c:v>0.17754250344932124</c:v>
                </c:pt>
                <c:pt idx="326">
                  <c:v>0.16689746431015121</c:v>
                </c:pt>
                <c:pt idx="327">
                  <c:v>0.15097902912919137</c:v>
                </c:pt>
                <c:pt idx="328">
                  <c:v>0.18471582747311505</c:v>
                </c:pt>
                <c:pt idx="329">
                  <c:v>0.20264852898681948</c:v>
                </c:pt>
                <c:pt idx="330">
                  <c:v>0.20520513266563087</c:v>
                </c:pt>
                <c:pt idx="331">
                  <c:v>0.19896034143970495</c:v>
                </c:pt>
                <c:pt idx="332">
                  <c:v>0.17677986901473006</c:v>
                </c:pt>
                <c:pt idx="333">
                  <c:v>0.18006788381935301</c:v>
                </c:pt>
                <c:pt idx="334">
                  <c:v>0.19402887653191103</c:v>
                </c:pt>
                <c:pt idx="335">
                  <c:v>0.17962855911433181</c:v>
                </c:pt>
                <c:pt idx="336">
                  <c:v>0.18157294869763879</c:v>
                </c:pt>
                <c:pt idx="337">
                  <c:v>0.17815011460615895</c:v>
                </c:pt>
                <c:pt idx="338">
                  <c:v>0.17725183671080766</c:v>
                </c:pt>
                <c:pt idx="339">
                  <c:v>0.16447970223656963</c:v>
                </c:pt>
                <c:pt idx="340">
                  <c:v>0.17735146711094335</c:v>
                </c:pt>
                <c:pt idx="341">
                  <c:v>0.16251911409316919</c:v>
                </c:pt>
                <c:pt idx="342">
                  <c:v>0.18819698023765075</c:v>
                </c:pt>
                <c:pt idx="343">
                  <c:v>0.20431628466356189</c:v>
                </c:pt>
                <c:pt idx="344">
                  <c:v>0.19956852128606997</c:v>
                </c:pt>
                <c:pt idx="345">
                  <c:v>0.18900022357115012</c:v>
                </c:pt>
                <c:pt idx="346">
                  <c:v>0.15086824790202799</c:v>
                </c:pt>
                <c:pt idx="347">
                  <c:v>0.17262427656792431</c:v>
                </c:pt>
                <c:pt idx="348">
                  <c:v>0.16836009332810997</c:v>
                </c:pt>
                <c:pt idx="349">
                  <c:v>0.17342944921962195</c:v>
                </c:pt>
                <c:pt idx="350">
                  <c:v>0.19696174383817347</c:v>
                </c:pt>
                <c:pt idx="351">
                  <c:v>0.15843360257830646</c:v>
                </c:pt>
                <c:pt idx="352">
                  <c:v>0.14246806990794825</c:v>
                </c:pt>
                <c:pt idx="353">
                  <c:v>0.13097003544208369</c:v>
                </c:pt>
                <c:pt idx="354">
                  <c:v>0.13477727544860021</c:v>
                </c:pt>
                <c:pt idx="355">
                  <c:v>0.15529762201536013</c:v>
                </c:pt>
                <c:pt idx="356">
                  <c:v>0.14833333064676568</c:v>
                </c:pt>
                <c:pt idx="357">
                  <c:v>0.15342485111277482</c:v>
                </c:pt>
                <c:pt idx="358">
                  <c:v>0.16026999917292378</c:v>
                </c:pt>
                <c:pt idx="359">
                  <c:v>0.15502536304399125</c:v>
                </c:pt>
                <c:pt idx="360">
                  <c:v>0.15947842513918822</c:v>
                </c:pt>
                <c:pt idx="361">
                  <c:v>0.17639838744801115</c:v>
                </c:pt>
                <c:pt idx="362">
                  <c:v>0.15028586790357162</c:v>
                </c:pt>
                <c:pt idx="363">
                  <c:v>0.15541928305823646</c:v>
                </c:pt>
                <c:pt idx="364">
                  <c:v>0.1454153107318655</c:v>
                </c:pt>
                <c:pt idx="365">
                  <c:v>0.15124788183183244</c:v>
                </c:pt>
                <c:pt idx="366">
                  <c:v>0.13065852720263929</c:v>
                </c:pt>
                <c:pt idx="367">
                  <c:v>0.16331660993059965</c:v>
                </c:pt>
                <c:pt idx="368">
                  <c:v>0.1304653061724208</c:v>
                </c:pt>
                <c:pt idx="369">
                  <c:v>0.12362132386185695</c:v>
                </c:pt>
                <c:pt idx="370">
                  <c:v>0.12656426163368498</c:v>
                </c:pt>
                <c:pt idx="371">
                  <c:v>0.10051870498988912</c:v>
                </c:pt>
                <c:pt idx="372">
                  <c:v>5.2290364902966999E-2</c:v>
                </c:pt>
                <c:pt idx="373">
                  <c:v>0.10199456177337844</c:v>
                </c:pt>
                <c:pt idx="374">
                  <c:v>0.12599239118992342</c:v>
                </c:pt>
                <c:pt idx="375">
                  <c:v>0.10908468212232748</c:v>
                </c:pt>
                <c:pt idx="376">
                  <c:v>6.2599750920799252E-2</c:v>
                </c:pt>
                <c:pt idx="377">
                  <c:v>8.0016632742757623E-2</c:v>
                </c:pt>
                <c:pt idx="378">
                  <c:v>8.6725956139813473E-2</c:v>
                </c:pt>
                <c:pt idx="379">
                  <c:v>8.0710706774268351E-2</c:v>
                </c:pt>
                <c:pt idx="380">
                  <c:v>7.646339884954631E-2</c:v>
                </c:pt>
                <c:pt idx="381">
                  <c:v>5.5557413911703608E-2</c:v>
                </c:pt>
                <c:pt idx="382">
                  <c:v>5.0008905389759037E-2</c:v>
                </c:pt>
                <c:pt idx="383">
                  <c:v>4.274552746404961E-2</c:v>
                </c:pt>
                <c:pt idx="384">
                  <c:v>5.0939597303393938E-2</c:v>
                </c:pt>
                <c:pt idx="385">
                  <c:v>5.3857559525274816E-2</c:v>
                </c:pt>
                <c:pt idx="386">
                  <c:v>7.0158298672539088E-2</c:v>
                </c:pt>
                <c:pt idx="387">
                  <c:v>9.6925470834365604E-2</c:v>
                </c:pt>
                <c:pt idx="388">
                  <c:v>9.9651431815763483E-2</c:v>
                </c:pt>
                <c:pt idx="389">
                  <c:v>0.10269977480698453</c:v>
                </c:pt>
                <c:pt idx="390">
                  <c:v>9.5674339118267934E-2</c:v>
                </c:pt>
                <c:pt idx="391">
                  <c:v>0.10495935588856815</c:v>
                </c:pt>
                <c:pt idx="392">
                  <c:v>9.6987369061442397E-2</c:v>
                </c:pt>
                <c:pt idx="393">
                  <c:v>0.11092924560194248</c:v>
                </c:pt>
                <c:pt idx="394">
                  <c:v>0.10717792002948237</c:v>
                </c:pt>
                <c:pt idx="395">
                  <c:v>0.11628242905753122</c:v>
                </c:pt>
                <c:pt idx="396">
                  <c:v>0.10971626011100036</c:v>
                </c:pt>
                <c:pt idx="397">
                  <c:v>0.10156260711734968</c:v>
                </c:pt>
                <c:pt idx="398">
                  <c:v>8.3645997905154632E-2</c:v>
                </c:pt>
                <c:pt idx="399">
                  <c:v>9.1813193933330234E-2</c:v>
                </c:pt>
                <c:pt idx="400">
                  <c:v>8.0693500960874159E-2</c:v>
                </c:pt>
                <c:pt idx="401">
                  <c:v>5.4699998337936338E-2</c:v>
                </c:pt>
                <c:pt idx="402">
                  <c:v>6.069830200870012E-2</c:v>
                </c:pt>
                <c:pt idx="403">
                  <c:v>5.9576313573973423E-2</c:v>
                </c:pt>
                <c:pt idx="404">
                  <c:v>5.9369529549032775E-2</c:v>
                </c:pt>
                <c:pt idx="405">
                  <c:v>7.6372476990140006E-2</c:v>
                </c:pt>
                <c:pt idx="406">
                  <c:v>6.8074105283619041E-2</c:v>
                </c:pt>
                <c:pt idx="407">
                  <c:v>5.8151874093265159E-2</c:v>
                </c:pt>
                <c:pt idx="408">
                  <c:v>6.8017848414612544E-2</c:v>
                </c:pt>
                <c:pt idx="409">
                  <c:v>6.4181339519696803E-2</c:v>
                </c:pt>
                <c:pt idx="410">
                  <c:v>4.9623666361723308E-2</c:v>
                </c:pt>
                <c:pt idx="411">
                  <c:v>4.8354974527723617E-2</c:v>
                </c:pt>
                <c:pt idx="412">
                  <c:v>2.2991858185174078E-2</c:v>
                </c:pt>
                <c:pt idx="413">
                  <c:v>3.6779045414986541E-2</c:v>
                </c:pt>
                <c:pt idx="414">
                  <c:v>4.2901155931702593E-2</c:v>
                </c:pt>
                <c:pt idx="415">
                  <c:v>3.8837800778595243E-2</c:v>
                </c:pt>
                <c:pt idx="416">
                  <c:v>7.2305894545873259E-2</c:v>
                </c:pt>
                <c:pt idx="417">
                  <c:v>6.7160876851205475E-2</c:v>
                </c:pt>
                <c:pt idx="418">
                  <c:v>4.8088608293592995E-2</c:v>
                </c:pt>
                <c:pt idx="419">
                  <c:v>5.914288195044231E-2</c:v>
                </c:pt>
                <c:pt idx="420">
                  <c:v>4.8055464194054549E-2</c:v>
                </c:pt>
                <c:pt idx="421">
                  <c:v>4.0543061240968153E-2</c:v>
                </c:pt>
                <c:pt idx="422">
                  <c:v>4.0812484616006534E-2</c:v>
                </c:pt>
                <c:pt idx="423">
                  <c:v>6.7618445378340095E-2</c:v>
                </c:pt>
                <c:pt idx="424">
                  <c:v>6.388146047577066E-2</c:v>
                </c:pt>
                <c:pt idx="425">
                  <c:v>6.3256676160937969E-2</c:v>
                </c:pt>
                <c:pt idx="426">
                  <c:v>5.651346110119778E-2</c:v>
                </c:pt>
                <c:pt idx="427">
                  <c:v>1.5087903653219875E-2</c:v>
                </c:pt>
                <c:pt idx="428">
                  <c:v>1.7449641035343473E-2</c:v>
                </c:pt>
                <c:pt idx="429">
                  <c:v>1.1453461069866381E-3</c:v>
                </c:pt>
                <c:pt idx="430">
                  <c:v>-3.9825524274986817E-3</c:v>
                </c:pt>
                <c:pt idx="431">
                  <c:v>1.8588404187842304E-2</c:v>
                </c:pt>
                <c:pt idx="432">
                  <c:v>7.2790368057027996E-3</c:v>
                </c:pt>
                <c:pt idx="433">
                  <c:v>7.5596790085981523E-3</c:v>
                </c:pt>
                <c:pt idx="434">
                  <c:v>9.2655223761011294E-3</c:v>
                </c:pt>
                <c:pt idx="435">
                  <c:v>-1.4989123442539961E-2</c:v>
                </c:pt>
                <c:pt idx="436">
                  <c:v>-1.4135766451076353E-2</c:v>
                </c:pt>
                <c:pt idx="437">
                  <c:v>2.0445392376987268E-2</c:v>
                </c:pt>
                <c:pt idx="438">
                  <c:v>2.43762740845248E-2</c:v>
                </c:pt>
                <c:pt idx="439">
                  <c:v>4.6980961972746108E-2</c:v>
                </c:pt>
                <c:pt idx="440">
                  <c:v>2.7933421746418215E-2</c:v>
                </c:pt>
                <c:pt idx="441">
                  <c:v>-3.1224275300202758E-2</c:v>
                </c:pt>
                <c:pt idx="442">
                  <c:v>-4.5764839163012216E-2</c:v>
                </c:pt>
                <c:pt idx="443">
                  <c:v>-3.8947482202352612E-2</c:v>
                </c:pt>
                <c:pt idx="444">
                  <c:v>-4.7689274365444727E-2</c:v>
                </c:pt>
                <c:pt idx="445">
                  <c:v>-5.8938268385742225E-2</c:v>
                </c:pt>
                <c:pt idx="446">
                  <c:v>-3.0959866028433092E-2</c:v>
                </c:pt>
                <c:pt idx="447">
                  <c:v>-3.9510652619571714E-2</c:v>
                </c:pt>
                <c:pt idx="448">
                  <c:v>-4.2155483185343769E-2</c:v>
                </c:pt>
                <c:pt idx="449">
                  <c:v>-1.4562039104979175E-2</c:v>
                </c:pt>
                <c:pt idx="450">
                  <c:v>-2.3640122354493157E-2</c:v>
                </c:pt>
                <c:pt idx="451">
                  <c:v>-1.0359641644182118E-2</c:v>
                </c:pt>
                <c:pt idx="452">
                  <c:v>-2.3761884860884976E-3</c:v>
                </c:pt>
                <c:pt idx="453">
                  <c:v>-5.791447876890456E-3</c:v>
                </c:pt>
                <c:pt idx="454">
                  <c:v>-1.7521169701114871E-2</c:v>
                </c:pt>
                <c:pt idx="455">
                  <c:v>-8.3555104637466921E-3</c:v>
                </c:pt>
                <c:pt idx="456">
                  <c:v>1.0144600541748646E-2</c:v>
                </c:pt>
                <c:pt idx="457">
                  <c:v>-8.1773840472482203E-3</c:v>
                </c:pt>
                <c:pt idx="458">
                  <c:v>-1.1800478364467081E-2</c:v>
                </c:pt>
                <c:pt idx="459">
                  <c:v>-2.4634777804082724E-2</c:v>
                </c:pt>
                <c:pt idx="460">
                  <c:v>-5.1384371531331227E-2</c:v>
                </c:pt>
                <c:pt idx="461">
                  <c:v>-8.0431733918101475E-2</c:v>
                </c:pt>
                <c:pt idx="462">
                  <c:v>-8.4763513171104282E-2</c:v>
                </c:pt>
                <c:pt idx="463">
                  <c:v>-0.11027249252926981</c:v>
                </c:pt>
                <c:pt idx="464">
                  <c:v>-9.7734682309088633E-2</c:v>
                </c:pt>
                <c:pt idx="465">
                  <c:v>-9.5080667367544003E-2</c:v>
                </c:pt>
                <c:pt idx="466">
                  <c:v>-8.5018514968921113E-2</c:v>
                </c:pt>
                <c:pt idx="467">
                  <c:v>-9.1591776615150278E-2</c:v>
                </c:pt>
                <c:pt idx="468">
                  <c:v>-8.2523022304220969E-2</c:v>
                </c:pt>
                <c:pt idx="469">
                  <c:v>-7.4379744273624371E-2</c:v>
                </c:pt>
                <c:pt idx="470">
                  <c:v>-5.8858406465382505E-2</c:v>
                </c:pt>
                <c:pt idx="471">
                  <c:v>-6.1767506883004947E-2</c:v>
                </c:pt>
                <c:pt idx="472">
                  <c:v>-3.4240568013389899E-2</c:v>
                </c:pt>
                <c:pt idx="473">
                  <c:v>-3.1590807569428198E-2</c:v>
                </c:pt>
                <c:pt idx="474">
                  <c:v>-6.5640243827316494E-2</c:v>
                </c:pt>
                <c:pt idx="475">
                  <c:v>-4.574146736857939E-2</c:v>
                </c:pt>
                <c:pt idx="476">
                  <c:v>-3.2436223015335816E-2</c:v>
                </c:pt>
                <c:pt idx="477">
                  <c:v>-1.7108057085203882E-2</c:v>
                </c:pt>
                <c:pt idx="478">
                  <c:v>-2.2557231029071877E-2</c:v>
                </c:pt>
                <c:pt idx="479">
                  <c:v>-1.4013040194897561E-2</c:v>
                </c:pt>
                <c:pt idx="480">
                  <c:v>-1.2096706911903963E-2</c:v>
                </c:pt>
                <c:pt idx="481">
                  <c:v>-1.9056183238630692E-2</c:v>
                </c:pt>
                <c:pt idx="482">
                  <c:v>-1.0912278565449038E-2</c:v>
                </c:pt>
                <c:pt idx="483">
                  <c:v>-6.8065447976934489E-3</c:v>
                </c:pt>
                <c:pt idx="484">
                  <c:v>-3.2664015031647043E-3</c:v>
                </c:pt>
                <c:pt idx="485">
                  <c:v>1.3464270197226024E-2</c:v>
                </c:pt>
                <c:pt idx="486">
                  <c:v>2.2017968039975806E-2</c:v>
                </c:pt>
                <c:pt idx="487">
                  <c:v>3.6958335875091897E-2</c:v>
                </c:pt>
                <c:pt idx="488">
                  <c:v>2.8865774978625563E-2</c:v>
                </c:pt>
                <c:pt idx="489">
                  <c:v>3.0298276636710187E-2</c:v>
                </c:pt>
                <c:pt idx="490">
                  <c:v>3.4404522754362801E-2</c:v>
                </c:pt>
                <c:pt idx="491">
                  <c:v>4.6762063480922801E-2</c:v>
                </c:pt>
                <c:pt idx="492">
                  <c:v>4.5706944418538162E-2</c:v>
                </c:pt>
                <c:pt idx="493">
                  <c:v>4.7773042948679324E-2</c:v>
                </c:pt>
                <c:pt idx="494">
                  <c:v>3.1304328748377408E-2</c:v>
                </c:pt>
                <c:pt idx="495">
                  <c:v>2.1606857405861626E-2</c:v>
                </c:pt>
                <c:pt idx="496">
                  <c:v>2.6726490785900642E-2</c:v>
                </c:pt>
                <c:pt idx="497">
                  <c:v>2.8910275896734991E-2</c:v>
                </c:pt>
                <c:pt idx="498">
                  <c:v>2.5604110894468866E-2</c:v>
                </c:pt>
                <c:pt idx="499">
                  <c:v>3.3553835325881735E-2</c:v>
                </c:pt>
                <c:pt idx="500">
                  <c:v>2.7380010476751947E-2</c:v>
                </c:pt>
                <c:pt idx="501">
                  <c:v>3.049663231785767E-2</c:v>
                </c:pt>
                <c:pt idx="502">
                  <c:v>2.7538935808248864E-2</c:v>
                </c:pt>
                <c:pt idx="503">
                  <c:v>3.2482479038257503E-2</c:v>
                </c:pt>
                <c:pt idx="504">
                  <c:v>4.466441273044363E-2</c:v>
                </c:pt>
                <c:pt idx="505">
                  <c:v>3.3943301829971913E-2</c:v>
                </c:pt>
                <c:pt idx="506">
                  <c:v>4.4834187773212103E-2</c:v>
                </c:pt>
                <c:pt idx="507">
                  <c:v>3.399722007092524E-2</c:v>
                </c:pt>
                <c:pt idx="508">
                  <c:v>3.0004068485748572E-2</c:v>
                </c:pt>
                <c:pt idx="509">
                  <c:v>2.6748831844022953E-2</c:v>
                </c:pt>
                <c:pt idx="510">
                  <c:v>3.9298939701835414E-2</c:v>
                </c:pt>
                <c:pt idx="511">
                  <c:v>5.0478324311550929E-2</c:v>
                </c:pt>
                <c:pt idx="512">
                  <c:v>7.1153587803861038E-2</c:v>
                </c:pt>
                <c:pt idx="513">
                  <c:v>7.6419273949748734E-2</c:v>
                </c:pt>
                <c:pt idx="514">
                  <c:v>8.0913154802199336E-2</c:v>
                </c:pt>
                <c:pt idx="515">
                  <c:v>9.7565215937343477E-2</c:v>
                </c:pt>
                <c:pt idx="516">
                  <c:v>9.3048448817454374E-2</c:v>
                </c:pt>
                <c:pt idx="517">
                  <c:v>9.0166023542094562E-2</c:v>
                </c:pt>
                <c:pt idx="518">
                  <c:v>9.2738634509431206E-2</c:v>
                </c:pt>
                <c:pt idx="519">
                  <c:v>9.0942826402317448E-2</c:v>
                </c:pt>
                <c:pt idx="520">
                  <c:v>8.7439811528140551E-2</c:v>
                </c:pt>
                <c:pt idx="521">
                  <c:v>7.6867867447449001E-2</c:v>
                </c:pt>
                <c:pt idx="522">
                  <c:v>6.6215712753913566E-2</c:v>
                </c:pt>
                <c:pt idx="523">
                  <c:v>7.1597997431621804E-2</c:v>
                </c:pt>
                <c:pt idx="524">
                  <c:v>0.10546494192346734</c:v>
                </c:pt>
                <c:pt idx="525">
                  <c:v>8.5908347346947647E-2</c:v>
                </c:pt>
                <c:pt idx="526">
                  <c:v>7.1982585329888854E-2</c:v>
                </c:pt>
                <c:pt idx="527">
                  <c:v>9.1642427770959586E-2</c:v>
                </c:pt>
                <c:pt idx="528">
                  <c:v>9.4626754892436604E-2</c:v>
                </c:pt>
                <c:pt idx="529">
                  <c:v>8.2019161824576386E-2</c:v>
                </c:pt>
                <c:pt idx="530">
                  <c:v>0.10334785812512559</c:v>
                </c:pt>
                <c:pt idx="531">
                  <c:v>0.12691921480624277</c:v>
                </c:pt>
                <c:pt idx="532">
                  <c:v>0.14773671864396828</c:v>
                </c:pt>
                <c:pt idx="533">
                  <c:v>0.15272002675940854</c:v>
                </c:pt>
                <c:pt idx="534">
                  <c:v>0.16083314240177998</c:v>
                </c:pt>
                <c:pt idx="535">
                  <c:v>0.15318166322183716</c:v>
                </c:pt>
                <c:pt idx="536">
                  <c:v>0.13597837509474753</c:v>
                </c:pt>
                <c:pt idx="537">
                  <c:v>0.14915193875389643</c:v>
                </c:pt>
                <c:pt idx="538">
                  <c:v>0.16725300613281655</c:v>
                </c:pt>
                <c:pt idx="539">
                  <c:v>0.16722585233838994</c:v>
                </c:pt>
                <c:pt idx="540">
                  <c:v>0.17244781040233489</c:v>
                </c:pt>
                <c:pt idx="541">
                  <c:v>0.17651489494258057</c:v>
                </c:pt>
                <c:pt idx="542">
                  <c:v>0.163417007006146</c:v>
                </c:pt>
                <c:pt idx="543">
                  <c:v>0.17152820819249553</c:v>
                </c:pt>
                <c:pt idx="544">
                  <c:v>0.19256453401966658</c:v>
                </c:pt>
                <c:pt idx="545">
                  <c:v>0.2061319214505424</c:v>
                </c:pt>
                <c:pt idx="546">
                  <c:v>0.21511372114444255</c:v>
                </c:pt>
                <c:pt idx="547">
                  <c:v>0.24264778543087354</c:v>
                </c:pt>
                <c:pt idx="548">
                  <c:v>0.24531194081878024</c:v>
                </c:pt>
                <c:pt idx="549">
                  <c:v>0.25223614764049507</c:v>
                </c:pt>
                <c:pt idx="550">
                  <c:v>0.24252318074287207</c:v>
                </c:pt>
                <c:pt idx="551">
                  <c:v>0.24312627361668496</c:v>
                </c:pt>
                <c:pt idx="552">
                  <c:v>0.237017994501803</c:v>
                </c:pt>
                <c:pt idx="553">
                  <c:v>0.26697253126120757</c:v>
                </c:pt>
                <c:pt idx="554">
                  <c:v>0.27305573993544613</c:v>
                </c:pt>
                <c:pt idx="555">
                  <c:v>0.28173618304296705</c:v>
                </c:pt>
                <c:pt idx="556">
                  <c:v>0.28297259400884972</c:v>
                </c:pt>
                <c:pt idx="557">
                  <c:v>0.28644138210468678</c:v>
                </c:pt>
                <c:pt idx="558">
                  <c:v>0.28686005262049236</c:v>
                </c:pt>
                <c:pt idx="559">
                  <c:v>0.28237304873145685</c:v>
                </c:pt>
                <c:pt idx="560">
                  <c:v>0.30931697621686</c:v>
                </c:pt>
                <c:pt idx="561">
                  <c:v>0.31955709108186414</c:v>
                </c:pt>
                <c:pt idx="562">
                  <c:v>0.30257794885746647</c:v>
                </c:pt>
                <c:pt idx="563">
                  <c:v>0.31882255498684342</c:v>
                </c:pt>
                <c:pt idx="564">
                  <c:v>0.31675752410721358</c:v>
                </c:pt>
                <c:pt idx="565">
                  <c:v>0.31188354803070534</c:v>
                </c:pt>
                <c:pt idx="566">
                  <c:v>0.32592514204778938</c:v>
                </c:pt>
                <c:pt idx="567">
                  <c:v>0.32587543496883586</c:v>
                </c:pt>
                <c:pt idx="568">
                  <c:v>0.32725417304130078</c:v>
                </c:pt>
                <c:pt idx="569">
                  <c:v>0.31074376950994032</c:v>
                </c:pt>
                <c:pt idx="570">
                  <c:v>0.32372209409395913</c:v>
                </c:pt>
                <c:pt idx="571">
                  <c:v>0.32150433122995509</c:v>
                </c:pt>
                <c:pt idx="572">
                  <c:v>0.30149621670372895</c:v>
                </c:pt>
                <c:pt idx="573">
                  <c:v>0.29947424513700288</c:v>
                </c:pt>
                <c:pt idx="574">
                  <c:v>0.30276276861220686</c:v>
                </c:pt>
                <c:pt idx="575">
                  <c:v>0.26815815305107671</c:v>
                </c:pt>
                <c:pt idx="576">
                  <c:v>0.21775628578151066</c:v>
                </c:pt>
                <c:pt idx="577">
                  <c:v>0.23988103052421256</c:v>
                </c:pt>
                <c:pt idx="578">
                  <c:v>0.17321287746308356</c:v>
                </c:pt>
                <c:pt idx="579">
                  <c:v>0.13341410269255552</c:v>
                </c:pt>
                <c:pt idx="580">
                  <c:v>0.14093391413707773</c:v>
                </c:pt>
                <c:pt idx="581">
                  <c:v>0.15547561511065239</c:v>
                </c:pt>
                <c:pt idx="582">
                  <c:v>0.15253644111929254</c:v>
                </c:pt>
                <c:pt idx="583">
                  <c:v>0.18095667178025537</c:v>
                </c:pt>
                <c:pt idx="584">
                  <c:v>0.17790880212019669</c:v>
                </c:pt>
                <c:pt idx="585">
                  <c:v>0.16677746418174394</c:v>
                </c:pt>
                <c:pt idx="586">
                  <c:v>0.15805819884557604</c:v>
                </c:pt>
                <c:pt idx="587">
                  <c:v>0.14856498042386479</c:v>
                </c:pt>
                <c:pt idx="588">
                  <c:v>0.14378229295437445</c:v>
                </c:pt>
                <c:pt idx="589">
                  <c:v>0.16147910023595438</c:v>
                </c:pt>
                <c:pt idx="590">
                  <c:v>0.15830252602292741</c:v>
                </c:pt>
                <c:pt idx="591">
                  <c:v>0.13735713805139502</c:v>
                </c:pt>
                <c:pt idx="592">
                  <c:v>0.11948061021999884</c:v>
                </c:pt>
                <c:pt idx="593">
                  <c:v>0.1120023715278791</c:v>
                </c:pt>
                <c:pt idx="594">
                  <c:v>0.1236010093513092</c:v>
                </c:pt>
                <c:pt idx="595">
                  <c:v>0.14280720806744707</c:v>
                </c:pt>
                <c:pt idx="596">
                  <c:v>0.14168663679665203</c:v>
                </c:pt>
                <c:pt idx="597">
                  <c:v>0.12387755389225667</c:v>
                </c:pt>
                <c:pt idx="598">
                  <c:v>0.10264674808116893</c:v>
                </c:pt>
                <c:pt idx="599">
                  <c:v>0.13227032806369307</c:v>
                </c:pt>
                <c:pt idx="600">
                  <c:v>0.1285257694668818</c:v>
                </c:pt>
                <c:pt idx="601">
                  <c:v>0.12273260843724872</c:v>
                </c:pt>
                <c:pt idx="602">
                  <c:v>0.10103058160703758</c:v>
                </c:pt>
                <c:pt idx="603">
                  <c:v>0.10113626398951872</c:v>
                </c:pt>
                <c:pt idx="604">
                  <c:v>0.112987939130472</c:v>
                </c:pt>
                <c:pt idx="605">
                  <c:v>8.9847727916889275E-2</c:v>
                </c:pt>
                <c:pt idx="606">
                  <c:v>9.3520622966023703E-2</c:v>
                </c:pt>
                <c:pt idx="607">
                  <c:v>0.11467787321656459</c:v>
                </c:pt>
                <c:pt idx="608">
                  <c:v>8.8515312282273592E-2</c:v>
                </c:pt>
                <c:pt idx="609">
                  <c:v>7.5902843298805325E-2</c:v>
                </c:pt>
                <c:pt idx="610">
                  <c:v>0.10699220983823964</c:v>
                </c:pt>
                <c:pt idx="611">
                  <c:v>8.4046553890140388E-2</c:v>
                </c:pt>
                <c:pt idx="612">
                  <c:v>8.2756726887908791E-2</c:v>
                </c:pt>
                <c:pt idx="613">
                  <c:v>0.10823468415654401</c:v>
                </c:pt>
                <c:pt idx="614">
                  <c:v>7.0279387234619906E-2</c:v>
                </c:pt>
                <c:pt idx="615">
                  <c:v>8.9481345757524977E-2</c:v>
                </c:pt>
                <c:pt idx="616">
                  <c:v>0.10667541658258604</c:v>
                </c:pt>
                <c:pt idx="617">
                  <c:v>0.1266942955572157</c:v>
                </c:pt>
                <c:pt idx="618">
                  <c:v>0.10381346061251384</c:v>
                </c:pt>
                <c:pt idx="619">
                  <c:v>0.10239048719509054</c:v>
                </c:pt>
                <c:pt idx="620">
                  <c:v>0.13340345206845966</c:v>
                </c:pt>
                <c:pt idx="621">
                  <c:v>0.13513158613696302</c:v>
                </c:pt>
                <c:pt idx="622">
                  <c:v>0.14192665225119655</c:v>
                </c:pt>
                <c:pt idx="623">
                  <c:v>0.14751635300570873</c:v>
                </c:pt>
                <c:pt idx="624">
                  <c:v>0.16055834497648935</c:v>
                </c:pt>
                <c:pt idx="625">
                  <c:v>0.16615530520555633</c:v>
                </c:pt>
                <c:pt idx="626">
                  <c:v>0.1709845112838326</c:v>
                </c:pt>
                <c:pt idx="627">
                  <c:v>0.15422768451315264</c:v>
                </c:pt>
                <c:pt idx="628">
                  <c:v>0.15106902152568102</c:v>
                </c:pt>
                <c:pt idx="629">
                  <c:v>0.16491791754072008</c:v>
                </c:pt>
                <c:pt idx="630">
                  <c:v>0.16214185334253745</c:v>
                </c:pt>
                <c:pt idx="631">
                  <c:v>0.17295158753869727</c:v>
                </c:pt>
                <c:pt idx="632">
                  <c:v>0.18519955861424656</c:v>
                </c:pt>
                <c:pt idx="633">
                  <c:v>0.18670884962840681</c:v>
                </c:pt>
                <c:pt idx="634">
                  <c:v>0.17923795099523673</c:v>
                </c:pt>
                <c:pt idx="635">
                  <c:v>0.1755013699897579</c:v>
                </c:pt>
                <c:pt idx="636">
                  <c:v>0.16948022561261805</c:v>
                </c:pt>
                <c:pt idx="637">
                  <c:v>0.17398328349008801</c:v>
                </c:pt>
                <c:pt idx="638">
                  <c:v>0.19239918891500063</c:v>
                </c:pt>
                <c:pt idx="639">
                  <c:v>0.18902284291543675</c:v>
                </c:pt>
                <c:pt idx="640">
                  <c:v>0.19121548651720474</c:v>
                </c:pt>
                <c:pt idx="641">
                  <c:v>0.20423316666455604</c:v>
                </c:pt>
                <c:pt idx="642">
                  <c:v>0.21228557939468987</c:v>
                </c:pt>
                <c:pt idx="643">
                  <c:v>0.21546826043632036</c:v>
                </c:pt>
                <c:pt idx="644">
                  <c:v>0.223507512355025</c:v>
                </c:pt>
                <c:pt idx="645">
                  <c:v>0.22108280940535838</c:v>
                </c:pt>
                <c:pt idx="646">
                  <c:v>0.22961004698720813</c:v>
                </c:pt>
                <c:pt idx="647">
                  <c:v>0.23714735396080902</c:v>
                </c:pt>
                <c:pt idx="648">
                  <c:v>0.30346180483229784</c:v>
                </c:pt>
                <c:pt idx="649">
                  <c:v>0.31003985732553174</c:v>
                </c:pt>
                <c:pt idx="650">
                  <c:v>0.30415528360616906</c:v>
                </c:pt>
                <c:pt idx="651">
                  <c:v>0.30445361411090577</c:v>
                </c:pt>
                <c:pt idx="652">
                  <c:v>0.30618936830962717</c:v>
                </c:pt>
                <c:pt idx="653">
                  <c:v>0.3083555322940939</c:v>
                </c:pt>
                <c:pt idx="654">
                  <c:v>0.29580430787787965</c:v>
                </c:pt>
                <c:pt idx="655">
                  <c:v>0.31844907547564094</c:v>
                </c:pt>
                <c:pt idx="656">
                  <c:v>0.29538967651932285</c:v>
                </c:pt>
                <c:pt idx="657">
                  <c:v>0.30255028933084693</c:v>
                </c:pt>
                <c:pt idx="658">
                  <c:v>0.30957927780322791</c:v>
                </c:pt>
                <c:pt idx="659">
                  <c:v>0.30576652642177288</c:v>
                </c:pt>
                <c:pt idx="660">
                  <c:v>0.32588032498540725</c:v>
                </c:pt>
                <c:pt idx="661">
                  <c:v>0.3361281722895389</c:v>
                </c:pt>
                <c:pt idx="662">
                  <c:v>0.3453107026752707</c:v>
                </c:pt>
                <c:pt idx="663">
                  <c:v>0.35624048064714403</c:v>
                </c:pt>
                <c:pt idx="664">
                  <c:v>0.36190538554584889</c:v>
                </c:pt>
                <c:pt idx="665">
                  <c:v>0.3627607095203717</c:v>
                </c:pt>
                <c:pt idx="666">
                  <c:v>0.36350224424424604</c:v>
                </c:pt>
                <c:pt idx="667">
                  <c:v>0.35615750813758806</c:v>
                </c:pt>
                <c:pt idx="668">
                  <c:v>0.35258514222842952</c:v>
                </c:pt>
                <c:pt idx="669">
                  <c:v>0.35528981091461798</c:v>
                </c:pt>
                <c:pt idx="670">
                  <c:v>0.36674110913288216</c:v>
                </c:pt>
                <c:pt idx="671">
                  <c:v>0.37544870444555395</c:v>
                </c:pt>
                <c:pt idx="672">
                  <c:v>0.40540777367822317</c:v>
                </c:pt>
                <c:pt idx="673">
                  <c:v>0.38533195776680862</c:v>
                </c:pt>
                <c:pt idx="674">
                  <c:v>0.38520919785221641</c:v>
                </c:pt>
                <c:pt idx="675">
                  <c:v>0.38442897844932561</c:v>
                </c:pt>
                <c:pt idx="676">
                  <c:v>0.37021904047841658</c:v>
                </c:pt>
                <c:pt idx="677">
                  <c:v>0.37048609238858166</c:v>
                </c:pt>
                <c:pt idx="678">
                  <c:v>0.36885449351182442</c:v>
                </c:pt>
                <c:pt idx="679">
                  <c:v>0.38563994459650563</c:v>
                </c:pt>
                <c:pt idx="680">
                  <c:v>0.38846327552275861</c:v>
                </c:pt>
                <c:pt idx="681">
                  <c:v>0.40483772983645061</c:v>
                </c:pt>
                <c:pt idx="682">
                  <c:v>0.41193388815299509</c:v>
                </c:pt>
                <c:pt idx="683">
                  <c:v>0.41576499099953224</c:v>
                </c:pt>
                <c:pt idx="684">
                  <c:v>0.40263520301958056</c:v>
                </c:pt>
                <c:pt idx="685">
                  <c:v>0.40742811486240538</c:v>
                </c:pt>
                <c:pt idx="686">
                  <c:v>0.41130078642886903</c:v>
                </c:pt>
                <c:pt idx="687">
                  <c:v>0.39366682530934449</c:v>
                </c:pt>
                <c:pt idx="688">
                  <c:v>0.39922136470918373</c:v>
                </c:pt>
                <c:pt idx="689">
                  <c:v>0.39810605611151184</c:v>
                </c:pt>
                <c:pt idx="690">
                  <c:v>0.40177138119954853</c:v>
                </c:pt>
                <c:pt idx="691">
                  <c:v>0.39901653304204138</c:v>
                </c:pt>
                <c:pt idx="692">
                  <c:v>0.40503527952324159</c:v>
                </c:pt>
                <c:pt idx="693">
                  <c:v>0.40832391456450506</c:v>
                </c:pt>
                <c:pt idx="694">
                  <c:v>0.41304807918084285</c:v>
                </c:pt>
                <c:pt idx="695">
                  <c:v>0.42107121582571599</c:v>
                </c:pt>
                <c:pt idx="696">
                  <c:v>0.42693784690393755</c:v>
                </c:pt>
                <c:pt idx="697">
                  <c:v>0.44412293859857371</c:v>
                </c:pt>
                <c:pt idx="698">
                  <c:v>0.44140457053979809</c:v>
                </c:pt>
                <c:pt idx="699">
                  <c:v>0.42384149392820641</c:v>
                </c:pt>
                <c:pt idx="700">
                  <c:v>0.43685739296795056</c:v>
                </c:pt>
                <c:pt idx="701">
                  <c:v>0.44909576133244294</c:v>
                </c:pt>
                <c:pt idx="702">
                  <c:v>0.43990990120650608</c:v>
                </c:pt>
                <c:pt idx="703">
                  <c:v>0.43487783249203765</c:v>
                </c:pt>
                <c:pt idx="704">
                  <c:v>0.42519889430178132</c:v>
                </c:pt>
                <c:pt idx="705">
                  <c:v>0.42772604121101443</c:v>
                </c:pt>
                <c:pt idx="706">
                  <c:v>0.42431951354902858</c:v>
                </c:pt>
                <c:pt idx="707">
                  <c:v>0.41614516640229099</c:v>
                </c:pt>
                <c:pt idx="708">
                  <c:v>0.43006074341416251</c:v>
                </c:pt>
                <c:pt idx="709">
                  <c:v>0.3647518274110732</c:v>
                </c:pt>
                <c:pt idx="710">
                  <c:v>0.38162491993649655</c:v>
                </c:pt>
                <c:pt idx="711">
                  <c:v>0.39570037066208902</c:v>
                </c:pt>
                <c:pt idx="712">
                  <c:v>0.40193023897869073</c:v>
                </c:pt>
                <c:pt idx="713">
                  <c:v>0.40719161703849466</c:v>
                </c:pt>
                <c:pt idx="714">
                  <c:v>0.40613419124269096</c:v>
                </c:pt>
                <c:pt idx="715">
                  <c:v>0.40223731064305673</c:v>
                </c:pt>
                <c:pt idx="716">
                  <c:v>0.40294093829708533</c:v>
                </c:pt>
                <c:pt idx="717">
                  <c:v>0.4709358891138169</c:v>
                </c:pt>
                <c:pt idx="718">
                  <c:v>0.4680240624795578</c:v>
                </c:pt>
                <c:pt idx="719">
                  <c:v>0.47864462080122283</c:v>
                </c:pt>
                <c:pt idx="720">
                  <c:v>0.4682092922870546</c:v>
                </c:pt>
                <c:pt idx="721">
                  <c:v>0.4712431665810759</c:v>
                </c:pt>
                <c:pt idx="722">
                  <c:v>0.45839370471911922</c:v>
                </c:pt>
                <c:pt idx="723">
                  <c:v>0.46749266150172974</c:v>
                </c:pt>
                <c:pt idx="724">
                  <c:v>0.45738604750166645</c:v>
                </c:pt>
                <c:pt idx="725">
                  <c:v>0.45739972317606686</c:v>
                </c:pt>
                <c:pt idx="726">
                  <c:v>0.45801555070136318</c:v>
                </c:pt>
                <c:pt idx="727">
                  <c:v>0.46145078363367303</c:v>
                </c:pt>
                <c:pt idx="728">
                  <c:v>0.47890774749238407</c:v>
                </c:pt>
                <c:pt idx="729">
                  <c:v>0.47838826712999871</c:v>
                </c:pt>
                <c:pt idx="730">
                  <c:v>0.47804166184511987</c:v>
                </c:pt>
                <c:pt idx="731">
                  <c:v>0.48209453956215503</c:v>
                </c:pt>
                <c:pt idx="732">
                  <c:v>0.48875661945700627</c:v>
                </c:pt>
                <c:pt idx="733">
                  <c:v>0.49426456248020101</c:v>
                </c:pt>
                <c:pt idx="734">
                  <c:v>0.50016352163426137</c:v>
                </c:pt>
                <c:pt idx="735">
                  <c:v>0.50256830529204699</c:v>
                </c:pt>
                <c:pt idx="736">
                  <c:v>0.49105496180756564</c:v>
                </c:pt>
                <c:pt idx="737">
                  <c:v>0.48543226710241361</c:v>
                </c:pt>
                <c:pt idx="738">
                  <c:v>0.48210813000810243</c:v>
                </c:pt>
                <c:pt idx="739">
                  <c:v>0.48051926251996252</c:v>
                </c:pt>
                <c:pt idx="740">
                  <c:v>0.47933432947562815</c:v>
                </c:pt>
                <c:pt idx="741">
                  <c:v>0.48405752084766229</c:v>
                </c:pt>
                <c:pt idx="742">
                  <c:v>0.48470479333269934</c:v>
                </c:pt>
                <c:pt idx="743">
                  <c:v>0.48195099868692581</c:v>
                </c:pt>
                <c:pt idx="744">
                  <c:v>0.47668903525874184</c:v>
                </c:pt>
                <c:pt idx="745">
                  <c:v>0.46629400024201118</c:v>
                </c:pt>
                <c:pt idx="746">
                  <c:v>0.47231185169844514</c:v>
                </c:pt>
                <c:pt idx="747">
                  <c:v>0.4526887449030651</c:v>
                </c:pt>
                <c:pt idx="748">
                  <c:v>0.42604897346795001</c:v>
                </c:pt>
                <c:pt idx="749">
                  <c:v>0.38603532489728493</c:v>
                </c:pt>
                <c:pt idx="750">
                  <c:v>0.40545175483864243</c:v>
                </c:pt>
                <c:pt idx="751">
                  <c:v>0.40942371257375409</c:v>
                </c:pt>
                <c:pt idx="752">
                  <c:v>0.43362549781035475</c:v>
                </c:pt>
                <c:pt idx="753">
                  <c:v>0.42806361547781496</c:v>
                </c:pt>
                <c:pt idx="754">
                  <c:v>0.40092249607078495</c:v>
                </c:pt>
                <c:pt idx="755">
                  <c:v>0.41277141463297834</c:v>
                </c:pt>
                <c:pt idx="756">
                  <c:v>0.3942646277639168</c:v>
                </c:pt>
                <c:pt idx="757">
                  <c:v>0.38932547863555672</c:v>
                </c:pt>
                <c:pt idx="758">
                  <c:v>0.33179080144842343</c:v>
                </c:pt>
                <c:pt idx="759">
                  <c:v>0.35469296499901443</c:v>
                </c:pt>
                <c:pt idx="760">
                  <c:v>0.32399085661360366</c:v>
                </c:pt>
                <c:pt idx="761">
                  <c:v>0.32683123564244554</c:v>
                </c:pt>
                <c:pt idx="762">
                  <c:v>0.36379068916361729</c:v>
                </c:pt>
                <c:pt idx="763">
                  <c:v>0.37204503933765282</c:v>
                </c:pt>
                <c:pt idx="764">
                  <c:v>0.40789947236017166</c:v>
                </c:pt>
                <c:pt idx="765">
                  <c:v>0.40391099038393197</c:v>
                </c:pt>
                <c:pt idx="766">
                  <c:v>0.42343785417305618</c:v>
                </c:pt>
                <c:pt idx="767">
                  <c:v>0.44111255084922829</c:v>
                </c:pt>
                <c:pt idx="768">
                  <c:v>0.4567515816689629</c:v>
                </c:pt>
                <c:pt idx="769">
                  <c:v>0.4364172646263309</c:v>
                </c:pt>
                <c:pt idx="770">
                  <c:v>0.42502824615337942</c:v>
                </c:pt>
                <c:pt idx="771">
                  <c:v>0.42488931298993732</c:v>
                </c:pt>
                <c:pt idx="772">
                  <c:v>0.4284655315582816</c:v>
                </c:pt>
                <c:pt idx="773">
                  <c:v>0.4408962743314459</c:v>
                </c:pt>
                <c:pt idx="774">
                  <c:v>0.44621356952605401</c:v>
                </c:pt>
                <c:pt idx="775">
                  <c:v>0.43638860107601768</c:v>
                </c:pt>
                <c:pt idx="776">
                  <c:v>0.40825746322670547</c:v>
                </c:pt>
                <c:pt idx="777">
                  <c:v>0.42275709687040186</c:v>
                </c:pt>
                <c:pt idx="778">
                  <c:v>0.4094440882643513</c:v>
                </c:pt>
                <c:pt idx="779">
                  <c:v>0.43330327435813548</c:v>
                </c:pt>
                <c:pt idx="780">
                  <c:v>0.43613175493410111</c:v>
                </c:pt>
                <c:pt idx="781">
                  <c:v>0.45241369962648936</c:v>
                </c:pt>
                <c:pt idx="782">
                  <c:v>0.45211239437892264</c:v>
                </c:pt>
                <c:pt idx="783">
                  <c:v>0.45449170148899676</c:v>
                </c:pt>
                <c:pt idx="784">
                  <c:v>0.48004831906826367</c:v>
                </c:pt>
                <c:pt idx="785">
                  <c:v>0.43351460906761713</c:v>
                </c:pt>
                <c:pt idx="786">
                  <c:v>0.42329444170362224</c:v>
                </c:pt>
                <c:pt idx="787">
                  <c:v>0.39399906890666414</c:v>
                </c:pt>
                <c:pt idx="788">
                  <c:v>0.37235009358901089</c:v>
                </c:pt>
                <c:pt idx="789">
                  <c:v>0.37233515268999812</c:v>
                </c:pt>
                <c:pt idx="790">
                  <c:v>0.38197458320956557</c:v>
                </c:pt>
                <c:pt idx="791">
                  <c:v>0.37326121354365838</c:v>
                </c:pt>
                <c:pt idx="792">
                  <c:v>0.35355791045640822</c:v>
                </c:pt>
                <c:pt idx="793">
                  <c:v>0.3059428913665746</c:v>
                </c:pt>
                <c:pt idx="794">
                  <c:v>0.29504426136700551</c:v>
                </c:pt>
                <c:pt idx="795">
                  <c:v>0.27003477144270149</c:v>
                </c:pt>
                <c:pt idx="796">
                  <c:v>0.24422174768533872</c:v>
                </c:pt>
                <c:pt idx="797">
                  <c:v>0.21785047317273912</c:v>
                </c:pt>
                <c:pt idx="798">
                  <c:v>0.18138620214525389</c:v>
                </c:pt>
                <c:pt idx="799">
                  <c:v>0.23756275880842692</c:v>
                </c:pt>
                <c:pt idx="800">
                  <c:v>0.24580831914921586</c:v>
                </c:pt>
                <c:pt idx="801">
                  <c:v>0.2443367591355764</c:v>
                </c:pt>
                <c:pt idx="802">
                  <c:v>0.24970081770349803</c:v>
                </c:pt>
                <c:pt idx="803">
                  <c:v>0.26624854960155347</c:v>
                </c:pt>
                <c:pt idx="804">
                  <c:v>0.25084182669341482</c:v>
                </c:pt>
                <c:pt idx="805">
                  <c:v>0.30685314840631206</c:v>
                </c:pt>
                <c:pt idx="806">
                  <c:v>0.34697706886150526</c:v>
                </c:pt>
                <c:pt idx="807">
                  <c:v>0.35589908612387239</c:v>
                </c:pt>
                <c:pt idx="808">
                  <c:v>0.36372899189310715</c:v>
                </c:pt>
                <c:pt idx="809">
                  <c:v>0.37560031123017568</c:v>
                </c:pt>
                <c:pt idx="810">
                  <c:v>0.37663951989306332</c:v>
                </c:pt>
                <c:pt idx="811">
                  <c:v>0.36927261292048408</c:v>
                </c:pt>
                <c:pt idx="812">
                  <c:v>0.37600667123808934</c:v>
                </c:pt>
                <c:pt idx="813">
                  <c:v>0.37460464109683705</c:v>
                </c:pt>
                <c:pt idx="814">
                  <c:v>0.38470006570808696</c:v>
                </c:pt>
                <c:pt idx="815">
                  <c:v>0.40478254881783088</c:v>
                </c:pt>
                <c:pt idx="816">
                  <c:v>0.38138076770991602</c:v>
                </c:pt>
                <c:pt idx="817">
                  <c:v>0.38229348023914206</c:v>
                </c:pt>
                <c:pt idx="818">
                  <c:v>0.39783919243561816</c:v>
                </c:pt>
                <c:pt idx="819">
                  <c:v>0.41360917374098166</c:v>
                </c:pt>
                <c:pt idx="820">
                  <c:v>0.41285998466561874</c:v>
                </c:pt>
                <c:pt idx="821">
                  <c:v>0.41585808234469684</c:v>
                </c:pt>
                <c:pt idx="822">
                  <c:v>0.42014776469622483</c:v>
                </c:pt>
                <c:pt idx="823">
                  <c:v>0.42608878245908688</c:v>
                </c:pt>
                <c:pt idx="824">
                  <c:v>0.42935414039823316</c:v>
                </c:pt>
                <c:pt idx="825">
                  <c:v>0.42961761817555555</c:v>
                </c:pt>
                <c:pt idx="826">
                  <c:v>0.43549220836290414</c:v>
                </c:pt>
                <c:pt idx="827">
                  <c:v>0.43182992381963842</c:v>
                </c:pt>
                <c:pt idx="828">
                  <c:v>0.41415537573799416</c:v>
                </c:pt>
                <c:pt idx="829">
                  <c:v>0.40874045736844178</c:v>
                </c:pt>
                <c:pt idx="830">
                  <c:v>0.41370234991771987</c:v>
                </c:pt>
                <c:pt idx="831">
                  <c:v>0.43661469646461326</c:v>
                </c:pt>
                <c:pt idx="832">
                  <c:v>0.43744313388264922</c:v>
                </c:pt>
                <c:pt idx="833">
                  <c:v>0.44831137500687485</c:v>
                </c:pt>
                <c:pt idx="834">
                  <c:v>0.43946800284092796</c:v>
                </c:pt>
                <c:pt idx="835">
                  <c:v>0.44184386440049039</c:v>
                </c:pt>
                <c:pt idx="836">
                  <c:v>0.44676667439426826</c:v>
                </c:pt>
                <c:pt idx="837">
                  <c:v>0.44462416630990476</c:v>
                </c:pt>
                <c:pt idx="838">
                  <c:v>0.41227713414791839</c:v>
                </c:pt>
                <c:pt idx="839">
                  <c:v>0.41186637778839097</c:v>
                </c:pt>
                <c:pt idx="840">
                  <c:v>0.40390382587465246</c:v>
                </c:pt>
                <c:pt idx="841">
                  <c:v>0.39973457020014291</c:v>
                </c:pt>
                <c:pt idx="842">
                  <c:v>0.39610522439622614</c:v>
                </c:pt>
                <c:pt idx="843">
                  <c:v>0.40453473052297145</c:v>
                </c:pt>
                <c:pt idx="844">
                  <c:v>0.4054641114916801</c:v>
                </c:pt>
                <c:pt idx="845">
                  <c:v>0.40141260733312661</c:v>
                </c:pt>
                <c:pt idx="846">
                  <c:v>0.39341517669360926</c:v>
                </c:pt>
                <c:pt idx="847">
                  <c:v>0.38518356765128947</c:v>
                </c:pt>
                <c:pt idx="848">
                  <c:v>0.3810540012191358</c:v>
                </c:pt>
                <c:pt idx="849">
                  <c:v>0.39234585895029012</c:v>
                </c:pt>
                <c:pt idx="850">
                  <c:v>0.39674683321763082</c:v>
                </c:pt>
                <c:pt idx="851">
                  <c:v>0.40620024044684355</c:v>
                </c:pt>
                <c:pt idx="852">
                  <c:v>0.40203635784682373</c:v>
                </c:pt>
                <c:pt idx="853">
                  <c:v>0.40419385547908215</c:v>
                </c:pt>
                <c:pt idx="854">
                  <c:v>0.41092542914496744</c:v>
                </c:pt>
                <c:pt idx="855">
                  <c:v>0.40929900421168486</c:v>
                </c:pt>
                <c:pt idx="856">
                  <c:v>0.4068772360723204</c:v>
                </c:pt>
                <c:pt idx="857">
                  <c:v>0.41622571080255832</c:v>
                </c:pt>
                <c:pt idx="858">
                  <c:v>0.39313943386245043</c:v>
                </c:pt>
                <c:pt idx="859">
                  <c:v>0.38975659009927138</c:v>
                </c:pt>
                <c:pt idx="860">
                  <c:v>0.39744434662654454</c:v>
                </c:pt>
                <c:pt idx="861">
                  <c:v>0.39448380661355709</c:v>
                </c:pt>
                <c:pt idx="862">
                  <c:v>0.39673775282586021</c:v>
                </c:pt>
                <c:pt idx="863">
                  <c:v>0.39985455117738711</c:v>
                </c:pt>
                <c:pt idx="864">
                  <c:v>0.41226109376754544</c:v>
                </c:pt>
                <c:pt idx="865">
                  <c:v>0.40110258716502861</c:v>
                </c:pt>
                <c:pt idx="866">
                  <c:v>0.40290598692994145</c:v>
                </c:pt>
                <c:pt idx="867">
                  <c:v>0.41056563490035503</c:v>
                </c:pt>
                <c:pt idx="868">
                  <c:v>0.42108348244337707</c:v>
                </c:pt>
                <c:pt idx="869">
                  <c:v>0.41999826475669627</c:v>
                </c:pt>
                <c:pt idx="870">
                  <c:v>0.41189860926457189</c:v>
                </c:pt>
                <c:pt idx="871">
                  <c:v>0.4127623013867126</c:v>
                </c:pt>
                <c:pt idx="872">
                  <c:v>0.40843721152694068</c:v>
                </c:pt>
                <c:pt idx="873">
                  <c:v>0.41637954469967348</c:v>
                </c:pt>
                <c:pt idx="874">
                  <c:v>0.49705411524614213</c:v>
                </c:pt>
                <c:pt idx="875">
                  <c:v>0.49664534385474718</c:v>
                </c:pt>
                <c:pt idx="876">
                  <c:v>0.61106201614534372</c:v>
                </c:pt>
                <c:pt idx="877">
                  <c:v>0.61076149997436557</c:v>
                </c:pt>
                <c:pt idx="878">
                  <c:v>0.61664202017782155</c:v>
                </c:pt>
                <c:pt idx="879">
                  <c:v>0.62770044034365147</c:v>
                </c:pt>
                <c:pt idx="880">
                  <c:v>0.62421599047388976</c:v>
                </c:pt>
                <c:pt idx="881">
                  <c:v>0.61289645176725549</c:v>
                </c:pt>
                <c:pt idx="882">
                  <c:v>0.62003810154555161</c:v>
                </c:pt>
                <c:pt idx="883">
                  <c:v>0.62028317484372242</c:v>
                </c:pt>
                <c:pt idx="884">
                  <c:v>0.62367768087218589</c:v>
                </c:pt>
                <c:pt idx="885">
                  <c:v>0.61288177613798123</c:v>
                </c:pt>
                <c:pt idx="886">
                  <c:v>0.5942803102191091</c:v>
                </c:pt>
                <c:pt idx="887">
                  <c:v>0.61477938613272576</c:v>
                </c:pt>
                <c:pt idx="888">
                  <c:v>0.60614703706479856</c:v>
                </c:pt>
                <c:pt idx="889">
                  <c:v>0.58863983855183155</c:v>
                </c:pt>
                <c:pt idx="890">
                  <c:v>0.58880909428558958</c:v>
                </c:pt>
                <c:pt idx="891">
                  <c:v>0.58007109589791839</c:v>
                </c:pt>
                <c:pt idx="892">
                  <c:v>0.57920951069563265</c:v>
                </c:pt>
                <c:pt idx="893">
                  <c:v>0.54377404823777165</c:v>
                </c:pt>
                <c:pt idx="894">
                  <c:v>0.55554686926642549</c:v>
                </c:pt>
                <c:pt idx="895">
                  <c:v>0.55172034767254252</c:v>
                </c:pt>
                <c:pt idx="896">
                  <c:v>0.55658338032042098</c:v>
                </c:pt>
                <c:pt idx="897">
                  <c:v>0.54990513489053217</c:v>
                </c:pt>
                <c:pt idx="898">
                  <c:v>0.54331645979403065</c:v>
                </c:pt>
                <c:pt idx="899">
                  <c:v>0.56041427907174801</c:v>
                </c:pt>
                <c:pt idx="900">
                  <c:v>0.54953652671937736</c:v>
                </c:pt>
                <c:pt idx="901">
                  <c:v>0.51827512686497468</c:v>
                </c:pt>
                <c:pt idx="902">
                  <c:v>0.51551807301828867</c:v>
                </c:pt>
                <c:pt idx="903">
                  <c:v>0.48258694599118396</c:v>
                </c:pt>
                <c:pt idx="904">
                  <c:v>0.47459947198017516</c:v>
                </c:pt>
                <c:pt idx="905">
                  <c:v>0.44866141890623273</c:v>
                </c:pt>
                <c:pt idx="906">
                  <c:v>0.43384553036238144</c:v>
                </c:pt>
                <c:pt idx="907">
                  <c:v>0.45317259389697973</c:v>
                </c:pt>
                <c:pt idx="908">
                  <c:v>0.48326038238155317</c:v>
                </c:pt>
                <c:pt idx="909">
                  <c:v>0.4759949785388235</c:v>
                </c:pt>
                <c:pt idx="910">
                  <c:v>0.47905785258631145</c:v>
                </c:pt>
                <c:pt idx="911">
                  <c:v>0.47781498729876354</c:v>
                </c:pt>
                <c:pt idx="912">
                  <c:v>0.49123789090250092</c:v>
                </c:pt>
                <c:pt idx="913">
                  <c:v>0.48881240656263542</c:v>
                </c:pt>
                <c:pt idx="914">
                  <c:v>0.48001420179166071</c:v>
                </c:pt>
                <c:pt idx="915">
                  <c:v>0.49043108189096046</c:v>
                </c:pt>
                <c:pt idx="916">
                  <c:v>0.47338459611722539</c:v>
                </c:pt>
                <c:pt idx="917">
                  <c:v>0.48070963087460866</c:v>
                </c:pt>
                <c:pt idx="918">
                  <c:v>0.49632985085053721</c:v>
                </c:pt>
                <c:pt idx="919">
                  <c:v>0.49283457337937114</c:v>
                </c:pt>
                <c:pt idx="920">
                  <c:v>0.50751077956125679</c:v>
                </c:pt>
                <c:pt idx="921">
                  <c:v>0.50986719697390448</c:v>
                </c:pt>
                <c:pt idx="922">
                  <c:v>0.49457779390953649</c:v>
                </c:pt>
                <c:pt idx="923">
                  <c:v>0.50197426142490031</c:v>
                </c:pt>
                <c:pt idx="924">
                  <c:v>0.51691007798729216</c:v>
                </c:pt>
                <c:pt idx="925">
                  <c:v>0.51806400492933891</c:v>
                </c:pt>
                <c:pt idx="926">
                  <c:v>0.52728115327763569</c:v>
                </c:pt>
                <c:pt idx="927">
                  <c:v>0.53342873780547018</c:v>
                </c:pt>
                <c:pt idx="928">
                  <c:v>0.51033341913924735</c:v>
                </c:pt>
                <c:pt idx="929">
                  <c:v>0.52160619930729346</c:v>
                </c:pt>
                <c:pt idx="930">
                  <c:v>0.52214534324526551</c:v>
                </c:pt>
                <c:pt idx="931">
                  <c:v>0.50560912182802709</c:v>
                </c:pt>
                <c:pt idx="932">
                  <c:v>0.50029175341863596</c:v>
                </c:pt>
                <c:pt idx="933">
                  <c:v>0.51448231156877955</c:v>
                </c:pt>
                <c:pt idx="934">
                  <c:v>0.49937916680127814</c:v>
                </c:pt>
                <c:pt idx="935">
                  <c:v>0.52069096787907765</c:v>
                </c:pt>
                <c:pt idx="936">
                  <c:v>0.49287844660927954</c:v>
                </c:pt>
                <c:pt idx="937">
                  <c:v>0.45730701100225041</c:v>
                </c:pt>
                <c:pt idx="938">
                  <c:v>0.44620698944223869</c:v>
                </c:pt>
                <c:pt idx="939">
                  <c:v>0.45072524781040135</c:v>
                </c:pt>
                <c:pt idx="940">
                  <c:v>0.46248680032649964</c:v>
                </c:pt>
                <c:pt idx="941">
                  <c:v>0.45638551897398266</c:v>
                </c:pt>
                <c:pt idx="942">
                  <c:v>0.46946748712219699</c:v>
                </c:pt>
                <c:pt idx="943">
                  <c:v>0.51016411077677681</c:v>
                </c:pt>
                <c:pt idx="944">
                  <c:v>0.4890035216392537</c:v>
                </c:pt>
                <c:pt idx="945">
                  <c:v>0.4902202458393205</c:v>
                </c:pt>
                <c:pt idx="946">
                  <c:v>0.48341579148057945</c:v>
                </c:pt>
                <c:pt idx="947">
                  <c:v>0.50699489910224582</c:v>
                </c:pt>
                <c:pt idx="948">
                  <c:v>0.49875745669338567</c:v>
                </c:pt>
                <c:pt idx="949">
                  <c:v>0.46954190910117172</c:v>
                </c:pt>
                <c:pt idx="950">
                  <c:v>0.46752113240759885</c:v>
                </c:pt>
                <c:pt idx="951">
                  <c:v>0.41001402672046044</c:v>
                </c:pt>
                <c:pt idx="952">
                  <c:v>0.38534186562013389</c:v>
                </c:pt>
                <c:pt idx="953">
                  <c:v>0.39223832213597148</c:v>
                </c:pt>
                <c:pt idx="954">
                  <c:v>0.42712687801948951</c:v>
                </c:pt>
                <c:pt idx="955">
                  <c:v>0.41308377000706065</c:v>
                </c:pt>
                <c:pt idx="956">
                  <c:v>0.392102518309002</c:v>
                </c:pt>
                <c:pt idx="957">
                  <c:v>0.40743541917347137</c:v>
                </c:pt>
                <c:pt idx="958">
                  <c:v>0.34876954861888781</c:v>
                </c:pt>
                <c:pt idx="959">
                  <c:v>0.32442532825065501</c:v>
                </c:pt>
                <c:pt idx="960">
                  <c:v>0.35891176899267346</c:v>
                </c:pt>
                <c:pt idx="961">
                  <c:v>0.39133649645360186</c:v>
                </c:pt>
                <c:pt idx="962">
                  <c:v>0.37863653629763527</c:v>
                </c:pt>
                <c:pt idx="963">
                  <c:v>0.3818344418633719</c:v>
                </c:pt>
                <c:pt idx="964">
                  <c:v>0.31903895012965283</c:v>
                </c:pt>
                <c:pt idx="965">
                  <c:v>0.32336107278666582</c:v>
                </c:pt>
                <c:pt idx="966">
                  <c:v>0.34659703905355482</c:v>
                </c:pt>
                <c:pt idx="967">
                  <c:v>0.32956834586609629</c:v>
                </c:pt>
                <c:pt idx="968">
                  <c:v>0.31795184891411288</c:v>
                </c:pt>
                <c:pt idx="969">
                  <c:v>0.3445225036262588</c:v>
                </c:pt>
                <c:pt idx="970">
                  <c:v>0.37380502527233977</c:v>
                </c:pt>
                <c:pt idx="971">
                  <c:v>0.37407423843735638</c:v>
                </c:pt>
                <c:pt idx="972">
                  <c:v>0.40812449875852169</c:v>
                </c:pt>
                <c:pt idx="973">
                  <c:v>0.45087777215608715</c:v>
                </c:pt>
                <c:pt idx="974">
                  <c:v>0.4929582023140911</c:v>
                </c:pt>
                <c:pt idx="975">
                  <c:v>0.47292653488373221</c:v>
                </c:pt>
                <c:pt idx="976">
                  <c:v>0.47985483557403613</c:v>
                </c:pt>
                <c:pt idx="977">
                  <c:v>0.53419877253984471</c:v>
                </c:pt>
                <c:pt idx="978">
                  <c:v>0.4853853567017391</c:v>
                </c:pt>
                <c:pt idx="979">
                  <c:v>0.47917627261215801</c:v>
                </c:pt>
                <c:pt idx="980">
                  <c:v>0.47144114861170699</c:v>
                </c:pt>
                <c:pt idx="981">
                  <c:v>0.47615690853514414</c:v>
                </c:pt>
                <c:pt idx="982">
                  <c:v>0.46917955935720834</c:v>
                </c:pt>
                <c:pt idx="983">
                  <c:v>0.42944530284718874</c:v>
                </c:pt>
                <c:pt idx="984">
                  <c:v>0.43755120001364223</c:v>
                </c:pt>
                <c:pt idx="985">
                  <c:v>0.41388009530296299</c:v>
                </c:pt>
                <c:pt idx="986">
                  <c:v>0.42973914387008894</c:v>
                </c:pt>
                <c:pt idx="987">
                  <c:v>0.4350048502675754</c:v>
                </c:pt>
                <c:pt idx="988">
                  <c:v>0.40199205439182512</c:v>
                </c:pt>
                <c:pt idx="989">
                  <c:v>0.37173463926306671</c:v>
                </c:pt>
                <c:pt idx="990">
                  <c:v>0.3877758151524629</c:v>
                </c:pt>
                <c:pt idx="991">
                  <c:v>0.38777153346481097</c:v>
                </c:pt>
                <c:pt idx="992">
                  <c:v>0.3784192348500674</c:v>
                </c:pt>
                <c:pt idx="993">
                  <c:v>0.34997155762356658</c:v>
                </c:pt>
                <c:pt idx="994">
                  <c:v>0.37569686701026139</c:v>
                </c:pt>
                <c:pt idx="995">
                  <c:v>0.40644620939994791</c:v>
                </c:pt>
                <c:pt idx="996">
                  <c:v>0.40242513084530029</c:v>
                </c:pt>
                <c:pt idx="997">
                  <c:v>0.41355302152148271</c:v>
                </c:pt>
                <c:pt idx="998">
                  <c:v>0.40587490025781986</c:v>
                </c:pt>
                <c:pt idx="999">
                  <c:v>0.41367510367171445</c:v>
                </c:pt>
                <c:pt idx="1000">
                  <c:v>0.39876165235797134</c:v>
                </c:pt>
                <c:pt idx="1001">
                  <c:v>0.41473873804731926</c:v>
                </c:pt>
                <c:pt idx="1002">
                  <c:v>0.4235063111994109</c:v>
                </c:pt>
                <c:pt idx="1003">
                  <c:v>0.43932909811746562</c:v>
                </c:pt>
                <c:pt idx="1004">
                  <c:v>0.43667842591340011</c:v>
                </c:pt>
                <c:pt idx="1005">
                  <c:v>0.44504888746090315</c:v>
                </c:pt>
                <c:pt idx="1006">
                  <c:v>0.44616284538277245</c:v>
                </c:pt>
                <c:pt idx="1007">
                  <c:v>0.45230260122420457</c:v>
                </c:pt>
                <c:pt idx="1008">
                  <c:v>0.43071865973407703</c:v>
                </c:pt>
                <c:pt idx="1009">
                  <c:v>0.44037947471427191</c:v>
                </c:pt>
                <c:pt idx="1010">
                  <c:v>0.47513251591780037</c:v>
                </c:pt>
                <c:pt idx="1011">
                  <c:v>0.50910951974365803</c:v>
                </c:pt>
                <c:pt idx="1012">
                  <c:v>0.51304440008150132</c:v>
                </c:pt>
                <c:pt idx="1013">
                  <c:v>0.50876645548456623</c:v>
                </c:pt>
                <c:pt idx="1014">
                  <c:v>0.51917624845188459</c:v>
                </c:pt>
                <c:pt idx="1015">
                  <c:v>0.50367790062135265</c:v>
                </c:pt>
                <c:pt idx="1016">
                  <c:v>0.50519512365339259</c:v>
                </c:pt>
                <c:pt idx="1017">
                  <c:v>0.49541342436624436</c:v>
                </c:pt>
                <c:pt idx="1018">
                  <c:v>0.48821549155987654</c:v>
                </c:pt>
                <c:pt idx="1019">
                  <c:v>0.50324200633559235</c:v>
                </c:pt>
                <c:pt idx="1020">
                  <c:v>0.4799369902526846</c:v>
                </c:pt>
                <c:pt idx="1021">
                  <c:v>0.46734569258318504</c:v>
                </c:pt>
                <c:pt idx="1022">
                  <c:v>0.4697313973266935</c:v>
                </c:pt>
                <c:pt idx="1023">
                  <c:v>0.47386422451660326</c:v>
                </c:pt>
                <c:pt idx="1024">
                  <c:v>0.48745352891401073</c:v>
                </c:pt>
                <c:pt idx="1025">
                  <c:v>0.4975079027102034</c:v>
                </c:pt>
                <c:pt idx="1026">
                  <c:v>0.47914945038619505</c:v>
                </c:pt>
                <c:pt idx="1027">
                  <c:v>0.48915106430054184</c:v>
                </c:pt>
                <c:pt idx="1028">
                  <c:v>0.47747776739875908</c:v>
                </c:pt>
                <c:pt idx="1029">
                  <c:v>0.48603687267602286</c:v>
                </c:pt>
                <c:pt idx="1030">
                  <c:v>0.47211529303526123</c:v>
                </c:pt>
                <c:pt idx="1031">
                  <c:v>0.49125655570465404</c:v>
                </c:pt>
                <c:pt idx="1032">
                  <c:v>0.48705303233557085</c:v>
                </c:pt>
                <c:pt idx="1033">
                  <c:v>0.51027694460875883</c:v>
                </c:pt>
                <c:pt idx="1034">
                  <c:v>0.51240671707868013</c:v>
                </c:pt>
                <c:pt idx="1035">
                  <c:v>0.50840929983791272</c:v>
                </c:pt>
              </c:numCache>
            </c:numRef>
          </c:yVal>
          <c:smooth val="1"/>
        </c:ser>
        <c:dLbls>
          <c:showLegendKey val="0"/>
          <c:showVal val="0"/>
          <c:showCatName val="0"/>
          <c:showSerName val="0"/>
          <c:showPercent val="0"/>
          <c:showBubbleSize val="0"/>
        </c:dLbls>
        <c:axId val="406475984"/>
        <c:axId val="406474808"/>
      </c:scatterChart>
      <c:valAx>
        <c:axId val="406475984"/>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06474808"/>
        <c:crosses val="autoZero"/>
        <c:crossBetween val="midCat"/>
      </c:valAx>
      <c:valAx>
        <c:axId val="406474808"/>
        <c:scaling>
          <c:orientation val="minMax"/>
          <c:min val="-1"/>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06475984"/>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Cash (10K)</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Balance!$B$2:$B$1787</c:f>
              <c:numCache>
                <c:formatCode>m/d/yyyy</c:formatCode>
                <c:ptCount val="17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pt idx="1032">
                  <c:v>43804</c:v>
                </c:pt>
                <c:pt idx="1033">
                  <c:v>43805</c:v>
                </c:pt>
                <c:pt idx="1034">
                  <c:v>43808</c:v>
                </c:pt>
                <c:pt idx="1035">
                  <c:v>43809</c:v>
                </c:pt>
              </c:numCache>
            </c:numRef>
          </c:xVal>
          <c:yVal>
            <c:numRef>
              <c:f>Balance!$S$2:$S$1993</c:f>
              <c:numCache>
                <c:formatCode>0.00%</c:formatCode>
                <c:ptCount val="1992"/>
                <c:pt idx="146" formatCode="0.00">
                  <c:v>89505.579999999987</c:v>
                </c:pt>
                <c:pt idx="147" formatCode="0.00">
                  <c:v>96897.989999999991</c:v>
                </c:pt>
                <c:pt idx="148" formatCode="0.00">
                  <c:v>113229.37</c:v>
                </c:pt>
                <c:pt idx="149" formatCode="0.00">
                  <c:v>111694.08000000002</c:v>
                </c:pt>
                <c:pt idx="150" formatCode="0.00">
                  <c:v>92228.229999999981</c:v>
                </c:pt>
                <c:pt idx="151" formatCode="0.00">
                  <c:v>49825.369999999966</c:v>
                </c:pt>
                <c:pt idx="152" formatCode="0.00">
                  <c:v>50321.819999999978</c:v>
                </c:pt>
                <c:pt idx="153" formatCode="0.00">
                  <c:v>49825.370000000024</c:v>
                </c:pt>
                <c:pt idx="154" formatCode="0.00">
                  <c:v>49825.369999999966</c:v>
                </c:pt>
                <c:pt idx="155" formatCode="0.00">
                  <c:v>71355</c:v>
                </c:pt>
                <c:pt idx="156" formatCode="0.00">
                  <c:v>92840.6</c:v>
                </c:pt>
                <c:pt idx="157" formatCode="0.00">
                  <c:v>94371.66</c:v>
                </c:pt>
                <c:pt idx="158" formatCode="0.00">
                  <c:v>91840.659999999974</c:v>
                </c:pt>
                <c:pt idx="159" formatCode="0.00">
                  <c:v>91875.639999999985</c:v>
                </c:pt>
                <c:pt idx="160" formatCode="0.00">
                  <c:v>88280.260000000009</c:v>
                </c:pt>
                <c:pt idx="161" formatCode="0.00">
                  <c:v>86005.32</c:v>
                </c:pt>
                <c:pt idx="162" formatCode="0.00">
                  <c:v>103580.77999999997</c:v>
                </c:pt>
                <c:pt idx="163" formatCode="0.00">
                  <c:v>91550.869999999966</c:v>
                </c:pt>
                <c:pt idx="164" formatCode="0.00">
                  <c:v>101762.51999999999</c:v>
                </c:pt>
                <c:pt idx="165" formatCode="0.00">
                  <c:v>97793.439999999973</c:v>
                </c:pt>
                <c:pt idx="166" formatCode="0.00">
                  <c:v>97083.859999999986</c:v>
                </c:pt>
                <c:pt idx="167" formatCode="0.00">
                  <c:v>90575.610000000015</c:v>
                </c:pt>
                <c:pt idx="168" formatCode="0.00">
                  <c:v>100936.63999999998</c:v>
                </c:pt>
                <c:pt idx="169" formatCode="0.00">
                  <c:v>108811.45999999999</c:v>
                </c:pt>
                <c:pt idx="170" formatCode="0.00">
                  <c:v>104215.39000000001</c:v>
                </c:pt>
                <c:pt idx="171" formatCode="0.00">
                  <c:v>104215.39000000001</c:v>
                </c:pt>
                <c:pt idx="172" formatCode="0.00">
                  <c:v>100871.44000000003</c:v>
                </c:pt>
                <c:pt idx="173" formatCode="0.00">
                  <c:v>86832.890000000014</c:v>
                </c:pt>
                <c:pt idx="174" formatCode="0.00">
                  <c:v>105169.94</c:v>
                </c:pt>
                <c:pt idx="175" formatCode="0.00">
                  <c:v>96050.510000000009</c:v>
                </c:pt>
                <c:pt idx="176" formatCode="0.00">
                  <c:v>82745.170000000013</c:v>
                </c:pt>
                <c:pt idx="177" formatCode="0.00">
                  <c:v>64906.219999999972</c:v>
                </c:pt>
                <c:pt idx="178" formatCode="0.00">
                  <c:v>65320.630000000005</c:v>
                </c:pt>
                <c:pt idx="179" formatCode="0.00">
                  <c:v>63527.800000000017</c:v>
                </c:pt>
                <c:pt idx="180" formatCode="0.00">
                  <c:v>28662.5</c:v>
                </c:pt>
                <c:pt idx="181" formatCode="0.00">
                  <c:v>60165.97000000003</c:v>
                </c:pt>
                <c:pt idx="182" formatCode="0.00">
                  <c:v>60165.97</c:v>
                </c:pt>
                <c:pt idx="183" formatCode="0.00">
                  <c:v>53752.600000000006</c:v>
                </c:pt>
                <c:pt idx="184" formatCode="0.00">
                  <c:v>58849.640000000014</c:v>
                </c:pt>
                <c:pt idx="185" formatCode="0.00">
                  <c:v>60603.099999999977</c:v>
                </c:pt>
                <c:pt idx="186" formatCode="0.00">
                  <c:v>24135.450000000012</c:v>
                </c:pt>
                <c:pt idx="187" formatCode="0.00">
                  <c:v>51998.260000000009</c:v>
                </c:pt>
                <c:pt idx="188" formatCode="0.00">
                  <c:v>52012.880000000005</c:v>
                </c:pt>
                <c:pt idx="189" formatCode="0.00">
                  <c:v>55064.380000000005</c:v>
                </c:pt>
                <c:pt idx="190" formatCode="0.00">
                  <c:v>53715.079999999987</c:v>
                </c:pt>
                <c:pt idx="191" formatCode="0.00">
                  <c:v>48145.02999999997</c:v>
                </c:pt>
                <c:pt idx="192" formatCode="0.00">
                  <c:v>56298.049999999988</c:v>
                </c:pt>
                <c:pt idx="193" formatCode="0.00">
                  <c:v>65415.949999999983</c:v>
                </c:pt>
                <c:pt idx="194" formatCode="0.00">
                  <c:v>68144.25</c:v>
                </c:pt>
                <c:pt idx="195" formatCode="0.00">
                  <c:v>76453.139999999985</c:v>
                </c:pt>
                <c:pt idx="196" formatCode="0.00">
                  <c:v>73869.149999999994</c:v>
                </c:pt>
                <c:pt idx="197" formatCode="0.00">
                  <c:v>75022.939999999973</c:v>
                </c:pt>
                <c:pt idx="198" formatCode="0.00">
                  <c:v>76923.670000000013</c:v>
                </c:pt>
                <c:pt idx="199" formatCode="0.00">
                  <c:v>85683.450000000012</c:v>
                </c:pt>
                <c:pt idx="200" formatCode="0.00">
                  <c:v>85683.449999999983</c:v>
                </c:pt>
                <c:pt idx="201" formatCode="0.00">
                  <c:v>73642.349999999977</c:v>
                </c:pt>
                <c:pt idx="202" formatCode="0.00">
                  <c:v>114837.67000000001</c:v>
                </c:pt>
                <c:pt idx="203" formatCode="0.00">
                  <c:v>126350.50999999998</c:v>
                </c:pt>
                <c:pt idx="204" formatCode="0.00">
                  <c:v>120815.87</c:v>
                </c:pt>
                <c:pt idx="205" formatCode="0.00">
                  <c:v>118737.32</c:v>
                </c:pt>
                <c:pt idx="206" formatCode="0.00">
                  <c:v>74271.950000000012</c:v>
                </c:pt>
                <c:pt idx="207" formatCode="0.00">
                  <c:v>74268.760000000009</c:v>
                </c:pt>
                <c:pt idx="208" formatCode="0.00">
                  <c:v>54607</c:v>
                </c:pt>
                <c:pt idx="209" formatCode="0.00">
                  <c:v>56487.48000000004</c:v>
                </c:pt>
                <c:pt idx="210" formatCode="0.00">
                  <c:v>51029.27999999997</c:v>
                </c:pt>
                <c:pt idx="211" formatCode="0.00">
                  <c:v>59291.099999999977</c:v>
                </c:pt>
                <c:pt idx="212" formatCode="0.00">
                  <c:v>88091.109999999986</c:v>
                </c:pt>
                <c:pt idx="213" formatCode="0.00">
                  <c:v>108984.14999999997</c:v>
                </c:pt>
                <c:pt idx="214" formatCode="0.00">
                  <c:v>94926.85</c:v>
                </c:pt>
                <c:pt idx="215" formatCode="0.00">
                  <c:v>133407.05000000002</c:v>
                </c:pt>
                <c:pt idx="216" formatCode="0.00">
                  <c:v>52384.340000000026</c:v>
                </c:pt>
                <c:pt idx="217" formatCode="0.00">
                  <c:v>-2736.7099999999627</c:v>
                </c:pt>
                <c:pt idx="218" formatCode="0.00">
                  <c:v>23310.929999999993</c:v>
                </c:pt>
                <c:pt idx="219" formatCode="0.00">
                  <c:v>33140.72000000003</c:v>
                </c:pt>
                <c:pt idx="220" formatCode="0.00">
                  <c:v>37609.079999999958</c:v>
                </c:pt>
                <c:pt idx="221" formatCode="0.00">
                  <c:v>86015.319999999949</c:v>
                </c:pt>
                <c:pt idx="222" formatCode="0.00">
                  <c:v>33140.880000000005</c:v>
                </c:pt>
                <c:pt idx="223" formatCode="0.00">
                  <c:v>31700.690000000002</c:v>
                </c:pt>
                <c:pt idx="224" formatCode="0.00">
                  <c:v>34217.020000000019</c:v>
                </c:pt>
                <c:pt idx="225" formatCode="0.00">
                  <c:v>39253.619999999937</c:v>
                </c:pt>
                <c:pt idx="226" formatCode="0.00">
                  <c:v>41429.340000000026</c:v>
                </c:pt>
                <c:pt idx="227" formatCode="0.00">
                  <c:v>49410.760000000009</c:v>
                </c:pt>
                <c:pt idx="228" formatCode="0.00">
                  <c:v>48566.919999999984</c:v>
                </c:pt>
                <c:pt idx="229" formatCode="0.00">
                  <c:v>48565.820000000007</c:v>
                </c:pt>
                <c:pt idx="230" formatCode="0.00">
                  <c:v>53120.359999999986</c:v>
                </c:pt>
                <c:pt idx="231" formatCode="0.00">
                  <c:v>53583.250000000058</c:v>
                </c:pt>
                <c:pt idx="232" formatCode="0.00">
                  <c:v>47608.449999999953</c:v>
                </c:pt>
                <c:pt idx="233" formatCode="0.00">
                  <c:v>51814.950000000012</c:v>
                </c:pt>
                <c:pt idx="234" formatCode="0.00">
                  <c:v>44572.140000000014</c:v>
                </c:pt>
                <c:pt idx="235" formatCode="0.00">
                  <c:v>41282.339999999967</c:v>
                </c:pt>
                <c:pt idx="236" formatCode="0.00">
                  <c:v>44347.69</c:v>
                </c:pt>
                <c:pt idx="237" formatCode="0.00">
                  <c:v>65324.06</c:v>
                </c:pt>
                <c:pt idx="238" formatCode="0.00">
                  <c:v>56112.359999999986</c:v>
                </c:pt>
                <c:pt idx="239" formatCode="0.00">
                  <c:v>45396.380000000005</c:v>
                </c:pt>
                <c:pt idx="240" formatCode="0.00">
                  <c:v>54478.419999999984</c:v>
                </c:pt>
                <c:pt idx="241" formatCode="0.00">
                  <c:v>51853.020000000019</c:v>
                </c:pt>
                <c:pt idx="242" formatCode="0.00">
                  <c:v>46282.960000000021</c:v>
                </c:pt>
                <c:pt idx="243" formatCode="0.00">
                  <c:v>40930.960000000021</c:v>
                </c:pt>
                <c:pt idx="244" formatCode="0.00">
                  <c:v>42182.049999999988</c:v>
                </c:pt>
                <c:pt idx="245" formatCode="0.00">
                  <c:v>61189.479999999981</c:v>
                </c:pt>
                <c:pt idx="246" formatCode="0.00">
                  <c:v>54664.27999999997</c:v>
                </c:pt>
                <c:pt idx="247" formatCode="0.00">
                  <c:v>48306.48000000004</c:v>
                </c:pt>
                <c:pt idx="248" formatCode="0.00">
                  <c:v>49786.25</c:v>
                </c:pt>
                <c:pt idx="249" formatCode="0.00">
                  <c:v>99156</c:v>
                </c:pt>
                <c:pt idx="251" formatCode="0.00">
                  <c:v>120001.53</c:v>
                </c:pt>
                <c:pt idx="252" formatCode="0.00">
                  <c:v>147577.93000000002</c:v>
                </c:pt>
                <c:pt idx="253" formatCode="0.00">
                  <c:v>149847.75</c:v>
                </c:pt>
                <c:pt idx="254" formatCode="0.00">
                  <c:v>121841.31999999998</c:v>
                </c:pt>
                <c:pt idx="255" formatCode="0.00">
                  <c:v>146280.65</c:v>
                </c:pt>
                <c:pt idx="256" formatCode="0.00">
                  <c:v>146290.45000000001</c:v>
                </c:pt>
                <c:pt idx="257" formatCode="0.00">
                  <c:v>143453.21000000002</c:v>
                </c:pt>
                <c:pt idx="258" formatCode="0.00">
                  <c:v>122146.22000000003</c:v>
                </c:pt>
                <c:pt idx="259" formatCode="0.00">
                  <c:v>122528.60999999999</c:v>
                </c:pt>
                <c:pt idx="260" formatCode="0.00">
                  <c:v>104437.60999999999</c:v>
                </c:pt>
                <c:pt idx="261" formatCode="0.00">
                  <c:v>89275.109999999986</c:v>
                </c:pt>
                <c:pt idx="262" formatCode="0.00">
                  <c:v>89365.339999999967</c:v>
                </c:pt>
                <c:pt idx="263" formatCode="0.00">
                  <c:v>99917.919999999984</c:v>
                </c:pt>
                <c:pt idx="264" formatCode="0.00">
                  <c:v>94604.13</c:v>
                </c:pt>
                <c:pt idx="265" formatCode="0.00">
                  <c:v>116356.47000000003</c:v>
                </c:pt>
                <c:pt idx="266" formatCode="0.00">
                  <c:v>145938.43</c:v>
                </c:pt>
                <c:pt idx="267" formatCode="0.00">
                  <c:v>109868.35999999999</c:v>
                </c:pt>
                <c:pt idx="268" formatCode="0.00">
                  <c:v>107362.09000000003</c:v>
                </c:pt>
                <c:pt idx="269" formatCode="0.00">
                  <c:v>79451.889999999956</c:v>
                </c:pt>
                <c:pt idx="270" formatCode="0.00">
                  <c:v>66526.590000000026</c:v>
                </c:pt>
                <c:pt idx="271" formatCode="0.00">
                  <c:v>66574.5</c:v>
                </c:pt>
                <c:pt idx="272" formatCode="0.00">
                  <c:v>68851.410000000033</c:v>
                </c:pt>
                <c:pt idx="273" formatCode="0.00">
                  <c:v>66034.409999999974</c:v>
                </c:pt>
                <c:pt idx="274" formatCode="0.00">
                  <c:v>61492.210000000021</c:v>
                </c:pt>
                <c:pt idx="275" formatCode="0.00">
                  <c:v>76083.070000000007</c:v>
                </c:pt>
                <c:pt idx="276" formatCode="0.00">
                  <c:v>83623.030000000028</c:v>
                </c:pt>
                <c:pt idx="277" formatCode="0.00">
                  <c:v>80747.02999999997</c:v>
                </c:pt>
                <c:pt idx="278" formatCode="0.00">
                  <c:v>67606.889999999956</c:v>
                </c:pt>
                <c:pt idx="279" formatCode="0.00">
                  <c:v>62627.869999999995</c:v>
                </c:pt>
                <c:pt idx="280" formatCode="0.00">
                  <c:v>81764.679999999993</c:v>
                </c:pt>
                <c:pt idx="281" formatCode="0.00">
                  <c:v>90552.049999999988</c:v>
                </c:pt>
                <c:pt idx="282" formatCode="0.00">
                  <c:v>85713.06</c:v>
                </c:pt>
                <c:pt idx="283" formatCode="0.00">
                  <c:v>73356.44</c:v>
                </c:pt>
                <c:pt idx="284" formatCode="0.00">
                  <c:v>48130.640000000014</c:v>
                </c:pt>
                <c:pt idx="285" formatCode="0.00">
                  <c:v>77259.929999999993</c:v>
                </c:pt>
                <c:pt idx="286" formatCode="0.00">
                  <c:v>55624.650000000023</c:v>
                </c:pt>
                <c:pt idx="287" formatCode="0.00">
                  <c:v>46203.149999999965</c:v>
                </c:pt>
                <c:pt idx="288" formatCode="0.00">
                  <c:v>50076.409999999974</c:v>
                </c:pt>
                <c:pt idx="289" formatCode="0.00">
                  <c:v>48775.619999999995</c:v>
                </c:pt>
                <c:pt idx="290" formatCode="0.00">
                  <c:v>56159.450000000012</c:v>
                </c:pt>
                <c:pt idx="291" formatCode="0.00">
                  <c:v>60087.539999999979</c:v>
                </c:pt>
                <c:pt idx="292" formatCode="0.00">
                  <c:v>58060.389999999956</c:v>
                </c:pt>
                <c:pt idx="293" formatCode="0.00">
                  <c:v>53787.539999999979</c:v>
                </c:pt>
                <c:pt idx="294" formatCode="0.00">
                  <c:v>49489.509999999951</c:v>
                </c:pt>
                <c:pt idx="295" formatCode="0.00">
                  <c:v>49325.149999999965</c:v>
                </c:pt>
                <c:pt idx="296" formatCode="0.00">
                  <c:v>10178.240000000049</c:v>
                </c:pt>
                <c:pt idx="297" formatCode="0.00">
                  <c:v>14389.570000000007</c:v>
                </c:pt>
                <c:pt idx="298" formatCode="0.00">
                  <c:v>8803.820000000007</c:v>
                </c:pt>
                <c:pt idx="299" formatCode="0.00">
                  <c:v>8913.4699999999721</c:v>
                </c:pt>
                <c:pt idx="300" formatCode="0.00">
                  <c:v>20534.059999999998</c:v>
                </c:pt>
                <c:pt idx="301" formatCode="0.00">
                  <c:v>48955.520000000019</c:v>
                </c:pt>
                <c:pt idx="302" formatCode="0.00">
                  <c:v>33790.98000000004</c:v>
                </c:pt>
                <c:pt idx="303" formatCode="0.00">
                  <c:v>124961.53999999998</c:v>
                </c:pt>
                <c:pt idx="304" formatCode="0.00">
                  <c:v>114365.26000000001</c:v>
                </c:pt>
                <c:pt idx="305" formatCode="0.00">
                  <c:v>109939.06</c:v>
                </c:pt>
                <c:pt idx="306" formatCode="0.00">
                  <c:v>118154.31999999998</c:v>
                </c:pt>
                <c:pt idx="307" formatCode="0.00">
                  <c:v>107629.29999999999</c:v>
                </c:pt>
                <c:pt idx="308" formatCode="0.00">
                  <c:v>59604.919999999984</c:v>
                </c:pt>
                <c:pt idx="309" formatCode="0.00">
                  <c:v>59386.920000000013</c:v>
                </c:pt>
                <c:pt idx="310" formatCode="0.00">
                  <c:v>70335.549999999988</c:v>
                </c:pt>
                <c:pt idx="311" formatCode="0.00">
                  <c:v>100394.43999999997</c:v>
                </c:pt>
                <c:pt idx="312" formatCode="0.00">
                  <c:v>106112.81999999998</c:v>
                </c:pt>
                <c:pt idx="313" formatCode="0.00">
                  <c:v>119147.48000000004</c:v>
                </c:pt>
                <c:pt idx="314" formatCode="0.00">
                  <c:v>93895.319999999978</c:v>
                </c:pt>
                <c:pt idx="315" formatCode="0.00">
                  <c:v>99691.120000000024</c:v>
                </c:pt>
                <c:pt idx="316" formatCode="0.00">
                  <c:v>95773.180000000022</c:v>
                </c:pt>
                <c:pt idx="317" formatCode="0.00">
                  <c:v>92655.18</c:v>
                </c:pt>
                <c:pt idx="318" formatCode="0.00">
                  <c:v>95632.680000000022</c:v>
                </c:pt>
                <c:pt idx="319" formatCode="0.00">
                  <c:v>95640.430000000022</c:v>
                </c:pt>
                <c:pt idx="320" formatCode="0.00">
                  <c:v>95177.68</c:v>
                </c:pt>
                <c:pt idx="321" formatCode="0.00">
                  <c:v>92846.680000000022</c:v>
                </c:pt>
                <c:pt idx="322" formatCode="0.00">
                  <c:v>92846.680000000022</c:v>
                </c:pt>
                <c:pt idx="323" formatCode="0.00">
                  <c:v>92846.68</c:v>
                </c:pt>
                <c:pt idx="324" formatCode="0.00">
                  <c:v>92846.680000000022</c:v>
                </c:pt>
                <c:pt idx="325" formatCode="0.00">
                  <c:v>90739.469999999972</c:v>
                </c:pt>
                <c:pt idx="326" formatCode="0.00">
                  <c:v>79069.73000000004</c:v>
                </c:pt>
                <c:pt idx="327" formatCode="0.00">
                  <c:v>77793.73000000001</c:v>
                </c:pt>
                <c:pt idx="328" formatCode="0.00">
                  <c:v>80640.550000000017</c:v>
                </c:pt>
                <c:pt idx="329" formatCode="0.00">
                  <c:v>93530.97000000003</c:v>
                </c:pt>
                <c:pt idx="330" formatCode="0.00">
                  <c:v>91351.47</c:v>
                </c:pt>
                <c:pt idx="331" formatCode="0.00">
                  <c:v>85071.120000000024</c:v>
                </c:pt>
                <c:pt idx="332" formatCode="0.00">
                  <c:v>85071.12</c:v>
                </c:pt>
                <c:pt idx="333" formatCode="0.00">
                  <c:v>85071.12</c:v>
                </c:pt>
                <c:pt idx="334" formatCode="0.00">
                  <c:v>77877.22</c:v>
                </c:pt>
                <c:pt idx="335" formatCode="0.00">
                  <c:v>77906.219999999972</c:v>
                </c:pt>
                <c:pt idx="336" formatCode="0.00">
                  <c:v>76415.049999999988</c:v>
                </c:pt>
                <c:pt idx="337" formatCode="0.00">
                  <c:v>80086.09</c:v>
                </c:pt>
                <c:pt idx="338" formatCode="0.00">
                  <c:v>82152</c:v>
                </c:pt>
                <c:pt idx="339" formatCode="0.00">
                  <c:v>72922.599999999977</c:v>
                </c:pt>
                <c:pt idx="340" formatCode="0.00">
                  <c:v>63453.530000000028</c:v>
                </c:pt>
                <c:pt idx="341" formatCode="0.00">
                  <c:v>62219.540000000037</c:v>
                </c:pt>
                <c:pt idx="342" formatCode="0.00">
                  <c:v>64494.450000000012</c:v>
                </c:pt>
                <c:pt idx="343" formatCode="0.00">
                  <c:v>71459.73000000001</c:v>
                </c:pt>
                <c:pt idx="344" formatCode="0.00">
                  <c:v>68820.899999999994</c:v>
                </c:pt>
                <c:pt idx="345" formatCode="0.00">
                  <c:v>70299.919999999984</c:v>
                </c:pt>
                <c:pt idx="346" formatCode="0.00">
                  <c:v>49958.920000000042</c:v>
                </c:pt>
                <c:pt idx="347" formatCode="0.00">
                  <c:v>56444.119999999995</c:v>
                </c:pt>
                <c:pt idx="348" formatCode="0.00">
                  <c:v>57854.369999999995</c:v>
                </c:pt>
                <c:pt idx="349" formatCode="0.00">
                  <c:v>54189.089999999967</c:v>
                </c:pt>
                <c:pt idx="350" formatCode="0.00">
                  <c:v>69721.270000000019</c:v>
                </c:pt>
                <c:pt idx="351" formatCode="0.00">
                  <c:v>48618.020000000019</c:v>
                </c:pt>
                <c:pt idx="352" formatCode="0.00">
                  <c:v>18464.640000000014</c:v>
                </c:pt>
                <c:pt idx="353" formatCode="0.00">
                  <c:v>27653.330000000016</c:v>
                </c:pt>
                <c:pt idx="354" formatCode="0.00">
                  <c:v>16464.330000000016</c:v>
                </c:pt>
                <c:pt idx="355" formatCode="0.00">
                  <c:v>19197.859999999986</c:v>
                </c:pt>
                <c:pt idx="356" formatCode="0.00">
                  <c:v>19191.860000000044</c:v>
                </c:pt>
                <c:pt idx="357" formatCode="0.00">
                  <c:v>17951.440000000002</c:v>
                </c:pt>
                <c:pt idx="358" formatCode="0.00">
                  <c:v>40338.100000000035</c:v>
                </c:pt>
                <c:pt idx="359" formatCode="0.00">
                  <c:v>47409.790000000037</c:v>
                </c:pt>
                <c:pt idx="360" formatCode="0.00">
                  <c:v>45928.790000000037</c:v>
                </c:pt>
                <c:pt idx="361" formatCode="0.00">
                  <c:v>50375.089999999967</c:v>
                </c:pt>
                <c:pt idx="362" formatCode="0.00">
                  <c:v>40590.219999999972</c:v>
                </c:pt>
                <c:pt idx="363" formatCode="0.00">
                  <c:v>39006.22000000003</c:v>
                </c:pt>
                <c:pt idx="364" formatCode="0.00">
                  <c:v>41400.169999999984</c:v>
                </c:pt>
                <c:pt idx="365" formatCode="0.00">
                  <c:v>32738.170000000042</c:v>
                </c:pt>
                <c:pt idx="366" formatCode="0.00">
                  <c:v>29512.97000000003</c:v>
                </c:pt>
                <c:pt idx="367" formatCode="0.00">
                  <c:v>34181.090000000026</c:v>
                </c:pt>
                <c:pt idx="368" formatCode="0.00">
                  <c:v>69612.62</c:v>
                </c:pt>
                <c:pt idx="369" formatCode="0.00">
                  <c:v>68814.010000000009</c:v>
                </c:pt>
                <c:pt idx="370" formatCode="0.00">
                  <c:v>68814.010000000009</c:v>
                </c:pt>
                <c:pt idx="371" formatCode="0.00">
                  <c:v>68814.009999999951</c:v>
                </c:pt>
                <c:pt idx="372" formatCode="0.00">
                  <c:v>58288.010000000009</c:v>
                </c:pt>
                <c:pt idx="373" formatCode="0.00">
                  <c:v>89306.289999999979</c:v>
                </c:pt>
                <c:pt idx="374" formatCode="0.00">
                  <c:v>50796.540000000037</c:v>
                </c:pt>
                <c:pt idx="375" formatCode="0.00">
                  <c:v>50796.540000000037</c:v>
                </c:pt>
                <c:pt idx="376" formatCode="0.00">
                  <c:v>136177.37</c:v>
                </c:pt>
                <c:pt idx="377" formatCode="0.00">
                  <c:v>144473.97000000003</c:v>
                </c:pt>
                <c:pt idx="378" formatCode="0.00">
                  <c:v>142643.95000000001</c:v>
                </c:pt>
                <c:pt idx="379" formatCode="0.00">
                  <c:v>144637.39000000001</c:v>
                </c:pt>
                <c:pt idx="380" formatCode="0.00">
                  <c:v>142507.39000000001</c:v>
                </c:pt>
                <c:pt idx="381" formatCode="0.00">
                  <c:v>130577.19</c:v>
                </c:pt>
                <c:pt idx="382" formatCode="0.00">
                  <c:v>124657.19</c:v>
                </c:pt>
                <c:pt idx="383" formatCode="0.00">
                  <c:v>127555.13</c:v>
                </c:pt>
                <c:pt idx="384" formatCode="0.00">
                  <c:v>124707.13</c:v>
                </c:pt>
                <c:pt idx="385" formatCode="0.00">
                  <c:v>124707.13</c:v>
                </c:pt>
                <c:pt idx="386" formatCode="0.00">
                  <c:v>124707.13</c:v>
                </c:pt>
                <c:pt idx="387" formatCode="0.00">
                  <c:v>133086.95000000001</c:v>
                </c:pt>
                <c:pt idx="388" formatCode="0.00">
                  <c:v>133086.95000000001</c:v>
                </c:pt>
                <c:pt idx="389" formatCode="0.00">
                  <c:v>136751.74</c:v>
                </c:pt>
                <c:pt idx="390" formatCode="0.00">
                  <c:v>142052.51</c:v>
                </c:pt>
                <c:pt idx="391" formatCode="0.00">
                  <c:v>143004.49000000005</c:v>
                </c:pt>
                <c:pt idx="392" formatCode="0.00">
                  <c:v>145116.33999999997</c:v>
                </c:pt>
                <c:pt idx="393" formatCode="0.00">
                  <c:v>145718.79999999999</c:v>
                </c:pt>
                <c:pt idx="394" formatCode="0.00">
                  <c:v>142532.79999999999</c:v>
                </c:pt>
                <c:pt idx="395" formatCode="0.00">
                  <c:v>139724.79999999999</c:v>
                </c:pt>
                <c:pt idx="396" formatCode="0.00">
                  <c:v>132039.79999999999</c:v>
                </c:pt>
                <c:pt idx="397" formatCode="0.00">
                  <c:v>130266.52999999997</c:v>
                </c:pt>
                <c:pt idx="398" formatCode="0.00">
                  <c:v>132065.73000000004</c:v>
                </c:pt>
                <c:pt idx="399" formatCode="0.00">
                  <c:v>132065.73000000004</c:v>
                </c:pt>
                <c:pt idx="400" formatCode="0.00">
                  <c:v>127111.33000000002</c:v>
                </c:pt>
                <c:pt idx="401" formatCode="0.00">
                  <c:v>122039.33000000002</c:v>
                </c:pt>
                <c:pt idx="402" formatCode="0.00">
                  <c:v>126625.29000000004</c:v>
                </c:pt>
                <c:pt idx="403" formatCode="0.00">
                  <c:v>115671.28000000003</c:v>
                </c:pt>
                <c:pt idx="404" formatCode="0.00">
                  <c:v>115678.43000000005</c:v>
                </c:pt>
                <c:pt idx="405" formatCode="0.00">
                  <c:v>120597.12</c:v>
                </c:pt>
                <c:pt idx="406" formatCode="0.00">
                  <c:v>126993.98000000004</c:v>
                </c:pt>
                <c:pt idx="407" formatCode="0.00">
                  <c:v>124800.66000000003</c:v>
                </c:pt>
                <c:pt idx="408" formatCode="0.00">
                  <c:v>82142.450000000012</c:v>
                </c:pt>
                <c:pt idx="409" formatCode="0.00">
                  <c:v>86672.419999999984</c:v>
                </c:pt>
                <c:pt idx="410" formatCode="0.00">
                  <c:v>81255.419999999984</c:v>
                </c:pt>
                <c:pt idx="411" formatCode="0.00">
                  <c:v>78857.419999999984</c:v>
                </c:pt>
                <c:pt idx="412" formatCode="0.00">
                  <c:v>78857.419999999984</c:v>
                </c:pt>
                <c:pt idx="413" formatCode="0.00">
                  <c:v>77439.359999999986</c:v>
                </c:pt>
                <c:pt idx="414" formatCode="0.00">
                  <c:v>81721.669999999984</c:v>
                </c:pt>
                <c:pt idx="415" formatCode="0.00">
                  <c:v>106693.95999999999</c:v>
                </c:pt>
                <c:pt idx="416" formatCode="0.00">
                  <c:v>102644.90999999997</c:v>
                </c:pt>
                <c:pt idx="417" formatCode="0.00">
                  <c:v>97902.610000000044</c:v>
                </c:pt>
                <c:pt idx="418" formatCode="0.00">
                  <c:v>93306.610000000044</c:v>
                </c:pt>
                <c:pt idx="419" formatCode="0.00">
                  <c:v>93306.609999999986</c:v>
                </c:pt>
                <c:pt idx="420" formatCode="0.00">
                  <c:v>87040.109999999986</c:v>
                </c:pt>
                <c:pt idx="421" formatCode="0.00">
                  <c:v>80759.080000000016</c:v>
                </c:pt>
                <c:pt idx="422" formatCode="0.00">
                  <c:v>80128.429999999993</c:v>
                </c:pt>
                <c:pt idx="423" formatCode="0.00">
                  <c:v>99391.830000000016</c:v>
                </c:pt>
                <c:pt idx="424" formatCode="0.00">
                  <c:v>99391.829999999958</c:v>
                </c:pt>
                <c:pt idx="425" formatCode="0.00">
                  <c:v>99392.390000000014</c:v>
                </c:pt>
                <c:pt idx="426" formatCode="0.00">
                  <c:v>96213.270000000019</c:v>
                </c:pt>
                <c:pt idx="427" formatCode="0.00">
                  <c:v>88102.469999999972</c:v>
                </c:pt>
                <c:pt idx="428" formatCode="0.00">
                  <c:v>88108.469999999972</c:v>
                </c:pt>
                <c:pt idx="429" formatCode="0.00">
                  <c:v>88108.47</c:v>
                </c:pt>
                <c:pt idx="430" formatCode="0.00">
                  <c:v>84038.07</c:v>
                </c:pt>
                <c:pt idx="431" formatCode="0.00">
                  <c:v>84175.31</c:v>
                </c:pt>
                <c:pt idx="432" formatCode="0.00">
                  <c:v>69130.909999999974</c:v>
                </c:pt>
                <c:pt idx="433" formatCode="0.00">
                  <c:v>69130.910000000033</c:v>
                </c:pt>
                <c:pt idx="434" formatCode="0.00">
                  <c:v>65808.909999999974</c:v>
                </c:pt>
                <c:pt idx="435" formatCode="0.00">
                  <c:v>65808.909999999974</c:v>
                </c:pt>
                <c:pt idx="436" formatCode="0.00">
                  <c:v>68658.849999999977</c:v>
                </c:pt>
                <c:pt idx="437" formatCode="0.00">
                  <c:v>68658.849999999977</c:v>
                </c:pt>
                <c:pt idx="438" formatCode="0.00">
                  <c:v>76262.679999999993</c:v>
                </c:pt>
                <c:pt idx="439" formatCode="0.00">
                  <c:v>76630.680000000051</c:v>
                </c:pt>
                <c:pt idx="440" formatCode="0.00">
                  <c:v>72064.549999999988</c:v>
                </c:pt>
                <c:pt idx="441" formatCode="0.00">
                  <c:v>66994.5</c:v>
                </c:pt>
                <c:pt idx="442" formatCode="0.00">
                  <c:v>60314.5</c:v>
                </c:pt>
                <c:pt idx="443" formatCode="0.00">
                  <c:v>60314.5</c:v>
                </c:pt>
                <c:pt idx="444" formatCode="0.00">
                  <c:v>74427.859999999986</c:v>
                </c:pt>
                <c:pt idx="445" formatCode="0.00">
                  <c:v>66246.27999999997</c:v>
                </c:pt>
                <c:pt idx="446" formatCode="0.00">
                  <c:v>66246.27999999997</c:v>
                </c:pt>
                <c:pt idx="447" formatCode="0.00">
                  <c:v>69359.709999999963</c:v>
                </c:pt>
                <c:pt idx="448" formatCode="0.00">
                  <c:v>70034.62</c:v>
                </c:pt>
                <c:pt idx="449" formatCode="0.00">
                  <c:v>75034.5</c:v>
                </c:pt>
                <c:pt idx="450" formatCode="0.00">
                  <c:v>73087.510000000009</c:v>
                </c:pt>
                <c:pt idx="451" formatCode="0.00">
                  <c:v>65160.959999999963</c:v>
                </c:pt>
                <c:pt idx="452" formatCode="0.00">
                  <c:v>69394.509999999951</c:v>
                </c:pt>
                <c:pt idx="453" formatCode="0.00">
                  <c:v>67972.010000000009</c:v>
                </c:pt>
                <c:pt idx="454" formatCode="0.00">
                  <c:v>60615.979999999981</c:v>
                </c:pt>
                <c:pt idx="455" formatCode="0.00">
                  <c:v>58363.850000000035</c:v>
                </c:pt>
                <c:pt idx="456" formatCode="0.00">
                  <c:v>55723.920000000042</c:v>
                </c:pt>
                <c:pt idx="457" formatCode="0.00">
                  <c:v>55723.920000000042</c:v>
                </c:pt>
                <c:pt idx="458" formatCode="0.00">
                  <c:v>64519.709999999963</c:v>
                </c:pt>
                <c:pt idx="459" formatCode="0.00">
                  <c:v>58769.710000000021</c:v>
                </c:pt>
                <c:pt idx="460" formatCode="0.00">
                  <c:v>49929.710000000021</c:v>
                </c:pt>
                <c:pt idx="461" formatCode="0.00">
                  <c:v>37072.700000000012</c:v>
                </c:pt>
                <c:pt idx="462" formatCode="0.00">
                  <c:v>43710.210000000021</c:v>
                </c:pt>
                <c:pt idx="463" formatCode="0.00">
                  <c:v>43710.210000000021</c:v>
                </c:pt>
                <c:pt idx="464" formatCode="0.00">
                  <c:v>56190.090000000026</c:v>
                </c:pt>
                <c:pt idx="465" formatCode="0.00">
                  <c:v>53475.089999999967</c:v>
                </c:pt>
                <c:pt idx="466" formatCode="0.00">
                  <c:v>48635.989999999991</c:v>
                </c:pt>
                <c:pt idx="467" formatCode="0.00">
                  <c:v>48635.989999999991</c:v>
                </c:pt>
                <c:pt idx="468" formatCode="0.00">
                  <c:v>55040.31</c:v>
                </c:pt>
                <c:pt idx="469" formatCode="0.00">
                  <c:v>63473.260000000009</c:v>
                </c:pt>
                <c:pt idx="470" formatCode="0.00">
                  <c:v>45474.839999999967</c:v>
                </c:pt>
                <c:pt idx="471" formatCode="0.00">
                  <c:v>40174.140000000014</c:v>
                </c:pt>
                <c:pt idx="472" formatCode="0.00">
                  <c:v>86976.560000000027</c:v>
                </c:pt>
                <c:pt idx="473" formatCode="0.00">
                  <c:v>84729.229999999981</c:v>
                </c:pt>
                <c:pt idx="474" formatCode="0.00">
                  <c:v>85352.239999999991</c:v>
                </c:pt>
                <c:pt idx="475" formatCode="0.00">
                  <c:v>96033.47000000003</c:v>
                </c:pt>
                <c:pt idx="476" formatCode="0.00">
                  <c:v>99441.390000000014</c:v>
                </c:pt>
                <c:pt idx="477" formatCode="0.00">
                  <c:v>109362.65999999997</c:v>
                </c:pt>
                <c:pt idx="478" formatCode="0.00">
                  <c:v>109362.66</c:v>
                </c:pt>
                <c:pt idx="479" formatCode="0.00">
                  <c:v>102716.56</c:v>
                </c:pt>
                <c:pt idx="480" formatCode="0.00">
                  <c:v>101670.94999999998</c:v>
                </c:pt>
                <c:pt idx="481" formatCode="0.00">
                  <c:v>99467.32</c:v>
                </c:pt>
                <c:pt idx="482" formatCode="0.00">
                  <c:v>85573.22</c:v>
                </c:pt>
                <c:pt idx="483" formatCode="0.00">
                  <c:v>81523.22000000003</c:v>
                </c:pt>
                <c:pt idx="484" formatCode="0.00">
                  <c:v>94552.919999999984</c:v>
                </c:pt>
                <c:pt idx="485" formatCode="0.00">
                  <c:v>94552.920000000013</c:v>
                </c:pt>
                <c:pt idx="486" formatCode="0.00">
                  <c:v>98518.829999999987</c:v>
                </c:pt>
                <c:pt idx="487" formatCode="0.00">
                  <c:v>114852.25000000003</c:v>
                </c:pt>
                <c:pt idx="488" formatCode="0.00">
                  <c:v>110835.00000000003</c:v>
                </c:pt>
                <c:pt idx="489" formatCode="0.00">
                  <c:v>119104.82000000004</c:v>
                </c:pt>
                <c:pt idx="490" formatCode="0.00">
                  <c:v>124845.59000000003</c:v>
                </c:pt>
                <c:pt idx="491" formatCode="0.00">
                  <c:v>129038.99000000002</c:v>
                </c:pt>
                <c:pt idx="492" formatCode="0.00">
                  <c:v>131645.39000000001</c:v>
                </c:pt>
                <c:pt idx="493" formatCode="0.00">
                  <c:v>130065.39000000001</c:v>
                </c:pt>
                <c:pt idx="494" formatCode="0.00">
                  <c:v>116657.98999999999</c:v>
                </c:pt>
                <c:pt idx="495" formatCode="0.00">
                  <c:v>103482.98999999999</c:v>
                </c:pt>
                <c:pt idx="496" formatCode="0.00">
                  <c:v>107636.39000000001</c:v>
                </c:pt>
                <c:pt idx="497" formatCode="0.00">
                  <c:v>104417.38999999998</c:v>
                </c:pt>
                <c:pt idx="498" formatCode="0.00">
                  <c:v>98151.390000000014</c:v>
                </c:pt>
                <c:pt idx="499" formatCode="0.00">
                  <c:v>91898.909999999974</c:v>
                </c:pt>
                <c:pt idx="500" formatCode="0.00">
                  <c:v>91898.899999999965</c:v>
                </c:pt>
                <c:pt idx="501" formatCode="0.00">
                  <c:v>91898.909999999974</c:v>
                </c:pt>
                <c:pt idx="502" formatCode="0.00">
                  <c:v>91898.909999999974</c:v>
                </c:pt>
                <c:pt idx="503" formatCode="0.00">
                  <c:v>93032.609999999986</c:v>
                </c:pt>
                <c:pt idx="504" formatCode="0.00">
                  <c:v>105654.41999999998</c:v>
                </c:pt>
                <c:pt idx="505" formatCode="0.00">
                  <c:v>105654.41999999998</c:v>
                </c:pt>
                <c:pt idx="506" formatCode="0.00">
                  <c:v>56687.359999999986</c:v>
                </c:pt>
                <c:pt idx="507" formatCode="0.00">
                  <c:v>54552.700000000012</c:v>
                </c:pt>
                <c:pt idx="508" formatCode="0.00">
                  <c:v>49093.419999999984</c:v>
                </c:pt>
                <c:pt idx="509" formatCode="0.00">
                  <c:v>46025.609999999986</c:v>
                </c:pt>
                <c:pt idx="510" formatCode="0.00">
                  <c:v>46036.239999999991</c:v>
                </c:pt>
                <c:pt idx="511" formatCode="0.00">
                  <c:v>46036.239999999991</c:v>
                </c:pt>
                <c:pt idx="512" formatCode="0.00">
                  <c:v>59137.879999999976</c:v>
                </c:pt>
                <c:pt idx="513" formatCode="0.00">
                  <c:v>53621.880000000005</c:v>
                </c:pt>
                <c:pt idx="514" formatCode="0.00">
                  <c:v>63159.66</c:v>
                </c:pt>
                <c:pt idx="515" formatCode="0.00">
                  <c:v>48028.960000000021</c:v>
                </c:pt>
                <c:pt idx="516" formatCode="0.00">
                  <c:v>47135.19</c:v>
                </c:pt>
                <c:pt idx="517" formatCode="0.00">
                  <c:v>46565.789999999979</c:v>
                </c:pt>
                <c:pt idx="518" formatCode="0.00">
                  <c:v>51203.330000000016</c:v>
                </c:pt>
                <c:pt idx="519" formatCode="0.00">
                  <c:v>51203.330000000016</c:v>
                </c:pt>
                <c:pt idx="520" formatCode="0.00">
                  <c:v>52029.25</c:v>
                </c:pt>
                <c:pt idx="521" formatCode="0.00">
                  <c:v>51013.590000000026</c:v>
                </c:pt>
                <c:pt idx="522" formatCode="0.00">
                  <c:v>51013.590000000026</c:v>
                </c:pt>
                <c:pt idx="523" formatCode="0.00">
                  <c:v>51013.590000000026</c:v>
                </c:pt>
                <c:pt idx="524" formatCode="0.00">
                  <c:v>55529.489999999991</c:v>
                </c:pt>
                <c:pt idx="525" formatCode="0.00">
                  <c:v>47792.119999999995</c:v>
                </c:pt>
                <c:pt idx="526" formatCode="0.00">
                  <c:v>49267.01999999996</c:v>
                </c:pt>
                <c:pt idx="527" formatCode="0.00">
                  <c:v>49267.020000000019</c:v>
                </c:pt>
                <c:pt idx="528" formatCode="0.00">
                  <c:v>52842.880000000005</c:v>
                </c:pt>
                <c:pt idx="529" formatCode="0.00">
                  <c:v>55800.81</c:v>
                </c:pt>
                <c:pt idx="530" formatCode="0.00">
                  <c:v>55800.81</c:v>
                </c:pt>
                <c:pt idx="531" formatCode="0.00">
                  <c:v>72171.669999999984</c:v>
                </c:pt>
                <c:pt idx="532" formatCode="0.00">
                  <c:v>94288.870000000024</c:v>
                </c:pt>
                <c:pt idx="533" formatCode="0.00">
                  <c:v>97384.360000000015</c:v>
                </c:pt>
                <c:pt idx="534" formatCode="0.00">
                  <c:v>97384.359999999986</c:v>
                </c:pt>
                <c:pt idx="535" formatCode="0.00">
                  <c:v>97384.359999999986</c:v>
                </c:pt>
                <c:pt idx="537" formatCode="0.00">
                  <c:v>87384.359999999986</c:v>
                </c:pt>
                <c:pt idx="538" formatCode="0.00">
                  <c:v>87384.359999999986</c:v>
                </c:pt>
                <c:pt idx="539" formatCode="0.00">
                  <c:v>87384.359999999986</c:v>
                </c:pt>
                <c:pt idx="540" formatCode="0.00">
                  <c:v>87700.359999999986</c:v>
                </c:pt>
                <c:pt idx="541" formatCode="0.00">
                  <c:v>87800.590000000026</c:v>
                </c:pt>
                <c:pt idx="542" formatCode="0.00">
                  <c:v>87800.590000000026</c:v>
                </c:pt>
                <c:pt idx="543" formatCode="0.00">
                  <c:v>87800.59</c:v>
                </c:pt>
                <c:pt idx="544" formatCode="0.00">
                  <c:v>96680.390000000014</c:v>
                </c:pt>
                <c:pt idx="545" formatCode="0.00">
                  <c:v>98278.350000000035</c:v>
                </c:pt>
                <c:pt idx="546" formatCode="0.00">
                  <c:v>98747.039999999979</c:v>
                </c:pt>
                <c:pt idx="547" formatCode="0.00">
                  <c:v>119787.66</c:v>
                </c:pt>
                <c:pt idx="549" formatCode="0.00">
                  <c:v>117391.53</c:v>
                </c:pt>
                <c:pt idx="550" formatCode="0.00">
                  <c:v>117391.53000000003</c:v>
                </c:pt>
                <c:pt idx="551" formatCode="0.00">
                  <c:v>119245.49000000002</c:v>
                </c:pt>
                <c:pt idx="552" formatCode="0.00">
                  <c:v>109209.98000000001</c:v>
                </c:pt>
                <c:pt idx="553" formatCode="0.00">
                  <c:v>116207.37999999998</c:v>
                </c:pt>
                <c:pt idx="554" formatCode="0.00">
                  <c:v>114939.32999999999</c:v>
                </c:pt>
                <c:pt idx="555" formatCode="0.00">
                  <c:v>103512.56</c:v>
                </c:pt>
                <c:pt idx="556" formatCode="0.00">
                  <c:v>124974.48999999999</c:v>
                </c:pt>
                <c:pt idx="557" formatCode="0.00">
                  <c:v>121497.78999999998</c:v>
                </c:pt>
                <c:pt idx="558" formatCode="0.00">
                  <c:v>121497.79000000001</c:v>
                </c:pt>
                <c:pt idx="559" formatCode="0.00">
                  <c:v>121497.79000000004</c:v>
                </c:pt>
                <c:pt idx="560" formatCode="0.00">
                  <c:v>134078.84999999998</c:v>
                </c:pt>
                <c:pt idx="561" formatCode="0.00">
                  <c:v>144144.44999999998</c:v>
                </c:pt>
                <c:pt idx="562" formatCode="0.00">
                  <c:v>134435.44999999998</c:v>
                </c:pt>
                <c:pt idx="563" formatCode="0.00">
                  <c:v>144022.1</c:v>
                </c:pt>
                <c:pt idx="564" formatCode="0.00">
                  <c:v>141582.06999999998</c:v>
                </c:pt>
                <c:pt idx="565" formatCode="0.00">
                  <c:v>160521.86000000002</c:v>
                </c:pt>
                <c:pt idx="566" formatCode="0.00">
                  <c:v>148229.66000000003</c:v>
                </c:pt>
                <c:pt idx="567" formatCode="0.00">
                  <c:v>149858.77000000002</c:v>
                </c:pt>
                <c:pt idx="568" formatCode="0.00">
                  <c:v>149024.19999999998</c:v>
                </c:pt>
                <c:pt idx="569" formatCode="0.00">
                  <c:v>151785.99</c:v>
                </c:pt>
                <c:pt idx="570" formatCode="0.00">
                  <c:v>178212.28000000003</c:v>
                </c:pt>
                <c:pt idx="571" formatCode="0.00">
                  <c:v>177913.5</c:v>
                </c:pt>
                <c:pt idx="572" formatCode="0.00">
                  <c:v>161319</c:v>
                </c:pt>
                <c:pt idx="573" formatCode="0.00">
                  <c:v>137246</c:v>
                </c:pt>
                <c:pt idx="574" formatCode="0.00">
                  <c:v>130372.06</c:v>
                </c:pt>
                <c:pt idx="575" formatCode="0.00">
                  <c:v>99785.760000000009</c:v>
                </c:pt>
                <c:pt idx="576" formatCode="0.00">
                  <c:v>80176.94</c:v>
                </c:pt>
                <c:pt idx="577" formatCode="0.00">
                  <c:v>71456.31</c:v>
                </c:pt>
                <c:pt idx="578" formatCode="0.00">
                  <c:v>156456.31</c:v>
                </c:pt>
                <c:pt idx="579" formatCode="0.00">
                  <c:v>140541.12</c:v>
                </c:pt>
                <c:pt idx="580" formatCode="0.00">
                  <c:v>140253.03999999998</c:v>
                </c:pt>
                <c:pt idx="581" formatCode="0.00">
                  <c:v>139501.69</c:v>
                </c:pt>
                <c:pt idx="582" formatCode="0.00">
                  <c:v>139501.69</c:v>
                </c:pt>
                <c:pt idx="583" formatCode="0.00">
                  <c:v>142097.62000000005</c:v>
                </c:pt>
                <c:pt idx="584" formatCode="0.00">
                  <c:v>142537.26</c:v>
                </c:pt>
                <c:pt idx="585" formatCode="0.00">
                  <c:v>134685.06</c:v>
                </c:pt>
                <c:pt idx="587" formatCode="0.00">
                  <c:v>115344.20000000001</c:v>
                </c:pt>
                <c:pt idx="588" formatCode="0.00">
                  <c:v>115344.20999999996</c:v>
                </c:pt>
                <c:pt idx="589" formatCode="0.00">
                  <c:v>117928.15000000002</c:v>
                </c:pt>
                <c:pt idx="590" formatCode="0.00">
                  <c:v>114934.44</c:v>
                </c:pt>
                <c:pt idx="591" formatCode="0.00">
                  <c:v>114934.45000000001</c:v>
                </c:pt>
                <c:pt idx="592" formatCode="0.00">
                  <c:v>109034.45000000001</c:v>
                </c:pt>
                <c:pt idx="593" formatCode="0.00">
                  <c:v>101602.63999999996</c:v>
                </c:pt>
                <c:pt idx="594" formatCode="0.00">
                  <c:v>95090.459999999963</c:v>
                </c:pt>
                <c:pt idx="595" formatCode="0.00">
                  <c:v>95090.459999999963</c:v>
                </c:pt>
                <c:pt idx="596" formatCode="0.00">
                  <c:v>85683.450000000012</c:v>
                </c:pt>
                <c:pt idx="597" formatCode="0.00">
                  <c:v>77605.699999999953</c:v>
                </c:pt>
                <c:pt idx="598" formatCode="0.00">
                  <c:v>60329.349999999977</c:v>
                </c:pt>
                <c:pt idx="599" formatCode="0.00">
                  <c:v>63300.19</c:v>
                </c:pt>
                <c:pt idx="600" formatCode="0.00">
                  <c:v>63300.19</c:v>
                </c:pt>
                <c:pt idx="601" formatCode="0.00">
                  <c:v>56662.909999999974</c:v>
                </c:pt>
                <c:pt idx="602" formatCode="0.00">
                  <c:v>56710.910000000033</c:v>
                </c:pt>
                <c:pt idx="603" formatCode="0.00">
                  <c:v>52888.979999999981</c:v>
                </c:pt>
                <c:pt idx="604" formatCode="0.00">
                  <c:v>62938.580000000016</c:v>
                </c:pt>
                <c:pt idx="606" formatCode="0.00">
                  <c:v>28945.729999999981</c:v>
                </c:pt>
                <c:pt idx="607" formatCode="0.00">
                  <c:v>55825.989999999991</c:v>
                </c:pt>
                <c:pt idx="608" formatCode="0.00">
                  <c:v>31496.440000000002</c:v>
                </c:pt>
                <c:pt idx="609" formatCode="0.00">
                  <c:v>22035.959999999963</c:v>
                </c:pt>
                <c:pt idx="610" formatCode="0.00">
                  <c:v>22035.47000000003</c:v>
                </c:pt>
                <c:pt idx="611" formatCode="0.00">
                  <c:v>19073.869999999995</c:v>
                </c:pt>
                <c:pt idx="612" formatCode="0.00">
                  <c:v>11260.869999999995</c:v>
                </c:pt>
                <c:pt idx="613" formatCode="0.00">
                  <c:v>27392.809999999998</c:v>
                </c:pt>
                <c:pt idx="615" formatCode="0.00">
                  <c:v>19018.590000000026</c:v>
                </c:pt>
                <c:pt idx="616" formatCode="0.00">
                  <c:v>42052.049999999988</c:v>
                </c:pt>
                <c:pt idx="617" formatCode="0.00">
                  <c:v>60541.619999999995</c:v>
                </c:pt>
                <c:pt idx="618" formatCode="0.00">
                  <c:v>47204.19</c:v>
                </c:pt>
                <c:pt idx="619" formatCode="0.00">
                  <c:v>54817.410000000033</c:v>
                </c:pt>
                <c:pt idx="620" formatCode="0.00">
                  <c:v>60126.630000000005</c:v>
                </c:pt>
                <c:pt idx="621" formatCode="0.00">
                  <c:v>60126.630000000005</c:v>
                </c:pt>
                <c:pt idx="622" formatCode="0.00">
                  <c:v>63886.559999999998</c:v>
                </c:pt>
                <c:pt idx="623" formatCode="0.00">
                  <c:v>63886.540000000037</c:v>
                </c:pt>
                <c:pt idx="624" formatCode="0.00">
                  <c:v>70260.339999999967</c:v>
                </c:pt>
                <c:pt idx="625" formatCode="0.00">
                  <c:v>70280.76999999996</c:v>
                </c:pt>
                <c:pt idx="626" formatCode="0.00">
                  <c:v>82620.48000000004</c:v>
                </c:pt>
                <c:pt idx="627" formatCode="0.00">
                  <c:v>64497.479999999981</c:v>
                </c:pt>
                <c:pt idx="628" formatCode="0.00">
                  <c:v>77881.929999999993</c:v>
                </c:pt>
                <c:pt idx="629" formatCode="0.00">
                  <c:v>92634.539999999979</c:v>
                </c:pt>
                <c:pt idx="630" formatCode="0.00">
                  <c:v>108790.45000000001</c:v>
                </c:pt>
                <c:pt idx="631" formatCode="0.00">
                  <c:v>108790.45000000001</c:v>
                </c:pt>
                <c:pt idx="632" formatCode="0.00">
                  <c:v>108711.34999999998</c:v>
                </c:pt>
                <c:pt idx="633" formatCode="0.00">
                  <c:v>112340.52000000002</c:v>
                </c:pt>
                <c:pt idx="634" formatCode="0.00">
                  <c:v>115632.05000000005</c:v>
                </c:pt>
                <c:pt idx="635" formatCode="0.00">
                  <c:v>103735.95999999996</c:v>
                </c:pt>
                <c:pt idx="636" formatCode="0.00">
                  <c:v>95918.950000000012</c:v>
                </c:pt>
                <c:pt idx="637" formatCode="0.00">
                  <c:v>104298.82</c:v>
                </c:pt>
                <c:pt idx="638" formatCode="0.00">
                  <c:v>116337.69</c:v>
                </c:pt>
                <c:pt idx="639" formatCode="0.00">
                  <c:v>130234.57</c:v>
                </c:pt>
                <c:pt idx="640" formatCode="0.00">
                  <c:v>108806.58000000002</c:v>
                </c:pt>
                <c:pt idx="641" formatCode="0.00">
                  <c:v>109945.47000000003</c:v>
                </c:pt>
                <c:pt idx="642" formatCode="0.00">
                  <c:v>116798.47000000003</c:v>
                </c:pt>
                <c:pt idx="643" formatCode="0.00">
                  <c:v>116803.91999999998</c:v>
                </c:pt>
                <c:pt idx="644" formatCode="0.00">
                  <c:v>137313.41999999998</c:v>
                </c:pt>
                <c:pt idx="645" formatCode="0.00">
                  <c:v>137317.34999999998</c:v>
                </c:pt>
                <c:pt idx="646" formatCode="0.00">
                  <c:v>140361.66000000003</c:v>
                </c:pt>
                <c:pt idx="647" formatCode="0.00">
                  <c:v>137684.47000000003</c:v>
                </c:pt>
                <c:pt idx="648" formatCode="0.00">
                  <c:v>37684.489999999991</c:v>
                </c:pt>
                <c:pt idx="649" formatCode="0.00">
                  <c:v>59564.19</c:v>
                </c:pt>
                <c:pt idx="650" formatCode="0.00">
                  <c:v>59581.109999999986</c:v>
                </c:pt>
                <c:pt idx="651" formatCode="0.00">
                  <c:v>64765.340000000026</c:v>
                </c:pt>
                <c:pt idx="652" formatCode="0.00">
                  <c:v>62735.909999999974</c:v>
                </c:pt>
                <c:pt idx="653" formatCode="0.00">
                  <c:v>45347.460000000021</c:v>
                </c:pt>
                <c:pt idx="654" formatCode="0.00">
                  <c:v>33390.219999999972</c:v>
                </c:pt>
                <c:pt idx="655" formatCode="0.00">
                  <c:v>39789.100000000035</c:v>
                </c:pt>
                <c:pt idx="656" formatCode="0.00">
                  <c:v>32870.959999999963</c:v>
                </c:pt>
                <c:pt idx="657" formatCode="0.00">
                  <c:v>37626.960000000021</c:v>
                </c:pt>
                <c:pt idx="658" formatCode="0.00">
                  <c:v>37627.550000000047</c:v>
                </c:pt>
                <c:pt idx="659" formatCode="0.00">
                  <c:v>40547.099999999977</c:v>
                </c:pt>
                <c:pt idx="660" formatCode="0.00">
                  <c:v>48953.02999999997</c:v>
                </c:pt>
                <c:pt idx="661" formatCode="0.00">
                  <c:v>54307.899999999965</c:v>
                </c:pt>
                <c:pt idx="662" formatCode="0.00">
                  <c:v>72014.859999999986</c:v>
                </c:pt>
                <c:pt idx="663" formatCode="0.00">
                  <c:v>81541.25</c:v>
                </c:pt>
                <c:pt idx="664" formatCode="0.00">
                  <c:v>85111.19</c:v>
                </c:pt>
                <c:pt idx="665" formatCode="0.00">
                  <c:v>97920.02999999997</c:v>
                </c:pt>
                <c:pt idx="666" formatCode="0.00">
                  <c:v>106245.93</c:v>
                </c:pt>
                <c:pt idx="667" formatCode="0.00">
                  <c:v>83263.290000000037</c:v>
                </c:pt>
                <c:pt idx="668" formatCode="0.00">
                  <c:v>94390.709999999963</c:v>
                </c:pt>
                <c:pt idx="669" formatCode="0.00">
                  <c:v>88750.72000000003</c:v>
                </c:pt>
                <c:pt idx="670" formatCode="0.00">
                  <c:v>111992.40999999997</c:v>
                </c:pt>
                <c:pt idx="671" formatCode="0.00">
                  <c:v>113268.26999999996</c:v>
                </c:pt>
                <c:pt idx="672" formatCode="0.00">
                  <c:v>119430.79999999999</c:v>
                </c:pt>
                <c:pt idx="673" formatCode="0.00">
                  <c:v>111667.02000000002</c:v>
                </c:pt>
                <c:pt idx="674" formatCode="0.00">
                  <c:v>109309.07</c:v>
                </c:pt>
                <c:pt idx="675" formatCode="0.00">
                  <c:v>101697.03999999998</c:v>
                </c:pt>
                <c:pt idx="676" formatCode="0.00">
                  <c:v>85222.27999999997</c:v>
                </c:pt>
                <c:pt idx="677" formatCode="0.00">
                  <c:v>89534.62</c:v>
                </c:pt>
                <c:pt idx="678" formatCode="0.00">
                  <c:v>83279.660000000033</c:v>
                </c:pt>
                <c:pt idx="679" formatCode="0.00">
                  <c:v>101410.69</c:v>
                </c:pt>
                <c:pt idx="680" formatCode="0.00">
                  <c:v>127602.71000000002</c:v>
                </c:pt>
                <c:pt idx="681" formatCode="0.00">
                  <c:v>168331.25</c:v>
                </c:pt>
                <c:pt idx="682" formatCode="0.00">
                  <c:v>174772.63</c:v>
                </c:pt>
                <c:pt idx="683" formatCode="0.00">
                  <c:v>195899.24</c:v>
                </c:pt>
                <c:pt idx="684" formatCode="0.00">
                  <c:v>175331.71000000002</c:v>
                </c:pt>
                <c:pt idx="685" formatCode="0.00">
                  <c:v>179603.25000000003</c:v>
                </c:pt>
                <c:pt idx="686" formatCode="0.00">
                  <c:v>169961.8</c:v>
                </c:pt>
                <c:pt idx="687" formatCode="0.00">
                  <c:v>144065.04999999999</c:v>
                </c:pt>
                <c:pt idx="688" formatCode="0.00">
                  <c:v>139487.46999999997</c:v>
                </c:pt>
                <c:pt idx="689" formatCode="0.00">
                  <c:v>146301.02999999997</c:v>
                </c:pt>
                <c:pt idx="690" formatCode="0.00">
                  <c:v>138595.4</c:v>
                </c:pt>
                <c:pt idx="691" formatCode="0.00">
                  <c:v>128923.40999999997</c:v>
                </c:pt>
                <c:pt idx="692" formatCode="0.00">
                  <c:v>132985.32999999996</c:v>
                </c:pt>
                <c:pt idx="693" formatCode="0.00">
                  <c:v>137105.22</c:v>
                </c:pt>
                <c:pt idx="694" formatCode="0.00">
                  <c:v>86090.32</c:v>
                </c:pt>
                <c:pt idx="695" formatCode="0.00">
                  <c:v>96636.77999999997</c:v>
                </c:pt>
                <c:pt idx="696" formatCode="0.00">
                  <c:v>96704.839999999967</c:v>
                </c:pt>
                <c:pt idx="697" formatCode="0.00">
                  <c:v>114409.52999999997</c:v>
                </c:pt>
                <c:pt idx="698" formatCode="0.00">
                  <c:v>111716.95000000001</c:v>
                </c:pt>
                <c:pt idx="699" formatCode="0.00">
                  <c:v>92429.049999999988</c:v>
                </c:pt>
                <c:pt idx="700" formatCode="0.00">
                  <c:v>93916.700000000012</c:v>
                </c:pt>
                <c:pt idx="701" formatCode="0.00">
                  <c:v>93916.710000000021</c:v>
                </c:pt>
                <c:pt idx="702" formatCode="0.00">
                  <c:v>91162.840000000026</c:v>
                </c:pt>
                <c:pt idx="703" formatCode="0.00">
                  <c:v>84753.239999999991</c:v>
                </c:pt>
                <c:pt idx="704" formatCode="0.00">
                  <c:v>105754.03000000003</c:v>
                </c:pt>
                <c:pt idx="705" formatCode="0.00">
                  <c:v>96789.990000000049</c:v>
                </c:pt>
                <c:pt idx="706" formatCode="0.00">
                  <c:v>96790.089999999967</c:v>
                </c:pt>
                <c:pt idx="707" formatCode="0.00">
                  <c:v>68202.070000000007</c:v>
                </c:pt>
                <c:pt idx="708" formatCode="0.00">
                  <c:v>80110.929999999993</c:v>
                </c:pt>
                <c:pt idx="709" formatCode="0.00">
                  <c:v>83124.62</c:v>
                </c:pt>
                <c:pt idx="710" formatCode="0.00">
                  <c:v>89749.469999999972</c:v>
                </c:pt>
                <c:pt idx="711" formatCode="0.00">
                  <c:v>117721.64999999997</c:v>
                </c:pt>
                <c:pt idx="712" formatCode="0.00">
                  <c:v>130374.44</c:v>
                </c:pt>
                <c:pt idx="713" formatCode="0.00">
                  <c:v>128089.98999999999</c:v>
                </c:pt>
                <c:pt idx="714" formatCode="0.00">
                  <c:v>145737.57999999996</c:v>
                </c:pt>
                <c:pt idx="715" formatCode="0.00">
                  <c:v>145797.79999999999</c:v>
                </c:pt>
                <c:pt idx="716" formatCode="0.00">
                  <c:v>135924.31</c:v>
                </c:pt>
                <c:pt idx="717" formatCode="0.00">
                  <c:v>121191.77999999997</c:v>
                </c:pt>
                <c:pt idx="718" formatCode="0.00">
                  <c:v>116673.41999999998</c:v>
                </c:pt>
                <c:pt idx="719" formatCode="0.00">
                  <c:v>114519.77000000002</c:v>
                </c:pt>
                <c:pt idx="720" formatCode="0.00">
                  <c:v>109339.79999999999</c:v>
                </c:pt>
                <c:pt idx="721" formatCode="0.00">
                  <c:v>110941.71999999997</c:v>
                </c:pt>
                <c:pt idx="722" formatCode="0.00">
                  <c:v>94323.349999999977</c:v>
                </c:pt>
                <c:pt idx="723" formatCode="0.00">
                  <c:v>96751.32</c:v>
                </c:pt>
                <c:pt idx="724" formatCode="0.00">
                  <c:v>85679.32</c:v>
                </c:pt>
                <c:pt idx="725" formatCode="0.00">
                  <c:v>97743.149999999965</c:v>
                </c:pt>
                <c:pt idx="726" formatCode="0.00">
                  <c:v>84879.670000000042</c:v>
                </c:pt>
                <c:pt idx="727" formatCode="0.00">
                  <c:v>80645.670000000042</c:v>
                </c:pt>
                <c:pt idx="728" formatCode="0.00">
                  <c:v>123428.45000000001</c:v>
                </c:pt>
                <c:pt idx="729" formatCode="0.00">
                  <c:v>117728.45000000001</c:v>
                </c:pt>
                <c:pt idx="730" formatCode="0.00">
                  <c:v>115298.45000000001</c:v>
                </c:pt>
                <c:pt idx="731" formatCode="0.00">
                  <c:v>121208.25</c:v>
                </c:pt>
                <c:pt idx="732" formatCode="0.00">
                  <c:v>129970.57999999996</c:v>
                </c:pt>
                <c:pt idx="733" formatCode="0.00">
                  <c:v>141509.62999999995</c:v>
                </c:pt>
                <c:pt idx="734" formatCode="0.00">
                  <c:v>153289.22999999998</c:v>
                </c:pt>
                <c:pt idx="735" formatCode="0.00">
                  <c:v>156281.18</c:v>
                </c:pt>
                <c:pt idx="736" formatCode="0.00">
                  <c:v>154166.83999999997</c:v>
                </c:pt>
                <c:pt idx="737" formatCode="0.00">
                  <c:v>146041.64000000001</c:v>
                </c:pt>
                <c:pt idx="738" formatCode="0.00">
                  <c:v>143850.59000000003</c:v>
                </c:pt>
                <c:pt idx="739" formatCode="0.00">
                  <c:v>143850.54000000004</c:v>
                </c:pt>
                <c:pt idx="740" formatCode="0.00">
                  <c:v>148540.88</c:v>
                </c:pt>
                <c:pt idx="741" formatCode="0.00">
                  <c:v>155137.68</c:v>
                </c:pt>
                <c:pt idx="742" formatCode="0.00">
                  <c:v>155137.64000000001</c:v>
                </c:pt>
                <c:pt idx="743" formatCode="0.00">
                  <c:v>155144.93000000002</c:v>
                </c:pt>
                <c:pt idx="744" formatCode="0.00">
                  <c:v>143350.69</c:v>
                </c:pt>
                <c:pt idx="745" formatCode="0.00">
                  <c:v>130798.48000000004</c:v>
                </c:pt>
                <c:pt idx="746" formatCode="0.00">
                  <c:v>131899.39000000001</c:v>
                </c:pt>
                <c:pt idx="747" formatCode="0.00">
                  <c:v>130497.31</c:v>
                </c:pt>
                <c:pt idx="748" formatCode="0.00">
                  <c:v>65486.910000000033</c:v>
                </c:pt>
                <c:pt idx="749" formatCode="0.00">
                  <c:v>30979.190000000002</c:v>
                </c:pt>
                <c:pt idx="750" formatCode="0.00">
                  <c:v>35777.099999999977</c:v>
                </c:pt>
                <c:pt idx="751" formatCode="0.00">
                  <c:v>42964.489999999991</c:v>
                </c:pt>
                <c:pt idx="752" formatCode="0.00">
                  <c:v>45641.179999999993</c:v>
                </c:pt>
                <c:pt idx="753" formatCode="0.00">
                  <c:v>45641.25</c:v>
                </c:pt>
                <c:pt idx="754" formatCode="0.00">
                  <c:v>37811.180000000051</c:v>
                </c:pt>
                <c:pt idx="755" formatCode="0.00">
                  <c:v>37811.239999999991</c:v>
                </c:pt>
                <c:pt idx="756" formatCode="0.00">
                  <c:v>37811.239999999991</c:v>
                </c:pt>
                <c:pt idx="757" formatCode="0.00">
                  <c:v>22763.419999999984</c:v>
                </c:pt>
                <c:pt idx="758" formatCode="0.00">
                  <c:v>12908.329999999958</c:v>
                </c:pt>
                <c:pt idx="759" formatCode="0.00">
                  <c:v>12956.25</c:v>
                </c:pt>
                <c:pt idx="760" formatCode="0.00">
                  <c:v>18044.700000000012</c:v>
                </c:pt>
                <c:pt idx="761" formatCode="0.00">
                  <c:v>28165.959999999963</c:v>
                </c:pt>
                <c:pt idx="762" formatCode="0.00">
                  <c:v>34207.359999999986</c:v>
                </c:pt>
                <c:pt idx="763" formatCode="0.00">
                  <c:v>40287.140000000014</c:v>
                </c:pt>
                <c:pt idx="764" formatCode="0.00">
                  <c:v>49821.389999999956</c:v>
                </c:pt>
                <c:pt idx="765" formatCode="0.00">
                  <c:v>49821.400000000023</c:v>
                </c:pt>
                <c:pt idx="766" formatCode="0.00">
                  <c:v>57137.299999999988</c:v>
                </c:pt>
                <c:pt idx="767" formatCode="0.00">
                  <c:v>60222.25</c:v>
                </c:pt>
                <c:pt idx="768" formatCode="0.00">
                  <c:v>70372.299999999988</c:v>
                </c:pt>
                <c:pt idx="769" formatCode="0.00">
                  <c:v>76106.229999999981</c:v>
                </c:pt>
                <c:pt idx="770" formatCode="0.00">
                  <c:v>63263.149999999965</c:v>
                </c:pt>
                <c:pt idx="771" formatCode="0.00">
                  <c:v>69167.13</c:v>
                </c:pt>
                <c:pt idx="772" formatCode="0.00">
                  <c:v>83395.94</c:v>
                </c:pt>
                <c:pt idx="773" formatCode="0.00">
                  <c:v>94103.01999999996</c:v>
                </c:pt>
                <c:pt idx="774" formatCode="0.00">
                  <c:v>104873.80000000005</c:v>
                </c:pt>
                <c:pt idx="775" formatCode="0.00">
                  <c:v>91915.199999999953</c:v>
                </c:pt>
                <c:pt idx="776" formatCode="0.00">
                  <c:v>67067.589999999967</c:v>
                </c:pt>
                <c:pt idx="777" formatCode="0.00">
                  <c:v>67067.569999999949</c:v>
                </c:pt>
                <c:pt idx="778" formatCode="0.00">
                  <c:v>63040.380000000005</c:v>
                </c:pt>
                <c:pt idx="779" formatCode="0.00">
                  <c:v>87099.830000000016</c:v>
                </c:pt>
                <c:pt idx="780" formatCode="0.00">
                  <c:v>97768.299999999988</c:v>
                </c:pt>
                <c:pt idx="781" formatCode="0.00">
                  <c:v>114643.56999999995</c:v>
                </c:pt>
                <c:pt idx="782" formatCode="0.00">
                  <c:v>105655.57</c:v>
                </c:pt>
                <c:pt idx="783" formatCode="0.00">
                  <c:v>90412.200000000012</c:v>
                </c:pt>
                <c:pt idx="784" formatCode="0.00">
                  <c:v>86365.640000000014</c:v>
                </c:pt>
                <c:pt idx="785" formatCode="0.00">
                  <c:v>79181.229999999981</c:v>
                </c:pt>
                <c:pt idx="786" formatCode="0.00">
                  <c:v>34109.210000000021</c:v>
                </c:pt>
                <c:pt idx="787" formatCode="0.00">
                  <c:v>23876.739999999991</c:v>
                </c:pt>
                <c:pt idx="788" formatCode="0.00">
                  <c:v>13942.760000000009</c:v>
                </c:pt>
                <c:pt idx="789" formatCode="0.00">
                  <c:v>23696.590000000026</c:v>
                </c:pt>
                <c:pt idx="790" formatCode="0.00">
                  <c:v>24426.080000000016</c:v>
                </c:pt>
                <c:pt idx="791" formatCode="0.00">
                  <c:v>20336.579999999958</c:v>
                </c:pt>
                <c:pt idx="792" formatCode="0.00">
                  <c:v>8318.640000000014</c:v>
                </c:pt>
                <c:pt idx="793" formatCode="0.00">
                  <c:v>19177.589999999967</c:v>
                </c:pt>
                <c:pt idx="794" formatCode="0.00">
                  <c:v>12877.580000000016</c:v>
                </c:pt>
                <c:pt idx="795" formatCode="0.00">
                  <c:v>5114.4400000000023</c:v>
                </c:pt>
                <c:pt idx="796" formatCode="0.00">
                  <c:v>9914.2999999999884</c:v>
                </c:pt>
                <c:pt idx="797" formatCode="0.00">
                  <c:v>6075.2699999999604</c:v>
                </c:pt>
                <c:pt idx="798" formatCode="0.00">
                  <c:v>3862.7200000000303</c:v>
                </c:pt>
                <c:pt idx="799" formatCode="0.00">
                  <c:v>16498.75</c:v>
                </c:pt>
                <c:pt idx="800" formatCode="0.00">
                  <c:v>18770.51999999996</c:v>
                </c:pt>
                <c:pt idx="801" formatCode="0.00">
                  <c:v>22151.02999999997</c:v>
                </c:pt>
                <c:pt idx="802" formatCode="0.00">
                  <c:v>22217.929999999993</c:v>
                </c:pt>
                <c:pt idx="803" formatCode="0.00">
                  <c:v>31373.51999999996</c:v>
                </c:pt>
                <c:pt idx="804" formatCode="0.00">
                  <c:v>26105.400000000023</c:v>
                </c:pt>
                <c:pt idx="805" formatCode="0.00">
                  <c:v>27603.75</c:v>
                </c:pt>
                <c:pt idx="806" formatCode="0.00">
                  <c:v>23912.52999999997</c:v>
                </c:pt>
                <c:pt idx="807" formatCode="0.00">
                  <c:v>34025</c:v>
                </c:pt>
                <c:pt idx="808" formatCode="0.00">
                  <c:v>33115.52999999997</c:v>
                </c:pt>
                <c:pt idx="809" formatCode="0.00">
                  <c:v>36594.489999999991</c:v>
                </c:pt>
                <c:pt idx="810" formatCode="0.00">
                  <c:v>45335.010000000009</c:v>
                </c:pt>
                <c:pt idx="811" formatCode="0.00">
                  <c:v>42175.010000000009</c:v>
                </c:pt>
                <c:pt idx="812" formatCode="0.00">
                  <c:v>39048.640000000014</c:v>
                </c:pt>
                <c:pt idx="813" formatCode="0.00">
                  <c:v>39048.639999999956</c:v>
                </c:pt>
                <c:pt idx="814" formatCode="0.00">
                  <c:v>46571.350000000035</c:v>
                </c:pt>
                <c:pt idx="815" formatCode="0.00">
                  <c:v>74975.210000000021</c:v>
                </c:pt>
                <c:pt idx="816" formatCode="0.00">
                  <c:v>69511.19</c:v>
                </c:pt>
                <c:pt idx="817" formatCode="0.00">
                  <c:v>71590.19</c:v>
                </c:pt>
                <c:pt idx="818" formatCode="0.00">
                  <c:v>57242.150000000023</c:v>
                </c:pt>
                <c:pt idx="819" formatCode="0.00">
                  <c:v>68656</c:v>
                </c:pt>
                <c:pt idx="820" formatCode="0.00">
                  <c:v>69730.320000000007</c:v>
                </c:pt>
                <c:pt idx="821" formatCode="0.00">
                  <c:v>73348.26999999996</c:v>
                </c:pt>
                <c:pt idx="822" formatCode="0.00">
                  <c:v>92252.039999999979</c:v>
                </c:pt>
                <c:pt idx="823" formatCode="0.00">
                  <c:v>100255.88</c:v>
                </c:pt>
                <c:pt idx="824" formatCode="0.00">
                  <c:v>89738.910000000033</c:v>
                </c:pt>
                <c:pt idx="825" formatCode="0.00">
                  <c:v>89788.910000000033</c:v>
                </c:pt>
                <c:pt idx="826" formatCode="0.00">
                  <c:v>92710.960000000021</c:v>
                </c:pt>
                <c:pt idx="827" formatCode="0.00">
                  <c:v>96490.299999999988</c:v>
                </c:pt>
                <c:pt idx="828" formatCode="0.00">
                  <c:v>81346.299999999988</c:v>
                </c:pt>
                <c:pt idx="829" formatCode="0.00">
                  <c:v>75445.300000000047</c:v>
                </c:pt>
                <c:pt idx="830" formatCode="0.00">
                  <c:v>71417.300000000047</c:v>
                </c:pt>
                <c:pt idx="831" formatCode="0.00">
                  <c:v>86633.099999999977</c:v>
                </c:pt>
                <c:pt idx="832" formatCode="0.00">
                  <c:v>89321.07</c:v>
                </c:pt>
                <c:pt idx="833" formatCode="0.00">
                  <c:v>99286.94</c:v>
                </c:pt>
                <c:pt idx="834" formatCode="0.00">
                  <c:v>142758.88</c:v>
                </c:pt>
                <c:pt idx="835" formatCode="0.00">
                  <c:v>155511.70000000001</c:v>
                </c:pt>
                <c:pt idx="836" formatCode="0.00">
                  <c:v>208587.91000000003</c:v>
                </c:pt>
                <c:pt idx="837" formatCode="0.00">
                  <c:v>196877.90999999997</c:v>
                </c:pt>
                <c:pt idx="838" formatCode="0.00">
                  <c:v>199227.24</c:v>
                </c:pt>
                <c:pt idx="839" formatCode="0.00">
                  <c:v>202772.7</c:v>
                </c:pt>
                <c:pt idx="840" formatCode="0.00">
                  <c:v>202772.7</c:v>
                </c:pt>
                <c:pt idx="841" formatCode="0.00">
                  <c:v>196884.7</c:v>
                </c:pt>
                <c:pt idx="842" formatCode="0.00">
                  <c:v>190007.15000000002</c:v>
                </c:pt>
                <c:pt idx="843" formatCode="0.00">
                  <c:v>201060.02999999997</c:v>
                </c:pt>
                <c:pt idx="844" formatCode="0.00">
                  <c:v>201100.00999999998</c:v>
                </c:pt>
                <c:pt idx="845" formatCode="0.00">
                  <c:v>208835.91999999998</c:v>
                </c:pt>
                <c:pt idx="846" formatCode="0.00">
                  <c:v>208835.91</c:v>
                </c:pt>
                <c:pt idx="847" formatCode="0.00">
                  <c:v>195811.46000000002</c:v>
                </c:pt>
                <c:pt idx="848" formatCode="0.00">
                  <c:v>195811.46000000002</c:v>
                </c:pt>
                <c:pt idx="849" formatCode="0.00">
                  <c:v>201871.38</c:v>
                </c:pt>
                <c:pt idx="850" formatCode="0.00">
                  <c:v>210894.63</c:v>
                </c:pt>
                <c:pt idx="851" formatCode="0.00">
                  <c:v>201871.38999999998</c:v>
                </c:pt>
                <c:pt idx="852" formatCode="0.00">
                  <c:v>201871.37999999998</c:v>
                </c:pt>
                <c:pt idx="853" formatCode="0.00">
                  <c:v>203060.27</c:v>
                </c:pt>
                <c:pt idx="854" formatCode="0.00">
                  <c:v>203060.27</c:v>
                </c:pt>
                <c:pt idx="855" formatCode="0.00">
                  <c:v>203060.27</c:v>
                </c:pt>
                <c:pt idx="856" formatCode="0.00">
                  <c:v>209490.74</c:v>
                </c:pt>
                <c:pt idx="857" formatCode="0.00">
                  <c:v>221373.08999999997</c:v>
                </c:pt>
                <c:pt idx="858" formatCode="0.00">
                  <c:v>202736.77000000002</c:v>
                </c:pt>
                <c:pt idx="859" formatCode="0.00">
                  <c:v>198892.77000000002</c:v>
                </c:pt>
                <c:pt idx="860" formatCode="0.00">
                  <c:v>198892.76999999996</c:v>
                </c:pt>
                <c:pt idx="861" formatCode="0.00">
                  <c:v>198892.76999999996</c:v>
                </c:pt>
                <c:pt idx="862" formatCode="0.00">
                  <c:v>202645.22</c:v>
                </c:pt>
                <c:pt idx="863" formatCode="0.00">
                  <c:v>202689.94</c:v>
                </c:pt>
                <c:pt idx="864" formatCode="0.00">
                  <c:v>223858.16999999998</c:v>
                </c:pt>
                <c:pt idx="865" formatCode="0.00">
                  <c:v>223858.16999999998</c:v>
                </c:pt>
                <c:pt idx="866" formatCode="0.00">
                  <c:v>218764.17</c:v>
                </c:pt>
                <c:pt idx="867" formatCode="0.00">
                  <c:v>218764.16999999998</c:v>
                </c:pt>
                <c:pt idx="868" formatCode="0.00">
                  <c:v>224062.10000000003</c:v>
                </c:pt>
                <c:pt idx="869" formatCode="0.00">
                  <c:v>229099.87000000002</c:v>
                </c:pt>
                <c:pt idx="870" formatCode="0.00">
                  <c:v>223237.06999999998</c:v>
                </c:pt>
                <c:pt idx="871" formatCode="0.00">
                  <c:v>223490.91</c:v>
                </c:pt>
                <c:pt idx="872" formatCode="0.00">
                  <c:v>214200.47</c:v>
                </c:pt>
                <c:pt idx="873" formatCode="0.00">
                  <c:v>214292.43</c:v>
                </c:pt>
                <c:pt idx="874" formatCode="0.00">
                  <c:v>164292.43</c:v>
                </c:pt>
                <c:pt idx="875" formatCode="0.00">
                  <c:v>157236.43</c:v>
                </c:pt>
                <c:pt idx="876" formatCode="0.00">
                  <c:v>101693.73999999996</c:v>
                </c:pt>
                <c:pt idx="877" formatCode="0.00">
                  <c:v>101709.17999999996</c:v>
                </c:pt>
                <c:pt idx="878" formatCode="0.00">
                  <c:v>109769.41000000003</c:v>
                </c:pt>
                <c:pt idx="879" formatCode="0.00">
                  <c:v>109769.40999999997</c:v>
                </c:pt>
                <c:pt idx="880" formatCode="0.00">
                  <c:v>125043.01999999999</c:v>
                </c:pt>
                <c:pt idx="881" formatCode="0.00">
                  <c:v>125043.01999999999</c:v>
                </c:pt>
                <c:pt idx="882" formatCode="0.00">
                  <c:v>119871.02000000002</c:v>
                </c:pt>
                <c:pt idx="883" formatCode="0.00">
                  <c:v>123006.96000000002</c:v>
                </c:pt>
                <c:pt idx="884" formatCode="0.00">
                  <c:v>120153.04999999999</c:v>
                </c:pt>
                <c:pt idx="885" formatCode="0.00">
                  <c:v>118209.65000000002</c:v>
                </c:pt>
                <c:pt idx="886" formatCode="0.00">
                  <c:v>111237.77000000002</c:v>
                </c:pt>
                <c:pt idx="887" formatCode="0.00">
                  <c:v>114593.69999999998</c:v>
                </c:pt>
                <c:pt idx="888" formatCode="0.00">
                  <c:v>114593.69999999998</c:v>
                </c:pt>
                <c:pt idx="889" formatCode="0.00">
                  <c:v>121181.56</c:v>
                </c:pt>
                <c:pt idx="890" formatCode="0.00">
                  <c:v>121181.56000000003</c:v>
                </c:pt>
                <c:pt idx="891" formatCode="0.00">
                  <c:v>121181.56000000003</c:v>
                </c:pt>
                <c:pt idx="892" formatCode="0.00">
                  <c:v>121181.56000000003</c:v>
                </c:pt>
                <c:pt idx="893" formatCode="0.00">
                  <c:v>111257.56000000003</c:v>
                </c:pt>
                <c:pt idx="894" formatCode="0.00">
                  <c:v>111257.56</c:v>
                </c:pt>
                <c:pt idx="895" formatCode="0.00">
                  <c:v>111257.56000000003</c:v>
                </c:pt>
                <c:pt idx="896" formatCode="0.00">
                  <c:v>105443.55999999997</c:v>
                </c:pt>
                <c:pt idx="897" formatCode="0.00">
                  <c:v>105443.56</c:v>
                </c:pt>
                <c:pt idx="898" formatCode="0.00">
                  <c:v>102060.06000000003</c:v>
                </c:pt>
                <c:pt idx="899" formatCode="0.00">
                  <c:v>103971.15999999997</c:v>
                </c:pt>
                <c:pt idx="900" formatCode="0.00">
                  <c:v>97171.709999999992</c:v>
                </c:pt>
                <c:pt idx="901" formatCode="0.00">
                  <c:v>84716.59</c:v>
                </c:pt>
                <c:pt idx="902" formatCode="0.00">
                  <c:v>84716.590000000026</c:v>
                </c:pt>
                <c:pt idx="903" formatCode="0.00">
                  <c:v>78088.59</c:v>
                </c:pt>
                <c:pt idx="904" formatCode="0.00">
                  <c:v>78100.330000000016</c:v>
                </c:pt>
                <c:pt idx="905" formatCode="0.00">
                  <c:v>78100.329999999987</c:v>
                </c:pt>
                <c:pt idx="906" formatCode="0.00">
                  <c:v>80604.429999999993</c:v>
                </c:pt>
                <c:pt idx="907" formatCode="0.00">
                  <c:v>93441.76999999999</c:v>
                </c:pt>
                <c:pt idx="908" formatCode="0.00">
                  <c:v>93441.76999999999</c:v>
                </c:pt>
                <c:pt idx="909" formatCode="0.00">
                  <c:v>83301.76999999999</c:v>
                </c:pt>
                <c:pt idx="910" formatCode="0.00">
                  <c:v>86963.69</c:v>
                </c:pt>
                <c:pt idx="911" formatCode="0.00">
                  <c:v>87029.569999999978</c:v>
                </c:pt>
                <c:pt idx="912" formatCode="0.00">
                  <c:v>97572.760000000009</c:v>
                </c:pt>
                <c:pt idx="913" formatCode="0.00">
                  <c:v>92332.559999999969</c:v>
                </c:pt>
                <c:pt idx="914" formatCode="0.00">
                  <c:v>88354.16</c:v>
                </c:pt>
                <c:pt idx="915" formatCode="0.00">
                  <c:v>90638.110000000015</c:v>
                </c:pt>
                <c:pt idx="916" formatCode="0.00">
                  <c:v>83625.310000000027</c:v>
                </c:pt>
                <c:pt idx="917" formatCode="0.00">
                  <c:v>96555.039999999979</c:v>
                </c:pt>
                <c:pt idx="918" formatCode="0.00">
                  <c:v>90899.040000000008</c:v>
                </c:pt>
                <c:pt idx="919" formatCode="0.00">
                  <c:v>90899.039999999979</c:v>
                </c:pt>
                <c:pt idx="920" formatCode="0.00">
                  <c:v>84874.059999999969</c:v>
                </c:pt>
                <c:pt idx="921" formatCode="0.00">
                  <c:v>88280.270000000019</c:v>
                </c:pt>
                <c:pt idx="922" formatCode="0.00">
                  <c:v>72661.070000000007</c:v>
                </c:pt>
                <c:pt idx="923" formatCode="0.00">
                  <c:v>65137.890000000014</c:v>
                </c:pt>
                <c:pt idx="924" formatCode="0.00">
                  <c:v>65174.800000000017</c:v>
                </c:pt>
                <c:pt idx="925" formatCode="0.00">
                  <c:v>65174.710000000021</c:v>
                </c:pt>
                <c:pt idx="926" formatCode="0.00">
                  <c:v>79956.669999999984</c:v>
                </c:pt>
                <c:pt idx="927" formatCode="0.00">
                  <c:v>81483.510000000009</c:v>
                </c:pt>
                <c:pt idx="928" formatCode="0.00">
                  <c:v>74767.459999999992</c:v>
                </c:pt>
                <c:pt idx="929" formatCode="0.00">
                  <c:v>77037.410000000033</c:v>
                </c:pt>
                <c:pt idx="930" formatCode="0.00">
                  <c:v>77037.41</c:v>
                </c:pt>
                <c:pt idx="931" formatCode="0.00">
                  <c:v>72217.409999999974</c:v>
                </c:pt>
                <c:pt idx="932" formatCode="0.00">
                  <c:v>42637.700000000012</c:v>
                </c:pt>
                <c:pt idx="933" formatCode="0.00">
                  <c:v>42797.700000000012</c:v>
                </c:pt>
                <c:pt idx="934" formatCode="0.00">
                  <c:v>32786.580000000016</c:v>
                </c:pt>
                <c:pt idx="935" formatCode="0.00">
                  <c:v>34721.070000000007</c:v>
                </c:pt>
                <c:pt idx="936" formatCode="0.00">
                  <c:v>27877.050000000047</c:v>
                </c:pt>
                <c:pt idx="937" formatCode="0.00">
                  <c:v>45111.899999999994</c:v>
                </c:pt>
                <c:pt idx="938" formatCode="0.00">
                  <c:v>42705.900000000023</c:v>
                </c:pt>
                <c:pt idx="939" formatCode="0.00">
                  <c:v>42705.899999999994</c:v>
                </c:pt>
                <c:pt idx="940" formatCode="0.00">
                  <c:v>42705.900000000023</c:v>
                </c:pt>
                <c:pt idx="941" formatCode="0.00">
                  <c:v>42705.900000000023</c:v>
                </c:pt>
                <c:pt idx="942" formatCode="0.00">
                  <c:v>47661.799999999988</c:v>
                </c:pt>
                <c:pt idx="943" formatCode="0.00">
                  <c:v>71477.100000000006</c:v>
                </c:pt>
                <c:pt idx="944" formatCode="0.00">
                  <c:v>71482.429999999993</c:v>
                </c:pt>
                <c:pt idx="945" formatCode="0.00">
                  <c:v>71534.429999999993</c:v>
                </c:pt>
                <c:pt idx="946" formatCode="0.00">
                  <c:v>71534.430000000022</c:v>
                </c:pt>
                <c:pt idx="947" formatCode="0.00">
                  <c:v>71534.429999999993</c:v>
                </c:pt>
                <c:pt idx="948" formatCode="0.00">
                  <c:v>71534.430000000022</c:v>
                </c:pt>
                <c:pt idx="949" formatCode="0.00">
                  <c:v>49947.72000000003</c:v>
                </c:pt>
                <c:pt idx="950" formatCode="0.00">
                  <c:v>39388.380000000005</c:v>
                </c:pt>
                <c:pt idx="951" formatCode="0.00">
                  <c:v>17883.630000000005</c:v>
                </c:pt>
                <c:pt idx="952" formatCode="0.00">
                  <c:v>9608.6300000000047</c:v>
                </c:pt>
                <c:pt idx="953" formatCode="0.00">
                  <c:v>13100.559999999998</c:v>
                </c:pt>
                <c:pt idx="954" formatCode="0.00">
                  <c:v>13100.559999999998</c:v>
                </c:pt>
                <c:pt idx="955" formatCode="0.00">
                  <c:v>31196.180000000022</c:v>
                </c:pt>
                <c:pt idx="956" formatCode="0.00">
                  <c:v>29110.179999999964</c:v>
                </c:pt>
                <c:pt idx="957" formatCode="0.00">
                  <c:v>29110.179999999993</c:v>
                </c:pt>
                <c:pt idx="958" formatCode="0.00">
                  <c:v>22960.179999999993</c:v>
                </c:pt>
                <c:pt idx="959" formatCode="0.00">
                  <c:v>15720.180000000022</c:v>
                </c:pt>
                <c:pt idx="960" formatCode="0.00">
                  <c:v>18729.119999999995</c:v>
                </c:pt>
                <c:pt idx="961" formatCode="0.00">
                  <c:v>35388.780000000028</c:v>
                </c:pt>
                <c:pt idx="962" formatCode="0.00">
                  <c:v>27425.380000000034</c:v>
                </c:pt>
                <c:pt idx="963" formatCode="0.00">
                  <c:v>23699.380000000005</c:v>
                </c:pt>
                <c:pt idx="964" formatCode="0.00">
                  <c:v>6177.3800000000047</c:v>
                </c:pt>
                <c:pt idx="965" formatCode="0.00">
                  <c:v>6177.3800000000047</c:v>
                </c:pt>
                <c:pt idx="966" formatCode="0.00">
                  <c:v>14572.440000000002</c:v>
                </c:pt>
                <c:pt idx="967" formatCode="0.00">
                  <c:v>23705.460000000021</c:v>
                </c:pt>
                <c:pt idx="968" formatCode="0.00">
                  <c:v>16875.179999999993</c:v>
                </c:pt>
                <c:pt idx="969" formatCode="0.00">
                  <c:v>19796.919999999984</c:v>
                </c:pt>
                <c:pt idx="970" formatCode="0.00">
                  <c:v>37544.549999999988</c:v>
                </c:pt>
                <c:pt idx="971" formatCode="0.00">
                  <c:v>37544.550000000047</c:v>
                </c:pt>
                <c:pt idx="972" formatCode="0.00">
                  <c:v>41344.469999999972</c:v>
                </c:pt>
                <c:pt idx="973" formatCode="0.00">
                  <c:v>62742.219999999972</c:v>
                </c:pt>
                <c:pt idx="974" formatCode="0.00">
                  <c:v>57921.359999999986</c:v>
                </c:pt>
                <c:pt idx="975" formatCode="0.00">
                  <c:v>57921.359999999986</c:v>
                </c:pt>
                <c:pt idx="976" formatCode="0.00">
                  <c:v>58369.739999999962</c:v>
                </c:pt>
                <c:pt idx="977" formatCode="0.00">
                  <c:v>68094.22</c:v>
                </c:pt>
                <c:pt idx="978" formatCode="0.00">
                  <c:v>65179.140000000014</c:v>
                </c:pt>
                <c:pt idx="979" formatCode="0.00">
                  <c:v>65179.140000000014</c:v>
                </c:pt>
                <c:pt idx="980" formatCode="0.00">
                  <c:v>58389.140000000014</c:v>
                </c:pt>
                <c:pt idx="981" formatCode="0.00">
                  <c:v>58389.139999999985</c:v>
                </c:pt>
                <c:pt idx="983" formatCode="0.00">
                  <c:v>66968.84</c:v>
                </c:pt>
                <c:pt idx="984" formatCode="0.00">
                  <c:v>67001.87</c:v>
                </c:pt>
                <c:pt idx="985" formatCode="0.00">
                  <c:v>57257.870000000024</c:v>
                </c:pt>
                <c:pt idx="986" formatCode="0.00">
                  <c:v>62832.960000000021</c:v>
                </c:pt>
                <c:pt idx="987" formatCode="0.00">
                  <c:v>62832.960000000021</c:v>
                </c:pt>
                <c:pt idx="988" formatCode="0.00">
                  <c:v>60666.679999999993</c:v>
                </c:pt>
                <c:pt idx="989" formatCode="0.00">
                  <c:v>57438.679999999964</c:v>
                </c:pt>
                <c:pt idx="990" formatCode="0.00">
                  <c:v>57438.679999999964</c:v>
                </c:pt>
                <c:pt idx="991" formatCode="0.00">
                  <c:v>55676.120000000024</c:v>
                </c:pt>
                <c:pt idx="992" formatCode="0.00">
                  <c:v>53404.919999999984</c:v>
                </c:pt>
                <c:pt idx="993" formatCode="0.00">
                  <c:v>47651.419999999984</c:v>
                </c:pt>
                <c:pt idx="994" formatCode="0.00">
                  <c:v>52119.330000000016</c:v>
                </c:pt>
                <c:pt idx="995" formatCode="0.00">
                  <c:v>63026.479999999981</c:v>
                </c:pt>
                <c:pt idx="996" formatCode="0.00">
                  <c:v>63026.48000000001</c:v>
                </c:pt>
                <c:pt idx="997" formatCode="0.00">
                  <c:v>69552.339999999967</c:v>
                </c:pt>
                <c:pt idx="998" formatCode="0.00">
                  <c:v>69552.340000000026</c:v>
                </c:pt>
                <c:pt idx="999" formatCode="0.00">
                  <c:v>67579.340000000026</c:v>
                </c:pt>
                <c:pt idx="1000" formatCode="0.00">
                  <c:v>67579.34</c:v>
                </c:pt>
                <c:pt idx="1001" formatCode="0.00">
                  <c:v>67579.339999999967</c:v>
                </c:pt>
                <c:pt idx="1002" formatCode="0.00">
                  <c:v>67579.34</c:v>
                </c:pt>
                <c:pt idx="1003" formatCode="0.00">
                  <c:v>63719.34</c:v>
                </c:pt>
                <c:pt idx="1004" formatCode="0.00">
                  <c:v>63719.340000000026</c:v>
                </c:pt>
                <c:pt idx="1005" formatCode="0.00">
                  <c:v>63828.339999999967</c:v>
                </c:pt>
                <c:pt idx="1006" formatCode="0.00">
                  <c:v>63828.340000000026</c:v>
                </c:pt>
                <c:pt idx="1007" formatCode="0.00">
                  <c:v>63828.340000000026</c:v>
                </c:pt>
                <c:pt idx="1008" formatCode="0.00">
                  <c:v>63828.34</c:v>
                </c:pt>
                <c:pt idx="1009" formatCode="0.00">
                  <c:v>63828.859999999986</c:v>
                </c:pt>
                <c:pt idx="1010" formatCode="0.00">
                  <c:v>68872.760000000009</c:v>
                </c:pt>
                <c:pt idx="1011" formatCode="0.00">
                  <c:v>91638.290000000008</c:v>
                </c:pt>
                <c:pt idx="1012" formatCode="0.00">
                  <c:v>93985.239999999991</c:v>
                </c:pt>
                <c:pt idx="1013" formatCode="0.00">
                  <c:v>91919.19</c:v>
                </c:pt>
                <c:pt idx="1014" formatCode="0.00">
                  <c:v>92029.06</c:v>
                </c:pt>
                <c:pt idx="1015" formatCode="0.00">
                  <c:v>92029.06</c:v>
                </c:pt>
                <c:pt idx="1016" formatCode="0.00">
                  <c:v>89627.06</c:v>
                </c:pt>
                <c:pt idx="1017" formatCode="0.00">
                  <c:v>92934.949999999983</c:v>
                </c:pt>
                <c:pt idx="1018" formatCode="0.00">
                  <c:v>91777.41</c:v>
                </c:pt>
                <c:pt idx="1019" formatCode="0.00">
                  <c:v>91777.41</c:v>
                </c:pt>
                <c:pt idx="1020" formatCode="0.00">
                  <c:v>82486.909999999974</c:v>
                </c:pt>
                <c:pt idx="1021" formatCode="0.00">
                  <c:v>82486.910000000033</c:v>
                </c:pt>
                <c:pt idx="1022" formatCode="0.00">
                  <c:v>78822.910000000033</c:v>
                </c:pt>
                <c:pt idx="1023" formatCode="0.00">
                  <c:v>79691.729999999981</c:v>
                </c:pt>
                <c:pt idx="1024" formatCode="0.00">
                  <c:v>78939.419999999984</c:v>
                </c:pt>
                <c:pt idx="1025" formatCode="0.00">
                  <c:v>88486.32</c:v>
                </c:pt>
                <c:pt idx="1026" formatCode="0.00">
                  <c:v>86411.32</c:v>
                </c:pt>
                <c:pt idx="1027" formatCode="0.00">
                  <c:v>86411.32</c:v>
                </c:pt>
                <c:pt idx="1028" formatCode="0.00">
                  <c:v>86414.53</c:v>
                </c:pt>
                <c:pt idx="1029" formatCode="0.00">
                  <c:v>90323.25</c:v>
                </c:pt>
                <c:pt idx="1030" formatCode="0.00">
                  <c:v>87632.350000000035</c:v>
                </c:pt>
                <c:pt idx="1031" formatCode="0.00">
                  <c:v>87632.349999999977</c:v>
                </c:pt>
                <c:pt idx="1032" formatCode="0.00">
                  <c:v>89912.300000000017</c:v>
                </c:pt>
                <c:pt idx="1033" formatCode="0.00">
                  <c:v>104584.00000000003</c:v>
                </c:pt>
                <c:pt idx="1034" formatCode="0.00">
                  <c:v>104584</c:v>
                </c:pt>
                <c:pt idx="1035" formatCode="0.00">
                  <c:v>103037.99999999997</c:v>
                </c:pt>
              </c:numCache>
            </c:numRef>
          </c:yVal>
          <c:smooth val="1"/>
        </c:ser>
        <c:dLbls>
          <c:showLegendKey val="0"/>
          <c:showVal val="0"/>
          <c:showCatName val="0"/>
          <c:showSerName val="0"/>
          <c:showPercent val="0"/>
          <c:showBubbleSize val="0"/>
        </c:dLbls>
        <c:axId val="406473632"/>
        <c:axId val="406475592"/>
      </c:scatterChart>
      <c:valAx>
        <c:axId val="406473632"/>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06475592"/>
        <c:crosses val="autoZero"/>
        <c:crossBetween val="midCat"/>
      </c:valAx>
      <c:valAx>
        <c:axId val="406475592"/>
        <c:scaling>
          <c:orientation val="minMax"/>
          <c:min val="0"/>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06473632"/>
        <c:crosses val="autoZero"/>
        <c:crossBetween val="midCat"/>
        <c:dispUnits>
          <c:builtInUnit val="tenThousands"/>
        </c:dispUnits>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Excess</a:t>
            </a:r>
            <a:r>
              <a:rPr lang="en-US" baseline="0"/>
              <a:t> return over SPX</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33861375064E-2"/>
          <c:y val="0.12778945449962326"/>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Balance!$B$2:$B$1987</c:f>
              <c:numCache>
                <c:formatCode>m/d/yyyy</c:formatCode>
                <c:ptCount val="19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pt idx="1032">
                  <c:v>43804</c:v>
                </c:pt>
                <c:pt idx="1033">
                  <c:v>43805</c:v>
                </c:pt>
                <c:pt idx="1034">
                  <c:v>43808</c:v>
                </c:pt>
                <c:pt idx="1035">
                  <c:v>43809</c:v>
                </c:pt>
              </c:numCache>
            </c:numRef>
          </c:xVal>
          <c:yVal>
            <c:numRef>
              <c:f>Balance!$Z$3:$Z$1988</c:f>
              <c:numCache>
                <c:formatCode>0.00</c:formatCode>
                <c:ptCount val="1986"/>
                <c:pt idx="23" formatCode="0.00%">
                  <c:v>-7.198316363795132E-2</c:v>
                </c:pt>
                <c:pt idx="24" formatCode="0.00%">
                  <c:v>-8.1404279521864464E-2</c:v>
                </c:pt>
                <c:pt idx="25" formatCode="0.00%">
                  <c:v>-9.6970138393046537E-2</c:v>
                </c:pt>
                <c:pt idx="26" formatCode="0.00%">
                  <c:v>-8.9697313072625323E-2</c:v>
                </c:pt>
                <c:pt idx="27" formatCode="0.00%">
                  <c:v>-9.6280110820199605E-2</c:v>
                </c:pt>
                <c:pt idx="28" formatCode="0.00%">
                  <c:v>-0.10307197433994887</c:v>
                </c:pt>
                <c:pt idx="29" formatCode="0.00%">
                  <c:v>-9.6059864362725733E-2</c:v>
                </c:pt>
                <c:pt idx="30" formatCode="0.00%">
                  <c:v>-9.1050493113008141E-2</c:v>
                </c:pt>
                <c:pt idx="31" formatCode="0.00%">
                  <c:v>-8.9493981002781081E-2</c:v>
                </c:pt>
                <c:pt idx="32" formatCode="0.00%">
                  <c:v>-6.5763687875723315E-2</c:v>
                </c:pt>
                <c:pt idx="33" formatCode="0.00%">
                  <c:v>-5.2681458450474283E-2</c:v>
                </c:pt>
                <c:pt idx="34" formatCode="0.00%">
                  <c:v>-4.5718135079192507E-2</c:v>
                </c:pt>
                <c:pt idx="35" formatCode="0.00%">
                  <c:v>-4.7568430395647732E-2</c:v>
                </c:pt>
                <c:pt idx="36" formatCode="0.00%">
                  <c:v>-4.861842544023328E-2</c:v>
                </c:pt>
                <c:pt idx="37" formatCode="0.00%">
                  <c:v>-5.6583754108413285E-2</c:v>
                </c:pt>
                <c:pt idx="38" formatCode="0.00%">
                  <c:v>-6.5050092050311176E-2</c:v>
                </c:pt>
                <c:pt idx="39" formatCode="0.00%">
                  <c:v>-6.1983097588199039E-2</c:v>
                </c:pt>
                <c:pt idx="40" formatCode="0.00%">
                  <c:v>-5.0203550860806828E-2</c:v>
                </c:pt>
                <c:pt idx="41" formatCode="0.00%">
                  <c:v>-5.5735712625964641E-2</c:v>
                </c:pt>
                <c:pt idx="42" formatCode="0.00%">
                  <c:v>-6.4541106146265084E-2</c:v>
                </c:pt>
                <c:pt idx="43" formatCode="0.00%">
                  <c:v>-6.0575912081152178E-2</c:v>
                </c:pt>
                <c:pt idx="44" formatCode="0.00%">
                  <c:v>-7.4283188598949126E-2</c:v>
                </c:pt>
                <c:pt idx="45" formatCode="0.00%">
                  <c:v>-8.4505866167405547E-2</c:v>
                </c:pt>
                <c:pt idx="46" formatCode="0.00%">
                  <c:v>-9.2356678131599521E-2</c:v>
                </c:pt>
                <c:pt idx="47" formatCode="0.00%">
                  <c:v>-9.9648393610281369E-2</c:v>
                </c:pt>
                <c:pt idx="48" formatCode="0.00%">
                  <c:v>-0.11775476142386938</c:v>
                </c:pt>
                <c:pt idx="49" formatCode="0.00%">
                  <c:v>-0.11864428730142107</c:v>
                </c:pt>
                <c:pt idx="50" formatCode="0.00%">
                  <c:v>-0.11086051311809131</c:v>
                </c:pt>
                <c:pt idx="51" formatCode="0.00%">
                  <c:v>-0.12098356407079387</c:v>
                </c:pt>
                <c:pt idx="52" formatCode="0.00%">
                  <c:v>-0.11117602887597272</c:v>
                </c:pt>
                <c:pt idx="53" formatCode="0.00%">
                  <c:v>-0.10839375190683212</c:v>
                </c:pt>
                <c:pt idx="54" formatCode="0.00%">
                  <c:v>-9.782233805292892E-2</c:v>
                </c:pt>
                <c:pt idx="55" formatCode="0.00%">
                  <c:v>-9.5802117082057034E-2</c:v>
                </c:pt>
                <c:pt idx="56" formatCode="0.00%">
                  <c:v>-0.1196375490458704</c:v>
                </c:pt>
                <c:pt idx="57" formatCode="0.00%">
                  <c:v>-0.11982330842972914</c:v>
                </c:pt>
                <c:pt idx="58" formatCode="0.00%">
                  <c:v>-0.12111343136831482</c:v>
                </c:pt>
                <c:pt idx="59" formatCode="0.00%">
                  <c:v>-0.1239239341555524</c:v>
                </c:pt>
                <c:pt idx="60" formatCode="0.00%">
                  <c:v>-0.13348694793573179</c:v>
                </c:pt>
                <c:pt idx="61" formatCode="0.00%">
                  <c:v>-0.13438918172123818</c:v>
                </c:pt>
                <c:pt idx="62" formatCode="0.00%">
                  <c:v>-0.12234685627176038</c:v>
                </c:pt>
                <c:pt idx="63" formatCode="0.00%">
                  <c:v>-0.11948886185622418</c:v>
                </c:pt>
                <c:pt idx="64" formatCode="0.00%">
                  <c:v>-0.12185915782281539</c:v>
                </c:pt>
                <c:pt idx="65" formatCode="0.00%">
                  <c:v>-0.11708374551996727</c:v>
                </c:pt>
                <c:pt idx="66" formatCode="0.00%">
                  <c:v>-0.11114160299699381</c:v>
                </c:pt>
                <c:pt idx="67" formatCode="0.00%">
                  <c:v>-0.11916496099151458</c:v>
                </c:pt>
                <c:pt idx="68" formatCode="0.00%">
                  <c:v>-0.11150959038926206</c:v>
                </c:pt>
                <c:pt idx="69" formatCode="0.00%">
                  <c:v>-0.10118729185660461</c:v>
                </c:pt>
                <c:pt idx="70" formatCode="0.00%">
                  <c:v>-9.8662044642415445E-2</c:v>
                </c:pt>
                <c:pt idx="71" formatCode="0.00%">
                  <c:v>-0.10547671055202537</c:v>
                </c:pt>
                <c:pt idx="72" formatCode="0.00%">
                  <c:v>-9.3865973597819632E-2</c:v>
                </c:pt>
                <c:pt idx="73" formatCode="0.00%">
                  <c:v>-9.6885596187762879E-2</c:v>
                </c:pt>
                <c:pt idx="74" formatCode="0.00%">
                  <c:v>-0.11499062455052231</c:v>
                </c:pt>
                <c:pt idx="75" formatCode="0.00%">
                  <c:v>-0.11380035980194428</c:v>
                </c:pt>
                <c:pt idx="76" formatCode="0.00%">
                  <c:v>-0.14222526832394736</c:v>
                </c:pt>
                <c:pt idx="77" formatCode="0.00%">
                  <c:v>-0.1790447182445159</c:v>
                </c:pt>
                <c:pt idx="78" formatCode="0.00%">
                  <c:v>-0.17924767029166111</c:v>
                </c:pt>
                <c:pt idx="79" formatCode="0.00%">
                  <c:v>-0.17529273414128341</c:v>
                </c:pt>
                <c:pt idx="80" formatCode="0.00%">
                  <c:v>-0.16550187453910697</c:v>
                </c:pt>
                <c:pt idx="81" formatCode="0.00%">
                  <c:v>-0.16972300062213416</c:v>
                </c:pt>
                <c:pt idx="82" formatCode="0.00%">
                  <c:v>-0.16889177965839691</c:v>
                </c:pt>
                <c:pt idx="83" formatCode="0.00%">
                  <c:v>-0.18414527387559215</c:v>
                </c:pt>
                <c:pt idx="84" formatCode="0.00%">
                  <c:v>-0.18586216692319399</c:v>
                </c:pt>
                <c:pt idx="85" formatCode="0.00%">
                  <c:v>-0.18404340437348987</c:v>
                </c:pt>
                <c:pt idx="86" formatCode="0.00%">
                  <c:v>-0.16514605648437053</c:v>
                </c:pt>
                <c:pt idx="87" formatCode="0.00%">
                  <c:v>-0.15927275077243586</c:v>
                </c:pt>
                <c:pt idx="88" formatCode="0.00%">
                  <c:v>-0.16505431690892478</c:v>
                </c:pt>
                <c:pt idx="89" formatCode="0.00%">
                  <c:v>-0.15501916677289246</c:v>
                </c:pt>
                <c:pt idx="90" formatCode="0.00%">
                  <c:v>-0.15160401193280174</c:v>
                </c:pt>
                <c:pt idx="91" formatCode="0.00%">
                  <c:v>-0.16706452307461805</c:v>
                </c:pt>
                <c:pt idx="92" formatCode="0.00%">
                  <c:v>-0.17288914104564224</c:v>
                </c:pt>
                <c:pt idx="93" formatCode="0.00%">
                  <c:v>-0.18627909859068512</c:v>
                </c:pt>
                <c:pt idx="94" formatCode="0.00%">
                  <c:v>-0.16996438692566729</c:v>
                </c:pt>
                <c:pt idx="95" formatCode="0.00%">
                  <c:v>-0.14790606059293021</c:v>
                </c:pt>
                <c:pt idx="96" formatCode="0.00%">
                  <c:v>-0.14392229380576851</c:v>
                </c:pt>
                <c:pt idx="97" formatCode="0.00%">
                  <c:v>-0.17860469819352751</c:v>
                </c:pt>
                <c:pt idx="98" formatCode="0.00%">
                  <c:v>-0.18307998673683909</c:v>
                </c:pt>
                <c:pt idx="99" formatCode="0.00%">
                  <c:v>-0.18491707903007937</c:v>
                </c:pt>
                <c:pt idx="100" formatCode="0.00%">
                  <c:v>-0.21869155007182142</c:v>
                </c:pt>
                <c:pt idx="101" formatCode="0.00%">
                  <c:v>-0.24140807390508168</c:v>
                </c:pt>
                <c:pt idx="102" formatCode="0.00%">
                  <c:v>-0.25143707791708669</c:v>
                </c:pt>
                <c:pt idx="103" formatCode="0.00%">
                  <c:v>-0.24640630784231643</c:v>
                </c:pt>
                <c:pt idx="104" formatCode="0.00%">
                  <c:v>-0.27086215650529855</c:v>
                </c:pt>
                <c:pt idx="105" formatCode="0.00%">
                  <c:v>-0.29058911933562903</c:v>
                </c:pt>
                <c:pt idx="106" formatCode="0.00%">
                  <c:v>-0.28686378706835863</c:v>
                </c:pt>
                <c:pt idx="107" formatCode="0.00%">
                  <c:v>-0.25148357350935102</c:v>
                </c:pt>
                <c:pt idx="108" formatCode="0.00%">
                  <c:v>-0.25674675365717931</c:v>
                </c:pt>
                <c:pt idx="109" formatCode="0.00%">
                  <c:v>-0.28819573355672451</c:v>
                </c:pt>
                <c:pt idx="110" formatCode="0.00%">
                  <c:v>-0.28529951795199865</c:v>
                </c:pt>
                <c:pt idx="111" formatCode="0.00%">
                  <c:v>-0.26663785262076439</c:v>
                </c:pt>
                <c:pt idx="112" formatCode="0.00%">
                  <c:v>-0.25883464243450455</c:v>
                </c:pt>
                <c:pt idx="113" formatCode="0.00%">
                  <c:v>-0.24149751892039725</c:v>
                </c:pt>
                <c:pt idx="114" formatCode="0.00%">
                  <c:v>-0.24322432038631303</c:v>
                </c:pt>
                <c:pt idx="115" formatCode="0.00%">
                  <c:v>-0.25973401025380033</c:v>
                </c:pt>
                <c:pt idx="116" formatCode="0.00%">
                  <c:v>-0.2321788696419399</c:v>
                </c:pt>
                <c:pt idx="117" formatCode="0.00%">
                  <c:v>-0.23065473210650483</c:v>
                </c:pt>
                <c:pt idx="118" formatCode="0.00%">
                  <c:v>-0.24931505877789611</c:v>
                </c:pt>
                <c:pt idx="119" formatCode="0.00%">
                  <c:v>-0.2702046552477122</c:v>
                </c:pt>
                <c:pt idx="120" formatCode="0.00%">
                  <c:v>-0.28334149571640571</c:v>
                </c:pt>
                <c:pt idx="121" formatCode="0.00%">
                  <c:v>-0.29112974747578996</c:v>
                </c:pt>
                <c:pt idx="122" formatCode="0.00%">
                  <c:v>-0.29345681770086179</c:v>
                </c:pt>
                <c:pt idx="123" formatCode="0.00%">
                  <c:v>-0.29448533824365974</c:v>
                </c:pt>
                <c:pt idx="124" formatCode="0.00%">
                  <c:v>-0.29245090841783827</c:v>
                </c:pt>
                <c:pt idx="125" formatCode="0.00%">
                  <c:v>-0.29305520923736228</c:v>
                </c:pt>
                <c:pt idx="126" formatCode="0.00%">
                  <c:v>-0.30799220014269135</c:v>
                </c:pt>
                <c:pt idx="127" formatCode="0.00%">
                  <c:v>-0.32180579325117475</c:v>
                </c:pt>
                <c:pt idx="128" formatCode="0.00%">
                  <c:v>-0.30431532390793548</c:v>
                </c:pt>
                <c:pt idx="129" formatCode="0.00%">
                  <c:v>-0.31684311927902808</c:v>
                </c:pt>
                <c:pt idx="130" formatCode="0.00%">
                  <c:v>-0.3118297349717471</c:v>
                </c:pt>
                <c:pt idx="131" formatCode="0.00%">
                  <c:v>-0.31699042845598446</c:v>
                </c:pt>
                <c:pt idx="132" formatCode="0.00%">
                  <c:v>-0.29677460037527814</c:v>
                </c:pt>
                <c:pt idx="133" formatCode="0.00%">
                  <c:v>-0.28370645989945015</c:v>
                </c:pt>
                <c:pt idx="134" formatCode="0.00%">
                  <c:v>-0.30025402663429152</c:v>
                </c:pt>
                <c:pt idx="135" formatCode="0.00%">
                  <c:v>-0.26086503400572664</c:v>
                </c:pt>
                <c:pt idx="136" formatCode="0.00%">
                  <c:v>-0.23697370098076526</c:v>
                </c:pt>
                <c:pt idx="137" formatCode="0.00%">
                  <c:v>-0.21334945428264296</c:v>
                </c:pt>
                <c:pt idx="138" formatCode="0.00%">
                  <c:v>-0.21378248324232793</c:v>
                </c:pt>
                <c:pt idx="139" formatCode="0.00%">
                  <c:v>-0.24227285705989232</c:v>
                </c:pt>
                <c:pt idx="140" formatCode="0.00%">
                  <c:v>-0.235063410363197</c:v>
                </c:pt>
                <c:pt idx="141" formatCode="0.00%">
                  <c:v>-0.22776728309059946</c:v>
                </c:pt>
                <c:pt idx="142" formatCode="0.00%">
                  <c:v>-0.21800693911597957</c:v>
                </c:pt>
                <c:pt idx="143" formatCode="0.00%">
                  <c:v>-0.22215846264863687</c:v>
                </c:pt>
                <c:pt idx="144" formatCode="0.00%">
                  <c:v>-0.21967992129811079</c:v>
                </c:pt>
                <c:pt idx="145" formatCode="0.00%">
                  <c:v>-0.22016742240254183</c:v>
                </c:pt>
                <c:pt idx="146" formatCode="0.00%">
                  <c:v>-0.22497245019406018</c:v>
                </c:pt>
                <c:pt idx="147" formatCode="0.00%">
                  <c:v>-0.21921674653212456</c:v>
                </c:pt>
                <c:pt idx="148" formatCode="0.00%">
                  <c:v>-0.21982602270599863</c:v>
                </c:pt>
                <c:pt idx="149" formatCode="0.00%">
                  <c:v>-0.22397658553632918</c:v>
                </c:pt>
                <c:pt idx="150" formatCode="0.00%">
                  <c:v>-0.26096997541237804</c:v>
                </c:pt>
                <c:pt idx="151" formatCode="0.00%">
                  <c:v>-0.25936010928302355</c:v>
                </c:pt>
                <c:pt idx="152" formatCode="0.00%">
                  <c:v>-0.26563254227469024</c:v>
                </c:pt>
                <c:pt idx="153" formatCode="0.00%">
                  <c:v>-0.26413432270742582</c:v>
                </c:pt>
                <c:pt idx="154" formatCode="0.00%">
                  <c:v>-0.26137647491058003</c:v>
                </c:pt>
                <c:pt idx="155" formatCode="0.00%">
                  <c:v>-0.24052183964488871</c:v>
                </c:pt>
                <c:pt idx="156" formatCode="0.00%">
                  <c:v>-0.25117885695239828</c:v>
                </c:pt>
                <c:pt idx="157" formatCode="0.00%">
                  <c:v>-0.25427446538070059</c:v>
                </c:pt>
                <c:pt idx="158" formatCode="0.00%">
                  <c:v>-0.24798602145697382</c:v>
                </c:pt>
                <c:pt idx="159" formatCode="0.00%">
                  <c:v>-0.24598100343077553</c:v>
                </c:pt>
                <c:pt idx="160" formatCode="0.00%">
                  <c:v>-0.2301793421300965</c:v>
                </c:pt>
                <c:pt idx="161" formatCode="0.00%">
                  <c:v>-0.21501309638467683</c:v>
                </c:pt>
                <c:pt idx="162" formatCode="0.00%">
                  <c:v>-0.21781214315652295</c:v>
                </c:pt>
                <c:pt idx="163" formatCode="0.00%">
                  <c:v>-0.19375582754894308</c:v>
                </c:pt>
                <c:pt idx="164" formatCode="0.00%">
                  <c:v>-0.19626935563678399</c:v>
                </c:pt>
                <c:pt idx="165" formatCode="0.00%">
                  <c:v>-0.197543235255703</c:v>
                </c:pt>
                <c:pt idx="166" formatCode="0.00%">
                  <c:v>-0.19536980270352536</c:v>
                </c:pt>
                <c:pt idx="167" formatCode="0.00%">
                  <c:v>-0.18892284046583963</c:v>
                </c:pt>
                <c:pt idx="168" formatCode="0.00%">
                  <c:v>-0.17841905395825811</c:v>
                </c:pt>
                <c:pt idx="169" formatCode="0.00%">
                  <c:v>-0.17664142448678677</c:v>
                </c:pt>
                <c:pt idx="170" formatCode="0.00%">
                  <c:v>-0.17686445937957795</c:v>
                </c:pt>
                <c:pt idx="171" formatCode="0.00%">
                  <c:v>-0.16615529816261096</c:v>
                </c:pt>
                <c:pt idx="172" formatCode="0.00%">
                  <c:v>-0.17917933078565845</c:v>
                </c:pt>
                <c:pt idx="173" formatCode="0.00%">
                  <c:v>-0.15289849970225058</c:v>
                </c:pt>
                <c:pt idx="174" formatCode="0.00%">
                  <c:v>-0.14268177521689082</c:v>
                </c:pt>
                <c:pt idx="175" formatCode="0.00%">
                  <c:v>-0.1449937145782994</c:v>
                </c:pt>
                <c:pt idx="176" formatCode="0.00%">
                  <c:v>-0.15847096098152633</c:v>
                </c:pt>
                <c:pt idx="177" formatCode="0.00%">
                  <c:v>-0.18067952418475666</c:v>
                </c:pt>
                <c:pt idx="178" formatCode="0.00%">
                  <c:v>-0.19583302996898827</c:v>
                </c:pt>
                <c:pt idx="179" formatCode="0.00%">
                  <c:v>-0.21464049154744011</c:v>
                </c:pt>
                <c:pt idx="180" formatCode="0.00%">
                  <c:v>-0.21322075401057816</c:v>
                </c:pt>
                <c:pt idx="181" formatCode="0.00%">
                  <c:v>-0.21707108128602945</c:v>
                </c:pt>
                <c:pt idx="182" formatCode="0.00%">
                  <c:v>-0.23383924492304176</c:v>
                </c:pt>
                <c:pt idx="183" formatCode="0.00%">
                  <c:v>-0.22941408716253484</c:v>
                </c:pt>
                <c:pt idx="184" formatCode="0.00%">
                  <c:v>-0.20984720020404868</c:v>
                </c:pt>
                <c:pt idx="185" formatCode="0.00%">
                  <c:v>-0.22101545196343295</c:v>
                </c:pt>
                <c:pt idx="186" formatCode="0.00%">
                  <c:v>-0.21410448993264958</c:v>
                </c:pt>
                <c:pt idx="187" formatCode="0.00%">
                  <c:v>-0.20764037843077554</c:v>
                </c:pt>
                <c:pt idx="188" formatCode="0.00%">
                  <c:v>-0.19613299763084796</c:v>
                </c:pt>
                <c:pt idx="189" formatCode="0.00%">
                  <c:v>-0.19688639051958681</c:v>
                </c:pt>
                <c:pt idx="190" formatCode="0.00%">
                  <c:v>-0.19139694938737845</c:v>
                </c:pt>
                <c:pt idx="191" formatCode="0.00%">
                  <c:v>-0.17511395694383669</c:v>
                </c:pt>
                <c:pt idx="192" formatCode="0.00%">
                  <c:v>-0.16676250203002221</c:v>
                </c:pt>
                <c:pt idx="193" formatCode="0.00%">
                  <c:v>-0.1763500240358821</c:v>
                </c:pt>
                <c:pt idx="194" formatCode="0.00%">
                  <c:v>-0.17044775981906737</c:v>
                </c:pt>
                <c:pt idx="195" formatCode="0.00%">
                  <c:v>-0.17543735417372189</c:v>
                </c:pt>
                <c:pt idx="196" formatCode="0.00%">
                  <c:v>-0.18057661913348302</c:v>
                </c:pt>
                <c:pt idx="197" formatCode="0.00%">
                  <c:v>-0.17045624831148559</c:v>
                </c:pt>
                <c:pt idx="198" formatCode="0.00%">
                  <c:v>-0.16272666634767213</c:v>
                </c:pt>
                <c:pt idx="199" formatCode="0.00%">
                  <c:v>-0.16211882368153205</c:v>
                </c:pt>
                <c:pt idx="200" formatCode="0.00%">
                  <c:v>-0.16359786378160621</c:v>
                </c:pt>
                <c:pt idx="201" formatCode="0.00%">
                  <c:v>-0.15097957067740328</c:v>
                </c:pt>
                <c:pt idx="202" formatCode="0.00%">
                  <c:v>-0.13537900557590238</c:v>
                </c:pt>
                <c:pt idx="203" formatCode="0.00%">
                  <c:v>-0.1443947390099122</c:v>
                </c:pt>
                <c:pt idx="204" formatCode="0.00%">
                  <c:v>-0.14785729230750935</c:v>
                </c:pt>
                <c:pt idx="205" formatCode="0.00%">
                  <c:v>-0.16462253702079493</c:v>
                </c:pt>
                <c:pt idx="206" formatCode="0.00%">
                  <c:v>-0.1643853625268735</c:v>
                </c:pt>
                <c:pt idx="207" formatCode="0.00%">
                  <c:v>-0.16912022704143762</c:v>
                </c:pt>
                <c:pt idx="208" formatCode="0.00%">
                  <c:v>-0.17125824052957508</c:v>
                </c:pt>
                <c:pt idx="209" formatCode="0.00%">
                  <c:v>-0.18414993004841987</c:v>
                </c:pt>
                <c:pt idx="210" formatCode="0.00%">
                  <c:v>-0.16368938693708257</c:v>
                </c:pt>
                <c:pt idx="211" formatCode="0.00%">
                  <c:v>-0.1365156350359582</c:v>
                </c:pt>
                <c:pt idx="212" formatCode="0.00%">
                  <c:v>-0.12153148877732547</c:v>
                </c:pt>
                <c:pt idx="213" formatCode="0.00%">
                  <c:v>-0.12732266326268513</c:v>
                </c:pt>
                <c:pt idx="214" formatCode="0.00%">
                  <c:v>-0.11618581459399555</c:v>
                </c:pt>
                <c:pt idx="215" formatCode="0.00%">
                  <c:v>-0.10752392673227287</c:v>
                </c:pt>
                <c:pt idx="216" formatCode="0.00%">
                  <c:v>-0.1313062050893247</c:v>
                </c:pt>
                <c:pt idx="217" formatCode="0.00%">
                  <c:v>-0.10015150495757311</c:v>
                </c:pt>
                <c:pt idx="218" formatCode="0.00%">
                  <c:v>-9.7937574913433814E-2</c:v>
                </c:pt>
                <c:pt idx="219" formatCode="0.00%">
                  <c:v>-0.102286816567417</c:v>
                </c:pt>
                <c:pt idx="220" formatCode="0.00%">
                  <c:v>-0.10309015029346849</c:v>
                </c:pt>
                <c:pt idx="221" formatCode="0.00%">
                  <c:v>-0.12604541553670978</c:v>
                </c:pt>
                <c:pt idx="222" formatCode="0.00%">
                  <c:v>-0.12465711553670976</c:v>
                </c:pt>
                <c:pt idx="223" formatCode="0.00%">
                  <c:v>-0.11836379053670973</c:v>
                </c:pt>
                <c:pt idx="224" formatCode="0.00%">
                  <c:v>-0.10202739053670988</c:v>
                </c:pt>
                <c:pt idx="225" formatCode="0.00%">
                  <c:v>-0.12515399546907394</c:v>
                </c:pt>
                <c:pt idx="226" formatCode="0.00%">
                  <c:v>-9.5801425167424459E-2</c:v>
                </c:pt>
                <c:pt idx="227" formatCode="0.00%">
                  <c:v>-0.10255153513822027</c:v>
                </c:pt>
                <c:pt idx="228" formatCode="0.00%">
                  <c:v>-0.10291828037756133</c:v>
                </c:pt>
                <c:pt idx="229" formatCode="0.00%">
                  <c:v>-0.10733672333859692</c:v>
                </c:pt>
                <c:pt idx="230" formatCode="0.00%">
                  <c:v>-0.1064391331647988</c:v>
                </c:pt>
                <c:pt idx="231" formatCode="0.00%">
                  <c:v>-0.11910349951247134</c:v>
                </c:pt>
                <c:pt idx="232" formatCode="0.00%">
                  <c:v>-0.11611271806472477</c:v>
                </c:pt>
                <c:pt idx="233" formatCode="0.00%">
                  <c:v>-0.12903376109663056</c:v>
                </c:pt>
                <c:pt idx="234" formatCode="0.00%">
                  <c:v>-0.14099112510368916</c:v>
                </c:pt>
                <c:pt idx="235" formatCode="0.00%">
                  <c:v>-0.14217667231502437</c:v>
                </c:pt>
                <c:pt idx="236" formatCode="0.00%">
                  <c:v>-0.1294089437962557</c:v>
                </c:pt>
                <c:pt idx="237" formatCode="0.00%">
                  <c:v>-0.15246703543739656</c:v>
                </c:pt>
                <c:pt idx="238" formatCode="0.00%">
                  <c:v>-0.15244330508694659</c:v>
                </c:pt>
                <c:pt idx="239" formatCode="0.00%">
                  <c:v>-0.1517209130063164</c:v>
                </c:pt>
                <c:pt idx="240" formatCode="0.00%">
                  <c:v>-0.16970442759460441</c:v>
                </c:pt>
                <c:pt idx="241" formatCode="0.00%">
                  <c:v>-0.17292304415774062</c:v>
                </c:pt>
                <c:pt idx="242" formatCode="0.00%">
                  <c:v>-0.16063895589077448</c:v>
                </c:pt>
                <c:pt idx="243" formatCode="0.00%">
                  <c:v>-0.15772752429272657</c:v>
                </c:pt>
                <c:pt idx="244" formatCode="0.00%">
                  <c:v>-0.14447045069347994</c:v>
                </c:pt>
                <c:pt idx="245" formatCode="0.00%">
                  <c:v>-0.13552008778942559</c:v>
                </c:pt>
                <c:pt idx="246" formatCode="0.00%">
                  <c:v>-0.13580907561975597</c:v>
                </c:pt>
                <c:pt idx="247" formatCode="0.00%">
                  <c:v>-0.148668368505641</c:v>
                </c:pt>
                <c:pt idx="248" formatCode="0.00%">
                  <c:v>-0.12006619409828584</c:v>
                </c:pt>
                <c:pt idx="249" formatCode="0.00%">
                  <c:v>-0.10870256513432014</c:v>
                </c:pt>
                <c:pt idx="250" formatCode="0.00%">
                  <c:v>-9.9708561103765025E-2</c:v>
                </c:pt>
                <c:pt idx="251" formatCode="0.00%">
                  <c:v>-8.4572372689351333E-2</c:v>
                </c:pt>
                <c:pt idx="252" formatCode="0.00%">
                  <c:v>-8.1704313523810357E-2</c:v>
                </c:pt>
                <c:pt idx="253" formatCode="0.00%">
                  <c:v>-9.5437603992503894E-2</c:v>
                </c:pt>
                <c:pt idx="254" formatCode="0.00%">
                  <c:v>-8.1147246149711805E-2</c:v>
                </c:pt>
                <c:pt idx="255" formatCode="0.00%">
                  <c:v>-8.4700936614124533E-2</c:v>
                </c:pt>
                <c:pt idx="256" formatCode="0.00%">
                  <c:v>-8.1427442258042854E-2</c:v>
                </c:pt>
                <c:pt idx="257" formatCode="0.00%">
                  <c:v>-7.8926179500009422E-2</c:v>
                </c:pt>
                <c:pt idx="258" formatCode="0.00%">
                  <c:v>-7.9998887495957127E-2</c:v>
                </c:pt>
                <c:pt idx="259" formatCode="0.00%">
                  <c:v>-8.6528595338749181E-2</c:v>
                </c:pt>
                <c:pt idx="260" formatCode="0.00%">
                  <c:v>-9.488564137763747E-2</c:v>
                </c:pt>
                <c:pt idx="261" formatCode="0.00%">
                  <c:v>-9.714696535121109E-2</c:v>
                </c:pt>
                <c:pt idx="262" formatCode="0.00%">
                  <c:v>-8.7297232363824889E-2</c:v>
                </c:pt>
                <c:pt idx="263" formatCode="0.00%">
                  <c:v>-8.2653103260972971E-2</c:v>
                </c:pt>
                <c:pt idx="264" formatCode="0.00%">
                  <c:v>-7.2435799155267044E-2</c:v>
                </c:pt>
                <c:pt idx="265" formatCode="0.00%">
                  <c:v>-4.471347429986116E-2</c:v>
                </c:pt>
                <c:pt idx="266" formatCode="0.00%">
                  <c:v>-4.6538631755484033E-2</c:v>
                </c:pt>
                <c:pt idx="267" formatCode="0.00%">
                  <c:v>-5.9290726196704682E-2</c:v>
                </c:pt>
                <c:pt idx="268" formatCode="0.00%">
                  <c:v>-7.6042652869523053E-2</c:v>
                </c:pt>
                <c:pt idx="269" formatCode="0.00%">
                  <c:v>-8.4364080581609865E-2</c:v>
                </c:pt>
                <c:pt idx="270" formatCode="0.00%">
                  <c:v>-8.1687887555411842E-2</c:v>
                </c:pt>
                <c:pt idx="271" formatCode="0.00%">
                  <c:v>-7.7783346129734837E-2</c:v>
                </c:pt>
                <c:pt idx="272" formatCode="0.00%">
                  <c:v>-8.4637695616521735E-2</c:v>
                </c:pt>
                <c:pt idx="273" formatCode="0.00%">
                  <c:v>-8.5954028827933293E-2</c:v>
                </c:pt>
                <c:pt idx="274" formatCode="0.00%">
                  <c:v>-7.2702653544453044E-2</c:v>
                </c:pt>
                <c:pt idx="275" formatCode="0.00%">
                  <c:v>-7.2552071438899399E-2</c:v>
                </c:pt>
                <c:pt idx="276" formatCode="0.00%">
                  <c:v>-7.6813329938071981E-2</c:v>
                </c:pt>
                <c:pt idx="277" formatCode="0.00%">
                  <c:v>-7.4717797672228428E-2</c:v>
                </c:pt>
                <c:pt idx="278" formatCode="0.00%">
                  <c:v>-8.7757368865698779E-2</c:v>
                </c:pt>
                <c:pt idx="279" formatCode="0.00%">
                  <c:v>-6.8373415644679469E-2</c:v>
                </c:pt>
                <c:pt idx="280" formatCode="0.00%">
                  <c:v>-4.9450430958790821E-2</c:v>
                </c:pt>
                <c:pt idx="281" formatCode="0.00%">
                  <c:v>-5.7166763370655065E-2</c:v>
                </c:pt>
                <c:pt idx="282" formatCode="0.00%">
                  <c:v>-5.3479528910218448E-2</c:v>
                </c:pt>
                <c:pt idx="283" formatCode="0.00%">
                  <c:v>-5.9771822747379036E-2</c:v>
                </c:pt>
                <c:pt idx="284" formatCode="0.00%">
                  <c:v>-5.0767941299632843E-2</c:v>
                </c:pt>
                <c:pt idx="285" formatCode="0.00%">
                  <c:v>-5.05643546431764E-2</c:v>
                </c:pt>
                <c:pt idx="286" formatCode="0.00%">
                  <c:v>-5.8584770695953158E-2</c:v>
                </c:pt>
                <c:pt idx="287" formatCode="0.00%">
                  <c:v>-5.3617447972831467E-2</c:v>
                </c:pt>
                <c:pt idx="288" formatCode="0.00%">
                  <c:v>-8.1051651775080391E-2</c:v>
                </c:pt>
                <c:pt idx="289" formatCode="0.00%">
                  <c:v>-6.9363818199330199E-2</c:v>
                </c:pt>
                <c:pt idx="290" formatCode="0.00%">
                  <c:v>-6.5948711599855436E-2</c:v>
                </c:pt>
                <c:pt idx="291" formatCode="0.00%">
                  <c:v>-7.0928471790395881E-2</c:v>
                </c:pt>
                <c:pt idx="292" formatCode="0.00%">
                  <c:v>-7.6902208524856769E-2</c:v>
                </c:pt>
                <c:pt idx="293" formatCode="0.00%">
                  <c:v>-8.3758822451056841E-2</c:v>
                </c:pt>
                <c:pt idx="294" formatCode="0.00%">
                  <c:v>-8.089109334392415E-2</c:v>
                </c:pt>
                <c:pt idx="295" formatCode="0.00%">
                  <c:v>-8.6741792608112378E-2</c:v>
                </c:pt>
                <c:pt idx="296" formatCode="0.00%">
                  <c:v>-9.5158963793021301E-2</c:v>
                </c:pt>
                <c:pt idx="297" formatCode="0.00%">
                  <c:v>-0.11131019795713554</c:v>
                </c:pt>
                <c:pt idx="298" formatCode="0.00%">
                  <c:v>-0.10384586906546675</c:v>
                </c:pt>
                <c:pt idx="299" formatCode="0.00%">
                  <c:v>-0.1208037297635129</c:v>
                </c:pt>
                <c:pt idx="300" formatCode="0.00%">
                  <c:v>-7.6136035698046001E-2</c:v>
                </c:pt>
                <c:pt idx="301" formatCode="0.00%">
                  <c:v>-8.4487766048495866E-2</c:v>
                </c:pt>
                <c:pt idx="302" formatCode="0.00%">
                  <c:v>-3.5185791761952696E-2</c:v>
                </c:pt>
                <c:pt idx="303" formatCode="0.00%">
                  <c:v>-4.4457623795209303E-2</c:v>
                </c:pt>
                <c:pt idx="304" formatCode="0.00%">
                  <c:v>-6.4701299016380914E-2</c:v>
                </c:pt>
                <c:pt idx="305" formatCode="0.00%">
                  <c:v>3.4449657676657863E-4</c:v>
                </c:pt>
                <c:pt idx="306" formatCode="0.00%">
                  <c:v>-8.7533944233502206E-3</c:v>
                </c:pt>
                <c:pt idx="307" formatCode="0.00%">
                  <c:v>2.9893911404527754E-3</c:v>
                </c:pt>
                <c:pt idx="308" formatCode="0.00%">
                  <c:v>3.854085758769249E-3</c:v>
                </c:pt>
                <c:pt idx="309" formatCode="0.00%">
                  <c:v>7.153889274684036E-3</c:v>
                </c:pt>
                <c:pt idx="310" formatCode="0.00%">
                  <c:v>4.5026156554606456E-3</c:v>
                </c:pt>
                <c:pt idx="311" formatCode="0.00%">
                  <c:v>6.0511285566610673E-3</c:v>
                </c:pt>
                <c:pt idx="312" formatCode="0.00%">
                  <c:v>4.036319900052654E-3</c:v>
                </c:pt>
                <c:pt idx="313" formatCode="0.00%">
                  <c:v>7.6758424573352413E-3</c:v>
                </c:pt>
                <c:pt idx="314" formatCode="0.00%">
                  <c:v>9.2582614149910175E-3</c:v>
                </c:pt>
                <c:pt idx="315" formatCode="0.00%">
                  <c:v>5.54672300628474E-3</c:v>
                </c:pt>
                <c:pt idx="316" formatCode="0.00%">
                  <c:v>6.829558657559659E-3</c:v>
                </c:pt>
                <c:pt idx="317" formatCode="0.00%">
                  <c:v>1.6128217799001809E-2</c:v>
                </c:pt>
                <c:pt idx="318" formatCode="0.00%">
                  <c:v>1.4036039742394549E-2</c:v>
                </c:pt>
                <c:pt idx="319" formatCode="0.00%">
                  <c:v>5.9772403987746192E-3</c:v>
                </c:pt>
                <c:pt idx="320" formatCode="0.00%">
                  <c:v>4.0722994920189964E-3</c:v>
                </c:pt>
                <c:pt idx="321" formatCode="0.00%">
                  <c:v>1.8767824469346828E-2</c:v>
                </c:pt>
                <c:pt idx="322" formatCode="0.00%">
                  <c:v>2.0917436076178131E-2</c:v>
                </c:pt>
                <c:pt idx="323" formatCode="0.00%">
                  <c:v>2.1198439519796081E-2</c:v>
                </c:pt>
                <c:pt idx="324" formatCode="0.00%">
                  <c:v>1.719619944952841E-2</c:v>
                </c:pt>
                <c:pt idx="325" formatCode="0.00%">
                  <c:v>1.2318620417546625E-2</c:v>
                </c:pt>
                <c:pt idx="326" formatCode="0.00%">
                  <c:v>9.4923563212268441E-3</c:v>
                </c:pt>
                <c:pt idx="327" formatCode="0.00%">
                  <c:v>1.7722804211614582E-2</c:v>
                </c:pt>
                <c:pt idx="328" formatCode="0.00%">
                  <c:v>2.0535463443744822E-2</c:v>
                </c:pt>
                <c:pt idx="329" formatCode="0.00%">
                  <c:v>2.2682996313489773E-2</c:v>
                </c:pt>
                <c:pt idx="330" formatCode="0.00%">
                  <c:v>1.5834739760785962E-2</c:v>
                </c:pt>
                <c:pt idx="331" formatCode="0.00%">
                  <c:v>9.07139342985612E-3</c:v>
                </c:pt>
                <c:pt idx="332" formatCode="0.00%">
                  <c:v>1.0753060096522785E-2</c:v>
                </c:pt>
                <c:pt idx="333" formatCode="0.00%">
                  <c:v>1.4724465225801106E-2</c:v>
                </c:pt>
                <c:pt idx="334" formatCode="0.00%">
                  <c:v>9.9044111711470845E-3</c:v>
                </c:pt>
                <c:pt idx="335" formatCode="0.00%">
                  <c:v>8.9196656170925231E-3</c:v>
                </c:pt>
                <c:pt idx="336" formatCode="0.00%">
                  <c:v>1.0977354305156603E-2</c:v>
                </c:pt>
                <c:pt idx="337" formatCode="0.00%">
                  <c:v>8.6621696505014417E-3</c:v>
                </c:pt>
                <c:pt idx="338" formatCode="0.00%">
                  <c:v>6.1778998592111195E-3</c:v>
                </c:pt>
                <c:pt idx="339" formatCode="0.00%">
                  <c:v>9.0859729254264276E-3</c:v>
                </c:pt>
                <c:pt idx="340" formatCode="0.00%">
                  <c:v>4.8773200687456802E-3</c:v>
                </c:pt>
                <c:pt idx="341" formatCode="0.00%">
                  <c:v>1.0884785531731375E-2</c:v>
                </c:pt>
                <c:pt idx="342" formatCode="0.00%">
                  <c:v>1.0408546570017191E-2</c:v>
                </c:pt>
                <c:pt idx="343" formatCode="0.00%">
                  <c:v>8.8516411699422898E-3</c:v>
                </c:pt>
                <c:pt idx="344" formatCode="0.00%">
                  <c:v>4.4876937856331151E-3</c:v>
                </c:pt>
                <c:pt idx="345" formatCode="0.00%">
                  <c:v>-7.9105938674428611E-3</c:v>
                </c:pt>
                <c:pt idx="346" formatCode="0.00%">
                  <c:v>4.2171175947946504E-3</c:v>
                </c:pt>
                <c:pt idx="347" formatCode="0.00%">
                  <c:v>1.7555172035030736E-3</c:v>
                </c:pt>
                <c:pt idx="348" formatCode="0.00%">
                  <c:v>3.76558802407366E-3</c:v>
                </c:pt>
                <c:pt idx="349" formatCode="0.00%">
                  <c:v>7.9853691754976919E-3</c:v>
                </c:pt>
                <c:pt idx="350" formatCode="0.00%">
                  <c:v>-8.988697635762849E-3</c:v>
                </c:pt>
                <c:pt idx="351" formatCode="0.00%">
                  <c:v>-1.7396795974201296E-2</c:v>
                </c:pt>
                <c:pt idx="352" formatCode="0.00%">
                  <c:v>-2.40307601244268E-2</c:v>
                </c:pt>
                <c:pt idx="353" formatCode="0.00%">
                  <c:v>-2.8319846151455677E-2</c:v>
                </c:pt>
                <c:pt idx="354" formatCode="0.00%">
                  <c:v>-2.1614745495075458E-2</c:v>
                </c:pt>
                <c:pt idx="355" formatCode="0.00%">
                  <c:v>-3.0664745133590715E-2</c:v>
                </c:pt>
                <c:pt idx="356" formatCode="0.00%">
                  <c:v>-3.2434012757240768E-2</c:v>
                </c:pt>
                <c:pt idx="357" formatCode="0.00%">
                  <c:v>-3.4405006237197305E-2</c:v>
                </c:pt>
                <c:pt idx="358" formatCode="0.00%">
                  <c:v>-3.6118661441626385E-2</c:v>
                </c:pt>
                <c:pt idx="359" formatCode="0.00%">
                  <c:v>-3.5650174493128475E-2</c:v>
                </c:pt>
                <c:pt idx="360" formatCode="0.00%">
                  <c:v>-3.3090911107094681E-2</c:v>
                </c:pt>
                <c:pt idx="361" formatCode="0.00%">
                  <c:v>-4.5415844928115415E-2</c:v>
                </c:pt>
                <c:pt idx="362" formatCode="0.00%">
                  <c:v>-4.3173059713475695E-2</c:v>
                </c:pt>
                <c:pt idx="363" formatCode="0.00%">
                  <c:v>-5.0036727921209112E-2</c:v>
                </c:pt>
                <c:pt idx="364" formatCode="0.00%">
                  <c:v>-4.781851509230535E-2</c:v>
                </c:pt>
                <c:pt idx="365" formatCode="0.00%">
                  <c:v>-5.5659701282319479E-2</c:v>
                </c:pt>
                <c:pt idx="366" formatCode="0.00%">
                  <c:v>-5.3795415958600407E-2</c:v>
                </c:pt>
                <c:pt idx="367" formatCode="0.00%">
                  <c:v>-6.4343346535046309E-2</c:v>
                </c:pt>
                <c:pt idx="368" formatCode="0.00%">
                  <c:v>-6.8482140502871353E-2</c:v>
                </c:pt>
                <c:pt idx="369" formatCode="0.00%">
                  <c:v>-6.2955980476561813E-2</c:v>
                </c:pt>
                <c:pt idx="370" formatCode="0.00%">
                  <c:v>-7.336756669067504E-2</c:v>
                </c:pt>
                <c:pt idx="371" formatCode="0.00%">
                  <c:v>-9.9272775949576869E-2</c:v>
                </c:pt>
                <c:pt idx="372" formatCode="0.00%">
                  <c:v>-7.0671521527911757E-2</c:v>
                </c:pt>
                <c:pt idx="373" formatCode="0.00%">
                  <c:v>-6.1578849575413805E-2</c:v>
                </c:pt>
                <c:pt idx="374" formatCode="0.00%">
                  <c:v>-7.0733321154467968E-2</c:v>
                </c:pt>
                <c:pt idx="375" formatCode="0.00%">
                  <c:v>-9.1679580755217677E-2</c:v>
                </c:pt>
                <c:pt idx="376" formatCode="0.00%">
                  <c:v>-9.1777966174064446E-2</c:v>
                </c:pt>
                <c:pt idx="377" formatCode="0.00%">
                  <c:v>-8.6328666392382236E-2</c:v>
                </c:pt>
                <c:pt idx="378" formatCode="0.00%">
                  <c:v>-8.8035194983447765E-2</c:v>
                </c:pt>
                <c:pt idx="379" formatCode="0.00%">
                  <c:v>-8.787364615446798E-2</c:v>
                </c:pt>
                <c:pt idx="380" formatCode="0.00%">
                  <c:v>-8.5063362051235686E-2</c:v>
                </c:pt>
                <c:pt idx="381" formatCode="0.00%">
                  <c:v>-9.0138937639599515E-2</c:v>
                </c:pt>
                <c:pt idx="382" formatCode="0.00%">
                  <c:v>-9.2847124442076767E-2</c:v>
                </c:pt>
                <c:pt idx="383" formatCode="0.00%">
                  <c:v>-8.7487986538022394E-2</c:v>
                </c:pt>
                <c:pt idx="384" formatCode="0.00%">
                  <c:v>-8.4671087123532662E-2</c:v>
                </c:pt>
                <c:pt idx="385" formatCode="0.00%">
                  <c:v>-8.3924417482544061E-2</c:v>
                </c:pt>
                <c:pt idx="386" formatCode="0.00%">
                  <c:v>-7.0633625328190064E-2</c:v>
                </c:pt>
                <c:pt idx="387" formatCode="0.00%">
                  <c:v>-7.2434170492380157E-2</c:v>
                </c:pt>
                <c:pt idx="388" formatCode="0.00%">
                  <c:v>-6.8222914478415428E-2</c:v>
                </c:pt>
                <c:pt idx="389" formatCode="0.00%">
                  <c:v>-6.9981389696733398E-2</c:v>
                </c:pt>
                <c:pt idx="390" formatCode="0.00%">
                  <c:v>-6.5539906632769387E-2</c:v>
                </c:pt>
                <c:pt idx="391" formatCode="0.00%">
                  <c:v>-6.6418807876086783E-2</c:v>
                </c:pt>
                <c:pt idx="392" formatCode="0.00%">
                  <c:v>-6.0966178625787106E-2</c:v>
                </c:pt>
                <c:pt idx="393" formatCode="0.00%">
                  <c:v>-6.2055184856642714E-2</c:v>
                </c:pt>
                <c:pt idx="394" formatCode="0.00%">
                  <c:v>-5.7631218141778046E-2</c:v>
                </c:pt>
                <c:pt idx="395" formatCode="0.00%">
                  <c:v>-5.9584312275261189E-2</c:v>
                </c:pt>
                <c:pt idx="396" formatCode="0.00%">
                  <c:v>-5.9805592476836381E-2</c:v>
                </c:pt>
                <c:pt idx="397" formatCode="0.00%">
                  <c:v>-6.1970399948155293E-2</c:v>
                </c:pt>
                <c:pt idx="398" formatCode="0.00%">
                  <c:v>-6.6772194824584796E-2</c:v>
                </c:pt>
                <c:pt idx="399" formatCode="0.00%">
                  <c:v>-6.9622844821730867E-2</c:v>
                </c:pt>
                <c:pt idx="400" formatCode="0.00%">
                  <c:v>-8.1987530743802411E-2</c:v>
                </c:pt>
                <c:pt idx="401" formatCode="0.00%">
                  <c:v>-8.7073901205741877E-2</c:v>
                </c:pt>
                <c:pt idx="402" formatCode="0.00%">
                  <c:v>-8.4278615718879013E-2</c:v>
                </c:pt>
                <c:pt idx="403" formatCode="0.00%">
                  <c:v>-9.6382979879092806E-2</c:v>
                </c:pt>
                <c:pt idx="404" formatCode="0.00%">
                  <c:v>-9.3826727905671564E-2</c:v>
                </c:pt>
                <c:pt idx="405" formatCode="0.00%">
                  <c:v>-9.7852588022488002E-2</c:v>
                </c:pt>
                <c:pt idx="406" formatCode="0.00%">
                  <c:v>-0.10396122995852432</c:v>
                </c:pt>
                <c:pt idx="407" formatCode="0.00%">
                  <c:v>-9.6305286502485349E-2</c:v>
                </c:pt>
                <c:pt idx="408" formatCode="0.00%">
                  <c:v>-0.10026775645603604</c:v>
                </c:pt>
                <c:pt idx="409" formatCode="0.00%">
                  <c:v>-0.10970285360846035</c:v>
                </c:pt>
                <c:pt idx="410" formatCode="0.00%">
                  <c:v>-0.10895291460425582</c:v>
                </c:pt>
                <c:pt idx="411" formatCode="0.00%">
                  <c:v>-0.12372805118841504</c:v>
                </c:pt>
                <c:pt idx="412" formatCode="0.00%">
                  <c:v>-0.12067777564788666</c:v>
                </c:pt>
                <c:pt idx="413" formatCode="0.00%">
                  <c:v>-0.11721969733833076</c:v>
                </c:pt>
                <c:pt idx="414" formatCode="0.00%">
                  <c:v>-0.1183156568471463</c:v>
                </c:pt>
                <c:pt idx="415" formatCode="0.00%">
                  <c:v>-0.10080877822448481</c:v>
                </c:pt>
                <c:pt idx="416" formatCode="0.00%">
                  <c:v>-0.10120993217078382</c:v>
                </c:pt>
                <c:pt idx="417" formatCode="0.00%">
                  <c:v>-0.11020617425141395</c:v>
                </c:pt>
                <c:pt idx="418" formatCode="0.00%">
                  <c:v>-0.10931195827378806</c:v>
                </c:pt>
                <c:pt idx="419" formatCode="0.00%">
                  <c:v>-0.11476058442517133</c:v>
                </c:pt>
                <c:pt idx="420" formatCode="0.00%">
                  <c:v>-9.822854950954954E-2</c:v>
                </c:pt>
                <c:pt idx="421" formatCode="0.00%">
                  <c:v>-0.10220127082654969</c:v>
                </c:pt>
                <c:pt idx="422" formatCode="0.00%">
                  <c:v>-9.4656518204426332E-2</c:v>
                </c:pt>
                <c:pt idx="423" formatCode="0.00%">
                  <c:v>-0.10248582142490223</c:v>
                </c:pt>
                <c:pt idx="424" formatCode="0.00%">
                  <c:v>-0.10491931359264205</c:v>
                </c:pt>
                <c:pt idx="425" formatCode="0.00%">
                  <c:v>-0.11156807143971478</c:v>
                </c:pt>
                <c:pt idx="426" formatCode="0.00%">
                  <c:v>-0.14012531203907305</c:v>
                </c:pt>
                <c:pt idx="427" formatCode="0.00%">
                  <c:v>-0.13913632612610663</c:v>
                </c:pt>
                <c:pt idx="428" formatCode="0.00%">
                  <c:v>-0.14701679146841617</c:v>
                </c:pt>
                <c:pt idx="429" formatCode="0.00%">
                  <c:v>-0.14941997633389242</c:v>
                </c:pt>
                <c:pt idx="430" formatCode="0.00%">
                  <c:v>-0.14519358025858378</c:v>
                </c:pt>
                <c:pt idx="431" formatCode="0.00%">
                  <c:v>-0.15594736282414723</c:v>
                </c:pt>
                <c:pt idx="432" formatCode="0.00%">
                  <c:v>-0.15435928989663697</c:v>
                </c:pt>
                <c:pt idx="433" formatCode="0.00%">
                  <c:v>-0.15015750749958545</c:v>
                </c:pt>
                <c:pt idx="434" formatCode="0.00%">
                  <c:v>-0.16591397334743024</c:v>
                </c:pt>
                <c:pt idx="435" formatCode="0.00%">
                  <c:v>-0.16573530936571657</c:v>
                </c:pt>
                <c:pt idx="436" formatCode="0.00%">
                  <c:v>-0.14486166380559187</c:v>
                </c:pt>
                <c:pt idx="437" formatCode="0.00%">
                  <c:v>-0.14141713148369098</c:v>
                </c:pt>
                <c:pt idx="438" formatCode="0.00%">
                  <c:v>-0.13353983638982719</c:v>
                </c:pt>
                <c:pt idx="439" formatCode="0.00%">
                  <c:v>-0.14339326503355287</c:v>
                </c:pt>
                <c:pt idx="440" formatCode="0.00%">
                  <c:v>-0.17511585390851983</c:v>
                </c:pt>
                <c:pt idx="441" formatCode="0.00%">
                  <c:v>-0.18405734888170744</c:v>
                </c:pt>
                <c:pt idx="442" formatCode="0.00%">
                  <c:v>-0.18961496263117406</c:v>
                </c:pt>
                <c:pt idx="443" formatCode="0.00%">
                  <c:v>-0.18095801725831476</c:v>
                </c:pt>
                <c:pt idx="444" formatCode="0.00%">
                  <c:v>-0.20542098985396556</c:v>
                </c:pt>
                <c:pt idx="445" formatCode="0.00%">
                  <c:v>-0.19547464809214868</c:v>
                </c:pt>
                <c:pt idx="446" formatCode="0.00%">
                  <c:v>-0.20017310386245099</c:v>
                </c:pt>
                <c:pt idx="447" formatCode="0.00%">
                  <c:v>-0.20054597636868171</c:v>
                </c:pt>
                <c:pt idx="448" formatCode="0.00%">
                  <c:v>-0.18712619578938214</c:v>
                </c:pt>
                <c:pt idx="449" formatCode="0.00%">
                  <c:v>-0.19301911369918481</c:v>
                </c:pt>
                <c:pt idx="450" formatCode="0.00%">
                  <c:v>-0.18374722652808853</c:v>
                </c:pt>
                <c:pt idx="451" formatCode="0.00%">
                  <c:v>-0.1772798803599627</c:v>
                </c:pt>
                <c:pt idx="452" formatCode="0.00%">
                  <c:v>-0.17852693226536798</c:v>
                </c:pt>
                <c:pt idx="453" formatCode="0.00%">
                  <c:v>-0.18921264786329903</c:v>
                </c:pt>
                <c:pt idx="454" formatCode="0.00%">
                  <c:v>-0.18099867577263956</c:v>
                </c:pt>
                <c:pt idx="455" formatCode="0.00%">
                  <c:v>-0.17182236158314002</c:v>
                </c:pt>
                <c:pt idx="456" formatCode="0.00%">
                  <c:v>-0.18505742107374543</c:v>
                </c:pt>
                <c:pt idx="457" formatCode="0.00%">
                  <c:v>-0.18446512189863759</c:v>
                </c:pt>
                <c:pt idx="458" formatCode="0.00%">
                  <c:v>-0.19198353356562572</c:v>
                </c:pt>
                <c:pt idx="459" formatCode="0.00%">
                  <c:v>-0.19154148571863433</c:v>
                </c:pt>
                <c:pt idx="460" formatCode="0.00%">
                  <c:v>-0.22243706729650176</c:v>
                </c:pt>
                <c:pt idx="461" formatCode="0.00%">
                  <c:v>-0.22682059970265844</c:v>
                </c:pt>
                <c:pt idx="462" formatCode="0.00%">
                  <c:v>-0.22469319836706741</c:v>
                </c:pt>
                <c:pt idx="463" formatCode="0.00%">
                  <c:v>-0.21492671773645758</c:v>
                </c:pt>
                <c:pt idx="464" formatCode="0.00%">
                  <c:v>-0.2261851028313564</c:v>
                </c:pt>
                <c:pt idx="465" formatCode="0.00%">
                  <c:v>-0.21553573111859226</c:v>
                </c:pt>
                <c:pt idx="466" formatCode="0.00%">
                  <c:v>-0.22147393244554467</c:v>
                </c:pt>
                <c:pt idx="467" formatCode="0.00%">
                  <c:v>-0.22112815382024595</c:v>
                </c:pt>
                <c:pt idx="468" formatCode="0.00%">
                  <c:v>-0.22268043252550312</c:v>
                </c:pt>
                <c:pt idx="469" formatCode="0.00%">
                  <c:v>-0.21521409727636195</c:v>
                </c:pt>
                <c:pt idx="470" formatCode="0.00%">
                  <c:v>-0.20833041270632485</c:v>
                </c:pt>
                <c:pt idx="471" formatCode="0.00%">
                  <c:v>-0.19450635333585184</c:v>
                </c:pt>
                <c:pt idx="472" formatCode="0.00%">
                  <c:v>-0.19261541554764938</c:v>
                </c:pt>
                <c:pt idx="473" formatCode="0.00%">
                  <c:v>-0.21262673899605075</c:v>
                </c:pt>
                <c:pt idx="474" formatCode="0.00%">
                  <c:v>-0.21272041345212495</c:v>
                </c:pt>
                <c:pt idx="475" formatCode="0.00%">
                  <c:v>-0.20819390209199104</c:v>
                </c:pt>
                <c:pt idx="476" formatCode="0.00%">
                  <c:v>-0.19928182901988706</c:v>
                </c:pt>
                <c:pt idx="477" formatCode="0.00%">
                  <c:v>-0.20147005355790679</c:v>
                </c:pt>
                <c:pt idx="478" formatCode="0.00%">
                  <c:v>-0.19818917252715892</c:v>
                </c:pt>
                <c:pt idx="479" formatCode="0.00%">
                  <c:v>-0.19871423708670463</c:v>
                </c:pt>
                <c:pt idx="480" formatCode="0.00%">
                  <c:v>-0.20451596739788058</c:v>
                </c:pt>
                <c:pt idx="481" formatCode="0.00%">
                  <c:v>-0.20003580297667731</c:v>
                </c:pt>
                <c:pt idx="482" formatCode="0.00%">
                  <c:v>-0.19376115852438106</c:v>
                </c:pt>
                <c:pt idx="483" formatCode="0.00%">
                  <c:v>-0.1922535775238022</c:v>
                </c:pt>
                <c:pt idx="484" formatCode="0.00%">
                  <c:v>-0.17883197404430756</c:v>
                </c:pt>
                <c:pt idx="485" formatCode="0.00%">
                  <c:v>-0.17336536028233868</c:v>
                </c:pt>
                <c:pt idx="486" formatCode="0.00%">
                  <c:v>-0.16864687943206105</c:v>
                </c:pt>
                <c:pt idx="487" formatCode="0.00%">
                  <c:v>-0.17521297811359304</c:v>
                </c:pt>
                <c:pt idx="488" formatCode="0.00%">
                  <c:v>-0.17870480993566654</c:v>
                </c:pt>
                <c:pt idx="489" formatCode="0.00%">
                  <c:v>-0.18062723515969187</c:v>
                </c:pt>
                <c:pt idx="490" formatCode="0.00%">
                  <c:v>-0.17519530342758199</c:v>
                </c:pt>
                <c:pt idx="491" formatCode="0.00%">
                  <c:v>-0.17737509039999763</c:v>
                </c:pt>
                <c:pt idx="492" formatCode="0.00%">
                  <c:v>-0.18284149479434778</c:v>
                </c:pt>
                <c:pt idx="493" formatCode="0.00%">
                  <c:v>-0.19221961856781369</c:v>
                </c:pt>
                <c:pt idx="494" formatCode="0.00%">
                  <c:v>-0.19629074169115066</c:v>
                </c:pt>
                <c:pt idx="495" formatCode="0.00%">
                  <c:v>-0.19576078983983219</c:v>
                </c:pt>
                <c:pt idx="496" formatCode="0.00%">
                  <c:v>-0.19652032385935247</c:v>
                </c:pt>
                <c:pt idx="497" formatCode="0.00%">
                  <c:v>-0.19662112481062807</c:v>
                </c:pt>
                <c:pt idx="498" formatCode="0.00%">
                  <c:v>-0.19249501069342564</c:v>
                </c:pt>
                <c:pt idx="499" formatCode="0.00%">
                  <c:v>-0.19859774036643138</c:v>
                </c:pt>
                <c:pt idx="500" formatCode="0.00%">
                  <c:v>-0.19737149457745698</c:v>
                </c:pt>
                <c:pt idx="501" formatCode="0.00%">
                  <c:v>-0.20020572074079918</c:v>
                </c:pt>
                <c:pt idx="502" formatCode="0.00%">
                  <c:v>-0.1973632565182766</c:v>
                </c:pt>
                <c:pt idx="503" formatCode="0.00%">
                  <c:v>-0.19561038275962356</c:v>
                </c:pt>
                <c:pt idx="504" formatCode="0.00%">
                  <c:v>-0.19770243632677134</c:v>
                </c:pt>
                <c:pt idx="505" formatCode="0.00%">
                  <c:v>-0.1925133523702619</c:v>
                </c:pt>
                <c:pt idx="506" formatCode="0.00%">
                  <c:v>-0.19392741116290271</c:v>
                </c:pt>
                <c:pt idx="507" formatCode="0.00%">
                  <c:v>-0.19809270077814353</c:v>
                </c:pt>
                <c:pt idx="508" formatCode="0.00%">
                  <c:v>-0.21005983473107451</c:v>
                </c:pt>
                <c:pt idx="509" formatCode="0.00%">
                  <c:v>-0.19780987900915123</c:v>
                </c:pt>
                <c:pt idx="510" formatCode="0.00%">
                  <c:v>-0.19157774560352106</c:v>
                </c:pt>
                <c:pt idx="511" formatCode="0.00%">
                  <c:v>-0.17984959404120934</c:v>
                </c:pt>
                <c:pt idx="512" formatCode="0.00%">
                  <c:v>-0.17659072324473779</c:v>
                </c:pt>
                <c:pt idx="513" formatCode="0.00%">
                  <c:v>-0.17740753617574506</c:v>
                </c:pt>
                <c:pt idx="514" formatCode="0.00%">
                  <c:v>-0.16777418463753224</c:v>
                </c:pt>
                <c:pt idx="515" formatCode="0.00%">
                  <c:v>-0.17051702210067024</c:v>
                </c:pt>
                <c:pt idx="516" formatCode="0.00%">
                  <c:v>-0.17419057425277307</c:v>
                </c:pt>
                <c:pt idx="517" formatCode="0.00%">
                  <c:v>-0.16782608236208071</c:v>
                </c:pt>
                <c:pt idx="518" formatCode="0.00%">
                  <c:v>-0.16789773592904761</c:v>
                </c:pt>
                <c:pt idx="519" formatCode="0.00%">
                  <c:v>-0.17127198935142021</c:v>
                </c:pt>
                <c:pt idx="520" formatCode="0.00%">
                  <c:v>-0.17544596483768049</c:v>
                </c:pt>
                <c:pt idx="521" formatCode="0.00%">
                  <c:v>-0.17574045908880465</c:v>
                </c:pt>
                <c:pt idx="522" formatCode="0.00%">
                  <c:v>-0.18214103294901779</c:v>
                </c:pt>
                <c:pt idx="523" formatCode="0.00%">
                  <c:v>-0.15624961874774063</c:v>
                </c:pt>
                <c:pt idx="524" formatCode="0.00%">
                  <c:v>-0.17068090054286114</c:v>
                </c:pt>
                <c:pt idx="525" formatCode="0.00%">
                  <c:v>-0.18800875683047649</c:v>
                </c:pt>
                <c:pt idx="526" formatCode="0.00%">
                  <c:v>-0.17387942972799847</c:v>
                </c:pt>
                <c:pt idx="527" formatCode="0.00%">
                  <c:v>-0.17432696907529671</c:v>
                </c:pt>
                <c:pt idx="528" formatCode="0.00%">
                  <c:v>-0.18215256457829954</c:v>
                </c:pt>
                <c:pt idx="529" formatCode="0.00%">
                  <c:v>-0.17993790579136615</c:v>
                </c:pt>
                <c:pt idx="530" formatCode="0.00%">
                  <c:v>-0.16353600376261243</c:v>
                </c:pt>
                <c:pt idx="531" formatCode="0.00%">
                  <c:v>-0.15967164015968738</c:v>
                </c:pt>
                <c:pt idx="532" formatCode="0.00%">
                  <c:v>-0.15373392138911599</c:v>
                </c:pt>
                <c:pt idx="533" formatCode="0.00%">
                  <c:v>-0.1466463148874641</c:v>
                </c:pt>
                <c:pt idx="534" formatCode="0.00%">
                  <c:v>-0.14709276950210237</c:v>
                </c:pt>
                <c:pt idx="535" formatCode="0.00%">
                  <c:v>-0.15853474481966989</c:v>
                </c:pt>
                <c:pt idx="536" formatCode="0.00%">
                  <c:v>-0.15325310099726494</c:v>
                </c:pt>
                <c:pt idx="537" formatCode="0.00%">
                  <c:v>-0.14783867263849099</c:v>
                </c:pt>
                <c:pt idx="538" formatCode="0.00%">
                  <c:v>-0.15159821712834148</c:v>
                </c:pt>
                <c:pt idx="539" formatCode="0.00%">
                  <c:v>-0.14997887947206173</c:v>
                </c:pt>
                <c:pt idx="540" formatCode="0.00%">
                  <c:v>-0.14658464477136235</c:v>
                </c:pt>
                <c:pt idx="541" formatCode="0.00%">
                  <c:v>-0.15028114448368365</c:v>
                </c:pt>
                <c:pt idx="542" formatCode="0.00%">
                  <c:v>-0.15605029036279022</c:v>
                </c:pt>
                <c:pt idx="543" formatCode="0.00%">
                  <c:v>-0.14816983115906693</c:v>
                </c:pt>
                <c:pt idx="544" formatCode="0.00%">
                  <c:v>-0.13472271082728815</c:v>
                </c:pt>
                <c:pt idx="545" formatCode="0.00%">
                  <c:v>-0.12749045001636855</c:v>
                </c:pt>
                <c:pt idx="546" formatCode="0.00%">
                  <c:v>-0.11107597671998842</c:v>
                </c:pt>
                <c:pt idx="547" formatCode="0.00%">
                  <c:v>-0.10766698135762126</c:v>
                </c:pt>
                <c:pt idx="548" formatCode="0.00%">
                  <c:v>-0.10188123868359189</c:v>
                </c:pt>
                <c:pt idx="549" formatCode="0.00%">
                  <c:v>-0.10949510812527166</c:v>
                </c:pt>
                <c:pt idx="550" formatCode="0.00%">
                  <c:v>-0.11137986694015278</c:v>
                </c:pt>
                <c:pt idx="551" formatCode="0.00%">
                  <c:v>-0.10889978368778741</c:v>
                </c:pt>
                <c:pt idx="552" formatCode="0.00%">
                  <c:v>-9.8048253865951479E-2</c:v>
                </c:pt>
                <c:pt idx="553" formatCode="0.00%">
                  <c:v>-0.10200559264604872</c:v>
                </c:pt>
                <c:pt idx="554" formatCode="0.00%">
                  <c:v>-0.10115593482121576</c:v>
                </c:pt>
                <c:pt idx="555" formatCode="0.00%">
                  <c:v>-0.10936767289172714</c:v>
                </c:pt>
                <c:pt idx="556" formatCode="0.00%">
                  <c:v>-0.10863796070837894</c:v>
                </c:pt>
                <c:pt idx="557" formatCode="0.00%">
                  <c:v>-0.11000246827889293</c:v>
                </c:pt>
                <c:pt idx="558" formatCode="0.00%">
                  <c:v>-0.11160063720773686</c:v>
                </c:pt>
                <c:pt idx="559" formatCode="0.00%">
                  <c:v>-0.10194899233009397</c:v>
                </c:pt>
                <c:pt idx="560" formatCode="0.00%">
                  <c:v>-0.10366511389721883</c:v>
                </c:pt>
                <c:pt idx="561" formatCode="0.00%">
                  <c:v>-0.10994779867923582</c:v>
                </c:pt>
                <c:pt idx="562" formatCode="0.00%">
                  <c:v>-0.11097338535717768</c:v>
                </c:pt>
                <c:pt idx="563" formatCode="0.00%">
                  <c:v>-0.11020160805474638</c:v>
                </c:pt>
                <c:pt idx="564" formatCode="0.00%">
                  <c:v>-0.11937579457772873</c:v>
                </c:pt>
                <c:pt idx="565" formatCode="0.00%">
                  <c:v>-0.11976950419132038</c:v>
                </c:pt>
                <c:pt idx="566" formatCode="0.00%">
                  <c:v>-0.12267447684785279</c:v>
                </c:pt>
                <c:pt idx="567" formatCode="0.00%">
                  <c:v>-0.12090453574259749</c:v>
                </c:pt>
                <c:pt idx="568" formatCode="0.00%">
                  <c:v>-0.13314724309912926</c:v>
                </c:pt>
                <c:pt idx="569" formatCode="0.00%">
                  <c:v>-0.13997888695483957</c:v>
                </c:pt>
                <c:pt idx="570" formatCode="0.00%">
                  <c:v>-0.13177265131624846</c:v>
                </c:pt>
                <c:pt idx="571" formatCode="0.00%">
                  <c:v>-0.13087931479297063</c:v>
                </c:pt>
                <c:pt idx="572" formatCode="0.00%">
                  <c:v>-0.13290252833216004</c:v>
                </c:pt>
                <c:pt idx="573" formatCode="0.00%">
                  <c:v>-0.12967191110265527</c:v>
                </c:pt>
                <c:pt idx="574" formatCode="0.00%">
                  <c:v>-0.12524282029070979</c:v>
                </c:pt>
                <c:pt idx="575" formatCode="0.00%">
                  <c:v>-0.10609770760893686</c:v>
                </c:pt>
                <c:pt idx="576" formatCode="0.00%">
                  <c:v>-0.11220984362417299</c:v>
                </c:pt>
                <c:pt idx="577" formatCode="0.00%">
                  <c:v>-0.15288089408401662</c:v>
                </c:pt>
                <c:pt idx="578" formatCode="0.00%">
                  <c:v>-0.13299041508295117</c:v>
                </c:pt>
                <c:pt idx="579" formatCode="0.00%">
                  <c:v>-0.14596347844219104</c:v>
                </c:pt>
                <c:pt idx="580" formatCode="0.00%">
                  <c:v>-0.15268920235773664</c:v>
                </c:pt>
                <c:pt idx="581" formatCode="0.00%">
                  <c:v>-0.15805365390023027</c:v>
                </c:pt>
                <c:pt idx="582" formatCode="0.00%">
                  <c:v>-0.15466669306472475</c:v>
                </c:pt>
                <c:pt idx="583" formatCode="0.00%">
                  <c:v>-0.17229719219858816</c:v>
                </c:pt>
                <c:pt idx="584" formatCode="0.00%">
                  <c:v>-0.18066736778552528</c:v>
                </c:pt>
                <c:pt idx="585" formatCode="0.00%">
                  <c:v>-0.1788850880134511</c:v>
                </c:pt>
                <c:pt idx="586" formatCode="0.00%">
                  <c:v>-0.17853771520661699</c:v>
                </c:pt>
                <c:pt idx="587" formatCode="0.00%">
                  <c:v>-0.18318351770038624</c:v>
                </c:pt>
                <c:pt idx="588" formatCode="0.00%">
                  <c:v>-0.19106556126690899</c:v>
                </c:pt>
                <c:pt idx="589" formatCode="0.00%">
                  <c:v>-0.20842941318658303</c:v>
                </c:pt>
                <c:pt idx="590" formatCode="0.00%">
                  <c:v>-0.20659348501931091</c:v>
                </c:pt>
                <c:pt idx="591" formatCode="0.00%">
                  <c:v>-0.20490071308574798</c:v>
                </c:pt>
                <c:pt idx="592" formatCode="0.00%">
                  <c:v>-0.19305292414099814</c:v>
                </c:pt>
                <c:pt idx="593" formatCode="0.00%">
                  <c:v>-0.19113753587688592</c:v>
                </c:pt>
                <c:pt idx="594" formatCode="0.00%">
                  <c:v>-0.1911540980593977</c:v>
                </c:pt>
                <c:pt idx="595" formatCode="0.00%">
                  <c:v>-0.19535342768117034</c:v>
                </c:pt>
                <c:pt idx="596" formatCode="0.00%">
                  <c:v>-0.20752133574513434</c:v>
                </c:pt>
                <c:pt idx="597" formatCode="0.00%">
                  <c:v>-0.22858134814025599</c:v>
                </c:pt>
                <c:pt idx="598" formatCode="0.00%">
                  <c:v>-0.22969585886398658</c:v>
                </c:pt>
                <c:pt idx="599" formatCode="0.00%">
                  <c:v>-0.23049429456631337</c:v>
                </c:pt>
                <c:pt idx="600" formatCode="0.00%">
                  <c:v>-0.22624732359116068</c:v>
                </c:pt>
                <c:pt idx="601" formatCode="0.00%">
                  <c:v>-0.23440227673702929</c:v>
                </c:pt>
                <c:pt idx="602" formatCode="0.00%">
                  <c:v>-0.23328585540181881</c:v>
                </c:pt>
                <c:pt idx="603" formatCode="0.00%">
                  <c:v>-0.22687812182606873</c:v>
                </c:pt>
                <c:pt idx="604" formatCode="0.00%">
                  <c:v>-0.22490323631868389</c:v>
                </c:pt>
                <c:pt idx="605" formatCode="0.00%">
                  <c:v>-0.22412271503075867</c:v>
                </c:pt>
                <c:pt idx="606" formatCode="0.00%">
                  <c:v>-0.20625815974470543</c:v>
                </c:pt>
                <c:pt idx="607" formatCode="0.00%">
                  <c:v>-0.19281185371514908</c:v>
                </c:pt>
                <c:pt idx="608" formatCode="0.00%">
                  <c:v>-0.17564061519507426</c:v>
                </c:pt>
                <c:pt idx="609" formatCode="0.00%">
                  <c:v>-0.18607853919093309</c:v>
                </c:pt>
                <c:pt idx="610" formatCode="0.00%">
                  <c:v>-0.18099685949751287</c:v>
                </c:pt>
                <c:pt idx="611" formatCode="0.00%">
                  <c:v>-0.17830459679137042</c:v>
                </c:pt>
                <c:pt idx="612" formatCode="0.00%">
                  <c:v>-0.17658855503361709</c:v>
                </c:pt>
                <c:pt idx="613" formatCode="0.00%">
                  <c:v>-0.1761471184468128</c:v>
                </c:pt>
                <c:pt idx="614" formatCode="0.00%">
                  <c:v>-0.17741600843433464</c:v>
                </c:pt>
                <c:pt idx="615" formatCode="0.00%">
                  <c:v>-0.17905012569182105</c:v>
                </c:pt>
                <c:pt idx="616" formatCode="0.00%">
                  <c:v>-0.17281887914158742</c:v>
                </c:pt>
                <c:pt idx="617" formatCode="0.00%">
                  <c:v>-0.16192550757985491</c:v>
                </c:pt>
                <c:pt idx="618" formatCode="0.00%">
                  <c:v>-0.1669373717539982</c:v>
                </c:pt>
                <c:pt idx="619" formatCode="0.00%">
                  <c:v>-0.16462083227012414</c:v>
                </c:pt>
                <c:pt idx="620" formatCode="0.00%">
                  <c:v>-0.15633201892087281</c:v>
                </c:pt>
                <c:pt idx="621" formatCode="0.00%">
                  <c:v>-0.16162414862207714</c:v>
                </c:pt>
                <c:pt idx="622" formatCode="0.00%">
                  <c:v>-0.15378469370683587</c:v>
                </c:pt>
                <c:pt idx="623" formatCode="0.00%">
                  <c:v>-0.15404030757215431</c:v>
                </c:pt>
                <c:pt idx="624" formatCode="0.00%">
                  <c:v>-0.16341791762808922</c:v>
                </c:pt>
                <c:pt idx="625" formatCode="0.00%">
                  <c:v>-0.16085752774633266</c:v>
                </c:pt>
                <c:pt idx="626" formatCode="0.00%">
                  <c:v>-0.16590748499790722</c:v>
                </c:pt>
                <c:pt idx="627" formatCode="0.00%">
                  <c:v>-0.15730134627860953</c:v>
                </c:pt>
                <c:pt idx="628" formatCode="0.00%">
                  <c:v>-0.14673396695315918</c:v>
                </c:pt>
                <c:pt idx="629" formatCode="0.00%">
                  <c:v>-0.13178695227545126</c:v>
                </c:pt>
                <c:pt idx="630" formatCode="0.00%">
                  <c:v>-0.12595738937425086</c:v>
                </c:pt>
                <c:pt idx="631" formatCode="0.00%">
                  <c:v>-0.12983785522155208</c:v>
                </c:pt>
                <c:pt idx="632" formatCode="0.00%">
                  <c:v>-0.13008894957763351</c:v>
                </c:pt>
                <c:pt idx="633" formatCode="0.00%">
                  <c:v>-0.12497410660660943</c:v>
                </c:pt>
                <c:pt idx="634" formatCode="0.00%">
                  <c:v>-0.13095693696134023</c:v>
                </c:pt>
                <c:pt idx="635" formatCode="0.00%">
                  <c:v>-0.12634356026711818</c:v>
                </c:pt>
                <c:pt idx="636" formatCode="0.00%">
                  <c:v>-0.11993529384952711</c:v>
                </c:pt>
                <c:pt idx="637" formatCode="0.00%">
                  <c:v>-0.1222115600587888</c:v>
                </c:pt>
                <c:pt idx="638" formatCode="0.00%">
                  <c:v>-0.12880928447613255</c:v>
                </c:pt>
                <c:pt idx="639" formatCode="0.00%">
                  <c:v>-0.12678745661659782</c:v>
                </c:pt>
                <c:pt idx="640" formatCode="0.00%">
                  <c:v>-0.12922343228724709</c:v>
                </c:pt>
                <c:pt idx="641" formatCode="0.00%">
                  <c:v>-0.13513288163800155</c:v>
                </c:pt>
                <c:pt idx="642" formatCode="0.00%">
                  <c:v>-0.13490764754903814</c:v>
                </c:pt>
                <c:pt idx="643" formatCode="0.00%">
                  <c:v>-0.12960505972013478</c:v>
                </c:pt>
                <c:pt idx="644" formatCode="0.00%">
                  <c:v>-0.12251402004956136</c:v>
                </c:pt>
                <c:pt idx="645" formatCode="0.00%">
                  <c:v>-0.12125399256149993</c:v>
                </c:pt>
                <c:pt idx="646" formatCode="0.00%">
                  <c:v>-0.11439700641682995</c:v>
                </c:pt>
                <c:pt idx="647" formatCode="0.00%">
                  <c:v>-6.0747931218330387E-2</c:v>
                </c:pt>
                <c:pt idx="648" formatCode="0.00%">
                  <c:v>-6.4773913338153161E-2</c:v>
                </c:pt>
                <c:pt idx="649" formatCode="0.00%">
                  <c:v>-6.5099730465554395E-2</c:v>
                </c:pt>
                <c:pt idx="650" formatCode="0.00%">
                  <c:v>-6.9031725263978938E-2</c:v>
                </c:pt>
                <c:pt idx="651" formatCode="0.00%">
                  <c:v>-6.5032814728918281E-2</c:v>
                </c:pt>
                <c:pt idx="652" formatCode="0.00%">
                  <c:v>-6.0278230146559725E-2</c:v>
                </c:pt>
                <c:pt idx="653" formatCode="0.00%">
                  <c:v>-5.4309174292726581E-2</c:v>
                </c:pt>
                <c:pt idx="654" formatCode="0.00%">
                  <c:v>-5.3151906198512205E-2</c:v>
                </c:pt>
                <c:pt idx="655" formatCode="0.00%">
                  <c:v>-6.1625286591452499E-2</c:v>
                </c:pt>
                <c:pt idx="656" formatCode="0.00%">
                  <c:v>-6.9841156911651714E-2</c:v>
                </c:pt>
                <c:pt idx="657" formatCode="0.00%">
                  <c:v>-6.9778753666533327E-2</c:v>
                </c:pt>
                <c:pt idx="658" formatCode="0.00%">
                  <c:v>-7.355646801240473E-2</c:v>
                </c:pt>
                <c:pt idx="659" formatCode="0.00%">
                  <c:v>-6.9226505583353942E-2</c:v>
                </c:pt>
                <c:pt idx="660" formatCode="0.00%">
                  <c:v>-6.0363876012632878E-2</c:v>
                </c:pt>
                <c:pt idx="661" formatCode="0.00%">
                  <c:v>-5.7378132956628358E-2</c:v>
                </c:pt>
                <c:pt idx="662" formatCode="0.00%">
                  <c:v>-4.9800410646042903E-2</c:v>
                </c:pt>
                <c:pt idx="663" formatCode="0.00%">
                  <c:v>-4.7693354123145737E-2</c:v>
                </c:pt>
                <c:pt idx="664" formatCode="0.00%">
                  <c:v>-4.1639664333504633E-2</c:v>
                </c:pt>
                <c:pt idx="665" formatCode="0.00%">
                  <c:v>-4.4272539849571468E-2</c:v>
                </c:pt>
                <c:pt idx="666" formatCode="0.00%">
                  <c:v>-4.849078478973623E-2</c:v>
                </c:pt>
                <c:pt idx="667" formatCode="0.00%">
                  <c:v>-4.7837598545816651E-2</c:v>
                </c:pt>
                <c:pt idx="668" formatCode="0.00%">
                  <c:v>-4.0387280359328537E-2</c:v>
                </c:pt>
                <c:pt idx="669" formatCode="0.00%">
                  <c:v>-3.3728113963458373E-2</c:v>
                </c:pt>
                <c:pt idx="670" formatCode="0.00%">
                  <c:v>-1.8589513662855328E-2</c:v>
                </c:pt>
                <c:pt idx="671" formatCode="0.00%">
                  <c:v>2.3728206458528134E-3</c:v>
                </c:pt>
                <c:pt idx="672" formatCode="0.00%">
                  <c:v>5.0514536773146324E-3</c:v>
                </c:pt>
                <c:pt idx="673" formatCode="0.00%">
                  <c:v>2.742849740301867E-3</c:v>
                </c:pt>
                <c:pt idx="674" formatCode="0.00%">
                  <c:v>1.3538632570410214E-2</c:v>
                </c:pt>
                <c:pt idx="675" formatCode="0.00%">
                  <c:v>-5.4569615716342224E-3</c:v>
                </c:pt>
                <c:pt idx="676" formatCode="0.00%">
                  <c:v>-6.16820883544833E-3</c:v>
                </c:pt>
                <c:pt idx="677" formatCode="0.00%">
                  <c:v>-1.0790528340404393E-2</c:v>
                </c:pt>
                <c:pt idx="678" formatCode="0.00%">
                  <c:v>8.7814593240871375E-3</c:v>
                </c:pt>
                <c:pt idx="679" formatCode="0.00%">
                  <c:v>1.999904726571744E-4</c:v>
                </c:pt>
                <c:pt idx="680" formatCode="0.00%">
                  <c:v>2.0189697640202175E-3</c:v>
                </c:pt>
                <c:pt idx="681" formatCode="0.00%">
                  <c:v>-3.3576447378601548E-3</c:v>
                </c:pt>
                <c:pt idx="682" formatCode="0.00%">
                  <c:v>-4.9016958904892771E-3</c:v>
                </c:pt>
                <c:pt idx="683" formatCode="0.00%">
                  <c:v>-5.5833540933390435E-3</c:v>
                </c:pt>
                <c:pt idx="684" formatCode="0.00%">
                  <c:v>-1.3319584235459647E-2</c:v>
                </c:pt>
                <c:pt idx="685" formatCode="0.00%">
                  <c:v>-1.1666177149724455E-2</c:v>
                </c:pt>
                <c:pt idx="686" formatCode="0.00%">
                  <c:v>-2.3317540198372622E-2</c:v>
                </c:pt>
                <c:pt idx="687" formatCode="0.00%">
                  <c:v>-2.4192932871647643E-2</c:v>
                </c:pt>
                <c:pt idx="688" formatCode="0.00%">
                  <c:v>-2.7885054501753492E-2</c:v>
                </c:pt>
                <c:pt idx="689" formatCode="0.00%">
                  <c:v>-1.9656338783508587E-2</c:v>
                </c:pt>
                <c:pt idx="690" formatCode="0.00%">
                  <c:v>-2.0475975488162934E-2</c:v>
                </c:pt>
                <c:pt idx="691" formatCode="0.00%">
                  <c:v>-1.7546810314365002E-2</c:v>
                </c:pt>
                <c:pt idx="692" formatCode="0.00%">
                  <c:v>-2.1282669997399861E-2</c:v>
                </c:pt>
                <c:pt idx="693" formatCode="0.00%">
                  <c:v>-2.9715426435316439E-2</c:v>
                </c:pt>
                <c:pt idx="694" formatCode="0.00%">
                  <c:v>-1.9233405292897743E-2</c:v>
                </c:pt>
                <c:pt idx="695" formatCode="0.00%">
                  <c:v>-5.7109313603875833E-3</c:v>
                </c:pt>
                <c:pt idx="696" formatCode="0.00%">
                  <c:v>1.6315483382482621E-2</c:v>
                </c:pt>
                <c:pt idx="697" formatCode="0.00%">
                  <c:v>7.7427681519250946E-3</c:v>
                </c:pt>
                <c:pt idx="698" formatCode="0.00%">
                  <c:v>-4.5125130052066642E-3</c:v>
                </c:pt>
                <c:pt idx="699" formatCode="0.00%">
                  <c:v>-7.4298666692018678E-4</c:v>
                </c:pt>
                <c:pt idx="700" formatCode="0.00%">
                  <c:v>2.76185528750722E-3</c:v>
                </c:pt>
                <c:pt idx="701" formatCode="0.00%">
                  <c:v>-8.5144715739806642E-3</c:v>
                </c:pt>
                <c:pt idx="702" formatCode="0.00%">
                  <c:v>-1.6232822774807587E-2</c:v>
                </c:pt>
                <c:pt idx="703" formatCode="0.00%">
                  <c:v>-2.3414361068726353E-2</c:v>
                </c:pt>
                <c:pt idx="704" formatCode="0.00%">
                  <c:v>-1.9387599874431449E-2</c:v>
                </c:pt>
                <c:pt idx="705" formatCode="0.00%">
                  <c:v>-1.2347285252056417E-2</c:v>
                </c:pt>
                <c:pt idx="706" formatCode="0.00%">
                  <c:v>-1.2714695877805271E-2</c:v>
                </c:pt>
                <c:pt idx="707" formatCode="0.00%">
                  <c:v>-1.0149679291997227E-2</c:v>
                </c:pt>
                <c:pt idx="708" formatCode="0.00%">
                  <c:v>-5.1471303633201404E-2</c:v>
                </c:pt>
                <c:pt idx="709" formatCode="0.00%">
                  <c:v>-4.8579040006177798E-2</c:v>
                </c:pt>
                <c:pt idx="710" formatCode="0.00%">
                  <c:v>-4.179347288920332E-2</c:v>
                </c:pt>
                <c:pt idx="711" formatCode="0.00%">
                  <c:v>-3.9485710204501867E-2</c:v>
                </c:pt>
                <c:pt idx="712" formatCode="0.00%">
                  <c:v>-3.8042965075872681E-2</c:v>
                </c:pt>
                <c:pt idx="713" formatCode="0.00%">
                  <c:v>-3.82732085375313E-2</c:v>
                </c:pt>
                <c:pt idx="714" formatCode="0.00%">
                  <c:v>-3.8996180262261038E-2</c:v>
                </c:pt>
                <c:pt idx="715" formatCode="0.00%">
                  <c:v>-4.67936968256491E-2</c:v>
                </c:pt>
                <c:pt idx="716" formatCode="0.00%">
                  <c:v>-2.3858286314947241E-3</c:v>
                </c:pt>
                <c:pt idx="717" formatCode="0.00%">
                  <c:v>-4.9961594724858838E-3</c:v>
                </c:pt>
                <c:pt idx="718" formatCode="0.00%">
                  <c:v>-4.2768297628786311E-3</c:v>
                </c:pt>
                <c:pt idx="719" formatCode="0.00%">
                  <c:v>-6.3406787066455639E-3</c:v>
                </c:pt>
                <c:pt idx="720" formatCode="0.00%">
                  <c:v>-4.0268441271411048E-3</c:v>
                </c:pt>
                <c:pt idx="721" formatCode="0.00%">
                  <c:v>-1.088418254155471E-2</c:v>
                </c:pt>
                <c:pt idx="722" formatCode="0.00%">
                  <c:v>3.5862997406199693E-4</c:v>
                </c:pt>
                <c:pt idx="723" formatCode="0.00%">
                  <c:v>-2.6011909159517344E-3</c:v>
                </c:pt>
                <c:pt idx="724" formatCode="0.00%">
                  <c:v>5.148553965868552E-4</c:v>
                </c:pt>
                <c:pt idx="725" formatCode="0.00%">
                  <c:v>-8.5243744538088251E-4</c:v>
                </c:pt>
                <c:pt idx="726" formatCode="0.00%">
                  <c:v>-3.1359004997366102E-3</c:v>
                </c:pt>
                <c:pt idx="727" formatCode="0.00%">
                  <c:v>1.0558259201689457E-2</c:v>
                </c:pt>
                <c:pt idx="728" formatCode="0.00%">
                  <c:v>2.9618592441798541E-3</c:v>
                </c:pt>
                <c:pt idx="729" formatCode="0.00%">
                  <c:v>2.381815646582075E-3</c:v>
                </c:pt>
                <c:pt idx="730" formatCode="0.00%">
                  <c:v>1.4106735741329035E-2</c:v>
                </c:pt>
                <c:pt idx="731" formatCode="0.00%">
                  <c:v>1.2183359659570125E-2</c:v>
                </c:pt>
                <c:pt idx="732" formatCode="0.00%">
                  <c:v>1.4974704623833934E-2</c:v>
                </c:pt>
                <c:pt idx="733" formatCode="0.00%">
                  <c:v>8.9710287589657156E-3</c:v>
                </c:pt>
                <c:pt idx="734" formatCode="0.00%">
                  <c:v>1.1504817615722696E-2</c:v>
                </c:pt>
                <c:pt idx="735" formatCode="0.00%">
                  <c:v>7.9512539347931788E-3</c:v>
                </c:pt>
                <c:pt idx="736" formatCode="0.00%">
                  <c:v>5.317134068352436E-3</c:v>
                </c:pt>
                <c:pt idx="737" formatCode="0.00%">
                  <c:v>7.2786675278883606E-3</c:v>
                </c:pt>
                <c:pt idx="738" formatCode="0.00%">
                  <c:v>2.256462417001337E-3</c:v>
                </c:pt>
                <c:pt idx="739" formatCode="0.00%">
                  <c:v>1.3884751736079615E-3</c:v>
                </c:pt>
                <c:pt idx="740" formatCode="0.00%">
                  <c:v>9.322244604680896E-4</c:v>
                </c:pt>
                <c:pt idx="741" formatCode="0.00%">
                  <c:v>2.0869976769850029E-3</c:v>
                </c:pt>
                <c:pt idx="742" formatCode="0.00%">
                  <c:v>-1.0494290101025761E-3</c:v>
                </c:pt>
                <c:pt idx="743" formatCode="0.00%">
                  <c:v>6.1463818014624305E-3</c:v>
                </c:pt>
                <c:pt idx="744" formatCode="0.00%">
                  <c:v>5.4709125999632402E-3</c:v>
                </c:pt>
                <c:pt idx="745" formatCode="0.00%">
                  <c:v>1.1647739726540207E-2</c:v>
                </c:pt>
                <c:pt idx="746" formatCode="0.00%">
                  <c:v>-2.1358348807418714E-3</c:v>
                </c:pt>
                <c:pt idx="747" formatCode="0.00%">
                  <c:v>2.1540508805007685E-2</c:v>
                </c:pt>
                <c:pt idx="748" formatCode="0.00%">
                  <c:v>1.6789646194580399E-2</c:v>
                </c:pt>
                <c:pt idx="749" formatCode="0.00%">
                  <c:v>1.4350290557637702E-2</c:v>
                </c:pt>
                <c:pt idx="750" formatCode="0.00%">
                  <c:v>2.601041270523774E-2</c:v>
                </c:pt>
                <c:pt idx="751" formatCode="0.00%">
                  <c:v>1.7907481131130276E-2</c:v>
                </c:pt>
                <c:pt idx="752" formatCode="0.00%">
                  <c:v>1.3782617323998159E-2</c:v>
                </c:pt>
                <c:pt idx="753" formatCode="0.00%">
                  <c:v>1.1123154804259183E-2</c:v>
                </c:pt>
                <c:pt idx="754" formatCode="0.00%">
                  <c:v>2.1400692634589491E-2</c:v>
                </c:pt>
                <c:pt idx="755" formatCode="0.00%">
                  <c:v>1.2638782815522276E-2</c:v>
                </c:pt>
                <c:pt idx="756" formatCode="0.00%">
                  <c:v>1.5885588124908812E-2</c:v>
                </c:pt>
                <c:pt idx="757" formatCode="0.00%">
                  <c:v>9.8307921925636088E-3</c:v>
                </c:pt>
                <c:pt idx="758" formatCode="0.00%">
                  <c:v>5.3664553927816883E-3</c:v>
                </c:pt>
                <c:pt idx="759" formatCode="0.00%">
                  <c:v>2.6024240917890129E-3</c:v>
                </c:pt>
                <c:pt idx="760" formatCode="0.00%">
                  <c:v>1.3296513972971047E-2</c:v>
                </c:pt>
                <c:pt idx="761" formatCode="0.00%">
                  <c:v>2.5112653887229497E-2</c:v>
                </c:pt>
                <c:pt idx="762" formatCode="0.00%">
                  <c:v>1.8176169979642831E-2</c:v>
                </c:pt>
                <c:pt idx="763" formatCode="0.00%">
                  <c:v>3.4728992230614653E-2</c:v>
                </c:pt>
                <c:pt idx="764" formatCode="0.00%">
                  <c:v>3.9729649740301798E-2</c:v>
                </c:pt>
                <c:pt idx="765" formatCode="0.00%">
                  <c:v>4.9463272827762139E-2</c:v>
                </c:pt>
                <c:pt idx="766" formatCode="0.00%">
                  <c:v>5.6169340415897828E-2</c:v>
                </c:pt>
                <c:pt idx="767" formatCode="0.00%">
                  <c:v>4.1526832278051595E-2</c:v>
                </c:pt>
                <c:pt idx="768" formatCode="0.00%">
                  <c:v>4.0772037472650735E-2</c:v>
                </c:pt>
                <c:pt idx="769" formatCode="0.00%">
                  <c:v>5.8058267529790875E-2</c:v>
                </c:pt>
                <c:pt idx="770" formatCode="0.00%">
                  <c:v>5.9933477697659387E-2</c:v>
                </c:pt>
                <c:pt idx="771" formatCode="0.00%">
                  <c:v>7.2789350335800418E-2</c:v>
                </c:pt>
                <c:pt idx="772" formatCode="0.00%">
                  <c:v>6.9673962298408887E-2</c:v>
                </c:pt>
                <c:pt idx="773" formatCode="0.00%">
                  <c:v>7.1307607334969658E-2</c:v>
                </c:pt>
                <c:pt idx="774" formatCode="0.00%">
                  <c:v>8.5478620794885884E-2</c:v>
                </c:pt>
                <c:pt idx="775" formatCode="0.00%">
                  <c:v>8.548880576155965E-2</c:v>
                </c:pt>
                <c:pt idx="776" formatCode="0.00%">
                  <c:v>9.3946277605702622E-2</c:v>
                </c:pt>
                <c:pt idx="777" formatCode="0.00%">
                  <c:v>9.1465373385209714E-2</c:v>
                </c:pt>
                <c:pt idx="778" formatCode="0.00%">
                  <c:v>9.2918975836329964E-2</c:v>
                </c:pt>
                <c:pt idx="779" formatCode="0.00%">
                  <c:v>9.1222847289181452E-2</c:v>
                </c:pt>
                <c:pt idx="780" formatCode="0.00%">
                  <c:v>7.577187751755099E-2</c:v>
                </c:pt>
                <c:pt idx="781" formatCode="0.00%">
                  <c:v>7.8460373634443803E-2</c:v>
                </c:pt>
                <c:pt idx="782" formatCode="0.00%">
                  <c:v>6.9879163190071203E-2</c:v>
                </c:pt>
                <c:pt idx="783" formatCode="0.00%">
                  <c:v>7.8029934047424365E-2</c:v>
                </c:pt>
                <c:pt idx="784" formatCode="0.00%">
                  <c:v>8.2478719837902725E-2</c:v>
                </c:pt>
                <c:pt idx="785" formatCode="0.00%">
                  <c:v>7.6192357987227732E-2</c:v>
                </c:pt>
                <c:pt idx="786" formatCode="0.00%">
                  <c:v>8.1631608380104359E-2</c:v>
                </c:pt>
                <c:pt idx="787" formatCode="0.00%">
                  <c:v>6.1800582180704444E-2</c:v>
                </c:pt>
                <c:pt idx="788" formatCode="0.00%">
                  <c:v>6.229548174121502E-2</c:v>
                </c:pt>
                <c:pt idx="789" formatCode="0.00%">
                  <c:v>6.3778950479125796E-2</c:v>
                </c:pt>
                <c:pt idx="790" formatCode="0.00%">
                  <c:v>5.6712805195867633E-2</c:v>
                </c:pt>
                <c:pt idx="791" formatCode="0.00%">
                  <c:v>6.4204056365619849E-2</c:v>
                </c:pt>
                <c:pt idx="792" formatCode="0.00%">
                  <c:v>5.0056903498435112E-2</c:v>
                </c:pt>
                <c:pt idx="793" formatCode="0.00%">
                  <c:v>4.0739825675762564E-2</c:v>
                </c:pt>
                <c:pt idx="794" formatCode="0.00%">
                  <c:v>3.8254828624717074E-2</c:v>
                </c:pt>
                <c:pt idx="795" formatCode="0.00%">
                  <c:v>3.5183957772403684E-2</c:v>
                </c:pt>
                <c:pt idx="796" formatCode="0.00%">
                  <c:v>3.7032981466771947E-2</c:v>
                </c:pt>
                <c:pt idx="797" formatCode="0.00%">
                  <c:v>3.7528303360024634E-2</c:v>
                </c:pt>
                <c:pt idx="798" formatCode="0.00%">
                  <c:v>3.1483465487430862E-2</c:v>
                </c:pt>
                <c:pt idx="799" formatCode="0.00%">
                  <c:v>2.8611389647699381E-2</c:v>
                </c:pt>
                <c:pt idx="800" formatCode="0.00%">
                  <c:v>2.8850686300996409E-2</c:v>
                </c:pt>
                <c:pt idx="801" formatCode="0.00%">
                  <c:v>2.4021002005750414E-2</c:v>
                </c:pt>
                <c:pt idx="802" formatCode="0.00%">
                  <c:v>3.7151382796208388E-2</c:v>
                </c:pt>
                <c:pt idx="803" formatCode="0.00%">
                  <c:v>5.344603272445933E-2</c:v>
                </c:pt>
                <c:pt idx="804" formatCode="0.00%">
                  <c:v>6.2848176873061851E-2</c:v>
                </c:pt>
                <c:pt idx="805" formatCode="0.00%">
                  <c:v>8.9995080384695836E-2</c:v>
                </c:pt>
                <c:pt idx="806" formatCode="0.00%">
                  <c:v>8.6101346552260039E-2</c:v>
                </c:pt>
                <c:pt idx="807" formatCode="0.00%">
                  <c:v>8.7992234108940026E-2</c:v>
                </c:pt>
                <c:pt idx="808" formatCode="0.00%">
                  <c:v>9.2902550917347004E-2</c:v>
                </c:pt>
                <c:pt idx="809" formatCode="0.00%">
                  <c:v>9.4052026626205709E-2</c:v>
                </c:pt>
                <c:pt idx="810" formatCode="0.00%">
                  <c:v>9.4708216343550006E-2</c:v>
                </c:pt>
                <c:pt idx="811" formatCode="0.00%">
                  <c:v>8.7502871488365941E-2</c:v>
                </c:pt>
                <c:pt idx="812" formatCode="0.00%">
                  <c:v>8.3579605405782437E-2</c:v>
                </c:pt>
                <c:pt idx="813" formatCode="0.00%">
                  <c:v>8.306277142875268E-2</c:v>
                </c:pt>
                <c:pt idx="814" formatCode="0.00%">
                  <c:v>8.4319123491435388E-2</c:v>
                </c:pt>
                <c:pt idx="815" formatCode="0.00%">
                  <c:v>8.284195652289722E-2</c:v>
                </c:pt>
                <c:pt idx="816" formatCode="0.00%">
                  <c:v>8.0947157106980583E-2</c:v>
                </c:pt>
                <c:pt idx="817" formatCode="0.00%">
                  <c:v>9.2949512472536133E-2</c:v>
                </c:pt>
                <c:pt idx="818" formatCode="0.00%">
                  <c:v>9.6293921455464837E-2</c:v>
                </c:pt>
                <c:pt idx="819" formatCode="0.00%">
                  <c:v>0.10622523262560618</c:v>
                </c:pt>
                <c:pt idx="820" formatCode="0.00%">
                  <c:v>0.11076667965168868</c:v>
                </c:pt>
                <c:pt idx="821" formatCode="0.00%">
                  <c:v>9.5094022578691761E-2</c:v>
                </c:pt>
                <c:pt idx="822" formatCode="0.00%">
                  <c:v>8.9445260244746971E-2</c:v>
                </c:pt>
                <c:pt idx="823" formatCode="0.00%">
                  <c:v>9.1239667213595499E-2</c:v>
                </c:pt>
                <c:pt idx="824" formatCode="0.00%">
                  <c:v>8.3417365957058953E-2</c:v>
                </c:pt>
                <c:pt idx="825" formatCode="0.00%">
                  <c:v>8.258344983529825E-2</c:v>
                </c:pt>
                <c:pt idx="826" formatCode="0.00%">
                  <c:v>8.2321739394424387E-2</c:v>
                </c:pt>
                <c:pt idx="827" formatCode="0.00%">
                  <c:v>7.9047352682498795E-2</c:v>
                </c:pt>
                <c:pt idx="828" formatCode="0.00%">
                  <c:v>7.3469556142649384E-2</c:v>
                </c:pt>
                <c:pt idx="829" formatCode="0.00%">
                  <c:v>7.7594710818759682E-2</c:v>
                </c:pt>
                <c:pt idx="830" formatCode="0.00%">
                  <c:v>8.1538474508764447E-2</c:v>
                </c:pt>
                <c:pt idx="831" formatCode="0.00%">
                  <c:v>7.8395611551504374E-2</c:v>
                </c:pt>
                <c:pt idx="832" formatCode="0.00%">
                  <c:v>9.1614664264640988E-2</c:v>
                </c:pt>
                <c:pt idx="833" formatCode="0.00%">
                  <c:v>6.9646571468072183E-2</c:v>
                </c:pt>
                <c:pt idx="834" formatCode="0.00%">
                  <c:v>7.0768784760563974E-2</c:v>
                </c:pt>
                <c:pt idx="835" formatCode="0.00%">
                  <c:v>7.2874967212064934E-2</c:v>
                </c:pt>
                <c:pt idx="836" formatCode="0.00%">
                  <c:v>7.5714930705909844E-2</c:v>
                </c:pt>
                <c:pt idx="837" formatCode="0.00%">
                  <c:v>3.891946703766419E-2</c:v>
                </c:pt>
                <c:pt idx="838" formatCode="0.00%">
                  <c:v>3.7554539567994039E-2</c:v>
                </c:pt>
                <c:pt idx="839" formatCode="0.00%">
                  <c:v>3.159343250635771E-2</c:v>
                </c:pt>
                <c:pt idx="840" formatCode="0.00%">
                  <c:v>2.8668468675126679E-2</c:v>
                </c:pt>
                <c:pt idx="841" formatCode="0.00%">
                  <c:v>2.9252117823100998E-2</c:v>
                </c:pt>
                <c:pt idx="842" formatCode="0.00%">
                  <c:v>2.7732838147422278E-2</c:v>
                </c:pt>
                <c:pt idx="843" formatCode="0.00%">
                  <c:v>3.4363444408084587E-2</c:v>
                </c:pt>
                <c:pt idx="844" formatCode="0.00%">
                  <c:v>3.2314826618595527E-2</c:v>
                </c:pt>
                <c:pt idx="845" formatCode="0.00%">
                  <c:v>3.3906035130610246E-2</c:v>
                </c:pt>
                <c:pt idx="846" formatCode="0.00%">
                  <c:v>3.7340399069652586E-2</c:v>
                </c:pt>
                <c:pt idx="847" formatCode="0.00%">
                  <c:v>3.6500336755388996E-2</c:v>
                </c:pt>
                <c:pt idx="848" formatCode="0.00%">
                  <c:v>2.8126226841194035E-2</c:v>
                </c:pt>
                <c:pt idx="849" formatCode="0.00%">
                  <c:v>2.8232917209210895E-2</c:v>
                </c:pt>
                <c:pt idx="850" formatCode="0.00%">
                  <c:v>2.7581143300799693E-2</c:v>
                </c:pt>
                <c:pt idx="851" formatCode="0.00%">
                  <c:v>2.507809960680607E-2</c:v>
                </c:pt>
                <c:pt idx="852" formatCode="0.00%">
                  <c:v>2.0421469982179363E-2</c:v>
                </c:pt>
                <c:pt idx="853" formatCode="0.00%">
                  <c:v>2.2137131610255989E-2</c:v>
                </c:pt>
                <c:pt idx="854" formatCode="0.00%">
                  <c:v>2.0917950940811614E-2</c:v>
                </c:pt>
                <c:pt idx="855" formatCode="0.00%">
                  <c:v>2.2775170445767767E-2</c:v>
                </c:pt>
                <c:pt idx="856" formatCode="0.00%">
                  <c:v>1.6702870946138648E-2</c:v>
                </c:pt>
                <c:pt idx="857" formatCode="0.00%">
                  <c:v>2.195327221514054E-2</c:v>
                </c:pt>
                <c:pt idx="858" formatCode="0.00%">
                  <c:v>2.0625854449750514E-2</c:v>
                </c:pt>
                <c:pt idx="859" formatCode="0.00%">
                  <c:v>1.8082867393441171E-2</c:v>
                </c:pt>
                <c:pt idx="860" formatCode="0.00%">
                  <c:v>2.1705633259133827E-2</c:v>
                </c:pt>
                <c:pt idx="861" formatCode="0.00%">
                  <c:v>1.9014626974372673E-2</c:v>
                </c:pt>
                <c:pt idx="862" formatCode="0.00%">
                  <c:v>1.2876267044640122E-2</c:v>
                </c:pt>
                <c:pt idx="863" formatCode="0.00%">
                  <c:v>9.1698692547706462E-3</c:v>
                </c:pt>
                <c:pt idx="864" formatCode="0.00%">
                  <c:v>-8.3124597007916412E-4</c:v>
                </c:pt>
                <c:pt idx="865" formatCode="0.00%">
                  <c:v>-2.0645750049148592E-3</c:v>
                </c:pt>
                <c:pt idx="866" formatCode="0.00%">
                  <c:v>2.102287724738916E-3</c:v>
                </c:pt>
                <c:pt idx="867" formatCode="0.00%">
                  <c:v>5.37788935649397E-3</c:v>
                </c:pt>
                <c:pt idx="868" formatCode="0.00%">
                  <c:v>3.5948067305925369E-3</c:v>
                </c:pt>
                <c:pt idx="869" formatCode="0.00%">
                  <c:v>4.700830076165563E-3</c:v>
                </c:pt>
                <c:pt idx="870" formatCode="0.00%">
                  <c:v>7.8916206122420229E-4</c:v>
                </c:pt>
                <c:pt idx="871" formatCode="0.00%">
                  <c:v>-3.1125581001122393E-3</c:v>
                </c:pt>
                <c:pt idx="872" formatCode="0.00%">
                  <c:v>-4.8977509477875492E-3</c:v>
                </c:pt>
                <c:pt idx="873" formatCode="0.00%">
                  <c:v>6.9964672948383821E-2</c:v>
                </c:pt>
                <c:pt idx="874" formatCode="0.00%">
                  <c:v>6.8968808959494754E-2</c:v>
                </c:pt>
                <c:pt idx="875" formatCode="0.00%">
                  <c:v>0.17630455501797909</c:v>
                </c:pt>
                <c:pt idx="876" formatCode="0.00%">
                  <c:v>0.17395083375506537</c:v>
                </c:pt>
                <c:pt idx="877" formatCode="0.00%">
                  <c:v>0.17927520853389417</c:v>
                </c:pt>
                <c:pt idx="878" formatCode="0.00%">
                  <c:v>0.17728005991609747</c:v>
                </c:pt>
                <c:pt idx="879" formatCode="0.00%">
                  <c:v>0.17726716116512237</c:v>
                </c:pt>
                <c:pt idx="880" formatCode="0.00%">
                  <c:v>0.1676143500218793</c:v>
                </c:pt>
                <c:pt idx="881" formatCode="0.00%">
                  <c:v>0.16772845536804859</c:v>
                </c:pt>
                <c:pt idx="882" formatCode="0.00%">
                  <c:v>0.16739239620250757</c:v>
                </c:pt>
                <c:pt idx="883" formatCode="0.00%">
                  <c:v>0.16926646027758224</c:v>
                </c:pt>
                <c:pt idx="884" formatCode="0.00%">
                  <c:v>0.17006105632788587</c:v>
                </c:pt>
                <c:pt idx="885" formatCode="0.00%">
                  <c:v>0.15625346725423805</c:v>
                </c:pt>
                <c:pt idx="886" formatCode="0.00%">
                  <c:v>0.16192118146534501</c:v>
                </c:pt>
                <c:pt idx="887" formatCode="0.00%">
                  <c:v>0.16122813169079742</c:v>
                </c:pt>
                <c:pt idx="888" formatCode="0.00%">
                  <c:v>0.1684370154353988</c:v>
                </c:pt>
                <c:pt idx="889" formatCode="0.00%">
                  <c:v>0.17088811858982905</c:v>
                </c:pt>
                <c:pt idx="890" formatCode="0.00%">
                  <c:v>0.16713766771370431</c:v>
                </c:pt>
                <c:pt idx="891" formatCode="0.00%">
                  <c:v>0.16136005568577466</c:v>
                </c:pt>
                <c:pt idx="892" formatCode="0.00%">
                  <c:v>0.16322055402865254</c:v>
                </c:pt>
                <c:pt idx="893" formatCode="0.00%">
                  <c:v>0.16348207733300368</c:v>
                </c:pt>
                <c:pt idx="894" formatCode="0.00%">
                  <c:v>0.15218287124103441</c:v>
                </c:pt>
                <c:pt idx="895" formatCode="0.00%">
                  <c:v>0.14469609586385329</c:v>
                </c:pt>
                <c:pt idx="896" formatCode="0.00%">
                  <c:v>0.1466406550351021</c:v>
                </c:pt>
                <c:pt idx="897" formatCode="0.00%">
                  <c:v>0.15058486516048031</c:v>
                </c:pt>
                <c:pt idx="898" formatCode="0.00%">
                  <c:v>0.15510222431460574</c:v>
                </c:pt>
                <c:pt idx="899" formatCode="0.00%">
                  <c:v>0.1490508843619795</c:v>
                </c:pt>
                <c:pt idx="900" formatCode="0.00%">
                  <c:v>0.13685863972812545</c:v>
                </c:pt>
                <c:pt idx="901" formatCode="0.00%">
                  <c:v>0.13257940321626316</c:v>
                </c:pt>
                <c:pt idx="902" formatCode="0.00%">
                  <c:v>0.11485105066018542</c:v>
                </c:pt>
                <c:pt idx="903" formatCode="0.00%">
                  <c:v>0.11675885543368664</c:v>
                </c:pt>
                <c:pt idx="904" formatCode="0.00%">
                  <c:v>9.0255430504556533E-2</c:v>
                </c:pt>
                <c:pt idx="905" formatCode="0.00%">
                  <c:v>9.41596026607181E-2</c:v>
                </c:pt>
                <c:pt idx="906" formatCode="0.00%">
                  <c:v>0.11658290654953296</c:v>
                </c:pt>
                <c:pt idx="907" formatCode="0.00%">
                  <c:v>0.11709528936949454</c:v>
                </c:pt>
                <c:pt idx="908" formatCode="0.00%">
                  <c:v>9.9542295811533177E-2</c:v>
                </c:pt>
                <c:pt idx="909" formatCode="0.00%">
                  <c:v>9.422863583360308E-2</c:v>
                </c:pt>
                <c:pt idx="910" formatCode="0.00%">
                  <c:v>7.8949146598238151E-2</c:v>
                </c:pt>
                <c:pt idx="911" formatCode="0.00%">
                  <c:v>8.5916706050113201E-2</c:v>
                </c:pt>
                <c:pt idx="912" formatCode="0.00%">
                  <c:v>8.4212300258746986E-2</c:v>
                </c:pt>
                <c:pt idx="913" formatCode="0.00%">
                  <c:v>7.8901050701090103E-2</c:v>
                </c:pt>
                <c:pt idx="914" formatCode="0.00%">
                  <c:v>8.314507430319068E-2</c:v>
                </c:pt>
                <c:pt idx="915" formatCode="0.00%">
                  <c:v>6.9628246592530751E-2</c:v>
                </c:pt>
                <c:pt idx="916" formatCode="0.00%">
                  <c:v>7.5943830828941516E-2</c:v>
                </c:pt>
                <c:pt idx="917" formatCode="0.00%">
                  <c:v>7.7402720553261972E-2</c:v>
                </c:pt>
                <c:pt idx="918" formatCode="0.00%">
                  <c:v>7.0069215051083433E-2</c:v>
                </c:pt>
                <c:pt idx="919" formatCode="0.00%">
                  <c:v>7.0812634394322838E-2</c:v>
                </c:pt>
                <c:pt idx="920" formatCode="0.00%">
                  <c:v>7.4873757123152251E-2</c:v>
                </c:pt>
                <c:pt idx="921" formatCode="0.00%">
                  <c:v>6.3801166436141032E-2</c:v>
                </c:pt>
                <c:pt idx="922" formatCode="0.00%">
                  <c:v>8.4154356550484199E-2</c:v>
                </c:pt>
                <c:pt idx="923" formatCode="0.00%">
                  <c:v>0.10007950273967392</c:v>
                </c:pt>
                <c:pt idx="924" formatCode="0.00%">
                  <c:v>9.5947747309792442E-2</c:v>
                </c:pt>
                <c:pt idx="925" formatCode="0.00%">
                  <c:v>9.6722006247027148E-2</c:v>
                </c:pt>
                <c:pt idx="926" formatCode="0.00%">
                  <c:v>9.2581860416468542E-2</c:v>
                </c:pt>
                <c:pt idx="927" formatCode="0.00%">
                  <c:v>6.7016674049199809E-2</c:v>
                </c:pt>
                <c:pt idx="928" formatCode="0.00%">
                  <c:v>6.6928525139361927E-2</c:v>
                </c:pt>
                <c:pt idx="929" formatCode="0.00%">
                  <c:v>7.0440125801449871E-2</c:v>
                </c:pt>
                <c:pt idx="930" formatCode="0.00%">
                  <c:v>6.2581148828028454E-2</c:v>
                </c:pt>
                <c:pt idx="931" formatCode="0.00%">
                  <c:v>5.5897551612412333E-2</c:v>
                </c:pt>
                <c:pt idx="932" formatCode="0.00%">
                  <c:v>6.3091179172770684E-2</c:v>
                </c:pt>
                <c:pt idx="933" formatCode="0.00%">
                  <c:v>4.5736016413310432E-2</c:v>
                </c:pt>
                <c:pt idx="934" formatCode="0.00%">
                  <c:v>5.9598126084929814E-2</c:v>
                </c:pt>
                <c:pt idx="935" formatCode="0.00%">
                  <c:v>3.4065938034854804E-2</c:v>
                </c:pt>
                <c:pt idx="936" formatCode="0.00%">
                  <c:v>5.3306464597596692E-3</c:v>
                </c:pt>
                <c:pt idx="937" formatCode="0.00%">
                  <c:v>4.2520892622722184E-3</c:v>
                </c:pt>
                <c:pt idx="938" formatCode="0.00%">
                  <c:v>3.5360922846107146E-3</c:v>
                </c:pt>
                <c:pt idx="939" formatCode="0.00%">
                  <c:v>2.3635868336200849E-2</c:v>
                </c:pt>
                <c:pt idx="940" formatCode="0.00%">
                  <c:v>1.4527093042913386E-2</c:v>
                </c:pt>
                <c:pt idx="941" formatCode="0.00%">
                  <c:v>1.7398960552863385E-2</c:v>
                </c:pt>
                <c:pt idx="942" formatCode="0.00%">
                  <c:v>4.9640233047316518E-2</c:v>
                </c:pt>
                <c:pt idx="943" formatCode="0.00%">
                  <c:v>3.7326268171267718E-2</c:v>
                </c:pt>
                <c:pt idx="944" formatCode="0.00%">
                  <c:v>2.8008664716234422E-2</c:v>
                </c:pt>
                <c:pt idx="945" formatCode="0.00%">
                  <c:v>2.4585633706550702E-2</c:v>
                </c:pt>
                <c:pt idx="946" formatCode="0.00%">
                  <c:v>5.1133152404824911E-2</c:v>
                </c:pt>
                <c:pt idx="947" formatCode="0.00%">
                  <c:v>5.8978673239664492E-2</c:v>
                </c:pt>
                <c:pt idx="948" formatCode="0.00%">
                  <c:v>4.4264929849127832E-2</c:v>
                </c:pt>
                <c:pt idx="949" formatCode="0.00%">
                  <c:v>5.2639799579536073E-2</c:v>
                </c:pt>
                <c:pt idx="950" formatCode="0.00%">
                  <c:v>4.0600623911543676E-2</c:v>
                </c:pt>
                <c:pt idx="951" formatCode="0.00%">
                  <c:v>-3.9292787242328764E-4</c:v>
                </c:pt>
                <c:pt idx="952" formatCode="0.00%">
                  <c:v>5.2619613030340795E-3</c:v>
                </c:pt>
                <c:pt idx="953" formatCode="0.00%">
                  <c:v>1.3676954401413366E-2</c:v>
                </c:pt>
                <c:pt idx="954" formatCode="0.00%">
                  <c:v>9.5586708962084876E-3</c:v>
                </c:pt>
                <c:pt idx="955" formatCode="0.00%">
                  <c:v>7.0245960451988942E-3</c:v>
                </c:pt>
                <c:pt idx="956" formatCode="0.00%">
                  <c:v>1.4179921522076699E-3</c:v>
                </c:pt>
                <c:pt idx="957" formatCode="0.00%">
                  <c:v>-1.316633303186393E-2</c:v>
                </c:pt>
                <c:pt idx="958" formatCode="0.00%">
                  <c:v>-3.9928523744293287E-2</c:v>
                </c:pt>
                <c:pt idx="959" formatCode="0.00%">
                  <c:v>-2.5475011528554914E-2</c:v>
                </c:pt>
                <c:pt idx="960" formatCode="0.00%">
                  <c:v>-9.5651140742592511E-3</c:v>
                </c:pt>
                <c:pt idx="961" formatCode="0.00%">
                  <c:v>-1.0794235632793081E-2</c:v>
                </c:pt>
                <c:pt idx="962" formatCode="0.00%">
                  <c:v>-1.8993063962869317E-2</c:v>
                </c:pt>
                <c:pt idx="963" formatCode="0.00%">
                  <c:v>-4.2100525437774927E-2</c:v>
                </c:pt>
                <c:pt idx="964" formatCode="0.00%">
                  <c:v>-5.2255952950348294E-2</c:v>
                </c:pt>
                <c:pt idx="965" formatCode="0.00%">
                  <c:v>-5.0719257920918304E-2</c:v>
                </c:pt>
                <c:pt idx="966" formatCode="0.00%">
                  <c:v>-6.8245175858007268E-2</c:v>
                </c:pt>
                <c:pt idx="967" formatCode="0.00%">
                  <c:v>-6.9316866245453246E-2</c:v>
                </c:pt>
                <c:pt idx="968" formatCode="0.00%">
                  <c:v>-5.7798941551893968E-2</c:v>
                </c:pt>
                <c:pt idx="969" formatCode="0.00%">
                  <c:v>-4.6688546699851785E-2</c:v>
                </c:pt>
                <c:pt idx="970" formatCode="0.00%">
                  <c:v>-4.7652934310956296E-2</c:v>
                </c:pt>
                <c:pt idx="971" formatCode="0.00%">
                  <c:v>-1.2760028445736593E-2</c:v>
                </c:pt>
                <c:pt idx="972" formatCode="0.00%">
                  <c:v>2.9397595167881985E-2</c:v>
                </c:pt>
                <c:pt idx="973" formatCode="0.00%">
                  <c:v>6.1067815826373217E-2</c:v>
                </c:pt>
                <c:pt idx="974" formatCode="0.00%">
                  <c:v>3.7374954972317798E-2</c:v>
                </c:pt>
                <c:pt idx="975" formatCode="0.00%">
                  <c:v>4.5375145442438314E-2</c:v>
                </c:pt>
                <c:pt idx="976" formatCode="0.00%">
                  <c:v>0.10618331018245464</c:v>
                </c:pt>
                <c:pt idx="977" formatCode="0.00%">
                  <c:v>5.4992373375697068E-2</c:v>
                </c:pt>
                <c:pt idx="978" formatCode="0.00%">
                  <c:v>4.8400566410456536E-2</c:v>
                </c:pt>
                <c:pt idx="979" formatCode="0.00%">
                  <c:v>4.075412814063667E-2</c:v>
                </c:pt>
                <c:pt idx="980" formatCode="0.00%">
                  <c:v>5.2549417003101007E-2</c:v>
                </c:pt>
                <c:pt idx="981" formatCode="0.00%">
                  <c:v>4.6582843322996281E-2</c:v>
                </c:pt>
                <c:pt idx="982" formatCode="0.00%">
                  <c:v>1.94025125416184E-2</c:v>
                </c:pt>
                <c:pt idx="983" formatCode="0.00%">
                  <c:v>1.8933159381480602E-2</c:v>
                </c:pt>
                <c:pt idx="984" formatCode="0.00%">
                  <c:v>-1.0348663486233201E-3</c:v>
                </c:pt>
                <c:pt idx="985" formatCode="0.00%">
                  <c:v>2.2584830505508025E-2</c:v>
                </c:pt>
                <c:pt idx="986" formatCode="0.00%">
                  <c:v>2.142244494206752E-2</c:v>
                </c:pt>
                <c:pt idx="987" formatCode="0.00%">
                  <c:v>6.1211693708263515E-3</c:v>
                </c:pt>
                <c:pt idx="988" formatCode="0.00%">
                  <c:v>1.1420447594222005E-3</c:v>
                </c:pt>
                <c:pt idx="989" formatCode="0.00%">
                  <c:v>6.5297619052147593E-3</c:v>
                </c:pt>
                <c:pt idx="990" formatCode="0.00%">
                  <c:v>-1.3094731513860092E-2</c:v>
                </c:pt>
                <c:pt idx="991" formatCode="0.00%">
                  <c:v>-1.5634199396891313E-2</c:v>
                </c:pt>
                <c:pt idx="992" formatCode="0.00%">
                  <c:v>-2.2228181415878623E-2</c:v>
                </c:pt>
                <c:pt idx="993" formatCode="0.00%">
                  <c:v>-1.7044728428873002E-2</c:v>
                </c:pt>
                <c:pt idx="994" formatCode="0.00%">
                  <c:v>-6.8477829569457693E-4</c:v>
                </c:pt>
                <c:pt idx="995" formatCode="0.00%">
                  <c:v>-2.1930504347328905E-3</c:v>
                </c:pt>
                <c:pt idx="996" formatCode="0.00%">
                  <c:v>-4.8210355643918401E-3</c:v>
                </c:pt>
                <c:pt idx="997" formatCode="0.00%">
                  <c:v>-9.6764649607122277E-3</c:v>
                </c:pt>
                <c:pt idx="998" formatCode="0.00%">
                  <c:v>-5.5905334392418182E-3</c:v>
                </c:pt>
                <c:pt idx="999" formatCode="0.00%">
                  <c:v>-1.4989388932858838E-2</c:v>
                </c:pt>
                <c:pt idx="1000" formatCode="0.00%">
                  <c:v>-7.7664772112402969E-3</c:v>
                </c:pt>
                <c:pt idx="1001" formatCode="0.00%">
                  <c:v>6.3647167082057643E-3</c:v>
                </c:pt>
                <c:pt idx="1002" formatCode="0.00%">
                  <c:v>1.8607926015486886E-2</c:v>
                </c:pt>
                <c:pt idx="1003" formatCode="0.00%">
                  <c:v>1.32363957344801E-2</c:v>
                </c:pt>
                <c:pt idx="1004" formatCode="0.00%">
                  <c:v>1.6036075934628191E-2</c:v>
                </c:pt>
                <c:pt idx="1005" formatCode="0.00%">
                  <c:v>9.8132657369533471E-3</c:v>
                </c:pt>
                <c:pt idx="1006" formatCode="0.00%">
                  <c:v>1.7371229447689485E-2</c:v>
                </c:pt>
                <c:pt idx="1007" formatCode="0.00%">
                  <c:v>-9.0803723159757488E-3</c:v>
                </c:pt>
                <c:pt idx="1008" formatCode="0.00%">
                  <c:v>5.2811521013678697E-3</c:v>
                </c:pt>
                <c:pt idx="1009" formatCode="0.00%">
                  <c:v>2.7531981781168779E-2</c:v>
                </c:pt>
                <c:pt idx="1010" formatCode="0.00%">
                  <c:v>5.8288086028614461E-2</c:v>
                </c:pt>
                <c:pt idx="1011" formatCode="0.00%">
                  <c:v>6.4148814109320662E-2</c:v>
                </c:pt>
                <c:pt idx="1012" formatCode="0.00%">
                  <c:v>5.5165128621030957E-2</c:v>
                </c:pt>
                <c:pt idx="1013" formatCode="0.00%">
                  <c:v>6.2231939761420052E-2</c:v>
                </c:pt>
                <c:pt idx="1014" formatCode="0.00%">
                  <c:v>5.0060861391525879E-2</c:v>
                </c:pt>
                <c:pt idx="1015" formatCode="0.00%">
                  <c:v>4.9405130671029751E-2</c:v>
                </c:pt>
                <c:pt idx="1016" formatCode="0.00%">
                  <c:v>3.8421177444302734E-2</c:v>
                </c:pt>
                <c:pt idx="1017" formatCode="0.00%">
                  <c:v>2.9885275463746863E-2</c:v>
                </c:pt>
                <c:pt idx="1018" formatCode="0.00%">
                  <c:v>3.4212825966971783E-2</c:v>
                </c:pt>
                <c:pt idx="1019" formatCode="0.00%">
                  <c:v>1.0425574573352692E-2</c:v>
                </c:pt>
                <c:pt idx="1020" formatCode="0.00%">
                  <c:v>-1.5345954405355799E-3</c:v>
                </c:pt>
                <c:pt idx="1021" formatCode="0.00%">
                  <c:v>6.5789799309375896E-3</c:v>
                </c:pt>
                <c:pt idx="1022" formatCode="0.00%">
                  <c:v>1.3268218056163239E-2</c:v>
                </c:pt>
                <c:pt idx="1023" formatCode="0.00%">
                  <c:v>2.4257712701432621E-2</c:v>
                </c:pt>
                <c:pt idx="1024" formatCode="0.00%">
                  <c:v>2.4330469363216201E-2</c:v>
                </c:pt>
                <c:pt idx="1025" formatCode="0.00%">
                  <c:v>2.3080810905425353E-3</c:v>
                </c:pt>
                <c:pt idx="1026" formatCode="0.00%">
                  <c:v>6.5498691349099025E-3</c:v>
                </c:pt>
                <c:pt idx="1027" formatCode="0.00%">
                  <c:v>6.2663768859039237E-4</c:v>
                </c:pt>
                <c:pt idx="1028" formatCode="0.00%">
                  <c:v>2.3469979268849583E-2</c:v>
                </c:pt>
                <c:pt idx="1029" formatCode="0.00%">
                  <c:v>1.9025313221780638E-2</c:v>
                </c:pt>
                <c:pt idx="1030" formatCode="0.00%">
                  <c:v>2.9858837260516191E-2</c:v>
                </c:pt>
                <c:pt idx="1031" formatCode="0.00%">
                  <c:v>2.3358358592873218E-2</c:v>
                </c:pt>
                <c:pt idx="1032" formatCode="0.00%">
                  <c:v>3.4303193185061365E-2</c:v>
                </c:pt>
                <c:pt idx="1033" formatCode="0.00%">
                  <c:v>4.201128959684941E-2</c:v>
                </c:pt>
                <c:pt idx="1034" formatCode="0.00%">
                  <c:v>3.957548373318609E-2</c:v>
                </c:pt>
              </c:numCache>
            </c:numRef>
          </c:yVal>
          <c:smooth val="1"/>
        </c:ser>
        <c:dLbls>
          <c:showLegendKey val="0"/>
          <c:showVal val="0"/>
          <c:showCatName val="0"/>
          <c:showSerName val="0"/>
          <c:showPercent val="0"/>
          <c:showBubbleSize val="0"/>
        </c:dLbls>
        <c:axId val="406471672"/>
        <c:axId val="406476376"/>
      </c:scatterChart>
      <c:valAx>
        <c:axId val="406471672"/>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06476376"/>
        <c:crosses val="autoZero"/>
        <c:crossBetween val="midCat"/>
      </c:valAx>
      <c:valAx>
        <c:axId val="406476376"/>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06471672"/>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ABMD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ABMD!$E$24</c:f>
              <c:strCache>
                <c:ptCount val="1"/>
                <c:pt idx="0">
                  <c:v>price</c:v>
                </c:pt>
              </c:strCache>
            </c:strRef>
          </c:tx>
          <c:spPr>
            <a:ln w="28575" cap="rnd">
              <a:solidFill>
                <a:schemeClr val="accent1"/>
              </a:solidFill>
              <a:round/>
            </a:ln>
            <a:effectLst/>
          </c:spPr>
          <c:marker>
            <c:symbol val="none"/>
          </c:marker>
          <c:cat>
            <c:numRef>
              <c:f>ABMD!$B$25:$B$55</c:f>
              <c:numCache>
                <c:formatCode>d\-mmm</c:formatCode>
                <c:ptCount val="31"/>
                <c:pt idx="0">
                  <c:v>43572</c:v>
                </c:pt>
                <c:pt idx="1">
                  <c:v>43626</c:v>
                </c:pt>
                <c:pt idx="2">
                  <c:v>43627</c:v>
                </c:pt>
                <c:pt idx="3">
                  <c:v>43631</c:v>
                </c:pt>
                <c:pt idx="4">
                  <c:v>43678</c:v>
                </c:pt>
                <c:pt idx="5">
                  <c:v>43751</c:v>
                </c:pt>
                <c:pt idx="6">
                  <c:v>43762</c:v>
                </c:pt>
                <c:pt idx="7">
                  <c:v>43777</c:v>
                </c:pt>
                <c:pt idx="8">
                  <c:v>43781</c:v>
                </c:pt>
                <c:pt idx="9">
                  <c:v>43797</c:v>
                </c:pt>
              </c:numCache>
            </c:numRef>
          </c:cat>
          <c:val>
            <c:numRef>
              <c:f>ABMD!$E$25:$E$55</c:f>
              <c:numCache>
                <c:formatCode>0.00</c:formatCode>
                <c:ptCount val="31"/>
                <c:pt idx="0">
                  <c:v>251.49</c:v>
                </c:pt>
                <c:pt idx="1">
                  <c:v>275.81</c:v>
                </c:pt>
                <c:pt idx="2">
                  <c:v>262.02999999999997</c:v>
                </c:pt>
                <c:pt idx="3">
                  <c:v>250.96</c:v>
                </c:pt>
                <c:pt idx="4">
                  <c:v>204.87</c:v>
                </c:pt>
                <c:pt idx="5">
                  <c:v>169.64</c:v>
                </c:pt>
                <c:pt idx="6">
                  <c:v>179.93</c:v>
                </c:pt>
                <c:pt idx="7">
                  <c:v>219.62</c:v>
                </c:pt>
                <c:pt idx="8">
                  <c:v>223.54</c:v>
                </c:pt>
                <c:pt idx="9">
                  <c:v>196.79</c:v>
                </c:pt>
              </c:numCache>
            </c:numRef>
          </c:val>
          <c:smooth val="0"/>
        </c:ser>
        <c:ser>
          <c:idx val="1"/>
          <c:order val="1"/>
          <c:tx>
            <c:strRef>
              <c:f>ABMD!$D$24</c:f>
              <c:strCache>
                <c:ptCount val="1"/>
                <c:pt idx="0">
                  <c:v>mean cost</c:v>
                </c:pt>
              </c:strCache>
            </c:strRef>
          </c:tx>
          <c:spPr>
            <a:ln w="28575" cap="rnd">
              <a:solidFill>
                <a:schemeClr val="accent2"/>
              </a:solidFill>
              <a:round/>
            </a:ln>
            <a:effectLst/>
          </c:spPr>
          <c:marker>
            <c:symbol val="none"/>
          </c:marker>
          <c:cat>
            <c:numRef>
              <c:f>ABMD!$B$25:$B$55</c:f>
              <c:numCache>
                <c:formatCode>d\-mmm</c:formatCode>
                <c:ptCount val="31"/>
                <c:pt idx="0">
                  <c:v>43572</c:v>
                </c:pt>
                <c:pt idx="1">
                  <c:v>43626</c:v>
                </c:pt>
                <c:pt idx="2">
                  <c:v>43627</c:v>
                </c:pt>
                <c:pt idx="3">
                  <c:v>43631</c:v>
                </c:pt>
                <c:pt idx="4">
                  <c:v>43678</c:v>
                </c:pt>
                <c:pt idx="5">
                  <c:v>43751</c:v>
                </c:pt>
                <c:pt idx="6">
                  <c:v>43762</c:v>
                </c:pt>
                <c:pt idx="7">
                  <c:v>43777</c:v>
                </c:pt>
                <c:pt idx="8">
                  <c:v>43781</c:v>
                </c:pt>
                <c:pt idx="9">
                  <c:v>43797</c:v>
                </c:pt>
              </c:numCache>
            </c:numRef>
          </c:cat>
          <c:val>
            <c:numRef>
              <c:f>ABMD!$D$25:$D$55</c:f>
              <c:numCache>
                <c:formatCode>0.00</c:formatCode>
                <c:ptCount val="31"/>
                <c:pt idx="0">
                  <c:v>252</c:v>
                </c:pt>
                <c:pt idx="1">
                  <c:v>252.2</c:v>
                </c:pt>
                <c:pt idx="2">
                  <c:v>238.2055</c:v>
                </c:pt>
                <c:pt idx="3">
                  <c:v>238.21</c:v>
                </c:pt>
                <c:pt idx="4">
                  <c:v>229.6028</c:v>
                </c:pt>
                <c:pt idx="5">
                  <c:v>229.6028</c:v>
                </c:pt>
                <c:pt idx="6">
                  <c:v>229.6</c:v>
                </c:pt>
                <c:pt idx="7">
                  <c:v>229.6028</c:v>
                </c:pt>
                <c:pt idx="8">
                  <c:v>229.6028</c:v>
                </c:pt>
                <c:pt idx="9">
                  <c:v>229.6</c:v>
                </c:pt>
              </c:numCache>
            </c:numRef>
          </c:val>
          <c:smooth val="0"/>
        </c:ser>
        <c:dLbls>
          <c:showLegendKey val="0"/>
          <c:showVal val="0"/>
          <c:showCatName val="0"/>
          <c:showSerName val="0"/>
          <c:showPercent val="0"/>
          <c:showBubbleSize val="0"/>
        </c:dLbls>
        <c:smooth val="0"/>
        <c:axId val="406472456"/>
        <c:axId val="406472064"/>
      </c:lineChart>
      <c:dateAx>
        <c:axId val="40647245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6472064"/>
        <c:crosses val="autoZero"/>
        <c:auto val="1"/>
        <c:lblOffset val="100"/>
        <c:baseTimeUnit val="days"/>
      </c:dateAx>
      <c:valAx>
        <c:axId val="40647206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64724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ABMD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ABMD!$J$24</c:f>
              <c:strCache>
                <c:ptCount val="1"/>
                <c:pt idx="0">
                  <c:v>Total PL</c:v>
                </c:pt>
              </c:strCache>
            </c:strRef>
          </c:tx>
          <c:spPr>
            <a:ln w="28575" cap="rnd">
              <a:solidFill>
                <a:schemeClr val="accent1"/>
              </a:solidFill>
              <a:round/>
            </a:ln>
            <a:effectLst/>
          </c:spPr>
          <c:marker>
            <c:symbol val="none"/>
          </c:marker>
          <c:cat>
            <c:numRef>
              <c:f>ABMD!$B$25:$B$55</c:f>
              <c:numCache>
                <c:formatCode>d\-mmm</c:formatCode>
                <c:ptCount val="31"/>
                <c:pt idx="0">
                  <c:v>43572</c:v>
                </c:pt>
                <c:pt idx="1">
                  <c:v>43626</c:v>
                </c:pt>
                <c:pt idx="2">
                  <c:v>43627</c:v>
                </c:pt>
                <c:pt idx="3">
                  <c:v>43631</c:v>
                </c:pt>
                <c:pt idx="4">
                  <c:v>43678</c:v>
                </c:pt>
                <c:pt idx="5">
                  <c:v>43751</c:v>
                </c:pt>
                <c:pt idx="6">
                  <c:v>43762</c:v>
                </c:pt>
                <c:pt idx="7">
                  <c:v>43777</c:v>
                </c:pt>
                <c:pt idx="8">
                  <c:v>43781</c:v>
                </c:pt>
                <c:pt idx="9">
                  <c:v>43797</c:v>
                </c:pt>
              </c:numCache>
            </c:numRef>
          </c:cat>
          <c:val>
            <c:numRef>
              <c:f>ABMD!$J$25:$J$55</c:f>
              <c:numCache>
                <c:formatCode>0.00</c:formatCode>
                <c:ptCount val="31"/>
                <c:pt idx="0">
                  <c:v>-10.199999999999999</c:v>
                </c:pt>
                <c:pt idx="1">
                  <c:v>476.09</c:v>
                </c:pt>
                <c:pt idx="2">
                  <c:v>476.48999999999944</c:v>
                </c:pt>
                <c:pt idx="3">
                  <c:v>255</c:v>
                </c:pt>
                <c:pt idx="4">
                  <c:v>-989.3119999999999</c:v>
                </c:pt>
                <c:pt idx="5">
                  <c:v>-2398.5120000000006</c:v>
                </c:pt>
                <c:pt idx="6">
                  <c:v>-1986.7999999999995</c:v>
                </c:pt>
                <c:pt idx="7">
                  <c:v>-399.3119999999999</c:v>
                </c:pt>
                <c:pt idx="8">
                  <c:v>-242.5120000000004</c:v>
                </c:pt>
                <c:pt idx="9">
                  <c:v>-1312.4</c:v>
                </c:pt>
              </c:numCache>
            </c:numRef>
          </c:val>
          <c:smooth val="0"/>
        </c:ser>
        <c:dLbls>
          <c:showLegendKey val="0"/>
          <c:showVal val="0"/>
          <c:showCatName val="0"/>
          <c:showSerName val="0"/>
          <c:showPercent val="0"/>
          <c:showBubbleSize val="0"/>
        </c:dLbls>
        <c:smooth val="0"/>
        <c:axId val="406472848"/>
        <c:axId val="406470496"/>
      </c:lineChart>
      <c:dateAx>
        <c:axId val="40647284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6470496"/>
        <c:crosses val="autoZero"/>
        <c:auto val="1"/>
        <c:lblOffset val="100"/>
        <c:baseTimeUnit val="days"/>
      </c:dateAx>
      <c:valAx>
        <c:axId val="40647049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64728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PINC!$AA$1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PINC!$W$2:$W$67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PINC!$AA$2:$AA$68</c:f>
              <c:numCache>
                <c:formatCode>#,##0.00</c:formatCode>
                <c:ptCount val="67"/>
                <c:pt idx="0">
                  <c:v>31.67</c:v>
                </c:pt>
                <c:pt idx="1">
                  <c:v>31.79</c:v>
                </c:pt>
                <c:pt idx="2">
                  <c:v>32.1</c:v>
                </c:pt>
                <c:pt idx="3">
                  <c:v>31.83</c:v>
                </c:pt>
                <c:pt idx="4">
                  <c:v>31.88</c:v>
                </c:pt>
                <c:pt idx="5">
                  <c:v>31.68</c:v>
                </c:pt>
                <c:pt idx="6">
                  <c:v>31.85</c:v>
                </c:pt>
                <c:pt idx="7">
                  <c:v>30.25</c:v>
                </c:pt>
                <c:pt idx="8">
                  <c:v>30.1</c:v>
                </c:pt>
                <c:pt idx="9">
                  <c:v>29.85</c:v>
                </c:pt>
                <c:pt idx="10">
                  <c:v>30.1</c:v>
                </c:pt>
                <c:pt idx="11">
                  <c:v>30.35</c:v>
                </c:pt>
                <c:pt idx="12">
                  <c:v>30.78</c:v>
                </c:pt>
                <c:pt idx="13">
                  <c:v>31.1</c:v>
                </c:pt>
                <c:pt idx="14">
                  <c:v>31.19</c:v>
                </c:pt>
                <c:pt idx="15">
                  <c:v>31.3</c:v>
                </c:pt>
                <c:pt idx="16">
                  <c:v>30.97</c:v>
                </c:pt>
                <c:pt idx="17">
                  <c:v>31.06</c:v>
                </c:pt>
                <c:pt idx="18">
                  <c:v>30.85</c:v>
                </c:pt>
                <c:pt idx="19">
                  <c:v>30.79</c:v>
                </c:pt>
                <c:pt idx="20">
                  <c:v>30.8</c:v>
                </c:pt>
                <c:pt idx="21">
                  <c:v>30.73</c:v>
                </c:pt>
                <c:pt idx="22">
                  <c:v>31.08</c:v>
                </c:pt>
                <c:pt idx="23">
                  <c:v>31.15</c:v>
                </c:pt>
                <c:pt idx="24">
                  <c:v>31.4</c:v>
                </c:pt>
                <c:pt idx="25">
                  <c:v>31.49</c:v>
                </c:pt>
                <c:pt idx="26">
                  <c:v>31.43</c:v>
                </c:pt>
                <c:pt idx="27">
                  <c:v>32.049999999999997</c:v>
                </c:pt>
                <c:pt idx="28">
                  <c:v>31.34</c:v>
                </c:pt>
                <c:pt idx="29">
                  <c:v>31.44</c:v>
                </c:pt>
                <c:pt idx="30">
                  <c:v>31.73</c:v>
                </c:pt>
                <c:pt idx="31">
                  <c:v>31.61</c:v>
                </c:pt>
                <c:pt idx="32">
                  <c:v>31.35</c:v>
                </c:pt>
                <c:pt idx="33">
                  <c:v>31.2</c:v>
                </c:pt>
                <c:pt idx="34">
                  <c:v>31.44</c:v>
                </c:pt>
                <c:pt idx="35">
                  <c:v>31.95</c:v>
                </c:pt>
                <c:pt idx="36">
                  <c:v>31.55</c:v>
                </c:pt>
                <c:pt idx="37">
                  <c:v>31.33</c:v>
                </c:pt>
                <c:pt idx="38">
                  <c:v>31.47</c:v>
                </c:pt>
                <c:pt idx="39">
                  <c:v>31.08</c:v>
                </c:pt>
                <c:pt idx="40">
                  <c:v>30.75</c:v>
                </c:pt>
                <c:pt idx="41">
                  <c:v>32.18</c:v>
                </c:pt>
                <c:pt idx="42">
                  <c:v>31.84</c:v>
                </c:pt>
                <c:pt idx="43">
                  <c:v>31.48</c:v>
                </c:pt>
                <c:pt idx="44">
                  <c:v>31.65</c:v>
                </c:pt>
                <c:pt idx="45">
                  <c:v>31.86</c:v>
                </c:pt>
                <c:pt idx="46">
                  <c:v>31</c:v>
                </c:pt>
                <c:pt idx="47">
                  <c:v>31.22</c:v>
                </c:pt>
                <c:pt idx="48">
                  <c:v>31.51</c:v>
                </c:pt>
                <c:pt idx="49">
                  <c:v>31.4</c:v>
                </c:pt>
                <c:pt idx="50">
                  <c:v>31.67</c:v>
                </c:pt>
                <c:pt idx="51">
                  <c:v>31.8</c:v>
                </c:pt>
                <c:pt idx="52">
                  <c:v>32.39</c:v>
                </c:pt>
                <c:pt idx="53">
                  <c:v>32.35</c:v>
                </c:pt>
                <c:pt idx="54">
                  <c:v>32.770000000000003</c:v>
                </c:pt>
                <c:pt idx="55">
                  <c:v>32.64</c:v>
                </c:pt>
                <c:pt idx="56">
                  <c:v>32.520000000000003</c:v>
                </c:pt>
                <c:pt idx="57">
                  <c:v>32.11</c:v>
                </c:pt>
                <c:pt idx="58">
                  <c:v>31.85</c:v>
                </c:pt>
                <c:pt idx="59">
                  <c:v>32.1</c:v>
                </c:pt>
                <c:pt idx="60">
                  <c:v>31.79</c:v>
                </c:pt>
                <c:pt idx="61">
                  <c:v>31.81</c:v>
                </c:pt>
                <c:pt idx="62">
                  <c:v>31.12</c:v>
                </c:pt>
                <c:pt idx="63">
                  <c:v>31.11</c:v>
                </c:pt>
                <c:pt idx="64">
                  <c:v>31.08</c:v>
                </c:pt>
                <c:pt idx="65">
                  <c:v>30.36</c:v>
                </c:pt>
              </c:numCache>
            </c:numRef>
          </c:val>
          <c:smooth val="0"/>
        </c:ser>
        <c:dLbls>
          <c:showLegendKey val="0"/>
          <c:showVal val="0"/>
          <c:showCatName val="0"/>
          <c:showSerName val="0"/>
          <c:showPercent val="0"/>
          <c:showBubbleSize val="0"/>
        </c:dLbls>
        <c:marker val="1"/>
        <c:smooth val="0"/>
        <c:axId val="407966944"/>
        <c:axId val="407961064"/>
      </c:lineChart>
      <c:dateAx>
        <c:axId val="407966944"/>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07961064"/>
        <c:crosses val="autoZero"/>
        <c:auto val="1"/>
        <c:lblOffset val="100"/>
        <c:baseTimeUnit val="days"/>
      </c:dateAx>
      <c:valAx>
        <c:axId val="407961064"/>
        <c:scaling>
          <c:orientation val="minMax"/>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0796694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AYI!$E$35</c:f>
              <c:strCache>
                <c:ptCount val="1"/>
                <c:pt idx="0">
                  <c:v>price</c:v>
                </c:pt>
              </c:strCache>
            </c:strRef>
          </c:tx>
          <c:spPr>
            <a:ln w="28575" cap="rnd">
              <a:solidFill>
                <a:schemeClr val="accent1"/>
              </a:solidFill>
              <a:round/>
            </a:ln>
            <a:effectLst/>
          </c:spPr>
          <c:marker>
            <c:symbol val="none"/>
          </c:marker>
          <c:cat>
            <c:numRef>
              <c:f>AYI!$B$36:$B$40</c:f>
              <c:numCache>
                <c:formatCode>d\-mmm</c:formatCode>
                <c:ptCount val="5"/>
                <c:pt idx="0">
                  <c:v>43648</c:v>
                </c:pt>
                <c:pt idx="1">
                  <c:v>43678</c:v>
                </c:pt>
                <c:pt idx="2">
                  <c:v>43771</c:v>
                </c:pt>
                <c:pt idx="3">
                  <c:v>43797</c:v>
                </c:pt>
              </c:numCache>
            </c:numRef>
          </c:cat>
          <c:val>
            <c:numRef>
              <c:f>AYI!$E$36:$E$40</c:f>
              <c:numCache>
                <c:formatCode>0.00</c:formatCode>
                <c:ptCount val="5"/>
                <c:pt idx="0">
                  <c:v>127</c:v>
                </c:pt>
                <c:pt idx="1">
                  <c:v>130.97</c:v>
                </c:pt>
                <c:pt idx="2">
                  <c:v>125.99</c:v>
                </c:pt>
                <c:pt idx="3">
                  <c:v>133.21</c:v>
                </c:pt>
              </c:numCache>
            </c:numRef>
          </c:val>
          <c:smooth val="0"/>
        </c:ser>
        <c:ser>
          <c:idx val="1"/>
          <c:order val="1"/>
          <c:tx>
            <c:strRef>
              <c:f>AYI!$D$35</c:f>
              <c:strCache>
                <c:ptCount val="1"/>
                <c:pt idx="0">
                  <c:v>mean cost</c:v>
                </c:pt>
              </c:strCache>
            </c:strRef>
          </c:tx>
          <c:spPr>
            <a:ln w="28575" cap="rnd">
              <a:solidFill>
                <a:schemeClr val="accent2"/>
              </a:solidFill>
              <a:round/>
            </a:ln>
            <a:effectLst/>
          </c:spPr>
          <c:marker>
            <c:symbol val="none"/>
          </c:marker>
          <c:cat>
            <c:numRef>
              <c:f>AYI!$B$36:$B$40</c:f>
              <c:numCache>
                <c:formatCode>d\-mmm</c:formatCode>
                <c:ptCount val="5"/>
                <c:pt idx="0">
                  <c:v>43648</c:v>
                </c:pt>
                <c:pt idx="1">
                  <c:v>43678</c:v>
                </c:pt>
                <c:pt idx="2">
                  <c:v>43771</c:v>
                </c:pt>
                <c:pt idx="3">
                  <c:v>43797</c:v>
                </c:pt>
              </c:numCache>
            </c:numRef>
          </c:cat>
          <c:val>
            <c:numRef>
              <c:f>AYI!$D$36:$D$43</c:f>
              <c:numCache>
                <c:formatCode>0.00</c:formatCode>
                <c:ptCount val="8"/>
                <c:pt idx="0">
                  <c:v>117.815</c:v>
                </c:pt>
                <c:pt idx="1">
                  <c:v>117.685</c:v>
                </c:pt>
                <c:pt idx="2">
                  <c:v>117.55500000000001</c:v>
                </c:pt>
                <c:pt idx="3">
                  <c:v>117.56</c:v>
                </c:pt>
              </c:numCache>
            </c:numRef>
          </c:val>
          <c:smooth val="0"/>
        </c:ser>
        <c:dLbls>
          <c:showLegendKey val="0"/>
          <c:showVal val="0"/>
          <c:showCatName val="0"/>
          <c:showSerName val="0"/>
          <c:showPercent val="0"/>
          <c:showBubbleSize val="0"/>
        </c:dLbls>
        <c:smooth val="0"/>
        <c:axId val="407959888"/>
        <c:axId val="407960280"/>
      </c:lineChart>
      <c:dateAx>
        <c:axId val="40795988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7960280"/>
        <c:crosses val="autoZero"/>
        <c:auto val="1"/>
        <c:lblOffset val="100"/>
        <c:baseTimeUnit val="days"/>
      </c:dateAx>
      <c:valAx>
        <c:axId val="40796028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79598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AYI!$J$35</c:f>
              <c:strCache>
                <c:ptCount val="1"/>
                <c:pt idx="0">
                  <c:v>Total PL</c:v>
                </c:pt>
              </c:strCache>
            </c:strRef>
          </c:tx>
          <c:spPr>
            <a:ln w="28575" cap="rnd">
              <a:solidFill>
                <a:srgbClr val="00B050"/>
              </a:solidFill>
              <a:round/>
            </a:ln>
            <a:effectLst/>
          </c:spPr>
          <c:marker>
            <c:symbol val="none"/>
          </c:marker>
          <c:cat>
            <c:numRef>
              <c:f>AYI!$B$36:$B$40</c:f>
              <c:numCache>
                <c:formatCode>d\-mmm</c:formatCode>
                <c:ptCount val="5"/>
                <c:pt idx="0">
                  <c:v>43648</c:v>
                </c:pt>
                <c:pt idx="1">
                  <c:v>43678</c:v>
                </c:pt>
                <c:pt idx="2">
                  <c:v>43771</c:v>
                </c:pt>
                <c:pt idx="3">
                  <c:v>43797</c:v>
                </c:pt>
              </c:numCache>
            </c:numRef>
          </c:cat>
          <c:val>
            <c:numRef>
              <c:f>AYI!$J$36:$J$40</c:f>
              <c:numCache>
                <c:formatCode>0.00</c:formatCode>
                <c:ptCount val="5"/>
                <c:pt idx="0">
                  <c:v>2677.2499999999827</c:v>
                </c:pt>
                <c:pt idx="1">
                  <c:v>2800.2499999999823</c:v>
                </c:pt>
                <c:pt idx="2">
                  <c:v>2654.7499999999823</c:v>
                </c:pt>
                <c:pt idx="3">
                  <c:v>2871.1999999999825</c:v>
                </c:pt>
              </c:numCache>
            </c:numRef>
          </c:val>
          <c:smooth val="0"/>
        </c:ser>
        <c:dLbls>
          <c:showLegendKey val="0"/>
          <c:showVal val="0"/>
          <c:showCatName val="0"/>
          <c:showSerName val="0"/>
          <c:showPercent val="0"/>
          <c:showBubbleSize val="0"/>
        </c:dLbls>
        <c:smooth val="0"/>
        <c:axId val="409325288"/>
        <c:axId val="409320976"/>
      </c:lineChart>
      <c:dateAx>
        <c:axId val="40932528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9320976"/>
        <c:crosses val="autoZero"/>
        <c:auto val="1"/>
        <c:lblOffset val="100"/>
        <c:baseTimeUnit val="days"/>
      </c:dateAx>
      <c:valAx>
        <c:axId val="40932097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93252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CTVA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CTVA!$E$24</c:f>
              <c:strCache>
                <c:ptCount val="1"/>
                <c:pt idx="0">
                  <c:v>price</c:v>
                </c:pt>
              </c:strCache>
            </c:strRef>
          </c:tx>
          <c:spPr>
            <a:ln w="28575" cap="rnd">
              <a:solidFill>
                <a:schemeClr val="accent1"/>
              </a:solidFill>
              <a:round/>
            </a:ln>
            <a:effectLst/>
          </c:spPr>
          <c:marker>
            <c:symbol val="none"/>
          </c:marker>
          <c:cat>
            <c:numRef>
              <c:f>CTVA!$B$25:$B$55</c:f>
              <c:numCache>
                <c:formatCode>d\-mmm</c:formatCode>
                <c:ptCount val="31"/>
                <c:pt idx="0">
                  <c:v>43642</c:v>
                </c:pt>
                <c:pt idx="1">
                  <c:v>43676</c:v>
                </c:pt>
                <c:pt idx="2">
                  <c:v>43711</c:v>
                </c:pt>
                <c:pt idx="3">
                  <c:v>43722</c:v>
                </c:pt>
                <c:pt idx="4">
                  <c:v>43742</c:v>
                </c:pt>
                <c:pt idx="5">
                  <c:v>43749</c:v>
                </c:pt>
                <c:pt idx="6">
                  <c:v>43797</c:v>
                </c:pt>
                <c:pt idx="7">
                  <c:v>43802</c:v>
                </c:pt>
                <c:pt idx="8">
                  <c:v>43807</c:v>
                </c:pt>
              </c:numCache>
            </c:numRef>
          </c:cat>
          <c:val>
            <c:numRef>
              <c:f>CTVA!$E$25:$E$55</c:f>
              <c:numCache>
                <c:formatCode>0.00</c:formatCode>
                <c:ptCount val="31"/>
                <c:pt idx="0">
                  <c:v>29.26</c:v>
                </c:pt>
                <c:pt idx="1">
                  <c:v>29.13</c:v>
                </c:pt>
                <c:pt idx="2">
                  <c:v>28</c:v>
                </c:pt>
                <c:pt idx="3">
                  <c:v>30.12</c:v>
                </c:pt>
                <c:pt idx="4">
                  <c:v>25.92</c:v>
                </c:pt>
                <c:pt idx="5">
                  <c:v>27.08</c:v>
                </c:pt>
                <c:pt idx="6">
                  <c:v>26.05</c:v>
                </c:pt>
                <c:pt idx="7">
                  <c:v>24.65</c:v>
                </c:pt>
                <c:pt idx="8">
                  <c:v>25.26</c:v>
                </c:pt>
              </c:numCache>
            </c:numRef>
          </c:val>
          <c:smooth val="0"/>
        </c:ser>
        <c:ser>
          <c:idx val="1"/>
          <c:order val="1"/>
          <c:tx>
            <c:strRef>
              <c:f>CTVA!$D$24</c:f>
              <c:strCache>
                <c:ptCount val="1"/>
                <c:pt idx="0">
                  <c:v>mean cost</c:v>
                </c:pt>
              </c:strCache>
            </c:strRef>
          </c:tx>
          <c:spPr>
            <a:ln w="28575" cap="rnd">
              <a:solidFill>
                <a:schemeClr val="accent2"/>
              </a:solidFill>
              <a:round/>
            </a:ln>
            <a:effectLst/>
          </c:spPr>
          <c:marker>
            <c:symbol val="none"/>
          </c:marker>
          <c:cat>
            <c:numRef>
              <c:f>CTVA!$B$25:$B$55</c:f>
              <c:numCache>
                <c:formatCode>d\-mmm</c:formatCode>
                <c:ptCount val="31"/>
                <c:pt idx="0">
                  <c:v>43642</c:v>
                </c:pt>
                <c:pt idx="1">
                  <c:v>43676</c:v>
                </c:pt>
                <c:pt idx="2">
                  <c:v>43711</c:v>
                </c:pt>
                <c:pt idx="3">
                  <c:v>43722</c:v>
                </c:pt>
                <c:pt idx="4">
                  <c:v>43742</c:v>
                </c:pt>
                <c:pt idx="5">
                  <c:v>43749</c:v>
                </c:pt>
                <c:pt idx="6">
                  <c:v>43797</c:v>
                </c:pt>
                <c:pt idx="7">
                  <c:v>43802</c:v>
                </c:pt>
                <c:pt idx="8">
                  <c:v>43807</c:v>
                </c:pt>
              </c:numCache>
            </c:numRef>
          </c:cat>
          <c:val>
            <c:numRef>
              <c:f>CTVA!$D$25:$D$55</c:f>
              <c:numCache>
                <c:formatCode>0.00</c:formatCode>
                <c:ptCount val="31"/>
                <c:pt idx="0">
                  <c:v>31.630500000000001</c:v>
                </c:pt>
                <c:pt idx="1">
                  <c:v>31.63</c:v>
                </c:pt>
                <c:pt idx="2">
                  <c:v>29.815200000000001</c:v>
                </c:pt>
                <c:pt idx="3">
                  <c:v>29.75</c:v>
                </c:pt>
                <c:pt idx="4">
                  <c:v>28.448</c:v>
                </c:pt>
                <c:pt idx="5">
                  <c:v>29.122</c:v>
                </c:pt>
                <c:pt idx="6">
                  <c:v>29.122</c:v>
                </c:pt>
                <c:pt idx="7">
                  <c:v>26.931000000000001</c:v>
                </c:pt>
                <c:pt idx="8">
                  <c:v>27.898700000000002</c:v>
                </c:pt>
              </c:numCache>
            </c:numRef>
          </c:val>
          <c:smooth val="0"/>
        </c:ser>
        <c:dLbls>
          <c:showLegendKey val="0"/>
          <c:showVal val="0"/>
          <c:showCatName val="0"/>
          <c:showSerName val="0"/>
          <c:showPercent val="0"/>
          <c:showBubbleSize val="0"/>
        </c:dLbls>
        <c:smooth val="0"/>
        <c:axId val="409327248"/>
        <c:axId val="409319800"/>
      </c:lineChart>
      <c:dateAx>
        <c:axId val="40932724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9319800"/>
        <c:crosses val="autoZero"/>
        <c:auto val="1"/>
        <c:lblOffset val="100"/>
        <c:baseTimeUnit val="days"/>
      </c:dateAx>
      <c:valAx>
        <c:axId val="40931980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93272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CTVA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CTVA!$F$24</c:f>
              <c:strCache>
                <c:ptCount val="1"/>
                <c:pt idx="0">
                  <c:v>P/L</c:v>
                </c:pt>
              </c:strCache>
            </c:strRef>
          </c:tx>
          <c:spPr>
            <a:ln w="28575" cap="rnd">
              <a:solidFill>
                <a:schemeClr val="accent1"/>
              </a:solidFill>
              <a:round/>
            </a:ln>
            <a:effectLst/>
          </c:spPr>
          <c:marker>
            <c:symbol val="none"/>
          </c:marker>
          <c:cat>
            <c:numRef>
              <c:f>CTVA!$B$25:$B$55</c:f>
              <c:numCache>
                <c:formatCode>d\-mmm</c:formatCode>
                <c:ptCount val="31"/>
                <c:pt idx="0">
                  <c:v>43642</c:v>
                </c:pt>
                <c:pt idx="1">
                  <c:v>43676</c:v>
                </c:pt>
                <c:pt idx="2">
                  <c:v>43711</c:v>
                </c:pt>
                <c:pt idx="3">
                  <c:v>43722</c:v>
                </c:pt>
                <c:pt idx="4">
                  <c:v>43742</c:v>
                </c:pt>
                <c:pt idx="5">
                  <c:v>43749</c:v>
                </c:pt>
                <c:pt idx="6">
                  <c:v>43797</c:v>
                </c:pt>
                <c:pt idx="7">
                  <c:v>43802</c:v>
                </c:pt>
                <c:pt idx="8">
                  <c:v>43807</c:v>
                </c:pt>
              </c:numCache>
            </c:numRef>
          </c:cat>
          <c:val>
            <c:numRef>
              <c:f>CTVA!$F$25:$F$55</c:f>
              <c:numCache>
                <c:formatCode>0.00</c:formatCode>
                <c:ptCount val="31"/>
                <c:pt idx="0">
                  <c:v>-156.45299999999997</c:v>
                </c:pt>
                <c:pt idx="1">
                  <c:v>-165</c:v>
                </c:pt>
                <c:pt idx="2">
                  <c:v>-239.60640000000012</c:v>
                </c:pt>
                <c:pt idx="3">
                  <c:v>48.840000000000131</c:v>
                </c:pt>
                <c:pt idx="4">
                  <c:v>-505.59999999999974</c:v>
                </c:pt>
                <c:pt idx="5">
                  <c:v>-273.62800000000021</c:v>
                </c:pt>
                <c:pt idx="6">
                  <c:v>-411.64799999999991</c:v>
                </c:pt>
                <c:pt idx="7">
                  <c:v>-570.25000000000057</c:v>
                </c:pt>
                <c:pt idx="8">
                  <c:v>-395.80500000000001</c:v>
                </c:pt>
              </c:numCache>
            </c:numRef>
          </c:val>
          <c:smooth val="0"/>
        </c:ser>
        <c:dLbls>
          <c:showLegendKey val="0"/>
          <c:showVal val="0"/>
          <c:showCatName val="0"/>
          <c:showSerName val="0"/>
          <c:showPercent val="0"/>
          <c:showBubbleSize val="0"/>
        </c:dLbls>
        <c:smooth val="0"/>
        <c:axId val="409325680"/>
        <c:axId val="409321368"/>
      </c:lineChart>
      <c:dateAx>
        <c:axId val="40932568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9321368"/>
        <c:crosses val="autoZero"/>
        <c:auto val="1"/>
        <c:lblOffset val="100"/>
        <c:baseTimeUnit val="days"/>
      </c:dateAx>
      <c:valAx>
        <c:axId val="40932136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93256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CPRI!$AA$1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5"/>
            <c:spPr>
              <a:solidFill>
                <a:srgbClr val="FF0000"/>
              </a:solidFill>
              <a:ln w="9525">
                <a:solidFill>
                  <a:schemeClr val="accent1"/>
                </a:solidFill>
                <a:round/>
              </a:ln>
              <a:effectLst>
                <a:outerShdw blurRad="57150" dist="19050" dir="5400000" algn="ctr" rotWithShape="0">
                  <a:srgbClr val="000000">
                    <a:alpha val="63000"/>
                  </a:srgbClr>
                </a:outerShdw>
              </a:effectLst>
            </c:spPr>
          </c:marker>
          <c:cat>
            <c:numRef>
              <c:f>CPRI!$W$2:$W$67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CPRI!$AA$2:$AA$67</c:f>
              <c:numCache>
                <c:formatCode>General</c:formatCode>
                <c:ptCount val="66"/>
                <c:pt idx="0">
                  <c:v>36.840000000000003</c:v>
                </c:pt>
                <c:pt idx="1">
                  <c:v>36.82</c:v>
                </c:pt>
                <c:pt idx="2">
                  <c:v>38.04</c:v>
                </c:pt>
                <c:pt idx="3">
                  <c:v>38.11</c:v>
                </c:pt>
                <c:pt idx="4">
                  <c:v>38.130000000000003</c:v>
                </c:pt>
                <c:pt idx="5">
                  <c:v>38.28</c:v>
                </c:pt>
                <c:pt idx="6">
                  <c:v>38.35</c:v>
                </c:pt>
                <c:pt idx="7">
                  <c:v>37.799999999999997</c:v>
                </c:pt>
                <c:pt idx="8">
                  <c:v>37.56</c:v>
                </c:pt>
                <c:pt idx="9">
                  <c:v>37.229999999999997</c:v>
                </c:pt>
                <c:pt idx="10">
                  <c:v>36.58</c:v>
                </c:pt>
                <c:pt idx="11">
                  <c:v>36.74</c:v>
                </c:pt>
                <c:pt idx="12">
                  <c:v>37.39</c:v>
                </c:pt>
                <c:pt idx="13">
                  <c:v>37.83</c:v>
                </c:pt>
                <c:pt idx="14">
                  <c:v>37.74</c:v>
                </c:pt>
                <c:pt idx="15">
                  <c:v>37.61</c:v>
                </c:pt>
                <c:pt idx="16">
                  <c:v>37.21</c:v>
                </c:pt>
                <c:pt idx="17">
                  <c:v>36.92</c:v>
                </c:pt>
                <c:pt idx="18">
                  <c:v>36.85</c:v>
                </c:pt>
                <c:pt idx="19">
                  <c:v>36.46</c:v>
                </c:pt>
                <c:pt idx="20">
                  <c:v>36.4</c:v>
                </c:pt>
                <c:pt idx="21">
                  <c:v>36.020000000000003</c:v>
                </c:pt>
                <c:pt idx="22">
                  <c:v>36.51</c:v>
                </c:pt>
                <c:pt idx="23">
                  <c:v>36.409999999999997</c:v>
                </c:pt>
                <c:pt idx="24">
                  <c:v>37.03</c:v>
                </c:pt>
                <c:pt idx="25">
                  <c:v>36.9</c:v>
                </c:pt>
                <c:pt idx="26">
                  <c:v>36.5</c:v>
                </c:pt>
                <c:pt idx="27">
                  <c:v>37.6</c:v>
                </c:pt>
                <c:pt idx="28">
                  <c:v>37.299999999999997</c:v>
                </c:pt>
                <c:pt idx="29">
                  <c:v>37.28</c:v>
                </c:pt>
                <c:pt idx="30">
                  <c:v>37.92</c:v>
                </c:pt>
                <c:pt idx="31">
                  <c:v>38.31</c:v>
                </c:pt>
                <c:pt idx="32">
                  <c:v>38.299999999999997</c:v>
                </c:pt>
                <c:pt idx="33">
                  <c:v>38.21</c:v>
                </c:pt>
                <c:pt idx="34">
                  <c:v>38.049999999999997</c:v>
                </c:pt>
                <c:pt idx="35">
                  <c:v>38.1</c:v>
                </c:pt>
                <c:pt idx="36">
                  <c:v>37.6</c:v>
                </c:pt>
                <c:pt idx="37">
                  <c:v>38.380000000000003</c:v>
                </c:pt>
                <c:pt idx="38">
                  <c:v>38.270000000000003</c:v>
                </c:pt>
                <c:pt idx="39">
                  <c:v>37.869999999999997</c:v>
                </c:pt>
                <c:pt idx="40">
                  <c:v>36.82</c:v>
                </c:pt>
                <c:pt idx="41">
                  <c:v>41.28</c:v>
                </c:pt>
                <c:pt idx="42">
                  <c:v>41.02</c:v>
                </c:pt>
                <c:pt idx="43">
                  <c:v>40.89</c:v>
                </c:pt>
                <c:pt idx="44">
                  <c:v>41.34</c:v>
                </c:pt>
                <c:pt idx="45">
                  <c:v>42.81</c:v>
                </c:pt>
                <c:pt idx="46">
                  <c:v>41.79</c:v>
                </c:pt>
                <c:pt idx="47">
                  <c:v>41.53</c:v>
                </c:pt>
                <c:pt idx="48">
                  <c:v>42.06</c:v>
                </c:pt>
                <c:pt idx="49">
                  <c:v>42.8</c:v>
                </c:pt>
                <c:pt idx="50">
                  <c:v>43.4</c:v>
                </c:pt>
                <c:pt idx="51">
                  <c:v>42.56</c:v>
                </c:pt>
                <c:pt idx="52">
                  <c:v>42.46</c:v>
                </c:pt>
                <c:pt idx="53">
                  <c:v>42.03</c:v>
                </c:pt>
                <c:pt idx="54">
                  <c:v>43.23</c:v>
                </c:pt>
                <c:pt idx="55">
                  <c:v>43.56</c:v>
                </c:pt>
                <c:pt idx="56">
                  <c:v>42.39</c:v>
                </c:pt>
                <c:pt idx="57">
                  <c:v>42.65</c:v>
                </c:pt>
                <c:pt idx="58">
                  <c:v>42.87</c:v>
                </c:pt>
                <c:pt idx="59">
                  <c:v>43.38</c:v>
                </c:pt>
                <c:pt idx="60">
                  <c:v>42.04</c:v>
                </c:pt>
                <c:pt idx="61">
                  <c:v>42.47</c:v>
                </c:pt>
                <c:pt idx="62">
                  <c:v>42.1</c:v>
                </c:pt>
                <c:pt idx="63">
                  <c:v>43.5</c:v>
                </c:pt>
                <c:pt idx="64">
                  <c:v>43.08</c:v>
                </c:pt>
                <c:pt idx="65">
                  <c:v>42.98</c:v>
                </c:pt>
              </c:numCache>
            </c:numRef>
          </c:val>
          <c:smooth val="0"/>
        </c:ser>
        <c:dLbls>
          <c:showLegendKey val="0"/>
          <c:showVal val="0"/>
          <c:showCatName val="0"/>
          <c:showSerName val="0"/>
          <c:showPercent val="0"/>
          <c:showBubbleSize val="0"/>
        </c:dLbls>
        <c:marker val="1"/>
        <c:smooth val="0"/>
        <c:axId val="409322152"/>
        <c:axId val="409322936"/>
      </c:lineChart>
      <c:dateAx>
        <c:axId val="409322152"/>
        <c:scaling>
          <c:orientation val="minMax"/>
        </c:scaling>
        <c:delete val="0"/>
        <c:axPos val="b"/>
        <c:numFmt formatCode="d\-mmm\-yy" sourceLinked="1"/>
        <c:majorTickMark val="out"/>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09322936"/>
        <c:crosses val="autoZero"/>
        <c:auto val="1"/>
        <c:lblOffset val="100"/>
        <c:baseTimeUnit val="days"/>
      </c:dateAx>
      <c:valAx>
        <c:axId val="409322936"/>
        <c:scaling>
          <c:orientation val="minMax"/>
          <c:min val="37"/>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0932215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CVS!$E$24</c:f>
              <c:strCache>
                <c:ptCount val="1"/>
                <c:pt idx="0">
                  <c:v>price</c:v>
                </c:pt>
              </c:strCache>
            </c:strRef>
          </c:tx>
          <c:spPr>
            <a:ln w="28575" cap="rnd">
              <a:solidFill>
                <a:schemeClr val="accent1"/>
              </a:solidFill>
              <a:round/>
            </a:ln>
            <a:effectLst/>
          </c:spPr>
          <c:marker>
            <c:symbol val="none"/>
          </c:marker>
          <c:cat>
            <c:numRef>
              <c:f>CVS!$B$25:$B$67</c:f>
              <c:numCache>
                <c:formatCode>d\-mmm</c:formatCode>
                <c:ptCount val="4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pt idx="30">
                  <c:v>43657</c:v>
                </c:pt>
                <c:pt idx="31">
                  <c:v>43658</c:v>
                </c:pt>
                <c:pt idx="32">
                  <c:v>43679</c:v>
                </c:pt>
                <c:pt idx="33">
                  <c:v>43686</c:v>
                </c:pt>
                <c:pt idx="34">
                  <c:v>43695</c:v>
                </c:pt>
                <c:pt idx="35">
                  <c:v>43753</c:v>
                </c:pt>
                <c:pt idx="36">
                  <c:v>43773</c:v>
                </c:pt>
                <c:pt idx="37">
                  <c:v>43794</c:v>
                </c:pt>
              </c:numCache>
            </c:numRef>
          </c:cat>
          <c:val>
            <c:numRef>
              <c:f>CVS!$E$25:$E$67</c:f>
              <c:numCache>
                <c:formatCode>0.00</c:formatCode>
                <c:ptCount val="43"/>
                <c:pt idx="0">
                  <c:v>64.88</c:v>
                </c:pt>
                <c:pt idx="1">
                  <c:v>64.86</c:v>
                </c:pt>
                <c:pt idx="2">
                  <c:v>64.09</c:v>
                </c:pt>
                <c:pt idx="3">
                  <c:v>64.89</c:v>
                </c:pt>
                <c:pt idx="4">
                  <c:v>69.05</c:v>
                </c:pt>
                <c:pt idx="5">
                  <c:v>69.5</c:v>
                </c:pt>
                <c:pt idx="6">
                  <c:v>73.2</c:v>
                </c:pt>
                <c:pt idx="7">
                  <c:v>73.680000000000007</c:v>
                </c:pt>
                <c:pt idx="8">
                  <c:v>74.599999999999994</c:v>
                </c:pt>
                <c:pt idx="9">
                  <c:v>73.69</c:v>
                </c:pt>
                <c:pt idx="10">
                  <c:v>74.08</c:v>
                </c:pt>
                <c:pt idx="11">
                  <c:v>74.75</c:v>
                </c:pt>
                <c:pt idx="12">
                  <c:v>78.61</c:v>
                </c:pt>
                <c:pt idx="13">
                  <c:v>77.61</c:v>
                </c:pt>
                <c:pt idx="14">
                  <c:v>79.5</c:v>
                </c:pt>
                <c:pt idx="15">
                  <c:v>73.19</c:v>
                </c:pt>
                <c:pt idx="16">
                  <c:v>70.540000000000006</c:v>
                </c:pt>
                <c:pt idx="17">
                  <c:v>74.41</c:v>
                </c:pt>
                <c:pt idx="18">
                  <c:v>78.77</c:v>
                </c:pt>
                <c:pt idx="19">
                  <c:v>79.5</c:v>
                </c:pt>
                <c:pt idx="20">
                  <c:v>76.569999999999993</c:v>
                </c:pt>
                <c:pt idx="21">
                  <c:v>63.74</c:v>
                </c:pt>
                <c:pt idx="22">
                  <c:v>65.38</c:v>
                </c:pt>
                <c:pt idx="23">
                  <c:v>65.91</c:v>
                </c:pt>
                <c:pt idx="24">
                  <c:v>58.5</c:v>
                </c:pt>
                <c:pt idx="25">
                  <c:v>52.36</c:v>
                </c:pt>
                <c:pt idx="26">
                  <c:v>53.75</c:v>
                </c:pt>
                <c:pt idx="27">
                  <c:v>57.4</c:v>
                </c:pt>
                <c:pt idx="28">
                  <c:v>53.9</c:v>
                </c:pt>
                <c:pt idx="29">
                  <c:v>52.52</c:v>
                </c:pt>
                <c:pt idx="30">
                  <c:v>57.97</c:v>
                </c:pt>
                <c:pt idx="31">
                  <c:v>57.55</c:v>
                </c:pt>
                <c:pt idx="32">
                  <c:v>55.37</c:v>
                </c:pt>
                <c:pt idx="33">
                  <c:v>59.29</c:v>
                </c:pt>
                <c:pt idx="34">
                  <c:v>60.28</c:v>
                </c:pt>
                <c:pt idx="35">
                  <c:v>64.72</c:v>
                </c:pt>
                <c:pt idx="36">
                  <c:v>68.040000000000006</c:v>
                </c:pt>
                <c:pt idx="37">
                  <c:v>76.58</c:v>
                </c:pt>
              </c:numCache>
            </c:numRef>
          </c:val>
          <c:smooth val="0"/>
        </c:ser>
        <c:ser>
          <c:idx val="1"/>
          <c:order val="1"/>
          <c:tx>
            <c:strRef>
              <c:f>CVS!$D$24</c:f>
              <c:strCache>
                <c:ptCount val="1"/>
                <c:pt idx="0">
                  <c:v>mean cost</c:v>
                </c:pt>
              </c:strCache>
            </c:strRef>
          </c:tx>
          <c:spPr>
            <a:ln w="28575" cap="rnd">
              <a:solidFill>
                <a:schemeClr val="accent2"/>
              </a:solidFill>
              <a:round/>
            </a:ln>
            <a:effectLst/>
          </c:spPr>
          <c:marker>
            <c:symbol val="none"/>
          </c:marker>
          <c:cat>
            <c:numRef>
              <c:f>CVS!$B$25:$B$67</c:f>
              <c:numCache>
                <c:formatCode>d\-mmm</c:formatCode>
                <c:ptCount val="4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pt idx="30">
                  <c:v>43657</c:v>
                </c:pt>
                <c:pt idx="31">
                  <c:v>43658</c:v>
                </c:pt>
                <c:pt idx="32">
                  <c:v>43679</c:v>
                </c:pt>
                <c:pt idx="33">
                  <c:v>43686</c:v>
                </c:pt>
                <c:pt idx="34">
                  <c:v>43695</c:v>
                </c:pt>
                <c:pt idx="35">
                  <c:v>43753</c:v>
                </c:pt>
                <c:pt idx="36">
                  <c:v>43773</c:v>
                </c:pt>
                <c:pt idx="37">
                  <c:v>43794</c:v>
                </c:pt>
              </c:numCache>
            </c:numRef>
          </c:cat>
          <c:val>
            <c:numRef>
              <c:f>CVS!$D$25:$D$67</c:f>
              <c:numCache>
                <c:formatCode>0.00</c:formatCode>
                <c:ptCount val="43"/>
                <c:pt idx="0">
                  <c:v>64.88</c:v>
                </c:pt>
                <c:pt idx="1">
                  <c:v>64.88</c:v>
                </c:pt>
                <c:pt idx="2">
                  <c:v>64.313329999999993</c:v>
                </c:pt>
                <c:pt idx="3">
                  <c:v>64.313329999999993</c:v>
                </c:pt>
                <c:pt idx="4">
                  <c:v>64.313329999999993</c:v>
                </c:pt>
                <c:pt idx="5">
                  <c:v>64.313329999999993</c:v>
                </c:pt>
                <c:pt idx="6">
                  <c:v>64.313329999999993</c:v>
                </c:pt>
                <c:pt idx="7">
                  <c:v>64.313329999999993</c:v>
                </c:pt>
                <c:pt idx="8">
                  <c:v>59.170499999999997</c:v>
                </c:pt>
                <c:pt idx="9">
                  <c:v>63.783670000000001</c:v>
                </c:pt>
                <c:pt idx="10">
                  <c:v>63.78</c:v>
                </c:pt>
                <c:pt idx="11">
                  <c:v>58.301000000000002</c:v>
                </c:pt>
                <c:pt idx="12">
                  <c:v>37.802999999999997</c:v>
                </c:pt>
                <c:pt idx="13">
                  <c:v>57.801499999999997</c:v>
                </c:pt>
                <c:pt idx="14">
                  <c:v>35.904000000000003</c:v>
                </c:pt>
                <c:pt idx="15">
                  <c:v>61.488</c:v>
                </c:pt>
                <c:pt idx="16">
                  <c:v>61.49</c:v>
                </c:pt>
                <c:pt idx="17">
                  <c:v>60.988</c:v>
                </c:pt>
                <c:pt idx="18">
                  <c:v>51.942500000000003</c:v>
                </c:pt>
                <c:pt idx="19">
                  <c:v>51.94</c:v>
                </c:pt>
                <c:pt idx="20">
                  <c:v>47.417499999999997</c:v>
                </c:pt>
                <c:pt idx="21">
                  <c:v>52.77167</c:v>
                </c:pt>
                <c:pt idx="22">
                  <c:v>46.468000000000004</c:v>
                </c:pt>
                <c:pt idx="23">
                  <c:v>45.9679</c:v>
                </c:pt>
                <c:pt idx="24">
                  <c:v>52.423999999999999</c:v>
                </c:pt>
                <c:pt idx="25">
                  <c:v>52.549300000000002</c:v>
                </c:pt>
                <c:pt idx="26">
                  <c:v>52.55</c:v>
                </c:pt>
                <c:pt idx="27">
                  <c:v>50.098999999999997</c:v>
                </c:pt>
                <c:pt idx="28">
                  <c:v>50.1</c:v>
                </c:pt>
                <c:pt idx="29">
                  <c:v>50.1</c:v>
                </c:pt>
                <c:pt idx="30">
                  <c:v>39.700000000000003</c:v>
                </c:pt>
                <c:pt idx="31">
                  <c:v>48.6</c:v>
                </c:pt>
                <c:pt idx="32">
                  <c:v>48.099899999999998</c:v>
                </c:pt>
                <c:pt idx="33">
                  <c:v>44.353999999999999</c:v>
                </c:pt>
                <c:pt idx="34">
                  <c:v>36.441000000000003</c:v>
                </c:pt>
                <c:pt idx="35">
                  <c:v>36.44</c:v>
                </c:pt>
                <c:pt idx="36">
                  <c:v>35.941000000000003</c:v>
                </c:pt>
                <c:pt idx="37">
                  <c:v>35.94</c:v>
                </c:pt>
              </c:numCache>
            </c:numRef>
          </c:val>
          <c:smooth val="0"/>
        </c:ser>
        <c:dLbls>
          <c:showLegendKey val="0"/>
          <c:showVal val="0"/>
          <c:showCatName val="0"/>
          <c:showSerName val="0"/>
          <c:showPercent val="0"/>
          <c:showBubbleSize val="0"/>
        </c:dLbls>
        <c:smooth val="0"/>
        <c:axId val="409851880"/>
        <c:axId val="409852272"/>
      </c:lineChart>
      <c:dateAx>
        <c:axId val="40985188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9852272"/>
        <c:crosses val="autoZero"/>
        <c:auto val="1"/>
        <c:lblOffset val="100"/>
        <c:baseTimeUnit val="days"/>
      </c:dateAx>
      <c:valAx>
        <c:axId val="409852272"/>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9851880"/>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CVS!$K$24</c:f>
              <c:strCache>
                <c:ptCount val="1"/>
                <c:pt idx="0">
                  <c:v>Total PL</c:v>
                </c:pt>
              </c:strCache>
            </c:strRef>
          </c:tx>
          <c:spPr>
            <a:ln w="28575" cap="rnd">
              <a:solidFill>
                <a:srgbClr val="00B050"/>
              </a:solidFill>
              <a:round/>
            </a:ln>
            <a:effectLst/>
          </c:spPr>
          <c:marker>
            <c:symbol val="none"/>
          </c:marker>
          <c:cat>
            <c:numRef>
              <c:f>CVS!$B$25:$B$67</c:f>
              <c:numCache>
                <c:formatCode>d\-mmm</c:formatCode>
                <c:ptCount val="4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pt idx="30">
                  <c:v>43657</c:v>
                </c:pt>
                <c:pt idx="31">
                  <c:v>43658</c:v>
                </c:pt>
                <c:pt idx="32">
                  <c:v>43679</c:v>
                </c:pt>
                <c:pt idx="33">
                  <c:v>43686</c:v>
                </c:pt>
                <c:pt idx="34">
                  <c:v>43695</c:v>
                </c:pt>
                <c:pt idx="35">
                  <c:v>43753</c:v>
                </c:pt>
                <c:pt idx="36">
                  <c:v>43773</c:v>
                </c:pt>
                <c:pt idx="37">
                  <c:v>43794</c:v>
                </c:pt>
              </c:numCache>
            </c:numRef>
          </c:cat>
          <c:val>
            <c:numRef>
              <c:f>CVS!$K$25:$K$67</c:f>
              <c:numCache>
                <c:formatCode>0.00</c:formatCode>
                <c:ptCount val="43"/>
                <c:pt idx="0">
                  <c:v>197.20999999999549</c:v>
                </c:pt>
                <c:pt idx="1">
                  <c:v>195.20999999999589</c:v>
                </c:pt>
                <c:pt idx="2">
                  <c:v>163.71049999999698</c:v>
                </c:pt>
                <c:pt idx="3">
                  <c:v>283.71049999999656</c:v>
                </c:pt>
                <c:pt idx="4">
                  <c:v>907.71049999999605</c:v>
                </c:pt>
                <c:pt idx="5">
                  <c:v>975.2104999999965</c:v>
                </c:pt>
                <c:pt idx="6">
                  <c:v>1530.210499999997</c:v>
                </c:pt>
                <c:pt idx="7">
                  <c:v>1602.2104999999974</c:v>
                </c:pt>
                <c:pt idx="8">
                  <c:v>1740.1599999999953</c:v>
                </c:pt>
                <c:pt idx="9">
                  <c:v>1683.159499999995</c:v>
                </c:pt>
                <c:pt idx="10">
                  <c:v>1742.209999999995</c:v>
                </c:pt>
                <c:pt idx="11">
                  <c:v>1842.1099999999954</c:v>
                </c:pt>
                <c:pt idx="12">
                  <c:v>2237.5599999999959</c:v>
                </c:pt>
                <c:pt idx="13">
                  <c:v>2178.0599999999959</c:v>
                </c:pt>
                <c:pt idx="14">
                  <c:v>2377.0099999999952</c:v>
                </c:pt>
                <c:pt idx="15">
                  <c:v>1952.5099999999952</c:v>
                </c:pt>
                <c:pt idx="16">
                  <c:v>1554.7099999999962</c:v>
                </c:pt>
                <c:pt idx="17">
                  <c:v>2210.5099999999948</c:v>
                </c:pt>
                <c:pt idx="18">
                  <c:v>2879.959999999995</c:v>
                </c:pt>
                <c:pt idx="19">
                  <c:v>3043.46</c:v>
                </c:pt>
                <c:pt idx="20">
                  <c:v>3112.46</c:v>
                </c:pt>
                <c:pt idx="21">
                  <c:v>1842.4594999999958</c:v>
                </c:pt>
                <c:pt idx="22">
                  <c:v>2088.4099999999944</c:v>
                </c:pt>
                <c:pt idx="23">
                  <c:v>2191.4199999999951</c:v>
                </c:pt>
                <c:pt idx="24">
                  <c:v>1412.4099999999955</c:v>
                </c:pt>
                <c:pt idx="25">
                  <c:v>140.41999999999462</c:v>
                </c:pt>
                <c:pt idx="26">
                  <c:v>557.2099999999964</c:v>
                </c:pt>
                <c:pt idx="27">
                  <c:v>1657.4099999999958</c:v>
                </c:pt>
                <c:pt idx="28">
                  <c:v>957.20999999999492</c:v>
                </c:pt>
                <c:pt idx="29">
                  <c:v>681.20999999999583</c:v>
                </c:pt>
                <c:pt idx="30">
                  <c:v>2024.209999999995</c:v>
                </c:pt>
                <c:pt idx="31">
                  <c:v>1987.2099999999946</c:v>
                </c:pt>
                <c:pt idx="32">
                  <c:v>1651.2299999999955</c:v>
                </c:pt>
                <c:pt idx="33">
                  <c:v>2437.6099999999956</c:v>
                </c:pt>
                <c:pt idx="34">
                  <c:v>2581.1099999999951</c:v>
                </c:pt>
                <c:pt idx="35">
                  <c:v>3025.2099999999955</c:v>
                </c:pt>
                <c:pt idx="36">
                  <c:v>3407.109999999996</c:v>
                </c:pt>
                <c:pt idx="37">
                  <c:v>4302.95</c:v>
                </c:pt>
              </c:numCache>
            </c:numRef>
          </c:val>
          <c:smooth val="0"/>
        </c:ser>
        <c:dLbls>
          <c:showLegendKey val="0"/>
          <c:showVal val="0"/>
          <c:showCatName val="0"/>
          <c:showSerName val="0"/>
          <c:showPercent val="0"/>
          <c:showBubbleSize val="0"/>
        </c:dLbls>
        <c:smooth val="0"/>
        <c:axId val="409853840"/>
        <c:axId val="409855408"/>
      </c:lineChart>
      <c:dateAx>
        <c:axId val="40985384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9855408"/>
        <c:crosses val="autoZero"/>
        <c:auto val="1"/>
        <c:lblOffset val="100"/>
        <c:baseTimeUnit val="days"/>
      </c:dateAx>
      <c:valAx>
        <c:axId val="40985540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98538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DD!$E$24</c:f>
              <c:strCache>
                <c:ptCount val="1"/>
                <c:pt idx="0">
                  <c:v>price</c:v>
                </c:pt>
              </c:strCache>
            </c:strRef>
          </c:tx>
          <c:spPr>
            <a:ln w="28575" cap="rnd">
              <a:solidFill>
                <a:schemeClr val="accent1"/>
              </a:solidFill>
              <a:round/>
            </a:ln>
            <a:effectLst/>
          </c:spPr>
          <c:marker>
            <c:symbol val="none"/>
          </c:marker>
          <c:cat>
            <c:numRef>
              <c:f>DD!$B$25:$B$43</c:f>
              <c:numCache>
                <c:formatCode>d\-mmm</c:formatCode>
                <c:ptCount val="19"/>
                <c:pt idx="0">
                  <c:v>43654</c:v>
                </c:pt>
                <c:pt idx="1">
                  <c:v>43655</c:v>
                </c:pt>
                <c:pt idx="2">
                  <c:v>43662</c:v>
                </c:pt>
                <c:pt idx="3">
                  <c:v>43679</c:v>
                </c:pt>
                <c:pt idx="4">
                  <c:v>43718</c:v>
                </c:pt>
                <c:pt idx="5">
                  <c:v>43722</c:v>
                </c:pt>
                <c:pt idx="6">
                  <c:v>43745</c:v>
                </c:pt>
                <c:pt idx="7">
                  <c:v>43797</c:v>
                </c:pt>
                <c:pt idx="8">
                  <c:v>43807</c:v>
                </c:pt>
              </c:numCache>
            </c:numRef>
          </c:cat>
          <c:val>
            <c:numRef>
              <c:f>DD!$E$25:$E$43</c:f>
              <c:numCache>
                <c:formatCode>0.00</c:formatCode>
                <c:ptCount val="19"/>
                <c:pt idx="0">
                  <c:v>70</c:v>
                </c:pt>
                <c:pt idx="1">
                  <c:v>70</c:v>
                </c:pt>
                <c:pt idx="2">
                  <c:v>73.5</c:v>
                </c:pt>
                <c:pt idx="3">
                  <c:v>69.05</c:v>
                </c:pt>
                <c:pt idx="4">
                  <c:v>71.7</c:v>
                </c:pt>
                <c:pt idx="5">
                  <c:v>71.290000000000006</c:v>
                </c:pt>
                <c:pt idx="6">
                  <c:v>66.8</c:v>
                </c:pt>
                <c:pt idx="7">
                  <c:v>65.61</c:v>
                </c:pt>
                <c:pt idx="8">
                  <c:v>63.59</c:v>
                </c:pt>
              </c:numCache>
            </c:numRef>
          </c:val>
          <c:smooth val="0"/>
        </c:ser>
        <c:ser>
          <c:idx val="1"/>
          <c:order val="1"/>
          <c:tx>
            <c:strRef>
              <c:f>DD!$D$24</c:f>
              <c:strCache>
                <c:ptCount val="1"/>
                <c:pt idx="0">
                  <c:v>mean cost</c:v>
                </c:pt>
              </c:strCache>
            </c:strRef>
          </c:tx>
          <c:spPr>
            <a:ln w="28575" cap="rnd">
              <a:solidFill>
                <a:schemeClr val="accent2"/>
              </a:solidFill>
              <a:round/>
            </a:ln>
            <a:effectLst/>
          </c:spPr>
          <c:marker>
            <c:symbol val="none"/>
          </c:marker>
          <c:cat>
            <c:numRef>
              <c:f>DD!$B$25:$B$43</c:f>
              <c:numCache>
                <c:formatCode>d\-mmm</c:formatCode>
                <c:ptCount val="19"/>
                <c:pt idx="0">
                  <c:v>43654</c:v>
                </c:pt>
                <c:pt idx="1">
                  <c:v>43655</c:v>
                </c:pt>
                <c:pt idx="2">
                  <c:v>43662</c:v>
                </c:pt>
                <c:pt idx="3">
                  <c:v>43679</c:v>
                </c:pt>
                <c:pt idx="4">
                  <c:v>43718</c:v>
                </c:pt>
                <c:pt idx="5">
                  <c:v>43722</c:v>
                </c:pt>
                <c:pt idx="6">
                  <c:v>43745</c:v>
                </c:pt>
                <c:pt idx="7">
                  <c:v>43797</c:v>
                </c:pt>
                <c:pt idx="8">
                  <c:v>43807</c:v>
                </c:pt>
              </c:numCache>
            </c:numRef>
          </c:cat>
          <c:val>
            <c:numRef>
              <c:f>DD!$D$25:$D$43</c:f>
              <c:numCache>
                <c:formatCode>0.00</c:formatCode>
                <c:ptCount val="19"/>
                <c:pt idx="0">
                  <c:v>87.188890000000001</c:v>
                </c:pt>
                <c:pt idx="1">
                  <c:v>81.344700000000003</c:v>
                </c:pt>
                <c:pt idx="2">
                  <c:v>85.436700000000002</c:v>
                </c:pt>
                <c:pt idx="3">
                  <c:v>79.746200000000002</c:v>
                </c:pt>
                <c:pt idx="4">
                  <c:v>83.891999999999996</c:v>
                </c:pt>
                <c:pt idx="5">
                  <c:v>83.591999999999999</c:v>
                </c:pt>
                <c:pt idx="6">
                  <c:v>77.8827</c:v>
                </c:pt>
                <c:pt idx="7">
                  <c:v>77.88</c:v>
                </c:pt>
                <c:pt idx="8">
                  <c:v>77.8827</c:v>
                </c:pt>
              </c:numCache>
            </c:numRef>
          </c:val>
          <c:smooth val="0"/>
        </c:ser>
        <c:dLbls>
          <c:showLegendKey val="0"/>
          <c:showVal val="0"/>
          <c:showCatName val="0"/>
          <c:showSerName val="0"/>
          <c:showPercent val="0"/>
          <c:showBubbleSize val="0"/>
        </c:dLbls>
        <c:smooth val="0"/>
        <c:axId val="409847960"/>
        <c:axId val="409848352"/>
      </c:lineChart>
      <c:dateAx>
        <c:axId val="40984796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9848352"/>
        <c:crosses val="autoZero"/>
        <c:auto val="1"/>
        <c:lblOffset val="100"/>
        <c:baseTimeUnit val="days"/>
      </c:dateAx>
      <c:valAx>
        <c:axId val="40984835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98479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DD!$F$24</c:f>
              <c:strCache>
                <c:ptCount val="1"/>
                <c:pt idx="0">
                  <c:v>P/L</c:v>
                </c:pt>
              </c:strCache>
            </c:strRef>
          </c:tx>
          <c:spPr>
            <a:ln w="28575" cap="rnd">
              <a:solidFill>
                <a:schemeClr val="accent1"/>
              </a:solidFill>
              <a:round/>
            </a:ln>
            <a:effectLst/>
          </c:spPr>
          <c:marker>
            <c:symbol val="none"/>
          </c:marker>
          <c:cat>
            <c:numRef>
              <c:f>DD!$B$25:$B$43</c:f>
              <c:numCache>
                <c:formatCode>d\-mmm</c:formatCode>
                <c:ptCount val="19"/>
                <c:pt idx="0">
                  <c:v>43654</c:v>
                </c:pt>
                <c:pt idx="1">
                  <c:v>43655</c:v>
                </c:pt>
                <c:pt idx="2">
                  <c:v>43662</c:v>
                </c:pt>
                <c:pt idx="3">
                  <c:v>43679</c:v>
                </c:pt>
                <c:pt idx="4">
                  <c:v>43718</c:v>
                </c:pt>
                <c:pt idx="5">
                  <c:v>43722</c:v>
                </c:pt>
                <c:pt idx="6">
                  <c:v>43745</c:v>
                </c:pt>
                <c:pt idx="7">
                  <c:v>43797</c:v>
                </c:pt>
                <c:pt idx="8">
                  <c:v>43807</c:v>
                </c:pt>
              </c:numCache>
            </c:numRef>
          </c:cat>
          <c:val>
            <c:numRef>
              <c:f>DD!$F$25:$F$43</c:f>
              <c:numCache>
                <c:formatCode>0.00</c:formatCode>
                <c:ptCount val="19"/>
                <c:pt idx="0">
                  <c:v>-1134.4667400000001</c:v>
                </c:pt>
                <c:pt idx="1">
                  <c:v>-1134.4700000000003</c:v>
                </c:pt>
                <c:pt idx="2">
                  <c:v>-787.82220000000007</c:v>
                </c:pt>
                <c:pt idx="3">
                  <c:v>-1069.6200000000003</c:v>
                </c:pt>
                <c:pt idx="4">
                  <c:v>-804.67199999999957</c:v>
                </c:pt>
                <c:pt idx="5">
                  <c:v>-811.93199999999956</c:v>
                </c:pt>
                <c:pt idx="6">
                  <c:v>-1108.2700000000002</c:v>
                </c:pt>
                <c:pt idx="7">
                  <c:v>-1226.9999999999995</c:v>
                </c:pt>
                <c:pt idx="8">
                  <c:v>-1429.2699999999995</c:v>
                </c:pt>
              </c:numCache>
            </c:numRef>
          </c:val>
          <c:smooth val="0"/>
        </c:ser>
        <c:dLbls>
          <c:showLegendKey val="0"/>
          <c:showVal val="0"/>
          <c:showCatName val="0"/>
          <c:showSerName val="0"/>
          <c:showPercent val="0"/>
          <c:showBubbleSize val="0"/>
        </c:dLbls>
        <c:smooth val="0"/>
        <c:axId val="409854232"/>
        <c:axId val="409849136"/>
      </c:lineChart>
      <c:dateAx>
        <c:axId val="40985423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9849136"/>
        <c:crosses val="autoZero"/>
        <c:auto val="1"/>
        <c:lblOffset val="100"/>
        <c:baseTimeUnit val="days"/>
      </c:dateAx>
      <c:valAx>
        <c:axId val="40984913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985423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FOXA!$AA$1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FOXA!$W$2:$W$67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FOXA!$AA$2:$AA$70</c:f>
              <c:numCache>
                <c:formatCode>General</c:formatCode>
                <c:ptCount val="69"/>
                <c:pt idx="0">
                  <c:v>31.38</c:v>
                </c:pt>
                <c:pt idx="1">
                  <c:v>31.75</c:v>
                </c:pt>
                <c:pt idx="2">
                  <c:v>32.15</c:v>
                </c:pt>
                <c:pt idx="3">
                  <c:v>32.39</c:v>
                </c:pt>
                <c:pt idx="4">
                  <c:v>32.36</c:v>
                </c:pt>
                <c:pt idx="5">
                  <c:v>32.11</c:v>
                </c:pt>
                <c:pt idx="6">
                  <c:v>32.44</c:v>
                </c:pt>
                <c:pt idx="7">
                  <c:v>31.9</c:v>
                </c:pt>
                <c:pt idx="8">
                  <c:v>31.52</c:v>
                </c:pt>
                <c:pt idx="9">
                  <c:v>31.33</c:v>
                </c:pt>
                <c:pt idx="10">
                  <c:v>30.97</c:v>
                </c:pt>
                <c:pt idx="11">
                  <c:v>30.56</c:v>
                </c:pt>
                <c:pt idx="12">
                  <c:v>30.63</c:v>
                </c:pt>
                <c:pt idx="13">
                  <c:v>30.82</c:v>
                </c:pt>
                <c:pt idx="14">
                  <c:v>30.76</c:v>
                </c:pt>
                <c:pt idx="15">
                  <c:v>30.74</c:v>
                </c:pt>
                <c:pt idx="16">
                  <c:v>30.52</c:v>
                </c:pt>
                <c:pt idx="17">
                  <c:v>30.5</c:v>
                </c:pt>
                <c:pt idx="19">
                  <c:v>30.55</c:v>
                </c:pt>
                <c:pt idx="20">
                  <c:v>30.7</c:v>
                </c:pt>
                <c:pt idx="21">
                  <c:v>30.35</c:v>
                </c:pt>
                <c:pt idx="22">
                  <c:v>30.52</c:v>
                </c:pt>
                <c:pt idx="23">
                  <c:v>30.69</c:v>
                </c:pt>
                <c:pt idx="24">
                  <c:v>30.46</c:v>
                </c:pt>
                <c:pt idx="25">
                  <c:v>30.2</c:v>
                </c:pt>
                <c:pt idx="26">
                  <c:v>30.41</c:v>
                </c:pt>
                <c:pt idx="27">
                  <c:v>29.92</c:v>
                </c:pt>
                <c:pt idx="28">
                  <c:v>30.43</c:v>
                </c:pt>
                <c:pt idx="29">
                  <c:v>30.61</c:v>
                </c:pt>
                <c:pt idx="30">
                  <c:v>30.34</c:v>
                </c:pt>
                <c:pt idx="31">
                  <c:v>30.47</c:v>
                </c:pt>
                <c:pt idx="32">
                  <c:v>30.55</c:v>
                </c:pt>
                <c:pt idx="33">
                  <c:v>30.35</c:v>
                </c:pt>
                <c:pt idx="34">
                  <c:v>30.51</c:v>
                </c:pt>
                <c:pt idx="35">
                  <c:v>30.7</c:v>
                </c:pt>
                <c:pt idx="36">
                  <c:v>30.3</c:v>
                </c:pt>
                <c:pt idx="37">
                  <c:v>29.72</c:v>
                </c:pt>
                <c:pt idx="38">
                  <c:v>29.91</c:v>
                </c:pt>
                <c:pt idx="39">
                  <c:v>30.12</c:v>
                </c:pt>
                <c:pt idx="40">
                  <c:v>30.21</c:v>
                </c:pt>
                <c:pt idx="41">
                  <c:v>30.48</c:v>
                </c:pt>
                <c:pt idx="42">
                  <c:v>31.06</c:v>
                </c:pt>
                <c:pt idx="43">
                  <c:v>31.4</c:v>
                </c:pt>
                <c:pt idx="44">
                  <c:v>31.46</c:v>
                </c:pt>
                <c:pt idx="45">
                  <c:v>31.62</c:v>
                </c:pt>
                <c:pt idx="46">
                  <c:v>31.38</c:v>
                </c:pt>
                <c:pt idx="47">
                  <c:v>31.37</c:v>
                </c:pt>
                <c:pt idx="48">
                  <c:v>31.29</c:v>
                </c:pt>
                <c:pt idx="49">
                  <c:v>31</c:v>
                </c:pt>
                <c:pt idx="50">
                  <c:v>30.3</c:v>
                </c:pt>
                <c:pt idx="51">
                  <c:v>30.28</c:v>
                </c:pt>
                <c:pt idx="52">
                  <c:v>30</c:v>
                </c:pt>
                <c:pt idx="53">
                  <c:v>30.05</c:v>
                </c:pt>
                <c:pt idx="54">
                  <c:v>29.8</c:v>
                </c:pt>
                <c:pt idx="55">
                  <c:v>30.27</c:v>
                </c:pt>
                <c:pt idx="56">
                  <c:v>29.93</c:v>
                </c:pt>
                <c:pt idx="57">
                  <c:v>30.03</c:v>
                </c:pt>
                <c:pt idx="58">
                  <c:v>29.81</c:v>
                </c:pt>
                <c:pt idx="59">
                  <c:v>30.08</c:v>
                </c:pt>
                <c:pt idx="60">
                  <c:v>29.67</c:v>
                </c:pt>
                <c:pt idx="61">
                  <c:v>29.47</c:v>
                </c:pt>
                <c:pt idx="62">
                  <c:v>29.52</c:v>
                </c:pt>
                <c:pt idx="63">
                  <c:v>29</c:v>
                </c:pt>
                <c:pt idx="64">
                  <c:v>29.02</c:v>
                </c:pt>
                <c:pt idx="65">
                  <c:v>28.72</c:v>
                </c:pt>
                <c:pt idx="66">
                  <c:v>28.04</c:v>
                </c:pt>
              </c:numCache>
            </c:numRef>
          </c:val>
          <c:smooth val="0"/>
        </c:ser>
        <c:dLbls>
          <c:showLegendKey val="0"/>
          <c:showVal val="0"/>
          <c:showCatName val="0"/>
          <c:showSerName val="0"/>
          <c:showPercent val="0"/>
          <c:showBubbleSize val="0"/>
        </c:dLbls>
        <c:marker val="1"/>
        <c:smooth val="0"/>
        <c:axId val="409849528"/>
        <c:axId val="409851096"/>
      </c:lineChart>
      <c:dateAx>
        <c:axId val="409849528"/>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9851096"/>
        <c:crosses val="autoZero"/>
        <c:auto val="1"/>
        <c:lblOffset val="100"/>
        <c:baseTimeUnit val="days"/>
      </c:dateAx>
      <c:valAx>
        <c:axId val="409851096"/>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984952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DOW!$E$24</c:f>
              <c:strCache>
                <c:ptCount val="1"/>
                <c:pt idx="0">
                  <c:v>price</c:v>
                </c:pt>
              </c:strCache>
            </c:strRef>
          </c:tx>
          <c:spPr>
            <a:ln w="28575" cap="rnd">
              <a:solidFill>
                <a:schemeClr val="accent1"/>
              </a:solidFill>
              <a:round/>
            </a:ln>
            <a:effectLst/>
          </c:spPr>
          <c:marker>
            <c:symbol val="none"/>
          </c:marker>
          <c:cat>
            <c:numRef>
              <c:f>DOW!$B$25:$B$55</c:f>
              <c:numCache>
                <c:formatCode>d\-mmm</c:formatCode>
                <c:ptCount val="31"/>
                <c:pt idx="0">
                  <c:v>43558</c:v>
                </c:pt>
                <c:pt idx="1">
                  <c:v>43631</c:v>
                </c:pt>
                <c:pt idx="2">
                  <c:v>43697</c:v>
                </c:pt>
                <c:pt idx="3">
                  <c:v>43718</c:v>
                </c:pt>
                <c:pt idx="4">
                  <c:v>43722</c:v>
                </c:pt>
                <c:pt idx="5">
                  <c:v>43749</c:v>
                </c:pt>
                <c:pt idx="6">
                  <c:v>43771</c:v>
                </c:pt>
                <c:pt idx="7">
                  <c:v>43797</c:v>
                </c:pt>
              </c:numCache>
            </c:numRef>
          </c:cat>
          <c:val>
            <c:numRef>
              <c:f>DOW!$E$25:$E$55</c:f>
              <c:numCache>
                <c:formatCode>0.00</c:formatCode>
                <c:ptCount val="31"/>
                <c:pt idx="0">
                  <c:v>56.88</c:v>
                </c:pt>
                <c:pt idx="1">
                  <c:v>51.15</c:v>
                </c:pt>
                <c:pt idx="2">
                  <c:v>43.35</c:v>
                </c:pt>
                <c:pt idx="3">
                  <c:v>45.1</c:v>
                </c:pt>
                <c:pt idx="4">
                  <c:v>46.97</c:v>
                </c:pt>
                <c:pt idx="5">
                  <c:v>47.45</c:v>
                </c:pt>
                <c:pt idx="6">
                  <c:v>52.31</c:v>
                </c:pt>
                <c:pt idx="7">
                  <c:v>54.28</c:v>
                </c:pt>
              </c:numCache>
            </c:numRef>
          </c:val>
          <c:smooth val="0"/>
        </c:ser>
        <c:ser>
          <c:idx val="1"/>
          <c:order val="1"/>
          <c:tx>
            <c:strRef>
              <c:f>DOW!$D$24</c:f>
              <c:strCache>
                <c:ptCount val="1"/>
                <c:pt idx="0">
                  <c:v>mean cost</c:v>
                </c:pt>
              </c:strCache>
            </c:strRef>
          </c:tx>
          <c:spPr>
            <a:ln w="28575" cap="rnd">
              <a:solidFill>
                <a:schemeClr val="accent2"/>
              </a:solidFill>
              <a:round/>
            </a:ln>
            <a:effectLst/>
          </c:spPr>
          <c:marker>
            <c:symbol val="none"/>
          </c:marker>
          <c:cat>
            <c:numRef>
              <c:f>DOW!$B$25:$B$55</c:f>
              <c:numCache>
                <c:formatCode>d\-mmm</c:formatCode>
                <c:ptCount val="31"/>
                <c:pt idx="0">
                  <c:v>43558</c:v>
                </c:pt>
                <c:pt idx="1">
                  <c:v>43631</c:v>
                </c:pt>
                <c:pt idx="2">
                  <c:v>43697</c:v>
                </c:pt>
                <c:pt idx="3">
                  <c:v>43718</c:v>
                </c:pt>
                <c:pt idx="4">
                  <c:v>43722</c:v>
                </c:pt>
                <c:pt idx="5">
                  <c:v>43749</c:v>
                </c:pt>
                <c:pt idx="6">
                  <c:v>43771</c:v>
                </c:pt>
                <c:pt idx="7">
                  <c:v>43797</c:v>
                </c:pt>
              </c:numCache>
            </c:numRef>
          </c:cat>
          <c:val>
            <c:numRef>
              <c:f>DOW!$D$25:$D$55</c:f>
              <c:numCache>
                <c:formatCode>0.00</c:formatCode>
                <c:ptCount val="31"/>
                <c:pt idx="0">
                  <c:v>57.13</c:v>
                </c:pt>
                <c:pt idx="1">
                  <c:v>56.43</c:v>
                </c:pt>
                <c:pt idx="2">
                  <c:v>49.105200000000004</c:v>
                </c:pt>
                <c:pt idx="3">
                  <c:v>52.252899999999997</c:v>
                </c:pt>
                <c:pt idx="4">
                  <c:v>51.002899999999997</c:v>
                </c:pt>
                <c:pt idx="5">
                  <c:v>51.97</c:v>
                </c:pt>
                <c:pt idx="6">
                  <c:v>51.8414</c:v>
                </c:pt>
                <c:pt idx="7">
                  <c:v>51.8414</c:v>
                </c:pt>
              </c:numCache>
            </c:numRef>
          </c:val>
          <c:smooth val="0"/>
        </c:ser>
        <c:dLbls>
          <c:showLegendKey val="0"/>
          <c:showVal val="0"/>
          <c:showCatName val="0"/>
          <c:showSerName val="0"/>
          <c:showPercent val="0"/>
          <c:showBubbleSize val="0"/>
        </c:dLbls>
        <c:smooth val="0"/>
        <c:axId val="409851488"/>
        <c:axId val="413122632"/>
      </c:lineChart>
      <c:dateAx>
        <c:axId val="40985148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3122632"/>
        <c:crosses val="autoZero"/>
        <c:auto val="1"/>
        <c:lblOffset val="100"/>
        <c:baseTimeUnit val="days"/>
      </c:dateAx>
      <c:valAx>
        <c:axId val="41312263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98514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DOW!$F$24</c:f>
              <c:strCache>
                <c:ptCount val="1"/>
                <c:pt idx="0">
                  <c:v>P/L</c:v>
                </c:pt>
              </c:strCache>
            </c:strRef>
          </c:tx>
          <c:spPr>
            <a:ln w="28575" cap="rnd">
              <a:solidFill>
                <a:schemeClr val="accent1"/>
              </a:solidFill>
              <a:round/>
            </a:ln>
            <a:effectLst/>
          </c:spPr>
          <c:marker>
            <c:symbol val="none"/>
          </c:marker>
          <c:cat>
            <c:numRef>
              <c:f>DOW!$B$25:$B$55</c:f>
              <c:numCache>
                <c:formatCode>d\-mmm</c:formatCode>
                <c:ptCount val="31"/>
                <c:pt idx="0">
                  <c:v>43558</c:v>
                </c:pt>
                <c:pt idx="1">
                  <c:v>43631</c:v>
                </c:pt>
                <c:pt idx="2">
                  <c:v>43697</c:v>
                </c:pt>
                <c:pt idx="3">
                  <c:v>43718</c:v>
                </c:pt>
                <c:pt idx="4">
                  <c:v>43722</c:v>
                </c:pt>
                <c:pt idx="5">
                  <c:v>43749</c:v>
                </c:pt>
                <c:pt idx="6">
                  <c:v>43771</c:v>
                </c:pt>
                <c:pt idx="7">
                  <c:v>43797</c:v>
                </c:pt>
              </c:numCache>
            </c:numRef>
          </c:cat>
          <c:val>
            <c:numRef>
              <c:f>DOW!$F$25:$F$55</c:f>
              <c:numCache>
                <c:formatCode>0.00</c:formatCode>
                <c:ptCount val="31"/>
                <c:pt idx="0">
                  <c:v>-16.5</c:v>
                </c:pt>
                <c:pt idx="1">
                  <c:v>-348.48000000000008</c:v>
                </c:pt>
                <c:pt idx="2">
                  <c:v>-863.28000000000031</c:v>
                </c:pt>
                <c:pt idx="3">
                  <c:v>-600.84359999999958</c:v>
                </c:pt>
                <c:pt idx="4">
                  <c:v>-338.76359999999983</c:v>
                </c:pt>
                <c:pt idx="5">
                  <c:v>-298.31999999999971</c:v>
                </c:pt>
                <c:pt idx="6">
                  <c:v>23.430000000000106</c:v>
                </c:pt>
                <c:pt idx="7">
                  <c:v>121.93000000000005</c:v>
                </c:pt>
              </c:numCache>
            </c:numRef>
          </c:val>
          <c:smooth val="0"/>
        </c:ser>
        <c:dLbls>
          <c:showLegendKey val="0"/>
          <c:showVal val="0"/>
          <c:showCatName val="0"/>
          <c:showSerName val="0"/>
          <c:showPercent val="0"/>
          <c:showBubbleSize val="0"/>
        </c:dLbls>
        <c:smooth val="0"/>
        <c:axId val="413124592"/>
        <c:axId val="413123024"/>
      </c:lineChart>
      <c:dateAx>
        <c:axId val="41312459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3123024"/>
        <c:crosses val="autoZero"/>
        <c:auto val="1"/>
        <c:lblOffset val="100"/>
        <c:baseTimeUnit val="days"/>
      </c:dateAx>
      <c:valAx>
        <c:axId val="41312302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31245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XRAY!$D$24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XRAY!$D$25:$D$70</c:f>
              <c:numCache>
                <c:formatCode>0.00</c:formatCode>
                <c:ptCount val="46"/>
                <c:pt idx="0">
                  <c:v>52.8</c:v>
                </c:pt>
                <c:pt idx="1">
                  <c:v>52.8</c:v>
                </c:pt>
                <c:pt idx="2">
                  <c:v>52.8</c:v>
                </c:pt>
                <c:pt idx="3">
                  <c:v>52.8</c:v>
                </c:pt>
                <c:pt idx="4">
                  <c:v>52.712499999999999</c:v>
                </c:pt>
                <c:pt idx="5">
                  <c:v>52.712499999999999</c:v>
                </c:pt>
                <c:pt idx="6">
                  <c:v>52.712499999999999</c:v>
                </c:pt>
                <c:pt idx="7">
                  <c:v>49.396299999999997</c:v>
                </c:pt>
                <c:pt idx="8">
                  <c:v>49.4</c:v>
                </c:pt>
                <c:pt idx="9">
                  <c:v>49.396299999999997</c:v>
                </c:pt>
                <c:pt idx="10">
                  <c:v>49.396299999999997</c:v>
                </c:pt>
                <c:pt idx="11">
                  <c:v>49.396299999999997</c:v>
                </c:pt>
                <c:pt idx="12">
                  <c:v>49.308799999999998</c:v>
                </c:pt>
                <c:pt idx="13">
                  <c:v>48.243000000000002</c:v>
                </c:pt>
                <c:pt idx="14">
                  <c:v>48.9039</c:v>
                </c:pt>
                <c:pt idx="15">
                  <c:v>48.9</c:v>
                </c:pt>
                <c:pt idx="16">
                  <c:v>48.9</c:v>
                </c:pt>
                <c:pt idx="17">
                  <c:v>48.9</c:v>
                </c:pt>
                <c:pt idx="18">
                  <c:v>48.912100000000002</c:v>
                </c:pt>
                <c:pt idx="19">
                  <c:v>48.912100000000002</c:v>
                </c:pt>
                <c:pt idx="20">
                  <c:v>46.534100000000002</c:v>
                </c:pt>
                <c:pt idx="21">
                  <c:v>46.53</c:v>
                </c:pt>
                <c:pt idx="22">
                  <c:v>42.79</c:v>
                </c:pt>
                <c:pt idx="23">
                  <c:v>42.79</c:v>
                </c:pt>
                <c:pt idx="24">
                  <c:v>42.79</c:v>
                </c:pt>
                <c:pt idx="25">
                  <c:v>42.79</c:v>
                </c:pt>
                <c:pt idx="26">
                  <c:v>42.790900000000001</c:v>
                </c:pt>
                <c:pt idx="27">
                  <c:v>42.790900000000001</c:v>
                </c:pt>
                <c:pt idx="28">
                  <c:v>42.790900000000001</c:v>
                </c:pt>
                <c:pt idx="29">
                  <c:v>42.79</c:v>
                </c:pt>
                <c:pt idx="30">
                  <c:v>42.703400000000002</c:v>
                </c:pt>
                <c:pt idx="31">
                  <c:v>42.7</c:v>
                </c:pt>
                <c:pt idx="32">
                  <c:v>45.271299999999997</c:v>
                </c:pt>
                <c:pt idx="33">
                  <c:v>45.118000000000002</c:v>
                </c:pt>
                <c:pt idx="34">
                  <c:v>46.424399999999999</c:v>
                </c:pt>
                <c:pt idx="35">
                  <c:v>46.42</c:v>
                </c:pt>
              </c:numCache>
            </c:numRef>
          </c:val>
          <c:smooth val="0"/>
        </c:ser>
        <c:ser>
          <c:idx val="2"/>
          <c:order val="1"/>
          <c:tx>
            <c:strRef>
              <c:f>XRAY!$E$24</c:f>
              <c:strCache>
                <c:ptCount val="1"/>
                <c:pt idx="0">
                  <c:v>price</c:v>
                </c:pt>
              </c:strCache>
            </c:strRef>
          </c:tx>
          <c:spPr>
            <a:ln w="28575" cap="rnd">
              <a:solidFill>
                <a:srgbClr val="00B0F0"/>
              </a:solidFill>
              <a:round/>
            </a:ln>
            <a:effectLst/>
          </c:spPr>
          <c:marker>
            <c:symbol val="square"/>
            <c:size val="5"/>
            <c:spPr>
              <a:solidFill>
                <a:schemeClr val="accent3"/>
              </a:solidFill>
              <a:ln w="9525">
                <a:solidFill>
                  <a:schemeClr val="accent3"/>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XRAY!$E$25:$E$70</c:f>
              <c:numCache>
                <c:formatCode>0.00</c:formatCode>
                <c:ptCount val="46"/>
                <c:pt idx="0">
                  <c:v>52.66</c:v>
                </c:pt>
                <c:pt idx="1">
                  <c:v>51.1</c:v>
                </c:pt>
                <c:pt idx="2">
                  <c:v>50.03</c:v>
                </c:pt>
                <c:pt idx="3">
                  <c:v>49.02</c:v>
                </c:pt>
                <c:pt idx="4">
                  <c:v>49</c:v>
                </c:pt>
                <c:pt idx="5">
                  <c:v>49.24</c:v>
                </c:pt>
                <c:pt idx="6">
                  <c:v>46.92</c:v>
                </c:pt>
                <c:pt idx="7">
                  <c:v>44.47</c:v>
                </c:pt>
                <c:pt idx="8">
                  <c:v>47.51</c:v>
                </c:pt>
                <c:pt idx="9">
                  <c:v>44.57</c:v>
                </c:pt>
                <c:pt idx="10">
                  <c:v>43.96</c:v>
                </c:pt>
                <c:pt idx="11">
                  <c:v>45.38</c:v>
                </c:pt>
                <c:pt idx="12">
                  <c:v>45.41</c:v>
                </c:pt>
                <c:pt idx="13">
                  <c:v>44.24</c:v>
                </c:pt>
                <c:pt idx="14">
                  <c:v>45.6</c:v>
                </c:pt>
                <c:pt idx="15">
                  <c:v>46.99</c:v>
                </c:pt>
                <c:pt idx="16">
                  <c:v>48.11</c:v>
                </c:pt>
                <c:pt idx="17">
                  <c:v>47.73</c:v>
                </c:pt>
                <c:pt idx="18">
                  <c:v>48.88</c:v>
                </c:pt>
                <c:pt idx="19">
                  <c:v>39.450000000000003</c:v>
                </c:pt>
                <c:pt idx="20">
                  <c:v>39.4</c:v>
                </c:pt>
                <c:pt idx="21">
                  <c:v>39.57</c:v>
                </c:pt>
                <c:pt idx="22">
                  <c:v>37.97</c:v>
                </c:pt>
                <c:pt idx="23">
                  <c:v>38.67</c:v>
                </c:pt>
                <c:pt idx="24">
                  <c:v>38.86</c:v>
                </c:pt>
                <c:pt idx="25">
                  <c:v>39.18</c:v>
                </c:pt>
                <c:pt idx="26">
                  <c:v>39.659999999999997</c:v>
                </c:pt>
                <c:pt idx="27">
                  <c:v>38.19</c:v>
                </c:pt>
                <c:pt idx="28">
                  <c:v>38.75</c:v>
                </c:pt>
                <c:pt idx="29">
                  <c:v>35.9</c:v>
                </c:pt>
                <c:pt idx="30">
                  <c:v>35.869999999999997</c:v>
                </c:pt>
                <c:pt idx="31">
                  <c:v>36.31</c:v>
                </c:pt>
                <c:pt idx="32">
                  <c:v>39.01</c:v>
                </c:pt>
                <c:pt idx="33">
                  <c:v>40.71</c:v>
                </c:pt>
                <c:pt idx="34">
                  <c:v>41.02</c:v>
                </c:pt>
                <c:pt idx="35">
                  <c:v>49.13</c:v>
                </c:pt>
              </c:numCache>
            </c:numRef>
          </c:val>
          <c:smooth val="0"/>
        </c:ser>
        <c:dLbls>
          <c:showLegendKey val="0"/>
          <c:showVal val="0"/>
          <c:showCatName val="0"/>
          <c:showSerName val="0"/>
          <c:showPercent val="0"/>
          <c:showBubbleSize val="0"/>
        </c:dLbls>
        <c:marker val="1"/>
        <c:smooth val="0"/>
        <c:axId val="413126160"/>
        <c:axId val="413129296"/>
      </c:lineChart>
      <c:dateAx>
        <c:axId val="41312616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3129296"/>
        <c:crosses val="autoZero"/>
        <c:auto val="1"/>
        <c:lblOffset val="100"/>
        <c:baseTimeUnit val="days"/>
      </c:dateAx>
      <c:valAx>
        <c:axId val="413129296"/>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31261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XRAY!$F$24</c:f>
              <c:strCache>
                <c:ptCount val="1"/>
                <c:pt idx="0">
                  <c:v>P/L</c:v>
                </c:pt>
              </c:strCache>
            </c:strRef>
          </c:tx>
          <c:spPr>
            <a:ln w="28575" cap="rnd">
              <a:solidFill>
                <a:srgbClr val="00B050"/>
              </a:solidFill>
              <a:round/>
            </a:ln>
            <a:effectLst/>
          </c:spPr>
          <c:marker>
            <c:symbol val="square"/>
            <c:size val="5"/>
            <c:spPr>
              <a:solidFill>
                <a:schemeClr val="accent3"/>
              </a:solidFill>
              <a:ln w="9525">
                <a:solidFill>
                  <a:srgbClr val="00B050"/>
                </a:solidFill>
              </a:ln>
              <a:effectLst/>
            </c:spPr>
          </c:marker>
          <c:cat>
            <c:numRef>
              <c:f>XRAY!$B$25:$B$69</c:f>
              <c:numCache>
                <c:formatCode>d\-mmm</c:formatCode>
                <c:ptCount val="45"/>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XRAY!$F$25:$F$69</c:f>
              <c:numCache>
                <c:formatCode>0.00</c:formatCode>
                <c:ptCount val="45"/>
                <c:pt idx="0">
                  <c:v>-14.000000000000057</c:v>
                </c:pt>
                <c:pt idx="1">
                  <c:v>-169.99999999999957</c:v>
                </c:pt>
                <c:pt idx="2">
                  <c:v>-276.9999999999996</c:v>
                </c:pt>
                <c:pt idx="3">
                  <c:v>-377.99999999999943</c:v>
                </c:pt>
                <c:pt idx="4">
                  <c:v>-371.24999999999989</c:v>
                </c:pt>
                <c:pt idx="5">
                  <c:v>-347.24999999999966</c:v>
                </c:pt>
                <c:pt idx="6">
                  <c:v>-579.24999999999966</c:v>
                </c:pt>
                <c:pt idx="7">
                  <c:v>-985.25999999999954</c:v>
                </c:pt>
                <c:pt idx="8">
                  <c:v>-378.00000000000011</c:v>
                </c:pt>
                <c:pt idx="9">
                  <c:v>-965.25999999999931</c:v>
                </c:pt>
                <c:pt idx="10">
                  <c:v>-1087.2599999999991</c:v>
                </c:pt>
                <c:pt idx="11">
                  <c:v>-803.25999999999885</c:v>
                </c:pt>
                <c:pt idx="12">
                  <c:v>-779.76000000000022</c:v>
                </c:pt>
                <c:pt idx="13">
                  <c:v>-1000.75</c:v>
                </c:pt>
                <c:pt idx="14">
                  <c:v>-660.77999999999975</c:v>
                </c:pt>
                <c:pt idx="15">
                  <c:v>-381.99999999999932</c:v>
                </c:pt>
                <c:pt idx="16">
                  <c:v>-157.99999999999983</c:v>
                </c:pt>
                <c:pt idx="17">
                  <c:v>-234.00000000000034</c:v>
                </c:pt>
                <c:pt idx="18">
                  <c:v>-4.8149999999999693</c:v>
                </c:pt>
                <c:pt idx="19">
                  <c:v>-1419.3149999999998</c:v>
                </c:pt>
                <c:pt idx="20">
                  <c:v>-1426.8200000000006</c:v>
                </c:pt>
                <c:pt idx="21">
                  <c:v>-1392.0000000000002</c:v>
                </c:pt>
                <c:pt idx="22">
                  <c:v>-1687</c:v>
                </c:pt>
                <c:pt idx="23">
                  <c:v>-1441.9999999999991</c:v>
                </c:pt>
                <c:pt idx="24">
                  <c:v>-1375.5</c:v>
                </c:pt>
                <c:pt idx="25">
                  <c:v>-1263.4999999999998</c:v>
                </c:pt>
                <c:pt idx="26">
                  <c:v>-1095.8150000000014</c:v>
                </c:pt>
                <c:pt idx="27">
                  <c:v>-1610.315000000001</c:v>
                </c:pt>
                <c:pt idx="28">
                  <c:v>-1414.3150000000003</c:v>
                </c:pt>
                <c:pt idx="29">
                  <c:v>-2411.5</c:v>
                </c:pt>
                <c:pt idx="30">
                  <c:v>-2391.6900000000014</c:v>
                </c:pt>
                <c:pt idx="31">
                  <c:v>-2236.5</c:v>
                </c:pt>
                <c:pt idx="32">
                  <c:v>-1252.2599999999998</c:v>
                </c:pt>
                <c:pt idx="33">
                  <c:v>-881.60000000000025</c:v>
                </c:pt>
                <c:pt idx="34">
                  <c:v>-810.65999999999929</c:v>
                </c:pt>
                <c:pt idx="35">
                  <c:v>0</c:v>
                </c:pt>
              </c:numCache>
            </c:numRef>
          </c:val>
          <c:smooth val="0"/>
        </c:ser>
        <c:dLbls>
          <c:showLegendKey val="0"/>
          <c:showVal val="0"/>
          <c:showCatName val="0"/>
          <c:showSerName val="0"/>
          <c:showPercent val="0"/>
          <c:showBubbleSize val="0"/>
        </c:dLbls>
        <c:marker val="1"/>
        <c:smooth val="0"/>
        <c:axId val="413129688"/>
        <c:axId val="413126944"/>
      </c:lineChart>
      <c:dateAx>
        <c:axId val="41312968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3126944"/>
        <c:crosses val="autoZero"/>
        <c:auto val="1"/>
        <c:lblOffset val="100"/>
        <c:baseTimeUnit val="days"/>
      </c:dateAx>
      <c:valAx>
        <c:axId val="41312694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31296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CMCSA!$E$24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CMCSA!$E$25:$E$63</c:f>
              <c:numCache>
                <c:formatCode>0.00</c:formatCode>
                <c:ptCount val="39"/>
                <c:pt idx="0">
                  <c:v>35.35</c:v>
                </c:pt>
                <c:pt idx="1">
                  <c:v>33.17</c:v>
                </c:pt>
                <c:pt idx="2">
                  <c:v>32.99</c:v>
                </c:pt>
                <c:pt idx="3">
                  <c:v>33.86</c:v>
                </c:pt>
                <c:pt idx="4">
                  <c:v>34.26</c:v>
                </c:pt>
                <c:pt idx="5">
                  <c:v>31.81</c:v>
                </c:pt>
                <c:pt idx="6">
                  <c:v>30.59</c:v>
                </c:pt>
                <c:pt idx="7">
                  <c:v>32.549999999999997</c:v>
                </c:pt>
                <c:pt idx="8">
                  <c:v>31.75</c:v>
                </c:pt>
                <c:pt idx="9">
                  <c:v>32.08</c:v>
                </c:pt>
                <c:pt idx="10">
                  <c:v>33.82</c:v>
                </c:pt>
                <c:pt idx="11">
                  <c:v>32.58</c:v>
                </c:pt>
                <c:pt idx="12">
                  <c:v>33.39</c:v>
                </c:pt>
                <c:pt idx="13">
                  <c:v>32.29</c:v>
                </c:pt>
                <c:pt idx="14">
                  <c:v>33.58</c:v>
                </c:pt>
                <c:pt idx="15">
                  <c:v>34</c:v>
                </c:pt>
                <c:pt idx="16">
                  <c:v>33.39</c:v>
                </c:pt>
                <c:pt idx="17">
                  <c:v>32.979999999999997</c:v>
                </c:pt>
                <c:pt idx="18">
                  <c:v>34.78</c:v>
                </c:pt>
                <c:pt idx="19">
                  <c:v>35.409999999999997</c:v>
                </c:pt>
                <c:pt idx="20">
                  <c:v>35.04</c:v>
                </c:pt>
                <c:pt idx="21">
                  <c:v>35.43</c:v>
                </c:pt>
                <c:pt idx="22">
                  <c:v>36.5</c:v>
                </c:pt>
                <c:pt idx="23">
                  <c:v>34.56</c:v>
                </c:pt>
                <c:pt idx="24">
                  <c:v>35.6</c:v>
                </c:pt>
                <c:pt idx="25">
                  <c:v>34.119999999999997</c:v>
                </c:pt>
                <c:pt idx="26">
                  <c:v>38.340000000000003</c:v>
                </c:pt>
                <c:pt idx="27">
                  <c:v>39.01</c:v>
                </c:pt>
                <c:pt idx="28">
                  <c:v>35.81</c:v>
                </c:pt>
                <c:pt idx="29">
                  <c:v>36.89</c:v>
                </c:pt>
                <c:pt idx="30">
                  <c:v>35.369999999999997</c:v>
                </c:pt>
                <c:pt idx="31">
                  <c:v>36.08</c:v>
                </c:pt>
                <c:pt idx="32">
                  <c:v>39.1</c:v>
                </c:pt>
              </c:numCache>
            </c:numRef>
          </c:val>
          <c:smooth val="0"/>
        </c:ser>
        <c:ser>
          <c:idx val="1"/>
          <c:order val="1"/>
          <c:tx>
            <c:strRef>
              <c:f>CMCSA!$D$24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CMCSA!$D$25:$D$63</c:f>
              <c:numCache>
                <c:formatCode>0.00</c:formatCode>
                <c:ptCount val="39"/>
                <c:pt idx="0">
                  <c:v>35.380000000000003</c:v>
                </c:pt>
                <c:pt idx="1">
                  <c:v>35.380000000000003</c:v>
                </c:pt>
                <c:pt idx="2">
                  <c:v>35.380000000000003</c:v>
                </c:pt>
                <c:pt idx="3">
                  <c:v>35.380000000000003</c:v>
                </c:pt>
                <c:pt idx="4">
                  <c:v>35.380000000000003</c:v>
                </c:pt>
                <c:pt idx="5">
                  <c:v>33.53</c:v>
                </c:pt>
                <c:pt idx="6">
                  <c:v>32.798000000000002</c:v>
                </c:pt>
                <c:pt idx="7">
                  <c:v>32.797499999999999</c:v>
                </c:pt>
                <c:pt idx="8">
                  <c:v>33.130000000000003</c:v>
                </c:pt>
                <c:pt idx="9">
                  <c:v>33.130000000000003</c:v>
                </c:pt>
                <c:pt idx="10">
                  <c:v>32.680700000000002</c:v>
                </c:pt>
                <c:pt idx="11">
                  <c:v>32.680399999999999</c:v>
                </c:pt>
                <c:pt idx="12">
                  <c:v>32.480499999999999</c:v>
                </c:pt>
                <c:pt idx="13">
                  <c:v>32.480499999999999</c:v>
                </c:pt>
                <c:pt idx="14">
                  <c:v>32.480499999999999</c:v>
                </c:pt>
                <c:pt idx="15">
                  <c:v>31.4711</c:v>
                </c:pt>
                <c:pt idx="16">
                  <c:v>31.154499999999999</c:v>
                </c:pt>
                <c:pt idx="17">
                  <c:v>31.884699999999999</c:v>
                </c:pt>
                <c:pt idx="18">
                  <c:v>29.954799999999999</c:v>
                </c:pt>
                <c:pt idx="19">
                  <c:v>29.954799999999999</c:v>
                </c:pt>
                <c:pt idx="20">
                  <c:v>29.95</c:v>
                </c:pt>
                <c:pt idx="21">
                  <c:v>29.95</c:v>
                </c:pt>
                <c:pt idx="22">
                  <c:v>26.792000000000002</c:v>
                </c:pt>
                <c:pt idx="23">
                  <c:v>30.636199999999999</c:v>
                </c:pt>
                <c:pt idx="24">
                  <c:v>25.672899999999998</c:v>
                </c:pt>
                <c:pt idx="25">
                  <c:v>30.041499999999999</c:v>
                </c:pt>
                <c:pt idx="26">
                  <c:v>21.403400000000001</c:v>
                </c:pt>
                <c:pt idx="27">
                  <c:v>21.4</c:v>
                </c:pt>
                <c:pt idx="28">
                  <c:v>21.4</c:v>
                </c:pt>
                <c:pt idx="29">
                  <c:v>21.2134</c:v>
                </c:pt>
                <c:pt idx="30">
                  <c:v>27.9467</c:v>
                </c:pt>
                <c:pt idx="31">
                  <c:v>19.713899999999999</c:v>
                </c:pt>
                <c:pt idx="32">
                  <c:v>19.71</c:v>
                </c:pt>
              </c:numCache>
            </c:numRef>
          </c:val>
          <c:smooth val="0"/>
        </c:ser>
        <c:dLbls>
          <c:showLegendKey val="0"/>
          <c:showVal val="0"/>
          <c:showCatName val="0"/>
          <c:showSerName val="0"/>
          <c:showPercent val="0"/>
          <c:showBubbleSize val="0"/>
        </c:dLbls>
        <c:marker val="1"/>
        <c:smooth val="0"/>
        <c:axId val="413125376"/>
        <c:axId val="413127336"/>
      </c:lineChart>
      <c:dateAx>
        <c:axId val="41312537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3127336"/>
        <c:crosses val="autoZero"/>
        <c:auto val="1"/>
        <c:lblOffset val="100"/>
        <c:baseTimeUnit val="days"/>
      </c:dateAx>
      <c:valAx>
        <c:axId val="41312733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31253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CMCSA!$J$24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CMCSA!$J$25:$J$64</c:f>
              <c:numCache>
                <c:formatCode>0.00</c:formatCode>
                <c:ptCount val="40"/>
                <c:pt idx="0">
                  <c:v>-4.5000000000001705</c:v>
                </c:pt>
                <c:pt idx="1">
                  <c:v>-331.50000000000011</c:v>
                </c:pt>
                <c:pt idx="2">
                  <c:v>-358.50000000000011</c:v>
                </c:pt>
                <c:pt idx="3">
                  <c:v>-228.00000000000045</c:v>
                </c:pt>
                <c:pt idx="4">
                  <c:v>-168.00000000000068</c:v>
                </c:pt>
                <c:pt idx="5">
                  <c:v>-516.00000000000068</c:v>
                </c:pt>
                <c:pt idx="6">
                  <c:v>-883.20000000000073</c:v>
                </c:pt>
                <c:pt idx="7">
                  <c:v>-99.000000000000909</c:v>
                </c:pt>
                <c:pt idx="8">
                  <c:v>-414.0000000000008</c:v>
                </c:pt>
                <c:pt idx="9">
                  <c:v>-315.00000000000125</c:v>
                </c:pt>
                <c:pt idx="10">
                  <c:v>170.89499999999981</c:v>
                </c:pt>
                <c:pt idx="11">
                  <c:v>-30.120000000000147</c:v>
                </c:pt>
                <c:pt idx="12">
                  <c:v>227.37500000000034</c:v>
                </c:pt>
                <c:pt idx="13">
                  <c:v>-47.625000000000028</c:v>
                </c:pt>
                <c:pt idx="14">
                  <c:v>274.87499999999977</c:v>
                </c:pt>
                <c:pt idx="15">
                  <c:v>379.33500000000004</c:v>
                </c:pt>
                <c:pt idx="16">
                  <c:v>335.32500000000027</c:v>
                </c:pt>
                <c:pt idx="17">
                  <c:v>273.82499999999953</c:v>
                </c:pt>
                <c:pt idx="18">
                  <c:v>723.78000000000031</c:v>
                </c:pt>
                <c:pt idx="19">
                  <c:v>818.27999999999963</c:v>
                </c:pt>
                <c:pt idx="20">
                  <c:v>763.5</c:v>
                </c:pt>
                <c:pt idx="21">
                  <c:v>822.00000000000011</c:v>
                </c:pt>
                <c:pt idx="22">
                  <c:v>970.79999999999984</c:v>
                </c:pt>
                <c:pt idx="23">
                  <c:v>784.76000000000067</c:v>
                </c:pt>
                <c:pt idx="24">
                  <c:v>992.71000000000026</c:v>
                </c:pt>
                <c:pt idx="25">
                  <c:v>815.69999999999959</c:v>
                </c:pt>
                <c:pt idx="26">
                  <c:v>1693.6600000000003</c:v>
                </c:pt>
                <c:pt idx="27">
                  <c:v>1761</c:v>
                </c:pt>
                <c:pt idx="28">
                  <c:v>1441.0000000000005</c:v>
                </c:pt>
                <c:pt idx="29">
                  <c:v>1567.66</c:v>
                </c:pt>
                <c:pt idx="30">
                  <c:v>1484.6599999999994</c:v>
                </c:pt>
                <c:pt idx="31">
                  <c:v>1636.61</c:v>
                </c:pt>
                <c:pt idx="32">
                  <c:v>1966.56</c:v>
                </c:pt>
              </c:numCache>
            </c:numRef>
          </c:val>
          <c:smooth val="0"/>
        </c:ser>
        <c:dLbls>
          <c:showLegendKey val="0"/>
          <c:showVal val="0"/>
          <c:showCatName val="0"/>
          <c:showSerName val="0"/>
          <c:showPercent val="0"/>
          <c:showBubbleSize val="0"/>
        </c:dLbls>
        <c:marker val="1"/>
        <c:smooth val="0"/>
        <c:axId val="413128120"/>
        <c:axId val="413128512"/>
      </c:lineChart>
      <c:dateAx>
        <c:axId val="41312812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3128512"/>
        <c:crosses val="autoZero"/>
        <c:auto val="1"/>
        <c:lblOffset val="100"/>
        <c:baseTimeUnit val="days"/>
      </c:dateAx>
      <c:valAx>
        <c:axId val="41312851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312812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EW!$AA$1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EW!$W$2:$W$67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EW!$AA$2:$AA$69</c:f>
              <c:numCache>
                <c:formatCode>General</c:formatCode>
                <c:ptCount val="68"/>
                <c:pt idx="0">
                  <c:v>93.09</c:v>
                </c:pt>
                <c:pt idx="1">
                  <c:v>93.1</c:v>
                </c:pt>
                <c:pt idx="2">
                  <c:v>94.45</c:v>
                </c:pt>
                <c:pt idx="3">
                  <c:v>94.07</c:v>
                </c:pt>
                <c:pt idx="4">
                  <c:v>93.86</c:v>
                </c:pt>
                <c:pt idx="5">
                  <c:v>94.39</c:v>
                </c:pt>
                <c:pt idx="6">
                  <c:v>94.39</c:v>
                </c:pt>
                <c:pt idx="7">
                  <c:v>95.87</c:v>
                </c:pt>
                <c:pt idx="8">
                  <c:v>95.59</c:v>
                </c:pt>
                <c:pt idx="9">
                  <c:v>94.3</c:v>
                </c:pt>
                <c:pt idx="10">
                  <c:v>93.47</c:v>
                </c:pt>
                <c:pt idx="11">
                  <c:v>92.86</c:v>
                </c:pt>
                <c:pt idx="12">
                  <c:v>94.08</c:v>
                </c:pt>
                <c:pt idx="13">
                  <c:v>94.4</c:v>
                </c:pt>
                <c:pt idx="14">
                  <c:v>92.95</c:v>
                </c:pt>
                <c:pt idx="15">
                  <c:v>93.95</c:v>
                </c:pt>
                <c:pt idx="16">
                  <c:v>93.86</c:v>
                </c:pt>
                <c:pt idx="17">
                  <c:v>93.6</c:v>
                </c:pt>
                <c:pt idx="18">
                  <c:v>92.74</c:v>
                </c:pt>
                <c:pt idx="19">
                  <c:v>93.06</c:v>
                </c:pt>
                <c:pt idx="20">
                  <c:v>89.53</c:v>
                </c:pt>
                <c:pt idx="21">
                  <c:v>90.54</c:v>
                </c:pt>
                <c:pt idx="22">
                  <c:v>89.95</c:v>
                </c:pt>
                <c:pt idx="23">
                  <c:v>92.44</c:v>
                </c:pt>
                <c:pt idx="24">
                  <c:v>93.36</c:v>
                </c:pt>
                <c:pt idx="25">
                  <c:v>93.94</c:v>
                </c:pt>
                <c:pt idx="26">
                  <c:v>94.04</c:v>
                </c:pt>
                <c:pt idx="27">
                  <c:v>94.66</c:v>
                </c:pt>
                <c:pt idx="28">
                  <c:v>94.76</c:v>
                </c:pt>
                <c:pt idx="29">
                  <c:v>95.7</c:v>
                </c:pt>
                <c:pt idx="30">
                  <c:v>92.21</c:v>
                </c:pt>
                <c:pt idx="31">
                  <c:v>92.67</c:v>
                </c:pt>
                <c:pt idx="32">
                  <c:v>89.74</c:v>
                </c:pt>
                <c:pt idx="33">
                  <c:v>89.93</c:v>
                </c:pt>
                <c:pt idx="34">
                  <c:v>90.31</c:v>
                </c:pt>
                <c:pt idx="35">
                  <c:v>89.49</c:v>
                </c:pt>
                <c:pt idx="36">
                  <c:v>89.96</c:v>
                </c:pt>
                <c:pt idx="37">
                  <c:v>90.34</c:v>
                </c:pt>
                <c:pt idx="38">
                  <c:v>90.82</c:v>
                </c:pt>
                <c:pt idx="39">
                  <c:v>90.83</c:v>
                </c:pt>
                <c:pt idx="40">
                  <c:v>90.71</c:v>
                </c:pt>
                <c:pt idx="41">
                  <c:v>89.87</c:v>
                </c:pt>
                <c:pt idx="42">
                  <c:v>90.47</c:v>
                </c:pt>
                <c:pt idx="43">
                  <c:v>89.73</c:v>
                </c:pt>
                <c:pt idx="44">
                  <c:v>98.02</c:v>
                </c:pt>
                <c:pt idx="45">
                  <c:v>96.24</c:v>
                </c:pt>
                <c:pt idx="46">
                  <c:v>96.47</c:v>
                </c:pt>
                <c:pt idx="47">
                  <c:v>97.3</c:v>
                </c:pt>
                <c:pt idx="48">
                  <c:v>95.13</c:v>
                </c:pt>
                <c:pt idx="49">
                  <c:v>96.05</c:v>
                </c:pt>
                <c:pt idx="50">
                  <c:v>94.4</c:v>
                </c:pt>
                <c:pt idx="51">
                  <c:v>95</c:v>
                </c:pt>
                <c:pt idx="52">
                  <c:v>95.51</c:v>
                </c:pt>
                <c:pt idx="53">
                  <c:v>96.29</c:v>
                </c:pt>
                <c:pt idx="54">
                  <c:v>95.79</c:v>
                </c:pt>
                <c:pt idx="55">
                  <c:v>96.88</c:v>
                </c:pt>
                <c:pt idx="56">
                  <c:v>97.13</c:v>
                </c:pt>
                <c:pt idx="57">
                  <c:v>97.59</c:v>
                </c:pt>
                <c:pt idx="58">
                  <c:v>98.65</c:v>
                </c:pt>
                <c:pt idx="59">
                  <c:v>99.14</c:v>
                </c:pt>
                <c:pt idx="60">
                  <c:v>97.95</c:v>
                </c:pt>
                <c:pt idx="61">
                  <c:v>97.07</c:v>
                </c:pt>
                <c:pt idx="62">
                  <c:v>97.19</c:v>
                </c:pt>
                <c:pt idx="63">
                  <c:v>96.54</c:v>
                </c:pt>
                <c:pt idx="64">
                  <c:v>95.52</c:v>
                </c:pt>
                <c:pt idx="65">
                  <c:v>93.7</c:v>
                </c:pt>
              </c:numCache>
            </c:numRef>
          </c:val>
          <c:smooth val="0"/>
        </c:ser>
        <c:dLbls>
          <c:showLegendKey val="0"/>
          <c:showVal val="0"/>
          <c:showCatName val="0"/>
          <c:showSerName val="0"/>
          <c:showPercent val="0"/>
          <c:showBubbleSize val="0"/>
        </c:dLbls>
        <c:marker val="1"/>
        <c:smooth val="0"/>
        <c:axId val="414892928"/>
        <c:axId val="414887832"/>
      </c:lineChart>
      <c:dateAx>
        <c:axId val="414892928"/>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4887832"/>
        <c:crosses val="autoZero"/>
        <c:auto val="1"/>
        <c:lblOffset val="100"/>
        <c:baseTimeUnit val="days"/>
      </c:dateAx>
      <c:valAx>
        <c:axId val="414887832"/>
        <c:scaling>
          <c:orientation val="minMax"/>
          <c:min val="6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489292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GE!$B$31:$B$75</c:f>
              <c:numCache>
                <c:formatCode>m/d/yyyy</c:formatCode>
                <c:ptCount val="45"/>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pt idx="38">
                  <c:v>43702</c:v>
                </c:pt>
                <c:pt idx="39">
                  <c:v>43727</c:v>
                </c:pt>
                <c:pt idx="40">
                  <c:v>43731</c:v>
                </c:pt>
                <c:pt idx="41">
                  <c:v>43765</c:v>
                </c:pt>
              </c:numCache>
            </c:numRef>
          </c:cat>
          <c:val>
            <c:numRef>
              <c:f>GE!$E$31:$E$75</c:f>
              <c:numCache>
                <c:formatCode>0.00</c:formatCode>
                <c:ptCount val="45"/>
                <c:pt idx="0">
                  <c:v>17.43</c:v>
                </c:pt>
                <c:pt idx="1">
                  <c:v>18.149999999999999</c:v>
                </c:pt>
                <c:pt idx="2">
                  <c:v>18.54</c:v>
                </c:pt>
                <c:pt idx="3">
                  <c:v>17.350000000000001</c:v>
                </c:pt>
                <c:pt idx="4">
                  <c:v>16.440000000000001</c:v>
                </c:pt>
                <c:pt idx="5">
                  <c:v>14.07</c:v>
                </c:pt>
                <c:pt idx="6">
                  <c:v>13.07</c:v>
                </c:pt>
                <c:pt idx="7">
                  <c:v>12.89</c:v>
                </c:pt>
                <c:pt idx="8">
                  <c:v>13.44</c:v>
                </c:pt>
                <c:pt idx="9">
                  <c:v>14.8</c:v>
                </c:pt>
                <c:pt idx="10">
                  <c:v>15.03</c:v>
                </c:pt>
                <c:pt idx="11">
                  <c:v>14.18</c:v>
                </c:pt>
                <c:pt idx="12">
                  <c:v>13.3</c:v>
                </c:pt>
                <c:pt idx="13">
                  <c:v>13.8</c:v>
                </c:pt>
                <c:pt idx="14">
                  <c:v>13.08</c:v>
                </c:pt>
                <c:pt idx="15">
                  <c:v>13.12</c:v>
                </c:pt>
                <c:pt idx="16">
                  <c:v>13.63</c:v>
                </c:pt>
                <c:pt idx="17">
                  <c:v>13.14</c:v>
                </c:pt>
                <c:pt idx="18">
                  <c:v>13.05</c:v>
                </c:pt>
                <c:pt idx="19">
                  <c:v>12.45</c:v>
                </c:pt>
                <c:pt idx="20">
                  <c:v>12.3</c:v>
                </c:pt>
                <c:pt idx="21">
                  <c:v>12.77</c:v>
                </c:pt>
                <c:pt idx="22">
                  <c:v>12.97</c:v>
                </c:pt>
                <c:pt idx="23">
                  <c:v>12.46</c:v>
                </c:pt>
                <c:pt idx="24">
                  <c:v>12.17</c:v>
                </c:pt>
                <c:pt idx="25">
                  <c:v>11.74</c:v>
                </c:pt>
                <c:pt idx="26">
                  <c:v>12.09</c:v>
                </c:pt>
                <c:pt idx="27">
                  <c:v>13.61</c:v>
                </c:pt>
                <c:pt idx="28">
                  <c:v>13.55</c:v>
                </c:pt>
                <c:pt idx="29">
                  <c:v>11.8</c:v>
                </c:pt>
                <c:pt idx="30">
                  <c:v>11.16</c:v>
                </c:pt>
                <c:pt idx="31">
                  <c:v>10.199999999999999</c:v>
                </c:pt>
                <c:pt idx="32">
                  <c:v>9.2899999999999991</c:v>
                </c:pt>
                <c:pt idx="33">
                  <c:v>7.99</c:v>
                </c:pt>
                <c:pt idx="34">
                  <c:v>8.02</c:v>
                </c:pt>
                <c:pt idx="35">
                  <c:v>8.0500000000000007</c:v>
                </c:pt>
                <c:pt idx="36">
                  <c:v>8.74</c:v>
                </c:pt>
                <c:pt idx="37">
                  <c:v>9.16</c:v>
                </c:pt>
                <c:pt idx="38">
                  <c:v>7.97</c:v>
                </c:pt>
                <c:pt idx="39">
                  <c:v>9.42</c:v>
                </c:pt>
                <c:pt idx="40">
                  <c:v>9.35</c:v>
                </c:pt>
              </c:numCache>
            </c:numRef>
          </c:val>
          <c:smooth val="0"/>
        </c:ser>
        <c:ser>
          <c:idx val="1"/>
          <c:order val="1"/>
          <c:tx>
            <c:strRef>
              <c:f>GE!$D$30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GE!$B$31:$B$75</c:f>
              <c:numCache>
                <c:formatCode>m/d/yyyy</c:formatCode>
                <c:ptCount val="45"/>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pt idx="38">
                  <c:v>43702</c:v>
                </c:pt>
                <c:pt idx="39">
                  <c:v>43727</c:v>
                </c:pt>
                <c:pt idx="40">
                  <c:v>43731</c:v>
                </c:pt>
                <c:pt idx="41">
                  <c:v>43765</c:v>
                </c:pt>
              </c:numCache>
            </c:numRef>
          </c:cat>
          <c:val>
            <c:numRef>
              <c:f>GE!$D$31:$D$75</c:f>
              <c:numCache>
                <c:formatCode>0.00</c:formatCode>
                <c:ptCount val="45"/>
                <c:pt idx="0">
                  <c:v>17.45</c:v>
                </c:pt>
                <c:pt idx="1">
                  <c:v>17.45</c:v>
                </c:pt>
                <c:pt idx="2">
                  <c:v>17.45</c:v>
                </c:pt>
                <c:pt idx="3">
                  <c:v>17.45</c:v>
                </c:pt>
                <c:pt idx="4">
                  <c:v>17.45</c:v>
                </c:pt>
                <c:pt idx="5">
                  <c:v>15.74</c:v>
                </c:pt>
                <c:pt idx="6">
                  <c:v>15.74</c:v>
                </c:pt>
                <c:pt idx="7">
                  <c:v>15.74</c:v>
                </c:pt>
                <c:pt idx="8">
                  <c:v>15.74</c:v>
                </c:pt>
                <c:pt idx="9">
                  <c:v>16.304200000000002</c:v>
                </c:pt>
                <c:pt idx="10">
                  <c:v>16.953900000000001</c:v>
                </c:pt>
                <c:pt idx="11">
                  <c:v>15.571899999999999</c:v>
                </c:pt>
                <c:pt idx="12">
                  <c:v>15.013999999999999</c:v>
                </c:pt>
                <c:pt idx="13">
                  <c:v>15.418699999999999</c:v>
                </c:pt>
                <c:pt idx="14">
                  <c:v>14.834</c:v>
                </c:pt>
                <c:pt idx="15">
                  <c:v>14.744</c:v>
                </c:pt>
                <c:pt idx="16">
                  <c:v>15.125400000000001</c:v>
                </c:pt>
                <c:pt idx="17">
                  <c:v>15.13</c:v>
                </c:pt>
                <c:pt idx="18">
                  <c:v>14.5891</c:v>
                </c:pt>
                <c:pt idx="19">
                  <c:v>13.926</c:v>
                </c:pt>
                <c:pt idx="20">
                  <c:v>13.926</c:v>
                </c:pt>
                <c:pt idx="21">
                  <c:v>14.5291</c:v>
                </c:pt>
                <c:pt idx="22">
                  <c:v>14.53</c:v>
                </c:pt>
                <c:pt idx="23">
                  <c:v>14.53</c:v>
                </c:pt>
                <c:pt idx="24">
                  <c:v>14.53</c:v>
                </c:pt>
                <c:pt idx="25">
                  <c:v>13.6028</c:v>
                </c:pt>
                <c:pt idx="26">
                  <c:v>13.904199999999999</c:v>
                </c:pt>
                <c:pt idx="27">
                  <c:v>13.9323</c:v>
                </c:pt>
                <c:pt idx="28">
                  <c:v>14.0486</c:v>
                </c:pt>
                <c:pt idx="29">
                  <c:v>13.8086</c:v>
                </c:pt>
                <c:pt idx="30">
                  <c:v>13.81</c:v>
                </c:pt>
                <c:pt idx="31">
                  <c:v>12.004300000000001</c:v>
                </c:pt>
                <c:pt idx="32">
                  <c:v>12</c:v>
                </c:pt>
                <c:pt idx="33">
                  <c:v>12</c:v>
                </c:pt>
                <c:pt idx="34">
                  <c:v>9.8772000000000002</c:v>
                </c:pt>
                <c:pt idx="35">
                  <c:v>11.6144</c:v>
                </c:pt>
                <c:pt idx="36">
                  <c:v>11.61</c:v>
                </c:pt>
                <c:pt idx="37">
                  <c:v>11.61</c:v>
                </c:pt>
                <c:pt idx="38">
                  <c:v>10.068</c:v>
                </c:pt>
                <c:pt idx="39">
                  <c:v>10.07</c:v>
                </c:pt>
                <c:pt idx="40">
                  <c:v>10.07</c:v>
                </c:pt>
              </c:numCache>
            </c:numRef>
          </c:val>
          <c:smooth val="0"/>
        </c:ser>
        <c:dLbls>
          <c:showLegendKey val="0"/>
          <c:showVal val="0"/>
          <c:showCatName val="0"/>
          <c:showSerName val="0"/>
          <c:showPercent val="0"/>
          <c:showBubbleSize val="0"/>
        </c:dLbls>
        <c:marker val="1"/>
        <c:smooth val="0"/>
        <c:axId val="414893320"/>
        <c:axId val="414888616"/>
      </c:lineChart>
      <c:dateAx>
        <c:axId val="414893320"/>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4888616"/>
        <c:crosses val="autoZero"/>
        <c:auto val="1"/>
        <c:lblOffset val="100"/>
        <c:baseTimeUnit val="days"/>
      </c:dateAx>
      <c:valAx>
        <c:axId val="414888616"/>
        <c:scaling>
          <c:orientation val="minMax"/>
          <c:min val="6"/>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489332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GE!$F$30</c:f>
              <c:strCache>
                <c:ptCount val="1"/>
                <c:pt idx="0">
                  <c:v>P/L</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GE!$B$31:$B$75</c:f>
              <c:numCache>
                <c:formatCode>m/d/yyyy</c:formatCode>
                <c:ptCount val="45"/>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pt idx="38">
                  <c:v>43702</c:v>
                </c:pt>
                <c:pt idx="39">
                  <c:v>43727</c:v>
                </c:pt>
                <c:pt idx="40">
                  <c:v>43731</c:v>
                </c:pt>
                <c:pt idx="41">
                  <c:v>43765</c:v>
                </c:pt>
              </c:numCache>
            </c:numRef>
          </c:cat>
          <c:val>
            <c:numRef>
              <c:f>GE!$J$31:$J$75</c:f>
              <c:numCache>
                <c:formatCode>0.00</c:formatCode>
                <c:ptCount val="45"/>
                <c:pt idx="0">
                  <c:v>-3.9999999999999147</c:v>
                </c:pt>
                <c:pt idx="1">
                  <c:v>139.99999999999986</c:v>
                </c:pt>
                <c:pt idx="2">
                  <c:v>217.99999999999997</c:v>
                </c:pt>
                <c:pt idx="3">
                  <c:v>-19.999999999999574</c:v>
                </c:pt>
                <c:pt idx="4">
                  <c:v>-201.9999999999996</c:v>
                </c:pt>
                <c:pt idx="5">
                  <c:v>-668</c:v>
                </c:pt>
                <c:pt idx="6">
                  <c:v>-1068</c:v>
                </c:pt>
                <c:pt idx="7">
                  <c:v>-1139.9999999999998</c:v>
                </c:pt>
                <c:pt idx="8">
                  <c:v>-920.00000000000023</c:v>
                </c:pt>
                <c:pt idx="9">
                  <c:v>-376.05000000000024</c:v>
                </c:pt>
                <c:pt idx="10">
                  <c:v>-288.58500000000021</c:v>
                </c:pt>
                <c:pt idx="11">
                  <c:v>-417.56999999999994</c:v>
                </c:pt>
                <c:pt idx="12">
                  <c:v>-685.59999999999945</c:v>
                </c:pt>
                <c:pt idx="13">
                  <c:v>-485.60999999999962</c:v>
                </c:pt>
                <c:pt idx="14">
                  <c:v>-701.5999999999998</c:v>
                </c:pt>
                <c:pt idx="15">
                  <c:v>-649.60000000000025</c:v>
                </c:pt>
                <c:pt idx="16">
                  <c:v>-448.62</c:v>
                </c:pt>
                <c:pt idx="17">
                  <c:v>-597.00000000000011</c:v>
                </c:pt>
                <c:pt idx="18">
                  <c:v>-615.63999999999976</c:v>
                </c:pt>
                <c:pt idx="19">
                  <c:v>-885.60000000000048</c:v>
                </c:pt>
                <c:pt idx="20">
                  <c:v>-975.59999999999968</c:v>
                </c:pt>
                <c:pt idx="21">
                  <c:v>-703.6400000000001</c:v>
                </c:pt>
                <c:pt idx="22">
                  <c:v>-623.99999999999955</c:v>
                </c:pt>
                <c:pt idx="23">
                  <c:v>-827.99999999999943</c:v>
                </c:pt>
                <c:pt idx="24">
                  <c:v>-943.99999999999977</c:v>
                </c:pt>
                <c:pt idx="25">
                  <c:v>-1117.68</c:v>
                </c:pt>
                <c:pt idx="26">
                  <c:v>-725.67999999999984</c:v>
                </c:pt>
                <c:pt idx="27">
                  <c:v>-96.690000000000083</c:v>
                </c:pt>
                <c:pt idx="28">
                  <c:v>-99.719999999999942</c:v>
                </c:pt>
                <c:pt idx="29">
                  <c:v>-401.71999999999991</c:v>
                </c:pt>
                <c:pt idx="30">
                  <c:v>-530.00000000000011</c:v>
                </c:pt>
                <c:pt idx="31">
                  <c:v>-721.72000000000048</c:v>
                </c:pt>
                <c:pt idx="32">
                  <c:v>-1084.0000000000005</c:v>
                </c:pt>
                <c:pt idx="33">
                  <c:v>-1604</c:v>
                </c:pt>
                <c:pt idx="34">
                  <c:v>-1485.7600000000004</c:v>
                </c:pt>
                <c:pt idx="35">
                  <c:v>-1425.7599999999998</c:v>
                </c:pt>
                <c:pt idx="36">
                  <c:v>0</c:v>
                </c:pt>
                <c:pt idx="37">
                  <c:v>0</c:v>
                </c:pt>
                <c:pt idx="38">
                  <c:v>-1049</c:v>
                </c:pt>
                <c:pt idx="39">
                  <c:v>-325.00000000000017</c:v>
                </c:pt>
                <c:pt idx="40">
                  <c:v>-358.91</c:v>
                </c:pt>
                <c:pt idx="41">
                  <c:v>-353.91</c:v>
                </c:pt>
              </c:numCache>
            </c:numRef>
          </c:val>
          <c:smooth val="0"/>
        </c:ser>
        <c:dLbls>
          <c:showLegendKey val="0"/>
          <c:showVal val="0"/>
          <c:showCatName val="0"/>
          <c:showSerName val="0"/>
          <c:showPercent val="0"/>
          <c:showBubbleSize val="0"/>
        </c:dLbls>
        <c:marker val="1"/>
        <c:smooth val="0"/>
        <c:axId val="414893712"/>
        <c:axId val="414886656"/>
      </c:lineChart>
      <c:dateAx>
        <c:axId val="414893712"/>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4886656"/>
        <c:crosses val="autoZero"/>
        <c:auto val="1"/>
        <c:lblOffset val="100"/>
        <c:baseTimeUnit val="days"/>
      </c:dateAx>
      <c:valAx>
        <c:axId val="4148866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489371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HSIC!$E$24</c:f>
              <c:strCache>
                <c:ptCount val="1"/>
                <c:pt idx="0">
                  <c:v>price</c:v>
                </c:pt>
              </c:strCache>
            </c:strRef>
          </c:tx>
          <c:spPr>
            <a:ln w="28575" cap="rnd">
              <a:solidFill>
                <a:schemeClr val="accent1"/>
              </a:solidFill>
              <a:round/>
            </a:ln>
            <a:effectLst/>
          </c:spPr>
          <c:marker>
            <c:symbol val="none"/>
          </c:marker>
          <c:cat>
            <c:numRef>
              <c:f>HSIC!$B$25:$B$41</c:f>
              <c:numCache>
                <c:formatCode>d\-mmm</c:formatCode>
                <c:ptCount val="17"/>
                <c:pt idx="0">
                  <c:v>43504</c:v>
                </c:pt>
                <c:pt idx="1">
                  <c:v>43535</c:v>
                </c:pt>
                <c:pt idx="2">
                  <c:v>43545</c:v>
                </c:pt>
                <c:pt idx="3">
                  <c:v>43546</c:v>
                </c:pt>
                <c:pt idx="4">
                  <c:v>43592</c:v>
                </c:pt>
                <c:pt idx="5">
                  <c:v>43702</c:v>
                </c:pt>
                <c:pt idx="6">
                  <c:v>43777</c:v>
                </c:pt>
                <c:pt idx="7">
                  <c:v>43797</c:v>
                </c:pt>
              </c:numCache>
            </c:numRef>
          </c:cat>
          <c:val>
            <c:numRef>
              <c:f>HSIC!$E$25:$E$41</c:f>
              <c:numCache>
                <c:formatCode>0.00</c:formatCode>
                <c:ptCount val="17"/>
                <c:pt idx="0">
                  <c:v>59.15</c:v>
                </c:pt>
                <c:pt idx="1">
                  <c:v>59.93</c:v>
                </c:pt>
                <c:pt idx="2">
                  <c:v>61.22</c:v>
                </c:pt>
                <c:pt idx="3">
                  <c:v>59.8</c:v>
                </c:pt>
                <c:pt idx="4">
                  <c:v>66.709999999999994</c:v>
                </c:pt>
                <c:pt idx="5">
                  <c:v>59.46</c:v>
                </c:pt>
                <c:pt idx="6">
                  <c:v>68.91</c:v>
                </c:pt>
                <c:pt idx="7">
                  <c:v>69.959999999999994</c:v>
                </c:pt>
              </c:numCache>
            </c:numRef>
          </c:val>
          <c:smooth val="0"/>
        </c:ser>
        <c:ser>
          <c:idx val="1"/>
          <c:order val="1"/>
          <c:tx>
            <c:strRef>
              <c:f>HSIC!$D$24</c:f>
              <c:strCache>
                <c:ptCount val="1"/>
                <c:pt idx="0">
                  <c:v>mean cost</c:v>
                </c:pt>
              </c:strCache>
            </c:strRef>
          </c:tx>
          <c:spPr>
            <a:ln w="28575" cap="rnd">
              <a:solidFill>
                <a:schemeClr val="accent2"/>
              </a:solidFill>
              <a:round/>
            </a:ln>
            <a:effectLst/>
          </c:spPr>
          <c:marker>
            <c:symbol val="none"/>
          </c:marker>
          <c:cat>
            <c:numRef>
              <c:f>HSIC!$B$25:$B$41</c:f>
              <c:numCache>
                <c:formatCode>d\-mmm</c:formatCode>
                <c:ptCount val="17"/>
                <c:pt idx="0">
                  <c:v>43504</c:v>
                </c:pt>
                <c:pt idx="1">
                  <c:v>43535</c:v>
                </c:pt>
                <c:pt idx="2">
                  <c:v>43545</c:v>
                </c:pt>
                <c:pt idx="3">
                  <c:v>43546</c:v>
                </c:pt>
                <c:pt idx="4">
                  <c:v>43592</c:v>
                </c:pt>
                <c:pt idx="5">
                  <c:v>43702</c:v>
                </c:pt>
                <c:pt idx="6">
                  <c:v>43777</c:v>
                </c:pt>
                <c:pt idx="7">
                  <c:v>43797</c:v>
                </c:pt>
              </c:numCache>
            </c:numRef>
          </c:cat>
          <c:val>
            <c:numRef>
              <c:f>HSIC!$D$25:$D$41</c:f>
              <c:numCache>
                <c:formatCode>0.00</c:formatCode>
                <c:ptCount val="17"/>
                <c:pt idx="0">
                  <c:v>59.01</c:v>
                </c:pt>
                <c:pt idx="1">
                  <c:v>59.01</c:v>
                </c:pt>
                <c:pt idx="2">
                  <c:v>59.01</c:v>
                </c:pt>
                <c:pt idx="3">
                  <c:v>57.960799999999999</c:v>
                </c:pt>
                <c:pt idx="4">
                  <c:v>57.96</c:v>
                </c:pt>
                <c:pt idx="5">
                  <c:v>51.962200000000003</c:v>
                </c:pt>
                <c:pt idx="6">
                  <c:v>51.962200000000003</c:v>
                </c:pt>
                <c:pt idx="7">
                  <c:v>51.962200000000003</c:v>
                </c:pt>
              </c:numCache>
            </c:numRef>
          </c:val>
          <c:smooth val="0"/>
        </c:ser>
        <c:dLbls>
          <c:showLegendKey val="0"/>
          <c:showVal val="0"/>
          <c:showCatName val="0"/>
          <c:showSerName val="0"/>
          <c:showPercent val="0"/>
          <c:showBubbleSize val="0"/>
        </c:dLbls>
        <c:smooth val="0"/>
        <c:axId val="414891752"/>
        <c:axId val="414894104"/>
      </c:lineChart>
      <c:dateAx>
        <c:axId val="41489175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4894104"/>
        <c:crosses val="autoZero"/>
        <c:auto val="1"/>
        <c:lblOffset val="100"/>
        <c:baseTimeUnit val="days"/>
      </c:dateAx>
      <c:valAx>
        <c:axId val="41489410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489175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HSIC!$K$24</c:f>
              <c:strCache>
                <c:ptCount val="1"/>
                <c:pt idx="0">
                  <c:v>Total PL</c:v>
                </c:pt>
              </c:strCache>
            </c:strRef>
          </c:tx>
          <c:spPr>
            <a:ln w="28575" cap="rnd">
              <a:solidFill>
                <a:srgbClr val="00B050"/>
              </a:solidFill>
              <a:round/>
            </a:ln>
            <a:effectLst/>
          </c:spPr>
          <c:marker>
            <c:symbol val="square"/>
            <c:size val="5"/>
            <c:spPr>
              <a:solidFill>
                <a:schemeClr val="accent1"/>
              </a:solidFill>
              <a:ln w="9525">
                <a:solidFill>
                  <a:srgbClr val="FF0000"/>
                </a:solidFill>
              </a:ln>
              <a:effectLst/>
            </c:spPr>
          </c:marker>
          <c:cat>
            <c:numRef>
              <c:f>HSIC!$B$25:$B$41</c:f>
              <c:numCache>
                <c:formatCode>d\-mmm</c:formatCode>
                <c:ptCount val="17"/>
                <c:pt idx="0">
                  <c:v>43504</c:v>
                </c:pt>
                <c:pt idx="1">
                  <c:v>43535</c:v>
                </c:pt>
                <c:pt idx="2">
                  <c:v>43545</c:v>
                </c:pt>
                <c:pt idx="3">
                  <c:v>43546</c:v>
                </c:pt>
                <c:pt idx="4">
                  <c:v>43592</c:v>
                </c:pt>
                <c:pt idx="5">
                  <c:v>43702</c:v>
                </c:pt>
                <c:pt idx="6">
                  <c:v>43777</c:v>
                </c:pt>
                <c:pt idx="7">
                  <c:v>43797</c:v>
                </c:pt>
              </c:numCache>
            </c:numRef>
          </c:cat>
          <c:val>
            <c:numRef>
              <c:f>HSIC!$K$25:$K$41</c:f>
              <c:numCache>
                <c:formatCode>0.00</c:formatCode>
                <c:ptCount val="17"/>
                <c:pt idx="0">
                  <c:v>1054.7199999999939</c:v>
                </c:pt>
                <c:pt idx="1">
                  <c:v>1132.7199999999941</c:v>
                </c:pt>
                <c:pt idx="2">
                  <c:v>1269.6400000000001</c:v>
                </c:pt>
                <c:pt idx="3">
                  <c:v>1224.6399999999937</c:v>
                </c:pt>
                <c:pt idx="4">
                  <c:v>1832.5</c:v>
                </c:pt>
                <c:pt idx="5">
                  <c:v>1790.4999999999936</c:v>
                </c:pt>
                <c:pt idx="6">
                  <c:v>2735.4999999999932</c:v>
                </c:pt>
                <c:pt idx="7">
                  <c:v>2840.4999999999927</c:v>
                </c:pt>
              </c:numCache>
            </c:numRef>
          </c:val>
          <c:smooth val="0"/>
        </c:ser>
        <c:dLbls>
          <c:showLegendKey val="0"/>
          <c:showVal val="0"/>
          <c:showCatName val="0"/>
          <c:showSerName val="0"/>
          <c:showPercent val="0"/>
          <c:showBubbleSize val="0"/>
        </c:dLbls>
        <c:marker val="1"/>
        <c:smooth val="0"/>
        <c:axId val="414887440"/>
        <c:axId val="414889400"/>
      </c:lineChart>
      <c:dateAx>
        <c:axId val="41488744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4889400"/>
        <c:crosses val="autoZero"/>
        <c:auto val="1"/>
        <c:lblOffset val="100"/>
        <c:baseTimeUnit val="days"/>
      </c:dateAx>
      <c:valAx>
        <c:axId val="41488940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48874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IEMG!$E$24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rgbClr val="7030A0"/>
                </a:solidFill>
              </a:ln>
              <a:effectLst/>
            </c:spPr>
          </c:marker>
          <c:cat>
            <c:numRef>
              <c:f>IEMG!$B$25:$B$71</c:f>
              <c:numCache>
                <c:formatCode>d\-mmm</c:formatCode>
                <c:ptCount val="47"/>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pt idx="38">
                  <c:v>43616</c:v>
                </c:pt>
                <c:pt idx="39">
                  <c:v>43637</c:v>
                </c:pt>
                <c:pt idx="40">
                  <c:v>43682</c:v>
                </c:pt>
                <c:pt idx="41">
                  <c:v>43707</c:v>
                </c:pt>
                <c:pt idx="42">
                  <c:v>43773</c:v>
                </c:pt>
              </c:numCache>
            </c:numRef>
          </c:cat>
          <c:val>
            <c:numRef>
              <c:f>IEMG!$E$25:$E$69</c:f>
              <c:numCache>
                <c:formatCode>0.00</c:formatCode>
                <c:ptCount val="45"/>
                <c:pt idx="0">
                  <c:v>51.25</c:v>
                </c:pt>
                <c:pt idx="1">
                  <c:v>54.1</c:v>
                </c:pt>
                <c:pt idx="2">
                  <c:v>53.45</c:v>
                </c:pt>
                <c:pt idx="3">
                  <c:v>51.38</c:v>
                </c:pt>
                <c:pt idx="4">
                  <c:v>51.71</c:v>
                </c:pt>
                <c:pt idx="5">
                  <c:v>50.29</c:v>
                </c:pt>
                <c:pt idx="6">
                  <c:v>50.62</c:v>
                </c:pt>
                <c:pt idx="7">
                  <c:v>51.11</c:v>
                </c:pt>
                <c:pt idx="8">
                  <c:v>52.39</c:v>
                </c:pt>
                <c:pt idx="9">
                  <c:v>53.16</c:v>
                </c:pt>
                <c:pt idx="10">
                  <c:v>51.91</c:v>
                </c:pt>
                <c:pt idx="11">
                  <c:v>52.31</c:v>
                </c:pt>
                <c:pt idx="12">
                  <c:v>50.54</c:v>
                </c:pt>
                <c:pt idx="13">
                  <c:v>50.31</c:v>
                </c:pt>
                <c:pt idx="14">
                  <c:v>50.15</c:v>
                </c:pt>
                <c:pt idx="15">
                  <c:v>50.76</c:v>
                </c:pt>
                <c:pt idx="16">
                  <c:v>51.41</c:v>
                </c:pt>
                <c:pt idx="17">
                  <c:v>52.13</c:v>
                </c:pt>
                <c:pt idx="18">
                  <c:v>47.83</c:v>
                </c:pt>
                <c:pt idx="19">
                  <c:v>45.85</c:v>
                </c:pt>
                <c:pt idx="20">
                  <c:v>49.21</c:v>
                </c:pt>
                <c:pt idx="21">
                  <c:v>47.91</c:v>
                </c:pt>
                <c:pt idx="22">
                  <c:v>49.36</c:v>
                </c:pt>
                <c:pt idx="23">
                  <c:v>50.03</c:v>
                </c:pt>
                <c:pt idx="24">
                  <c:v>49.64</c:v>
                </c:pt>
                <c:pt idx="25">
                  <c:v>49.47</c:v>
                </c:pt>
                <c:pt idx="26">
                  <c:v>49.09</c:v>
                </c:pt>
                <c:pt idx="27">
                  <c:v>48.15</c:v>
                </c:pt>
                <c:pt idx="28">
                  <c:v>46.02</c:v>
                </c:pt>
                <c:pt idx="29">
                  <c:v>50.11</c:v>
                </c:pt>
                <c:pt idx="30">
                  <c:v>50.69</c:v>
                </c:pt>
                <c:pt idx="31">
                  <c:v>51.33</c:v>
                </c:pt>
                <c:pt idx="32">
                  <c:v>52.14</c:v>
                </c:pt>
                <c:pt idx="33">
                  <c:v>50.5</c:v>
                </c:pt>
                <c:pt idx="34">
                  <c:v>51.1</c:v>
                </c:pt>
                <c:pt idx="35">
                  <c:v>52.8</c:v>
                </c:pt>
                <c:pt idx="36">
                  <c:v>51.09</c:v>
                </c:pt>
                <c:pt idx="37">
                  <c:v>48.89</c:v>
                </c:pt>
                <c:pt idx="38">
                  <c:v>49.89</c:v>
                </c:pt>
                <c:pt idx="39">
                  <c:v>51.29</c:v>
                </c:pt>
                <c:pt idx="40">
                  <c:v>46.94</c:v>
                </c:pt>
                <c:pt idx="41">
                  <c:v>48.27</c:v>
                </c:pt>
                <c:pt idx="42">
                  <c:v>52.43</c:v>
                </c:pt>
              </c:numCache>
            </c:numRef>
          </c:val>
          <c:smooth val="0"/>
        </c:ser>
        <c:ser>
          <c:idx val="1"/>
          <c:order val="1"/>
          <c:tx>
            <c:strRef>
              <c:f>IEMG!$D$24</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rgbClr val="00B0F0"/>
                </a:solidFill>
              </a:ln>
              <a:effectLst/>
            </c:spPr>
          </c:marker>
          <c:cat>
            <c:numRef>
              <c:f>IEMG!$B$25:$B$71</c:f>
              <c:numCache>
                <c:formatCode>d\-mmm</c:formatCode>
                <c:ptCount val="47"/>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pt idx="38">
                  <c:v>43616</c:v>
                </c:pt>
                <c:pt idx="39">
                  <c:v>43637</c:v>
                </c:pt>
                <c:pt idx="40">
                  <c:v>43682</c:v>
                </c:pt>
                <c:pt idx="41">
                  <c:v>43707</c:v>
                </c:pt>
                <c:pt idx="42">
                  <c:v>43773</c:v>
                </c:pt>
              </c:numCache>
            </c:numRef>
          </c:cat>
          <c:val>
            <c:numRef>
              <c:f>IEMG!$D$25:$D$71</c:f>
              <c:numCache>
                <c:formatCode>0.00</c:formatCode>
                <c:ptCount val="47"/>
                <c:pt idx="0">
                  <c:v>51.18</c:v>
                </c:pt>
                <c:pt idx="1">
                  <c:v>51.18</c:v>
                </c:pt>
                <c:pt idx="2">
                  <c:v>51.18</c:v>
                </c:pt>
                <c:pt idx="3">
                  <c:v>51.23</c:v>
                </c:pt>
                <c:pt idx="4">
                  <c:v>51.23</c:v>
                </c:pt>
                <c:pt idx="5">
                  <c:v>50.78</c:v>
                </c:pt>
                <c:pt idx="6">
                  <c:v>50.78</c:v>
                </c:pt>
                <c:pt idx="7">
                  <c:v>50.78</c:v>
                </c:pt>
                <c:pt idx="8">
                  <c:v>50.78</c:v>
                </c:pt>
                <c:pt idx="9">
                  <c:v>49.590400000000002</c:v>
                </c:pt>
                <c:pt idx="10">
                  <c:v>50.326900000000002</c:v>
                </c:pt>
                <c:pt idx="11">
                  <c:v>50.33</c:v>
                </c:pt>
                <c:pt idx="12">
                  <c:v>50.326900000000002</c:v>
                </c:pt>
                <c:pt idx="13">
                  <c:v>50.33</c:v>
                </c:pt>
                <c:pt idx="14">
                  <c:v>50.33</c:v>
                </c:pt>
                <c:pt idx="15">
                  <c:v>50.33</c:v>
                </c:pt>
                <c:pt idx="16">
                  <c:v>50.33</c:v>
                </c:pt>
                <c:pt idx="17">
                  <c:v>50.33</c:v>
                </c:pt>
                <c:pt idx="18">
                  <c:v>49.790199999999999</c:v>
                </c:pt>
                <c:pt idx="19">
                  <c:v>49.79</c:v>
                </c:pt>
                <c:pt idx="20">
                  <c:v>49.79</c:v>
                </c:pt>
                <c:pt idx="21">
                  <c:v>49.79</c:v>
                </c:pt>
                <c:pt idx="22">
                  <c:v>49.79</c:v>
                </c:pt>
                <c:pt idx="23">
                  <c:v>49.707099999999997</c:v>
                </c:pt>
                <c:pt idx="24">
                  <c:v>49.707099999999997</c:v>
                </c:pt>
                <c:pt idx="25">
                  <c:v>49.707099999999997</c:v>
                </c:pt>
                <c:pt idx="26">
                  <c:v>49.3</c:v>
                </c:pt>
                <c:pt idx="27">
                  <c:v>49.3</c:v>
                </c:pt>
                <c:pt idx="28">
                  <c:v>48.441699999999997</c:v>
                </c:pt>
                <c:pt idx="29">
                  <c:v>47.887500000000003</c:v>
                </c:pt>
                <c:pt idx="30">
                  <c:v>47.89</c:v>
                </c:pt>
                <c:pt idx="31">
                  <c:v>46.591700000000003</c:v>
                </c:pt>
                <c:pt idx="32">
                  <c:v>44.418700000000001</c:v>
                </c:pt>
                <c:pt idx="33">
                  <c:v>46.143900000000002</c:v>
                </c:pt>
                <c:pt idx="34">
                  <c:v>46.14</c:v>
                </c:pt>
                <c:pt idx="35">
                  <c:v>39.488</c:v>
                </c:pt>
                <c:pt idx="36">
                  <c:v>45.344200000000001</c:v>
                </c:pt>
                <c:pt idx="37">
                  <c:v>46.496000000000002</c:v>
                </c:pt>
                <c:pt idx="38">
                  <c:v>45.17</c:v>
                </c:pt>
                <c:pt idx="39">
                  <c:v>44.68</c:v>
                </c:pt>
                <c:pt idx="40">
                  <c:v>45.452199999999998</c:v>
                </c:pt>
                <c:pt idx="41">
                  <c:v>44.07</c:v>
                </c:pt>
                <c:pt idx="42">
                  <c:v>44.07</c:v>
                </c:pt>
              </c:numCache>
            </c:numRef>
          </c:val>
          <c:smooth val="0"/>
        </c:ser>
        <c:dLbls>
          <c:showLegendKey val="0"/>
          <c:showVal val="0"/>
          <c:showCatName val="0"/>
          <c:showSerName val="0"/>
          <c:showPercent val="0"/>
          <c:showBubbleSize val="0"/>
        </c:dLbls>
        <c:marker val="1"/>
        <c:smooth val="0"/>
        <c:axId val="416238920"/>
        <c:axId val="416233040"/>
      </c:lineChart>
      <c:dateAx>
        <c:axId val="41623892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6233040"/>
        <c:crosses val="autoZero"/>
        <c:auto val="1"/>
        <c:lblOffset val="100"/>
        <c:baseTimeUnit val="days"/>
      </c:dateAx>
      <c:valAx>
        <c:axId val="416233040"/>
        <c:scaling>
          <c:orientation val="minMax"/>
          <c:min val="4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6238920"/>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IEMG!$F$24</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FF0000"/>
                </a:solidFill>
              </a:ln>
              <a:effectLst/>
            </c:spPr>
          </c:marker>
          <c:cat>
            <c:numRef>
              <c:f>IEMG!$B$25:$B$71</c:f>
              <c:numCache>
                <c:formatCode>d\-mmm</c:formatCode>
                <c:ptCount val="47"/>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pt idx="38">
                  <c:v>43616</c:v>
                </c:pt>
                <c:pt idx="39">
                  <c:v>43637</c:v>
                </c:pt>
                <c:pt idx="40">
                  <c:v>43682</c:v>
                </c:pt>
                <c:pt idx="41">
                  <c:v>43707</c:v>
                </c:pt>
                <c:pt idx="42">
                  <c:v>43773</c:v>
                </c:pt>
              </c:numCache>
            </c:numRef>
          </c:cat>
          <c:val>
            <c:numRef>
              <c:f>IEMG!$F$25:$F$71</c:f>
              <c:numCache>
                <c:formatCode>0.00</c:formatCode>
                <c:ptCount val="47"/>
                <c:pt idx="0">
                  <c:v>7.0000000000000284</c:v>
                </c:pt>
                <c:pt idx="1">
                  <c:v>292.00000000000017</c:v>
                </c:pt>
                <c:pt idx="2">
                  <c:v>227.00000000000031</c:v>
                </c:pt>
                <c:pt idx="3">
                  <c:v>15.000000000000568</c:v>
                </c:pt>
                <c:pt idx="4">
                  <c:v>96.000000000000796</c:v>
                </c:pt>
                <c:pt idx="5">
                  <c:v>-147.0000000000006</c:v>
                </c:pt>
                <c:pt idx="6">
                  <c:v>-48.000000000001108</c:v>
                </c:pt>
                <c:pt idx="7">
                  <c:v>98.999999999999488</c:v>
                </c:pt>
                <c:pt idx="8">
                  <c:v>482.99999999999983</c:v>
                </c:pt>
                <c:pt idx="9">
                  <c:v>713.91999999999882</c:v>
                </c:pt>
                <c:pt idx="10">
                  <c:v>474.92999999999836</c:v>
                </c:pt>
                <c:pt idx="11">
                  <c:v>594.00000000000114</c:v>
                </c:pt>
                <c:pt idx="12">
                  <c:v>63.929999999999154</c:v>
                </c:pt>
                <c:pt idx="13">
                  <c:v>-5.9999999999988063</c:v>
                </c:pt>
                <c:pt idx="14">
                  <c:v>-53.999999999999915</c:v>
                </c:pt>
                <c:pt idx="15">
                  <c:v>128.99999999999991</c:v>
                </c:pt>
                <c:pt idx="16">
                  <c:v>323.99999999999949</c:v>
                </c:pt>
                <c:pt idx="17">
                  <c:v>540.00000000000125</c:v>
                </c:pt>
                <c:pt idx="18">
                  <c:v>-784.08000000000015</c:v>
                </c:pt>
                <c:pt idx="19">
                  <c:v>-1575.9999999999991</c:v>
                </c:pt>
                <c:pt idx="20">
                  <c:v>-231.99999999999932</c:v>
                </c:pt>
                <c:pt idx="21">
                  <c:v>-752.00000000000102</c:v>
                </c:pt>
                <c:pt idx="22">
                  <c:v>-171.99999999999989</c:v>
                </c:pt>
                <c:pt idx="23">
                  <c:v>96.870000000001255</c:v>
                </c:pt>
                <c:pt idx="24">
                  <c:v>-20.129999999998915</c:v>
                </c:pt>
                <c:pt idx="25">
                  <c:v>-71.129999999999427</c:v>
                </c:pt>
                <c:pt idx="26">
                  <c:v>-83.999999999997499</c:v>
                </c:pt>
                <c:pt idx="27">
                  <c:v>-459.99999999999943</c:v>
                </c:pt>
                <c:pt idx="28">
                  <c:v>-968.67999999999768</c:v>
                </c:pt>
                <c:pt idx="29">
                  <c:v>666.74999999999898</c:v>
                </c:pt>
                <c:pt idx="30">
                  <c:v>839.99999999999909</c:v>
                </c:pt>
                <c:pt idx="31">
                  <c:v>947.65999999999906</c:v>
                </c:pt>
                <c:pt idx="32">
                  <c:v>1111.8671999999999</c:v>
                </c:pt>
                <c:pt idx="33">
                  <c:v>871.21999999999957</c:v>
                </c:pt>
                <c:pt idx="34">
                  <c:v>992.00000000000023</c:v>
                </c:pt>
                <c:pt idx="35">
                  <c:v>1331.1999999999998</c:v>
                </c:pt>
                <c:pt idx="36">
                  <c:v>1149.1600000000005</c:v>
                </c:pt>
                <c:pt idx="37">
                  <c:v>718.19999999999948</c:v>
                </c:pt>
                <c:pt idx="38">
                  <c:v>943.99999999999977</c:v>
                </c:pt>
                <c:pt idx="39">
                  <c:v>1322</c:v>
                </c:pt>
                <c:pt idx="40">
                  <c:v>446.34000000000003</c:v>
                </c:pt>
                <c:pt idx="41">
                  <c:v>840.00000000000057</c:v>
                </c:pt>
              </c:numCache>
            </c:numRef>
          </c:val>
          <c:smooth val="0"/>
        </c:ser>
        <c:dLbls>
          <c:showLegendKey val="0"/>
          <c:showVal val="0"/>
          <c:showCatName val="0"/>
          <c:showSerName val="0"/>
          <c:showPercent val="0"/>
          <c:showBubbleSize val="0"/>
        </c:dLbls>
        <c:marker val="1"/>
        <c:smooth val="0"/>
        <c:axId val="416240096"/>
        <c:axId val="416240488"/>
      </c:lineChart>
      <c:dateAx>
        <c:axId val="41624009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6240488"/>
        <c:crosses val="autoZero"/>
        <c:auto val="1"/>
        <c:lblOffset val="100"/>
        <c:baseTimeUnit val="days"/>
      </c:dateAx>
      <c:valAx>
        <c:axId val="41624048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6240096"/>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KHC!$D$24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KHC!$B$25:$B$84</c:f>
              <c:numCache>
                <c:formatCode>d\-mmm</c:formatCode>
                <c:ptCount val="60"/>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pt idx="50">
                  <c:v>43644</c:v>
                </c:pt>
                <c:pt idx="51">
                  <c:v>43722</c:v>
                </c:pt>
                <c:pt idx="52">
                  <c:v>43727</c:v>
                </c:pt>
                <c:pt idx="53">
                  <c:v>43772</c:v>
                </c:pt>
                <c:pt idx="54">
                  <c:v>43782</c:v>
                </c:pt>
                <c:pt idx="55">
                  <c:v>43783</c:v>
                </c:pt>
                <c:pt idx="56">
                  <c:v>43797</c:v>
                </c:pt>
              </c:numCache>
            </c:numRef>
          </c:cat>
          <c:val>
            <c:numRef>
              <c:f>KHC!$D$25:$D$84</c:f>
              <c:numCache>
                <c:formatCode>0.00</c:formatCode>
                <c:ptCount val="60"/>
                <c:pt idx="0">
                  <c:v>68.22</c:v>
                </c:pt>
                <c:pt idx="1">
                  <c:v>64.66</c:v>
                </c:pt>
                <c:pt idx="2">
                  <c:v>64.347499999999997</c:v>
                </c:pt>
                <c:pt idx="3">
                  <c:v>64.347499999999997</c:v>
                </c:pt>
                <c:pt idx="4">
                  <c:v>64.347499999999997</c:v>
                </c:pt>
                <c:pt idx="5">
                  <c:v>64.347499999999997</c:v>
                </c:pt>
                <c:pt idx="6">
                  <c:v>64.349999999999994</c:v>
                </c:pt>
                <c:pt idx="7">
                  <c:v>64.347499999999997</c:v>
                </c:pt>
                <c:pt idx="8">
                  <c:v>63.722499999999997</c:v>
                </c:pt>
                <c:pt idx="9">
                  <c:v>61.473300000000002</c:v>
                </c:pt>
                <c:pt idx="10">
                  <c:v>60.436700000000002</c:v>
                </c:pt>
                <c:pt idx="11">
                  <c:v>59.394100000000002</c:v>
                </c:pt>
                <c:pt idx="12">
                  <c:v>59.3371</c:v>
                </c:pt>
                <c:pt idx="13">
                  <c:v>59.3371</c:v>
                </c:pt>
                <c:pt idx="14">
                  <c:v>59.34</c:v>
                </c:pt>
                <c:pt idx="15">
                  <c:v>59.3371</c:v>
                </c:pt>
                <c:pt idx="16">
                  <c:v>59.34</c:v>
                </c:pt>
                <c:pt idx="17">
                  <c:v>59.3371</c:v>
                </c:pt>
                <c:pt idx="18">
                  <c:v>59.3371</c:v>
                </c:pt>
                <c:pt idx="19">
                  <c:v>59.3371</c:v>
                </c:pt>
                <c:pt idx="20">
                  <c:v>59.34</c:v>
                </c:pt>
                <c:pt idx="21">
                  <c:v>59.34</c:v>
                </c:pt>
                <c:pt idx="22">
                  <c:v>58.551400000000001</c:v>
                </c:pt>
                <c:pt idx="23">
                  <c:v>58.551400000000001</c:v>
                </c:pt>
                <c:pt idx="24">
                  <c:v>58.551400000000001</c:v>
                </c:pt>
                <c:pt idx="25">
                  <c:v>58.134700000000002</c:v>
                </c:pt>
                <c:pt idx="26">
                  <c:v>58.134700000000002</c:v>
                </c:pt>
                <c:pt idx="27">
                  <c:v>57.670999999999999</c:v>
                </c:pt>
                <c:pt idx="28">
                  <c:v>57.67</c:v>
                </c:pt>
                <c:pt idx="29">
                  <c:v>57.67</c:v>
                </c:pt>
                <c:pt idx="30">
                  <c:v>57.67</c:v>
                </c:pt>
                <c:pt idx="31">
                  <c:v>57.67</c:v>
                </c:pt>
                <c:pt idx="32">
                  <c:v>57.67</c:v>
                </c:pt>
                <c:pt idx="33">
                  <c:v>56.314799999999998</c:v>
                </c:pt>
                <c:pt idx="34">
                  <c:v>56.31</c:v>
                </c:pt>
                <c:pt idx="35">
                  <c:v>55.814799999999998</c:v>
                </c:pt>
                <c:pt idx="36">
                  <c:v>55.814799999999998</c:v>
                </c:pt>
                <c:pt idx="37">
                  <c:v>55.81</c:v>
                </c:pt>
                <c:pt idx="38">
                  <c:v>55.81</c:v>
                </c:pt>
                <c:pt idx="39">
                  <c:v>55.81</c:v>
                </c:pt>
                <c:pt idx="40">
                  <c:v>51.013399999999997</c:v>
                </c:pt>
                <c:pt idx="41">
                  <c:v>51.01</c:v>
                </c:pt>
                <c:pt idx="42">
                  <c:v>51.01</c:v>
                </c:pt>
                <c:pt idx="43">
                  <c:v>51.01</c:v>
                </c:pt>
                <c:pt idx="44">
                  <c:v>50.613399999999999</c:v>
                </c:pt>
                <c:pt idx="45">
                  <c:v>47.946800000000003</c:v>
                </c:pt>
                <c:pt idx="46">
                  <c:v>47.95</c:v>
                </c:pt>
                <c:pt idx="47">
                  <c:v>50.484999999999999</c:v>
                </c:pt>
                <c:pt idx="48">
                  <c:v>50.03</c:v>
                </c:pt>
                <c:pt idx="49">
                  <c:v>50.03</c:v>
                </c:pt>
                <c:pt idx="50">
                  <c:v>57.654200000000003</c:v>
                </c:pt>
                <c:pt idx="51">
                  <c:v>57.254199999999997</c:v>
                </c:pt>
                <c:pt idx="52">
                  <c:v>52.386800000000001</c:v>
                </c:pt>
                <c:pt idx="53">
                  <c:v>52.39</c:v>
                </c:pt>
                <c:pt idx="54">
                  <c:v>56.188299999999998</c:v>
                </c:pt>
                <c:pt idx="55">
                  <c:v>52.137</c:v>
                </c:pt>
                <c:pt idx="56">
                  <c:v>52.14</c:v>
                </c:pt>
              </c:numCache>
            </c:numRef>
          </c:val>
          <c:smooth val="0"/>
        </c:ser>
        <c:ser>
          <c:idx val="2"/>
          <c:order val="1"/>
          <c:tx>
            <c:strRef>
              <c:f>KHC!$E$24</c:f>
              <c:strCache>
                <c:ptCount val="1"/>
                <c:pt idx="0">
                  <c:v>price</c:v>
                </c:pt>
              </c:strCache>
            </c:strRef>
          </c:tx>
          <c:spPr>
            <a:ln w="28575" cap="rnd">
              <a:solidFill>
                <a:schemeClr val="accent1"/>
              </a:solidFill>
              <a:round/>
            </a:ln>
            <a:effectLst/>
          </c:spPr>
          <c:marker>
            <c:symbol val="square"/>
            <c:size val="5"/>
            <c:spPr>
              <a:solidFill>
                <a:schemeClr val="accent3"/>
              </a:solidFill>
              <a:ln w="9525">
                <a:solidFill>
                  <a:schemeClr val="accent3"/>
                </a:solidFill>
              </a:ln>
              <a:effectLst/>
            </c:spPr>
          </c:marker>
          <c:cat>
            <c:numRef>
              <c:f>KHC!$B$25:$B$84</c:f>
              <c:numCache>
                <c:formatCode>d\-mmm</c:formatCode>
                <c:ptCount val="60"/>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pt idx="50">
                  <c:v>43644</c:v>
                </c:pt>
                <c:pt idx="51">
                  <c:v>43722</c:v>
                </c:pt>
                <c:pt idx="52">
                  <c:v>43727</c:v>
                </c:pt>
                <c:pt idx="53">
                  <c:v>43772</c:v>
                </c:pt>
                <c:pt idx="54">
                  <c:v>43782</c:v>
                </c:pt>
                <c:pt idx="55">
                  <c:v>43783</c:v>
                </c:pt>
                <c:pt idx="56">
                  <c:v>43797</c:v>
                </c:pt>
              </c:numCache>
            </c:numRef>
          </c:cat>
          <c:val>
            <c:numRef>
              <c:f>KHC!$E$25:$E$84</c:f>
              <c:numCache>
                <c:formatCode>0.00</c:formatCode>
                <c:ptCount val="60"/>
                <c:pt idx="0">
                  <c:v>68</c:v>
                </c:pt>
                <c:pt idx="1">
                  <c:v>61.1</c:v>
                </c:pt>
                <c:pt idx="2">
                  <c:v>60.03</c:v>
                </c:pt>
                <c:pt idx="3">
                  <c:v>61.65</c:v>
                </c:pt>
                <c:pt idx="4">
                  <c:v>60.7</c:v>
                </c:pt>
                <c:pt idx="5">
                  <c:v>54.2</c:v>
                </c:pt>
                <c:pt idx="6">
                  <c:v>59.04</c:v>
                </c:pt>
                <c:pt idx="7">
                  <c:v>56.45</c:v>
                </c:pt>
                <c:pt idx="8">
                  <c:v>61.61</c:v>
                </c:pt>
                <c:pt idx="9">
                  <c:v>62.25</c:v>
                </c:pt>
                <c:pt idx="10">
                  <c:v>59.4</c:v>
                </c:pt>
                <c:pt idx="11">
                  <c:v>61.48</c:v>
                </c:pt>
                <c:pt idx="12">
                  <c:v>59.28</c:v>
                </c:pt>
                <c:pt idx="13">
                  <c:v>64.48</c:v>
                </c:pt>
                <c:pt idx="14">
                  <c:v>62.3</c:v>
                </c:pt>
                <c:pt idx="15">
                  <c:v>60.28</c:v>
                </c:pt>
                <c:pt idx="16">
                  <c:v>59.65</c:v>
                </c:pt>
                <c:pt idx="17">
                  <c:v>59.28</c:v>
                </c:pt>
                <c:pt idx="18">
                  <c:v>60.03</c:v>
                </c:pt>
                <c:pt idx="19">
                  <c:v>61.02</c:v>
                </c:pt>
                <c:pt idx="20">
                  <c:v>59.3</c:v>
                </c:pt>
                <c:pt idx="21">
                  <c:v>58.22</c:v>
                </c:pt>
                <c:pt idx="22">
                  <c:v>56.66</c:v>
                </c:pt>
                <c:pt idx="23">
                  <c:v>56.59</c:v>
                </c:pt>
                <c:pt idx="24">
                  <c:v>59.12</c:v>
                </c:pt>
                <c:pt idx="25">
                  <c:v>58.97</c:v>
                </c:pt>
                <c:pt idx="26">
                  <c:v>57.1</c:v>
                </c:pt>
                <c:pt idx="27">
                  <c:v>56.52</c:v>
                </c:pt>
                <c:pt idx="28">
                  <c:v>55.52</c:v>
                </c:pt>
                <c:pt idx="29">
                  <c:v>50.73</c:v>
                </c:pt>
                <c:pt idx="30">
                  <c:v>52.39</c:v>
                </c:pt>
                <c:pt idx="31">
                  <c:v>53.38</c:v>
                </c:pt>
                <c:pt idx="32">
                  <c:v>52.07</c:v>
                </c:pt>
                <c:pt idx="33">
                  <c:v>50.94</c:v>
                </c:pt>
                <c:pt idx="34">
                  <c:v>48.71</c:v>
                </c:pt>
                <c:pt idx="35">
                  <c:v>47.46</c:v>
                </c:pt>
                <c:pt idx="36">
                  <c:v>43.34</c:v>
                </c:pt>
                <c:pt idx="37">
                  <c:v>44.49</c:v>
                </c:pt>
                <c:pt idx="38">
                  <c:v>46.75</c:v>
                </c:pt>
                <c:pt idx="39">
                  <c:v>47.74</c:v>
                </c:pt>
                <c:pt idx="40">
                  <c:v>39.01</c:v>
                </c:pt>
                <c:pt idx="41">
                  <c:v>34.950000000000003</c:v>
                </c:pt>
                <c:pt idx="42">
                  <c:v>32.17</c:v>
                </c:pt>
                <c:pt idx="43">
                  <c:v>32.75</c:v>
                </c:pt>
                <c:pt idx="44">
                  <c:v>32.29</c:v>
                </c:pt>
                <c:pt idx="45">
                  <c:v>29.06</c:v>
                </c:pt>
                <c:pt idx="46">
                  <c:v>28.68</c:v>
                </c:pt>
                <c:pt idx="47">
                  <c:v>30.31</c:v>
                </c:pt>
                <c:pt idx="48">
                  <c:v>30.31</c:v>
                </c:pt>
                <c:pt idx="49">
                  <c:v>31.5</c:v>
                </c:pt>
                <c:pt idx="50">
                  <c:v>32.5</c:v>
                </c:pt>
                <c:pt idx="51">
                  <c:v>29.25</c:v>
                </c:pt>
                <c:pt idx="52">
                  <c:v>28.05</c:v>
                </c:pt>
                <c:pt idx="53">
                  <c:v>32.61</c:v>
                </c:pt>
                <c:pt idx="54">
                  <c:v>33.299999999999997</c:v>
                </c:pt>
                <c:pt idx="55">
                  <c:v>30.96</c:v>
                </c:pt>
                <c:pt idx="56">
                  <c:v>30.37</c:v>
                </c:pt>
              </c:numCache>
            </c:numRef>
          </c:val>
          <c:smooth val="0"/>
        </c:ser>
        <c:dLbls>
          <c:showLegendKey val="0"/>
          <c:showVal val="0"/>
          <c:showCatName val="0"/>
          <c:showSerName val="0"/>
          <c:showPercent val="0"/>
          <c:showBubbleSize val="0"/>
        </c:dLbls>
        <c:marker val="1"/>
        <c:smooth val="0"/>
        <c:axId val="416233432"/>
        <c:axId val="416233824"/>
      </c:lineChart>
      <c:dateAx>
        <c:axId val="41623343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6233824"/>
        <c:crosses val="autoZero"/>
        <c:auto val="1"/>
        <c:lblOffset val="100"/>
        <c:baseTimeUnit val="days"/>
      </c:dateAx>
      <c:valAx>
        <c:axId val="41623382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623343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KHC!$F$24</c:f>
              <c:strCache>
                <c:ptCount val="1"/>
                <c:pt idx="0">
                  <c:v>P/L</c:v>
                </c:pt>
              </c:strCache>
            </c:strRef>
          </c:tx>
          <c:spPr>
            <a:ln w="28575" cap="rnd">
              <a:solidFill>
                <a:srgbClr val="00B050"/>
              </a:solidFill>
              <a:round/>
            </a:ln>
            <a:effectLst/>
          </c:spPr>
          <c:marker>
            <c:symbol val="square"/>
            <c:size val="5"/>
            <c:spPr>
              <a:solidFill>
                <a:schemeClr val="accent3"/>
              </a:solidFill>
              <a:ln w="9525">
                <a:solidFill>
                  <a:schemeClr val="accent3"/>
                </a:solidFill>
              </a:ln>
              <a:effectLst/>
            </c:spPr>
          </c:marker>
          <c:dPt>
            <c:idx val="9"/>
            <c:marker>
              <c:symbol val="square"/>
              <c:size val="5"/>
              <c:spPr>
                <a:solidFill>
                  <a:schemeClr val="accent3"/>
                </a:solidFill>
                <a:ln w="9525">
                  <a:solidFill>
                    <a:schemeClr val="accent3"/>
                  </a:solidFill>
                </a:ln>
                <a:effectLst/>
              </c:spPr>
            </c:marker>
            <c:bubble3D val="0"/>
            <c:spPr>
              <a:ln w="28575" cap="rnd">
                <a:solidFill>
                  <a:srgbClr val="00B050"/>
                </a:solidFill>
                <a:round/>
              </a:ln>
              <a:effectLst/>
            </c:spPr>
          </c:dPt>
          <c:cat>
            <c:numRef>
              <c:f>KHC!$B$25:$B$85</c:f>
              <c:numCache>
                <c:formatCode>d\-mmm</c:formatCode>
                <c:ptCount val="61"/>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pt idx="50">
                  <c:v>43644</c:v>
                </c:pt>
                <c:pt idx="51">
                  <c:v>43722</c:v>
                </c:pt>
                <c:pt idx="52">
                  <c:v>43727</c:v>
                </c:pt>
                <c:pt idx="53">
                  <c:v>43772</c:v>
                </c:pt>
                <c:pt idx="54">
                  <c:v>43782</c:v>
                </c:pt>
                <c:pt idx="55">
                  <c:v>43783</c:v>
                </c:pt>
                <c:pt idx="56">
                  <c:v>43797</c:v>
                </c:pt>
              </c:numCache>
            </c:numRef>
          </c:cat>
          <c:val>
            <c:numRef>
              <c:f>KHC!$F$25:$F$85</c:f>
              <c:numCache>
                <c:formatCode>0.00</c:formatCode>
                <c:ptCount val="61"/>
                <c:pt idx="0">
                  <c:v>-10.999999999999943</c:v>
                </c:pt>
                <c:pt idx="1">
                  <c:v>-355.99999999999955</c:v>
                </c:pt>
                <c:pt idx="2">
                  <c:v>-431.74999999999955</c:v>
                </c:pt>
                <c:pt idx="3">
                  <c:v>-269.74999999999977</c:v>
                </c:pt>
                <c:pt idx="4">
                  <c:v>-364.74999999999937</c:v>
                </c:pt>
                <c:pt idx="5">
                  <c:v>-1014.7499999999993</c:v>
                </c:pt>
                <c:pt idx="6">
                  <c:v>-530.99999999999955</c:v>
                </c:pt>
                <c:pt idx="7">
                  <c:v>-789.74999999999932</c:v>
                </c:pt>
                <c:pt idx="8">
                  <c:v>-211.24999999999972</c:v>
                </c:pt>
                <c:pt idx="9">
                  <c:v>77.67</c:v>
                </c:pt>
                <c:pt idx="10">
                  <c:v>-207.34000000000066</c:v>
                </c:pt>
                <c:pt idx="11">
                  <c:v>208.58999999999952</c:v>
                </c:pt>
                <c:pt idx="12">
                  <c:v>-11.419999999999675</c:v>
                </c:pt>
                <c:pt idx="13">
                  <c:v>1028.5800000000008</c:v>
                </c:pt>
                <c:pt idx="14">
                  <c:v>591.99999999999875</c:v>
                </c:pt>
                <c:pt idx="15">
                  <c:v>188.58000000000033</c:v>
                </c:pt>
                <c:pt idx="16">
                  <c:v>61.999999999999034</c:v>
                </c:pt>
                <c:pt idx="17">
                  <c:v>-11.419999999999675</c:v>
                </c:pt>
                <c:pt idx="18">
                  <c:v>138.58000000000033</c:v>
                </c:pt>
                <c:pt idx="19">
                  <c:v>336.58000000000072</c:v>
                </c:pt>
                <c:pt idx="20">
                  <c:v>-8.0000000000012506</c:v>
                </c:pt>
                <c:pt idx="21">
                  <c:v>-224.00000000000091</c:v>
                </c:pt>
                <c:pt idx="22">
                  <c:v>-567.42000000000132</c:v>
                </c:pt>
                <c:pt idx="23">
                  <c:v>-588.41999999999928</c:v>
                </c:pt>
                <c:pt idx="24">
                  <c:v>170.57999999999893</c:v>
                </c:pt>
                <c:pt idx="25">
                  <c:v>250.58999999999898</c:v>
                </c:pt>
                <c:pt idx="26">
                  <c:v>-310.41000000000025</c:v>
                </c:pt>
                <c:pt idx="27">
                  <c:v>-460.3999999999985</c:v>
                </c:pt>
                <c:pt idx="28">
                  <c:v>-859.99999999999943</c:v>
                </c:pt>
                <c:pt idx="29">
                  <c:v>-2776.0000000000018</c:v>
                </c:pt>
                <c:pt idx="30">
                  <c:v>-2112.0000000000005</c:v>
                </c:pt>
                <c:pt idx="31">
                  <c:v>-1715.9999999999995</c:v>
                </c:pt>
                <c:pt idx="32">
                  <c:v>-2240.0000000000005</c:v>
                </c:pt>
                <c:pt idx="33">
                  <c:v>-2687.4</c:v>
                </c:pt>
                <c:pt idx="34">
                  <c:v>-3800.0000000000009</c:v>
                </c:pt>
                <c:pt idx="35">
                  <c:v>-4177.3999999999987</c:v>
                </c:pt>
                <c:pt idx="36">
                  <c:v>-6237.3999999999978</c:v>
                </c:pt>
                <c:pt idx="37">
                  <c:v>-5660</c:v>
                </c:pt>
                <c:pt idx="38">
                  <c:v>-4530.0000000000009</c:v>
                </c:pt>
                <c:pt idx="39">
                  <c:v>-4035</c:v>
                </c:pt>
                <c:pt idx="40">
                  <c:v>-8402.3799999999992</c:v>
                </c:pt>
                <c:pt idx="41">
                  <c:v>-11241.999999999996</c:v>
                </c:pt>
                <c:pt idx="42">
                  <c:v>-13187.999999999998</c:v>
                </c:pt>
                <c:pt idx="43">
                  <c:v>-12781.999999999998</c:v>
                </c:pt>
                <c:pt idx="44">
                  <c:v>-12826.38</c:v>
                </c:pt>
                <c:pt idx="45">
                  <c:v>-15109.440000000004</c:v>
                </c:pt>
                <c:pt idx="46">
                  <c:v>-15416.000000000002</c:v>
                </c:pt>
                <c:pt idx="47">
                  <c:v>-14122.5</c:v>
                </c:pt>
                <c:pt idx="48">
                  <c:v>-13804.000000000002</c:v>
                </c:pt>
                <c:pt idx="49">
                  <c:v>-12971</c:v>
                </c:pt>
                <c:pt idx="50">
                  <c:v>-12577.100000000002</c:v>
                </c:pt>
                <c:pt idx="51">
                  <c:v>-14002.099999999999</c:v>
                </c:pt>
                <c:pt idx="52">
                  <c:v>-14602.08</c:v>
                </c:pt>
                <c:pt idx="53">
                  <c:v>-11868</c:v>
                </c:pt>
                <c:pt idx="54">
                  <c:v>-11444.15</c:v>
                </c:pt>
                <c:pt idx="55">
                  <c:v>-12706.199999999999</c:v>
                </c:pt>
                <c:pt idx="56">
                  <c:v>-13062</c:v>
                </c:pt>
              </c:numCache>
            </c:numRef>
          </c:val>
          <c:smooth val="0"/>
        </c:ser>
        <c:dLbls>
          <c:showLegendKey val="0"/>
          <c:showVal val="0"/>
          <c:showCatName val="0"/>
          <c:showSerName val="0"/>
          <c:showPercent val="0"/>
          <c:showBubbleSize val="0"/>
        </c:dLbls>
        <c:marker val="1"/>
        <c:smooth val="0"/>
        <c:axId val="416235392"/>
        <c:axId val="416234216"/>
      </c:lineChart>
      <c:dateAx>
        <c:axId val="41623539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6234216"/>
        <c:crosses val="autoZero"/>
        <c:auto val="1"/>
        <c:lblOffset val="100"/>
        <c:baseTimeUnit val="days"/>
      </c:dateAx>
      <c:valAx>
        <c:axId val="4162342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623539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KR!$E$23</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pt idx="117">
                  <c:v>43658</c:v>
                </c:pt>
                <c:pt idx="118">
                  <c:v>43684</c:v>
                </c:pt>
              </c:numCache>
            </c:numRef>
          </c:cat>
          <c:val>
            <c:numRef>
              <c:f>KR!$E$24:$E$146</c:f>
              <c:numCache>
                <c:formatCode>0.00</c:formatCode>
                <c:ptCount val="123"/>
                <c:pt idx="0">
                  <c:v>34.26</c:v>
                </c:pt>
                <c:pt idx="1">
                  <c:v>33.47</c:v>
                </c:pt>
                <c:pt idx="2">
                  <c:v>33.36</c:v>
                </c:pt>
                <c:pt idx="3">
                  <c:v>34.020000000000003</c:v>
                </c:pt>
                <c:pt idx="4">
                  <c:v>33.08</c:v>
                </c:pt>
                <c:pt idx="5">
                  <c:v>33.479999999999997</c:v>
                </c:pt>
                <c:pt idx="6">
                  <c:v>33.94</c:v>
                </c:pt>
                <c:pt idx="7">
                  <c:v>33.229999999999997</c:v>
                </c:pt>
                <c:pt idx="8">
                  <c:v>32.22</c:v>
                </c:pt>
                <c:pt idx="9">
                  <c:v>30.67</c:v>
                </c:pt>
                <c:pt idx="10">
                  <c:v>29.63</c:v>
                </c:pt>
                <c:pt idx="11">
                  <c:v>28.7</c:v>
                </c:pt>
                <c:pt idx="12">
                  <c:v>28.84</c:v>
                </c:pt>
                <c:pt idx="13">
                  <c:v>29.1</c:v>
                </c:pt>
                <c:pt idx="14">
                  <c:v>29.35</c:v>
                </c:pt>
                <c:pt idx="15">
                  <c:v>29.23</c:v>
                </c:pt>
                <c:pt idx="16">
                  <c:v>24.18</c:v>
                </c:pt>
                <c:pt idx="17">
                  <c:v>22.29</c:v>
                </c:pt>
                <c:pt idx="18">
                  <c:v>23.26</c:v>
                </c:pt>
                <c:pt idx="19">
                  <c:v>24.28</c:v>
                </c:pt>
                <c:pt idx="20">
                  <c:v>25.28</c:v>
                </c:pt>
                <c:pt idx="21">
                  <c:v>22.42</c:v>
                </c:pt>
                <c:pt idx="22">
                  <c:v>21.08</c:v>
                </c:pt>
                <c:pt idx="23">
                  <c:v>21.135000000000002</c:v>
                </c:pt>
                <c:pt idx="24">
                  <c:v>21.44</c:v>
                </c:pt>
                <c:pt idx="25">
                  <c:v>20.22</c:v>
                </c:pt>
                <c:pt idx="26">
                  <c:v>20.56</c:v>
                </c:pt>
                <c:pt idx="27">
                  <c:v>21.3</c:v>
                </c:pt>
                <c:pt idx="28">
                  <c:v>21.35</c:v>
                </c:pt>
                <c:pt idx="29">
                  <c:v>22.08</c:v>
                </c:pt>
                <c:pt idx="30">
                  <c:v>23.41</c:v>
                </c:pt>
                <c:pt idx="31">
                  <c:v>26.44</c:v>
                </c:pt>
                <c:pt idx="32">
                  <c:v>27.08</c:v>
                </c:pt>
                <c:pt idx="33">
                  <c:v>25.67</c:v>
                </c:pt>
                <c:pt idx="34">
                  <c:v>26.68</c:v>
                </c:pt>
                <c:pt idx="35">
                  <c:v>27.05</c:v>
                </c:pt>
                <c:pt idx="36">
                  <c:v>27.32</c:v>
                </c:pt>
                <c:pt idx="37">
                  <c:v>28.25</c:v>
                </c:pt>
                <c:pt idx="38">
                  <c:v>27.8</c:v>
                </c:pt>
                <c:pt idx="39">
                  <c:v>28.3</c:v>
                </c:pt>
                <c:pt idx="40">
                  <c:v>27.85</c:v>
                </c:pt>
                <c:pt idx="41">
                  <c:v>27.11</c:v>
                </c:pt>
                <c:pt idx="42">
                  <c:v>26.73</c:v>
                </c:pt>
                <c:pt idx="43">
                  <c:v>27.32</c:v>
                </c:pt>
                <c:pt idx="44">
                  <c:v>27.97</c:v>
                </c:pt>
                <c:pt idx="45">
                  <c:v>28.14</c:v>
                </c:pt>
                <c:pt idx="46">
                  <c:v>28.67</c:v>
                </c:pt>
                <c:pt idx="47">
                  <c:v>29.72</c:v>
                </c:pt>
                <c:pt idx="48">
                  <c:v>29.63</c:v>
                </c:pt>
                <c:pt idx="49">
                  <c:v>29.31</c:v>
                </c:pt>
                <c:pt idx="50">
                  <c:v>30.26</c:v>
                </c:pt>
                <c:pt idx="51">
                  <c:v>30.88</c:v>
                </c:pt>
                <c:pt idx="52">
                  <c:v>30.36</c:v>
                </c:pt>
                <c:pt idx="53">
                  <c:v>29.34</c:v>
                </c:pt>
                <c:pt idx="54">
                  <c:v>29.07</c:v>
                </c:pt>
                <c:pt idx="55">
                  <c:v>27.57</c:v>
                </c:pt>
                <c:pt idx="56">
                  <c:v>28.79</c:v>
                </c:pt>
                <c:pt idx="57">
                  <c:v>27.49</c:v>
                </c:pt>
                <c:pt idx="58">
                  <c:v>28.01</c:v>
                </c:pt>
                <c:pt idx="59">
                  <c:v>26.59</c:v>
                </c:pt>
                <c:pt idx="60">
                  <c:v>22.98</c:v>
                </c:pt>
                <c:pt idx="61">
                  <c:v>22.98</c:v>
                </c:pt>
                <c:pt idx="62">
                  <c:v>22.98</c:v>
                </c:pt>
                <c:pt idx="63">
                  <c:v>24.08</c:v>
                </c:pt>
                <c:pt idx="64">
                  <c:v>23.28</c:v>
                </c:pt>
                <c:pt idx="65">
                  <c:v>23.94</c:v>
                </c:pt>
                <c:pt idx="66">
                  <c:v>24.08</c:v>
                </c:pt>
                <c:pt idx="67">
                  <c:v>23.77</c:v>
                </c:pt>
                <c:pt idx="68">
                  <c:v>24.58</c:v>
                </c:pt>
                <c:pt idx="69">
                  <c:v>24.18</c:v>
                </c:pt>
                <c:pt idx="70">
                  <c:v>24.88</c:v>
                </c:pt>
                <c:pt idx="71">
                  <c:v>24.28</c:v>
                </c:pt>
                <c:pt idx="72">
                  <c:v>24.79</c:v>
                </c:pt>
                <c:pt idx="73">
                  <c:v>25.38</c:v>
                </c:pt>
                <c:pt idx="74">
                  <c:v>25.19</c:v>
                </c:pt>
                <c:pt idx="75">
                  <c:v>25.19</c:v>
                </c:pt>
                <c:pt idx="76">
                  <c:v>24.76</c:v>
                </c:pt>
                <c:pt idx="77">
                  <c:v>24.14</c:v>
                </c:pt>
                <c:pt idx="78">
                  <c:v>24.57</c:v>
                </c:pt>
                <c:pt idx="79">
                  <c:v>25.3</c:v>
                </c:pt>
                <c:pt idx="80">
                  <c:v>24.89</c:v>
                </c:pt>
                <c:pt idx="81">
                  <c:v>24.77</c:v>
                </c:pt>
                <c:pt idx="82">
                  <c:v>24.57</c:v>
                </c:pt>
                <c:pt idx="83">
                  <c:v>24.42</c:v>
                </c:pt>
                <c:pt idx="84">
                  <c:v>25.36</c:v>
                </c:pt>
                <c:pt idx="85">
                  <c:v>26.01</c:v>
                </c:pt>
                <c:pt idx="86">
                  <c:v>25.88</c:v>
                </c:pt>
                <c:pt idx="87">
                  <c:v>26.009899999999998</c:v>
                </c:pt>
                <c:pt idx="88">
                  <c:v>28.73</c:v>
                </c:pt>
                <c:pt idx="89">
                  <c:v>29.69</c:v>
                </c:pt>
                <c:pt idx="90">
                  <c:v>29.01</c:v>
                </c:pt>
                <c:pt idx="91">
                  <c:v>28.7</c:v>
                </c:pt>
                <c:pt idx="92">
                  <c:v>29.1</c:v>
                </c:pt>
                <c:pt idx="93">
                  <c:v>28.05</c:v>
                </c:pt>
                <c:pt idx="94">
                  <c:v>28.7</c:v>
                </c:pt>
                <c:pt idx="95">
                  <c:v>29</c:v>
                </c:pt>
                <c:pt idx="96">
                  <c:v>29.93</c:v>
                </c:pt>
                <c:pt idx="97">
                  <c:v>30.61</c:v>
                </c:pt>
                <c:pt idx="98">
                  <c:v>29.82</c:v>
                </c:pt>
                <c:pt idx="99">
                  <c:v>30.53</c:v>
                </c:pt>
                <c:pt idx="100">
                  <c:v>31.35</c:v>
                </c:pt>
                <c:pt idx="101">
                  <c:v>30.68</c:v>
                </c:pt>
                <c:pt idx="102">
                  <c:v>31.5</c:v>
                </c:pt>
                <c:pt idx="103">
                  <c:v>31.9</c:v>
                </c:pt>
                <c:pt idx="104">
                  <c:v>31.73</c:v>
                </c:pt>
                <c:pt idx="105">
                  <c:v>28.58</c:v>
                </c:pt>
                <c:pt idx="106">
                  <c:v>27.8</c:v>
                </c:pt>
                <c:pt idx="107">
                  <c:v>28.84</c:v>
                </c:pt>
                <c:pt idx="108">
                  <c:v>29.29</c:v>
                </c:pt>
                <c:pt idx="109">
                  <c:v>29.95</c:v>
                </c:pt>
                <c:pt idx="110">
                  <c:v>28.88</c:v>
                </c:pt>
                <c:pt idx="111">
                  <c:v>27.92</c:v>
                </c:pt>
                <c:pt idx="112">
                  <c:v>26.74</c:v>
                </c:pt>
                <c:pt idx="113">
                  <c:v>28.23</c:v>
                </c:pt>
                <c:pt idx="114">
                  <c:v>30.83</c:v>
                </c:pt>
                <c:pt idx="115">
                  <c:v>31.37</c:v>
                </c:pt>
                <c:pt idx="116">
                  <c:v>21.85</c:v>
                </c:pt>
                <c:pt idx="117">
                  <c:v>21.89</c:v>
                </c:pt>
                <c:pt idx="118">
                  <c:v>23.9</c:v>
                </c:pt>
              </c:numCache>
            </c:numRef>
          </c:val>
          <c:smooth val="0"/>
        </c:ser>
        <c:ser>
          <c:idx val="1"/>
          <c:order val="1"/>
          <c:tx>
            <c:strRef>
              <c:f>KR!$D$23</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pt idx="117">
                  <c:v>43658</c:v>
                </c:pt>
                <c:pt idx="118">
                  <c:v>43684</c:v>
                </c:pt>
              </c:numCache>
            </c:numRef>
          </c:cat>
          <c:val>
            <c:numRef>
              <c:f>KR!$D$24:$D$146</c:f>
              <c:numCache>
                <c:formatCode>0.00</c:formatCode>
                <c:ptCount val="123"/>
                <c:pt idx="0">
                  <c:v>34.402500000000003</c:v>
                </c:pt>
                <c:pt idx="1">
                  <c:v>34.402500000000003</c:v>
                </c:pt>
                <c:pt idx="2">
                  <c:v>34.142000000000003</c:v>
                </c:pt>
                <c:pt idx="3">
                  <c:v>34.142000000000003</c:v>
                </c:pt>
                <c:pt idx="4">
                  <c:v>33.965000000000003</c:v>
                </c:pt>
                <c:pt idx="5">
                  <c:v>33.965000000000003</c:v>
                </c:pt>
                <c:pt idx="6">
                  <c:v>33.847900000000003</c:v>
                </c:pt>
                <c:pt idx="7">
                  <c:v>33.591920000000002</c:v>
                </c:pt>
                <c:pt idx="8">
                  <c:v>33.238900000000001</c:v>
                </c:pt>
                <c:pt idx="9">
                  <c:v>32.090800000000002</c:v>
                </c:pt>
                <c:pt idx="10">
                  <c:v>31.954999999999998</c:v>
                </c:pt>
                <c:pt idx="11">
                  <c:v>31.527000000000001</c:v>
                </c:pt>
                <c:pt idx="12">
                  <c:v>31.861999999999998</c:v>
                </c:pt>
                <c:pt idx="13">
                  <c:v>31.861999999999998</c:v>
                </c:pt>
                <c:pt idx="14">
                  <c:v>31.86</c:v>
                </c:pt>
                <c:pt idx="15">
                  <c:v>31.86</c:v>
                </c:pt>
                <c:pt idx="16">
                  <c:v>30.6572</c:v>
                </c:pt>
                <c:pt idx="17">
                  <c:v>29.751439999999999</c:v>
                </c:pt>
                <c:pt idx="18">
                  <c:v>29.751439999999999</c:v>
                </c:pt>
                <c:pt idx="19">
                  <c:v>30.03997</c:v>
                </c:pt>
                <c:pt idx="20">
                  <c:v>29.7</c:v>
                </c:pt>
                <c:pt idx="21">
                  <c:v>29.582999999999998</c:v>
                </c:pt>
                <c:pt idx="22">
                  <c:v>28.047699999999999</c:v>
                </c:pt>
                <c:pt idx="23">
                  <c:v>29.446999999999999</c:v>
                </c:pt>
                <c:pt idx="24">
                  <c:v>29.446999999999999</c:v>
                </c:pt>
                <c:pt idx="25">
                  <c:v>28.6112</c:v>
                </c:pt>
                <c:pt idx="26">
                  <c:v>29.411999999999999</c:v>
                </c:pt>
                <c:pt idx="27">
                  <c:v>29.411999999999999</c:v>
                </c:pt>
                <c:pt idx="28">
                  <c:v>29.411999999999999</c:v>
                </c:pt>
                <c:pt idx="29">
                  <c:v>29.411999999999999</c:v>
                </c:pt>
                <c:pt idx="30">
                  <c:v>30.172000000000001</c:v>
                </c:pt>
                <c:pt idx="31">
                  <c:v>30.390999999999998</c:v>
                </c:pt>
                <c:pt idx="32">
                  <c:v>30.597999999999999</c:v>
                </c:pt>
                <c:pt idx="33">
                  <c:v>30.4419</c:v>
                </c:pt>
                <c:pt idx="34">
                  <c:v>30.4419</c:v>
                </c:pt>
                <c:pt idx="35">
                  <c:v>30.667999999999999</c:v>
                </c:pt>
                <c:pt idx="36">
                  <c:v>30.907</c:v>
                </c:pt>
                <c:pt idx="37">
                  <c:v>31.114999999999998</c:v>
                </c:pt>
                <c:pt idx="38">
                  <c:v>30.864999999999998</c:v>
                </c:pt>
                <c:pt idx="39">
                  <c:v>31.079000000000001</c:v>
                </c:pt>
                <c:pt idx="40">
                  <c:v>31.079000000000001</c:v>
                </c:pt>
                <c:pt idx="41">
                  <c:v>30.548999999999999</c:v>
                </c:pt>
                <c:pt idx="42">
                  <c:v>30.1</c:v>
                </c:pt>
                <c:pt idx="43">
                  <c:v>30.925000000000001</c:v>
                </c:pt>
                <c:pt idx="44">
                  <c:v>30.925000000000001</c:v>
                </c:pt>
                <c:pt idx="45">
                  <c:v>30.893000000000001</c:v>
                </c:pt>
                <c:pt idx="46">
                  <c:v>30.893000000000001</c:v>
                </c:pt>
                <c:pt idx="47">
                  <c:v>31.22</c:v>
                </c:pt>
                <c:pt idx="48">
                  <c:v>30.7728</c:v>
                </c:pt>
                <c:pt idx="49">
                  <c:v>30.7728</c:v>
                </c:pt>
                <c:pt idx="50">
                  <c:v>30.855</c:v>
                </c:pt>
                <c:pt idx="51">
                  <c:v>30.868680000000001</c:v>
                </c:pt>
                <c:pt idx="52">
                  <c:v>30.63</c:v>
                </c:pt>
                <c:pt idx="53">
                  <c:v>30.452999999999999</c:v>
                </c:pt>
                <c:pt idx="54">
                  <c:v>29.96</c:v>
                </c:pt>
                <c:pt idx="55">
                  <c:v>29.96</c:v>
                </c:pt>
                <c:pt idx="56">
                  <c:v>29.96</c:v>
                </c:pt>
                <c:pt idx="57">
                  <c:v>29.96</c:v>
                </c:pt>
                <c:pt idx="58">
                  <c:v>29.835999999999999</c:v>
                </c:pt>
                <c:pt idx="59">
                  <c:v>29.48</c:v>
                </c:pt>
                <c:pt idx="60">
                  <c:v>28.782</c:v>
                </c:pt>
                <c:pt idx="61">
                  <c:v>28.326000000000001</c:v>
                </c:pt>
                <c:pt idx="62">
                  <c:v>27.43</c:v>
                </c:pt>
                <c:pt idx="63">
                  <c:v>27.43</c:v>
                </c:pt>
                <c:pt idx="64">
                  <c:v>27.152999999999999</c:v>
                </c:pt>
                <c:pt idx="65">
                  <c:v>27.385000000000002</c:v>
                </c:pt>
                <c:pt idx="66">
                  <c:v>27.78</c:v>
                </c:pt>
                <c:pt idx="67">
                  <c:v>27.78</c:v>
                </c:pt>
                <c:pt idx="68">
                  <c:v>28.556999999999999</c:v>
                </c:pt>
                <c:pt idx="69">
                  <c:v>27.681999999999999</c:v>
                </c:pt>
                <c:pt idx="70">
                  <c:v>28.3826</c:v>
                </c:pt>
                <c:pt idx="71">
                  <c:v>27.562000000000001</c:v>
                </c:pt>
                <c:pt idx="72">
                  <c:v>27.94</c:v>
                </c:pt>
                <c:pt idx="73">
                  <c:v>28.72</c:v>
                </c:pt>
                <c:pt idx="74">
                  <c:v>29.102</c:v>
                </c:pt>
                <c:pt idx="75">
                  <c:v>28.666</c:v>
                </c:pt>
                <c:pt idx="76">
                  <c:v>28.064</c:v>
                </c:pt>
                <c:pt idx="77">
                  <c:v>28.06</c:v>
                </c:pt>
                <c:pt idx="78">
                  <c:v>28.06</c:v>
                </c:pt>
                <c:pt idx="79">
                  <c:v>27.992000000000001</c:v>
                </c:pt>
                <c:pt idx="80">
                  <c:v>27.992000000000001</c:v>
                </c:pt>
                <c:pt idx="81">
                  <c:v>27.992000000000001</c:v>
                </c:pt>
                <c:pt idx="82">
                  <c:v>27.68</c:v>
                </c:pt>
                <c:pt idx="83">
                  <c:v>27.567</c:v>
                </c:pt>
                <c:pt idx="84">
                  <c:v>27.788</c:v>
                </c:pt>
                <c:pt idx="85">
                  <c:v>28.324000000000002</c:v>
                </c:pt>
                <c:pt idx="86">
                  <c:v>27.998699999999999</c:v>
                </c:pt>
                <c:pt idx="87">
                  <c:v>28.265499999999999</c:v>
                </c:pt>
                <c:pt idx="88">
                  <c:v>28.0626</c:v>
                </c:pt>
                <c:pt idx="89">
                  <c:v>27.71583</c:v>
                </c:pt>
                <c:pt idx="90">
                  <c:v>27.72</c:v>
                </c:pt>
                <c:pt idx="91">
                  <c:v>27.72</c:v>
                </c:pt>
                <c:pt idx="92">
                  <c:v>27.72</c:v>
                </c:pt>
                <c:pt idx="93">
                  <c:v>27.72</c:v>
                </c:pt>
                <c:pt idx="94">
                  <c:v>27.72</c:v>
                </c:pt>
                <c:pt idx="95">
                  <c:v>27.72</c:v>
                </c:pt>
                <c:pt idx="96">
                  <c:v>27.72</c:v>
                </c:pt>
                <c:pt idx="97">
                  <c:v>27.72</c:v>
                </c:pt>
                <c:pt idx="98">
                  <c:v>16.07</c:v>
                </c:pt>
                <c:pt idx="99">
                  <c:v>16.07</c:v>
                </c:pt>
                <c:pt idx="100">
                  <c:v>16.07</c:v>
                </c:pt>
                <c:pt idx="101">
                  <c:v>16.07</c:v>
                </c:pt>
                <c:pt idx="102">
                  <c:v>16.07</c:v>
                </c:pt>
                <c:pt idx="103">
                  <c:v>15.930999999999999</c:v>
                </c:pt>
                <c:pt idx="104">
                  <c:v>15.930999999999999</c:v>
                </c:pt>
                <c:pt idx="105">
                  <c:v>20.9587</c:v>
                </c:pt>
                <c:pt idx="106">
                  <c:v>22.106999999999999</c:v>
                </c:pt>
                <c:pt idx="107">
                  <c:v>20.748999999999999</c:v>
                </c:pt>
                <c:pt idx="108">
                  <c:v>18.616</c:v>
                </c:pt>
                <c:pt idx="109">
                  <c:v>14.8482</c:v>
                </c:pt>
                <c:pt idx="110">
                  <c:v>18.356000000000002</c:v>
                </c:pt>
                <c:pt idx="111">
                  <c:v>20.228999999999999</c:v>
                </c:pt>
                <c:pt idx="112">
                  <c:v>21.315999999999999</c:v>
                </c:pt>
                <c:pt idx="113">
                  <c:v>13.852</c:v>
                </c:pt>
                <c:pt idx="114">
                  <c:v>5.3531000000000004</c:v>
                </c:pt>
                <c:pt idx="115">
                  <c:v>5.35</c:v>
                </c:pt>
                <c:pt idx="116">
                  <c:v>21.82</c:v>
                </c:pt>
                <c:pt idx="117">
                  <c:v>21.577000000000002</c:v>
                </c:pt>
                <c:pt idx="118">
                  <c:v>21.58</c:v>
                </c:pt>
              </c:numCache>
            </c:numRef>
          </c:val>
          <c:smooth val="0"/>
        </c:ser>
        <c:dLbls>
          <c:showLegendKey val="0"/>
          <c:showVal val="0"/>
          <c:showCatName val="0"/>
          <c:showSerName val="0"/>
          <c:showPercent val="0"/>
          <c:showBubbleSize val="0"/>
        </c:dLbls>
        <c:marker val="1"/>
        <c:smooth val="0"/>
        <c:axId val="416235784"/>
        <c:axId val="416236568"/>
      </c:lineChart>
      <c:dateAx>
        <c:axId val="416235784"/>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6236568"/>
        <c:crosses val="autoZero"/>
        <c:auto val="1"/>
        <c:lblOffset val="100"/>
        <c:baseTimeUnit val="days"/>
      </c:dateAx>
      <c:valAx>
        <c:axId val="416236568"/>
        <c:scaling>
          <c:orientation val="minMax"/>
          <c:max val="36"/>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6235784"/>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KR!$K$23</c:f>
              <c:strCache>
                <c:ptCount val="1"/>
                <c:pt idx="0">
                  <c:v>Total PL</c:v>
                </c:pt>
              </c:strCache>
            </c:strRef>
          </c:tx>
          <c:spPr>
            <a:ln w="28575" cap="rnd">
              <a:solidFill>
                <a:srgbClr val="00B050"/>
              </a:solidFill>
              <a:round/>
            </a:ln>
            <a:effectLst/>
          </c:spPr>
          <c:marker>
            <c:symbol val="square"/>
            <c:size val="2"/>
            <c:spPr>
              <a:solidFill>
                <a:schemeClr val="accent1"/>
              </a:solidFill>
              <a:ln w="9525">
                <a:solidFill>
                  <a:srgbClr val="FF0000"/>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pt idx="117">
                  <c:v>43658</c:v>
                </c:pt>
                <c:pt idx="118">
                  <c:v>43684</c:v>
                </c:pt>
              </c:numCache>
            </c:numRef>
          </c:cat>
          <c:val>
            <c:numRef>
              <c:f>KR!$K$24:$K$146</c:f>
              <c:numCache>
                <c:formatCode>0.00</c:formatCode>
                <c:ptCount val="123"/>
                <c:pt idx="0">
                  <c:v>7271.5800000000945</c:v>
                </c:pt>
                <c:pt idx="1">
                  <c:v>6955.5800000000945</c:v>
                </c:pt>
                <c:pt idx="2">
                  <c:v>6937.5800000000945</c:v>
                </c:pt>
                <c:pt idx="3">
                  <c:v>7267.5800000000963</c:v>
                </c:pt>
                <c:pt idx="4">
                  <c:v>6797.5800000000936</c:v>
                </c:pt>
                <c:pt idx="5">
                  <c:v>7037.5800000000927</c:v>
                </c:pt>
                <c:pt idx="6">
                  <c:v>7365.4200000000947</c:v>
                </c:pt>
                <c:pt idx="7">
                  <c:v>7111.4280000000936</c:v>
                </c:pt>
                <c:pt idx="8">
                  <c:v>6513.4600000000946</c:v>
                </c:pt>
                <c:pt idx="9">
                  <c:v>5339.4600000000964</c:v>
                </c:pt>
                <c:pt idx="10">
                  <c:v>3841.0800000000972</c:v>
                </c:pt>
                <c:pt idx="11">
                  <c:v>2522.6800000000931</c:v>
                </c:pt>
                <c:pt idx="12">
                  <c:v>2795.5800000000991</c:v>
                </c:pt>
                <c:pt idx="13">
                  <c:v>3185.5800000001009</c:v>
                </c:pt>
                <c:pt idx="14">
                  <c:v>3563.5800000000995</c:v>
                </c:pt>
                <c:pt idx="15">
                  <c:v>3383.5800000000977</c:v>
                </c:pt>
                <c:pt idx="16">
                  <c:v>-4330.3799999999028</c:v>
                </c:pt>
                <c:pt idx="17">
                  <c:v>-7594.2999999999029</c:v>
                </c:pt>
                <c:pt idx="18">
                  <c:v>-5654.2999999998974</c:v>
                </c:pt>
                <c:pt idx="19">
                  <c:v>-3615.3629999999011</c:v>
                </c:pt>
                <c:pt idx="20">
                  <c:v>-1511.4199999999</c:v>
                </c:pt>
                <c:pt idx="21">
                  <c:v>-6997.4199999998964</c:v>
                </c:pt>
                <c:pt idx="22">
                  <c:v>-9393.8999999999069</c:v>
                </c:pt>
                <c:pt idx="23">
                  <c:v>-9295.4199999999</c:v>
                </c:pt>
                <c:pt idx="24">
                  <c:v>-8685.4199999999</c:v>
                </c:pt>
                <c:pt idx="25">
                  <c:v>-11132.059999999907</c:v>
                </c:pt>
                <c:pt idx="26">
                  <c:v>-10375.419999999904</c:v>
                </c:pt>
                <c:pt idx="27">
                  <c:v>-8895.4199999999</c:v>
                </c:pt>
                <c:pt idx="28">
                  <c:v>-8795.4199999998982</c:v>
                </c:pt>
                <c:pt idx="29">
                  <c:v>-7335.4199999999055</c:v>
                </c:pt>
                <c:pt idx="30">
                  <c:v>-4843.019999999904</c:v>
                </c:pt>
                <c:pt idx="31">
                  <c:v>611.88000000010106</c:v>
                </c:pt>
                <c:pt idx="32">
                  <c:v>1699.7800000000952</c:v>
                </c:pt>
                <c:pt idx="33">
                  <c:v>-306.45999999990181</c:v>
                </c:pt>
                <c:pt idx="34">
                  <c:v>1309.5400000000955</c:v>
                </c:pt>
                <c:pt idx="35">
                  <c:v>1901.5800000000982</c:v>
                </c:pt>
                <c:pt idx="36">
                  <c:v>2306.7800000000971</c:v>
                </c:pt>
                <c:pt idx="37">
                  <c:v>3604.0800000000982</c:v>
                </c:pt>
                <c:pt idx="38">
                  <c:v>3037.5800000001</c:v>
                </c:pt>
                <c:pt idx="39">
                  <c:v>3715.8800000000965</c:v>
                </c:pt>
                <c:pt idx="40">
                  <c:v>3130.8800000000974</c:v>
                </c:pt>
                <c:pt idx="41">
                  <c:v>2170.0800000000963</c:v>
                </c:pt>
                <c:pt idx="42">
                  <c:v>1599.5800000000945</c:v>
                </c:pt>
                <c:pt idx="43">
                  <c:v>2642.0800000000954</c:v>
                </c:pt>
                <c:pt idx="44">
                  <c:v>3487.0800000000941</c:v>
                </c:pt>
                <c:pt idx="45">
                  <c:v>3749.6800000000962</c:v>
                </c:pt>
                <c:pt idx="46">
                  <c:v>4438.6800000000976</c:v>
                </c:pt>
                <c:pt idx="47">
                  <c:v>5828.5800000000963</c:v>
                </c:pt>
                <c:pt idx="48">
                  <c:v>5842.9400000000951</c:v>
                </c:pt>
                <c:pt idx="49">
                  <c:v>5426.9400000000942</c:v>
                </c:pt>
                <c:pt idx="50">
                  <c:v>6733.5800000000972</c:v>
                </c:pt>
                <c:pt idx="51">
                  <c:v>7337.636000000095</c:v>
                </c:pt>
                <c:pt idx="52">
                  <c:v>6977.5800000000972</c:v>
                </c:pt>
                <c:pt idx="53">
                  <c:v>5659.0800000000972</c:v>
                </c:pt>
                <c:pt idx="54">
                  <c:v>5726.5800000000954</c:v>
                </c:pt>
                <c:pt idx="55">
                  <c:v>3026.5800000000954</c:v>
                </c:pt>
                <c:pt idx="56">
                  <c:v>5222.5800000000927</c:v>
                </c:pt>
                <c:pt idx="57">
                  <c:v>2882.5800000000918</c:v>
                </c:pt>
                <c:pt idx="58">
                  <c:v>4041.7800000001016</c:v>
                </c:pt>
                <c:pt idx="59">
                  <c:v>1548.5800000000954</c:v>
                </c:pt>
                <c:pt idx="60">
                  <c:v>-6016.0199999999022</c:v>
                </c:pt>
                <c:pt idx="61">
                  <c:v>-6036.4199999999037</c:v>
                </c:pt>
                <c:pt idx="62">
                  <c:v>-6021.4199999999018</c:v>
                </c:pt>
                <c:pt idx="63">
                  <c:v>-2721.4199999999073</c:v>
                </c:pt>
                <c:pt idx="64">
                  <c:v>-4290.4199999998964</c:v>
                </c:pt>
                <c:pt idx="65">
                  <c:v>-2317.4199999999037</c:v>
                </c:pt>
                <c:pt idx="66">
                  <c:v>-1921.4199999999109</c:v>
                </c:pt>
                <c:pt idx="67">
                  <c:v>-2696.4199999999073</c:v>
                </c:pt>
                <c:pt idx="68">
                  <c:v>-625.41999999990458</c:v>
                </c:pt>
                <c:pt idx="69">
                  <c:v>-1426.4199999999</c:v>
                </c:pt>
                <c:pt idx="70">
                  <c:v>323.38000000009379</c:v>
                </c:pt>
                <c:pt idx="71">
                  <c:v>-876.41999999990367</c:v>
                </c:pt>
                <c:pt idx="72">
                  <c:v>398.58000000009179</c:v>
                </c:pt>
                <c:pt idx="73">
                  <c:v>1650.5800000000963</c:v>
                </c:pt>
                <c:pt idx="74">
                  <c:v>1460.5800000000982</c:v>
                </c:pt>
                <c:pt idx="75">
                  <c:v>1419.3800000000974</c:v>
                </c:pt>
                <c:pt idx="76">
                  <c:v>720.58000000009906</c:v>
                </c:pt>
                <c:pt idx="77">
                  <c:v>-511.41999999990003</c:v>
                </c:pt>
                <c:pt idx="78">
                  <c:v>348.58000000009906</c:v>
                </c:pt>
                <c:pt idx="79">
                  <c:v>1944.5800000000963</c:v>
                </c:pt>
                <c:pt idx="80">
                  <c:v>1124.5800000000954</c:v>
                </c:pt>
                <c:pt idx="81">
                  <c:v>884.58000000009361</c:v>
                </c:pt>
                <c:pt idx="82">
                  <c:v>486.58000000009724</c:v>
                </c:pt>
                <c:pt idx="83">
                  <c:v>405.18000000009943</c:v>
                </c:pt>
                <c:pt idx="84">
                  <c:v>2472.5800000000945</c:v>
                </c:pt>
                <c:pt idx="85">
                  <c:v>3857.5800000000963</c:v>
                </c:pt>
                <c:pt idx="86">
                  <c:v>3684.4160000000957</c:v>
                </c:pt>
                <c:pt idx="87">
                  <c:v>3945.1800000000944</c:v>
                </c:pt>
                <c:pt idx="88">
                  <c:v>8329.6800000000967</c:v>
                </c:pt>
                <c:pt idx="89">
                  <c:v>10289.835000000097</c:v>
                </c:pt>
                <c:pt idx="90">
                  <c:v>9263.5800000001</c:v>
                </c:pt>
                <c:pt idx="91">
                  <c:v>8798.5800000000963</c:v>
                </c:pt>
                <c:pt idx="92">
                  <c:v>9398.5800000001</c:v>
                </c:pt>
                <c:pt idx="93">
                  <c:v>7823.5800000000991</c:v>
                </c:pt>
                <c:pt idx="94">
                  <c:v>8798.5800000000963</c:v>
                </c:pt>
                <c:pt idx="95">
                  <c:v>9248.5800000000982</c:v>
                </c:pt>
                <c:pt idx="96">
                  <c:v>10643.580000000098</c:v>
                </c:pt>
                <c:pt idx="97">
                  <c:v>5063</c:v>
                </c:pt>
                <c:pt idx="116">
                  <c:v>7337.5800000000963</c:v>
                </c:pt>
                <c:pt idx="117">
                  <c:v>7375.5300000000962</c:v>
                </c:pt>
                <c:pt idx="118">
                  <c:v>7583.8900000000967</c:v>
                </c:pt>
              </c:numCache>
            </c:numRef>
          </c:val>
          <c:smooth val="0"/>
        </c:ser>
        <c:dLbls>
          <c:showLegendKey val="0"/>
          <c:showVal val="0"/>
          <c:showCatName val="0"/>
          <c:showSerName val="0"/>
          <c:showPercent val="0"/>
          <c:showBubbleSize val="0"/>
        </c:dLbls>
        <c:marker val="1"/>
        <c:smooth val="0"/>
        <c:axId val="416237352"/>
        <c:axId val="413515152"/>
      </c:lineChart>
      <c:dateAx>
        <c:axId val="416237352"/>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3515152"/>
        <c:crosses val="autoZero"/>
        <c:auto val="1"/>
        <c:lblOffset val="100"/>
        <c:baseTimeUnit val="days"/>
      </c:dateAx>
      <c:valAx>
        <c:axId val="41351515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6237352"/>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MO!$B$25:$B$73</c:f>
              <c:numCache>
                <c:formatCode>d\-mmm</c:formatCode>
                <c:ptCount val="49"/>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pt idx="37">
                  <c:v>43535</c:v>
                </c:pt>
                <c:pt idx="38">
                  <c:v>43585</c:v>
                </c:pt>
                <c:pt idx="39">
                  <c:v>43614</c:v>
                </c:pt>
                <c:pt idx="40">
                  <c:v>43656</c:v>
                </c:pt>
                <c:pt idx="41">
                  <c:v>43723</c:v>
                </c:pt>
                <c:pt idx="42">
                  <c:v>43727</c:v>
                </c:pt>
                <c:pt idx="43">
                  <c:v>43731</c:v>
                </c:pt>
                <c:pt idx="44">
                  <c:v>43748</c:v>
                </c:pt>
                <c:pt idx="45">
                  <c:v>43797</c:v>
                </c:pt>
              </c:numCache>
            </c:numRef>
          </c:cat>
          <c:val>
            <c:numRef>
              <c:f>MO!$D$25:$D$73</c:f>
              <c:numCache>
                <c:formatCode>0.00</c:formatCode>
                <c:ptCount val="49"/>
                <c:pt idx="0">
                  <c:v>60.57</c:v>
                </c:pt>
                <c:pt idx="1">
                  <c:v>60.57</c:v>
                </c:pt>
                <c:pt idx="2">
                  <c:v>59.84</c:v>
                </c:pt>
                <c:pt idx="3">
                  <c:v>59.84</c:v>
                </c:pt>
                <c:pt idx="4">
                  <c:v>59.84</c:v>
                </c:pt>
                <c:pt idx="5">
                  <c:v>58.83</c:v>
                </c:pt>
                <c:pt idx="6">
                  <c:v>58.83</c:v>
                </c:pt>
                <c:pt idx="7">
                  <c:v>58.98</c:v>
                </c:pt>
                <c:pt idx="8">
                  <c:v>58.28</c:v>
                </c:pt>
                <c:pt idx="9">
                  <c:v>58.04</c:v>
                </c:pt>
                <c:pt idx="10">
                  <c:v>57.732999999999997</c:v>
                </c:pt>
                <c:pt idx="11">
                  <c:v>56.948999999999998</c:v>
                </c:pt>
                <c:pt idx="12">
                  <c:v>57.048000000000002</c:v>
                </c:pt>
                <c:pt idx="13">
                  <c:v>57.05</c:v>
                </c:pt>
                <c:pt idx="14">
                  <c:v>57.05</c:v>
                </c:pt>
                <c:pt idx="15">
                  <c:v>57.05</c:v>
                </c:pt>
                <c:pt idx="16">
                  <c:v>56.616</c:v>
                </c:pt>
                <c:pt idx="17">
                  <c:v>56.62</c:v>
                </c:pt>
                <c:pt idx="18">
                  <c:v>56.62</c:v>
                </c:pt>
                <c:pt idx="19">
                  <c:v>56.62</c:v>
                </c:pt>
                <c:pt idx="20">
                  <c:v>56.62</c:v>
                </c:pt>
                <c:pt idx="21">
                  <c:v>56.616</c:v>
                </c:pt>
                <c:pt idx="22">
                  <c:v>56.616</c:v>
                </c:pt>
                <c:pt idx="23">
                  <c:v>56.616</c:v>
                </c:pt>
                <c:pt idx="24">
                  <c:v>56.62</c:v>
                </c:pt>
                <c:pt idx="25">
                  <c:v>48.463000000000001</c:v>
                </c:pt>
                <c:pt idx="26">
                  <c:v>48.46</c:v>
                </c:pt>
                <c:pt idx="27">
                  <c:v>48.46</c:v>
                </c:pt>
                <c:pt idx="28">
                  <c:v>43.963999999999999</c:v>
                </c:pt>
                <c:pt idx="29">
                  <c:v>49.707000000000001</c:v>
                </c:pt>
                <c:pt idx="30">
                  <c:v>49.71</c:v>
                </c:pt>
                <c:pt idx="31">
                  <c:v>49.707000000000001</c:v>
                </c:pt>
                <c:pt idx="32">
                  <c:v>49.71</c:v>
                </c:pt>
                <c:pt idx="33">
                  <c:v>48.906999999999996</c:v>
                </c:pt>
                <c:pt idx="34">
                  <c:v>47.097999999999999</c:v>
                </c:pt>
                <c:pt idx="35">
                  <c:v>47.935000000000002</c:v>
                </c:pt>
                <c:pt idx="36">
                  <c:v>47.94</c:v>
                </c:pt>
                <c:pt idx="37">
                  <c:v>47.94</c:v>
                </c:pt>
                <c:pt idx="38">
                  <c:v>47.134999999999998</c:v>
                </c:pt>
                <c:pt idx="39">
                  <c:v>47.14</c:v>
                </c:pt>
                <c:pt idx="40">
                  <c:v>46.335000000000001</c:v>
                </c:pt>
                <c:pt idx="41">
                  <c:v>46.34</c:v>
                </c:pt>
                <c:pt idx="42">
                  <c:v>44.323999999999998</c:v>
                </c:pt>
                <c:pt idx="43">
                  <c:v>46.015999999999998</c:v>
                </c:pt>
                <c:pt idx="44">
                  <c:v>47.351999999999997</c:v>
                </c:pt>
                <c:pt idx="45">
                  <c:v>47.35</c:v>
                </c:pt>
              </c:numCache>
            </c:numRef>
          </c:val>
          <c:smooth val="0"/>
        </c:ser>
        <c:ser>
          <c:idx val="2"/>
          <c:order val="1"/>
          <c:tx>
            <c:strRef>
              <c:f>MO!$E$24</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MO!$B$25:$B$73</c:f>
              <c:numCache>
                <c:formatCode>d\-mmm</c:formatCode>
                <c:ptCount val="49"/>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pt idx="37">
                  <c:v>43535</c:v>
                </c:pt>
                <c:pt idx="38">
                  <c:v>43585</c:v>
                </c:pt>
                <c:pt idx="39">
                  <c:v>43614</c:v>
                </c:pt>
                <c:pt idx="40">
                  <c:v>43656</c:v>
                </c:pt>
                <c:pt idx="41">
                  <c:v>43723</c:v>
                </c:pt>
                <c:pt idx="42">
                  <c:v>43727</c:v>
                </c:pt>
                <c:pt idx="43">
                  <c:v>43731</c:v>
                </c:pt>
                <c:pt idx="44">
                  <c:v>43748</c:v>
                </c:pt>
                <c:pt idx="45">
                  <c:v>43797</c:v>
                </c:pt>
              </c:numCache>
            </c:numRef>
          </c:cat>
          <c:val>
            <c:numRef>
              <c:f>MO!$E$25:$E$73</c:f>
              <c:numCache>
                <c:formatCode>0.00</c:formatCode>
                <c:ptCount val="49"/>
                <c:pt idx="0">
                  <c:v>60.57</c:v>
                </c:pt>
                <c:pt idx="1">
                  <c:v>59.27</c:v>
                </c:pt>
                <c:pt idx="2">
                  <c:v>57.78</c:v>
                </c:pt>
                <c:pt idx="3">
                  <c:v>54.77</c:v>
                </c:pt>
                <c:pt idx="4">
                  <c:v>55.99</c:v>
                </c:pt>
                <c:pt idx="5">
                  <c:v>55.87</c:v>
                </c:pt>
                <c:pt idx="6">
                  <c:v>56.46</c:v>
                </c:pt>
                <c:pt idx="7">
                  <c:v>57.63</c:v>
                </c:pt>
                <c:pt idx="8">
                  <c:v>58.75</c:v>
                </c:pt>
                <c:pt idx="9">
                  <c:v>58.77</c:v>
                </c:pt>
                <c:pt idx="10">
                  <c:v>57.43</c:v>
                </c:pt>
                <c:pt idx="11">
                  <c:v>55.38</c:v>
                </c:pt>
                <c:pt idx="12">
                  <c:v>56.45</c:v>
                </c:pt>
                <c:pt idx="13">
                  <c:v>57.64</c:v>
                </c:pt>
                <c:pt idx="14">
                  <c:v>56.1</c:v>
                </c:pt>
                <c:pt idx="15">
                  <c:v>58.68</c:v>
                </c:pt>
                <c:pt idx="16">
                  <c:v>58.78</c:v>
                </c:pt>
                <c:pt idx="17">
                  <c:v>59.73</c:v>
                </c:pt>
                <c:pt idx="18">
                  <c:v>58.61</c:v>
                </c:pt>
                <c:pt idx="19">
                  <c:v>59.05</c:v>
                </c:pt>
                <c:pt idx="20">
                  <c:v>60.83</c:v>
                </c:pt>
                <c:pt idx="21">
                  <c:v>61</c:v>
                </c:pt>
                <c:pt idx="22">
                  <c:v>58.52</c:v>
                </c:pt>
                <c:pt idx="23">
                  <c:v>60.65</c:v>
                </c:pt>
                <c:pt idx="24">
                  <c:v>63.43</c:v>
                </c:pt>
                <c:pt idx="25">
                  <c:v>61.06</c:v>
                </c:pt>
                <c:pt idx="26">
                  <c:v>62.91</c:v>
                </c:pt>
                <c:pt idx="27">
                  <c:v>64.88</c:v>
                </c:pt>
                <c:pt idx="28">
                  <c:v>61.2</c:v>
                </c:pt>
                <c:pt idx="29">
                  <c:v>55.68</c:v>
                </c:pt>
                <c:pt idx="30">
                  <c:v>53.21</c:v>
                </c:pt>
                <c:pt idx="31">
                  <c:v>54.18</c:v>
                </c:pt>
                <c:pt idx="32">
                  <c:v>49.06</c:v>
                </c:pt>
                <c:pt idx="33">
                  <c:v>49.66</c:v>
                </c:pt>
                <c:pt idx="34">
                  <c:v>43.33</c:v>
                </c:pt>
                <c:pt idx="35">
                  <c:v>45.3</c:v>
                </c:pt>
                <c:pt idx="36">
                  <c:v>49.2</c:v>
                </c:pt>
                <c:pt idx="37">
                  <c:v>56.01</c:v>
                </c:pt>
                <c:pt idx="38">
                  <c:v>54.33</c:v>
                </c:pt>
                <c:pt idx="39">
                  <c:v>50.19</c:v>
                </c:pt>
                <c:pt idx="40">
                  <c:v>49</c:v>
                </c:pt>
                <c:pt idx="41">
                  <c:v>42</c:v>
                </c:pt>
                <c:pt idx="42">
                  <c:v>40.299999999999997</c:v>
                </c:pt>
                <c:pt idx="43">
                  <c:v>40.94</c:v>
                </c:pt>
                <c:pt idx="44">
                  <c:v>42.98</c:v>
                </c:pt>
                <c:pt idx="45">
                  <c:v>49.75</c:v>
                </c:pt>
              </c:numCache>
            </c:numRef>
          </c:val>
          <c:smooth val="0"/>
        </c:ser>
        <c:dLbls>
          <c:showLegendKey val="0"/>
          <c:showVal val="0"/>
          <c:showCatName val="0"/>
          <c:showSerName val="0"/>
          <c:showPercent val="0"/>
          <c:showBubbleSize val="0"/>
        </c:dLbls>
        <c:marker val="1"/>
        <c:smooth val="0"/>
        <c:axId val="413512016"/>
        <c:axId val="413508488"/>
      </c:lineChart>
      <c:dateAx>
        <c:axId val="41351201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3508488"/>
        <c:crosses val="autoZero"/>
        <c:auto val="1"/>
        <c:lblOffset val="100"/>
        <c:baseTimeUnit val="days"/>
      </c:dateAx>
      <c:valAx>
        <c:axId val="413508488"/>
        <c:scaling>
          <c:orientation val="minMax"/>
          <c:max val="70"/>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351201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MO!$B$25:$B$73</c:f>
              <c:numCache>
                <c:formatCode>d\-mmm</c:formatCode>
                <c:ptCount val="49"/>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pt idx="37">
                  <c:v>43535</c:v>
                </c:pt>
                <c:pt idx="38">
                  <c:v>43585</c:v>
                </c:pt>
                <c:pt idx="39">
                  <c:v>43614</c:v>
                </c:pt>
                <c:pt idx="40">
                  <c:v>43656</c:v>
                </c:pt>
                <c:pt idx="41">
                  <c:v>43723</c:v>
                </c:pt>
                <c:pt idx="42">
                  <c:v>43727</c:v>
                </c:pt>
                <c:pt idx="43">
                  <c:v>43731</c:v>
                </c:pt>
                <c:pt idx="44">
                  <c:v>43748</c:v>
                </c:pt>
                <c:pt idx="45">
                  <c:v>43797</c:v>
                </c:pt>
              </c:numCache>
            </c:numRef>
          </c:cat>
          <c:val>
            <c:numRef>
              <c:f>MO!$J$25:$J$72</c:f>
              <c:numCache>
                <c:formatCode>0.00</c:formatCode>
                <c:ptCount val="48"/>
                <c:pt idx="0">
                  <c:v>0</c:v>
                </c:pt>
                <c:pt idx="1">
                  <c:v>-129.99999999999972</c:v>
                </c:pt>
                <c:pt idx="2">
                  <c:v>-309.00000000000034</c:v>
                </c:pt>
                <c:pt idx="3">
                  <c:v>-760.5</c:v>
                </c:pt>
                <c:pt idx="4">
                  <c:v>-577.50000000000023</c:v>
                </c:pt>
                <c:pt idx="5">
                  <c:v>-592.00000000000023</c:v>
                </c:pt>
                <c:pt idx="6">
                  <c:v>-473.99999999999949</c:v>
                </c:pt>
                <c:pt idx="7">
                  <c:v>-202.49999999999915</c:v>
                </c:pt>
                <c:pt idx="8">
                  <c:v>70.499999999999829</c:v>
                </c:pt>
                <c:pt idx="9">
                  <c:v>73.000000000000398</c:v>
                </c:pt>
                <c:pt idx="10">
                  <c:v>-60.599999999999454</c:v>
                </c:pt>
                <c:pt idx="11">
                  <c:v>-470.69999999999868</c:v>
                </c:pt>
                <c:pt idx="12">
                  <c:v>-149.49999999999974</c:v>
                </c:pt>
                <c:pt idx="13">
                  <c:v>147.50000000000085</c:v>
                </c:pt>
                <c:pt idx="14">
                  <c:v>-237.49999999999892</c:v>
                </c:pt>
                <c:pt idx="15">
                  <c:v>407.50000000000063</c:v>
                </c:pt>
                <c:pt idx="16">
                  <c:v>432.8000000000003</c:v>
                </c:pt>
                <c:pt idx="17">
                  <c:v>621.99999999999989</c:v>
                </c:pt>
                <c:pt idx="18">
                  <c:v>398.0000000000004</c:v>
                </c:pt>
                <c:pt idx="19">
                  <c:v>485.99999999999994</c:v>
                </c:pt>
                <c:pt idx="20">
                  <c:v>842.00000000000023</c:v>
                </c:pt>
                <c:pt idx="21">
                  <c:v>876.80000000000007</c:v>
                </c:pt>
                <c:pt idx="22">
                  <c:v>380.80000000000069</c:v>
                </c:pt>
                <c:pt idx="23">
                  <c:v>806.79999999999973</c:v>
                </c:pt>
                <c:pt idx="24">
                  <c:v>1261.68</c:v>
                </c:pt>
                <c:pt idx="25">
                  <c:v>1259.7</c:v>
                </c:pt>
                <c:pt idx="26">
                  <c:v>1444.9999999999995</c:v>
                </c:pt>
                <c:pt idx="27">
                  <c:v>0</c:v>
                </c:pt>
                <c:pt idx="28">
                  <c:v>1723.6000000000004</c:v>
                </c:pt>
                <c:pt idx="29">
                  <c:v>1194.5999999999999</c:v>
                </c:pt>
                <c:pt idx="30">
                  <c:v>700</c:v>
                </c:pt>
                <c:pt idx="31">
                  <c:v>894.5999999999998</c:v>
                </c:pt>
                <c:pt idx="32">
                  <c:v>-129.99999999999972</c:v>
                </c:pt>
                <c:pt idx="33">
                  <c:v>150.60000000000002</c:v>
                </c:pt>
                <c:pt idx="34">
                  <c:v>-1130.4000000000001</c:v>
                </c:pt>
                <c:pt idx="35">
                  <c:v>-527.00000000000102</c:v>
                </c:pt>
                <c:pt idx="36">
                  <c:v>252.00000000000102</c:v>
                </c:pt>
                <c:pt idx="37">
                  <c:v>1614</c:v>
                </c:pt>
                <c:pt idx="38">
                  <c:v>1439</c:v>
                </c:pt>
                <c:pt idx="39">
                  <c:v>609.99999999999943</c:v>
                </c:pt>
                <c:pt idx="40">
                  <c:v>532.99999999999977</c:v>
                </c:pt>
                <c:pt idx="41">
                  <c:v>-868.00000000000068</c:v>
                </c:pt>
                <c:pt idx="42">
                  <c:v>-1207.2000000000003</c:v>
                </c:pt>
                <c:pt idx="43">
                  <c:v>-1015.2</c:v>
                </c:pt>
                <c:pt idx="44">
                  <c:v>-437.2</c:v>
                </c:pt>
                <c:pt idx="45">
                  <c:v>239.99999999999986</c:v>
                </c:pt>
              </c:numCache>
            </c:numRef>
          </c:val>
          <c:smooth val="0"/>
        </c:ser>
        <c:dLbls>
          <c:showLegendKey val="0"/>
          <c:showVal val="0"/>
          <c:showCatName val="0"/>
          <c:showSerName val="0"/>
          <c:showPercent val="0"/>
          <c:showBubbleSize val="0"/>
        </c:dLbls>
        <c:marker val="1"/>
        <c:smooth val="0"/>
        <c:axId val="413514760"/>
        <c:axId val="413509664"/>
      </c:lineChart>
      <c:dateAx>
        <c:axId val="41351476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3509664"/>
        <c:crosses val="autoZero"/>
        <c:auto val="1"/>
        <c:lblOffset val="100"/>
        <c:baseTimeUnit val="days"/>
      </c:dateAx>
      <c:valAx>
        <c:axId val="41350966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35147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HES!$AA$1</c:f>
              <c:strCache>
                <c:ptCount val="1"/>
                <c:pt idx="0">
                  <c:v>Close</c:v>
                </c:pt>
              </c:strCache>
            </c:strRef>
          </c:tx>
          <c:spPr>
            <a:ln w="12700"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HES!$W$2:$W$68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HES!$AA$2:$AA$68</c:f>
              <c:numCache>
                <c:formatCode>0.00</c:formatCode>
                <c:ptCount val="67"/>
                <c:pt idx="0">
                  <c:v>47.21</c:v>
                </c:pt>
                <c:pt idx="1">
                  <c:v>47.64</c:v>
                </c:pt>
                <c:pt idx="2">
                  <c:v>46.97</c:v>
                </c:pt>
                <c:pt idx="3">
                  <c:v>48.21</c:v>
                </c:pt>
                <c:pt idx="4">
                  <c:v>48.98</c:v>
                </c:pt>
                <c:pt idx="5">
                  <c:v>49.76</c:v>
                </c:pt>
                <c:pt idx="6">
                  <c:v>47.45</c:v>
                </c:pt>
                <c:pt idx="7">
                  <c:v>45.79</c:v>
                </c:pt>
                <c:pt idx="8">
                  <c:v>46.1</c:v>
                </c:pt>
                <c:pt idx="9">
                  <c:v>46.54</c:v>
                </c:pt>
                <c:pt idx="10">
                  <c:v>46.84</c:v>
                </c:pt>
                <c:pt idx="11">
                  <c:v>47.67</c:v>
                </c:pt>
                <c:pt idx="12">
                  <c:v>48.3</c:v>
                </c:pt>
                <c:pt idx="13">
                  <c:v>48.26</c:v>
                </c:pt>
                <c:pt idx="14">
                  <c:v>48.59</c:v>
                </c:pt>
                <c:pt idx="15">
                  <c:v>49.15</c:v>
                </c:pt>
                <c:pt idx="16">
                  <c:v>47.17</c:v>
                </c:pt>
                <c:pt idx="17">
                  <c:v>47.79</c:v>
                </c:pt>
                <c:pt idx="19">
                  <c:v>47.42</c:v>
                </c:pt>
                <c:pt idx="20">
                  <c:v>48.38</c:v>
                </c:pt>
                <c:pt idx="21">
                  <c:v>47.87</c:v>
                </c:pt>
                <c:pt idx="22">
                  <c:v>49.51</c:v>
                </c:pt>
                <c:pt idx="23">
                  <c:v>51.03</c:v>
                </c:pt>
                <c:pt idx="24">
                  <c:v>51.03</c:v>
                </c:pt>
                <c:pt idx="25">
                  <c:v>51.76</c:v>
                </c:pt>
                <c:pt idx="26">
                  <c:v>51.66</c:v>
                </c:pt>
                <c:pt idx="27">
                  <c:v>51.44</c:v>
                </c:pt>
                <c:pt idx="28">
                  <c:v>52.69</c:v>
                </c:pt>
                <c:pt idx="29">
                  <c:v>52.49</c:v>
                </c:pt>
                <c:pt idx="30">
                  <c:v>52.52</c:v>
                </c:pt>
                <c:pt idx="31">
                  <c:v>51.56</c:v>
                </c:pt>
                <c:pt idx="32">
                  <c:v>52.82</c:v>
                </c:pt>
                <c:pt idx="33">
                  <c:v>51.75</c:v>
                </c:pt>
                <c:pt idx="34">
                  <c:v>51.3</c:v>
                </c:pt>
                <c:pt idx="35">
                  <c:v>51.05</c:v>
                </c:pt>
                <c:pt idx="36">
                  <c:v>52</c:v>
                </c:pt>
                <c:pt idx="37">
                  <c:v>51.88</c:v>
                </c:pt>
                <c:pt idx="38">
                  <c:v>52.51</c:v>
                </c:pt>
                <c:pt idx="39">
                  <c:v>52.32</c:v>
                </c:pt>
                <c:pt idx="40">
                  <c:v>51.54</c:v>
                </c:pt>
                <c:pt idx="41">
                  <c:v>51.51</c:v>
                </c:pt>
                <c:pt idx="42">
                  <c:v>53.16</c:v>
                </c:pt>
                <c:pt idx="43">
                  <c:v>54.31</c:v>
                </c:pt>
                <c:pt idx="44">
                  <c:v>53.96</c:v>
                </c:pt>
                <c:pt idx="45">
                  <c:v>53.51</c:v>
                </c:pt>
                <c:pt idx="46">
                  <c:v>54.18</c:v>
                </c:pt>
                <c:pt idx="47">
                  <c:v>53.94</c:v>
                </c:pt>
                <c:pt idx="48">
                  <c:v>54.87</c:v>
                </c:pt>
                <c:pt idx="49">
                  <c:v>56.17</c:v>
                </c:pt>
                <c:pt idx="50">
                  <c:v>56.46</c:v>
                </c:pt>
                <c:pt idx="51">
                  <c:v>57.52</c:v>
                </c:pt>
                <c:pt idx="52">
                  <c:v>57.15</c:v>
                </c:pt>
                <c:pt idx="53">
                  <c:v>57.98</c:v>
                </c:pt>
                <c:pt idx="54">
                  <c:v>57.72</c:v>
                </c:pt>
                <c:pt idx="55">
                  <c:v>58.83</c:v>
                </c:pt>
                <c:pt idx="56">
                  <c:v>59.3</c:v>
                </c:pt>
                <c:pt idx="57">
                  <c:v>58.89</c:v>
                </c:pt>
                <c:pt idx="58">
                  <c:v>58.85</c:v>
                </c:pt>
                <c:pt idx="59">
                  <c:v>61.84</c:v>
                </c:pt>
                <c:pt idx="60">
                  <c:v>61.45</c:v>
                </c:pt>
                <c:pt idx="61">
                  <c:v>60.61</c:v>
                </c:pt>
                <c:pt idx="62">
                  <c:v>61.9</c:v>
                </c:pt>
                <c:pt idx="63">
                  <c:v>62.1</c:v>
                </c:pt>
                <c:pt idx="64">
                  <c:v>61.93</c:v>
                </c:pt>
                <c:pt idx="65">
                  <c:v>62.82</c:v>
                </c:pt>
                <c:pt idx="66">
                  <c:v>62.29</c:v>
                </c:pt>
              </c:numCache>
            </c:numRef>
          </c:val>
          <c:smooth val="0"/>
        </c:ser>
        <c:dLbls>
          <c:showLegendKey val="0"/>
          <c:showVal val="0"/>
          <c:showCatName val="0"/>
          <c:showSerName val="0"/>
          <c:showPercent val="0"/>
          <c:showBubbleSize val="0"/>
        </c:dLbls>
        <c:marker val="1"/>
        <c:smooth val="0"/>
        <c:axId val="413510056"/>
        <c:axId val="413511232"/>
      </c:lineChart>
      <c:dateAx>
        <c:axId val="413510056"/>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13511232"/>
        <c:crosses val="autoZero"/>
        <c:auto val="1"/>
        <c:lblOffset val="100"/>
        <c:baseTimeUnit val="days"/>
      </c:dateAx>
      <c:valAx>
        <c:axId val="413511232"/>
        <c:scaling>
          <c:orientation val="minMax"/>
          <c:min val="30"/>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1351005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MOS!$E$72</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MOS!$B$73:$B$228</c:f>
              <c:numCache>
                <c:formatCode>d\-mmm</c:formatCode>
                <c:ptCount val="156"/>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pt idx="122">
                  <c:v>43644</c:v>
                </c:pt>
                <c:pt idx="123">
                  <c:v>43654</c:v>
                </c:pt>
                <c:pt idx="124">
                  <c:v>43657</c:v>
                </c:pt>
                <c:pt idx="125">
                  <c:v>43660</c:v>
                </c:pt>
                <c:pt idx="126">
                  <c:v>43662</c:v>
                </c:pt>
                <c:pt idx="127">
                  <c:v>43669</c:v>
                </c:pt>
                <c:pt idx="128">
                  <c:v>43682</c:v>
                </c:pt>
                <c:pt idx="129">
                  <c:v>43683</c:v>
                </c:pt>
                <c:pt idx="130">
                  <c:v>43689</c:v>
                </c:pt>
                <c:pt idx="131">
                  <c:v>43702</c:v>
                </c:pt>
                <c:pt idx="132">
                  <c:v>43702</c:v>
                </c:pt>
                <c:pt idx="133">
                  <c:v>43706</c:v>
                </c:pt>
                <c:pt idx="134">
                  <c:v>43711</c:v>
                </c:pt>
                <c:pt idx="135">
                  <c:v>43713</c:v>
                </c:pt>
                <c:pt idx="136">
                  <c:v>43718</c:v>
                </c:pt>
                <c:pt idx="137">
                  <c:v>43734</c:v>
                </c:pt>
                <c:pt idx="138">
                  <c:v>43746</c:v>
                </c:pt>
                <c:pt idx="139">
                  <c:v>43749</c:v>
                </c:pt>
                <c:pt idx="140">
                  <c:v>43755</c:v>
                </c:pt>
                <c:pt idx="141">
                  <c:v>43772</c:v>
                </c:pt>
                <c:pt idx="142">
                  <c:v>43773</c:v>
                </c:pt>
                <c:pt idx="143">
                  <c:v>43782</c:v>
                </c:pt>
                <c:pt idx="144">
                  <c:v>43783</c:v>
                </c:pt>
                <c:pt idx="145">
                  <c:v>43785</c:v>
                </c:pt>
                <c:pt idx="146">
                  <c:v>43788</c:v>
                </c:pt>
                <c:pt idx="147">
                  <c:v>43789</c:v>
                </c:pt>
                <c:pt idx="148">
                  <c:v>43797</c:v>
                </c:pt>
                <c:pt idx="149">
                  <c:v>43801</c:v>
                </c:pt>
                <c:pt idx="150">
                  <c:v>43805</c:v>
                </c:pt>
              </c:numCache>
            </c:numRef>
          </c:cat>
          <c:val>
            <c:numRef>
              <c:f>MOS!$E$73:$E$228</c:f>
              <c:numCache>
                <c:formatCode>0.00</c:formatCode>
                <c:ptCount val="156"/>
                <c:pt idx="0">
                  <c:v>30.25</c:v>
                </c:pt>
                <c:pt idx="1">
                  <c:v>31.55</c:v>
                </c:pt>
                <c:pt idx="2">
                  <c:v>31.55</c:v>
                </c:pt>
                <c:pt idx="3">
                  <c:v>33.26</c:v>
                </c:pt>
                <c:pt idx="4">
                  <c:v>33.64</c:v>
                </c:pt>
                <c:pt idx="5">
                  <c:v>28.6</c:v>
                </c:pt>
                <c:pt idx="6">
                  <c:v>29.14</c:v>
                </c:pt>
                <c:pt idx="7">
                  <c:v>29.17</c:v>
                </c:pt>
                <c:pt idx="8">
                  <c:v>28.69</c:v>
                </c:pt>
                <c:pt idx="9">
                  <c:v>24.95</c:v>
                </c:pt>
                <c:pt idx="10">
                  <c:v>23.98</c:v>
                </c:pt>
                <c:pt idx="11">
                  <c:v>23.45</c:v>
                </c:pt>
                <c:pt idx="12">
                  <c:v>22.91</c:v>
                </c:pt>
                <c:pt idx="13">
                  <c:v>23.55</c:v>
                </c:pt>
                <c:pt idx="14">
                  <c:v>22.74</c:v>
                </c:pt>
                <c:pt idx="15">
                  <c:v>22.71</c:v>
                </c:pt>
                <c:pt idx="16">
                  <c:v>24.11</c:v>
                </c:pt>
                <c:pt idx="17">
                  <c:v>24.22</c:v>
                </c:pt>
                <c:pt idx="18">
                  <c:v>24.22</c:v>
                </c:pt>
                <c:pt idx="19">
                  <c:v>23.6</c:v>
                </c:pt>
                <c:pt idx="20">
                  <c:v>22.75</c:v>
                </c:pt>
                <c:pt idx="21">
                  <c:v>19.46</c:v>
                </c:pt>
                <c:pt idx="22">
                  <c:v>19.78</c:v>
                </c:pt>
                <c:pt idx="23">
                  <c:v>21.31</c:v>
                </c:pt>
                <c:pt idx="24">
                  <c:v>21.59</c:v>
                </c:pt>
                <c:pt idx="25">
                  <c:v>21.78</c:v>
                </c:pt>
                <c:pt idx="26">
                  <c:v>21.03</c:v>
                </c:pt>
                <c:pt idx="27">
                  <c:v>22.84</c:v>
                </c:pt>
                <c:pt idx="28">
                  <c:v>24.39</c:v>
                </c:pt>
                <c:pt idx="29">
                  <c:v>24.82</c:v>
                </c:pt>
                <c:pt idx="30">
                  <c:v>25.23</c:v>
                </c:pt>
                <c:pt idx="31">
                  <c:v>26.65</c:v>
                </c:pt>
                <c:pt idx="32">
                  <c:v>25.91</c:v>
                </c:pt>
                <c:pt idx="33">
                  <c:v>27.22</c:v>
                </c:pt>
                <c:pt idx="34">
                  <c:v>25.68</c:v>
                </c:pt>
                <c:pt idx="35">
                  <c:v>26.22</c:v>
                </c:pt>
                <c:pt idx="36">
                  <c:v>26.53</c:v>
                </c:pt>
                <c:pt idx="37">
                  <c:v>27.6</c:v>
                </c:pt>
                <c:pt idx="38">
                  <c:v>27.3</c:v>
                </c:pt>
                <c:pt idx="39">
                  <c:v>26.04</c:v>
                </c:pt>
                <c:pt idx="40">
                  <c:v>24.35</c:v>
                </c:pt>
                <c:pt idx="41">
                  <c:v>24.35</c:v>
                </c:pt>
                <c:pt idx="42">
                  <c:v>25.86</c:v>
                </c:pt>
                <c:pt idx="43">
                  <c:v>26.19</c:v>
                </c:pt>
                <c:pt idx="44">
                  <c:v>26.76</c:v>
                </c:pt>
                <c:pt idx="45">
                  <c:v>28.12</c:v>
                </c:pt>
                <c:pt idx="46">
                  <c:v>26.82</c:v>
                </c:pt>
                <c:pt idx="47">
                  <c:v>27.74</c:v>
                </c:pt>
                <c:pt idx="48">
                  <c:v>25.59</c:v>
                </c:pt>
                <c:pt idx="49">
                  <c:v>24.65</c:v>
                </c:pt>
                <c:pt idx="50">
                  <c:v>23.57</c:v>
                </c:pt>
                <c:pt idx="51">
                  <c:v>24.28</c:v>
                </c:pt>
                <c:pt idx="52">
                  <c:v>23.67</c:v>
                </c:pt>
                <c:pt idx="53">
                  <c:v>25.19</c:v>
                </c:pt>
                <c:pt idx="54">
                  <c:v>24.5</c:v>
                </c:pt>
                <c:pt idx="55">
                  <c:v>24.05</c:v>
                </c:pt>
                <c:pt idx="56">
                  <c:v>25.03</c:v>
                </c:pt>
                <c:pt idx="57">
                  <c:v>26.04</c:v>
                </c:pt>
                <c:pt idx="58">
                  <c:v>27.17</c:v>
                </c:pt>
                <c:pt idx="59">
                  <c:v>27.43</c:v>
                </c:pt>
                <c:pt idx="60">
                  <c:v>27.56</c:v>
                </c:pt>
                <c:pt idx="61">
                  <c:v>26.1</c:v>
                </c:pt>
                <c:pt idx="62">
                  <c:v>27.17</c:v>
                </c:pt>
                <c:pt idx="63">
                  <c:v>29.08</c:v>
                </c:pt>
                <c:pt idx="64">
                  <c:v>28.31</c:v>
                </c:pt>
                <c:pt idx="65">
                  <c:v>28.28</c:v>
                </c:pt>
                <c:pt idx="66">
                  <c:v>28.88</c:v>
                </c:pt>
                <c:pt idx="67">
                  <c:v>27.88</c:v>
                </c:pt>
                <c:pt idx="68">
                  <c:v>27.88</c:v>
                </c:pt>
                <c:pt idx="69">
                  <c:v>28.55</c:v>
                </c:pt>
                <c:pt idx="70">
                  <c:v>29.38</c:v>
                </c:pt>
                <c:pt idx="71">
                  <c:v>28.65</c:v>
                </c:pt>
                <c:pt idx="72">
                  <c:v>30.11</c:v>
                </c:pt>
                <c:pt idx="73">
                  <c:v>31.54</c:v>
                </c:pt>
                <c:pt idx="74">
                  <c:v>30.34</c:v>
                </c:pt>
                <c:pt idx="75">
                  <c:v>29.65</c:v>
                </c:pt>
                <c:pt idx="76">
                  <c:v>29.76</c:v>
                </c:pt>
                <c:pt idx="77">
                  <c:v>29.52</c:v>
                </c:pt>
                <c:pt idx="78">
                  <c:v>31.08</c:v>
                </c:pt>
                <c:pt idx="79">
                  <c:v>31.59</c:v>
                </c:pt>
                <c:pt idx="80">
                  <c:v>30.83</c:v>
                </c:pt>
                <c:pt idx="81">
                  <c:v>30.51</c:v>
                </c:pt>
                <c:pt idx="82">
                  <c:v>30.28</c:v>
                </c:pt>
                <c:pt idx="83">
                  <c:v>30.93</c:v>
                </c:pt>
                <c:pt idx="84">
                  <c:v>31.12</c:v>
                </c:pt>
                <c:pt idx="85">
                  <c:v>31.99</c:v>
                </c:pt>
                <c:pt idx="86">
                  <c:v>31.99</c:v>
                </c:pt>
                <c:pt idx="87">
                  <c:v>32.31</c:v>
                </c:pt>
                <c:pt idx="88">
                  <c:v>33.72</c:v>
                </c:pt>
                <c:pt idx="89">
                  <c:v>32.31</c:v>
                </c:pt>
                <c:pt idx="90">
                  <c:v>32.89</c:v>
                </c:pt>
                <c:pt idx="91">
                  <c:v>31.41</c:v>
                </c:pt>
                <c:pt idx="92">
                  <c:v>29.63</c:v>
                </c:pt>
                <c:pt idx="93">
                  <c:v>32.22</c:v>
                </c:pt>
                <c:pt idx="94">
                  <c:v>35.619999999999997</c:v>
                </c:pt>
                <c:pt idx="95">
                  <c:v>36.130000000000003</c:v>
                </c:pt>
                <c:pt idx="96">
                  <c:v>36.67</c:v>
                </c:pt>
                <c:pt idx="97">
                  <c:v>35.28</c:v>
                </c:pt>
                <c:pt idx="98">
                  <c:v>34.549999999999997</c:v>
                </c:pt>
                <c:pt idx="99">
                  <c:v>33.520000000000003</c:v>
                </c:pt>
                <c:pt idx="100">
                  <c:v>30.71</c:v>
                </c:pt>
                <c:pt idx="101">
                  <c:v>31.36</c:v>
                </c:pt>
                <c:pt idx="102">
                  <c:v>31.89</c:v>
                </c:pt>
                <c:pt idx="103">
                  <c:v>33.68</c:v>
                </c:pt>
                <c:pt idx="104">
                  <c:v>32.299999999999997</c:v>
                </c:pt>
                <c:pt idx="105">
                  <c:v>32.770000000000003</c:v>
                </c:pt>
                <c:pt idx="106">
                  <c:v>31.27</c:v>
                </c:pt>
                <c:pt idx="107">
                  <c:v>27.92</c:v>
                </c:pt>
                <c:pt idx="108">
                  <c:v>28.71</c:v>
                </c:pt>
                <c:pt idx="109">
                  <c:v>28.3</c:v>
                </c:pt>
                <c:pt idx="110">
                  <c:v>26.85</c:v>
                </c:pt>
                <c:pt idx="111">
                  <c:v>27.84</c:v>
                </c:pt>
                <c:pt idx="112">
                  <c:v>22.8</c:v>
                </c:pt>
                <c:pt idx="113">
                  <c:v>22.85</c:v>
                </c:pt>
                <c:pt idx="114">
                  <c:v>22.34</c:v>
                </c:pt>
                <c:pt idx="115">
                  <c:v>21.62</c:v>
                </c:pt>
                <c:pt idx="116">
                  <c:v>21.4</c:v>
                </c:pt>
                <c:pt idx="117">
                  <c:v>22.03</c:v>
                </c:pt>
                <c:pt idx="118">
                  <c:v>22.84</c:v>
                </c:pt>
                <c:pt idx="119">
                  <c:v>22.36</c:v>
                </c:pt>
                <c:pt idx="120">
                  <c:v>23.28</c:v>
                </c:pt>
                <c:pt idx="121">
                  <c:v>23.63</c:v>
                </c:pt>
                <c:pt idx="122">
                  <c:v>25.03</c:v>
                </c:pt>
                <c:pt idx="123">
                  <c:v>24.05</c:v>
                </c:pt>
                <c:pt idx="124">
                  <c:v>22.49</c:v>
                </c:pt>
                <c:pt idx="125">
                  <c:v>23</c:v>
                </c:pt>
                <c:pt idx="126">
                  <c:v>23.71</c:v>
                </c:pt>
                <c:pt idx="127">
                  <c:v>24.79</c:v>
                </c:pt>
                <c:pt idx="128">
                  <c:v>23.6</c:v>
                </c:pt>
                <c:pt idx="129">
                  <c:v>22.02</c:v>
                </c:pt>
                <c:pt idx="130">
                  <c:v>20.76</c:v>
                </c:pt>
                <c:pt idx="131">
                  <c:v>18.010000000000002</c:v>
                </c:pt>
                <c:pt idx="132">
                  <c:v>18.010000000000002</c:v>
                </c:pt>
                <c:pt idx="133">
                  <c:v>18.38</c:v>
                </c:pt>
                <c:pt idx="134">
                  <c:v>17.850000000000001</c:v>
                </c:pt>
                <c:pt idx="135">
                  <c:v>19.38</c:v>
                </c:pt>
                <c:pt idx="136">
                  <c:v>21.2</c:v>
                </c:pt>
                <c:pt idx="137">
                  <c:v>19.95</c:v>
                </c:pt>
                <c:pt idx="138">
                  <c:v>18.579999999999998</c:v>
                </c:pt>
                <c:pt idx="139">
                  <c:v>20.420000000000002</c:v>
                </c:pt>
                <c:pt idx="140">
                  <c:v>19.64</c:v>
                </c:pt>
                <c:pt idx="141">
                  <c:v>20.66</c:v>
                </c:pt>
                <c:pt idx="142">
                  <c:v>21.34</c:v>
                </c:pt>
                <c:pt idx="143">
                  <c:v>19.68</c:v>
                </c:pt>
                <c:pt idx="144">
                  <c:v>20.309999999999999</c:v>
                </c:pt>
                <c:pt idx="145">
                  <c:v>19.75</c:v>
                </c:pt>
                <c:pt idx="146">
                  <c:v>18.95</c:v>
                </c:pt>
                <c:pt idx="147">
                  <c:v>18.12</c:v>
                </c:pt>
                <c:pt idx="148">
                  <c:v>19</c:v>
                </c:pt>
                <c:pt idx="149">
                  <c:v>18.989999999999998</c:v>
                </c:pt>
                <c:pt idx="150">
                  <c:v>19.079999999999998</c:v>
                </c:pt>
              </c:numCache>
            </c:numRef>
          </c:val>
          <c:smooth val="0"/>
        </c:ser>
        <c:ser>
          <c:idx val="1"/>
          <c:order val="1"/>
          <c:tx>
            <c:strRef>
              <c:f>MOS!$D$72</c:f>
              <c:strCache>
                <c:ptCount val="1"/>
                <c:pt idx="0">
                  <c:v>mean cost</c:v>
                </c:pt>
              </c:strCache>
            </c:strRef>
          </c:tx>
          <c:spPr>
            <a:ln w="28575" cap="rnd">
              <a:solidFill>
                <a:schemeClr val="accent2"/>
              </a:solidFill>
              <a:round/>
            </a:ln>
            <a:effectLst/>
          </c:spPr>
          <c:marker>
            <c:symbol val="square"/>
            <c:size val="3"/>
            <c:spPr>
              <a:solidFill>
                <a:schemeClr val="accent2"/>
              </a:solidFill>
              <a:ln w="9525">
                <a:solidFill>
                  <a:schemeClr val="accent2"/>
                </a:solidFill>
              </a:ln>
              <a:effectLst/>
            </c:spPr>
          </c:marker>
          <c:cat>
            <c:numRef>
              <c:f>MOS!$B$73:$B$228</c:f>
              <c:numCache>
                <c:formatCode>d\-mmm</c:formatCode>
                <c:ptCount val="156"/>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pt idx="122">
                  <c:v>43644</c:v>
                </c:pt>
                <c:pt idx="123">
                  <c:v>43654</c:v>
                </c:pt>
                <c:pt idx="124">
                  <c:v>43657</c:v>
                </c:pt>
                <c:pt idx="125">
                  <c:v>43660</c:v>
                </c:pt>
                <c:pt idx="126">
                  <c:v>43662</c:v>
                </c:pt>
                <c:pt idx="127">
                  <c:v>43669</c:v>
                </c:pt>
                <c:pt idx="128">
                  <c:v>43682</c:v>
                </c:pt>
                <c:pt idx="129">
                  <c:v>43683</c:v>
                </c:pt>
                <c:pt idx="130">
                  <c:v>43689</c:v>
                </c:pt>
                <c:pt idx="131">
                  <c:v>43702</c:v>
                </c:pt>
                <c:pt idx="132">
                  <c:v>43702</c:v>
                </c:pt>
                <c:pt idx="133">
                  <c:v>43706</c:v>
                </c:pt>
                <c:pt idx="134">
                  <c:v>43711</c:v>
                </c:pt>
                <c:pt idx="135">
                  <c:v>43713</c:v>
                </c:pt>
                <c:pt idx="136">
                  <c:v>43718</c:v>
                </c:pt>
                <c:pt idx="137">
                  <c:v>43734</c:v>
                </c:pt>
                <c:pt idx="138">
                  <c:v>43746</c:v>
                </c:pt>
                <c:pt idx="139">
                  <c:v>43749</c:v>
                </c:pt>
                <c:pt idx="140">
                  <c:v>43755</c:v>
                </c:pt>
                <c:pt idx="141">
                  <c:v>43772</c:v>
                </c:pt>
                <c:pt idx="142">
                  <c:v>43773</c:v>
                </c:pt>
                <c:pt idx="143">
                  <c:v>43782</c:v>
                </c:pt>
                <c:pt idx="144">
                  <c:v>43783</c:v>
                </c:pt>
                <c:pt idx="145">
                  <c:v>43785</c:v>
                </c:pt>
                <c:pt idx="146">
                  <c:v>43788</c:v>
                </c:pt>
                <c:pt idx="147">
                  <c:v>43789</c:v>
                </c:pt>
                <c:pt idx="148">
                  <c:v>43797</c:v>
                </c:pt>
                <c:pt idx="149">
                  <c:v>43801</c:v>
                </c:pt>
                <c:pt idx="150">
                  <c:v>43805</c:v>
                </c:pt>
              </c:numCache>
            </c:numRef>
          </c:cat>
          <c:val>
            <c:numRef>
              <c:f>MOS!$D$73:$D$228</c:f>
              <c:numCache>
                <c:formatCode>0.00</c:formatCode>
                <c:ptCount val="156"/>
                <c:pt idx="0">
                  <c:v>27.58</c:v>
                </c:pt>
                <c:pt idx="1">
                  <c:v>27.180700000000002</c:v>
                </c:pt>
                <c:pt idx="2">
                  <c:v>31.18</c:v>
                </c:pt>
                <c:pt idx="3">
                  <c:v>31.18</c:v>
                </c:pt>
                <c:pt idx="4">
                  <c:v>31.18</c:v>
                </c:pt>
                <c:pt idx="5">
                  <c:v>29.83</c:v>
                </c:pt>
                <c:pt idx="6">
                  <c:v>30.750599999999999</c:v>
                </c:pt>
                <c:pt idx="7">
                  <c:v>30.4756</c:v>
                </c:pt>
                <c:pt idx="8">
                  <c:v>29.412800000000001</c:v>
                </c:pt>
                <c:pt idx="9">
                  <c:v>27.9452</c:v>
                </c:pt>
                <c:pt idx="10">
                  <c:v>26.953900000000001</c:v>
                </c:pt>
                <c:pt idx="11">
                  <c:v>26.953900000000001</c:v>
                </c:pt>
                <c:pt idx="12">
                  <c:v>25.63</c:v>
                </c:pt>
                <c:pt idx="13">
                  <c:v>26.354199999999999</c:v>
                </c:pt>
                <c:pt idx="14">
                  <c:v>25.296099999999999</c:v>
                </c:pt>
                <c:pt idx="15">
                  <c:v>25.146100000000001</c:v>
                </c:pt>
                <c:pt idx="16">
                  <c:v>25.644500000000001</c:v>
                </c:pt>
                <c:pt idx="17">
                  <c:v>24.86</c:v>
                </c:pt>
                <c:pt idx="18">
                  <c:v>24.794799999999999</c:v>
                </c:pt>
                <c:pt idx="19">
                  <c:v>24.623000000000001</c:v>
                </c:pt>
                <c:pt idx="20">
                  <c:v>24.087399999999999</c:v>
                </c:pt>
                <c:pt idx="21">
                  <c:v>23.59</c:v>
                </c:pt>
                <c:pt idx="22">
                  <c:v>24.0657</c:v>
                </c:pt>
                <c:pt idx="23">
                  <c:v>24.0657</c:v>
                </c:pt>
                <c:pt idx="24">
                  <c:v>23.896999999999998</c:v>
                </c:pt>
                <c:pt idx="25">
                  <c:v>23.9</c:v>
                </c:pt>
                <c:pt idx="26">
                  <c:v>23.9</c:v>
                </c:pt>
                <c:pt idx="27">
                  <c:v>23.9</c:v>
                </c:pt>
                <c:pt idx="28">
                  <c:v>23.4815</c:v>
                </c:pt>
                <c:pt idx="29">
                  <c:v>23.4815</c:v>
                </c:pt>
                <c:pt idx="30">
                  <c:v>23.29</c:v>
                </c:pt>
                <c:pt idx="31">
                  <c:v>22.85</c:v>
                </c:pt>
                <c:pt idx="32">
                  <c:v>22.8508</c:v>
                </c:pt>
                <c:pt idx="33">
                  <c:v>22.8508</c:v>
                </c:pt>
                <c:pt idx="34">
                  <c:v>23.176200000000001</c:v>
                </c:pt>
                <c:pt idx="35">
                  <c:v>22.763300000000001</c:v>
                </c:pt>
                <c:pt idx="36">
                  <c:v>22.76</c:v>
                </c:pt>
                <c:pt idx="37">
                  <c:v>21.144600000000001</c:v>
                </c:pt>
                <c:pt idx="38">
                  <c:v>22.578499999999998</c:v>
                </c:pt>
                <c:pt idx="39">
                  <c:v>23.68</c:v>
                </c:pt>
                <c:pt idx="40">
                  <c:v>23.654199999999999</c:v>
                </c:pt>
                <c:pt idx="41">
                  <c:v>23.379200000000001</c:v>
                </c:pt>
                <c:pt idx="42">
                  <c:v>23.38</c:v>
                </c:pt>
                <c:pt idx="43">
                  <c:v>22.82</c:v>
                </c:pt>
                <c:pt idx="44">
                  <c:v>21.81</c:v>
                </c:pt>
                <c:pt idx="45">
                  <c:v>21.81</c:v>
                </c:pt>
                <c:pt idx="46">
                  <c:v>21.81</c:v>
                </c:pt>
                <c:pt idx="47">
                  <c:v>21.81</c:v>
                </c:pt>
                <c:pt idx="48">
                  <c:v>22.95</c:v>
                </c:pt>
                <c:pt idx="49">
                  <c:v>22.95</c:v>
                </c:pt>
                <c:pt idx="50">
                  <c:v>23.1145</c:v>
                </c:pt>
                <c:pt idx="51">
                  <c:v>22.732900000000001</c:v>
                </c:pt>
                <c:pt idx="52">
                  <c:v>22.97</c:v>
                </c:pt>
                <c:pt idx="53">
                  <c:v>22.21</c:v>
                </c:pt>
                <c:pt idx="54">
                  <c:v>22.54</c:v>
                </c:pt>
                <c:pt idx="55">
                  <c:v>22.725999999999999</c:v>
                </c:pt>
                <c:pt idx="56">
                  <c:v>21.895</c:v>
                </c:pt>
                <c:pt idx="57">
                  <c:v>21.895</c:v>
                </c:pt>
                <c:pt idx="58">
                  <c:v>21.895</c:v>
                </c:pt>
                <c:pt idx="59">
                  <c:v>19.053000000000001</c:v>
                </c:pt>
                <c:pt idx="60">
                  <c:v>20.6462</c:v>
                </c:pt>
                <c:pt idx="61">
                  <c:v>21.5518</c:v>
                </c:pt>
                <c:pt idx="62">
                  <c:v>18.6431</c:v>
                </c:pt>
                <c:pt idx="63">
                  <c:v>8.5065000000000008</c:v>
                </c:pt>
                <c:pt idx="64">
                  <c:v>18.353300000000001</c:v>
                </c:pt>
                <c:pt idx="65">
                  <c:v>18.328299999999999</c:v>
                </c:pt>
                <c:pt idx="66">
                  <c:v>14.7445</c:v>
                </c:pt>
                <c:pt idx="67">
                  <c:v>18.11</c:v>
                </c:pt>
                <c:pt idx="68">
                  <c:v>20.059999999999999</c:v>
                </c:pt>
                <c:pt idx="69">
                  <c:v>17.940999999999999</c:v>
                </c:pt>
                <c:pt idx="70">
                  <c:v>6.5023</c:v>
                </c:pt>
                <c:pt idx="71">
                  <c:v>17.576000000000001</c:v>
                </c:pt>
                <c:pt idx="72">
                  <c:v>17.579999999999998</c:v>
                </c:pt>
                <c:pt idx="73">
                  <c:v>17.579999999999998</c:v>
                </c:pt>
                <c:pt idx="74">
                  <c:v>17.579999999999998</c:v>
                </c:pt>
                <c:pt idx="75">
                  <c:v>21.643999999999998</c:v>
                </c:pt>
                <c:pt idx="76">
                  <c:v>21.64</c:v>
                </c:pt>
                <c:pt idx="77">
                  <c:v>21.64</c:v>
                </c:pt>
                <c:pt idx="78">
                  <c:v>16.925999999999998</c:v>
                </c:pt>
                <c:pt idx="79">
                  <c:v>16.93</c:v>
                </c:pt>
                <c:pt idx="80">
                  <c:v>16.93</c:v>
                </c:pt>
                <c:pt idx="81">
                  <c:v>22.563600000000001</c:v>
                </c:pt>
                <c:pt idx="82">
                  <c:v>22.563600000000001</c:v>
                </c:pt>
                <c:pt idx="83">
                  <c:v>22.563600000000001</c:v>
                </c:pt>
                <c:pt idx="84">
                  <c:v>22.563600000000001</c:v>
                </c:pt>
                <c:pt idx="85">
                  <c:v>18.845300000000002</c:v>
                </c:pt>
                <c:pt idx="86">
                  <c:v>9.8224</c:v>
                </c:pt>
                <c:pt idx="87">
                  <c:v>9.7889999999999997</c:v>
                </c:pt>
                <c:pt idx="88">
                  <c:v>-38.192</c:v>
                </c:pt>
                <c:pt idx="89">
                  <c:v>18.361599999999999</c:v>
                </c:pt>
                <c:pt idx="90">
                  <c:v>18.361599999999999</c:v>
                </c:pt>
                <c:pt idx="91">
                  <c:v>20.454699999999999</c:v>
                </c:pt>
                <c:pt idx="92">
                  <c:v>20.45</c:v>
                </c:pt>
                <c:pt idx="93">
                  <c:v>17.785699999999999</c:v>
                </c:pt>
                <c:pt idx="94">
                  <c:v>17.79</c:v>
                </c:pt>
                <c:pt idx="95">
                  <c:v>17.79</c:v>
                </c:pt>
                <c:pt idx="96">
                  <c:v>5.1965000000000003</c:v>
                </c:pt>
                <c:pt idx="97">
                  <c:v>12.71</c:v>
                </c:pt>
                <c:pt idx="98">
                  <c:v>16.867899999999999</c:v>
                </c:pt>
                <c:pt idx="99">
                  <c:v>16.87</c:v>
                </c:pt>
                <c:pt idx="100">
                  <c:v>19.206600000000002</c:v>
                </c:pt>
                <c:pt idx="101">
                  <c:v>16.774000000000001</c:v>
                </c:pt>
                <c:pt idx="102">
                  <c:v>16.77</c:v>
                </c:pt>
                <c:pt idx="103">
                  <c:v>-8.5844000000000005</c:v>
                </c:pt>
                <c:pt idx="104">
                  <c:v>5.0037000000000003</c:v>
                </c:pt>
                <c:pt idx="105">
                  <c:v>-9.0841999999999992</c:v>
                </c:pt>
                <c:pt idx="106">
                  <c:v>4.3438999999999997</c:v>
                </c:pt>
                <c:pt idx="107">
                  <c:v>10.277900000000001</c:v>
                </c:pt>
                <c:pt idx="108">
                  <c:v>10.28</c:v>
                </c:pt>
                <c:pt idx="109">
                  <c:v>10.2591</c:v>
                </c:pt>
                <c:pt idx="110">
                  <c:v>15.904400000000001</c:v>
                </c:pt>
                <c:pt idx="111">
                  <c:v>9.9367999999999999</c:v>
                </c:pt>
                <c:pt idx="112">
                  <c:v>9.94</c:v>
                </c:pt>
                <c:pt idx="113">
                  <c:v>12.333</c:v>
                </c:pt>
                <c:pt idx="114">
                  <c:v>16.1554</c:v>
                </c:pt>
                <c:pt idx="115">
                  <c:v>16.767900000000001</c:v>
                </c:pt>
                <c:pt idx="116">
                  <c:v>16.77</c:v>
                </c:pt>
                <c:pt idx="117">
                  <c:v>16.079000000000001</c:v>
                </c:pt>
                <c:pt idx="118">
                  <c:v>15.113</c:v>
                </c:pt>
                <c:pt idx="119">
                  <c:v>16.03</c:v>
                </c:pt>
                <c:pt idx="120">
                  <c:v>13.605499999999999</c:v>
                </c:pt>
                <c:pt idx="121">
                  <c:v>13.54</c:v>
                </c:pt>
                <c:pt idx="122">
                  <c:v>7.7934000000000001</c:v>
                </c:pt>
                <c:pt idx="123">
                  <c:v>13.228899999999999</c:v>
                </c:pt>
                <c:pt idx="124">
                  <c:v>15.6</c:v>
                </c:pt>
                <c:pt idx="125">
                  <c:v>15.6</c:v>
                </c:pt>
                <c:pt idx="126">
                  <c:v>12.9</c:v>
                </c:pt>
                <c:pt idx="127">
                  <c:v>6.9640000000000004</c:v>
                </c:pt>
                <c:pt idx="128">
                  <c:v>10.2471</c:v>
                </c:pt>
                <c:pt idx="129">
                  <c:v>12.07</c:v>
                </c:pt>
                <c:pt idx="130">
                  <c:v>13.33</c:v>
                </c:pt>
                <c:pt idx="131">
                  <c:v>14.012</c:v>
                </c:pt>
                <c:pt idx="132">
                  <c:v>14.83</c:v>
                </c:pt>
                <c:pt idx="133">
                  <c:v>13.862</c:v>
                </c:pt>
                <c:pt idx="134">
                  <c:v>14.305199999999999</c:v>
                </c:pt>
                <c:pt idx="135">
                  <c:v>12.9125</c:v>
                </c:pt>
                <c:pt idx="136">
                  <c:v>9.6</c:v>
                </c:pt>
                <c:pt idx="137">
                  <c:v>11.2263</c:v>
                </c:pt>
                <c:pt idx="138">
                  <c:v>13.064</c:v>
                </c:pt>
                <c:pt idx="139">
                  <c:v>8.65</c:v>
                </c:pt>
                <c:pt idx="140">
                  <c:v>10.5</c:v>
                </c:pt>
                <c:pt idx="141">
                  <c:v>10.5</c:v>
                </c:pt>
                <c:pt idx="142">
                  <c:v>8.3610000000000007</c:v>
                </c:pt>
                <c:pt idx="143">
                  <c:v>10.2675</c:v>
                </c:pt>
                <c:pt idx="144">
                  <c:v>8.2579999999999991</c:v>
                </c:pt>
                <c:pt idx="145">
                  <c:v>10.177</c:v>
                </c:pt>
                <c:pt idx="146">
                  <c:v>12.4069</c:v>
                </c:pt>
                <c:pt idx="147">
                  <c:v>13.59</c:v>
                </c:pt>
                <c:pt idx="148">
                  <c:v>13.59</c:v>
                </c:pt>
                <c:pt idx="149">
                  <c:v>12.151999999999999</c:v>
                </c:pt>
                <c:pt idx="150">
                  <c:v>9.843</c:v>
                </c:pt>
              </c:numCache>
            </c:numRef>
          </c:val>
          <c:smooth val="0"/>
        </c:ser>
        <c:dLbls>
          <c:showLegendKey val="0"/>
          <c:showVal val="0"/>
          <c:showCatName val="0"/>
          <c:showSerName val="0"/>
          <c:showPercent val="0"/>
          <c:showBubbleSize val="0"/>
        </c:dLbls>
        <c:marker val="1"/>
        <c:smooth val="0"/>
        <c:axId val="413511624"/>
        <c:axId val="413512408"/>
      </c:lineChart>
      <c:dateAx>
        <c:axId val="41351162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3512408"/>
        <c:crosses val="autoZero"/>
        <c:auto val="1"/>
        <c:lblOffset val="100"/>
        <c:baseTimeUnit val="days"/>
      </c:dateAx>
      <c:valAx>
        <c:axId val="413512408"/>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351162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MOS!$K$72</c:f>
              <c:strCache>
                <c:ptCount val="1"/>
                <c:pt idx="0">
                  <c:v>Total PL</c:v>
                </c:pt>
              </c:strCache>
            </c:strRef>
          </c:tx>
          <c:spPr>
            <a:ln w="28575" cap="rnd">
              <a:solidFill>
                <a:srgbClr val="00B050"/>
              </a:solidFill>
              <a:round/>
            </a:ln>
            <a:effectLst/>
          </c:spPr>
          <c:marker>
            <c:symbol val="square"/>
            <c:size val="3"/>
            <c:spPr>
              <a:solidFill>
                <a:schemeClr val="accent2"/>
              </a:solidFill>
              <a:ln w="9525">
                <a:solidFill>
                  <a:schemeClr val="accent2"/>
                </a:solidFill>
              </a:ln>
              <a:effectLst/>
            </c:spPr>
          </c:marker>
          <c:cat>
            <c:numRef>
              <c:f>MOS!$B$73:$B$228</c:f>
              <c:numCache>
                <c:formatCode>d\-mmm</c:formatCode>
                <c:ptCount val="156"/>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pt idx="122">
                  <c:v>43644</c:v>
                </c:pt>
                <c:pt idx="123">
                  <c:v>43654</c:v>
                </c:pt>
                <c:pt idx="124">
                  <c:v>43657</c:v>
                </c:pt>
                <c:pt idx="125">
                  <c:v>43660</c:v>
                </c:pt>
                <c:pt idx="126">
                  <c:v>43662</c:v>
                </c:pt>
                <c:pt idx="127">
                  <c:v>43669</c:v>
                </c:pt>
                <c:pt idx="128">
                  <c:v>43682</c:v>
                </c:pt>
                <c:pt idx="129">
                  <c:v>43683</c:v>
                </c:pt>
                <c:pt idx="130">
                  <c:v>43689</c:v>
                </c:pt>
                <c:pt idx="131">
                  <c:v>43702</c:v>
                </c:pt>
                <c:pt idx="132">
                  <c:v>43702</c:v>
                </c:pt>
                <c:pt idx="133">
                  <c:v>43706</c:v>
                </c:pt>
                <c:pt idx="134">
                  <c:v>43711</c:v>
                </c:pt>
                <c:pt idx="135">
                  <c:v>43713</c:v>
                </c:pt>
                <c:pt idx="136">
                  <c:v>43718</c:v>
                </c:pt>
                <c:pt idx="137">
                  <c:v>43734</c:v>
                </c:pt>
                <c:pt idx="138">
                  <c:v>43746</c:v>
                </c:pt>
                <c:pt idx="139">
                  <c:v>43749</c:v>
                </c:pt>
                <c:pt idx="140">
                  <c:v>43755</c:v>
                </c:pt>
                <c:pt idx="141">
                  <c:v>43772</c:v>
                </c:pt>
                <c:pt idx="142">
                  <c:v>43773</c:v>
                </c:pt>
                <c:pt idx="143">
                  <c:v>43782</c:v>
                </c:pt>
                <c:pt idx="144">
                  <c:v>43783</c:v>
                </c:pt>
                <c:pt idx="145">
                  <c:v>43785</c:v>
                </c:pt>
                <c:pt idx="146">
                  <c:v>43788</c:v>
                </c:pt>
                <c:pt idx="147">
                  <c:v>43789</c:v>
                </c:pt>
                <c:pt idx="148">
                  <c:v>43797</c:v>
                </c:pt>
                <c:pt idx="149">
                  <c:v>43801</c:v>
                </c:pt>
                <c:pt idx="150">
                  <c:v>43805</c:v>
                </c:pt>
              </c:numCache>
            </c:numRef>
          </c:cat>
          <c:val>
            <c:numRef>
              <c:f>MOS!$K$73:$K$228</c:f>
              <c:numCache>
                <c:formatCode>0.00</c:formatCode>
                <c:ptCount val="156"/>
                <c:pt idx="5">
                  <c:v>1207</c:v>
                </c:pt>
                <c:pt idx="6">
                  <c:v>1291</c:v>
                </c:pt>
                <c:pt idx="7">
                  <c:v>1321</c:v>
                </c:pt>
                <c:pt idx="8">
                  <c:v>1308</c:v>
                </c:pt>
                <c:pt idx="9">
                  <c:v>554</c:v>
                </c:pt>
                <c:pt idx="11">
                  <c:v>50</c:v>
                </c:pt>
                <c:pt idx="12">
                  <c:v>-179</c:v>
                </c:pt>
                <c:pt idx="13">
                  <c:v>331</c:v>
                </c:pt>
                <c:pt idx="14">
                  <c:v>-81.41</c:v>
                </c:pt>
                <c:pt idx="15">
                  <c:v>-9.41</c:v>
                </c:pt>
                <c:pt idx="16">
                  <c:v>836</c:v>
                </c:pt>
                <c:pt idx="17">
                  <c:v>1066</c:v>
                </c:pt>
                <c:pt idx="18">
                  <c:v>1222</c:v>
                </c:pt>
                <c:pt idx="19">
                  <c:v>838</c:v>
                </c:pt>
                <c:pt idx="20">
                  <c:v>430</c:v>
                </c:pt>
                <c:pt idx="21">
                  <c:v>-2264</c:v>
                </c:pt>
                <c:pt idx="22">
                  <c:v>-2128</c:v>
                </c:pt>
                <c:pt idx="23">
                  <c:v>-752</c:v>
                </c:pt>
                <c:pt idx="24">
                  <c:v>-393</c:v>
                </c:pt>
                <c:pt idx="25">
                  <c:v>-241</c:v>
                </c:pt>
                <c:pt idx="26">
                  <c:v>-841</c:v>
                </c:pt>
                <c:pt idx="27">
                  <c:v>607</c:v>
                </c:pt>
                <c:pt idx="28">
                  <c:v>1907</c:v>
                </c:pt>
                <c:pt idx="29">
                  <c:v>2121</c:v>
                </c:pt>
                <c:pt idx="30">
                  <c:v>2324</c:v>
                </c:pt>
                <c:pt idx="31">
                  <c:v>2972</c:v>
                </c:pt>
                <c:pt idx="32">
                  <c:v>2676</c:v>
                </c:pt>
                <c:pt idx="33">
                  <c:v>3120</c:v>
                </c:pt>
                <c:pt idx="34">
                  <c:v>2579</c:v>
                </c:pt>
                <c:pt idx="35">
                  <c:v>2835</c:v>
                </c:pt>
                <c:pt idx="36">
                  <c:v>2959</c:v>
                </c:pt>
                <c:pt idx="37">
                  <c:v>3389</c:v>
                </c:pt>
                <c:pt idx="38">
                  <c:v>3341</c:v>
                </c:pt>
                <c:pt idx="39">
                  <c:v>2869</c:v>
                </c:pt>
                <c:pt idx="40">
                  <c:v>2032</c:v>
                </c:pt>
                <c:pt idx="41">
                  <c:v>2035</c:v>
                </c:pt>
                <c:pt idx="42">
                  <c:v>2941</c:v>
                </c:pt>
                <c:pt idx="43">
                  <c:v>3139</c:v>
                </c:pt>
                <c:pt idx="44">
                  <c:v>3433</c:v>
                </c:pt>
                <c:pt idx="45">
                  <c:v>3996</c:v>
                </c:pt>
                <c:pt idx="46">
                  <c:v>3457</c:v>
                </c:pt>
                <c:pt idx="47">
                  <c:v>3825</c:v>
                </c:pt>
                <c:pt idx="48">
                  <c:v>2851</c:v>
                </c:pt>
                <c:pt idx="49">
                  <c:v>2474</c:v>
                </c:pt>
                <c:pt idx="50">
                  <c:v>1817</c:v>
                </c:pt>
                <c:pt idx="51">
                  <c:v>2380</c:v>
                </c:pt>
                <c:pt idx="52">
                  <c:v>2012</c:v>
                </c:pt>
                <c:pt idx="53">
                  <c:v>3240</c:v>
                </c:pt>
                <c:pt idx="54">
                  <c:v>2826</c:v>
                </c:pt>
                <c:pt idx="55">
                  <c:v>2511</c:v>
                </c:pt>
                <c:pt idx="56">
                  <c:v>3333</c:v>
                </c:pt>
                <c:pt idx="57">
                  <c:v>3939</c:v>
                </c:pt>
                <c:pt idx="58">
                  <c:v>4617</c:v>
                </c:pt>
                <c:pt idx="59">
                  <c:v>4803</c:v>
                </c:pt>
                <c:pt idx="60">
                  <c:v>4909</c:v>
                </c:pt>
                <c:pt idx="61">
                  <c:v>4181</c:v>
                </c:pt>
                <c:pt idx="62">
                  <c:v>4863</c:v>
                </c:pt>
                <c:pt idx="63">
                  <c:v>5567</c:v>
                </c:pt>
                <c:pt idx="64">
                  <c:v>5435</c:v>
                </c:pt>
                <c:pt idx="65">
                  <c:v>5432.94</c:v>
                </c:pt>
                <c:pt idx="66">
                  <c:v>5692.909999999998</c:v>
                </c:pt>
                <c:pt idx="67">
                  <c:v>5360.2599999999984</c:v>
                </c:pt>
                <c:pt idx="68">
                  <c:v>5362.2599999999984</c:v>
                </c:pt>
                <c:pt idx="69">
                  <c:v>5695.8599999999988</c:v>
                </c:pt>
                <c:pt idx="70">
                  <c:v>6027.7999999999975</c:v>
                </c:pt>
                <c:pt idx="71">
                  <c:v>5881.8599999999979</c:v>
                </c:pt>
                <c:pt idx="72">
                  <c:v>6464.2599999999984</c:v>
                </c:pt>
                <c:pt idx="73">
                  <c:v>7036.2599999999984</c:v>
                </c:pt>
                <c:pt idx="74">
                  <c:v>6556.2599999999993</c:v>
                </c:pt>
                <c:pt idx="75">
                  <c:v>6255.8599999999988</c:v>
                </c:pt>
                <c:pt idx="76">
                  <c:v>6324.2599999999993</c:v>
                </c:pt>
                <c:pt idx="77">
                  <c:v>6180.2599999999975</c:v>
                </c:pt>
                <c:pt idx="78">
                  <c:v>7113.8599999999988</c:v>
                </c:pt>
                <c:pt idx="79">
                  <c:v>7316.2599999999984</c:v>
                </c:pt>
                <c:pt idx="80">
                  <c:v>7012.2599999999975</c:v>
                </c:pt>
                <c:pt idx="81">
                  <c:v>7014.7399999999989</c:v>
                </c:pt>
                <c:pt idx="82">
                  <c:v>6853.7399999999989</c:v>
                </c:pt>
                <c:pt idx="83">
                  <c:v>7308.739999999998</c:v>
                </c:pt>
                <c:pt idx="84">
                  <c:v>7441.739999999998</c:v>
                </c:pt>
                <c:pt idx="85">
                  <c:v>8024.6099999999969</c:v>
                </c:pt>
                <c:pt idx="86">
                  <c:v>8102.5399999999981</c:v>
                </c:pt>
                <c:pt idx="87">
                  <c:v>8208.5599999999977</c:v>
                </c:pt>
                <c:pt idx="88">
                  <c:v>8643.4599999999991</c:v>
                </c:pt>
                <c:pt idx="89">
                  <c:v>8426.4599999999991</c:v>
                </c:pt>
                <c:pt idx="90">
                  <c:v>8716.4599999999991</c:v>
                </c:pt>
                <c:pt idx="91">
                  <c:v>8025.4399999999987</c:v>
                </c:pt>
                <c:pt idx="92">
                  <c:v>6960.2599999999984</c:v>
                </c:pt>
                <c:pt idx="93">
                  <c:v>8669.41</c:v>
                </c:pt>
                <c:pt idx="94">
                  <c:v>10367.259999999998</c:v>
                </c:pt>
                <c:pt idx="95">
                  <c:v>10622.26</c:v>
                </c:pt>
                <c:pt idx="96">
                  <c:v>10894.31</c:v>
                </c:pt>
                <c:pt idx="97">
                  <c:v>10480.259999999998</c:v>
                </c:pt>
                <c:pt idx="98">
                  <c:v>10293.309999999998</c:v>
                </c:pt>
                <c:pt idx="99">
                  <c:v>9777.26</c:v>
                </c:pt>
                <c:pt idx="100">
                  <c:v>8354.2999999999975</c:v>
                </c:pt>
                <c:pt idx="101">
                  <c:v>8745.2599999999984</c:v>
                </c:pt>
                <c:pt idx="102">
                  <c:v>9012.2599999999984</c:v>
                </c:pt>
                <c:pt idx="103">
                  <c:v>9905.14</c:v>
                </c:pt>
                <c:pt idx="104">
                  <c:v>9641.1499999999978</c:v>
                </c:pt>
                <c:pt idx="105">
                  <c:v>9823.1</c:v>
                </c:pt>
                <c:pt idx="106">
                  <c:v>9530.0899999999965</c:v>
                </c:pt>
                <c:pt idx="107">
                  <c:v>8509.0999999999985</c:v>
                </c:pt>
                <c:pt idx="108">
                  <c:v>8824.2599999999984</c:v>
                </c:pt>
                <c:pt idx="109">
                  <c:v>8668.619999999999</c:v>
                </c:pt>
                <c:pt idx="110">
                  <c:v>8019.619999999999</c:v>
                </c:pt>
                <c:pt idx="111">
                  <c:v>8613.5399999999972</c:v>
                </c:pt>
                <c:pt idx="112">
                  <c:v>6596.2599999999993</c:v>
                </c:pt>
                <c:pt idx="113">
                  <c:v>6647.6579999999994</c:v>
                </c:pt>
                <c:pt idx="114">
                  <c:v>6387.5707999999977</c:v>
                </c:pt>
                <c:pt idx="115">
                  <c:v>5819.1499999999987</c:v>
                </c:pt>
                <c:pt idx="116">
                  <c:v>5619.2599999999975</c:v>
                </c:pt>
                <c:pt idx="117">
                  <c:v>6213.0599999999986</c:v>
                </c:pt>
                <c:pt idx="118">
                  <c:v>6861.1599999999989</c:v>
                </c:pt>
                <c:pt idx="119">
                  <c:v>6516.2599999999966</c:v>
                </c:pt>
                <c:pt idx="120">
                  <c:v>7256.9599999999991</c:v>
                </c:pt>
                <c:pt idx="121">
                  <c:v>7506.2599999999984</c:v>
                </c:pt>
                <c:pt idx="122">
                  <c:v>8346.9</c:v>
                </c:pt>
                <c:pt idx="123">
                  <c:v>7944.9199999999992</c:v>
                </c:pt>
                <c:pt idx="124">
                  <c:v>6964.2599999999975</c:v>
                </c:pt>
                <c:pt idx="125">
                  <c:v>7372.2599999999984</c:v>
                </c:pt>
                <c:pt idx="126">
                  <c:v>7938.2599999999984</c:v>
                </c:pt>
                <c:pt idx="127">
                  <c:v>8582.66</c:v>
                </c:pt>
                <c:pt idx="128">
                  <c:v>8128.7099999999991</c:v>
                </c:pt>
                <c:pt idx="129">
                  <c:v>7422.2599999999984</c:v>
                </c:pt>
                <c:pt idx="130">
                  <c:v>6653.2599999999993</c:v>
                </c:pt>
                <c:pt idx="131">
                  <c:v>4650.66</c:v>
                </c:pt>
                <c:pt idx="132">
                  <c:v>4632.26</c:v>
                </c:pt>
                <c:pt idx="133">
                  <c:v>5066.659999999998</c:v>
                </c:pt>
                <c:pt idx="134">
                  <c:v>4642.58</c:v>
                </c:pt>
                <c:pt idx="135">
                  <c:v>5979.5099999999984</c:v>
                </c:pt>
                <c:pt idx="136">
                  <c:v>7252.2599999999984</c:v>
                </c:pt>
                <c:pt idx="137">
                  <c:v>6686.4799999999977</c:v>
                </c:pt>
                <c:pt idx="138">
                  <c:v>5865.0599999999968</c:v>
                </c:pt>
                <c:pt idx="139">
                  <c:v>7337.2599999999993</c:v>
                </c:pt>
                <c:pt idx="140">
                  <c:v>6936.2599999999984</c:v>
                </c:pt>
                <c:pt idx="141">
                  <c:v>7548.2599999999984</c:v>
                </c:pt>
                <c:pt idx="142">
                  <c:v>7941.7599999999984</c:v>
                </c:pt>
                <c:pt idx="143">
                  <c:v>7099.7599999999984</c:v>
                </c:pt>
                <c:pt idx="144">
                  <c:v>7478.2599999999984</c:v>
                </c:pt>
                <c:pt idx="145">
                  <c:v>7196.0599999999986</c:v>
                </c:pt>
                <c:pt idx="146">
                  <c:v>6686.739999999998</c:v>
                </c:pt>
                <c:pt idx="147">
                  <c:v>5982.2599999999993</c:v>
                </c:pt>
                <c:pt idx="148">
                  <c:v>6862.2599999999984</c:v>
                </c:pt>
                <c:pt idx="149">
                  <c:v>6922.659999999998</c:v>
                </c:pt>
                <c:pt idx="150">
                  <c:v>6994.4599999999973</c:v>
                </c:pt>
              </c:numCache>
            </c:numRef>
          </c:val>
          <c:smooth val="0"/>
        </c:ser>
        <c:dLbls>
          <c:showLegendKey val="0"/>
          <c:showVal val="0"/>
          <c:showCatName val="0"/>
          <c:showSerName val="0"/>
          <c:showPercent val="0"/>
          <c:showBubbleSize val="0"/>
        </c:dLbls>
        <c:marker val="1"/>
        <c:smooth val="0"/>
        <c:axId val="418609904"/>
        <c:axId val="418606376"/>
      </c:lineChart>
      <c:dateAx>
        <c:axId val="41860990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8606376"/>
        <c:crosses val="autoZero"/>
        <c:auto val="1"/>
        <c:lblOffset val="100"/>
        <c:baseTimeUnit val="days"/>
      </c:dateAx>
      <c:valAx>
        <c:axId val="41860637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86099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MRO</a:t>
            </a:r>
          </a:p>
          <a:p>
            <a:pPr>
              <a:defRPr/>
            </a:pP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MRO!$D$162</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chemeClr val="accent1">
                    <a:lumMod val="75000"/>
                  </a:schemeClr>
                </a:solidFill>
              </a:ln>
              <a:effectLst/>
            </c:spPr>
          </c:marker>
          <c:cat>
            <c:numRef>
              <c:f>MRO!$B$163:$B$443</c:f>
              <c:numCache>
                <c:formatCode>m/d/yyyy</c:formatCode>
                <c:ptCount val="281"/>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pt idx="250">
                  <c:v>43670</c:v>
                </c:pt>
                <c:pt idx="251">
                  <c:v>43676</c:v>
                </c:pt>
                <c:pt idx="252">
                  <c:v>43678</c:v>
                </c:pt>
                <c:pt idx="253">
                  <c:v>43679</c:v>
                </c:pt>
                <c:pt idx="254">
                  <c:v>43682</c:v>
                </c:pt>
                <c:pt idx="255">
                  <c:v>43683</c:v>
                </c:pt>
                <c:pt idx="256">
                  <c:v>43686</c:v>
                </c:pt>
                <c:pt idx="257">
                  <c:v>43691</c:v>
                </c:pt>
                <c:pt idx="258">
                  <c:v>43696</c:v>
                </c:pt>
                <c:pt idx="259">
                  <c:v>43698</c:v>
                </c:pt>
                <c:pt idx="260">
                  <c:v>43702</c:v>
                </c:pt>
                <c:pt idx="261">
                  <c:v>43706</c:v>
                </c:pt>
                <c:pt idx="262">
                  <c:v>43707</c:v>
                </c:pt>
                <c:pt idx="263">
                  <c:v>43713</c:v>
                </c:pt>
                <c:pt idx="264">
                  <c:v>43717</c:v>
                </c:pt>
                <c:pt idx="265">
                  <c:v>43724</c:v>
                </c:pt>
                <c:pt idx="266">
                  <c:v>43725</c:v>
                </c:pt>
                <c:pt idx="267">
                  <c:v>43732</c:v>
                </c:pt>
                <c:pt idx="268">
                  <c:v>43772</c:v>
                </c:pt>
                <c:pt idx="269">
                  <c:v>43773</c:v>
                </c:pt>
                <c:pt idx="270">
                  <c:v>43777</c:v>
                </c:pt>
                <c:pt idx="271">
                  <c:v>43781</c:v>
                </c:pt>
                <c:pt idx="272">
                  <c:v>43788</c:v>
                </c:pt>
                <c:pt idx="273">
                  <c:v>43807</c:v>
                </c:pt>
                <c:pt idx="274">
                  <c:v>43809</c:v>
                </c:pt>
              </c:numCache>
            </c:numRef>
          </c:cat>
          <c:val>
            <c:numRef>
              <c:f>MRO!$D$163:$D$443</c:f>
              <c:numCache>
                <c:formatCode>0.000</c:formatCode>
                <c:ptCount val="281"/>
                <c:pt idx="0">
                  <c:v>16.667088</c:v>
                </c:pt>
                <c:pt idx="1">
                  <c:v>16.620999999999999</c:v>
                </c:pt>
                <c:pt idx="2">
                  <c:v>16.619900000000001</c:v>
                </c:pt>
                <c:pt idx="3">
                  <c:v>16.589099999999998</c:v>
                </c:pt>
                <c:pt idx="4">
                  <c:v>16.589099999999998</c:v>
                </c:pt>
                <c:pt idx="5">
                  <c:v>16.589099999999998</c:v>
                </c:pt>
                <c:pt idx="6">
                  <c:v>16.427</c:v>
                </c:pt>
                <c:pt idx="7">
                  <c:v>16.50263</c:v>
                </c:pt>
                <c:pt idx="8">
                  <c:v>16.447600000000001</c:v>
                </c:pt>
                <c:pt idx="9">
                  <c:v>16.447600000000001</c:v>
                </c:pt>
                <c:pt idx="10">
                  <c:v>16.422999999999998</c:v>
                </c:pt>
                <c:pt idx="11">
                  <c:v>16.422999999999998</c:v>
                </c:pt>
                <c:pt idx="12">
                  <c:v>16.349399999999999</c:v>
                </c:pt>
                <c:pt idx="13">
                  <c:v>16.349399999999999</c:v>
                </c:pt>
                <c:pt idx="14">
                  <c:v>16.349399999999999</c:v>
                </c:pt>
                <c:pt idx="15">
                  <c:v>16.349399999999999</c:v>
                </c:pt>
                <c:pt idx="16">
                  <c:v>16.407399999999999</c:v>
                </c:pt>
                <c:pt idx="17">
                  <c:v>16.388999999999999</c:v>
                </c:pt>
                <c:pt idx="18">
                  <c:v>16.375</c:v>
                </c:pt>
                <c:pt idx="19">
                  <c:v>16.335000000000001</c:v>
                </c:pt>
                <c:pt idx="20">
                  <c:v>16.334199999999999</c:v>
                </c:pt>
                <c:pt idx="21">
                  <c:v>16.225999999999999</c:v>
                </c:pt>
                <c:pt idx="22">
                  <c:v>16.225999999999999</c:v>
                </c:pt>
                <c:pt idx="23">
                  <c:v>16.318000000000001</c:v>
                </c:pt>
                <c:pt idx="24">
                  <c:v>16.318000000000001</c:v>
                </c:pt>
                <c:pt idx="25">
                  <c:v>16.274999999999999</c:v>
                </c:pt>
                <c:pt idx="26">
                  <c:v>16.306000000000001</c:v>
                </c:pt>
                <c:pt idx="27">
                  <c:v>16.21</c:v>
                </c:pt>
                <c:pt idx="28">
                  <c:v>16.286000000000001</c:v>
                </c:pt>
                <c:pt idx="29">
                  <c:v>16.05</c:v>
                </c:pt>
                <c:pt idx="30">
                  <c:v>15.624000000000001</c:v>
                </c:pt>
                <c:pt idx="31">
                  <c:v>15.584</c:v>
                </c:pt>
                <c:pt idx="32">
                  <c:v>15.5</c:v>
                </c:pt>
                <c:pt idx="33">
                  <c:v>15.5733</c:v>
                </c:pt>
                <c:pt idx="34">
                  <c:v>15.516999999999999</c:v>
                </c:pt>
                <c:pt idx="35">
                  <c:v>15.516999999999999</c:v>
                </c:pt>
                <c:pt idx="36">
                  <c:v>15.09</c:v>
                </c:pt>
                <c:pt idx="37">
                  <c:v>15.226800000000001</c:v>
                </c:pt>
                <c:pt idx="38">
                  <c:v>15.403</c:v>
                </c:pt>
                <c:pt idx="39">
                  <c:v>15.202999999999999</c:v>
                </c:pt>
                <c:pt idx="40">
                  <c:v>15.3935</c:v>
                </c:pt>
                <c:pt idx="41">
                  <c:v>15.43</c:v>
                </c:pt>
                <c:pt idx="42">
                  <c:v>15.43</c:v>
                </c:pt>
                <c:pt idx="43">
                  <c:v>15.6</c:v>
                </c:pt>
                <c:pt idx="44">
                  <c:v>15.788</c:v>
                </c:pt>
                <c:pt idx="45">
                  <c:v>15.903</c:v>
                </c:pt>
                <c:pt idx="46">
                  <c:v>16.003</c:v>
                </c:pt>
                <c:pt idx="47">
                  <c:v>15.8888</c:v>
                </c:pt>
                <c:pt idx="48">
                  <c:v>15.99</c:v>
                </c:pt>
                <c:pt idx="49">
                  <c:v>15.99</c:v>
                </c:pt>
                <c:pt idx="50">
                  <c:v>15.99</c:v>
                </c:pt>
                <c:pt idx="51">
                  <c:v>15.99</c:v>
                </c:pt>
                <c:pt idx="52">
                  <c:v>16.091100000000001</c:v>
                </c:pt>
                <c:pt idx="53">
                  <c:v>16.117999999999999</c:v>
                </c:pt>
                <c:pt idx="54">
                  <c:v>16.114000000000001</c:v>
                </c:pt>
                <c:pt idx="55">
                  <c:v>16.1084</c:v>
                </c:pt>
                <c:pt idx="56">
                  <c:v>16.059999999999999</c:v>
                </c:pt>
                <c:pt idx="57">
                  <c:v>15.96</c:v>
                </c:pt>
                <c:pt idx="58">
                  <c:v>16.010999999999999</c:v>
                </c:pt>
                <c:pt idx="59">
                  <c:v>15.989000000000001</c:v>
                </c:pt>
                <c:pt idx="60">
                  <c:v>16.002800000000001</c:v>
                </c:pt>
                <c:pt idx="61">
                  <c:v>15.955</c:v>
                </c:pt>
                <c:pt idx="62">
                  <c:v>15.977</c:v>
                </c:pt>
                <c:pt idx="63">
                  <c:v>15.986000000000001</c:v>
                </c:pt>
                <c:pt idx="64">
                  <c:v>15.986000000000001</c:v>
                </c:pt>
                <c:pt idx="65">
                  <c:v>15.981</c:v>
                </c:pt>
                <c:pt idx="66">
                  <c:v>15.917999999999999</c:v>
                </c:pt>
                <c:pt idx="67">
                  <c:v>15.877000000000001</c:v>
                </c:pt>
                <c:pt idx="68">
                  <c:v>15.877000000000001</c:v>
                </c:pt>
                <c:pt idx="69">
                  <c:v>15.84563</c:v>
                </c:pt>
                <c:pt idx="70">
                  <c:v>15.84563</c:v>
                </c:pt>
                <c:pt idx="71">
                  <c:v>15.8</c:v>
                </c:pt>
                <c:pt idx="72">
                  <c:v>15.8</c:v>
                </c:pt>
                <c:pt idx="73">
                  <c:v>15.8</c:v>
                </c:pt>
                <c:pt idx="74">
                  <c:v>15.564</c:v>
                </c:pt>
                <c:pt idx="75">
                  <c:v>15.455299999999999</c:v>
                </c:pt>
                <c:pt idx="76">
                  <c:v>15.59</c:v>
                </c:pt>
                <c:pt idx="77">
                  <c:v>15.708</c:v>
                </c:pt>
                <c:pt idx="78">
                  <c:v>15.41</c:v>
                </c:pt>
                <c:pt idx="79">
                  <c:v>15.321</c:v>
                </c:pt>
                <c:pt idx="80">
                  <c:v>15.303000000000001</c:v>
                </c:pt>
                <c:pt idx="81">
                  <c:v>15.39</c:v>
                </c:pt>
                <c:pt idx="82">
                  <c:v>15.39</c:v>
                </c:pt>
                <c:pt idx="83">
                  <c:v>15.803000000000001</c:v>
                </c:pt>
                <c:pt idx="84">
                  <c:v>15.874000000000001</c:v>
                </c:pt>
                <c:pt idx="85">
                  <c:v>15.87</c:v>
                </c:pt>
                <c:pt idx="86">
                  <c:v>15.8246</c:v>
                </c:pt>
                <c:pt idx="87">
                  <c:v>15.85</c:v>
                </c:pt>
                <c:pt idx="88">
                  <c:v>15.795999999999999</c:v>
                </c:pt>
                <c:pt idx="89">
                  <c:v>15.824999999999999</c:v>
                </c:pt>
                <c:pt idx="90">
                  <c:v>15.77</c:v>
                </c:pt>
                <c:pt idx="91">
                  <c:v>15.682</c:v>
                </c:pt>
                <c:pt idx="92">
                  <c:v>15.688000000000001</c:v>
                </c:pt>
                <c:pt idx="93">
                  <c:v>15.6388</c:v>
                </c:pt>
                <c:pt idx="94">
                  <c:v>15.654999999999999</c:v>
                </c:pt>
                <c:pt idx="95">
                  <c:v>15.637</c:v>
                </c:pt>
                <c:pt idx="96">
                  <c:v>15.637</c:v>
                </c:pt>
                <c:pt idx="97">
                  <c:v>15.582000000000001</c:v>
                </c:pt>
                <c:pt idx="98">
                  <c:v>15.582000000000001</c:v>
                </c:pt>
                <c:pt idx="99">
                  <c:v>15.582000000000001</c:v>
                </c:pt>
                <c:pt idx="100">
                  <c:v>15.54</c:v>
                </c:pt>
                <c:pt idx="101">
                  <c:v>15.416</c:v>
                </c:pt>
                <c:pt idx="102">
                  <c:v>15.375</c:v>
                </c:pt>
                <c:pt idx="103">
                  <c:v>15.416</c:v>
                </c:pt>
                <c:pt idx="104">
                  <c:v>15.3645</c:v>
                </c:pt>
                <c:pt idx="105">
                  <c:v>15.378</c:v>
                </c:pt>
                <c:pt idx="106">
                  <c:v>15.378</c:v>
                </c:pt>
                <c:pt idx="107">
                  <c:v>15.378</c:v>
                </c:pt>
                <c:pt idx="108">
                  <c:v>15.38</c:v>
                </c:pt>
                <c:pt idx="109">
                  <c:v>15.358000000000001</c:v>
                </c:pt>
                <c:pt idx="110">
                  <c:v>15.324999999999999</c:v>
                </c:pt>
                <c:pt idx="111">
                  <c:v>15.34</c:v>
                </c:pt>
                <c:pt idx="112">
                  <c:v>15.336</c:v>
                </c:pt>
                <c:pt idx="113">
                  <c:v>15.29</c:v>
                </c:pt>
                <c:pt idx="114">
                  <c:v>14.989000000000001</c:v>
                </c:pt>
                <c:pt idx="115">
                  <c:v>15.12</c:v>
                </c:pt>
                <c:pt idx="116">
                  <c:v>15.2</c:v>
                </c:pt>
                <c:pt idx="117">
                  <c:v>14.845000000000001</c:v>
                </c:pt>
                <c:pt idx="118">
                  <c:v>14.845000000000001</c:v>
                </c:pt>
                <c:pt idx="119">
                  <c:v>14.845000000000001</c:v>
                </c:pt>
                <c:pt idx="120">
                  <c:v>15.0785</c:v>
                </c:pt>
                <c:pt idx="121">
                  <c:v>14.829000000000001</c:v>
                </c:pt>
                <c:pt idx="122">
                  <c:v>14.14</c:v>
                </c:pt>
                <c:pt idx="123">
                  <c:v>13.243</c:v>
                </c:pt>
                <c:pt idx="124">
                  <c:v>13.17</c:v>
                </c:pt>
                <c:pt idx="125">
                  <c:v>12.3</c:v>
                </c:pt>
                <c:pt idx="126">
                  <c:v>9.0908999999999995</c:v>
                </c:pt>
                <c:pt idx="127">
                  <c:v>-3.7</c:v>
                </c:pt>
                <c:pt idx="128">
                  <c:v>8.4410000000000007</c:v>
                </c:pt>
                <c:pt idx="129">
                  <c:v>8.4410000000000007</c:v>
                </c:pt>
                <c:pt idx="130">
                  <c:v>6.1519000000000004</c:v>
                </c:pt>
                <c:pt idx="131">
                  <c:v>8.3116000000000003</c:v>
                </c:pt>
                <c:pt idx="132">
                  <c:v>10.645</c:v>
                </c:pt>
                <c:pt idx="133">
                  <c:v>8.1714000000000002</c:v>
                </c:pt>
                <c:pt idx="134">
                  <c:v>6.7594000000000003</c:v>
                </c:pt>
                <c:pt idx="135">
                  <c:v>8.0879999999999992</c:v>
                </c:pt>
                <c:pt idx="136">
                  <c:v>9.2149999999999999</c:v>
                </c:pt>
                <c:pt idx="137">
                  <c:v>9.2149999999999999</c:v>
                </c:pt>
                <c:pt idx="138">
                  <c:v>9.2149999999999999</c:v>
                </c:pt>
                <c:pt idx="139">
                  <c:v>7.9779999999999998</c:v>
                </c:pt>
                <c:pt idx="140">
                  <c:v>9.1513000000000009</c:v>
                </c:pt>
                <c:pt idx="141">
                  <c:v>10.535</c:v>
                </c:pt>
                <c:pt idx="142">
                  <c:v>7.9015000000000004</c:v>
                </c:pt>
                <c:pt idx="143">
                  <c:v>5.4859999999999998</c:v>
                </c:pt>
                <c:pt idx="144">
                  <c:v>7.8579999999999997</c:v>
                </c:pt>
                <c:pt idx="145">
                  <c:v>10.362</c:v>
                </c:pt>
                <c:pt idx="146">
                  <c:v>11.96</c:v>
                </c:pt>
                <c:pt idx="147">
                  <c:v>10.27</c:v>
                </c:pt>
                <c:pt idx="148">
                  <c:v>8.8620000000000001</c:v>
                </c:pt>
                <c:pt idx="149">
                  <c:v>7.6566000000000001</c:v>
                </c:pt>
                <c:pt idx="150">
                  <c:v>7.657</c:v>
                </c:pt>
                <c:pt idx="151">
                  <c:v>7.657</c:v>
                </c:pt>
                <c:pt idx="152">
                  <c:v>6.1390000000000002</c:v>
                </c:pt>
                <c:pt idx="153">
                  <c:v>7.5896999999999997</c:v>
                </c:pt>
                <c:pt idx="154">
                  <c:v>8.2899999999999991</c:v>
                </c:pt>
                <c:pt idx="155">
                  <c:v>7.4726999999999997</c:v>
                </c:pt>
                <c:pt idx="156">
                  <c:v>9.1080000000000005</c:v>
                </c:pt>
                <c:pt idx="157">
                  <c:v>9.1080000000000005</c:v>
                </c:pt>
                <c:pt idx="158">
                  <c:v>9.1080000000000005</c:v>
                </c:pt>
                <c:pt idx="159">
                  <c:v>11.551</c:v>
                </c:pt>
                <c:pt idx="160">
                  <c:v>12.627000000000001</c:v>
                </c:pt>
                <c:pt idx="161">
                  <c:v>12.627000000000001</c:v>
                </c:pt>
                <c:pt idx="162">
                  <c:v>11.443</c:v>
                </c:pt>
                <c:pt idx="163">
                  <c:v>11.443</c:v>
                </c:pt>
                <c:pt idx="164">
                  <c:v>11.443</c:v>
                </c:pt>
                <c:pt idx="165">
                  <c:v>8.6319999999999997</c:v>
                </c:pt>
                <c:pt idx="166">
                  <c:v>8.0649999999999995</c:v>
                </c:pt>
                <c:pt idx="167">
                  <c:v>8.06</c:v>
                </c:pt>
                <c:pt idx="168">
                  <c:v>8.6140000000000008</c:v>
                </c:pt>
                <c:pt idx="169">
                  <c:v>8.0540000000000003</c:v>
                </c:pt>
                <c:pt idx="170">
                  <c:v>8.0540000000000003</c:v>
                </c:pt>
                <c:pt idx="171">
                  <c:v>6.7073999999999998</c:v>
                </c:pt>
                <c:pt idx="172">
                  <c:v>6.7069999999999999</c:v>
                </c:pt>
                <c:pt idx="173">
                  <c:v>8.0165000000000006</c:v>
                </c:pt>
                <c:pt idx="174">
                  <c:v>8.5584000000000007</c:v>
                </c:pt>
                <c:pt idx="175">
                  <c:v>8.5084</c:v>
                </c:pt>
                <c:pt idx="176">
                  <c:v>8.5084</c:v>
                </c:pt>
                <c:pt idx="177">
                  <c:v>8.5084</c:v>
                </c:pt>
                <c:pt idx="178">
                  <c:v>6.5777000000000001</c:v>
                </c:pt>
                <c:pt idx="179">
                  <c:v>6.5777000000000001</c:v>
                </c:pt>
                <c:pt idx="180">
                  <c:v>6.5777000000000001</c:v>
                </c:pt>
                <c:pt idx="181">
                  <c:v>-9.4944000000000006</c:v>
                </c:pt>
                <c:pt idx="182">
                  <c:v>-17.713000000000001</c:v>
                </c:pt>
                <c:pt idx="183">
                  <c:v>-17.713000000000001</c:v>
                </c:pt>
                <c:pt idx="184">
                  <c:v>-17.713000000000001</c:v>
                </c:pt>
                <c:pt idx="185">
                  <c:v>-9.6020000000000003</c:v>
                </c:pt>
                <c:pt idx="186">
                  <c:v>3.2715999999999998</c:v>
                </c:pt>
                <c:pt idx="187">
                  <c:v>5.8288000000000002</c:v>
                </c:pt>
                <c:pt idx="188">
                  <c:v>5.8288000000000002</c:v>
                </c:pt>
                <c:pt idx="189">
                  <c:v>8.5030000000000001</c:v>
                </c:pt>
                <c:pt idx="190">
                  <c:v>5.6989000000000001</c:v>
                </c:pt>
                <c:pt idx="191">
                  <c:v>7.4443000000000001</c:v>
                </c:pt>
                <c:pt idx="192">
                  <c:v>7.4443000000000001</c:v>
                </c:pt>
                <c:pt idx="193">
                  <c:v>5.6089000000000002</c:v>
                </c:pt>
                <c:pt idx="194">
                  <c:v>5.609</c:v>
                </c:pt>
                <c:pt idx="195">
                  <c:v>5.609</c:v>
                </c:pt>
                <c:pt idx="196">
                  <c:v>6.6879999999999997</c:v>
                </c:pt>
                <c:pt idx="197">
                  <c:v>6.6879999999999997</c:v>
                </c:pt>
                <c:pt idx="198">
                  <c:v>6.6879999999999997</c:v>
                </c:pt>
                <c:pt idx="199">
                  <c:v>6.6879999999999997</c:v>
                </c:pt>
                <c:pt idx="200">
                  <c:v>7.4790999999999999</c:v>
                </c:pt>
                <c:pt idx="201">
                  <c:v>7.4508000000000001</c:v>
                </c:pt>
                <c:pt idx="202">
                  <c:v>5.7050000000000001</c:v>
                </c:pt>
                <c:pt idx="203">
                  <c:v>4.4855780000000003</c:v>
                </c:pt>
                <c:pt idx="204">
                  <c:v>5.6120000000000001</c:v>
                </c:pt>
                <c:pt idx="205">
                  <c:v>5.5549999999999997</c:v>
                </c:pt>
                <c:pt idx="206">
                  <c:v>5.5</c:v>
                </c:pt>
                <c:pt idx="207">
                  <c:v>6.3646000000000003</c:v>
                </c:pt>
                <c:pt idx="208">
                  <c:v>7.0259999999999998</c:v>
                </c:pt>
                <c:pt idx="209">
                  <c:v>7.4684999999999997</c:v>
                </c:pt>
                <c:pt idx="210">
                  <c:v>6.9924999999999997</c:v>
                </c:pt>
                <c:pt idx="211">
                  <c:v>5.4410999999999996</c:v>
                </c:pt>
                <c:pt idx="212">
                  <c:v>6.9425999999999997</c:v>
                </c:pt>
                <c:pt idx="213">
                  <c:v>5.3551000000000002</c:v>
                </c:pt>
                <c:pt idx="214">
                  <c:v>5.3550000000000004</c:v>
                </c:pt>
                <c:pt idx="215">
                  <c:v>4.1368</c:v>
                </c:pt>
                <c:pt idx="216">
                  <c:v>5.3029999999999999</c:v>
                </c:pt>
                <c:pt idx="217">
                  <c:v>4.1135000000000002</c:v>
                </c:pt>
                <c:pt idx="218">
                  <c:v>5.27</c:v>
                </c:pt>
                <c:pt idx="219">
                  <c:v>4.0690999999999997</c:v>
                </c:pt>
                <c:pt idx="220">
                  <c:v>5.242</c:v>
                </c:pt>
                <c:pt idx="221">
                  <c:v>6.2388000000000003</c:v>
                </c:pt>
                <c:pt idx="222">
                  <c:v>6.9870000000000001</c:v>
                </c:pt>
                <c:pt idx="223">
                  <c:v>5.109</c:v>
                </c:pt>
                <c:pt idx="224">
                  <c:v>3.79</c:v>
                </c:pt>
                <c:pt idx="225">
                  <c:v>3.74</c:v>
                </c:pt>
                <c:pt idx="226">
                  <c:v>2.92</c:v>
                </c:pt>
                <c:pt idx="227">
                  <c:v>3.7111999999999998</c:v>
                </c:pt>
                <c:pt idx="228">
                  <c:v>5.0152999999999999</c:v>
                </c:pt>
                <c:pt idx="229">
                  <c:v>2.84</c:v>
                </c:pt>
                <c:pt idx="230">
                  <c:v>4.9612999999999996</c:v>
                </c:pt>
                <c:pt idx="231">
                  <c:v>2.72</c:v>
                </c:pt>
                <c:pt idx="232">
                  <c:v>4.24</c:v>
                </c:pt>
                <c:pt idx="233">
                  <c:v>2.645</c:v>
                </c:pt>
                <c:pt idx="234">
                  <c:v>0.49</c:v>
                </c:pt>
                <c:pt idx="235">
                  <c:v>2.5950000000000002</c:v>
                </c:pt>
                <c:pt idx="236">
                  <c:v>4.83</c:v>
                </c:pt>
                <c:pt idx="237">
                  <c:v>5.9</c:v>
                </c:pt>
                <c:pt idx="238">
                  <c:v>8.0139999999999993</c:v>
                </c:pt>
                <c:pt idx="239">
                  <c:v>8.83</c:v>
                </c:pt>
                <c:pt idx="240">
                  <c:v>8.83</c:v>
                </c:pt>
                <c:pt idx="241">
                  <c:v>8.7858999999999998</c:v>
                </c:pt>
                <c:pt idx="242">
                  <c:v>9.1</c:v>
                </c:pt>
                <c:pt idx="243">
                  <c:v>9.85</c:v>
                </c:pt>
                <c:pt idx="244">
                  <c:v>10.32</c:v>
                </c:pt>
                <c:pt idx="245">
                  <c:v>10.645</c:v>
                </c:pt>
                <c:pt idx="246">
                  <c:v>11.489000000000001</c:v>
                </c:pt>
                <c:pt idx="247">
                  <c:v>11.55</c:v>
                </c:pt>
                <c:pt idx="248">
                  <c:v>11.52</c:v>
                </c:pt>
                <c:pt idx="249">
                  <c:v>11.61</c:v>
                </c:pt>
                <c:pt idx="250">
                  <c:v>10.417</c:v>
                </c:pt>
                <c:pt idx="251">
                  <c:v>10.417</c:v>
                </c:pt>
                <c:pt idx="252">
                  <c:v>10.944000000000001</c:v>
                </c:pt>
                <c:pt idx="253">
                  <c:v>11.11</c:v>
                </c:pt>
                <c:pt idx="254">
                  <c:v>11.176600000000001</c:v>
                </c:pt>
                <c:pt idx="255">
                  <c:v>11.2</c:v>
                </c:pt>
                <c:pt idx="256">
                  <c:v>11.061999999999999</c:v>
                </c:pt>
                <c:pt idx="257">
                  <c:v>11.15</c:v>
                </c:pt>
                <c:pt idx="258">
                  <c:v>11.013999999999999</c:v>
                </c:pt>
                <c:pt idx="259">
                  <c:v>11.08</c:v>
                </c:pt>
                <c:pt idx="260">
                  <c:v>11.1</c:v>
                </c:pt>
                <c:pt idx="261">
                  <c:v>11.063000000000001</c:v>
                </c:pt>
                <c:pt idx="262">
                  <c:v>11.085000000000001</c:v>
                </c:pt>
                <c:pt idx="263">
                  <c:v>11.045999999999999</c:v>
                </c:pt>
                <c:pt idx="264">
                  <c:v>10.9</c:v>
                </c:pt>
                <c:pt idx="265">
                  <c:v>10.576000000000001</c:v>
                </c:pt>
                <c:pt idx="266">
                  <c:v>10.77</c:v>
                </c:pt>
                <c:pt idx="267">
                  <c:v>10.875</c:v>
                </c:pt>
                <c:pt idx="268">
                  <c:v>10.875</c:v>
                </c:pt>
                <c:pt idx="269">
                  <c:v>10.747999999999999</c:v>
                </c:pt>
                <c:pt idx="270">
                  <c:v>10.731</c:v>
                </c:pt>
                <c:pt idx="271">
                  <c:v>10.769399999999999</c:v>
                </c:pt>
                <c:pt idx="272">
                  <c:v>10.81</c:v>
                </c:pt>
                <c:pt idx="273">
                  <c:v>10.686</c:v>
                </c:pt>
                <c:pt idx="274">
                  <c:v>10.632</c:v>
                </c:pt>
              </c:numCache>
            </c:numRef>
          </c:val>
          <c:smooth val="0"/>
        </c:ser>
        <c:ser>
          <c:idx val="2"/>
          <c:order val="1"/>
          <c:tx>
            <c:strRef>
              <c:f>MRO!$E$162</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MRO!$B$163:$B$443</c:f>
              <c:numCache>
                <c:formatCode>m/d/yyyy</c:formatCode>
                <c:ptCount val="281"/>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pt idx="250">
                  <c:v>43670</c:v>
                </c:pt>
                <c:pt idx="251">
                  <c:v>43676</c:v>
                </c:pt>
                <c:pt idx="252">
                  <c:v>43678</c:v>
                </c:pt>
                <c:pt idx="253">
                  <c:v>43679</c:v>
                </c:pt>
                <c:pt idx="254">
                  <c:v>43682</c:v>
                </c:pt>
                <c:pt idx="255">
                  <c:v>43683</c:v>
                </c:pt>
                <c:pt idx="256">
                  <c:v>43686</c:v>
                </c:pt>
                <c:pt idx="257">
                  <c:v>43691</c:v>
                </c:pt>
                <c:pt idx="258">
                  <c:v>43696</c:v>
                </c:pt>
                <c:pt idx="259">
                  <c:v>43698</c:v>
                </c:pt>
                <c:pt idx="260">
                  <c:v>43702</c:v>
                </c:pt>
                <c:pt idx="261">
                  <c:v>43706</c:v>
                </c:pt>
                <c:pt idx="262">
                  <c:v>43707</c:v>
                </c:pt>
                <c:pt idx="263">
                  <c:v>43713</c:v>
                </c:pt>
                <c:pt idx="264">
                  <c:v>43717</c:v>
                </c:pt>
                <c:pt idx="265">
                  <c:v>43724</c:v>
                </c:pt>
                <c:pt idx="266">
                  <c:v>43725</c:v>
                </c:pt>
                <c:pt idx="267">
                  <c:v>43732</c:v>
                </c:pt>
                <c:pt idx="268">
                  <c:v>43772</c:v>
                </c:pt>
                <c:pt idx="269">
                  <c:v>43773</c:v>
                </c:pt>
                <c:pt idx="270">
                  <c:v>43777</c:v>
                </c:pt>
                <c:pt idx="271">
                  <c:v>43781</c:v>
                </c:pt>
                <c:pt idx="272">
                  <c:v>43788</c:v>
                </c:pt>
                <c:pt idx="273">
                  <c:v>43807</c:v>
                </c:pt>
                <c:pt idx="274">
                  <c:v>43809</c:v>
                </c:pt>
              </c:numCache>
            </c:numRef>
          </c:cat>
          <c:val>
            <c:numRef>
              <c:f>MRO!$E$163:$E$443</c:f>
              <c:numCache>
                <c:formatCode>0.00</c:formatCode>
                <c:ptCount val="281"/>
                <c:pt idx="0">
                  <c:v>16.38</c:v>
                </c:pt>
                <c:pt idx="1">
                  <c:v>15.76</c:v>
                </c:pt>
                <c:pt idx="2">
                  <c:v>16.45</c:v>
                </c:pt>
                <c:pt idx="3">
                  <c:v>16.14</c:v>
                </c:pt>
                <c:pt idx="4">
                  <c:v>16.14</c:v>
                </c:pt>
                <c:pt idx="5">
                  <c:v>16.47</c:v>
                </c:pt>
                <c:pt idx="6">
                  <c:v>14.87</c:v>
                </c:pt>
                <c:pt idx="7">
                  <c:v>16.07</c:v>
                </c:pt>
                <c:pt idx="8">
                  <c:v>16.16</c:v>
                </c:pt>
                <c:pt idx="9">
                  <c:v>15.84</c:v>
                </c:pt>
                <c:pt idx="10">
                  <c:v>15.32</c:v>
                </c:pt>
                <c:pt idx="11">
                  <c:v>15.56</c:v>
                </c:pt>
                <c:pt idx="12">
                  <c:v>15.05</c:v>
                </c:pt>
                <c:pt idx="13">
                  <c:v>14.61</c:v>
                </c:pt>
                <c:pt idx="14">
                  <c:v>14.75</c:v>
                </c:pt>
                <c:pt idx="15">
                  <c:v>15.23</c:v>
                </c:pt>
                <c:pt idx="16">
                  <c:v>15.48</c:v>
                </c:pt>
                <c:pt idx="17">
                  <c:v>15.98</c:v>
                </c:pt>
                <c:pt idx="18">
                  <c:v>15.9</c:v>
                </c:pt>
                <c:pt idx="19">
                  <c:v>15.06</c:v>
                </c:pt>
                <c:pt idx="20">
                  <c:v>14.87</c:v>
                </c:pt>
                <c:pt idx="21">
                  <c:v>14.29</c:v>
                </c:pt>
                <c:pt idx="22">
                  <c:v>14.29</c:v>
                </c:pt>
                <c:pt idx="23">
                  <c:v>14.59</c:v>
                </c:pt>
                <c:pt idx="24">
                  <c:v>14.48</c:v>
                </c:pt>
                <c:pt idx="25">
                  <c:v>14.35</c:v>
                </c:pt>
                <c:pt idx="26">
                  <c:v>14.35</c:v>
                </c:pt>
                <c:pt idx="27">
                  <c:v>14.16</c:v>
                </c:pt>
                <c:pt idx="28">
                  <c:v>14.58</c:v>
                </c:pt>
                <c:pt idx="29">
                  <c:v>13.5</c:v>
                </c:pt>
                <c:pt idx="30">
                  <c:v>13.01</c:v>
                </c:pt>
                <c:pt idx="31">
                  <c:v>11.85</c:v>
                </c:pt>
                <c:pt idx="32">
                  <c:v>12.23</c:v>
                </c:pt>
                <c:pt idx="33">
                  <c:v>12.36</c:v>
                </c:pt>
                <c:pt idx="34">
                  <c:v>12.51</c:v>
                </c:pt>
                <c:pt idx="35">
                  <c:v>12.9</c:v>
                </c:pt>
                <c:pt idx="36">
                  <c:v>10.87</c:v>
                </c:pt>
                <c:pt idx="37">
                  <c:v>11.27</c:v>
                </c:pt>
                <c:pt idx="38">
                  <c:v>11.6</c:v>
                </c:pt>
                <c:pt idx="39">
                  <c:v>11.11</c:v>
                </c:pt>
                <c:pt idx="40">
                  <c:v>11.3</c:v>
                </c:pt>
                <c:pt idx="41">
                  <c:v>12.02</c:v>
                </c:pt>
                <c:pt idx="42">
                  <c:v>12.73</c:v>
                </c:pt>
                <c:pt idx="43">
                  <c:v>12.83</c:v>
                </c:pt>
                <c:pt idx="44">
                  <c:v>12.79</c:v>
                </c:pt>
                <c:pt idx="45">
                  <c:v>13.4</c:v>
                </c:pt>
                <c:pt idx="46">
                  <c:v>13.73</c:v>
                </c:pt>
                <c:pt idx="47">
                  <c:v>13.53</c:v>
                </c:pt>
                <c:pt idx="48">
                  <c:v>13.76</c:v>
                </c:pt>
                <c:pt idx="49">
                  <c:v>13.75</c:v>
                </c:pt>
                <c:pt idx="50">
                  <c:v>13.93</c:v>
                </c:pt>
                <c:pt idx="51">
                  <c:v>13.63</c:v>
                </c:pt>
                <c:pt idx="52">
                  <c:v>14.87</c:v>
                </c:pt>
                <c:pt idx="53">
                  <c:v>15.58</c:v>
                </c:pt>
                <c:pt idx="54">
                  <c:v>16.329999999999998</c:v>
                </c:pt>
                <c:pt idx="55">
                  <c:v>15.8</c:v>
                </c:pt>
                <c:pt idx="56">
                  <c:v>14.84</c:v>
                </c:pt>
                <c:pt idx="57">
                  <c:v>14.52</c:v>
                </c:pt>
                <c:pt idx="58">
                  <c:v>14.78</c:v>
                </c:pt>
                <c:pt idx="59">
                  <c:v>14.69</c:v>
                </c:pt>
                <c:pt idx="60">
                  <c:v>15.08</c:v>
                </c:pt>
                <c:pt idx="61">
                  <c:v>15.18</c:v>
                </c:pt>
                <c:pt idx="62">
                  <c:v>15.33</c:v>
                </c:pt>
                <c:pt idx="63">
                  <c:v>15.44</c:v>
                </c:pt>
                <c:pt idx="64">
                  <c:v>16.02</c:v>
                </c:pt>
                <c:pt idx="65">
                  <c:v>16.32</c:v>
                </c:pt>
                <c:pt idx="66">
                  <c:v>16.8</c:v>
                </c:pt>
                <c:pt idx="67">
                  <c:v>17.05</c:v>
                </c:pt>
                <c:pt idx="68">
                  <c:v>17.010000000000002</c:v>
                </c:pt>
                <c:pt idx="69">
                  <c:v>17.38</c:v>
                </c:pt>
                <c:pt idx="70">
                  <c:v>17.670000000000002</c:v>
                </c:pt>
                <c:pt idx="71">
                  <c:v>18.12</c:v>
                </c:pt>
                <c:pt idx="72">
                  <c:v>17.89</c:v>
                </c:pt>
                <c:pt idx="73">
                  <c:v>18.05</c:v>
                </c:pt>
                <c:pt idx="74">
                  <c:v>18.600000000000001</c:v>
                </c:pt>
                <c:pt idx="75">
                  <c:v>18.82</c:v>
                </c:pt>
                <c:pt idx="76">
                  <c:v>18.239999999999998</c:v>
                </c:pt>
                <c:pt idx="77">
                  <c:v>18.239999999999998</c:v>
                </c:pt>
                <c:pt idx="78">
                  <c:v>18.600000000000001</c:v>
                </c:pt>
                <c:pt idx="79">
                  <c:v>18.989999999999998</c:v>
                </c:pt>
                <c:pt idx="80">
                  <c:v>19.22</c:v>
                </c:pt>
                <c:pt idx="81">
                  <c:v>18.68</c:v>
                </c:pt>
                <c:pt idx="82">
                  <c:v>18.84</c:v>
                </c:pt>
                <c:pt idx="83">
                  <c:v>18.059999999999999</c:v>
                </c:pt>
                <c:pt idx="84">
                  <c:v>17.52</c:v>
                </c:pt>
                <c:pt idx="85">
                  <c:v>15.68</c:v>
                </c:pt>
                <c:pt idx="86">
                  <c:v>15.51</c:v>
                </c:pt>
                <c:pt idx="87">
                  <c:v>15.51</c:v>
                </c:pt>
                <c:pt idx="88">
                  <c:v>15.51</c:v>
                </c:pt>
                <c:pt idx="89">
                  <c:v>15.51</c:v>
                </c:pt>
                <c:pt idx="90">
                  <c:v>16.27</c:v>
                </c:pt>
                <c:pt idx="91">
                  <c:v>16.32</c:v>
                </c:pt>
                <c:pt idx="92">
                  <c:v>15.69</c:v>
                </c:pt>
                <c:pt idx="93">
                  <c:v>16.18</c:v>
                </c:pt>
                <c:pt idx="94">
                  <c:v>15.8</c:v>
                </c:pt>
                <c:pt idx="95">
                  <c:v>15.3</c:v>
                </c:pt>
                <c:pt idx="96">
                  <c:v>15.54</c:v>
                </c:pt>
                <c:pt idx="97">
                  <c:v>14.52</c:v>
                </c:pt>
                <c:pt idx="98">
                  <c:v>15.03</c:v>
                </c:pt>
                <c:pt idx="99">
                  <c:v>15.22</c:v>
                </c:pt>
                <c:pt idx="100">
                  <c:v>14.82</c:v>
                </c:pt>
                <c:pt idx="101">
                  <c:v>15.98</c:v>
                </c:pt>
                <c:pt idx="102">
                  <c:v>16.38</c:v>
                </c:pt>
                <c:pt idx="103">
                  <c:v>15.9</c:v>
                </c:pt>
                <c:pt idx="104">
                  <c:v>16.02</c:v>
                </c:pt>
                <c:pt idx="105">
                  <c:v>15.76</c:v>
                </c:pt>
                <c:pt idx="106">
                  <c:v>16.27</c:v>
                </c:pt>
                <c:pt idx="107">
                  <c:v>15.82</c:v>
                </c:pt>
                <c:pt idx="108">
                  <c:v>15.32</c:v>
                </c:pt>
                <c:pt idx="109">
                  <c:v>16.13</c:v>
                </c:pt>
                <c:pt idx="110">
                  <c:v>16.13</c:v>
                </c:pt>
                <c:pt idx="111">
                  <c:v>15.57</c:v>
                </c:pt>
                <c:pt idx="112">
                  <c:v>15.57</c:v>
                </c:pt>
                <c:pt idx="113">
                  <c:v>16</c:v>
                </c:pt>
                <c:pt idx="114">
                  <c:v>16.8</c:v>
                </c:pt>
                <c:pt idx="115">
                  <c:v>16.420000000000002</c:v>
                </c:pt>
                <c:pt idx="116">
                  <c:v>16.100000000000001</c:v>
                </c:pt>
                <c:pt idx="117">
                  <c:v>17.059999999999999</c:v>
                </c:pt>
                <c:pt idx="118">
                  <c:v>18.23</c:v>
                </c:pt>
                <c:pt idx="119">
                  <c:v>18.46</c:v>
                </c:pt>
                <c:pt idx="120">
                  <c:v>18.11</c:v>
                </c:pt>
                <c:pt idx="121">
                  <c:v>18.25</c:v>
                </c:pt>
                <c:pt idx="122">
                  <c:v>19.440000000000001</c:v>
                </c:pt>
                <c:pt idx="123">
                  <c:v>19.72</c:v>
                </c:pt>
                <c:pt idx="124">
                  <c:v>19.77</c:v>
                </c:pt>
                <c:pt idx="125">
                  <c:v>21.26</c:v>
                </c:pt>
                <c:pt idx="126">
                  <c:v>21.42</c:v>
                </c:pt>
                <c:pt idx="127">
                  <c:v>21.9</c:v>
                </c:pt>
                <c:pt idx="128">
                  <c:v>20.329999999999998</c:v>
                </c:pt>
                <c:pt idx="129">
                  <c:v>21.53</c:v>
                </c:pt>
                <c:pt idx="130">
                  <c:v>21.47</c:v>
                </c:pt>
                <c:pt idx="131">
                  <c:v>19.989999999999998</c:v>
                </c:pt>
                <c:pt idx="132">
                  <c:v>19.989999999999998</c:v>
                </c:pt>
                <c:pt idx="133">
                  <c:v>20.32</c:v>
                </c:pt>
                <c:pt idx="134">
                  <c:v>21.06</c:v>
                </c:pt>
                <c:pt idx="135">
                  <c:v>19.920000000000002</c:v>
                </c:pt>
                <c:pt idx="136">
                  <c:v>20.3</c:v>
                </c:pt>
                <c:pt idx="137">
                  <c:v>21.22</c:v>
                </c:pt>
                <c:pt idx="138">
                  <c:v>20.66</c:v>
                </c:pt>
                <c:pt idx="139">
                  <c:v>21</c:v>
                </c:pt>
                <c:pt idx="140">
                  <c:v>20.88</c:v>
                </c:pt>
                <c:pt idx="141">
                  <c:v>20.7</c:v>
                </c:pt>
                <c:pt idx="142">
                  <c:v>21.07</c:v>
                </c:pt>
                <c:pt idx="143">
                  <c:v>21.75</c:v>
                </c:pt>
                <c:pt idx="144">
                  <c:v>21.2</c:v>
                </c:pt>
                <c:pt idx="145">
                  <c:v>19.850000000000001</c:v>
                </c:pt>
                <c:pt idx="146">
                  <c:v>19.850000000000001</c:v>
                </c:pt>
                <c:pt idx="147">
                  <c:v>20.420000000000002</c:v>
                </c:pt>
                <c:pt idx="148">
                  <c:v>20.54</c:v>
                </c:pt>
                <c:pt idx="149">
                  <c:v>20.92</c:v>
                </c:pt>
                <c:pt idx="150">
                  <c:v>21.24</c:v>
                </c:pt>
                <c:pt idx="151">
                  <c:v>20.83</c:v>
                </c:pt>
                <c:pt idx="152">
                  <c:v>21.11</c:v>
                </c:pt>
                <c:pt idx="153">
                  <c:v>21.12</c:v>
                </c:pt>
                <c:pt idx="154">
                  <c:v>20.63</c:v>
                </c:pt>
                <c:pt idx="155">
                  <c:v>20.88</c:v>
                </c:pt>
                <c:pt idx="156">
                  <c:v>20.14</c:v>
                </c:pt>
                <c:pt idx="157">
                  <c:v>20.38</c:v>
                </c:pt>
                <c:pt idx="158">
                  <c:v>20.079999999999998</c:v>
                </c:pt>
                <c:pt idx="159">
                  <c:v>19</c:v>
                </c:pt>
                <c:pt idx="160">
                  <c:v>19</c:v>
                </c:pt>
                <c:pt idx="161">
                  <c:v>19.32</c:v>
                </c:pt>
                <c:pt idx="162">
                  <c:v>19.829999999999998</c:v>
                </c:pt>
                <c:pt idx="163">
                  <c:v>19.98</c:v>
                </c:pt>
                <c:pt idx="164">
                  <c:v>20.21</c:v>
                </c:pt>
                <c:pt idx="165">
                  <c:v>20.87</c:v>
                </c:pt>
                <c:pt idx="166">
                  <c:v>20.87</c:v>
                </c:pt>
                <c:pt idx="167">
                  <c:v>20.61</c:v>
                </c:pt>
                <c:pt idx="168">
                  <c:v>20.8</c:v>
                </c:pt>
                <c:pt idx="169">
                  <c:v>20.94</c:v>
                </c:pt>
                <c:pt idx="170">
                  <c:v>20.7</c:v>
                </c:pt>
                <c:pt idx="171">
                  <c:v>21.77</c:v>
                </c:pt>
                <c:pt idx="172">
                  <c:v>21.51</c:v>
                </c:pt>
                <c:pt idx="173">
                  <c:v>21.06</c:v>
                </c:pt>
                <c:pt idx="174">
                  <c:v>20.36</c:v>
                </c:pt>
                <c:pt idx="175">
                  <c:v>20.350000000000001</c:v>
                </c:pt>
                <c:pt idx="176">
                  <c:v>20.67</c:v>
                </c:pt>
                <c:pt idx="177">
                  <c:v>20.88</c:v>
                </c:pt>
                <c:pt idx="178">
                  <c:v>21.5</c:v>
                </c:pt>
                <c:pt idx="179">
                  <c:v>21.76</c:v>
                </c:pt>
                <c:pt idx="180">
                  <c:v>21.86</c:v>
                </c:pt>
                <c:pt idx="181">
                  <c:v>22.34</c:v>
                </c:pt>
                <c:pt idx="182">
                  <c:v>23.28</c:v>
                </c:pt>
                <c:pt idx="183">
                  <c:v>23.86</c:v>
                </c:pt>
                <c:pt idx="184">
                  <c:v>23.99</c:v>
                </c:pt>
                <c:pt idx="185">
                  <c:v>22.88</c:v>
                </c:pt>
                <c:pt idx="186">
                  <c:v>21.16</c:v>
                </c:pt>
                <c:pt idx="187">
                  <c:v>19.96</c:v>
                </c:pt>
                <c:pt idx="188">
                  <c:v>20.52</c:v>
                </c:pt>
                <c:pt idx="189">
                  <c:v>19.48</c:v>
                </c:pt>
                <c:pt idx="190">
                  <c:v>18.350000000000001</c:v>
                </c:pt>
                <c:pt idx="191">
                  <c:v>18.350000000000001</c:v>
                </c:pt>
                <c:pt idx="192">
                  <c:v>18.149999999999999</c:v>
                </c:pt>
                <c:pt idx="193">
                  <c:v>18.989999999999998</c:v>
                </c:pt>
                <c:pt idx="194">
                  <c:v>18.61</c:v>
                </c:pt>
                <c:pt idx="195">
                  <c:v>18.21</c:v>
                </c:pt>
                <c:pt idx="196">
                  <c:v>17.260000000000002</c:v>
                </c:pt>
                <c:pt idx="197">
                  <c:v>16.47</c:v>
                </c:pt>
                <c:pt idx="198">
                  <c:v>16.68</c:v>
                </c:pt>
                <c:pt idx="199">
                  <c:v>17.190000000000001</c:v>
                </c:pt>
                <c:pt idx="200">
                  <c:v>15.93</c:v>
                </c:pt>
                <c:pt idx="201">
                  <c:v>15.48</c:v>
                </c:pt>
                <c:pt idx="202">
                  <c:v>16.23</c:v>
                </c:pt>
                <c:pt idx="203">
                  <c:v>16.690000000000001</c:v>
                </c:pt>
                <c:pt idx="204">
                  <c:v>16.22</c:v>
                </c:pt>
                <c:pt idx="205">
                  <c:v>16.05</c:v>
                </c:pt>
                <c:pt idx="206">
                  <c:v>15.3</c:v>
                </c:pt>
                <c:pt idx="207">
                  <c:v>15.04</c:v>
                </c:pt>
                <c:pt idx="208">
                  <c:v>14.24</c:v>
                </c:pt>
                <c:pt idx="209">
                  <c:v>12.66</c:v>
                </c:pt>
                <c:pt idx="210">
                  <c:v>14.17</c:v>
                </c:pt>
                <c:pt idx="211">
                  <c:v>14.72</c:v>
                </c:pt>
                <c:pt idx="212">
                  <c:v>14.62</c:v>
                </c:pt>
                <c:pt idx="213">
                  <c:v>14.62</c:v>
                </c:pt>
                <c:pt idx="214">
                  <c:v>15.41</c:v>
                </c:pt>
                <c:pt idx="215">
                  <c:v>16.350000000000001</c:v>
                </c:pt>
                <c:pt idx="216">
                  <c:v>15.83</c:v>
                </c:pt>
                <c:pt idx="217">
                  <c:v>16.010000000000002</c:v>
                </c:pt>
                <c:pt idx="218">
                  <c:v>15.69</c:v>
                </c:pt>
                <c:pt idx="219">
                  <c:v>15.9</c:v>
                </c:pt>
                <c:pt idx="220">
                  <c:v>15.8</c:v>
                </c:pt>
                <c:pt idx="221">
                  <c:v>16</c:v>
                </c:pt>
                <c:pt idx="222">
                  <c:v>15.27</c:v>
                </c:pt>
                <c:pt idx="223">
                  <c:v>16.91</c:v>
                </c:pt>
                <c:pt idx="224">
                  <c:v>16.91</c:v>
                </c:pt>
                <c:pt idx="225">
                  <c:v>16.57</c:v>
                </c:pt>
                <c:pt idx="226">
                  <c:v>17.68</c:v>
                </c:pt>
                <c:pt idx="227">
                  <c:v>16.68</c:v>
                </c:pt>
                <c:pt idx="228">
                  <c:v>16.68</c:v>
                </c:pt>
                <c:pt idx="229">
                  <c:v>17.39</c:v>
                </c:pt>
                <c:pt idx="230">
                  <c:v>16.93</c:v>
                </c:pt>
                <c:pt idx="231">
                  <c:v>17.7</c:v>
                </c:pt>
                <c:pt idx="232">
                  <c:v>17.190000000000001</c:v>
                </c:pt>
                <c:pt idx="233">
                  <c:v>17.739999999999998</c:v>
                </c:pt>
                <c:pt idx="234">
                  <c:v>18.78</c:v>
                </c:pt>
                <c:pt idx="235">
                  <c:v>18.149999999999999</c:v>
                </c:pt>
                <c:pt idx="236">
                  <c:v>17.38</c:v>
                </c:pt>
                <c:pt idx="237">
                  <c:v>16.53</c:v>
                </c:pt>
                <c:pt idx="238">
                  <c:v>15.52</c:v>
                </c:pt>
                <c:pt idx="239">
                  <c:v>14.56</c:v>
                </c:pt>
                <c:pt idx="240">
                  <c:v>14.09</c:v>
                </c:pt>
                <c:pt idx="241">
                  <c:v>13.45</c:v>
                </c:pt>
                <c:pt idx="242">
                  <c:v>14.11</c:v>
                </c:pt>
                <c:pt idx="243">
                  <c:v>13.9</c:v>
                </c:pt>
                <c:pt idx="244">
                  <c:v>13.9</c:v>
                </c:pt>
                <c:pt idx="245">
                  <c:v>13.55</c:v>
                </c:pt>
                <c:pt idx="246">
                  <c:v>13.54</c:v>
                </c:pt>
                <c:pt idx="247">
                  <c:v>13.65</c:v>
                </c:pt>
                <c:pt idx="248">
                  <c:v>13.92</c:v>
                </c:pt>
                <c:pt idx="249">
                  <c:v>13.48</c:v>
                </c:pt>
                <c:pt idx="250">
                  <c:v>13.97</c:v>
                </c:pt>
                <c:pt idx="251">
                  <c:v>14.13</c:v>
                </c:pt>
                <c:pt idx="252">
                  <c:v>13.53</c:v>
                </c:pt>
                <c:pt idx="253">
                  <c:v>13.28</c:v>
                </c:pt>
                <c:pt idx="254">
                  <c:v>12.5</c:v>
                </c:pt>
                <c:pt idx="255">
                  <c:v>12.16</c:v>
                </c:pt>
                <c:pt idx="256">
                  <c:v>12.87</c:v>
                </c:pt>
                <c:pt idx="257">
                  <c:v>12.3</c:v>
                </c:pt>
                <c:pt idx="258">
                  <c:v>12.88</c:v>
                </c:pt>
                <c:pt idx="259">
                  <c:v>12.42</c:v>
                </c:pt>
                <c:pt idx="260">
                  <c:v>11.75</c:v>
                </c:pt>
                <c:pt idx="261">
                  <c:v>12.2</c:v>
                </c:pt>
                <c:pt idx="262">
                  <c:v>11.84</c:v>
                </c:pt>
                <c:pt idx="263">
                  <c:v>12.54</c:v>
                </c:pt>
                <c:pt idx="264">
                  <c:v>13.14</c:v>
                </c:pt>
                <c:pt idx="265">
                  <c:v>14.17</c:v>
                </c:pt>
                <c:pt idx="266">
                  <c:v>13.07</c:v>
                </c:pt>
                <c:pt idx="267">
                  <c:v>12.22</c:v>
                </c:pt>
                <c:pt idx="268">
                  <c:v>12.05</c:v>
                </c:pt>
                <c:pt idx="269">
                  <c:v>12.52</c:v>
                </c:pt>
                <c:pt idx="270">
                  <c:v>12.4</c:v>
                </c:pt>
                <c:pt idx="271">
                  <c:v>12</c:v>
                </c:pt>
                <c:pt idx="272">
                  <c:v>11.77</c:v>
                </c:pt>
                <c:pt idx="273">
                  <c:v>12.45</c:v>
                </c:pt>
                <c:pt idx="274">
                  <c:v>12.59</c:v>
                </c:pt>
              </c:numCache>
            </c:numRef>
          </c:val>
          <c:smooth val="0"/>
        </c:ser>
        <c:dLbls>
          <c:showLegendKey val="0"/>
          <c:showVal val="0"/>
          <c:showCatName val="0"/>
          <c:showSerName val="0"/>
          <c:showPercent val="0"/>
          <c:showBubbleSize val="0"/>
        </c:dLbls>
        <c:marker val="1"/>
        <c:smooth val="0"/>
        <c:axId val="418601280"/>
        <c:axId val="418607552"/>
      </c:lineChart>
      <c:dateAx>
        <c:axId val="418601280"/>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8607552"/>
        <c:crosses val="autoZero"/>
        <c:auto val="1"/>
        <c:lblOffset val="100"/>
        <c:baseTimeUnit val="days"/>
      </c:dateAx>
      <c:valAx>
        <c:axId val="418607552"/>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8601280"/>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MRO!$K$162</c:f>
              <c:strCache>
                <c:ptCount val="1"/>
                <c:pt idx="0">
                  <c:v>Total PL</c:v>
                </c:pt>
              </c:strCache>
            </c:strRef>
          </c:tx>
          <c:spPr>
            <a:ln w="28575" cap="rnd">
              <a:solidFill>
                <a:srgbClr val="00B050"/>
              </a:solidFill>
              <a:round/>
            </a:ln>
            <a:effectLst/>
          </c:spPr>
          <c:marker>
            <c:symbol val="square"/>
            <c:size val="2"/>
            <c:spPr>
              <a:solidFill>
                <a:srgbClr val="FF0000"/>
              </a:solidFill>
              <a:ln w="9525">
                <a:solidFill>
                  <a:srgbClr val="FF0000"/>
                </a:solidFill>
              </a:ln>
              <a:effectLst/>
            </c:spPr>
          </c:marker>
          <c:cat>
            <c:numRef>
              <c:f>MRO!$B$163:$B$443</c:f>
              <c:numCache>
                <c:formatCode>m/d/yyyy</c:formatCode>
                <c:ptCount val="281"/>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pt idx="250">
                  <c:v>43670</c:v>
                </c:pt>
                <c:pt idx="251">
                  <c:v>43676</c:v>
                </c:pt>
                <c:pt idx="252">
                  <c:v>43678</c:v>
                </c:pt>
                <c:pt idx="253">
                  <c:v>43679</c:v>
                </c:pt>
                <c:pt idx="254">
                  <c:v>43682</c:v>
                </c:pt>
                <c:pt idx="255">
                  <c:v>43683</c:v>
                </c:pt>
                <c:pt idx="256">
                  <c:v>43686</c:v>
                </c:pt>
                <c:pt idx="257">
                  <c:v>43691</c:v>
                </c:pt>
                <c:pt idx="258">
                  <c:v>43696</c:v>
                </c:pt>
                <c:pt idx="259">
                  <c:v>43698</c:v>
                </c:pt>
                <c:pt idx="260">
                  <c:v>43702</c:v>
                </c:pt>
                <c:pt idx="261">
                  <c:v>43706</c:v>
                </c:pt>
                <c:pt idx="262">
                  <c:v>43707</c:v>
                </c:pt>
                <c:pt idx="263">
                  <c:v>43713</c:v>
                </c:pt>
                <c:pt idx="264">
                  <c:v>43717</c:v>
                </c:pt>
                <c:pt idx="265">
                  <c:v>43724</c:v>
                </c:pt>
                <c:pt idx="266">
                  <c:v>43725</c:v>
                </c:pt>
                <c:pt idx="267">
                  <c:v>43732</c:v>
                </c:pt>
                <c:pt idx="268">
                  <c:v>43772</c:v>
                </c:pt>
                <c:pt idx="269">
                  <c:v>43773</c:v>
                </c:pt>
                <c:pt idx="270">
                  <c:v>43777</c:v>
                </c:pt>
                <c:pt idx="271">
                  <c:v>43781</c:v>
                </c:pt>
                <c:pt idx="272">
                  <c:v>43788</c:v>
                </c:pt>
                <c:pt idx="273">
                  <c:v>43807</c:v>
                </c:pt>
                <c:pt idx="274">
                  <c:v>43809</c:v>
                </c:pt>
              </c:numCache>
            </c:numRef>
          </c:cat>
          <c:val>
            <c:numRef>
              <c:f>MRO!$K$163:$K$443</c:f>
              <c:numCache>
                <c:formatCode>0.00</c:formatCode>
                <c:ptCount val="281"/>
                <c:pt idx="0">
                  <c:v>12979.169400001621</c:v>
                </c:pt>
                <c:pt idx="1">
                  <c:v>9449.5710000016334</c:v>
                </c:pt>
                <c:pt idx="2">
                  <c:v>13681.121000001616</c:v>
                </c:pt>
                <c:pt idx="3">
                  <c:v>11920.971000001638</c:v>
                </c:pt>
                <c:pt idx="4">
                  <c:v>11920.971000001638</c:v>
                </c:pt>
                <c:pt idx="5">
                  <c:v>13900.971000001629</c:v>
                </c:pt>
                <c:pt idx="6">
                  <c:v>4183.6710000016228</c:v>
                </c:pt>
                <c:pt idx="7">
                  <c:v>12019.791000001627</c:v>
                </c:pt>
                <c:pt idx="8">
                  <c:v>12889.971000001618</c:v>
                </c:pt>
                <c:pt idx="9">
                  <c:v>10969.971000001617</c:v>
                </c:pt>
                <c:pt idx="10">
                  <c:v>7997.5710000016379</c:v>
                </c:pt>
                <c:pt idx="11">
                  <c:v>9437.5710000016406</c:v>
                </c:pt>
                <c:pt idx="12">
                  <c:v>6299.4110000016353</c:v>
                </c:pt>
                <c:pt idx="13">
                  <c:v>3483.4110000016262</c:v>
                </c:pt>
                <c:pt idx="14">
                  <c:v>4379.4110000016299</c:v>
                </c:pt>
                <c:pt idx="15">
                  <c:v>7451.4110000016335</c:v>
                </c:pt>
                <c:pt idx="16">
                  <c:v>9051.1710000016337</c:v>
                </c:pt>
                <c:pt idx="17">
                  <c:v>12161.571000001633</c:v>
                </c:pt>
                <c:pt idx="18">
                  <c:v>11670.571000001628</c:v>
                </c:pt>
                <c:pt idx="19">
                  <c:v>6455.5710000016243</c:v>
                </c:pt>
                <c:pt idx="20">
                  <c:v>5244.6910000016269</c:v>
                </c:pt>
                <c:pt idx="21">
                  <c:v>1644.3710000016272</c:v>
                </c:pt>
                <c:pt idx="22">
                  <c:v>1644.3710000016272</c:v>
                </c:pt>
                <c:pt idx="23">
                  <c:v>3556.3710000016163</c:v>
                </c:pt>
                <c:pt idx="24">
                  <c:v>2852.3710000016199</c:v>
                </c:pt>
                <c:pt idx="25">
                  <c:v>2043.3960000016323</c:v>
                </c:pt>
                <c:pt idx="26">
                  <c:v>2097.1710000016174</c:v>
                </c:pt>
                <c:pt idx="27">
                  <c:v>880.57100000162063</c:v>
                </c:pt>
                <c:pt idx="28">
                  <c:v>3697.1710000016174</c:v>
                </c:pt>
                <c:pt idx="29">
                  <c:v>-3234.4289999983775</c:v>
                </c:pt>
                <c:pt idx="30">
                  <c:v>-6296.4289999983812</c:v>
                </c:pt>
                <c:pt idx="31">
                  <c:v>-15256.428999998374</c:v>
                </c:pt>
                <c:pt idx="32">
                  <c:v>-12198.42899999837</c:v>
                </c:pt>
                <c:pt idx="33">
                  <c:v>-11090.828999998375</c:v>
                </c:pt>
                <c:pt idx="34">
                  <c:v>-9440.4289999983703</c:v>
                </c:pt>
                <c:pt idx="35">
                  <c:v>-6320.4289999983666</c:v>
                </c:pt>
                <c:pt idx="36">
                  <c:v>-22942.428999998381</c:v>
                </c:pt>
                <c:pt idx="37">
                  <c:v>-19412.908999998384</c:v>
                </c:pt>
                <c:pt idx="38">
                  <c:v>-16569.02899999838</c:v>
                </c:pt>
                <c:pt idx="39">
                  <c:v>-20584.228999998377</c:v>
                </c:pt>
                <c:pt idx="40">
                  <c:v>-18951.128999998364</c:v>
                </c:pt>
                <c:pt idx="41">
                  <c:v>-12664.428999998374</c:v>
                </c:pt>
                <c:pt idx="42">
                  <c:v>-6984.4289999983666</c:v>
                </c:pt>
                <c:pt idx="43">
                  <c:v>-6159.4289999983703</c:v>
                </c:pt>
                <c:pt idx="44">
                  <c:v>-6370.4289999983812</c:v>
                </c:pt>
                <c:pt idx="45">
                  <c:v>-2154.5289999983761</c:v>
                </c:pt>
                <c:pt idx="46">
                  <c:v>68.371000001629</c:v>
                </c:pt>
                <c:pt idx="47">
                  <c:v>-1188.3889999983767</c:v>
                </c:pt>
                <c:pt idx="48">
                  <c:v>343.57100000162245</c:v>
                </c:pt>
                <c:pt idx="49">
                  <c:v>279.57100000162427</c:v>
                </c:pt>
                <c:pt idx="50">
                  <c:v>1431.5710000016225</c:v>
                </c:pt>
                <c:pt idx="51">
                  <c:v>-488.42899999837027</c:v>
                </c:pt>
                <c:pt idx="52">
                  <c:v>7288.9710000016166</c:v>
                </c:pt>
                <c:pt idx="53">
                  <c:v>11548.971000001635</c:v>
                </c:pt>
                <c:pt idx="54">
                  <c:v>15825.171000001612</c:v>
                </c:pt>
                <c:pt idx="55">
                  <c:v>12857.691000001632</c:v>
                </c:pt>
                <c:pt idx="56">
                  <c:v>7295.5710000016334</c:v>
                </c:pt>
                <c:pt idx="57">
                  <c:v>5399.5710000016188</c:v>
                </c:pt>
                <c:pt idx="58">
                  <c:v>7229.571000001627</c:v>
                </c:pt>
                <c:pt idx="59">
                  <c:v>6691.6710000016183</c:v>
                </c:pt>
                <c:pt idx="60">
                  <c:v>9078.7710000016232</c:v>
                </c:pt>
                <c:pt idx="61">
                  <c:v>9965.5710000016243</c:v>
                </c:pt>
                <c:pt idx="62">
                  <c:v>10862.971000001624</c:v>
                </c:pt>
                <c:pt idx="63">
                  <c:v>11503.37100000162</c:v>
                </c:pt>
                <c:pt idx="64">
                  <c:v>14805.97100000162</c:v>
                </c:pt>
                <c:pt idx="65">
                  <c:v>16480.07100000163</c:v>
                </c:pt>
                <c:pt idx="66">
                  <c:v>19025.571000001633</c:v>
                </c:pt>
                <c:pt idx="67">
                  <c:v>20245.971000001628</c:v>
                </c:pt>
                <c:pt idx="68">
                  <c:v>20053.971000001631</c:v>
                </c:pt>
                <c:pt idx="69">
                  <c:v>21827.110000001623</c:v>
                </c:pt>
                <c:pt idx="70">
                  <c:v>23190.110000001634</c:v>
                </c:pt>
                <c:pt idx="71">
                  <c:v>25287.571000001626</c:v>
                </c:pt>
                <c:pt idx="72">
                  <c:v>24229.571000001626</c:v>
                </c:pt>
                <c:pt idx="73">
                  <c:v>24965.571000001626</c:v>
                </c:pt>
                <c:pt idx="74">
                  <c:v>27466.959000001632</c:v>
                </c:pt>
                <c:pt idx="75">
                  <c:v>28410.84100000163</c:v>
                </c:pt>
                <c:pt idx="76">
                  <c:v>26010.571000001619</c:v>
                </c:pt>
                <c:pt idx="77">
                  <c:v>26009.571000001619</c:v>
                </c:pt>
                <c:pt idx="78">
                  <c:v>27694.571000001633</c:v>
                </c:pt>
                <c:pt idx="79">
                  <c:v>29291.571000001619</c:v>
                </c:pt>
                <c:pt idx="80">
                  <c:v>30283.571000001619</c:v>
                </c:pt>
                <c:pt idx="81">
                  <c:v>28104.571000001622</c:v>
                </c:pt>
                <c:pt idx="82">
                  <c:v>28760.571000001622</c:v>
                </c:pt>
                <c:pt idx="83">
                  <c:v>25449.171000001617</c:v>
                </c:pt>
                <c:pt idx="84">
                  <c:v>22845.571000001619</c:v>
                </c:pt>
                <c:pt idx="85">
                  <c:v>13570.57100000163</c:v>
                </c:pt>
                <c:pt idx="86">
                  <c:v>12727.971000001624</c:v>
                </c:pt>
                <c:pt idx="87">
                  <c:v>12745.571000001626</c:v>
                </c:pt>
                <c:pt idx="88">
                  <c:v>12899.571000001628</c:v>
                </c:pt>
                <c:pt idx="89">
                  <c:v>12883.07100000163</c:v>
                </c:pt>
                <c:pt idx="90">
                  <c:v>17115.571000001626</c:v>
                </c:pt>
                <c:pt idx="91">
                  <c:v>17805.571000001626</c:v>
                </c:pt>
                <c:pt idx="92">
                  <c:v>14626.571000001621</c:v>
                </c:pt>
                <c:pt idx="93">
                  <c:v>17321.571000001626</c:v>
                </c:pt>
                <c:pt idx="94">
                  <c:v>15413.071000001633</c:v>
                </c:pt>
                <c:pt idx="95">
                  <c:v>12593.571000001628</c:v>
                </c:pt>
                <c:pt idx="96">
                  <c:v>14033.571000001619</c:v>
                </c:pt>
                <c:pt idx="97">
                  <c:v>7818.7710000016186</c:v>
                </c:pt>
                <c:pt idx="98">
                  <c:v>11082.771000001618</c:v>
                </c:pt>
                <c:pt idx="99">
                  <c:v>12298.771000001625</c:v>
                </c:pt>
                <c:pt idx="100">
                  <c:v>10007.571000001633</c:v>
                </c:pt>
                <c:pt idx="101">
                  <c:v>17435.571000001626</c:v>
                </c:pt>
                <c:pt idx="102">
                  <c:v>19439.571000001622</c:v>
                </c:pt>
                <c:pt idx="103">
                  <c:v>17132.371000001625</c:v>
                </c:pt>
                <c:pt idx="104">
                  <c:v>17761.971000001628</c:v>
                </c:pt>
                <c:pt idx="105">
                  <c:v>16525.571000001626</c:v>
                </c:pt>
                <c:pt idx="106">
                  <c:v>19075.571000001622</c:v>
                </c:pt>
                <c:pt idx="107">
                  <c:v>16825.571000001626</c:v>
                </c:pt>
                <c:pt idx="108">
                  <c:v>14303.571000001624</c:v>
                </c:pt>
                <c:pt idx="109">
                  <c:v>18475.571000001619</c:v>
                </c:pt>
                <c:pt idx="110">
                  <c:v>18479.571000001626</c:v>
                </c:pt>
                <c:pt idx="111">
                  <c:v>15765.571000001628</c:v>
                </c:pt>
                <c:pt idx="112">
                  <c:v>15832.371000001625</c:v>
                </c:pt>
                <c:pt idx="113">
                  <c:v>18023.57100000163</c:v>
                </c:pt>
                <c:pt idx="114">
                  <c:v>21859.571000001626</c:v>
                </c:pt>
                <c:pt idx="115">
                  <c:v>20335.571000001637</c:v>
                </c:pt>
                <c:pt idx="116">
                  <c:v>18935.571000001637</c:v>
                </c:pt>
                <c:pt idx="117">
                  <c:v>23475.571000001619</c:v>
                </c:pt>
                <c:pt idx="118">
                  <c:v>28155.571000001626</c:v>
                </c:pt>
                <c:pt idx="119">
                  <c:v>29075.571000001626</c:v>
                </c:pt>
                <c:pt idx="120">
                  <c:v>27651.021000001623</c:v>
                </c:pt>
                <c:pt idx="121">
                  <c:v>28299.571000001626</c:v>
                </c:pt>
                <c:pt idx="122">
                  <c:v>33165.571000001626</c:v>
                </c:pt>
                <c:pt idx="123">
                  <c:v>34046.571000001626</c:v>
                </c:pt>
                <c:pt idx="124">
                  <c:v>34415.571000001626</c:v>
                </c:pt>
                <c:pt idx="125">
                  <c:v>38807.571000001626</c:v>
                </c:pt>
                <c:pt idx="126">
                  <c:v>39273.77100000163</c:v>
                </c:pt>
                <c:pt idx="127">
                  <c:v>40215.571000001626</c:v>
                </c:pt>
                <c:pt idx="128">
                  <c:v>38393.571000001626</c:v>
                </c:pt>
                <c:pt idx="129">
                  <c:v>40793.571000001626</c:v>
                </c:pt>
                <c:pt idx="130">
                  <c:v>40656.341000001623</c:v>
                </c:pt>
                <c:pt idx="131">
                  <c:v>37972.371000001622</c:v>
                </c:pt>
                <c:pt idx="132">
                  <c:v>37978.071000001626</c:v>
                </c:pt>
                <c:pt idx="133">
                  <c:v>38912.771000001623</c:v>
                </c:pt>
                <c:pt idx="134">
                  <c:v>40356.651000001628</c:v>
                </c:pt>
                <c:pt idx="135">
                  <c:v>38279.571000001626</c:v>
                </c:pt>
                <c:pt idx="136">
                  <c:v>39002.571000001626</c:v>
                </c:pt>
                <c:pt idx="137">
                  <c:v>41026.571000001626</c:v>
                </c:pt>
                <c:pt idx="138">
                  <c:v>39794.571000001626</c:v>
                </c:pt>
                <c:pt idx="139">
                  <c:v>40659.571000001626</c:v>
                </c:pt>
                <c:pt idx="140">
                  <c:v>40418.711000001626</c:v>
                </c:pt>
                <c:pt idx="141">
                  <c:v>40028.071000001626</c:v>
                </c:pt>
                <c:pt idx="142">
                  <c:v>40952.571000001626</c:v>
                </c:pt>
                <c:pt idx="143">
                  <c:v>42264.371000001629</c:v>
                </c:pt>
                <c:pt idx="144">
                  <c:v>41299.571000001626</c:v>
                </c:pt>
                <c:pt idx="145">
                  <c:v>38335.571000001626</c:v>
                </c:pt>
                <c:pt idx="146">
                  <c:v>38285.571000001626</c:v>
                </c:pt>
                <c:pt idx="147">
                  <c:v>39990.571000001626</c:v>
                </c:pt>
                <c:pt idx="148">
                  <c:v>40307.171000001625</c:v>
                </c:pt>
                <c:pt idx="149">
                  <c:v>41142.371000001629</c:v>
                </c:pt>
                <c:pt idx="150">
                  <c:v>41781.571000001626</c:v>
                </c:pt>
                <c:pt idx="151">
                  <c:v>40961.571000001626</c:v>
                </c:pt>
                <c:pt idx="152">
                  <c:v>41563.371000001629</c:v>
                </c:pt>
                <c:pt idx="153">
                  <c:v>41676.171000001632</c:v>
                </c:pt>
                <c:pt idx="154">
                  <c:v>41763.571000001626</c:v>
                </c:pt>
                <c:pt idx="155">
                  <c:v>41430.171000001625</c:v>
                </c:pt>
                <c:pt idx="156">
                  <c:v>39989.171000001625</c:v>
                </c:pt>
                <c:pt idx="157">
                  <c:v>40541.171000001617</c:v>
                </c:pt>
                <c:pt idx="158">
                  <c:v>39851.171000001617</c:v>
                </c:pt>
                <c:pt idx="159">
                  <c:v>36962.571000001626</c:v>
                </c:pt>
                <c:pt idx="160">
                  <c:v>36921.071000001626</c:v>
                </c:pt>
                <c:pt idx="161">
                  <c:v>38041.071000001626</c:v>
                </c:pt>
                <c:pt idx="162">
                  <c:v>39776.571000001626</c:v>
                </c:pt>
                <c:pt idx="163">
                  <c:v>40226.571000001626</c:v>
                </c:pt>
                <c:pt idx="164">
                  <c:v>40916.571000001626</c:v>
                </c:pt>
                <c:pt idx="165">
                  <c:v>42762.971000001628</c:v>
                </c:pt>
                <c:pt idx="166">
                  <c:v>42786.571000001626</c:v>
                </c:pt>
                <c:pt idx="167">
                  <c:v>42213.021000001623</c:v>
                </c:pt>
                <c:pt idx="168">
                  <c:v>42643.371000001629</c:v>
                </c:pt>
                <c:pt idx="169">
                  <c:v>42964.771000001623</c:v>
                </c:pt>
                <c:pt idx="170">
                  <c:v>42436.771000001623</c:v>
                </c:pt>
                <c:pt idx="171">
                  <c:v>44755.833600001628</c:v>
                </c:pt>
                <c:pt idx="172">
                  <c:v>44236.374000001626</c:v>
                </c:pt>
                <c:pt idx="173">
                  <c:v>43311.271000001623</c:v>
                </c:pt>
                <c:pt idx="174">
                  <c:v>41759.251000001619</c:v>
                </c:pt>
                <c:pt idx="175">
                  <c:v>41851.251000001634</c:v>
                </c:pt>
                <c:pt idx="176">
                  <c:v>42587.251000001634</c:v>
                </c:pt>
                <c:pt idx="177">
                  <c:v>43070.251000001619</c:v>
                </c:pt>
                <c:pt idx="178">
                  <c:v>44460.171000001625</c:v>
                </c:pt>
                <c:pt idx="179">
                  <c:v>44980.171000001632</c:v>
                </c:pt>
                <c:pt idx="180">
                  <c:v>45180.171000001625</c:v>
                </c:pt>
                <c:pt idx="181">
                  <c:v>46449.971000001628</c:v>
                </c:pt>
                <c:pt idx="182">
                  <c:v>47409.971000001628</c:v>
                </c:pt>
                <c:pt idx="183">
                  <c:v>47873.971000001628</c:v>
                </c:pt>
                <c:pt idx="184">
                  <c:v>47977.971000001628</c:v>
                </c:pt>
                <c:pt idx="185">
                  <c:v>47097.571000001626</c:v>
                </c:pt>
                <c:pt idx="186">
                  <c:v>45025.851000001625</c:v>
                </c:pt>
                <c:pt idx="187">
                  <c:v>42877.97100000162</c:v>
                </c:pt>
                <c:pt idx="188">
                  <c:v>43997.97100000162</c:v>
                </c:pt>
                <c:pt idx="189">
                  <c:v>42058.071000001626</c:v>
                </c:pt>
                <c:pt idx="190">
                  <c:v>39917.77100000163</c:v>
                </c:pt>
                <c:pt idx="191">
                  <c:v>39698.681000001627</c:v>
                </c:pt>
                <c:pt idx="192">
                  <c:v>39238.681000001627</c:v>
                </c:pt>
                <c:pt idx="193">
                  <c:v>41377.771000001623</c:v>
                </c:pt>
                <c:pt idx="194">
                  <c:v>40617.571000001626</c:v>
                </c:pt>
                <c:pt idx="195">
                  <c:v>39817.571000001626</c:v>
                </c:pt>
                <c:pt idx="196">
                  <c:v>37873.971000001635</c:v>
                </c:pt>
                <c:pt idx="197">
                  <c:v>36135.971000001628</c:v>
                </c:pt>
                <c:pt idx="198">
                  <c:v>36597.971000001628</c:v>
                </c:pt>
                <c:pt idx="199">
                  <c:v>37719.971000001635</c:v>
                </c:pt>
                <c:pt idx="200">
                  <c:v>34897.73100000163</c:v>
                </c:pt>
                <c:pt idx="201">
                  <c:v>33885.651000001628</c:v>
                </c:pt>
                <c:pt idx="202">
                  <c:v>35665.571000001626</c:v>
                </c:pt>
                <c:pt idx="203">
                  <c:v>36583.530600001628</c:v>
                </c:pt>
                <c:pt idx="204">
                  <c:v>35831.571000001626</c:v>
                </c:pt>
                <c:pt idx="205">
                  <c:v>35605.571000001626</c:v>
                </c:pt>
                <c:pt idx="206">
                  <c:v>34215.571000001626</c:v>
                </c:pt>
                <c:pt idx="207">
                  <c:v>33701.451000001631</c:v>
                </c:pt>
                <c:pt idx="208">
                  <c:v>31929.171000001628</c:v>
                </c:pt>
                <c:pt idx="209">
                  <c:v>28113.471000001628</c:v>
                </c:pt>
                <c:pt idx="210">
                  <c:v>31841.571000001626</c:v>
                </c:pt>
                <c:pt idx="211">
                  <c:v>33173.371000001629</c:v>
                </c:pt>
                <c:pt idx="212">
                  <c:v>33041.331000001621</c:v>
                </c:pt>
                <c:pt idx="213">
                  <c:v>33145.371000001629</c:v>
                </c:pt>
                <c:pt idx="214">
                  <c:v>34725.571000001626</c:v>
                </c:pt>
                <c:pt idx="215">
                  <c:v>36599.331000001628</c:v>
                </c:pt>
                <c:pt idx="216">
                  <c:v>35669.571000001626</c:v>
                </c:pt>
                <c:pt idx="217">
                  <c:v>36029.271000001623</c:v>
                </c:pt>
                <c:pt idx="218">
                  <c:v>35455.571000001626</c:v>
                </c:pt>
                <c:pt idx="219">
                  <c:v>35911.191000001621</c:v>
                </c:pt>
                <c:pt idx="220">
                  <c:v>35731.571000001626</c:v>
                </c:pt>
                <c:pt idx="221">
                  <c:v>36090.211000001626</c:v>
                </c:pt>
                <c:pt idx="222">
                  <c:v>34494.771000001623</c:v>
                </c:pt>
                <c:pt idx="223">
                  <c:v>38217.571000001626</c:v>
                </c:pt>
                <c:pt idx="224">
                  <c:v>38231.571000001626</c:v>
                </c:pt>
                <c:pt idx="225">
                  <c:v>37709.571000001626</c:v>
                </c:pt>
                <c:pt idx="226">
                  <c:v>39707.571000001626</c:v>
                </c:pt>
                <c:pt idx="227">
                  <c:v>37959.411000001623</c:v>
                </c:pt>
                <c:pt idx="228">
                  <c:v>37944.971000001628</c:v>
                </c:pt>
                <c:pt idx="229">
                  <c:v>39350.571000001626</c:v>
                </c:pt>
                <c:pt idx="230">
                  <c:v>38552.971000001628</c:v>
                </c:pt>
                <c:pt idx="231">
                  <c:v>40081.571000001626</c:v>
                </c:pt>
                <c:pt idx="232">
                  <c:v>39220.571000001626</c:v>
                </c:pt>
                <c:pt idx="233">
                  <c:v>40277.071000001626</c:v>
                </c:pt>
                <c:pt idx="234">
                  <c:v>42050.571000001626</c:v>
                </c:pt>
                <c:pt idx="235">
                  <c:v>41059.071000001626</c:v>
                </c:pt>
                <c:pt idx="236">
                  <c:v>39715.571000001626</c:v>
                </c:pt>
                <c:pt idx="237">
                  <c:v>38001.571000001626</c:v>
                </c:pt>
                <c:pt idx="238">
                  <c:v>35632.371000001629</c:v>
                </c:pt>
                <c:pt idx="239">
                  <c:v>32951.571000001626</c:v>
                </c:pt>
                <c:pt idx="240">
                  <c:v>31447.571000001626</c:v>
                </c:pt>
                <c:pt idx="241">
                  <c:v>29540.691000001625</c:v>
                </c:pt>
                <c:pt idx="242">
                  <c:v>31649.571000001626</c:v>
                </c:pt>
                <c:pt idx="243">
                  <c:v>30815.57100000163</c:v>
                </c:pt>
                <c:pt idx="244">
                  <c:v>30725.571000001626</c:v>
                </c:pt>
                <c:pt idx="245">
                  <c:v>29140.571000001633</c:v>
                </c:pt>
                <c:pt idx="246">
                  <c:v>28972.571000001615</c:v>
                </c:pt>
                <c:pt idx="247">
                  <c:v>29735.571000001626</c:v>
                </c:pt>
                <c:pt idx="248">
                  <c:v>31655.57100000163</c:v>
                </c:pt>
                <c:pt idx="249">
                  <c:v>28453.571000001633</c:v>
                </c:pt>
                <c:pt idx="250">
                  <c:v>32380.57100000163</c:v>
                </c:pt>
                <c:pt idx="251">
                  <c:v>33180.571000001626</c:v>
                </c:pt>
                <c:pt idx="252">
                  <c:v>30131.571000001619</c:v>
                </c:pt>
                <c:pt idx="253">
                  <c:v>28720.571000001626</c:v>
                </c:pt>
                <c:pt idx="254">
                  <c:v>23614.691000001621</c:v>
                </c:pt>
                <c:pt idx="255">
                  <c:v>21335.571000001633</c:v>
                </c:pt>
                <c:pt idx="256">
                  <c:v>26367.571000001626</c:v>
                </c:pt>
                <c:pt idx="257">
                  <c:v>22665.57100000163</c:v>
                </c:pt>
                <c:pt idx="258">
                  <c:v>26744.571000001633</c:v>
                </c:pt>
                <c:pt idx="259">
                  <c:v>23727.571000001626</c:v>
                </c:pt>
                <c:pt idx="260">
                  <c:v>19165.57100000163</c:v>
                </c:pt>
                <c:pt idx="261">
                  <c:v>22347.171000001617</c:v>
                </c:pt>
                <c:pt idx="262">
                  <c:v>19900.571000001619</c:v>
                </c:pt>
                <c:pt idx="263">
                  <c:v>24774.771000001623</c:v>
                </c:pt>
                <c:pt idx="264">
                  <c:v>29175.571000001626</c:v>
                </c:pt>
                <c:pt idx="265">
                  <c:v>36179.571000001626</c:v>
                </c:pt>
                <c:pt idx="266">
                  <c:v>29565.571000001633</c:v>
                </c:pt>
                <c:pt idx="267">
                  <c:v>24030.57100000163</c:v>
                </c:pt>
                <c:pt idx="268">
                  <c:v>22840.571000001633</c:v>
                </c:pt>
                <c:pt idx="269">
                  <c:v>26133.571000001626</c:v>
                </c:pt>
                <c:pt idx="270">
                  <c:v>25464.07100000163</c:v>
                </c:pt>
                <c:pt idx="271">
                  <c:v>22860.59100000163</c:v>
                </c:pt>
                <c:pt idx="272">
                  <c:v>21335.571000001619</c:v>
                </c:pt>
                <c:pt idx="273">
                  <c:v>26081.571000001622</c:v>
                </c:pt>
                <c:pt idx="274">
                  <c:v>27342.571000001626</c:v>
                </c:pt>
              </c:numCache>
            </c:numRef>
          </c:val>
          <c:smooth val="0"/>
        </c:ser>
        <c:dLbls>
          <c:showLegendKey val="0"/>
          <c:showVal val="0"/>
          <c:showCatName val="0"/>
          <c:showSerName val="0"/>
          <c:showPercent val="0"/>
          <c:showBubbleSize val="0"/>
        </c:dLbls>
        <c:marker val="1"/>
        <c:smooth val="0"/>
        <c:axId val="418603632"/>
        <c:axId val="418602848"/>
      </c:lineChart>
      <c:dateAx>
        <c:axId val="418603632"/>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8602848"/>
        <c:crosses val="autoZero"/>
        <c:auto val="1"/>
        <c:lblOffset val="100"/>
        <c:baseTimeUnit val="days"/>
      </c:dateAx>
      <c:valAx>
        <c:axId val="41860284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860363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INTC!$AA$1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INTC!$W$2:$W$69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23-Feb-17</c:v>
                </c:pt>
                <c:pt idx="30">
                  <c:v>22-Feb-17</c:v>
                </c:pt>
                <c:pt idx="31">
                  <c:v>21-Feb-17</c:v>
                </c:pt>
                <c:pt idx="32">
                  <c:v>17-Feb-17</c:v>
                </c:pt>
                <c:pt idx="33">
                  <c:v>16-Feb-17</c:v>
                </c:pt>
                <c:pt idx="34">
                  <c:v>15-Feb-17</c:v>
                </c:pt>
                <c:pt idx="35">
                  <c:v>14-Feb-17</c:v>
                </c:pt>
                <c:pt idx="36">
                  <c:v>13-Feb-17</c:v>
                </c:pt>
                <c:pt idx="37">
                  <c:v>10-Feb-17</c:v>
                </c:pt>
                <c:pt idx="38">
                  <c:v>9-Feb-17</c:v>
                </c:pt>
                <c:pt idx="39">
                  <c:v>8-Feb-17</c:v>
                </c:pt>
                <c:pt idx="40">
                  <c:v>7-Feb-17</c:v>
                </c:pt>
                <c:pt idx="41">
                  <c:v>6-Feb-17</c:v>
                </c:pt>
                <c:pt idx="42">
                  <c:v>3-Feb-17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INTC!$AA$2:$AA$69</c:f>
              <c:numCache>
                <c:formatCode>0.00</c:formatCode>
                <c:ptCount val="68"/>
                <c:pt idx="0">
                  <c:v>36.22</c:v>
                </c:pt>
                <c:pt idx="1">
                  <c:v>36.28</c:v>
                </c:pt>
                <c:pt idx="2">
                  <c:v>36.159999999999997</c:v>
                </c:pt>
                <c:pt idx="3">
                  <c:v>36.07</c:v>
                </c:pt>
                <c:pt idx="4">
                  <c:v>35.75</c:v>
                </c:pt>
                <c:pt idx="5">
                  <c:v>35.57</c:v>
                </c:pt>
                <c:pt idx="6">
                  <c:v>35.6</c:v>
                </c:pt>
                <c:pt idx="7">
                  <c:v>35.39</c:v>
                </c:pt>
                <c:pt idx="8">
                  <c:v>35.159999999999997</c:v>
                </c:pt>
                <c:pt idx="9">
                  <c:v>35.270000000000003</c:v>
                </c:pt>
                <c:pt idx="10">
                  <c:v>35.369999999999997</c:v>
                </c:pt>
                <c:pt idx="11">
                  <c:v>35.04</c:v>
                </c:pt>
                <c:pt idx="12">
                  <c:v>35.43</c:v>
                </c:pt>
                <c:pt idx="13">
                  <c:v>35.270000000000003</c:v>
                </c:pt>
                <c:pt idx="14">
                  <c:v>35.14</c:v>
                </c:pt>
                <c:pt idx="15">
                  <c:v>35.1</c:v>
                </c:pt>
                <c:pt idx="16">
                  <c:v>35.18</c:v>
                </c:pt>
                <c:pt idx="17">
                  <c:v>35.159999999999997</c:v>
                </c:pt>
                <c:pt idx="18">
                  <c:v>35.909999999999997</c:v>
                </c:pt>
                <c:pt idx="19">
                  <c:v>35.82</c:v>
                </c:pt>
                <c:pt idx="20">
                  <c:v>35.619999999999997</c:v>
                </c:pt>
                <c:pt idx="21">
                  <c:v>35.799999999999997</c:v>
                </c:pt>
                <c:pt idx="22">
                  <c:v>35.57</c:v>
                </c:pt>
                <c:pt idx="23">
                  <c:v>35.9</c:v>
                </c:pt>
                <c:pt idx="24">
                  <c:v>35.909999999999997</c:v>
                </c:pt>
                <c:pt idx="25">
                  <c:v>35.93</c:v>
                </c:pt>
                <c:pt idx="26">
                  <c:v>36.200000000000003</c:v>
                </c:pt>
                <c:pt idx="27">
                  <c:v>36.51</c:v>
                </c:pt>
                <c:pt idx="28">
                  <c:v>36.53</c:v>
                </c:pt>
                <c:pt idx="29">
                  <c:v>36.18</c:v>
                </c:pt>
                <c:pt idx="30">
                  <c:v>36.07</c:v>
                </c:pt>
                <c:pt idx="31">
                  <c:v>36.520000000000003</c:v>
                </c:pt>
                <c:pt idx="32">
                  <c:v>36.479999999999997</c:v>
                </c:pt>
                <c:pt idx="33">
                  <c:v>36.409999999999997</c:v>
                </c:pt>
                <c:pt idx="34">
                  <c:v>36.049999999999997</c:v>
                </c:pt>
                <c:pt idx="35">
                  <c:v>35.93</c:v>
                </c:pt>
                <c:pt idx="36">
                  <c:v>35.799999999999997</c:v>
                </c:pt>
                <c:pt idx="37">
                  <c:v>35.340000000000003</c:v>
                </c:pt>
                <c:pt idx="38">
                  <c:v>35.46</c:v>
                </c:pt>
                <c:pt idx="39">
                  <c:v>36.380000000000003</c:v>
                </c:pt>
                <c:pt idx="40">
                  <c:v>36.35</c:v>
                </c:pt>
                <c:pt idx="41">
                  <c:v>36.270000000000003</c:v>
                </c:pt>
                <c:pt idx="42">
                  <c:v>36.520000000000003</c:v>
                </c:pt>
                <c:pt idx="44">
                  <c:v>36.68</c:v>
                </c:pt>
                <c:pt idx="45">
                  <c:v>36.520000000000003</c:v>
                </c:pt>
                <c:pt idx="46">
                  <c:v>36.82</c:v>
                </c:pt>
                <c:pt idx="47">
                  <c:v>37.42</c:v>
                </c:pt>
                <c:pt idx="48">
                  <c:v>37.979999999999997</c:v>
                </c:pt>
                <c:pt idx="49">
                  <c:v>37.56</c:v>
                </c:pt>
                <c:pt idx="50">
                  <c:v>37.799999999999997</c:v>
                </c:pt>
                <c:pt idx="51">
                  <c:v>37.619999999999997</c:v>
                </c:pt>
                <c:pt idx="52">
                  <c:v>36.770000000000003</c:v>
                </c:pt>
                <c:pt idx="53">
                  <c:v>36.94</c:v>
                </c:pt>
                <c:pt idx="54">
                  <c:v>36.57</c:v>
                </c:pt>
                <c:pt idx="55">
                  <c:v>36.76</c:v>
                </c:pt>
                <c:pt idx="56">
                  <c:v>36.799999999999997</c:v>
                </c:pt>
                <c:pt idx="57">
                  <c:v>36.79</c:v>
                </c:pt>
                <c:pt idx="58">
                  <c:v>36.71</c:v>
                </c:pt>
                <c:pt idx="59">
                  <c:v>36.950000000000003</c:v>
                </c:pt>
                <c:pt idx="60">
                  <c:v>36.54</c:v>
                </c:pt>
                <c:pt idx="61">
                  <c:v>36.61</c:v>
                </c:pt>
                <c:pt idx="62">
                  <c:v>36.479999999999997</c:v>
                </c:pt>
                <c:pt idx="63">
                  <c:v>36.35</c:v>
                </c:pt>
                <c:pt idx="64">
                  <c:v>36.409999999999997</c:v>
                </c:pt>
                <c:pt idx="65">
                  <c:v>36.6</c:v>
                </c:pt>
                <c:pt idx="66">
                  <c:v>36.270000000000003</c:v>
                </c:pt>
              </c:numCache>
            </c:numRef>
          </c:val>
          <c:smooth val="0"/>
        </c:ser>
        <c:dLbls>
          <c:showLegendKey val="0"/>
          <c:showVal val="0"/>
          <c:showCatName val="0"/>
          <c:showSerName val="0"/>
          <c:showPercent val="0"/>
          <c:showBubbleSize val="0"/>
        </c:dLbls>
        <c:marker val="1"/>
        <c:smooth val="0"/>
        <c:axId val="418609512"/>
        <c:axId val="418607944"/>
      </c:lineChart>
      <c:catAx>
        <c:axId val="418609512"/>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18607944"/>
        <c:crosses val="autoZero"/>
        <c:auto val="1"/>
        <c:lblAlgn val="ctr"/>
        <c:lblOffset val="100"/>
        <c:noMultiLvlLbl val="0"/>
      </c:catAx>
      <c:valAx>
        <c:axId val="418607944"/>
        <c:scaling>
          <c:orientation val="minMax"/>
          <c:min val="25"/>
        </c:scaling>
        <c:delete val="0"/>
        <c:axPos val="r"/>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1860951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NCLH!$AA$1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NCLH!$W$2:$W$67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NCLH!$AA$2:$AA$68</c:f>
              <c:numCache>
                <c:formatCode>#,##0.00</c:formatCode>
                <c:ptCount val="67"/>
                <c:pt idx="0">
                  <c:v>49.78</c:v>
                </c:pt>
                <c:pt idx="1">
                  <c:v>49.76</c:v>
                </c:pt>
                <c:pt idx="2">
                  <c:v>50.19</c:v>
                </c:pt>
                <c:pt idx="3">
                  <c:v>50.73</c:v>
                </c:pt>
                <c:pt idx="4">
                  <c:v>51.24</c:v>
                </c:pt>
                <c:pt idx="5">
                  <c:v>50.86</c:v>
                </c:pt>
                <c:pt idx="6">
                  <c:v>51.3</c:v>
                </c:pt>
                <c:pt idx="7">
                  <c:v>51.02</c:v>
                </c:pt>
                <c:pt idx="8">
                  <c:v>50.48</c:v>
                </c:pt>
                <c:pt idx="9">
                  <c:v>51.11</c:v>
                </c:pt>
                <c:pt idx="10">
                  <c:v>50.97</c:v>
                </c:pt>
                <c:pt idx="11">
                  <c:v>50</c:v>
                </c:pt>
                <c:pt idx="12">
                  <c:v>51.1</c:v>
                </c:pt>
                <c:pt idx="13">
                  <c:v>51.31</c:v>
                </c:pt>
                <c:pt idx="14">
                  <c:v>51.43</c:v>
                </c:pt>
                <c:pt idx="15">
                  <c:v>51.41</c:v>
                </c:pt>
                <c:pt idx="16">
                  <c:v>50.96</c:v>
                </c:pt>
                <c:pt idx="17">
                  <c:v>51.32</c:v>
                </c:pt>
                <c:pt idx="18">
                  <c:v>51.1</c:v>
                </c:pt>
                <c:pt idx="19">
                  <c:v>49.92</c:v>
                </c:pt>
                <c:pt idx="20">
                  <c:v>49.52</c:v>
                </c:pt>
                <c:pt idx="21">
                  <c:v>49.42</c:v>
                </c:pt>
                <c:pt idx="22">
                  <c:v>49.76</c:v>
                </c:pt>
                <c:pt idx="23">
                  <c:v>50.11</c:v>
                </c:pt>
                <c:pt idx="24">
                  <c:v>50.98</c:v>
                </c:pt>
                <c:pt idx="25">
                  <c:v>51.05</c:v>
                </c:pt>
                <c:pt idx="26">
                  <c:v>50.7</c:v>
                </c:pt>
                <c:pt idx="27">
                  <c:v>50.77</c:v>
                </c:pt>
                <c:pt idx="28">
                  <c:v>50.02</c:v>
                </c:pt>
                <c:pt idx="29">
                  <c:v>50.68</c:v>
                </c:pt>
                <c:pt idx="30">
                  <c:v>51.64</c:v>
                </c:pt>
                <c:pt idx="31">
                  <c:v>48.2</c:v>
                </c:pt>
                <c:pt idx="32">
                  <c:v>47.69</c:v>
                </c:pt>
                <c:pt idx="33">
                  <c:v>47.63</c:v>
                </c:pt>
                <c:pt idx="34">
                  <c:v>47.92</c:v>
                </c:pt>
                <c:pt idx="35">
                  <c:v>47.77</c:v>
                </c:pt>
                <c:pt idx="36">
                  <c:v>47.87</c:v>
                </c:pt>
                <c:pt idx="37">
                  <c:v>47.8</c:v>
                </c:pt>
                <c:pt idx="38">
                  <c:v>48.06</c:v>
                </c:pt>
                <c:pt idx="39">
                  <c:v>47.86</c:v>
                </c:pt>
                <c:pt idx="40">
                  <c:v>47.7</c:v>
                </c:pt>
                <c:pt idx="41">
                  <c:v>47.52</c:v>
                </c:pt>
                <c:pt idx="42">
                  <c:v>47.74</c:v>
                </c:pt>
                <c:pt idx="43">
                  <c:v>47.66</c:v>
                </c:pt>
                <c:pt idx="44">
                  <c:v>48.08</c:v>
                </c:pt>
                <c:pt idx="45">
                  <c:v>47</c:v>
                </c:pt>
                <c:pt idx="46">
                  <c:v>48.03</c:v>
                </c:pt>
                <c:pt idx="47">
                  <c:v>49.02</c:v>
                </c:pt>
                <c:pt idx="48">
                  <c:v>49.33</c:v>
                </c:pt>
                <c:pt idx="49">
                  <c:v>48.09</c:v>
                </c:pt>
                <c:pt idx="50">
                  <c:v>46.84</c:v>
                </c:pt>
                <c:pt idx="51">
                  <c:v>46</c:v>
                </c:pt>
                <c:pt idx="52">
                  <c:v>45.63</c:v>
                </c:pt>
                <c:pt idx="53">
                  <c:v>45.62</c:v>
                </c:pt>
                <c:pt idx="54">
                  <c:v>45.67</c:v>
                </c:pt>
                <c:pt idx="55">
                  <c:v>44.74</c:v>
                </c:pt>
                <c:pt idx="56">
                  <c:v>44.95</c:v>
                </c:pt>
                <c:pt idx="57">
                  <c:v>45.35</c:v>
                </c:pt>
                <c:pt idx="58">
                  <c:v>45.75</c:v>
                </c:pt>
                <c:pt idx="59">
                  <c:v>45.22</c:v>
                </c:pt>
                <c:pt idx="60">
                  <c:v>44.39</c:v>
                </c:pt>
                <c:pt idx="61">
                  <c:v>44.25</c:v>
                </c:pt>
                <c:pt idx="62">
                  <c:v>44.55</c:v>
                </c:pt>
                <c:pt idx="63">
                  <c:v>44.77</c:v>
                </c:pt>
                <c:pt idx="64">
                  <c:v>42.79</c:v>
                </c:pt>
                <c:pt idx="65">
                  <c:v>42.53</c:v>
                </c:pt>
              </c:numCache>
            </c:numRef>
          </c:val>
          <c:smooth val="0"/>
        </c:ser>
        <c:dLbls>
          <c:showLegendKey val="0"/>
          <c:showVal val="0"/>
          <c:showCatName val="0"/>
          <c:showSerName val="0"/>
          <c:showPercent val="0"/>
          <c:showBubbleSize val="0"/>
        </c:dLbls>
        <c:marker val="1"/>
        <c:smooth val="0"/>
        <c:axId val="418600104"/>
        <c:axId val="418614216"/>
      </c:lineChart>
      <c:dateAx>
        <c:axId val="418600104"/>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18614216"/>
        <c:crosses val="autoZero"/>
        <c:auto val="1"/>
        <c:lblOffset val="100"/>
        <c:baseTimeUnit val="days"/>
      </c:dateAx>
      <c:valAx>
        <c:axId val="418614216"/>
        <c:scaling>
          <c:orientation val="minMax"/>
          <c:min val="26"/>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1860010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SWKS!$AA$1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SWKS!$W$2:$W$67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SWKS!$AA$2:$AA$67</c:f>
              <c:numCache>
                <c:formatCode>General</c:formatCode>
                <c:ptCount val="66"/>
                <c:pt idx="0">
                  <c:v>98.89</c:v>
                </c:pt>
                <c:pt idx="1">
                  <c:v>99.35</c:v>
                </c:pt>
                <c:pt idx="2">
                  <c:v>97.72</c:v>
                </c:pt>
                <c:pt idx="3">
                  <c:v>97.98</c:v>
                </c:pt>
                <c:pt idx="4">
                  <c:v>98.14</c:v>
                </c:pt>
                <c:pt idx="5">
                  <c:v>97.23</c:v>
                </c:pt>
                <c:pt idx="6">
                  <c:v>97.93</c:v>
                </c:pt>
                <c:pt idx="7">
                  <c:v>97.19</c:v>
                </c:pt>
                <c:pt idx="8">
                  <c:v>97.3</c:v>
                </c:pt>
                <c:pt idx="9">
                  <c:v>96.5</c:v>
                </c:pt>
                <c:pt idx="10">
                  <c:v>96.74</c:v>
                </c:pt>
                <c:pt idx="11">
                  <c:v>95.52</c:v>
                </c:pt>
                <c:pt idx="12">
                  <c:v>98.19</c:v>
                </c:pt>
                <c:pt idx="13">
                  <c:v>97.93</c:v>
                </c:pt>
                <c:pt idx="14">
                  <c:v>98.11</c:v>
                </c:pt>
                <c:pt idx="15">
                  <c:v>99.11</c:v>
                </c:pt>
                <c:pt idx="16">
                  <c:v>98.79</c:v>
                </c:pt>
                <c:pt idx="17">
                  <c:v>99.04</c:v>
                </c:pt>
                <c:pt idx="18">
                  <c:v>98.18</c:v>
                </c:pt>
                <c:pt idx="19">
                  <c:v>97.14</c:v>
                </c:pt>
                <c:pt idx="20">
                  <c:v>96.69</c:v>
                </c:pt>
                <c:pt idx="21">
                  <c:v>95.05</c:v>
                </c:pt>
                <c:pt idx="22">
                  <c:v>95.45</c:v>
                </c:pt>
                <c:pt idx="23">
                  <c:v>94.92</c:v>
                </c:pt>
                <c:pt idx="24">
                  <c:v>94.76</c:v>
                </c:pt>
                <c:pt idx="25">
                  <c:v>96.74</c:v>
                </c:pt>
                <c:pt idx="26">
                  <c:v>94.81</c:v>
                </c:pt>
                <c:pt idx="27">
                  <c:v>95.63</c:v>
                </c:pt>
                <c:pt idx="28">
                  <c:v>94.7</c:v>
                </c:pt>
                <c:pt idx="29">
                  <c:v>95.31</c:v>
                </c:pt>
                <c:pt idx="30">
                  <c:v>96.71</c:v>
                </c:pt>
                <c:pt idx="31">
                  <c:v>96.57</c:v>
                </c:pt>
                <c:pt idx="32">
                  <c:v>96.35</c:v>
                </c:pt>
                <c:pt idx="33">
                  <c:v>92.43</c:v>
                </c:pt>
                <c:pt idx="34">
                  <c:v>92.13</c:v>
                </c:pt>
                <c:pt idx="35">
                  <c:v>91.8</c:v>
                </c:pt>
                <c:pt idx="36">
                  <c:v>92.63</c:v>
                </c:pt>
                <c:pt idx="37">
                  <c:v>92.21</c:v>
                </c:pt>
                <c:pt idx="38">
                  <c:v>92.47</c:v>
                </c:pt>
                <c:pt idx="39">
                  <c:v>91.69</c:v>
                </c:pt>
                <c:pt idx="40">
                  <c:v>91.78</c:v>
                </c:pt>
                <c:pt idx="41">
                  <c:v>91.39</c:v>
                </c:pt>
                <c:pt idx="42">
                  <c:v>91.56</c:v>
                </c:pt>
                <c:pt idx="43">
                  <c:v>91.11</c:v>
                </c:pt>
                <c:pt idx="44">
                  <c:v>91.74</c:v>
                </c:pt>
                <c:pt idx="45">
                  <c:v>91.74</c:v>
                </c:pt>
                <c:pt idx="47">
                  <c:v>92.99</c:v>
                </c:pt>
                <c:pt idx="48">
                  <c:v>92.01</c:v>
                </c:pt>
                <c:pt idx="49">
                  <c:v>91.01</c:v>
                </c:pt>
                <c:pt idx="50">
                  <c:v>91.87</c:v>
                </c:pt>
                <c:pt idx="51">
                  <c:v>92.27</c:v>
                </c:pt>
                <c:pt idx="52">
                  <c:v>90.17</c:v>
                </c:pt>
                <c:pt idx="53">
                  <c:v>88.67</c:v>
                </c:pt>
                <c:pt idx="54">
                  <c:v>78.459999999999994</c:v>
                </c:pt>
                <c:pt idx="55">
                  <c:v>79.27</c:v>
                </c:pt>
                <c:pt idx="56">
                  <c:v>76.89</c:v>
                </c:pt>
                <c:pt idx="57">
                  <c:v>78.33</c:v>
                </c:pt>
                <c:pt idx="58">
                  <c:v>76.75</c:v>
                </c:pt>
                <c:pt idx="59">
                  <c:v>78.41</c:v>
                </c:pt>
                <c:pt idx="60">
                  <c:v>77.31</c:v>
                </c:pt>
                <c:pt idx="61">
                  <c:v>75.650000000000006</c:v>
                </c:pt>
                <c:pt idx="62">
                  <c:v>74.959999999999994</c:v>
                </c:pt>
                <c:pt idx="63">
                  <c:v>74.569999999999993</c:v>
                </c:pt>
                <c:pt idx="64">
                  <c:v>74.989999999999995</c:v>
                </c:pt>
                <c:pt idx="65">
                  <c:v>75.150000000000006</c:v>
                </c:pt>
              </c:numCache>
            </c:numRef>
          </c:val>
          <c:smooth val="0"/>
        </c:ser>
        <c:dLbls>
          <c:showLegendKey val="0"/>
          <c:showVal val="0"/>
          <c:showCatName val="0"/>
          <c:showSerName val="0"/>
          <c:showPercent val="0"/>
          <c:showBubbleSize val="0"/>
        </c:dLbls>
        <c:marker val="1"/>
        <c:smooth val="0"/>
        <c:axId val="418612256"/>
        <c:axId val="418612648"/>
      </c:lineChart>
      <c:dateAx>
        <c:axId val="418612256"/>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18612648"/>
        <c:crosses val="autoZero"/>
        <c:auto val="1"/>
        <c:lblOffset val="100"/>
        <c:baseTimeUnit val="days"/>
      </c:dateAx>
      <c:valAx>
        <c:axId val="418612648"/>
        <c:scaling>
          <c:orientation val="minMax"/>
          <c:min val="4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1861225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NWL!$E$45</c:f>
              <c:strCache>
                <c:ptCount val="1"/>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NWL!$B$46:$B$139</c:f>
              <c:numCache>
                <c:formatCode>d\-mmm</c:formatCode>
                <c:ptCount val="94"/>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pt idx="80">
                  <c:v>43657</c:v>
                </c:pt>
                <c:pt idx="81">
                  <c:v>43658</c:v>
                </c:pt>
                <c:pt idx="82">
                  <c:v>43678</c:v>
                </c:pt>
                <c:pt idx="83">
                  <c:v>43679</c:v>
                </c:pt>
                <c:pt idx="84">
                  <c:v>43707</c:v>
                </c:pt>
                <c:pt idx="85">
                  <c:v>43712</c:v>
                </c:pt>
                <c:pt idx="86">
                  <c:v>43713</c:v>
                </c:pt>
                <c:pt idx="87">
                  <c:v>43722</c:v>
                </c:pt>
              </c:numCache>
            </c:numRef>
          </c:cat>
          <c:val>
            <c:numRef>
              <c:f>NWL!$E$46:$E$139</c:f>
              <c:numCache>
                <c:formatCode>0.00</c:formatCode>
                <c:ptCount val="94"/>
                <c:pt idx="0">
                  <c:v>44.76</c:v>
                </c:pt>
                <c:pt idx="1">
                  <c:v>43.2</c:v>
                </c:pt>
                <c:pt idx="2">
                  <c:v>41.48</c:v>
                </c:pt>
                <c:pt idx="3">
                  <c:v>40.369999999999997</c:v>
                </c:pt>
                <c:pt idx="4">
                  <c:v>30.77</c:v>
                </c:pt>
                <c:pt idx="5">
                  <c:v>30.82</c:v>
                </c:pt>
                <c:pt idx="6">
                  <c:v>31.31</c:v>
                </c:pt>
                <c:pt idx="7">
                  <c:v>30.1</c:v>
                </c:pt>
                <c:pt idx="8">
                  <c:v>28.45</c:v>
                </c:pt>
                <c:pt idx="9">
                  <c:v>29.79</c:v>
                </c:pt>
                <c:pt idx="10">
                  <c:v>31.78</c:v>
                </c:pt>
                <c:pt idx="11">
                  <c:v>30.7</c:v>
                </c:pt>
                <c:pt idx="12">
                  <c:v>30.21</c:v>
                </c:pt>
                <c:pt idx="13">
                  <c:v>30.68</c:v>
                </c:pt>
                <c:pt idx="14">
                  <c:v>30.9</c:v>
                </c:pt>
                <c:pt idx="15">
                  <c:v>31.83</c:v>
                </c:pt>
                <c:pt idx="16">
                  <c:v>31.15</c:v>
                </c:pt>
                <c:pt idx="17">
                  <c:v>24.81</c:v>
                </c:pt>
                <c:pt idx="18">
                  <c:v>25.38</c:v>
                </c:pt>
                <c:pt idx="19">
                  <c:v>26.358000000000001</c:v>
                </c:pt>
                <c:pt idx="20">
                  <c:v>27.61</c:v>
                </c:pt>
                <c:pt idx="21">
                  <c:v>26.96</c:v>
                </c:pt>
                <c:pt idx="22">
                  <c:v>28.6</c:v>
                </c:pt>
                <c:pt idx="23">
                  <c:v>26.79</c:v>
                </c:pt>
                <c:pt idx="24">
                  <c:v>26.06</c:v>
                </c:pt>
                <c:pt idx="25">
                  <c:v>25.19</c:v>
                </c:pt>
                <c:pt idx="26">
                  <c:v>25.67</c:v>
                </c:pt>
                <c:pt idx="27">
                  <c:v>26.96</c:v>
                </c:pt>
                <c:pt idx="28">
                  <c:v>27.58</c:v>
                </c:pt>
                <c:pt idx="29">
                  <c:v>27.05</c:v>
                </c:pt>
                <c:pt idx="30">
                  <c:v>26.85</c:v>
                </c:pt>
                <c:pt idx="31">
                  <c:v>26.69</c:v>
                </c:pt>
                <c:pt idx="32">
                  <c:v>26.39</c:v>
                </c:pt>
                <c:pt idx="33">
                  <c:v>24.83</c:v>
                </c:pt>
                <c:pt idx="34">
                  <c:v>23.12</c:v>
                </c:pt>
                <c:pt idx="35">
                  <c:v>25.59</c:v>
                </c:pt>
                <c:pt idx="36">
                  <c:v>26.05</c:v>
                </c:pt>
                <c:pt idx="37">
                  <c:v>27.15</c:v>
                </c:pt>
                <c:pt idx="38">
                  <c:v>27.42</c:v>
                </c:pt>
                <c:pt idx="39">
                  <c:v>26.28</c:v>
                </c:pt>
                <c:pt idx="40">
                  <c:v>25.67</c:v>
                </c:pt>
                <c:pt idx="41">
                  <c:v>26.52</c:v>
                </c:pt>
                <c:pt idx="42">
                  <c:v>25.2</c:v>
                </c:pt>
                <c:pt idx="43">
                  <c:v>22.76</c:v>
                </c:pt>
                <c:pt idx="44">
                  <c:v>21.68</c:v>
                </c:pt>
                <c:pt idx="45">
                  <c:v>20.79</c:v>
                </c:pt>
                <c:pt idx="46">
                  <c:v>20.45</c:v>
                </c:pt>
                <c:pt idx="47">
                  <c:v>21.31</c:v>
                </c:pt>
                <c:pt idx="48">
                  <c:v>21.5</c:v>
                </c:pt>
                <c:pt idx="49">
                  <c:v>21.75</c:v>
                </c:pt>
                <c:pt idx="50">
                  <c:v>22.5</c:v>
                </c:pt>
                <c:pt idx="51">
                  <c:v>21.86</c:v>
                </c:pt>
                <c:pt idx="52">
                  <c:v>21.37</c:v>
                </c:pt>
                <c:pt idx="53">
                  <c:v>21.87</c:v>
                </c:pt>
                <c:pt idx="54">
                  <c:v>21.27</c:v>
                </c:pt>
                <c:pt idx="55">
                  <c:v>21.73</c:v>
                </c:pt>
                <c:pt idx="56">
                  <c:v>21.7</c:v>
                </c:pt>
                <c:pt idx="57">
                  <c:v>22</c:v>
                </c:pt>
                <c:pt idx="58">
                  <c:v>21.84</c:v>
                </c:pt>
                <c:pt idx="59">
                  <c:v>20.45</c:v>
                </c:pt>
                <c:pt idx="60">
                  <c:v>20.45</c:v>
                </c:pt>
                <c:pt idx="61">
                  <c:v>18.82</c:v>
                </c:pt>
                <c:pt idx="62">
                  <c:v>19.309999999999999</c:v>
                </c:pt>
                <c:pt idx="63">
                  <c:v>18.07</c:v>
                </c:pt>
                <c:pt idx="64">
                  <c:v>17.52</c:v>
                </c:pt>
                <c:pt idx="65">
                  <c:v>15.4</c:v>
                </c:pt>
                <c:pt idx="66">
                  <c:v>18.989999999999998</c:v>
                </c:pt>
                <c:pt idx="67">
                  <c:v>19.97</c:v>
                </c:pt>
                <c:pt idx="68">
                  <c:v>20.53</c:v>
                </c:pt>
                <c:pt idx="69">
                  <c:v>21.38</c:v>
                </c:pt>
                <c:pt idx="70">
                  <c:v>21.68</c:v>
                </c:pt>
                <c:pt idx="71">
                  <c:v>23.52</c:v>
                </c:pt>
                <c:pt idx="72">
                  <c:v>22.08</c:v>
                </c:pt>
                <c:pt idx="73">
                  <c:v>17.16</c:v>
                </c:pt>
                <c:pt idx="74">
                  <c:v>15.61</c:v>
                </c:pt>
                <c:pt idx="75">
                  <c:v>15.4</c:v>
                </c:pt>
                <c:pt idx="76">
                  <c:v>15</c:v>
                </c:pt>
                <c:pt idx="77">
                  <c:v>16.63</c:v>
                </c:pt>
                <c:pt idx="78">
                  <c:v>13.65</c:v>
                </c:pt>
                <c:pt idx="79">
                  <c:v>14.5</c:v>
                </c:pt>
                <c:pt idx="80">
                  <c:v>14.62</c:v>
                </c:pt>
                <c:pt idx="81">
                  <c:v>14.92</c:v>
                </c:pt>
                <c:pt idx="82">
                  <c:v>13.43</c:v>
                </c:pt>
                <c:pt idx="83">
                  <c:v>15.34</c:v>
                </c:pt>
                <c:pt idx="84">
                  <c:v>16.600000000000001</c:v>
                </c:pt>
                <c:pt idx="85">
                  <c:v>16.98</c:v>
                </c:pt>
              </c:numCache>
            </c:numRef>
          </c:val>
          <c:smooth val="0"/>
        </c:ser>
        <c:ser>
          <c:idx val="1"/>
          <c:order val="1"/>
          <c:tx>
            <c:strRef>
              <c:f>NWL!$D$45</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NWL!$B$46:$B$139</c:f>
              <c:numCache>
                <c:formatCode>d\-mmm</c:formatCode>
                <c:ptCount val="94"/>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pt idx="80">
                  <c:v>43657</c:v>
                </c:pt>
                <c:pt idx="81">
                  <c:v>43658</c:v>
                </c:pt>
                <c:pt idx="82">
                  <c:v>43678</c:v>
                </c:pt>
                <c:pt idx="83">
                  <c:v>43679</c:v>
                </c:pt>
                <c:pt idx="84">
                  <c:v>43707</c:v>
                </c:pt>
                <c:pt idx="85">
                  <c:v>43712</c:v>
                </c:pt>
                <c:pt idx="86">
                  <c:v>43713</c:v>
                </c:pt>
                <c:pt idx="87">
                  <c:v>43722</c:v>
                </c:pt>
              </c:numCache>
            </c:numRef>
          </c:cat>
          <c:val>
            <c:numRef>
              <c:f>NWL!$D$46:$D$139</c:f>
              <c:numCache>
                <c:formatCode>0.00</c:formatCode>
                <c:ptCount val="94"/>
                <c:pt idx="0">
                  <c:v>44.98</c:v>
                </c:pt>
                <c:pt idx="1">
                  <c:v>43.796399999999998</c:v>
                </c:pt>
                <c:pt idx="2">
                  <c:v>43.796399999999998</c:v>
                </c:pt>
                <c:pt idx="3">
                  <c:v>42.494999999999997</c:v>
                </c:pt>
                <c:pt idx="4">
                  <c:v>39.311100000000003</c:v>
                </c:pt>
                <c:pt idx="5">
                  <c:v>35.243400000000001</c:v>
                </c:pt>
                <c:pt idx="6">
                  <c:v>36.485799999999998</c:v>
                </c:pt>
                <c:pt idx="7">
                  <c:v>35.020400000000002</c:v>
                </c:pt>
                <c:pt idx="8">
                  <c:v>33.913699999999999</c:v>
                </c:pt>
                <c:pt idx="9">
                  <c:v>34.780500000000004</c:v>
                </c:pt>
                <c:pt idx="10">
                  <c:v>35.309699999999999</c:v>
                </c:pt>
                <c:pt idx="11">
                  <c:v>35.049999999999997</c:v>
                </c:pt>
                <c:pt idx="12">
                  <c:v>34.463999999999999</c:v>
                </c:pt>
                <c:pt idx="13">
                  <c:v>35.658999999999999</c:v>
                </c:pt>
                <c:pt idx="14">
                  <c:v>36.552</c:v>
                </c:pt>
                <c:pt idx="15">
                  <c:v>36.552</c:v>
                </c:pt>
                <c:pt idx="16">
                  <c:v>36.552</c:v>
                </c:pt>
                <c:pt idx="17">
                  <c:v>32.3932</c:v>
                </c:pt>
                <c:pt idx="18">
                  <c:v>36.340000000000003</c:v>
                </c:pt>
                <c:pt idx="19">
                  <c:v>37.770000000000003</c:v>
                </c:pt>
                <c:pt idx="20">
                  <c:v>37.770000000000003</c:v>
                </c:pt>
                <c:pt idx="21">
                  <c:v>37.770000000000003</c:v>
                </c:pt>
                <c:pt idx="22">
                  <c:v>37.770000000000003</c:v>
                </c:pt>
                <c:pt idx="23">
                  <c:v>34.729999999999997</c:v>
                </c:pt>
                <c:pt idx="24">
                  <c:v>34.729999999999997</c:v>
                </c:pt>
                <c:pt idx="25">
                  <c:v>32.32</c:v>
                </c:pt>
                <c:pt idx="26">
                  <c:v>34.42</c:v>
                </c:pt>
                <c:pt idx="27">
                  <c:v>34.42</c:v>
                </c:pt>
                <c:pt idx="28">
                  <c:v>36.86</c:v>
                </c:pt>
                <c:pt idx="29">
                  <c:v>34.158099999999997</c:v>
                </c:pt>
                <c:pt idx="30">
                  <c:v>36.472000000000001</c:v>
                </c:pt>
                <c:pt idx="31">
                  <c:v>33.9133</c:v>
                </c:pt>
                <c:pt idx="32">
                  <c:v>33.9133</c:v>
                </c:pt>
                <c:pt idx="33">
                  <c:v>31.690200000000001</c:v>
                </c:pt>
                <c:pt idx="34">
                  <c:v>31.690200000000001</c:v>
                </c:pt>
                <c:pt idx="35">
                  <c:v>33.588299999999997</c:v>
                </c:pt>
                <c:pt idx="36">
                  <c:v>33.285699999999999</c:v>
                </c:pt>
                <c:pt idx="37">
                  <c:v>35.47</c:v>
                </c:pt>
                <c:pt idx="38">
                  <c:v>35.47</c:v>
                </c:pt>
                <c:pt idx="39">
                  <c:v>33.048900000000003</c:v>
                </c:pt>
                <c:pt idx="40">
                  <c:v>31.277999999999999</c:v>
                </c:pt>
                <c:pt idx="41">
                  <c:v>32.78</c:v>
                </c:pt>
                <c:pt idx="42">
                  <c:v>30.961300000000001</c:v>
                </c:pt>
                <c:pt idx="43">
                  <c:v>28.7849</c:v>
                </c:pt>
                <c:pt idx="44">
                  <c:v>27.901800000000001</c:v>
                </c:pt>
                <c:pt idx="45">
                  <c:v>26.401399999999999</c:v>
                </c:pt>
                <c:pt idx="46">
                  <c:v>24.43</c:v>
                </c:pt>
                <c:pt idx="47">
                  <c:v>24.43</c:v>
                </c:pt>
                <c:pt idx="48">
                  <c:v>24.8627</c:v>
                </c:pt>
                <c:pt idx="49">
                  <c:v>25.796600000000002</c:v>
                </c:pt>
                <c:pt idx="50">
                  <c:v>25.796600000000002</c:v>
                </c:pt>
                <c:pt idx="51">
                  <c:v>25.796600000000002</c:v>
                </c:pt>
                <c:pt idx="52">
                  <c:v>25.044</c:v>
                </c:pt>
                <c:pt idx="53">
                  <c:v>25.044</c:v>
                </c:pt>
                <c:pt idx="54">
                  <c:v>25.044</c:v>
                </c:pt>
                <c:pt idx="55">
                  <c:v>25.044</c:v>
                </c:pt>
                <c:pt idx="56">
                  <c:v>24.8522</c:v>
                </c:pt>
                <c:pt idx="57">
                  <c:v>25.366599999999998</c:v>
                </c:pt>
                <c:pt idx="58">
                  <c:v>25.366599999999998</c:v>
                </c:pt>
                <c:pt idx="59">
                  <c:v>24.6355</c:v>
                </c:pt>
                <c:pt idx="60">
                  <c:v>24.3032</c:v>
                </c:pt>
                <c:pt idx="61">
                  <c:v>23.605399999999999</c:v>
                </c:pt>
                <c:pt idx="62">
                  <c:v>23.605399999999999</c:v>
                </c:pt>
                <c:pt idx="63">
                  <c:v>23.605399999999999</c:v>
                </c:pt>
                <c:pt idx="64">
                  <c:v>23.605399999999999</c:v>
                </c:pt>
                <c:pt idx="65">
                  <c:v>23.61</c:v>
                </c:pt>
                <c:pt idx="66">
                  <c:v>23.61</c:v>
                </c:pt>
                <c:pt idx="67">
                  <c:v>24.209399999999999</c:v>
                </c:pt>
                <c:pt idx="68">
                  <c:v>24.21</c:v>
                </c:pt>
                <c:pt idx="69">
                  <c:v>25.9879</c:v>
                </c:pt>
                <c:pt idx="70">
                  <c:v>28.506799999999998</c:v>
                </c:pt>
                <c:pt idx="71">
                  <c:v>32.3249</c:v>
                </c:pt>
                <c:pt idx="72">
                  <c:v>32.094999999999999</c:v>
                </c:pt>
                <c:pt idx="73">
                  <c:v>26.328900000000001</c:v>
                </c:pt>
                <c:pt idx="74">
                  <c:v>26.33</c:v>
                </c:pt>
                <c:pt idx="75">
                  <c:v>26.1</c:v>
                </c:pt>
                <c:pt idx="76">
                  <c:v>22.9621</c:v>
                </c:pt>
                <c:pt idx="77">
                  <c:v>25.635000000000002</c:v>
                </c:pt>
                <c:pt idx="78">
                  <c:v>25.64</c:v>
                </c:pt>
                <c:pt idx="79">
                  <c:v>25.405000000000001</c:v>
                </c:pt>
                <c:pt idx="80">
                  <c:v>22.283999999999999</c:v>
                </c:pt>
                <c:pt idx="81">
                  <c:v>25.23</c:v>
                </c:pt>
                <c:pt idx="82">
                  <c:v>21.986599999999999</c:v>
                </c:pt>
                <c:pt idx="83">
                  <c:v>24.832999999999998</c:v>
                </c:pt>
                <c:pt idx="84">
                  <c:v>26.89</c:v>
                </c:pt>
                <c:pt idx="85">
                  <c:v>30.243300000000001</c:v>
                </c:pt>
              </c:numCache>
            </c:numRef>
          </c:val>
          <c:smooth val="0"/>
        </c:ser>
        <c:dLbls>
          <c:showLegendKey val="0"/>
          <c:showVal val="0"/>
          <c:showCatName val="0"/>
          <c:showSerName val="0"/>
          <c:showPercent val="0"/>
          <c:showBubbleSize val="0"/>
        </c:dLbls>
        <c:marker val="1"/>
        <c:smooth val="0"/>
        <c:axId val="449122112"/>
        <c:axId val="449121328"/>
      </c:lineChart>
      <c:dateAx>
        <c:axId val="44912211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9121328"/>
        <c:crosses val="autoZero"/>
        <c:auto val="1"/>
        <c:lblOffset val="100"/>
        <c:baseTimeUnit val="days"/>
      </c:dateAx>
      <c:valAx>
        <c:axId val="449121328"/>
        <c:scaling>
          <c:orientation val="minMax"/>
          <c:max val="48"/>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912211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NWL!$F$45</c:f>
              <c:strCache>
                <c:ptCount val="1"/>
                <c:pt idx="0">
                  <c:v>P/L</c:v>
                </c:pt>
              </c:strCache>
            </c:strRef>
          </c:tx>
          <c:spPr>
            <a:ln w="28575" cap="rnd">
              <a:solidFill>
                <a:srgbClr val="00B050"/>
              </a:solidFill>
              <a:round/>
            </a:ln>
            <a:effectLst/>
          </c:spPr>
          <c:marker>
            <c:symbol val="square"/>
            <c:size val="5"/>
            <c:spPr>
              <a:solidFill>
                <a:schemeClr val="accent1"/>
              </a:solidFill>
              <a:ln w="9525">
                <a:solidFill>
                  <a:srgbClr val="00B050"/>
                </a:solidFill>
              </a:ln>
              <a:effectLst/>
            </c:spPr>
          </c:marker>
          <c:cat>
            <c:numRef>
              <c:f>NWL!$B$46:$B$139</c:f>
              <c:numCache>
                <c:formatCode>d\-mmm</c:formatCode>
                <c:ptCount val="94"/>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pt idx="80">
                  <c:v>43657</c:v>
                </c:pt>
                <c:pt idx="81">
                  <c:v>43658</c:v>
                </c:pt>
                <c:pt idx="82">
                  <c:v>43678</c:v>
                </c:pt>
                <c:pt idx="83">
                  <c:v>43679</c:v>
                </c:pt>
                <c:pt idx="84">
                  <c:v>43707</c:v>
                </c:pt>
                <c:pt idx="85">
                  <c:v>43712</c:v>
                </c:pt>
                <c:pt idx="86">
                  <c:v>43713</c:v>
                </c:pt>
                <c:pt idx="87">
                  <c:v>43722</c:v>
                </c:pt>
              </c:numCache>
            </c:numRef>
          </c:cat>
          <c:val>
            <c:numRef>
              <c:f>NWL!$F$46:$F$139</c:f>
              <c:numCache>
                <c:formatCode>0.00</c:formatCode>
                <c:ptCount val="94"/>
                <c:pt idx="0">
                  <c:v>-10.999999999999943</c:v>
                </c:pt>
                <c:pt idx="1">
                  <c:v>-65.603999999999516</c:v>
                </c:pt>
                <c:pt idx="2">
                  <c:v>-254.80400000000017</c:v>
                </c:pt>
                <c:pt idx="3">
                  <c:v>-382.5</c:v>
                </c:pt>
                <c:pt idx="4">
                  <c:v>-2391.5080000000012</c:v>
                </c:pt>
                <c:pt idx="5">
                  <c:v>-2211.7000000000003</c:v>
                </c:pt>
                <c:pt idx="6">
                  <c:v>-1966.8039999999996</c:v>
                </c:pt>
                <c:pt idx="7">
                  <c:v>-2460.2000000000003</c:v>
                </c:pt>
                <c:pt idx="8">
                  <c:v>-3278.22</c:v>
                </c:pt>
                <c:pt idx="9">
                  <c:v>-2495.2500000000023</c:v>
                </c:pt>
                <c:pt idx="10">
                  <c:v>-1553.0679999999993</c:v>
                </c:pt>
                <c:pt idx="11">
                  <c:v>-1913.9999999999991</c:v>
                </c:pt>
                <c:pt idx="12">
                  <c:v>-2126.9999999999991</c:v>
                </c:pt>
                <c:pt idx="13">
                  <c:v>-1892.0199999999998</c:v>
                </c:pt>
                <c:pt idx="14">
                  <c:v>-1808.6400000000003</c:v>
                </c:pt>
                <c:pt idx="15">
                  <c:v>-1511.0400000000004</c:v>
                </c:pt>
                <c:pt idx="16">
                  <c:v>-1728.6400000000003</c:v>
                </c:pt>
                <c:pt idx="17">
                  <c:v>-3791.6000000000008</c:v>
                </c:pt>
                <c:pt idx="18">
                  <c:v>-3507.2000000000016</c:v>
                </c:pt>
                <c:pt idx="19">
                  <c:v>-3195.3600000000006</c:v>
                </c:pt>
                <c:pt idx="20">
                  <c:v>-2844.8000000000011</c:v>
                </c:pt>
                <c:pt idx="21">
                  <c:v>-3026.8000000000006</c:v>
                </c:pt>
                <c:pt idx="22">
                  <c:v>-2567.6000000000004</c:v>
                </c:pt>
                <c:pt idx="23">
                  <c:v>-3017.1999999999989</c:v>
                </c:pt>
                <c:pt idx="24">
                  <c:v>-3294.5999999999995</c:v>
                </c:pt>
                <c:pt idx="25">
                  <c:v>-3564.9999999999995</c:v>
                </c:pt>
                <c:pt idx="26">
                  <c:v>-3325</c:v>
                </c:pt>
                <c:pt idx="27">
                  <c:v>-2834.8</c:v>
                </c:pt>
                <c:pt idx="28">
                  <c:v>-2598.4000000000005</c:v>
                </c:pt>
                <c:pt idx="29">
                  <c:v>-2701.0779999999986</c:v>
                </c:pt>
                <c:pt idx="30">
                  <c:v>-2694.16</c:v>
                </c:pt>
                <c:pt idx="31">
                  <c:v>-2744.8539999999994</c:v>
                </c:pt>
                <c:pt idx="32">
                  <c:v>-2858.8539999999998</c:v>
                </c:pt>
                <c:pt idx="33">
                  <c:v>-3430.1000000000013</c:v>
                </c:pt>
                <c:pt idx="34">
                  <c:v>-4285.1000000000004</c:v>
                </c:pt>
                <c:pt idx="35">
                  <c:v>-3039.3539999999989</c:v>
                </c:pt>
                <c:pt idx="36">
                  <c:v>-2749.5659999999993</c:v>
                </c:pt>
                <c:pt idx="37">
                  <c:v>-2329.6</c:v>
                </c:pt>
                <c:pt idx="38">
                  <c:v>-2253.9999999999991</c:v>
                </c:pt>
                <c:pt idx="39">
                  <c:v>-2572.1820000000007</c:v>
                </c:pt>
                <c:pt idx="40">
                  <c:v>-2803.9999999999986</c:v>
                </c:pt>
                <c:pt idx="41">
                  <c:v>-2378.8000000000006</c:v>
                </c:pt>
                <c:pt idx="42">
                  <c:v>-2880.650000000001</c:v>
                </c:pt>
                <c:pt idx="43">
                  <c:v>-4217.4299999999994</c:v>
                </c:pt>
                <c:pt idx="44">
                  <c:v>-4977.4400000000014</c:v>
                </c:pt>
                <c:pt idx="45">
                  <c:v>-5611.4</c:v>
                </c:pt>
                <c:pt idx="46">
                  <c:v>-5970.0000000000009</c:v>
                </c:pt>
                <c:pt idx="47">
                  <c:v>-4680.0000000000018</c:v>
                </c:pt>
                <c:pt idx="48">
                  <c:v>-4371.51</c:v>
                </c:pt>
                <c:pt idx="49">
                  <c:v>-4046.6000000000017</c:v>
                </c:pt>
                <c:pt idx="50">
                  <c:v>-3296.6000000000017</c:v>
                </c:pt>
                <c:pt idx="51">
                  <c:v>-3936.6000000000022</c:v>
                </c:pt>
                <c:pt idx="52">
                  <c:v>-4408.7999999999993</c:v>
                </c:pt>
                <c:pt idx="53">
                  <c:v>-3808.7999999999993</c:v>
                </c:pt>
                <c:pt idx="54">
                  <c:v>-4528.8000000000011</c:v>
                </c:pt>
                <c:pt idx="55">
                  <c:v>-3976.8</c:v>
                </c:pt>
                <c:pt idx="56">
                  <c:v>-3782.6400000000008</c:v>
                </c:pt>
                <c:pt idx="57">
                  <c:v>-3366.5999999999981</c:v>
                </c:pt>
                <c:pt idx="58">
                  <c:v>-3526.5999999999985</c:v>
                </c:pt>
                <c:pt idx="59">
                  <c:v>-5022.6000000000013</c:v>
                </c:pt>
                <c:pt idx="60">
                  <c:v>-5009.1600000000017</c:v>
                </c:pt>
                <c:pt idx="61">
                  <c:v>-7178.0999999999985</c:v>
                </c:pt>
                <c:pt idx="62">
                  <c:v>-6443.1000000000013</c:v>
                </c:pt>
                <c:pt idx="63">
                  <c:v>-8303.0999999999985</c:v>
                </c:pt>
                <c:pt idx="64">
                  <c:v>-9128.1</c:v>
                </c:pt>
                <c:pt idx="65">
                  <c:v>-12314.999999999998</c:v>
                </c:pt>
                <c:pt idx="66">
                  <c:v>-6930.0000000000018</c:v>
                </c:pt>
                <c:pt idx="67">
                  <c:v>-5511.2199999999993</c:v>
                </c:pt>
                <c:pt idx="68">
                  <c:v>-4784</c:v>
                </c:pt>
                <c:pt idx="69">
                  <c:v>-3686.3200000000006</c:v>
                </c:pt>
                <c:pt idx="70">
                  <c:v>-3413.3999999999992</c:v>
                </c:pt>
                <c:pt idx="71">
                  <c:v>-2641.47</c:v>
                </c:pt>
                <c:pt idx="72">
                  <c:v>-3004.5</c:v>
                </c:pt>
                <c:pt idx="73">
                  <c:v>-4584.4500000000007</c:v>
                </c:pt>
                <c:pt idx="74">
                  <c:v>-5359.9999999999991</c:v>
                </c:pt>
                <c:pt idx="75">
                  <c:v>-5350.0000000000009</c:v>
                </c:pt>
                <c:pt idx="76">
                  <c:v>-5573.4699999999993</c:v>
                </c:pt>
                <c:pt idx="77">
                  <c:v>-4502.5000000000009</c:v>
                </c:pt>
                <c:pt idx="78">
                  <c:v>-5995</c:v>
                </c:pt>
                <c:pt idx="79">
                  <c:v>-5452.5000000000009</c:v>
                </c:pt>
                <c:pt idx="80">
                  <c:v>-5364.8</c:v>
                </c:pt>
                <c:pt idx="81">
                  <c:v>-5155</c:v>
                </c:pt>
                <c:pt idx="82">
                  <c:v>-5989.62</c:v>
                </c:pt>
                <c:pt idx="83">
                  <c:v>-4746.4999999999991</c:v>
                </c:pt>
                <c:pt idx="84">
                  <c:v>-4116</c:v>
                </c:pt>
                <c:pt idx="85">
                  <c:v>-3978.9900000000002</c:v>
                </c:pt>
              </c:numCache>
            </c:numRef>
          </c:val>
          <c:smooth val="0"/>
        </c:ser>
        <c:dLbls>
          <c:showLegendKey val="0"/>
          <c:showVal val="0"/>
          <c:showCatName val="0"/>
          <c:showSerName val="0"/>
          <c:showPercent val="0"/>
          <c:showBubbleSize val="0"/>
        </c:dLbls>
        <c:marker val="1"/>
        <c:smooth val="0"/>
        <c:axId val="449118584"/>
        <c:axId val="449117408"/>
      </c:lineChart>
      <c:dateAx>
        <c:axId val="44911858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9117408"/>
        <c:crosses val="autoZero"/>
        <c:auto val="1"/>
        <c:lblOffset val="100"/>
        <c:baseTimeUnit val="days"/>
      </c:dateAx>
      <c:valAx>
        <c:axId val="44911740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911858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PDCO!$E$34</c:f>
              <c:strCache>
                <c:ptCount val="1"/>
                <c:pt idx="0">
                  <c:v>price</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PDCO!$B$35:$B$102</c:f>
              <c:numCache>
                <c:formatCode>d\-mmm</c:formatCode>
                <c:ptCount val="68"/>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pt idx="55">
                  <c:v>43647</c:v>
                </c:pt>
                <c:pt idx="56">
                  <c:v>43649</c:v>
                </c:pt>
                <c:pt idx="57">
                  <c:v>43657</c:v>
                </c:pt>
                <c:pt idx="58">
                  <c:v>43671</c:v>
                </c:pt>
                <c:pt idx="59">
                  <c:v>43676</c:v>
                </c:pt>
                <c:pt idx="60">
                  <c:v>43682</c:v>
                </c:pt>
                <c:pt idx="61">
                  <c:v>43765</c:v>
                </c:pt>
                <c:pt idx="62">
                  <c:v>43794</c:v>
                </c:pt>
                <c:pt idx="63">
                  <c:v>43804</c:v>
                </c:pt>
              </c:numCache>
            </c:numRef>
          </c:xVal>
          <c:yVal>
            <c:numRef>
              <c:f>PDCO!$E$35:$E$102</c:f>
              <c:numCache>
                <c:formatCode>0.00</c:formatCode>
                <c:ptCount val="68"/>
                <c:pt idx="0">
                  <c:v>36.130000000000003</c:v>
                </c:pt>
                <c:pt idx="1">
                  <c:v>37.68</c:v>
                </c:pt>
                <c:pt idx="2">
                  <c:v>36.85</c:v>
                </c:pt>
                <c:pt idx="3">
                  <c:v>37.76</c:v>
                </c:pt>
                <c:pt idx="4">
                  <c:v>36.74</c:v>
                </c:pt>
                <c:pt idx="5">
                  <c:v>35.659999999999997</c:v>
                </c:pt>
                <c:pt idx="6">
                  <c:v>34.33</c:v>
                </c:pt>
                <c:pt idx="7">
                  <c:v>24.1</c:v>
                </c:pt>
                <c:pt idx="8">
                  <c:v>24.1</c:v>
                </c:pt>
                <c:pt idx="9">
                  <c:v>24.1</c:v>
                </c:pt>
                <c:pt idx="10">
                  <c:v>24.95</c:v>
                </c:pt>
                <c:pt idx="11">
                  <c:v>23.91</c:v>
                </c:pt>
                <c:pt idx="12">
                  <c:v>23.17</c:v>
                </c:pt>
                <c:pt idx="13">
                  <c:v>22.1</c:v>
                </c:pt>
                <c:pt idx="14">
                  <c:v>21.86</c:v>
                </c:pt>
                <c:pt idx="15">
                  <c:v>22.85</c:v>
                </c:pt>
                <c:pt idx="16">
                  <c:v>22.33</c:v>
                </c:pt>
                <c:pt idx="17">
                  <c:v>23.38</c:v>
                </c:pt>
                <c:pt idx="18">
                  <c:v>23.76</c:v>
                </c:pt>
                <c:pt idx="19">
                  <c:v>23.76</c:v>
                </c:pt>
                <c:pt idx="20">
                  <c:v>23.28</c:v>
                </c:pt>
                <c:pt idx="21">
                  <c:v>22.09</c:v>
                </c:pt>
                <c:pt idx="22">
                  <c:v>22.1</c:v>
                </c:pt>
                <c:pt idx="23">
                  <c:v>21.44</c:v>
                </c:pt>
                <c:pt idx="24">
                  <c:v>22.46</c:v>
                </c:pt>
                <c:pt idx="25">
                  <c:v>23.29</c:v>
                </c:pt>
                <c:pt idx="26">
                  <c:v>24.12</c:v>
                </c:pt>
                <c:pt idx="27">
                  <c:v>23.75</c:v>
                </c:pt>
                <c:pt idx="28">
                  <c:v>22.48</c:v>
                </c:pt>
                <c:pt idx="29">
                  <c:v>23.08</c:v>
                </c:pt>
                <c:pt idx="30">
                  <c:v>23.64</c:v>
                </c:pt>
                <c:pt idx="31">
                  <c:v>24.27</c:v>
                </c:pt>
                <c:pt idx="32">
                  <c:v>23.72</c:v>
                </c:pt>
                <c:pt idx="33">
                  <c:v>23.28</c:v>
                </c:pt>
                <c:pt idx="34">
                  <c:v>23.4</c:v>
                </c:pt>
                <c:pt idx="35">
                  <c:v>24.27</c:v>
                </c:pt>
                <c:pt idx="36">
                  <c:v>24.95</c:v>
                </c:pt>
                <c:pt idx="37">
                  <c:v>22.68</c:v>
                </c:pt>
                <c:pt idx="38">
                  <c:v>22.9</c:v>
                </c:pt>
                <c:pt idx="39">
                  <c:v>23.53</c:v>
                </c:pt>
                <c:pt idx="40">
                  <c:v>23.98</c:v>
                </c:pt>
                <c:pt idx="41">
                  <c:v>23.41</c:v>
                </c:pt>
                <c:pt idx="42">
                  <c:v>23.82</c:v>
                </c:pt>
                <c:pt idx="43">
                  <c:v>22.54</c:v>
                </c:pt>
                <c:pt idx="44">
                  <c:v>23.72</c:v>
                </c:pt>
                <c:pt idx="45">
                  <c:v>23.4</c:v>
                </c:pt>
                <c:pt idx="46">
                  <c:v>22.78</c:v>
                </c:pt>
                <c:pt idx="47">
                  <c:v>23.33</c:v>
                </c:pt>
                <c:pt idx="48">
                  <c:v>26.16</c:v>
                </c:pt>
                <c:pt idx="49">
                  <c:v>23.09</c:v>
                </c:pt>
                <c:pt idx="50">
                  <c:v>22.29</c:v>
                </c:pt>
                <c:pt idx="51">
                  <c:v>22.23</c:v>
                </c:pt>
                <c:pt idx="52">
                  <c:v>21.9</c:v>
                </c:pt>
                <c:pt idx="53">
                  <c:v>21.75</c:v>
                </c:pt>
                <c:pt idx="54">
                  <c:v>24.2</c:v>
                </c:pt>
                <c:pt idx="55">
                  <c:v>22.25</c:v>
                </c:pt>
                <c:pt idx="56">
                  <c:v>22.34</c:v>
                </c:pt>
                <c:pt idx="57">
                  <c:v>21.4</c:v>
                </c:pt>
                <c:pt idx="58">
                  <c:v>19.38</c:v>
                </c:pt>
                <c:pt idx="59">
                  <c:v>20.05</c:v>
                </c:pt>
                <c:pt idx="60">
                  <c:v>18.53</c:v>
                </c:pt>
                <c:pt idx="61">
                  <c:v>17.11</c:v>
                </c:pt>
                <c:pt idx="62">
                  <c:v>19.7</c:v>
                </c:pt>
                <c:pt idx="63">
                  <c:v>23.1</c:v>
                </c:pt>
              </c:numCache>
            </c:numRef>
          </c:yVal>
          <c:smooth val="0"/>
        </c:ser>
        <c:ser>
          <c:idx val="1"/>
          <c:order val="1"/>
          <c:tx>
            <c:strRef>
              <c:f>PDCO!$D$34</c:f>
              <c:strCache>
                <c:ptCount val="1"/>
                <c:pt idx="0">
                  <c:v>mean cost</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PDCO!$B$35:$B$102</c:f>
              <c:numCache>
                <c:formatCode>d\-mmm</c:formatCode>
                <c:ptCount val="68"/>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pt idx="55">
                  <c:v>43647</c:v>
                </c:pt>
                <c:pt idx="56">
                  <c:v>43649</c:v>
                </c:pt>
                <c:pt idx="57">
                  <c:v>43657</c:v>
                </c:pt>
                <c:pt idx="58">
                  <c:v>43671</c:v>
                </c:pt>
                <c:pt idx="59">
                  <c:v>43676</c:v>
                </c:pt>
                <c:pt idx="60">
                  <c:v>43682</c:v>
                </c:pt>
                <c:pt idx="61">
                  <c:v>43765</c:v>
                </c:pt>
                <c:pt idx="62">
                  <c:v>43794</c:v>
                </c:pt>
                <c:pt idx="63">
                  <c:v>43804</c:v>
                </c:pt>
              </c:numCache>
            </c:numRef>
          </c:xVal>
          <c:yVal>
            <c:numRef>
              <c:f>PDCO!$D$35:$D$102</c:f>
              <c:numCache>
                <c:formatCode>0.00</c:formatCode>
                <c:ptCount val="68"/>
                <c:pt idx="0">
                  <c:v>36.25</c:v>
                </c:pt>
                <c:pt idx="1">
                  <c:v>36.25</c:v>
                </c:pt>
                <c:pt idx="2">
                  <c:v>36.25</c:v>
                </c:pt>
                <c:pt idx="3">
                  <c:v>35.99</c:v>
                </c:pt>
                <c:pt idx="4">
                  <c:v>36.335000000000001</c:v>
                </c:pt>
                <c:pt idx="5">
                  <c:v>35.963299999999997</c:v>
                </c:pt>
                <c:pt idx="6">
                  <c:v>35.963299999999997</c:v>
                </c:pt>
                <c:pt idx="7">
                  <c:v>34.04</c:v>
                </c:pt>
                <c:pt idx="8">
                  <c:v>32.03</c:v>
                </c:pt>
                <c:pt idx="9">
                  <c:v>30.46</c:v>
                </c:pt>
                <c:pt idx="10">
                  <c:v>33.212800000000001</c:v>
                </c:pt>
                <c:pt idx="11">
                  <c:v>33.212800000000001</c:v>
                </c:pt>
                <c:pt idx="12">
                  <c:v>31.225999999999999</c:v>
                </c:pt>
                <c:pt idx="13">
                  <c:v>29.743400000000001</c:v>
                </c:pt>
                <c:pt idx="14">
                  <c:v>29.607500000000002</c:v>
                </c:pt>
                <c:pt idx="15">
                  <c:v>30.933</c:v>
                </c:pt>
                <c:pt idx="16">
                  <c:v>30.933</c:v>
                </c:pt>
                <c:pt idx="17">
                  <c:v>30.9331</c:v>
                </c:pt>
                <c:pt idx="18">
                  <c:v>32.694000000000003</c:v>
                </c:pt>
                <c:pt idx="19">
                  <c:v>32.369</c:v>
                </c:pt>
                <c:pt idx="20">
                  <c:v>30.55</c:v>
                </c:pt>
                <c:pt idx="21">
                  <c:v>29.137699999999999</c:v>
                </c:pt>
                <c:pt idx="22">
                  <c:v>29.14</c:v>
                </c:pt>
                <c:pt idx="23">
                  <c:v>29.14</c:v>
                </c:pt>
                <c:pt idx="24">
                  <c:v>29.14</c:v>
                </c:pt>
                <c:pt idx="25">
                  <c:v>31.2666</c:v>
                </c:pt>
                <c:pt idx="26">
                  <c:v>33.262300000000003</c:v>
                </c:pt>
                <c:pt idx="27">
                  <c:v>30.841999999999999</c:v>
                </c:pt>
                <c:pt idx="28">
                  <c:v>30.84</c:v>
                </c:pt>
                <c:pt idx="29">
                  <c:v>30.84</c:v>
                </c:pt>
                <c:pt idx="30">
                  <c:v>30.84</c:v>
                </c:pt>
                <c:pt idx="31">
                  <c:v>33.03</c:v>
                </c:pt>
                <c:pt idx="32">
                  <c:v>30.701799999999999</c:v>
                </c:pt>
                <c:pt idx="33">
                  <c:v>29.217400000000001</c:v>
                </c:pt>
                <c:pt idx="34">
                  <c:v>29.009</c:v>
                </c:pt>
                <c:pt idx="35">
                  <c:v>30.1919</c:v>
                </c:pt>
                <c:pt idx="36">
                  <c:v>31.9391</c:v>
                </c:pt>
                <c:pt idx="37">
                  <c:v>29.624400000000001</c:v>
                </c:pt>
                <c:pt idx="38">
                  <c:v>29.62</c:v>
                </c:pt>
                <c:pt idx="39">
                  <c:v>29.62</c:v>
                </c:pt>
                <c:pt idx="40">
                  <c:v>31.506</c:v>
                </c:pt>
                <c:pt idx="41">
                  <c:v>28.163599999999999</c:v>
                </c:pt>
                <c:pt idx="42">
                  <c:v>29.244599999999998</c:v>
                </c:pt>
                <c:pt idx="43">
                  <c:v>29.24</c:v>
                </c:pt>
                <c:pt idx="44">
                  <c:v>30.8995</c:v>
                </c:pt>
                <c:pt idx="45">
                  <c:v>30.9</c:v>
                </c:pt>
                <c:pt idx="46">
                  <c:v>30.64</c:v>
                </c:pt>
                <c:pt idx="47">
                  <c:v>30.64</c:v>
                </c:pt>
                <c:pt idx="48">
                  <c:v>32.819499999999998</c:v>
                </c:pt>
                <c:pt idx="49">
                  <c:v>29.672999999999998</c:v>
                </c:pt>
                <c:pt idx="50">
                  <c:v>29.413</c:v>
                </c:pt>
                <c:pt idx="51">
                  <c:v>29.41</c:v>
                </c:pt>
                <c:pt idx="52">
                  <c:v>29.152999999999999</c:v>
                </c:pt>
                <c:pt idx="53">
                  <c:v>29.15</c:v>
                </c:pt>
                <c:pt idx="54">
                  <c:v>31.59</c:v>
                </c:pt>
                <c:pt idx="55">
                  <c:v>28.4648</c:v>
                </c:pt>
                <c:pt idx="56">
                  <c:v>31.3475</c:v>
                </c:pt>
                <c:pt idx="57">
                  <c:v>28.015000000000001</c:v>
                </c:pt>
                <c:pt idx="58">
                  <c:v>28.02</c:v>
                </c:pt>
                <c:pt idx="59">
                  <c:v>27.84</c:v>
                </c:pt>
                <c:pt idx="60">
                  <c:v>25.531199999999998</c:v>
                </c:pt>
                <c:pt idx="61">
                  <c:v>25.27</c:v>
                </c:pt>
                <c:pt idx="62">
                  <c:v>27.15</c:v>
                </c:pt>
                <c:pt idx="63">
                  <c:v>29.324999999999999</c:v>
                </c:pt>
              </c:numCache>
            </c:numRef>
          </c:yVal>
          <c:smooth val="0"/>
        </c:ser>
        <c:dLbls>
          <c:showLegendKey val="0"/>
          <c:showVal val="0"/>
          <c:showCatName val="0"/>
          <c:showSerName val="0"/>
          <c:showPercent val="0"/>
          <c:showBubbleSize val="0"/>
        </c:dLbls>
        <c:axId val="449116232"/>
        <c:axId val="449126032"/>
      </c:scatterChart>
      <c:valAx>
        <c:axId val="449116232"/>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9126032"/>
        <c:crosses val="autoZero"/>
        <c:crossBetween val="midCat"/>
      </c:valAx>
      <c:valAx>
        <c:axId val="44912603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9116232"/>
        <c:crosses val="autoZero"/>
        <c:crossBetween val="midCat"/>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PDCO!$F$34</c:f>
              <c:strCache>
                <c:ptCount val="1"/>
                <c:pt idx="0">
                  <c:v>P/L</c:v>
                </c:pt>
              </c:strCache>
            </c:strRef>
          </c:tx>
          <c:spPr>
            <a:ln w="19050" cap="rnd">
              <a:solidFill>
                <a:srgbClr val="00B050"/>
              </a:solidFill>
              <a:round/>
            </a:ln>
            <a:effectLst/>
          </c:spPr>
          <c:marker>
            <c:symbol val="circle"/>
            <c:size val="5"/>
            <c:spPr>
              <a:solidFill>
                <a:schemeClr val="accent1"/>
              </a:solidFill>
              <a:ln w="9525">
                <a:solidFill>
                  <a:schemeClr val="accent1"/>
                </a:solidFill>
              </a:ln>
              <a:effectLst/>
            </c:spPr>
          </c:marker>
          <c:xVal>
            <c:numRef>
              <c:f>PDCO!$B$35:$B$102</c:f>
              <c:numCache>
                <c:formatCode>d\-mmm</c:formatCode>
                <c:ptCount val="68"/>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pt idx="55">
                  <c:v>43647</c:v>
                </c:pt>
                <c:pt idx="56">
                  <c:v>43649</c:v>
                </c:pt>
                <c:pt idx="57">
                  <c:v>43657</c:v>
                </c:pt>
                <c:pt idx="58">
                  <c:v>43671</c:v>
                </c:pt>
                <c:pt idx="59">
                  <c:v>43676</c:v>
                </c:pt>
                <c:pt idx="60">
                  <c:v>43682</c:v>
                </c:pt>
                <c:pt idx="61">
                  <c:v>43765</c:v>
                </c:pt>
                <c:pt idx="62">
                  <c:v>43794</c:v>
                </c:pt>
                <c:pt idx="63">
                  <c:v>43804</c:v>
                </c:pt>
              </c:numCache>
            </c:numRef>
          </c:xVal>
          <c:yVal>
            <c:numRef>
              <c:f>PDCO!$F$35:$F$102</c:f>
              <c:numCache>
                <c:formatCode>0.00</c:formatCode>
                <c:ptCount val="68"/>
                <c:pt idx="0">
                  <c:v>-11.999999999999744</c:v>
                </c:pt>
                <c:pt idx="1">
                  <c:v>142.99999999999997</c:v>
                </c:pt>
                <c:pt idx="2">
                  <c:v>60.000000000000142</c:v>
                </c:pt>
                <c:pt idx="3">
                  <c:v>176.9999999999996</c:v>
                </c:pt>
                <c:pt idx="4">
                  <c:v>81.000000000000227</c:v>
                </c:pt>
                <c:pt idx="5">
                  <c:v>-90.990000000000038</c:v>
                </c:pt>
                <c:pt idx="6">
                  <c:v>-489.98999999999955</c:v>
                </c:pt>
                <c:pt idx="7">
                  <c:v>-3975.9999999999991</c:v>
                </c:pt>
                <c:pt idx="8">
                  <c:v>-3965</c:v>
                </c:pt>
                <c:pt idx="9">
                  <c:v>-3815.9999999999995</c:v>
                </c:pt>
                <c:pt idx="10">
                  <c:v>-3305.1200000000008</c:v>
                </c:pt>
                <c:pt idx="11">
                  <c:v>-3721.1200000000003</c:v>
                </c:pt>
                <c:pt idx="12">
                  <c:v>-4027.9999999999986</c:v>
                </c:pt>
                <c:pt idx="13">
                  <c:v>-4563.1098000000002</c:v>
                </c:pt>
                <c:pt idx="14">
                  <c:v>-4648.5000000000018</c:v>
                </c:pt>
                <c:pt idx="15">
                  <c:v>-4041.4999999999991</c:v>
                </c:pt>
                <c:pt idx="16">
                  <c:v>-4301.5000000000009</c:v>
                </c:pt>
                <c:pt idx="17">
                  <c:v>-3776.55</c:v>
                </c:pt>
                <c:pt idx="18">
                  <c:v>-3573.6000000000004</c:v>
                </c:pt>
                <c:pt idx="19">
                  <c:v>-3443.5999999999995</c:v>
                </c:pt>
                <c:pt idx="20">
                  <c:v>-3635</c:v>
                </c:pt>
                <c:pt idx="21">
                  <c:v>-4228.619999999999</c:v>
                </c:pt>
                <c:pt idx="22">
                  <c:v>-4223.9999999999991</c:v>
                </c:pt>
                <c:pt idx="23">
                  <c:v>-4620</c:v>
                </c:pt>
                <c:pt idx="24">
                  <c:v>-4008</c:v>
                </c:pt>
                <c:pt idx="25">
                  <c:v>-3190.6400000000003</c:v>
                </c:pt>
                <c:pt idx="26">
                  <c:v>-2742.6900000000005</c:v>
                </c:pt>
                <c:pt idx="27">
                  <c:v>-2836.7999999999993</c:v>
                </c:pt>
                <c:pt idx="28">
                  <c:v>-3344</c:v>
                </c:pt>
                <c:pt idx="29">
                  <c:v>-3104.0000000000005</c:v>
                </c:pt>
                <c:pt idx="30">
                  <c:v>-2879.9999999999995</c:v>
                </c:pt>
                <c:pt idx="31">
                  <c:v>-2628.0000000000005</c:v>
                </c:pt>
                <c:pt idx="32">
                  <c:v>-2792.72</c:v>
                </c:pt>
                <c:pt idx="33">
                  <c:v>-2968.7000000000003</c:v>
                </c:pt>
                <c:pt idx="34">
                  <c:v>-2804.5000000000009</c:v>
                </c:pt>
                <c:pt idx="35">
                  <c:v>-2368.7600000000002</c:v>
                </c:pt>
                <c:pt idx="36">
                  <c:v>-2096.73</c:v>
                </c:pt>
                <c:pt idx="37">
                  <c:v>-2777.7600000000007</c:v>
                </c:pt>
                <c:pt idx="38">
                  <c:v>-2688.0000000000009</c:v>
                </c:pt>
                <c:pt idx="39">
                  <c:v>-2436</c:v>
                </c:pt>
                <c:pt idx="40">
                  <c:v>-2257.7999999999997</c:v>
                </c:pt>
                <c:pt idx="41">
                  <c:v>-2376.7999999999993</c:v>
                </c:pt>
                <c:pt idx="42">
                  <c:v>-2169.8399999999992</c:v>
                </c:pt>
                <c:pt idx="43">
                  <c:v>-2679.9999999999995</c:v>
                </c:pt>
                <c:pt idx="44">
                  <c:v>-2153.8500000000004</c:v>
                </c:pt>
                <c:pt idx="45">
                  <c:v>-2250</c:v>
                </c:pt>
                <c:pt idx="46">
                  <c:v>-2358</c:v>
                </c:pt>
                <c:pt idx="47">
                  <c:v>-2193.0000000000009</c:v>
                </c:pt>
                <c:pt idx="48">
                  <c:v>-1331.8999999999996</c:v>
                </c:pt>
                <c:pt idx="49">
                  <c:v>-1974.8999999999996</c:v>
                </c:pt>
                <c:pt idx="50">
                  <c:v>-2136.9000000000005</c:v>
                </c:pt>
                <c:pt idx="51">
                  <c:v>-2154</c:v>
                </c:pt>
                <c:pt idx="52">
                  <c:v>-2175.9</c:v>
                </c:pt>
                <c:pt idx="53">
                  <c:v>-2219.9999999999995</c:v>
                </c:pt>
                <c:pt idx="54">
                  <c:v>-1478</c:v>
                </c:pt>
                <c:pt idx="55">
                  <c:v>-1864.44</c:v>
                </c:pt>
                <c:pt idx="56">
                  <c:v>-1801.5</c:v>
                </c:pt>
                <c:pt idx="57">
                  <c:v>-1984.5000000000007</c:v>
                </c:pt>
                <c:pt idx="58">
                  <c:v>-2592</c:v>
                </c:pt>
                <c:pt idx="59">
                  <c:v>-2336.9999999999995</c:v>
                </c:pt>
                <c:pt idx="60">
                  <c:v>-2800.4799999999987</c:v>
                </c:pt>
                <c:pt idx="61">
                  <c:v>-3264</c:v>
                </c:pt>
                <c:pt idx="62">
                  <c:v>-2235</c:v>
                </c:pt>
                <c:pt idx="63">
                  <c:v>-1244.9999999999995</c:v>
                </c:pt>
              </c:numCache>
            </c:numRef>
          </c:yVal>
          <c:smooth val="0"/>
        </c:ser>
        <c:dLbls>
          <c:showLegendKey val="0"/>
          <c:showVal val="0"/>
          <c:showCatName val="0"/>
          <c:showSerName val="0"/>
          <c:showPercent val="0"/>
          <c:showBubbleSize val="0"/>
        </c:dLbls>
        <c:axId val="449125640"/>
        <c:axId val="449126424"/>
      </c:scatterChart>
      <c:valAx>
        <c:axId val="449125640"/>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9126424"/>
        <c:crosses val="autoZero"/>
        <c:crossBetween val="midCat"/>
      </c:valAx>
      <c:valAx>
        <c:axId val="44912642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9125640"/>
        <c:crosses val="autoZero"/>
        <c:crossBetween val="midCat"/>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ALL!$AB$1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strRef>
              <c:f>ALL!$X$2:$X$69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ALL!$AB$2:$AB$69</c:f>
              <c:numCache>
                <c:formatCode>General</c:formatCode>
                <c:ptCount val="68"/>
                <c:pt idx="0">
                  <c:v>81.42</c:v>
                </c:pt>
                <c:pt idx="1">
                  <c:v>81.63</c:v>
                </c:pt>
                <c:pt idx="2">
                  <c:v>81.319999999999993</c:v>
                </c:pt>
                <c:pt idx="3">
                  <c:v>81.489999999999995</c:v>
                </c:pt>
                <c:pt idx="4">
                  <c:v>81.64</c:v>
                </c:pt>
                <c:pt idx="5">
                  <c:v>81.39</c:v>
                </c:pt>
                <c:pt idx="6">
                  <c:v>81.89</c:v>
                </c:pt>
                <c:pt idx="7">
                  <c:v>81.09</c:v>
                </c:pt>
                <c:pt idx="8">
                  <c:v>80.989999999999995</c:v>
                </c:pt>
                <c:pt idx="9">
                  <c:v>81.260000000000005</c:v>
                </c:pt>
                <c:pt idx="10">
                  <c:v>81.38</c:v>
                </c:pt>
                <c:pt idx="11">
                  <c:v>81.69</c:v>
                </c:pt>
                <c:pt idx="12">
                  <c:v>82.37</c:v>
                </c:pt>
                <c:pt idx="13">
                  <c:v>82.85</c:v>
                </c:pt>
                <c:pt idx="14">
                  <c:v>82.89</c:v>
                </c:pt>
                <c:pt idx="15">
                  <c:v>82.62</c:v>
                </c:pt>
                <c:pt idx="16">
                  <c:v>82.18</c:v>
                </c:pt>
                <c:pt idx="17">
                  <c:v>82.1</c:v>
                </c:pt>
                <c:pt idx="18">
                  <c:v>82.05</c:v>
                </c:pt>
                <c:pt idx="19">
                  <c:v>81.569999999999993</c:v>
                </c:pt>
                <c:pt idx="20">
                  <c:v>81.13</c:v>
                </c:pt>
                <c:pt idx="21">
                  <c:v>81.459999999999994</c:v>
                </c:pt>
                <c:pt idx="22">
                  <c:v>81.34</c:v>
                </c:pt>
                <c:pt idx="23">
                  <c:v>81.86</c:v>
                </c:pt>
                <c:pt idx="24">
                  <c:v>81.75</c:v>
                </c:pt>
                <c:pt idx="25">
                  <c:v>82.69</c:v>
                </c:pt>
                <c:pt idx="26">
                  <c:v>82.16</c:v>
                </c:pt>
                <c:pt idx="27">
                  <c:v>81.34</c:v>
                </c:pt>
                <c:pt idx="28">
                  <c:v>80.91</c:v>
                </c:pt>
                <c:pt idx="30">
                  <c:v>80.55</c:v>
                </c:pt>
                <c:pt idx="31">
                  <c:v>80.58</c:v>
                </c:pt>
                <c:pt idx="32">
                  <c:v>80.62</c:v>
                </c:pt>
                <c:pt idx="33">
                  <c:v>80.44</c:v>
                </c:pt>
                <c:pt idx="34">
                  <c:v>80.8</c:v>
                </c:pt>
                <c:pt idx="35">
                  <c:v>80.709999999999994</c:v>
                </c:pt>
                <c:pt idx="36">
                  <c:v>79.8</c:v>
                </c:pt>
                <c:pt idx="37">
                  <c:v>79.61</c:v>
                </c:pt>
                <c:pt idx="38">
                  <c:v>78.88</c:v>
                </c:pt>
                <c:pt idx="39">
                  <c:v>78.349999999999994</c:v>
                </c:pt>
                <c:pt idx="40">
                  <c:v>77.989999999999995</c:v>
                </c:pt>
                <c:pt idx="41">
                  <c:v>78.12</c:v>
                </c:pt>
                <c:pt idx="42">
                  <c:v>78.08</c:v>
                </c:pt>
                <c:pt idx="43">
                  <c:v>77.48</c:v>
                </c:pt>
                <c:pt idx="44">
                  <c:v>77.400000000000006</c:v>
                </c:pt>
                <c:pt idx="45">
                  <c:v>75.239999999999995</c:v>
                </c:pt>
                <c:pt idx="46">
                  <c:v>75.209999999999994</c:v>
                </c:pt>
                <c:pt idx="47">
                  <c:v>75.61</c:v>
                </c:pt>
                <c:pt idx="48">
                  <c:v>75.59</c:v>
                </c:pt>
                <c:pt idx="49">
                  <c:v>75.81</c:v>
                </c:pt>
                <c:pt idx="50">
                  <c:v>75.39</c:v>
                </c:pt>
                <c:pt idx="51">
                  <c:v>74.47</c:v>
                </c:pt>
                <c:pt idx="52">
                  <c:v>74.150000000000006</c:v>
                </c:pt>
                <c:pt idx="53">
                  <c:v>74.540000000000006</c:v>
                </c:pt>
                <c:pt idx="54">
                  <c:v>74.22</c:v>
                </c:pt>
                <c:pt idx="55">
                  <c:v>74.52</c:v>
                </c:pt>
                <c:pt idx="56">
                  <c:v>73.849999999999994</c:v>
                </c:pt>
                <c:pt idx="57">
                  <c:v>73.89</c:v>
                </c:pt>
                <c:pt idx="58">
                  <c:v>73.680000000000007</c:v>
                </c:pt>
                <c:pt idx="59">
                  <c:v>73.94</c:v>
                </c:pt>
                <c:pt idx="60">
                  <c:v>73.75</c:v>
                </c:pt>
                <c:pt idx="61">
                  <c:v>73.09</c:v>
                </c:pt>
                <c:pt idx="62">
                  <c:v>74.150000000000006</c:v>
                </c:pt>
                <c:pt idx="63">
                  <c:v>74.03</c:v>
                </c:pt>
                <c:pt idx="64">
                  <c:v>74.37</c:v>
                </c:pt>
                <c:pt idx="65">
                  <c:v>74.17</c:v>
                </c:pt>
                <c:pt idx="66">
                  <c:v>74.12</c:v>
                </c:pt>
              </c:numCache>
            </c:numRef>
          </c:val>
          <c:smooth val="0"/>
        </c:ser>
        <c:dLbls>
          <c:showLegendKey val="0"/>
          <c:showVal val="0"/>
          <c:showCatName val="0"/>
          <c:showSerName val="0"/>
          <c:showPercent val="0"/>
          <c:showBubbleSize val="0"/>
        </c:dLbls>
        <c:marker val="1"/>
        <c:smooth val="0"/>
        <c:axId val="449126816"/>
        <c:axId val="449120544"/>
      </c:lineChart>
      <c:catAx>
        <c:axId val="449126816"/>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49120544"/>
        <c:crosses val="autoZero"/>
        <c:auto val="1"/>
        <c:lblAlgn val="ctr"/>
        <c:lblOffset val="100"/>
        <c:noMultiLvlLbl val="0"/>
      </c:catAx>
      <c:valAx>
        <c:axId val="449120544"/>
        <c:scaling>
          <c:orientation val="minMax"/>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4912681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AVGO!$AA$1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AVGO!$W$2:$W$69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16-Mar-17</c:v>
                </c:pt>
                <c:pt idx="16">
                  <c:v>15-Mar-17</c:v>
                </c:pt>
                <c:pt idx="17">
                  <c:v>14-Mar-17</c:v>
                </c:pt>
                <c:pt idx="18">
                  <c:v>13-Mar-17</c:v>
                </c:pt>
                <c:pt idx="19">
                  <c:v>10-Mar-17</c:v>
                </c:pt>
                <c:pt idx="20">
                  <c:v>9-Mar-17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AVGO!$AA$2:$AA$69</c:f>
              <c:numCache>
                <c:formatCode>General</c:formatCode>
                <c:ptCount val="68"/>
                <c:pt idx="0">
                  <c:v>217.13</c:v>
                </c:pt>
                <c:pt idx="1">
                  <c:v>218.96</c:v>
                </c:pt>
                <c:pt idx="2">
                  <c:v>218.8</c:v>
                </c:pt>
                <c:pt idx="3">
                  <c:v>218.96</c:v>
                </c:pt>
                <c:pt idx="4">
                  <c:v>220.04</c:v>
                </c:pt>
                <c:pt idx="5">
                  <c:v>221.31</c:v>
                </c:pt>
                <c:pt idx="6">
                  <c:v>220.95</c:v>
                </c:pt>
                <c:pt idx="7">
                  <c:v>219.05</c:v>
                </c:pt>
                <c:pt idx="8">
                  <c:v>218.97</c:v>
                </c:pt>
                <c:pt idx="9">
                  <c:v>216.86</c:v>
                </c:pt>
                <c:pt idx="10">
                  <c:v>217.42</c:v>
                </c:pt>
                <c:pt idx="11">
                  <c:v>216.02</c:v>
                </c:pt>
                <c:pt idx="12">
                  <c:v>221.24</c:v>
                </c:pt>
                <c:pt idx="13">
                  <c:v>221.18</c:v>
                </c:pt>
                <c:pt idx="14">
                  <c:v>222.36</c:v>
                </c:pt>
                <c:pt idx="16">
                  <c:v>225.93</c:v>
                </c:pt>
                <c:pt idx="17">
                  <c:v>224.35</c:v>
                </c:pt>
                <c:pt idx="18">
                  <c:v>226.45</c:v>
                </c:pt>
                <c:pt idx="19">
                  <c:v>226.35</c:v>
                </c:pt>
                <c:pt idx="20">
                  <c:v>222.01</c:v>
                </c:pt>
                <c:pt idx="21">
                  <c:v>219.63</c:v>
                </c:pt>
                <c:pt idx="22">
                  <c:v>219.25</c:v>
                </c:pt>
                <c:pt idx="23">
                  <c:v>217.94</c:v>
                </c:pt>
                <c:pt idx="24">
                  <c:v>218.32</c:v>
                </c:pt>
                <c:pt idx="25">
                  <c:v>217.29</c:v>
                </c:pt>
                <c:pt idx="26">
                  <c:v>215.14</c:v>
                </c:pt>
                <c:pt idx="27">
                  <c:v>210.93</c:v>
                </c:pt>
                <c:pt idx="28">
                  <c:v>213.28</c:v>
                </c:pt>
                <c:pt idx="29">
                  <c:v>210.37</c:v>
                </c:pt>
                <c:pt idx="30">
                  <c:v>210.58</c:v>
                </c:pt>
                <c:pt idx="31">
                  <c:v>214.16</c:v>
                </c:pt>
                <c:pt idx="32">
                  <c:v>212.75</c:v>
                </c:pt>
                <c:pt idx="33">
                  <c:v>210.41</c:v>
                </c:pt>
                <c:pt idx="34">
                  <c:v>208.18</c:v>
                </c:pt>
                <c:pt idx="35">
                  <c:v>205.99</c:v>
                </c:pt>
                <c:pt idx="36">
                  <c:v>205.33</c:v>
                </c:pt>
                <c:pt idx="37">
                  <c:v>206.71</c:v>
                </c:pt>
                <c:pt idx="38">
                  <c:v>205.52</c:v>
                </c:pt>
                <c:pt idx="39">
                  <c:v>205.34</c:v>
                </c:pt>
                <c:pt idx="40">
                  <c:v>206.89</c:v>
                </c:pt>
                <c:pt idx="41">
                  <c:v>205.91</c:v>
                </c:pt>
                <c:pt idx="42">
                  <c:v>206.56</c:v>
                </c:pt>
                <c:pt idx="43">
                  <c:v>206.16</c:v>
                </c:pt>
                <c:pt idx="44">
                  <c:v>204.05</c:v>
                </c:pt>
                <c:pt idx="45">
                  <c:v>203.69</c:v>
                </c:pt>
                <c:pt idx="46">
                  <c:v>199.5</c:v>
                </c:pt>
                <c:pt idx="47">
                  <c:v>203.22</c:v>
                </c:pt>
                <c:pt idx="48">
                  <c:v>205.71</c:v>
                </c:pt>
                <c:pt idx="49">
                  <c:v>204.17</c:v>
                </c:pt>
                <c:pt idx="50">
                  <c:v>202.48</c:v>
                </c:pt>
                <c:pt idx="51">
                  <c:v>197.75</c:v>
                </c:pt>
                <c:pt idx="52">
                  <c:v>191</c:v>
                </c:pt>
                <c:pt idx="53">
                  <c:v>191.08</c:v>
                </c:pt>
                <c:pt idx="54">
                  <c:v>185.56</c:v>
                </c:pt>
                <c:pt idx="55">
                  <c:v>185.02</c:v>
                </c:pt>
                <c:pt idx="56">
                  <c:v>179.11</c:v>
                </c:pt>
                <c:pt idx="57">
                  <c:v>180.45</c:v>
                </c:pt>
                <c:pt idx="58">
                  <c:v>178.86</c:v>
                </c:pt>
                <c:pt idx="59">
                  <c:v>179.42</c:v>
                </c:pt>
                <c:pt idx="60">
                  <c:v>180.57</c:v>
                </c:pt>
                <c:pt idx="61">
                  <c:v>176.97</c:v>
                </c:pt>
                <c:pt idx="62">
                  <c:v>176.59</c:v>
                </c:pt>
                <c:pt idx="63">
                  <c:v>174.28</c:v>
                </c:pt>
                <c:pt idx="64">
                  <c:v>177.07</c:v>
                </c:pt>
                <c:pt idx="65">
                  <c:v>178.34</c:v>
                </c:pt>
                <c:pt idx="66">
                  <c:v>176.77</c:v>
                </c:pt>
              </c:numCache>
            </c:numRef>
          </c:val>
          <c:smooth val="0"/>
        </c:ser>
        <c:dLbls>
          <c:showLegendKey val="0"/>
          <c:showVal val="0"/>
          <c:showCatName val="0"/>
          <c:showSerName val="0"/>
          <c:showPercent val="0"/>
          <c:showBubbleSize val="0"/>
        </c:dLbls>
        <c:marker val="1"/>
        <c:smooth val="0"/>
        <c:axId val="449119760"/>
        <c:axId val="449131912"/>
      </c:lineChart>
      <c:catAx>
        <c:axId val="449119760"/>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49131912"/>
        <c:crosses val="autoZero"/>
        <c:auto val="1"/>
        <c:lblAlgn val="ctr"/>
        <c:lblOffset val="100"/>
        <c:noMultiLvlLbl val="0"/>
      </c:catAx>
      <c:valAx>
        <c:axId val="449131912"/>
        <c:scaling>
          <c:orientation val="minMax"/>
          <c:min val="105"/>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4911976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CAH!$E$24</c:f>
              <c:strCache>
                <c:ptCount val="1"/>
                <c:pt idx="0">
                  <c:v>price</c:v>
                </c:pt>
              </c:strCache>
            </c:strRef>
          </c:tx>
          <c:spPr>
            <a:ln w="28575" cap="rnd">
              <a:solidFill>
                <a:schemeClr val="accent1"/>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CAH!$E$25:$E$66</c:f>
              <c:numCache>
                <c:formatCode>0.00</c:formatCode>
                <c:ptCount val="42"/>
                <c:pt idx="0">
                  <c:v>50.1</c:v>
                </c:pt>
                <c:pt idx="1">
                  <c:v>49</c:v>
                </c:pt>
                <c:pt idx="2">
                  <c:v>48.8</c:v>
                </c:pt>
                <c:pt idx="3">
                  <c:v>50.16</c:v>
                </c:pt>
                <c:pt idx="4">
                  <c:v>48.4</c:v>
                </c:pt>
                <c:pt idx="5">
                  <c:v>49.06</c:v>
                </c:pt>
                <c:pt idx="6">
                  <c:v>50.17</c:v>
                </c:pt>
                <c:pt idx="7">
                  <c:v>50.45</c:v>
                </c:pt>
                <c:pt idx="8">
                  <c:v>51.9</c:v>
                </c:pt>
                <c:pt idx="9">
                  <c:v>51.26</c:v>
                </c:pt>
                <c:pt idx="10">
                  <c:v>52.78</c:v>
                </c:pt>
                <c:pt idx="11">
                  <c:v>51.23</c:v>
                </c:pt>
                <c:pt idx="12">
                  <c:v>54.94</c:v>
                </c:pt>
                <c:pt idx="13">
                  <c:v>51.63</c:v>
                </c:pt>
                <c:pt idx="14">
                  <c:v>57.31</c:v>
                </c:pt>
                <c:pt idx="15">
                  <c:v>55.46</c:v>
                </c:pt>
                <c:pt idx="16">
                  <c:v>49.35</c:v>
                </c:pt>
                <c:pt idx="17">
                  <c:v>55.05</c:v>
                </c:pt>
                <c:pt idx="18">
                  <c:v>55.48</c:v>
                </c:pt>
                <c:pt idx="19">
                  <c:v>56.79</c:v>
                </c:pt>
              </c:numCache>
            </c:numRef>
          </c:val>
          <c:smooth val="0"/>
        </c:ser>
        <c:ser>
          <c:idx val="1"/>
          <c:order val="1"/>
          <c:tx>
            <c:strRef>
              <c:f>CAH!$D$24</c:f>
              <c:strCache>
                <c:ptCount val="1"/>
                <c:pt idx="0">
                  <c:v>mean cost</c:v>
                </c:pt>
              </c:strCache>
            </c:strRef>
          </c:tx>
          <c:spPr>
            <a:ln w="28575" cap="rnd">
              <a:solidFill>
                <a:schemeClr val="accent2"/>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CAH!$D$25:$D$66</c:f>
              <c:numCache>
                <c:formatCode>0.00</c:formatCode>
                <c:ptCount val="42"/>
                <c:pt idx="0">
                  <c:v>50.1</c:v>
                </c:pt>
                <c:pt idx="1">
                  <c:v>49.735999999999997</c:v>
                </c:pt>
                <c:pt idx="2">
                  <c:v>49.735999999999997</c:v>
                </c:pt>
                <c:pt idx="3">
                  <c:v>49.500500000000002</c:v>
                </c:pt>
                <c:pt idx="4">
                  <c:v>49.260300000000001</c:v>
                </c:pt>
                <c:pt idx="5">
                  <c:v>49.260300000000001</c:v>
                </c:pt>
                <c:pt idx="6">
                  <c:v>48.734299999999998</c:v>
                </c:pt>
                <c:pt idx="7">
                  <c:v>48.734299999999998</c:v>
                </c:pt>
                <c:pt idx="8">
                  <c:v>48.734299999999998</c:v>
                </c:pt>
                <c:pt idx="9">
                  <c:v>48.734299999999998</c:v>
                </c:pt>
                <c:pt idx="10">
                  <c:v>46.7117</c:v>
                </c:pt>
                <c:pt idx="11">
                  <c:v>48.234499999999997</c:v>
                </c:pt>
                <c:pt idx="12">
                  <c:v>48.234499999999997</c:v>
                </c:pt>
                <c:pt idx="13">
                  <c:v>47.758099999999999</c:v>
                </c:pt>
                <c:pt idx="14">
                  <c:v>47.76</c:v>
                </c:pt>
                <c:pt idx="15">
                  <c:v>38.4133</c:v>
                </c:pt>
                <c:pt idx="16">
                  <c:v>37.94</c:v>
                </c:pt>
                <c:pt idx="17">
                  <c:v>37.94</c:v>
                </c:pt>
                <c:pt idx="18">
                  <c:v>37.94</c:v>
                </c:pt>
              </c:numCache>
            </c:numRef>
          </c:val>
          <c:smooth val="0"/>
        </c:ser>
        <c:dLbls>
          <c:showLegendKey val="0"/>
          <c:showVal val="0"/>
          <c:showCatName val="0"/>
          <c:showSerName val="0"/>
          <c:showPercent val="0"/>
          <c:showBubbleSize val="0"/>
        </c:dLbls>
        <c:smooth val="0"/>
        <c:axId val="449131520"/>
        <c:axId val="449128776"/>
      </c:lineChart>
      <c:dateAx>
        <c:axId val="44913152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9128776"/>
        <c:crosses val="autoZero"/>
        <c:auto val="1"/>
        <c:lblOffset val="100"/>
        <c:baseTimeUnit val="days"/>
      </c:dateAx>
      <c:valAx>
        <c:axId val="44912877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913152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layout>
        <c:manualLayout>
          <c:xMode val="edge"/>
          <c:yMode val="edge"/>
          <c:x val="0.4968193350831147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CAH!$J$24</c:f>
              <c:strCache>
                <c:ptCount val="1"/>
                <c:pt idx="0">
                  <c:v>Total PL</c:v>
                </c:pt>
              </c:strCache>
            </c:strRef>
          </c:tx>
          <c:spPr>
            <a:ln w="28575" cap="rnd">
              <a:solidFill>
                <a:srgbClr val="00B050"/>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CAH!$J$25:$J$66</c:f>
              <c:numCache>
                <c:formatCode>0.00</c:formatCode>
                <c:ptCount val="42"/>
                <c:pt idx="0">
                  <c:v>1056.739999999998</c:v>
                </c:pt>
                <c:pt idx="1">
                  <c:v>872.73999999999864</c:v>
                </c:pt>
                <c:pt idx="2">
                  <c:v>822.73999999999796</c:v>
                </c:pt>
                <c:pt idx="3">
                  <c:v>1155.664999999997</c:v>
                </c:pt>
                <c:pt idx="4">
                  <c:v>841.66499999999746</c:v>
                </c:pt>
                <c:pt idx="5">
                  <c:v>1006.6649999999984</c:v>
                </c:pt>
                <c:pt idx="6">
                  <c:v>1272.0949999999987</c:v>
                </c:pt>
                <c:pt idx="7">
                  <c:v>1314.0949999999989</c:v>
                </c:pt>
                <c:pt idx="8">
                  <c:v>1531.594999999998</c:v>
                </c:pt>
                <c:pt idx="9">
                  <c:v>1435.594999999998</c:v>
                </c:pt>
                <c:pt idx="10">
                  <c:v>1663.5699999999979</c:v>
                </c:pt>
                <c:pt idx="11">
                  <c:v>1506.064999999998</c:v>
                </c:pt>
                <c:pt idx="12">
                  <c:v>2062.5649999999978</c:v>
                </c:pt>
                <c:pt idx="13">
                  <c:v>1637.5249999999985</c:v>
                </c:pt>
                <c:pt idx="14">
                  <c:v>2615.41</c:v>
                </c:pt>
                <c:pt idx="15">
                  <c:v>2761.41</c:v>
                </c:pt>
                <c:pt idx="16">
                  <c:v>2198</c:v>
                </c:pt>
                <c:pt idx="17">
                  <c:v>2768.03</c:v>
                </c:pt>
                <c:pt idx="18">
                  <c:v>2811.04</c:v>
                </c:pt>
                <c:pt idx="19">
                  <c:v>2880.97</c:v>
                </c:pt>
              </c:numCache>
            </c:numRef>
          </c:val>
          <c:smooth val="0"/>
        </c:ser>
        <c:dLbls>
          <c:showLegendKey val="0"/>
          <c:showVal val="0"/>
          <c:showCatName val="0"/>
          <c:showSerName val="0"/>
          <c:showPercent val="0"/>
          <c:showBubbleSize val="0"/>
        </c:dLbls>
        <c:smooth val="0"/>
        <c:axId val="449131128"/>
        <c:axId val="478246952"/>
      </c:lineChart>
      <c:dateAx>
        <c:axId val="44913112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8246952"/>
        <c:crosses val="autoZero"/>
        <c:auto val="1"/>
        <c:lblOffset val="100"/>
        <c:baseTimeUnit val="days"/>
      </c:dateAx>
      <c:valAx>
        <c:axId val="47824695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91311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T!$E$31</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T!$E$32:$E$91</c:f>
              <c:numCache>
                <c:formatCode>0.00</c:formatCode>
                <c:ptCount val="60"/>
                <c:pt idx="0">
                  <c:v>34.69</c:v>
                </c:pt>
                <c:pt idx="1">
                  <c:v>33.1</c:v>
                </c:pt>
                <c:pt idx="2">
                  <c:v>33.49</c:v>
                </c:pt>
                <c:pt idx="3">
                  <c:v>32.06</c:v>
                </c:pt>
                <c:pt idx="4">
                  <c:v>34.18</c:v>
                </c:pt>
                <c:pt idx="5">
                  <c:v>34.35</c:v>
                </c:pt>
                <c:pt idx="6">
                  <c:v>32.22</c:v>
                </c:pt>
                <c:pt idx="7">
                  <c:v>32.520000000000003</c:v>
                </c:pt>
                <c:pt idx="8">
                  <c:v>32.090000000000003</c:v>
                </c:pt>
                <c:pt idx="9">
                  <c:v>31.67</c:v>
                </c:pt>
                <c:pt idx="10">
                  <c:v>31.9</c:v>
                </c:pt>
                <c:pt idx="11">
                  <c:v>31.1</c:v>
                </c:pt>
                <c:pt idx="12">
                  <c:v>30.89</c:v>
                </c:pt>
                <c:pt idx="13">
                  <c:v>30.48</c:v>
                </c:pt>
                <c:pt idx="14">
                  <c:v>30.25</c:v>
                </c:pt>
                <c:pt idx="15">
                  <c:v>31.08</c:v>
                </c:pt>
                <c:pt idx="16">
                  <c:v>32</c:v>
                </c:pt>
                <c:pt idx="17">
                  <c:v>31.9</c:v>
                </c:pt>
                <c:pt idx="18">
                  <c:v>32.270000000000003</c:v>
                </c:pt>
                <c:pt idx="19">
                  <c:v>32.21</c:v>
                </c:pt>
                <c:pt idx="20">
                  <c:v>32.950000000000003</c:v>
                </c:pt>
                <c:pt idx="21">
                  <c:v>33.03</c:v>
                </c:pt>
                <c:pt idx="22">
                  <c:v>33.11</c:v>
                </c:pt>
                <c:pt idx="23">
                  <c:v>33.4</c:v>
                </c:pt>
                <c:pt idx="24">
                  <c:v>32.64</c:v>
                </c:pt>
                <c:pt idx="25">
                  <c:v>32.229999999999997</c:v>
                </c:pt>
                <c:pt idx="26">
                  <c:v>31.96</c:v>
                </c:pt>
                <c:pt idx="27">
                  <c:v>32.18</c:v>
                </c:pt>
                <c:pt idx="28">
                  <c:v>33.42</c:v>
                </c:pt>
                <c:pt idx="29">
                  <c:v>33.68</c:v>
                </c:pt>
                <c:pt idx="30">
                  <c:v>33.369999999999997</c:v>
                </c:pt>
                <c:pt idx="31">
                  <c:v>33.78</c:v>
                </c:pt>
                <c:pt idx="32">
                  <c:v>32.85</c:v>
                </c:pt>
                <c:pt idx="33">
                  <c:v>31.75</c:v>
                </c:pt>
                <c:pt idx="34">
                  <c:v>30.36</c:v>
                </c:pt>
                <c:pt idx="35">
                  <c:v>29.64</c:v>
                </c:pt>
                <c:pt idx="36">
                  <c:v>30.49</c:v>
                </c:pt>
                <c:pt idx="37">
                  <c:v>30.52</c:v>
                </c:pt>
                <c:pt idx="38">
                  <c:v>30.33</c:v>
                </c:pt>
                <c:pt idx="39">
                  <c:v>29.42</c:v>
                </c:pt>
                <c:pt idx="40">
                  <c:v>29.36</c:v>
                </c:pt>
                <c:pt idx="41">
                  <c:v>29.95</c:v>
                </c:pt>
                <c:pt idx="42">
                  <c:v>31.24</c:v>
                </c:pt>
                <c:pt idx="43">
                  <c:v>30.14</c:v>
                </c:pt>
                <c:pt idx="44">
                  <c:v>29.54</c:v>
                </c:pt>
                <c:pt idx="45">
                  <c:v>30.89</c:v>
                </c:pt>
                <c:pt idx="46">
                  <c:v>30.1</c:v>
                </c:pt>
                <c:pt idx="47">
                  <c:v>30.87</c:v>
                </c:pt>
                <c:pt idx="48">
                  <c:v>30.66</c:v>
                </c:pt>
                <c:pt idx="49">
                  <c:v>30</c:v>
                </c:pt>
                <c:pt idx="50">
                  <c:v>29.45</c:v>
                </c:pt>
                <c:pt idx="51">
                  <c:v>30.47</c:v>
                </c:pt>
                <c:pt idx="52">
                  <c:v>30.87</c:v>
                </c:pt>
                <c:pt idx="53">
                  <c:v>30.22</c:v>
                </c:pt>
                <c:pt idx="54">
                  <c:v>31.06</c:v>
                </c:pt>
                <c:pt idx="55">
                  <c:v>31.07</c:v>
                </c:pt>
              </c:numCache>
            </c:numRef>
          </c:val>
          <c:smooth val="0"/>
        </c:ser>
        <c:ser>
          <c:idx val="1"/>
          <c:order val="1"/>
          <c:tx>
            <c:strRef>
              <c:f>T!$D$31</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T!$D$32:$D$91</c:f>
              <c:numCache>
                <c:formatCode>0.00</c:formatCode>
                <c:ptCount val="60"/>
                <c:pt idx="0">
                  <c:v>36.58</c:v>
                </c:pt>
                <c:pt idx="1">
                  <c:v>34.630000000000003</c:v>
                </c:pt>
                <c:pt idx="2">
                  <c:v>35.770000000000003</c:v>
                </c:pt>
                <c:pt idx="3">
                  <c:v>35.270800000000001</c:v>
                </c:pt>
                <c:pt idx="4">
                  <c:v>33.675400000000003</c:v>
                </c:pt>
                <c:pt idx="5">
                  <c:v>32.851199999999999</c:v>
                </c:pt>
                <c:pt idx="6">
                  <c:v>32.550600000000003</c:v>
                </c:pt>
                <c:pt idx="7">
                  <c:v>32.211599999999997</c:v>
                </c:pt>
                <c:pt idx="8">
                  <c:v>32.150799999999997</c:v>
                </c:pt>
                <c:pt idx="9">
                  <c:v>31.950500000000002</c:v>
                </c:pt>
                <c:pt idx="10">
                  <c:v>31.950500000000002</c:v>
                </c:pt>
                <c:pt idx="11">
                  <c:v>31.95</c:v>
                </c:pt>
                <c:pt idx="12">
                  <c:v>31.420300000000001</c:v>
                </c:pt>
                <c:pt idx="13">
                  <c:v>30.95</c:v>
                </c:pt>
                <c:pt idx="14">
                  <c:v>30.81</c:v>
                </c:pt>
                <c:pt idx="15">
                  <c:v>30.81</c:v>
                </c:pt>
                <c:pt idx="16">
                  <c:v>30.7194</c:v>
                </c:pt>
                <c:pt idx="17">
                  <c:v>30.683700000000002</c:v>
                </c:pt>
                <c:pt idx="18">
                  <c:v>30.68</c:v>
                </c:pt>
                <c:pt idx="19">
                  <c:v>30.68</c:v>
                </c:pt>
                <c:pt idx="20">
                  <c:v>30.306100000000001</c:v>
                </c:pt>
                <c:pt idx="21">
                  <c:v>30.31</c:v>
                </c:pt>
                <c:pt idx="22">
                  <c:v>30.306000000000001</c:v>
                </c:pt>
                <c:pt idx="23">
                  <c:v>30.306000000000001</c:v>
                </c:pt>
                <c:pt idx="24">
                  <c:v>30.31</c:v>
                </c:pt>
                <c:pt idx="25">
                  <c:v>30.5838</c:v>
                </c:pt>
                <c:pt idx="26">
                  <c:v>30.5838</c:v>
                </c:pt>
                <c:pt idx="27">
                  <c:v>30.58</c:v>
                </c:pt>
                <c:pt idx="28">
                  <c:v>26.976099999999999</c:v>
                </c:pt>
                <c:pt idx="29">
                  <c:v>26.976099999999999</c:v>
                </c:pt>
                <c:pt idx="30">
                  <c:v>26.976099999999999</c:v>
                </c:pt>
                <c:pt idx="31">
                  <c:v>26.976099999999999</c:v>
                </c:pt>
                <c:pt idx="32">
                  <c:v>27.8081</c:v>
                </c:pt>
                <c:pt idx="33">
                  <c:v>28.355</c:v>
                </c:pt>
                <c:pt idx="34">
                  <c:v>28.843599999999999</c:v>
                </c:pt>
                <c:pt idx="35">
                  <c:v>28.843599999999999</c:v>
                </c:pt>
                <c:pt idx="36">
                  <c:v>28.543600000000001</c:v>
                </c:pt>
                <c:pt idx="37">
                  <c:v>28.543600000000001</c:v>
                </c:pt>
                <c:pt idx="38">
                  <c:v>28.543600000000001</c:v>
                </c:pt>
                <c:pt idx="39">
                  <c:v>28.646899999999999</c:v>
                </c:pt>
                <c:pt idx="40">
                  <c:v>28.706399999999999</c:v>
                </c:pt>
                <c:pt idx="41">
                  <c:v>28.451699999999999</c:v>
                </c:pt>
                <c:pt idx="42">
                  <c:v>28.451699999999999</c:v>
                </c:pt>
                <c:pt idx="43">
                  <c:v>28.45</c:v>
                </c:pt>
                <c:pt idx="44">
                  <c:v>28.451699999999999</c:v>
                </c:pt>
                <c:pt idx="45">
                  <c:v>27.817299999999999</c:v>
                </c:pt>
                <c:pt idx="46">
                  <c:v>28.293800000000001</c:v>
                </c:pt>
                <c:pt idx="47">
                  <c:v>27.654900000000001</c:v>
                </c:pt>
                <c:pt idx="48">
                  <c:v>27.65</c:v>
                </c:pt>
                <c:pt idx="49">
                  <c:v>27.1449</c:v>
                </c:pt>
                <c:pt idx="50">
                  <c:v>27.515899999999998</c:v>
                </c:pt>
                <c:pt idx="51">
                  <c:v>25.6267</c:v>
                </c:pt>
                <c:pt idx="52">
                  <c:v>20.383900000000001</c:v>
                </c:pt>
                <c:pt idx="53">
                  <c:v>20.38</c:v>
                </c:pt>
                <c:pt idx="54">
                  <c:v>20.38</c:v>
                </c:pt>
                <c:pt idx="55">
                  <c:v>20.38</c:v>
                </c:pt>
              </c:numCache>
            </c:numRef>
          </c:val>
          <c:smooth val="0"/>
        </c:ser>
        <c:dLbls>
          <c:showLegendKey val="0"/>
          <c:showVal val="0"/>
          <c:showCatName val="0"/>
          <c:showSerName val="0"/>
          <c:showPercent val="0"/>
          <c:showBubbleSize val="0"/>
        </c:dLbls>
        <c:marker val="1"/>
        <c:smooth val="0"/>
        <c:axId val="478239112"/>
        <c:axId val="478246168"/>
      </c:lineChart>
      <c:dateAx>
        <c:axId val="47823911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8246168"/>
        <c:crosses val="autoZero"/>
        <c:auto val="1"/>
        <c:lblOffset val="100"/>
        <c:baseTimeUnit val="days"/>
      </c:dateAx>
      <c:valAx>
        <c:axId val="478246168"/>
        <c:scaling>
          <c:orientation val="minMax"/>
          <c:max val="37"/>
          <c:min val="2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823911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T!$F$31</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T!$F$32:$F$91</c:f>
              <c:numCache>
                <c:formatCode>0.00</c:formatCode>
                <c:ptCount val="60"/>
                <c:pt idx="0">
                  <c:v>-189.00000000000006</c:v>
                </c:pt>
                <c:pt idx="1">
                  <c:v>-306.00000000000023</c:v>
                </c:pt>
                <c:pt idx="2">
                  <c:v>-228.00000000000011</c:v>
                </c:pt>
                <c:pt idx="3">
                  <c:v>-321.07999999999993</c:v>
                </c:pt>
                <c:pt idx="4">
                  <c:v>100.91999999999928</c:v>
                </c:pt>
                <c:pt idx="5">
                  <c:v>149.88000000000028</c:v>
                </c:pt>
                <c:pt idx="6">
                  <c:v>-66.1200000000008</c:v>
                </c:pt>
                <c:pt idx="7">
                  <c:v>30.8400000000006</c:v>
                </c:pt>
                <c:pt idx="8">
                  <c:v>-12.159999999998661</c:v>
                </c:pt>
                <c:pt idx="9">
                  <c:v>-84.149999999999991</c:v>
                </c:pt>
                <c:pt idx="10">
                  <c:v>-15.150000000000929</c:v>
                </c:pt>
                <c:pt idx="11">
                  <c:v>-254.99999999999937</c:v>
                </c:pt>
                <c:pt idx="12">
                  <c:v>-318.18000000000029</c:v>
                </c:pt>
                <c:pt idx="13">
                  <c:v>-563.99999999999864</c:v>
                </c:pt>
                <c:pt idx="14">
                  <c:v>-839.99999999999807</c:v>
                </c:pt>
                <c:pt idx="15">
                  <c:v>404.99999999999937</c:v>
                </c:pt>
                <c:pt idx="16">
                  <c:v>1792.8399999999997</c:v>
                </c:pt>
                <c:pt idx="17">
                  <c:v>1702.8199999999956</c:v>
                </c:pt>
                <c:pt idx="18">
                  <c:v>2226.0000000000045</c:v>
                </c:pt>
                <c:pt idx="19">
                  <c:v>2142.0000000000018</c:v>
                </c:pt>
                <c:pt idx="20">
                  <c:v>3172.6800000000026</c:v>
                </c:pt>
                <c:pt idx="21">
                  <c:v>3264.0000000000027</c:v>
                </c:pt>
                <c:pt idx="22">
                  <c:v>3364.7999999999984</c:v>
                </c:pt>
                <c:pt idx="23">
                  <c:v>3712.799999999997</c:v>
                </c:pt>
                <c:pt idx="24">
                  <c:v>2796.0000000000023</c:v>
                </c:pt>
                <c:pt idx="25">
                  <c:v>2304.6799999999953</c:v>
                </c:pt>
                <c:pt idx="26">
                  <c:v>1926.680000000001</c:v>
                </c:pt>
                <c:pt idx="27">
                  <c:v>2240.0000000000018</c:v>
                </c:pt>
                <c:pt idx="28">
                  <c:v>3866.3400000000015</c:v>
                </c:pt>
                <c:pt idx="29">
                  <c:v>4022.3400000000006</c:v>
                </c:pt>
                <c:pt idx="30">
                  <c:v>3836.3399999999992</c:v>
                </c:pt>
                <c:pt idx="31">
                  <c:v>4082.3400000000015</c:v>
                </c:pt>
                <c:pt idx="32">
                  <c:v>3529.3300000000013</c:v>
                </c:pt>
                <c:pt idx="33">
                  <c:v>2715.9999999999995</c:v>
                </c:pt>
                <c:pt idx="34">
                  <c:v>1516.4000000000008</c:v>
                </c:pt>
                <c:pt idx="35">
                  <c:v>796.40000000000202</c:v>
                </c:pt>
                <c:pt idx="36">
                  <c:v>1946.3999999999969</c:v>
                </c:pt>
                <c:pt idx="37">
                  <c:v>1976.3999999999983</c:v>
                </c:pt>
                <c:pt idx="38">
                  <c:v>1786.3999999999969</c:v>
                </c:pt>
                <c:pt idx="39">
                  <c:v>850.41000000000327</c:v>
                </c:pt>
                <c:pt idx="40">
                  <c:v>784.32000000000107</c:v>
                </c:pt>
                <c:pt idx="41">
                  <c:v>1498.3000000000004</c:v>
                </c:pt>
                <c:pt idx="42">
                  <c:v>2788.2999999999997</c:v>
                </c:pt>
                <c:pt idx="43">
                  <c:v>1690.0000000000014</c:v>
                </c:pt>
                <c:pt idx="44">
                  <c:v>1088.3000000000002</c:v>
                </c:pt>
                <c:pt idx="45">
                  <c:v>2458.1600000000008</c:v>
                </c:pt>
                <c:pt idx="46">
                  <c:v>1806.2000000000005</c:v>
                </c:pt>
                <c:pt idx="47">
                  <c:v>2572.08</c:v>
                </c:pt>
                <c:pt idx="48">
                  <c:v>2408.0000000000014</c:v>
                </c:pt>
                <c:pt idx="49">
                  <c:v>2284.08</c:v>
                </c:pt>
                <c:pt idx="50">
                  <c:v>1934.1000000000008</c:v>
                </c:pt>
                <c:pt idx="51">
                  <c:v>2905.9799999999996</c:v>
                </c:pt>
                <c:pt idx="52">
                  <c:v>3145.83</c:v>
                </c:pt>
                <c:pt idx="53">
                  <c:v>2952</c:v>
                </c:pt>
                <c:pt idx="54">
                  <c:v>3204</c:v>
                </c:pt>
                <c:pt idx="55">
                  <c:v>0</c:v>
                </c:pt>
              </c:numCache>
            </c:numRef>
          </c:val>
          <c:smooth val="0"/>
        </c:ser>
        <c:dLbls>
          <c:showLegendKey val="0"/>
          <c:showVal val="0"/>
          <c:showCatName val="0"/>
          <c:showSerName val="0"/>
          <c:showPercent val="0"/>
          <c:showBubbleSize val="0"/>
        </c:dLbls>
        <c:marker val="1"/>
        <c:smooth val="0"/>
        <c:axId val="478244208"/>
        <c:axId val="478235584"/>
      </c:lineChart>
      <c:dateAx>
        <c:axId val="47824420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8235584"/>
        <c:crosses val="autoZero"/>
        <c:auto val="1"/>
        <c:lblOffset val="100"/>
        <c:baseTimeUnit val="days"/>
      </c:dateAx>
      <c:valAx>
        <c:axId val="47823558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824420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DIS!$AA$1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circl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DIS!$W$2:$W$67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DIS!$AA$2:$AA$67</c:f>
              <c:numCache>
                <c:formatCode>General</c:formatCode>
                <c:ptCount val="66"/>
                <c:pt idx="0">
                  <c:v>113</c:v>
                </c:pt>
                <c:pt idx="1">
                  <c:v>113.04</c:v>
                </c:pt>
                <c:pt idx="2">
                  <c:v>113.2</c:v>
                </c:pt>
                <c:pt idx="3">
                  <c:v>113.39</c:v>
                </c:pt>
                <c:pt idx="4">
                  <c:v>113.18</c:v>
                </c:pt>
                <c:pt idx="5">
                  <c:v>112.53</c:v>
                </c:pt>
                <c:pt idx="6">
                  <c:v>113.05</c:v>
                </c:pt>
                <c:pt idx="7">
                  <c:v>112.38</c:v>
                </c:pt>
                <c:pt idx="8">
                  <c:v>112.14</c:v>
                </c:pt>
                <c:pt idx="9">
                  <c:v>112.24</c:v>
                </c:pt>
                <c:pt idx="10">
                  <c:v>112.08</c:v>
                </c:pt>
                <c:pt idx="11">
                  <c:v>111.75</c:v>
                </c:pt>
                <c:pt idx="12">
                  <c:v>112.71</c:v>
                </c:pt>
                <c:pt idx="13">
                  <c:v>111.76</c:v>
                </c:pt>
                <c:pt idx="14">
                  <c:v>111.71</c:v>
                </c:pt>
                <c:pt idx="15">
                  <c:v>111.87</c:v>
                </c:pt>
                <c:pt idx="16">
                  <c:v>112.31</c:v>
                </c:pt>
                <c:pt idx="17">
                  <c:v>111.52</c:v>
                </c:pt>
                <c:pt idx="18">
                  <c:v>110.92</c:v>
                </c:pt>
                <c:pt idx="19">
                  <c:v>111.03</c:v>
                </c:pt>
                <c:pt idx="20">
                  <c:v>110.84</c:v>
                </c:pt>
                <c:pt idx="21">
                  <c:v>110.86</c:v>
                </c:pt>
                <c:pt idx="22">
                  <c:v>110.67</c:v>
                </c:pt>
                <c:pt idx="23">
                  <c:v>111.24</c:v>
                </c:pt>
                <c:pt idx="24">
                  <c:v>110.59</c:v>
                </c:pt>
                <c:pt idx="25">
                  <c:v>111.04</c:v>
                </c:pt>
                <c:pt idx="26">
                  <c:v>110.09</c:v>
                </c:pt>
                <c:pt idx="27">
                  <c:v>110.23</c:v>
                </c:pt>
                <c:pt idx="28">
                  <c:v>110.32</c:v>
                </c:pt>
                <c:pt idx="29">
                  <c:v>109.73</c:v>
                </c:pt>
                <c:pt idx="30">
                  <c:v>110.12</c:v>
                </c:pt>
                <c:pt idx="31">
                  <c:v>110.01</c:v>
                </c:pt>
                <c:pt idx="32">
                  <c:v>110.06</c:v>
                </c:pt>
                <c:pt idx="33">
                  <c:v>110.71</c:v>
                </c:pt>
                <c:pt idx="34">
                  <c:v>110.18</c:v>
                </c:pt>
                <c:pt idx="35">
                  <c:v>110.33</c:v>
                </c:pt>
                <c:pt idx="36">
                  <c:v>109.65</c:v>
                </c:pt>
                <c:pt idx="37">
                  <c:v>109.26</c:v>
                </c:pt>
                <c:pt idx="38">
                  <c:v>109.49</c:v>
                </c:pt>
                <c:pt idx="39">
                  <c:v>109</c:v>
                </c:pt>
                <c:pt idx="40">
                  <c:v>109</c:v>
                </c:pt>
                <c:pt idx="41">
                  <c:v>109.57</c:v>
                </c:pt>
                <c:pt idx="42">
                  <c:v>110.3</c:v>
                </c:pt>
                <c:pt idx="43">
                  <c:v>110.61</c:v>
                </c:pt>
                <c:pt idx="44">
                  <c:v>111.3</c:v>
                </c:pt>
                <c:pt idx="45">
                  <c:v>110.65</c:v>
                </c:pt>
                <c:pt idx="46">
                  <c:v>110.94</c:v>
                </c:pt>
                <c:pt idx="47">
                  <c:v>109.3</c:v>
                </c:pt>
                <c:pt idx="48">
                  <c:v>108.06</c:v>
                </c:pt>
                <c:pt idx="49">
                  <c:v>108.04</c:v>
                </c:pt>
                <c:pt idx="50">
                  <c:v>107.9</c:v>
                </c:pt>
                <c:pt idx="51">
                  <c:v>107.12</c:v>
                </c:pt>
                <c:pt idx="52">
                  <c:v>107.66</c:v>
                </c:pt>
                <c:pt idx="53">
                  <c:v>107.28</c:v>
                </c:pt>
                <c:pt idx="54">
                  <c:v>108.16</c:v>
                </c:pt>
                <c:pt idx="55">
                  <c:v>107.97</c:v>
                </c:pt>
                <c:pt idx="56">
                  <c:v>108.06</c:v>
                </c:pt>
                <c:pt idx="57">
                  <c:v>107.53</c:v>
                </c:pt>
                <c:pt idx="58">
                  <c:v>109.44</c:v>
                </c:pt>
                <c:pt idx="59">
                  <c:v>108.38</c:v>
                </c:pt>
                <c:pt idx="60">
                  <c:v>108.36</c:v>
                </c:pt>
                <c:pt idx="61">
                  <c:v>108.98</c:v>
                </c:pt>
                <c:pt idx="62">
                  <c:v>107.38</c:v>
                </c:pt>
                <c:pt idx="63">
                  <c:v>107.44</c:v>
                </c:pt>
                <c:pt idx="64">
                  <c:v>106.08</c:v>
                </c:pt>
                <c:pt idx="65">
                  <c:v>104.22</c:v>
                </c:pt>
              </c:numCache>
            </c:numRef>
          </c:val>
          <c:smooth val="0"/>
        </c:ser>
        <c:dLbls>
          <c:showLegendKey val="0"/>
          <c:showVal val="0"/>
          <c:showCatName val="0"/>
          <c:showSerName val="0"/>
          <c:showPercent val="0"/>
          <c:showBubbleSize val="0"/>
        </c:dLbls>
        <c:marker val="1"/>
        <c:smooth val="0"/>
        <c:axId val="478239896"/>
        <c:axId val="478244992"/>
      </c:lineChart>
      <c:dateAx>
        <c:axId val="478239896"/>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78244992"/>
        <c:crosses val="autoZero"/>
        <c:auto val="1"/>
        <c:lblOffset val="100"/>
        <c:baseTimeUnit val="days"/>
      </c:dateAx>
      <c:valAx>
        <c:axId val="478244992"/>
        <c:scaling>
          <c:orientation val="minMax"/>
          <c:min val="9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7823989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TEVA!$E$37</c:f>
              <c:strCache>
                <c:ptCount val="1"/>
                <c:pt idx="0">
                  <c:v>price</c:v>
                </c:pt>
              </c:strCache>
            </c:strRef>
          </c:tx>
          <c:spPr>
            <a:ln w="28575" cap="rnd">
              <a:solidFill>
                <a:schemeClr val="accent1"/>
              </a:solidFill>
              <a:round/>
            </a:ln>
            <a:effectLst/>
          </c:spPr>
          <c:marker>
            <c:symbol val="none"/>
          </c:marker>
          <c:cat>
            <c:numRef>
              <c:f>TEVA!$B$38:$B$121</c:f>
              <c:numCache>
                <c:formatCode>d\-mmm</c:formatCode>
                <c:ptCount val="84"/>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43423</c:v>
                </c:pt>
                <c:pt idx="28">
                  <c:v>43427</c:v>
                </c:pt>
                <c:pt idx="29">
                  <c:v>43434</c:v>
                </c:pt>
                <c:pt idx="30">
                  <c:v>43444</c:v>
                </c:pt>
                <c:pt idx="31">
                  <c:v>43446</c:v>
                </c:pt>
                <c:pt idx="32">
                  <c:v>43452</c:v>
                </c:pt>
                <c:pt idx="33">
                  <c:v>43472</c:v>
                </c:pt>
                <c:pt idx="34">
                  <c:v>43476</c:v>
                </c:pt>
                <c:pt idx="35">
                  <c:v>43491</c:v>
                </c:pt>
                <c:pt idx="36">
                  <c:v>43535</c:v>
                </c:pt>
                <c:pt idx="37">
                  <c:v>43564</c:v>
                </c:pt>
                <c:pt idx="38">
                  <c:v>43572</c:v>
                </c:pt>
                <c:pt idx="39">
                  <c:v>43584</c:v>
                </c:pt>
                <c:pt idx="40">
                  <c:v>43585</c:v>
                </c:pt>
                <c:pt idx="41">
                  <c:v>43598</c:v>
                </c:pt>
                <c:pt idx="42">
                  <c:v>43608</c:v>
                </c:pt>
                <c:pt idx="43">
                  <c:v>43613</c:v>
                </c:pt>
                <c:pt idx="44">
                  <c:v>43614</c:v>
                </c:pt>
                <c:pt idx="45">
                  <c:v>43628</c:v>
                </c:pt>
                <c:pt idx="46">
                  <c:v>43631</c:v>
                </c:pt>
                <c:pt idx="47">
                  <c:v>43633</c:v>
                </c:pt>
                <c:pt idx="48">
                  <c:v>43636</c:v>
                </c:pt>
                <c:pt idx="49">
                  <c:v>43637</c:v>
                </c:pt>
                <c:pt idx="50">
                  <c:v>43683</c:v>
                </c:pt>
                <c:pt idx="51">
                  <c:v>43692</c:v>
                </c:pt>
                <c:pt idx="52">
                  <c:v>43696</c:v>
                </c:pt>
                <c:pt idx="53">
                  <c:v>43698</c:v>
                </c:pt>
                <c:pt idx="54">
                  <c:v>43718</c:v>
                </c:pt>
                <c:pt idx="55">
                  <c:v>43734</c:v>
                </c:pt>
                <c:pt idx="56">
                  <c:v>43736</c:v>
                </c:pt>
                <c:pt idx="57">
                  <c:v>43761</c:v>
                </c:pt>
                <c:pt idx="58">
                  <c:v>43771</c:v>
                </c:pt>
                <c:pt idx="59">
                  <c:v>43776</c:v>
                </c:pt>
                <c:pt idx="60">
                  <c:v>43778</c:v>
                </c:pt>
                <c:pt idx="61">
                  <c:v>43781</c:v>
                </c:pt>
                <c:pt idx="62">
                  <c:v>43782</c:v>
                </c:pt>
                <c:pt idx="63">
                  <c:v>43797</c:v>
                </c:pt>
                <c:pt idx="64">
                  <c:v>43804</c:v>
                </c:pt>
                <c:pt idx="65">
                  <c:v>43809</c:v>
                </c:pt>
              </c:numCache>
            </c:numRef>
          </c:cat>
          <c:val>
            <c:numRef>
              <c:f>TEVA!$E$38:$E$121</c:f>
              <c:numCache>
                <c:formatCode>0.00</c:formatCode>
                <c:ptCount val="84"/>
                <c:pt idx="0">
                  <c:v>21.41</c:v>
                </c:pt>
                <c:pt idx="1">
                  <c:v>20.57</c:v>
                </c:pt>
                <c:pt idx="2">
                  <c:v>18.64</c:v>
                </c:pt>
                <c:pt idx="3">
                  <c:v>20.9</c:v>
                </c:pt>
                <c:pt idx="4">
                  <c:v>19.8</c:v>
                </c:pt>
                <c:pt idx="5">
                  <c:v>19.38</c:v>
                </c:pt>
                <c:pt idx="6">
                  <c:v>17.91</c:v>
                </c:pt>
                <c:pt idx="7">
                  <c:v>16.87</c:v>
                </c:pt>
                <c:pt idx="8">
                  <c:v>17.670000000000002</c:v>
                </c:pt>
                <c:pt idx="9">
                  <c:v>20.03</c:v>
                </c:pt>
                <c:pt idx="10">
                  <c:v>17.78</c:v>
                </c:pt>
                <c:pt idx="11">
                  <c:v>17.829999999999998</c:v>
                </c:pt>
                <c:pt idx="12">
                  <c:v>17.829999999999998</c:v>
                </c:pt>
                <c:pt idx="13">
                  <c:v>18.62</c:v>
                </c:pt>
                <c:pt idx="14">
                  <c:v>20.3</c:v>
                </c:pt>
                <c:pt idx="15">
                  <c:v>21.88</c:v>
                </c:pt>
                <c:pt idx="16">
                  <c:v>22.17</c:v>
                </c:pt>
                <c:pt idx="17">
                  <c:v>21.88</c:v>
                </c:pt>
                <c:pt idx="18">
                  <c:v>25.65</c:v>
                </c:pt>
                <c:pt idx="19">
                  <c:v>23.48</c:v>
                </c:pt>
                <c:pt idx="20">
                  <c:v>21.75</c:v>
                </c:pt>
                <c:pt idx="21">
                  <c:v>21.06</c:v>
                </c:pt>
                <c:pt idx="22">
                  <c:v>22.2</c:v>
                </c:pt>
                <c:pt idx="23">
                  <c:v>24.64</c:v>
                </c:pt>
                <c:pt idx="24">
                  <c:v>21.96</c:v>
                </c:pt>
                <c:pt idx="25">
                  <c:v>23</c:v>
                </c:pt>
                <c:pt idx="26">
                  <c:v>22.59</c:v>
                </c:pt>
                <c:pt idx="27">
                  <c:v>22</c:v>
                </c:pt>
                <c:pt idx="28">
                  <c:v>22.22</c:v>
                </c:pt>
                <c:pt idx="29">
                  <c:v>21.54</c:v>
                </c:pt>
                <c:pt idx="30">
                  <c:v>18.440000000000001</c:v>
                </c:pt>
                <c:pt idx="31">
                  <c:v>18.989999999999998</c:v>
                </c:pt>
                <c:pt idx="32">
                  <c:v>17.010000000000002</c:v>
                </c:pt>
                <c:pt idx="33">
                  <c:v>17.670000000000002</c:v>
                </c:pt>
                <c:pt idx="34">
                  <c:v>18.45</c:v>
                </c:pt>
                <c:pt idx="35">
                  <c:v>19.559999999999999</c:v>
                </c:pt>
                <c:pt idx="36">
                  <c:v>15.78</c:v>
                </c:pt>
                <c:pt idx="37">
                  <c:v>14.55</c:v>
                </c:pt>
                <c:pt idx="38">
                  <c:v>14.22</c:v>
                </c:pt>
                <c:pt idx="39">
                  <c:v>15.61</c:v>
                </c:pt>
                <c:pt idx="40">
                  <c:v>15.22</c:v>
                </c:pt>
                <c:pt idx="41">
                  <c:v>12.23</c:v>
                </c:pt>
                <c:pt idx="42">
                  <c:v>11.04</c:v>
                </c:pt>
                <c:pt idx="43">
                  <c:v>9.52</c:v>
                </c:pt>
                <c:pt idx="44">
                  <c:v>9.6999999999999993</c:v>
                </c:pt>
                <c:pt idx="45">
                  <c:v>8.7100000000000009</c:v>
                </c:pt>
                <c:pt idx="46">
                  <c:v>8.24</c:v>
                </c:pt>
                <c:pt idx="47">
                  <c:v>8.1999999999999993</c:v>
                </c:pt>
                <c:pt idx="48">
                  <c:v>8.1199999999999992</c:v>
                </c:pt>
                <c:pt idx="49">
                  <c:v>8.4499999999999993</c:v>
                </c:pt>
                <c:pt idx="50">
                  <c:v>7.06</c:v>
                </c:pt>
                <c:pt idx="51">
                  <c:v>6.16</c:v>
                </c:pt>
                <c:pt idx="52">
                  <c:v>6.71</c:v>
                </c:pt>
                <c:pt idx="53">
                  <c:v>7.45</c:v>
                </c:pt>
                <c:pt idx="54">
                  <c:v>7.68</c:v>
                </c:pt>
                <c:pt idx="55">
                  <c:v>6.54</c:v>
                </c:pt>
                <c:pt idx="56">
                  <c:v>6.92</c:v>
                </c:pt>
                <c:pt idx="57">
                  <c:v>7.93</c:v>
                </c:pt>
                <c:pt idx="58">
                  <c:v>8.35</c:v>
                </c:pt>
                <c:pt idx="59">
                  <c:v>8.4600000000000009</c:v>
                </c:pt>
                <c:pt idx="60">
                  <c:v>9.3000000000000007</c:v>
                </c:pt>
                <c:pt idx="61">
                  <c:v>9.61</c:v>
                </c:pt>
                <c:pt idx="62">
                  <c:v>9.7799999999999994</c:v>
                </c:pt>
                <c:pt idx="63">
                  <c:v>10.45</c:v>
                </c:pt>
                <c:pt idx="64">
                  <c:v>9.82</c:v>
                </c:pt>
                <c:pt idx="65">
                  <c:v>9.4849999999999994</c:v>
                </c:pt>
              </c:numCache>
            </c:numRef>
          </c:val>
          <c:smooth val="0"/>
        </c:ser>
        <c:ser>
          <c:idx val="3"/>
          <c:order val="1"/>
          <c:tx>
            <c:strRef>
              <c:f>TEVA!$D$37</c:f>
              <c:strCache>
                <c:ptCount val="1"/>
                <c:pt idx="0">
                  <c:v>mean cost</c:v>
                </c:pt>
              </c:strCache>
            </c:strRef>
          </c:tx>
          <c:spPr>
            <a:ln w="28575" cap="rnd">
              <a:solidFill>
                <a:srgbClr val="FF0000"/>
              </a:solidFill>
              <a:round/>
            </a:ln>
            <a:effectLst/>
          </c:spPr>
          <c:marker>
            <c:symbol val="none"/>
          </c:marker>
          <c:cat>
            <c:numRef>
              <c:f>TEVA!$B$38:$B$121</c:f>
              <c:numCache>
                <c:formatCode>d\-mmm</c:formatCode>
                <c:ptCount val="84"/>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43423</c:v>
                </c:pt>
                <c:pt idx="28">
                  <c:v>43427</c:v>
                </c:pt>
                <c:pt idx="29">
                  <c:v>43434</c:v>
                </c:pt>
                <c:pt idx="30">
                  <c:v>43444</c:v>
                </c:pt>
                <c:pt idx="31">
                  <c:v>43446</c:v>
                </c:pt>
                <c:pt idx="32">
                  <c:v>43452</c:v>
                </c:pt>
                <c:pt idx="33">
                  <c:v>43472</c:v>
                </c:pt>
                <c:pt idx="34">
                  <c:v>43476</c:v>
                </c:pt>
                <c:pt idx="35">
                  <c:v>43491</c:v>
                </c:pt>
                <c:pt idx="36">
                  <c:v>43535</c:v>
                </c:pt>
                <c:pt idx="37">
                  <c:v>43564</c:v>
                </c:pt>
                <c:pt idx="38">
                  <c:v>43572</c:v>
                </c:pt>
                <c:pt idx="39">
                  <c:v>43584</c:v>
                </c:pt>
                <c:pt idx="40">
                  <c:v>43585</c:v>
                </c:pt>
                <c:pt idx="41">
                  <c:v>43598</c:v>
                </c:pt>
                <c:pt idx="42">
                  <c:v>43608</c:v>
                </c:pt>
                <c:pt idx="43">
                  <c:v>43613</c:v>
                </c:pt>
                <c:pt idx="44">
                  <c:v>43614</c:v>
                </c:pt>
                <c:pt idx="45">
                  <c:v>43628</c:v>
                </c:pt>
                <c:pt idx="46">
                  <c:v>43631</c:v>
                </c:pt>
                <c:pt idx="47">
                  <c:v>43633</c:v>
                </c:pt>
                <c:pt idx="48">
                  <c:v>43636</c:v>
                </c:pt>
                <c:pt idx="49">
                  <c:v>43637</c:v>
                </c:pt>
                <c:pt idx="50">
                  <c:v>43683</c:v>
                </c:pt>
                <c:pt idx="51">
                  <c:v>43692</c:v>
                </c:pt>
                <c:pt idx="52">
                  <c:v>43696</c:v>
                </c:pt>
                <c:pt idx="53">
                  <c:v>43698</c:v>
                </c:pt>
                <c:pt idx="54">
                  <c:v>43718</c:v>
                </c:pt>
                <c:pt idx="55">
                  <c:v>43734</c:v>
                </c:pt>
                <c:pt idx="56">
                  <c:v>43736</c:v>
                </c:pt>
                <c:pt idx="57">
                  <c:v>43761</c:v>
                </c:pt>
                <c:pt idx="58">
                  <c:v>43771</c:v>
                </c:pt>
                <c:pt idx="59">
                  <c:v>43776</c:v>
                </c:pt>
                <c:pt idx="60">
                  <c:v>43778</c:v>
                </c:pt>
                <c:pt idx="61">
                  <c:v>43781</c:v>
                </c:pt>
                <c:pt idx="62">
                  <c:v>43782</c:v>
                </c:pt>
                <c:pt idx="63">
                  <c:v>43797</c:v>
                </c:pt>
                <c:pt idx="64">
                  <c:v>43804</c:v>
                </c:pt>
                <c:pt idx="65">
                  <c:v>43809</c:v>
                </c:pt>
              </c:numCache>
            </c:numRef>
          </c:cat>
          <c:val>
            <c:numRef>
              <c:f>TEVA!$D$38:$D$121</c:f>
              <c:numCache>
                <c:formatCode>0.00</c:formatCode>
                <c:ptCount val="84"/>
                <c:pt idx="0">
                  <c:v>21.28</c:v>
                </c:pt>
                <c:pt idx="1">
                  <c:v>21.28</c:v>
                </c:pt>
                <c:pt idx="2">
                  <c:v>19.88</c:v>
                </c:pt>
                <c:pt idx="3">
                  <c:v>19.88</c:v>
                </c:pt>
                <c:pt idx="4">
                  <c:v>19.853300000000001</c:v>
                </c:pt>
                <c:pt idx="5">
                  <c:v>19.853300000000001</c:v>
                </c:pt>
                <c:pt idx="6">
                  <c:v>19.327500000000001</c:v>
                </c:pt>
                <c:pt idx="7">
                  <c:v>19.327500000000001</c:v>
                </c:pt>
                <c:pt idx="8">
                  <c:v>19.327500000000001</c:v>
                </c:pt>
                <c:pt idx="9">
                  <c:v>18.625499999999999</c:v>
                </c:pt>
                <c:pt idx="10">
                  <c:v>18.63</c:v>
                </c:pt>
                <c:pt idx="11">
                  <c:v>18.037700000000001</c:v>
                </c:pt>
                <c:pt idx="12">
                  <c:v>18.245899999999999</c:v>
                </c:pt>
                <c:pt idx="13">
                  <c:v>18.25</c:v>
                </c:pt>
                <c:pt idx="14">
                  <c:v>18.25</c:v>
                </c:pt>
                <c:pt idx="15">
                  <c:v>17.246200000000002</c:v>
                </c:pt>
                <c:pt idx="16">
                  <c:v>17.25</c:v>
                </c:pt>
                <c:pt idx="17">
                  <c:v>17.25</c:v>
                </c:pt>
                <c:pt idx="18">
                  <c:v>17.25</c:v>
                </c:pt>
                <c:pt idx="19">
                  <c:v>17.25</c:v>
                </c:pt>
                <c:pt idx="20">
                  <c:v>17.25</c:v>
                </c:pt>
                <c:pt idx="21">
                  <c:v>19.223099999999999</c:v>
                </c:pt>
                <c:pt idx="22">
                  <c:v>16.116499999999998</c:v>
                </c:pt>
                <c:pt idx="23">
                  <c:v>16.116499999999998</c:v>
                </c:pt>
                <c:pt idx="24">
                  <c:v>18.958200000000001</c:v>
                </c:pt>
                <c:pt idx="25">
                  <c:v>15.3668</c:v>
                </c:pt>
                <c:pt idx="26">
                  <c:v>15.37</c:v>
                </c:pt>
                <c:pt idx="27">
                  <c:v>15.0718</c:v>
                </c:pt>
                <c:pt idx="28">
                  <c:v>13.6065</c:v>
                </c:pt>
                <c:pt idx="29">
                  <c:v>17.5732</c:v>
                </c:pt>
                <c:pt idx="30">
                  <c:v>17.848800000000001</c:v>
                </c:pt>
                <c:pt idx="31">
                  <c:v>17.2334</c:v>
                </c:pt>
                <c:pt idx="32">
                  <c:v>17.222200000000001</c:v>
                </c:pt>
                <c:pt idx="33">
                  <c:v>16.808499999999999</c:v>
                </c:pt>
                <c:pt idx="34">
                  <c:v>16.809999999999999</c:v>
                </c:pt>
                <c:pt idx="35">
                  <c:v>16.809999999999999</c:v>
                </c:pt>
                <c:pt idx="36">
                  <c:v>16.809999999999999</c:v>
                </c:pt>
                <c:pt idx="37">
                  <c:v>15.734</c:v>
                </c:pt>
                <c:pt idx="38">
                  <c:v>15.4214</c:v>
                </c:pt>
                <c:pt idx="39">
                  <c:v>15.3568</c:v>
                </c:pt>
                <c:pt idx="40">
                  <c:v>15.2995</c:v>
                </c:pt>
                <c:pt idx="41">
                  <c:v>14.531000000000001</c:v>
                </c:pt>
                <c:pt idx="42">
                  <c:v>13.77</c:v>
                </c:pt>
                <c:pt idx="43">
                  <c:v>12.9598</c:v>
                </c:pt>
                <c:pt idx="44">
                  <c:v>12.96</c:v>
                </c:pt>
                <c:pt idx="45">
                  <c:v>11.6035</c:v>
                </c:pt>
                <c:pt idx="46">
                  <c:v>11.3786</c:v>
                </c:pt>
                <c:pt idx="47">
                  <c:v>12.933</c:v>
                </c:pt>
                <c:pt idx="48">
                  <c:v>12.13</c:v>
                </c:pt>
                <c:pt idx="49">
                  <c:v>12.9</c:v>
                </c:pt>
                <c:pt idx="50">
                  <c:v>11.808999999999999</c:v>
                </c:pt>
                <c:pt idx="51">
                  <c:v>9.66</c:v>
                </c:pt>
                <c:pt idx="52">
                  <c:v>11.377000000000001</c:v>
                </c:pt>
                <c:pt idx="53">
                  <c:v>11.38</c:v>
                </c:pt>
                <c:pt idx="54">
                  <c:v>12.3</c:v>
                </c:pt>
                <c:pt idx="55">
                  <c:v>11.1534</c:v>
                </c:pt>
                <c:pt idx="56">
                  <c:v>12.1717</c:v>
                </c:pt>
                <c:pt idx="57">
                  <c:v>11.2814</c:v>
                </c:pt>
                <c:pt idx="58">
                  <c:v>12.001799999999999</c:v>
                </c:pt>
                <c:pt idx="59">
                  <c:v>11.9208</c:v>
                </c:pt>
                <c:pt idx="60">
                  <c:v>11.92</c:v>
                </c:pt>
                <c:pt idx="61">
                  <c:v>11.92</c:v>
                </c:pt>
                <c:pt idx="62">
                  <c:v>12.162000000000001</c:v>
                </c:pt>
                <c:pt idx="63">
                  <c:v>12.16</c:v>
                </c:pt>
                <c:pt idx="64">
                  <c:v>12.16</c:v>
                </c:pt>
                <c:pt idx="65">
                  <c:v>11.894</c:v>
                </c:pt>
              </c:numCache>
            </c:numRef>
          </c:val>
          <c:smooth val="0"/>
        </c:ser>
        <c:dLbls>
          <c:showLegendKey val="0"/>
          <c:showVal val="0"/>
          <c:showCatName val="0"/>
          <c:showSerName val="0"/>
          <c:showPercent val="0"/>
          <c:showBubbleSize val="0"/>
        </c:dLbls>
        <c:smooth val="0"/>
        <c:axId val="478242640"/>
        <c:axId val="478247344"/>
      </c:lineChart>
      <c:dateAx>
        <c:axId val="47824264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8247344"/>
        <c:crosses val="autoZero"/>
        <c:auto val="1"/>
        <c:lblOffset val="100"/>
        <c:baseTimeUnit val="days"/>
      </c:dateAx>
      <c:valAx>
        <c:axId val="47824734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8242640"/>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3"/>
          <c:order val="0"/>
          <c:tx>
            <c:strRef>
              <c:f>TEVA!$J$37</c:f>
              <c:strCache>
                <c:ptCount val="1"/>
                <c:pt idx="0">
                  <c:v>Total PL</c:v>
                </c:pt>
              </c:strCache>
            </c:strRef>
          </c:tx>
          <c:spPr>
            <a:ln w="28575" cap="rnd">
              <a:solidFill>
                <a:srgbClr val="00B050"/>
              </a:solidFill>
              <a:round/>
            </a:ln>
            <a:effectLst/>
          </c:spPr>
          <c:marker>
            <c:symbol val="square"/>
            <c:size val="5"/>
            <c:spPr>
              <a:solidFill>
                <a:schemeClr val="accent4"/>
              </a:solidFill>
              <a:ln w="9525">
                <a:solidFill>
                  <a:srgbClr val="FF0000"/>
                </a:solidFill>
              </a:ln>
              <a:effectLst/>
            </c:spPr>
          </c:marker>
          <c:cat>
            <c:numRef>
              <c:f>TEVA!$B$38:$B$121</c:f>
              <c:numCache>
                <c:formatCode>d\-mmm</c:formatCode>
                <c:ptCount val="84"/>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43423</c:v>
                </c:pt>
                <c:pt idx="28">
                  <c:v>43427</c:v>
                </c:pt>
                <c:pt idx="29">
                  <c:v>43434</c:v>
                </c:pt>
                <c:pt idx="30">
                  <c:v>43444</c:v>
                </c:pt>
                <c:pt idx="31">
                  <c:v>43446</c:v>
                </c:pt>
                <c:pt idx="32">
                  <c:v>43452</c:v>
                </c:pt>
                <c:pt idx="33">
                  <c:v>43472</c:v>
                </c:pt>
                <c:pt idx="34">
                  <c:v>43476</c:v>
                </c:pt>
                <c:pt idx="35">
                  <c:v>43491</c:v>
                </c:pt>
                <c:pt idx="36">
                  <c:v>43535</c:v>
                </c:pt>
                <c:pt idx="37">
                  <c:v>43564</c:v>
                </c:pt>
                <c:pt idx="38">
                  <c:v>43572</c:v>
                </c:pt>
                <c:pt idx="39">
                  <c:v>43584</c:v>
                </c:pt>
                <c:pt idx="40">
                  <c:v>43585</c:v>
                </c:pt>
                <c:pt idx="41">
                  <c:v>43598</c:v>
                </c:pt>
                <c:pt idx="42">
                  <c:v>43608</c:v>
                </c:pt>
                <c:pt idx="43">
                  <c:v>43613</c:v>
                </c:pt>
                <c:pt idx="44">
                  <c:v>43614</c:v>
                </c:pt>
                <c:pt idx="45">
                  <c:v>43628</c:v>
                </c:pt>
                <c:pt idx="46">
                  <c:v>43631</c:v>
                </c:pt>
                <c:pt idx="47">
                  <c:v>43633</c:v>
                </c:pt>
                <c:pt idx="48">
                  <c:v>43636</c:v>
                </c:pt>
                <c:pt idx="49">
                  <c:v>43637</c:v>
                </c:pt>
                <c:pt idx="50">
                  <c:v>43683</c:v>
                </c:pt>
                <c:pt idx="51">
                  <c:v>43692</c:v>
                </c:pt>
                <c:pt idx="52">
                  <c:v>43696</c:v>
                </c:pt>
                <c:pt idx="53">
                  <c:v>43698</c:v>
                </c:pt>
                <c:pt idx="54">
                  <c:v>43718</c:v>
                </c:pt>
                <c:pt idx="55">
                  <c:v>43734</c:v>
                </c:pt>
                <c:pt idx="56">
                  <c:v>43736</c:v>
                </c:pt>
                <c:pt idx="57">
                  <c:v>43761</c:v>
                </c:pt>
                <c:pt idx="58">
                  <c:v>43771</c:v>
                </c:pt>
                <c:pt idx="59">
                  <c:v>43776</c:v>
                </c:pt>
                <c:pt idx="60">
                  <c:v>43778</c:v>
                </c:pt>
                <c:pt idx="61">
                  <c:v>43781</c:v>
                </c:pt>
                <c:pt idx="62">
                  <c:v>43782</c:v>
                </c:pt>
                <c:pt idx="63">
                  <c:v>43797</c:v>
                </c:pt>
                <c:pt idx="64">
                  <c:v>43804</c:v>
                </c:pt>
                <c:pt idx="65">
                  <c:v>43809</c:v>
                </c:pt>
              </c:numCache>
            </c:numRef>
          </c:cat>
          <c:val>
            <c:numRef>
              <c:f>TEVA!$J$38:$J$121</c:f>
              <c:numCache>
                <c:formatCode>0.00</c:formatCode>
                <c:ptCount val="84"/>
                <c:pt idx="0">
                  <c:v>297.97000000000469</c:v>
                </c:pt>
                <c:pt idx="1">
                  <c:v>213.97000000000472</c:v>
                </c:pt>
                <c:pt idx="2">
                  <c:v>36.970000000005115</c:v>
                </c:pt>
                <c:pt idx="3">
                  <c:v>488.97000000000469</c:v>
                </c:pt>
                <c:pt idx="4">
                  <c:v>268.98000000000479</c:v>
                </c:pt>
                <c:pt idx="5">
                  <c:v>142.98000000000425</c:v>
                </c:pt>
                <c:pt idx="6">
                  <c:v>-282.02999999999543</c:v>
                </c:pt>
                <c:pt idx="7">
                  <c:v>-698.02999999999497</c:v>
                </c:pt>
                <c:pt idx="8">
                  <c:v>-378.02999999999474</c:v>
                </c:pt>
                <c:pt idx="9">
                  <c:v>565.87000000000523</c:v>
                </c:pt>
                <c:pt idx="10">
                  <c:v>114.97000000000523</c:v>
                </c:pt>
                <c:pt idx="11">
                  <c:v>201.89000000000374</c:v>
                </c:pt>
                <c:pt idx="12">
                  <c:v>201.79000000000468</c:v>
                </c:pt>
                <c:pt idx="13">
                  <c:v>358.97000000000503</c:v>
                </c:pt>
                <c:pt idx="14">
                  <c:v>694.97000000000492</c:v>
                </c:pt>
                <c:pt idx="15">
                  <c:v>1211.7300000000041</c:v>
                </c:pt>
                <c:pt idx="16">
                  <c:v>1268.9700000000053</c:v>
                </c:pt>
                <c:pt idx="17">
                  <c:v>1210.9700000000046</c:v>
                </c:pt>
                <c:pt idx="18">
                  <c:v>1964.9700000000046</c:v>
                </c:pt>
                <c:pt idx="19">
                  <c:v>1530.9700000000048</c:v>
                </c:pt>
                <c:pt idx="20">
                  <c:v>1184.9700000000048</c:v>
                </c:pt>
                <c:pt idx="21">
                  <c:v>1019.7300000000048</c:v>
                </c:pt>
                <c:pt idx="22">
                  <c:v>1501.6700000000051</c:v>
                </c:pt>
                <c:pt idx="23">
                  <c:v>1989.6700000000053</c:v>
                </c:pt>
                <c:pt idx="24">
                  <c:v>1485.6900000000046</c:v>
                </c:pt>
                <c:pt idx="25">
                  <c:v>1811.6100000000049</c:v>
                </c:pt>
                <c:pt idx="26">
                  <c:v>1728.970000000005</c:v>
                </c:pt>
                <c:pt idx="27">
                  <c:v>1954.6662000000049</c:v>
                </c:pt>
                <c:pt idx="28">
                  <c:v>2007.6700000000044</c:v>
                </c:pt>
                <c:pt idx="29">
                  <c:v>1871.6900000000046</c:v>
                </c:pt>
                <c:pt idx="30">
                  <c:v>639.69000000000517</c:v>
                </c:pt>
                <c:pt idx="31">
                  <c:v>987.61000000000433</c:v>
                </c:pt>
                <c:pt idx="32">
                  <c:v>157.65000000000524</c:v>
                </c:pt>
                <c:pt idx="33">
                  <c:v>629.57000000000608</c:v>
                </c:pt>
                <c:pt idx="34">
                  <c:v>940.97000000000503</c:v>
                </c:pt>
                <c:pt idx="35">
                  <c:v>1384.9700000000048</c:v>
                </c:pt>
                <c:pt idx="36">
                  <c:v>-127.02999999999497</c:v>
                </c:pt>
                <c:pt idx="37">
                  <c:v>-662.22999999999456</c:v>
                </c:pt>
                <c:pt idx="38">
                  <c:v>-916.42999999999483</c:v>
                </c:pt>
                <c:pt idx="39">
                  <c:v>487.53000000000452</c:v>
                </c:pt>
                <c:pt idx="40">
                  <c:v>205.47000000000534</c:v>
                </c:pt>
                <c:pt idx="41">
                  <c:v>-2936.4299999999953</c:v>
                </c:pt>
                <c:pt idx="42">
                  <c:v>-4629.0299999999961</c:v>
                </c:pt>
                <c:pt idx="43">
                  <c:v>-7282.5899999999947</c:v>
                </c:pt>
                <c:pt idx="44">
                  <c:v>-6887.0299999999988</c:v>
                </c:pt>
                <c:pt idx="45">
                  <c:v>-7816.8299999999936</c:v>
                </c:pt>
                <c:pt idx="46">
                  <c:v>-9130.8299999999963</c:v>
                </c:pt>
                <c:pt idx="47">
                  <c:v>-9181.029999999997</c:v>
                </c:pt>
                <c:pt idx="48">
                  <c:v>-9339.0299999999988</c:v>
                </c:pt>
                <c:pt idx="49">
                  <c:v>-8615.029999999997</c:v>
                </c:pt>
                <c:pt idx="50">
                  <c:v>-11587.529999999995</c:v>
                </c:pt>
                <c:pt idx="51">
                  <c:v>-13715.029999999995</c:v>
                </c:pt>
                <c:pt idx="52">
                  <c:v>-11382.529999999997</c:v>
                </c:pt>
                <c:pt idx="53">
                  <c:v>-9540.029999999997</c:v>
                </c:pt>
                <c:pt idx="54">
                  <c:v>-8955.029999999997</c:v>
                </c:pt>
                <c:pt idx="55">
                  <c:v>-11248.529999999993</c:v>
                </c:pt>
                <c:pt idx="56">
                  <c:v>-10218.429999999995</c:v>
                </c:pt>
                <c:pt idx="57">
                  <c:v>-8093.5299999999952</c:v>
                </c:pt>
                <c:pt idx="58">
                  <c:v>-7018.6299999999947</c:v>
                </c:pt>
                <c:pt idx="59">
                  <c:v>-6636.6299999999928</c:v>
                </c:pt>
                <c:pt idx="60">
                  <c:v>-4955.0299999999934</c:v>
                </c:pt>
                <c:pt idx="61">
                  <c:v>-4335.0299999999961</c:v>
                </c:pt>
                <c:pt idx="62">
                  <c:v>-4002.6299999999974</c:v>
                </c:pt>
                <c:pt idx="63">
                  <c:v>-2793.0299999999966</c:v>
                </c:pt>
                <c:pt idx="64">
                  <c:v>-3927.0299999999952</c:v>
                </c:pt>
                <c:pt idx="65">
                  <c:v>-4533.029999999997</c:v>
                </c:pt>
              </c:numCache>
            </c:numRef>
          </c:val>
          <c:smooth val="0"/>
        </c:ser>
        <c:dLbls>
          <c:showLegendKey val="0"/>
          <c:showVal val="0"/>
          <c:showCatName val="0"/>
          <c:showSerName val="0"/>
          <c:showPercent val="0"/>
          <c:showBubbleSize val="0"/>
        </c:dLbls>
        <c:marker val="1"/>
        <c:smooth val="0"/>
        <c:axId val="478247736"/>
        <c:axId val="478237152"/>
      </c:lineChart>
      <c:dateAx>
        <c:axId val="47824773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8237152"/>
        <c:crosses val="autoZero"/>
        <c:auto val="1"/>
        <c:lblOffset val="100"/>
        <c:baseTimeUnit val="days"/>
      </c:dateAx>
      <c:valAx>
        <c:axId val="47823715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8247736"/>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ULTA!$E$35</c:f>
              <c:strCache>
                <c:ptCount val="1"/>
                <c:pt idx="0">
                  <c:v>price</c:v>
                </c:pt>
              </c:strCache>
            </c:strRef>
          </c:tx>
          <c:spPr>
            <a:ln w="28575" cap="rnd">
              <a:solidFill>
                <a:schemeClr val="accent1"/>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ULTA!$E$36:$E$90</c:f>
              <c:numCache>
                <c:formatCode>0.00</c:formatCode>
                <c:ptCount val="55"/>
                <c:pt idx="0">
                  <c:v>198.58</c:v>
                </c:pt>
                <c:pt idx="1">
                  <c:v>202.36</c:v>
                </c:pt>
                <c:pt idx="2">
                  <c:v>229.63</c:v>
                </c:pt>
                <c:pt idx="3">
                  <c:v>245.12</c:v>
                </c:pt>
                <c:pt idx="4">
                  <c:v>237.96</c:v>
                </c:pt>
                <c:pt idx="5">
                  <c:v>231.14</c:v>
                </c:pt>
                <c:pt idx="6">
                  <c:v>237.35</c:v>
                </c:pt>
                <c:pt idx="7">
                  <c:v>235.01</c:v>
                </c:pt>
                <c:pt idx="8">
                  <c:v>228.79</c:v>
                </c:pt>
                <c:pt idx="9">
                  <c:v>224.31</c:v>
                </c:pt>
                <c:pt idx="10">
                  <c:v>219.4</c:v>
                </c:pt>
                <c:pt idx="11">
                  <c:v>218.59</c:v>
                </c:pt>
                <c:pt idx="12">
                  <c:v>218.55</c:v>
                </c:pt>
                <c:pt idx="13">
                  <c:v>218.55</c:v>
                </c:pt>
                <c:pt idx="14">
                  <c:v>209.48</c:v>
                </c:pt>
                <c:pt idx="15">
                  <c:v>203.15</c:v>
                </c:pt>
                <c:pt idx="16">
                  <c:v>207.11</c:v>
                </c:pt>
                <c:pt idx="17">
                  <c:v>198.93</c:v>
                </c:pt>
                <c:pt idx="18">
                  <c:v>194.98</c:v>
                </c:pt>
                <c:pt idx="19">
                  <c:v>200.22</c:v>
                </c:pt>
                <c:pt idx="20">
                  <c:v>205.5</c:v>
                </c:pt>
                <c:pt idx="21">
                  <c:v>213.18</c:v>
                </c:pt>
                <c:pt idx="22">
                  <c:v>208.4</c:v>
                </c:pt>
                <c:pt idx="23">
                  <c:v>221.88</c:v>
                </c:pt>
                <c:pt idx="24">
                  <c:v>216.88</c:v>
                </c:pt>
                <c:pt idx="25">
                  <c:v>207.9</c:v>
                </c:pt>
                <c:pt idx="26">
                  <c:v>204.92</c:v>
                </c:pt>
                <c:pt idx="27">
                  <c:v>211.8</c:v>
                </c:pt>
                <c:pt idx="28">
                  <c:v>207.68</c:v>
                </c:pt>
                <c:pt idx="29">
                  <c:v>208.26</c:v>
                </c:pt>
                <c:pt idx="30">
                  <c:v>235.4</c:v>
                </c:pt>
                <c:pt idx="31">
                  <c:v>233.08</c:v>
                </c:pt>
                <c:pt idx="32">
                  <c:v>233.68</c:v>
                </c:pt>
                <c:pt idx="33">
                  <c:v>243.61</c:v>
                </c:pt>
                <c:pt idx="34">
                  <c:v>248.81</c:v>
                </c:pt>
                <c:pt idx="35">
                  <c:v>251.28</c:v>
                </c:pt>
                <c:pt idx="36">
                  <c:v>241.61</c:v>
                </c:pt>
                <c:pt idx="37">
                  <c:v>236.05</c:v>
                </c:pt>
                <c:pt idx="38">
                  <c:v>232.54</c:v>
                </c:pt>
                <c:pt idx="39">
                  <c:v>235</c:v>
                </c:pt>
                <c:pt idx="40">
                  <c:v>244</c:v>
                </c:pt>
                <c:pt idx="41">
                  <c:v>257</c:v>
                </c:pt>
                <c:pt idx="42">
                  <c:v>252.58</c:v>
                </c:pt>
                <c:pt idx="43">
                  <c:v>238</c:v>
                </c:pt>
                <c:pt idx="44">
                  <c:v>236</c:v>
                </c:pt>
                <c:pt idx="45">
                  <c:v>233.44</c:v>
                </c:pt>
                <c:pt idx="46">
                  <c:v>239.32</c:v>
                </c:pt>
                <c:pt idx="47">
                  <c:v>234.7</c:v>
                </c:pt>
                <c:pt idx="48">
                  <c:v>260</c:v>
                </c:pt>
                <c:pt idx="49">
                  <c:v>285.8</c:v>
                </c:pt>
              </c:numCache>
            </c:numRef>
          </c:val>
          <c:smooth val="0"/>
        </c:ser>
        <c:ser>
          <c:idx val="1"/>
          <c:order val="1"/>
          <c:tx>
            <c:strRef>
              <c:f>ULTA!$D$35</c:f>
              <c:strCache>
                <c:ptCount val="1"/>
                <c:pt idx="0">
                  <c:v>mean cost</c:v>
                </c:pt>
              </c:strCache>
            </c:strRef>
          </c:tx>
          <c:spPr>
            <a:ln w="28575" cap="rnd">
              <a:solidFill>
                <a:schemeClr val="accent2"/>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ULTA!$D$36:$D$90</c:f>
              <c:numCache>
                <c:formatCode>0.00</c:formatCode>
                <c:ptCount val="55"/>
                <c:pt idx="0">
                  <c:v>189.32</c:v>
                </c:pt>
                <c:pt idx="1">
                  <c:v>189.32</c:v>
                </c:pt>
                <c:pt idx="2">
                  <c:v>189.32</c:v>
                </c:pt>
                <c:pt idx="3">
                  <c:v>164.98249999999999</c:v>
                </c:pt>
                <c:pt idx="4">
                  <c:v>164.98249999999999</c:v>
                </c:pt>
                <c:pt idx="5">
                  <c:v>193.78139999999999</c:v>
                </c:pt>
                <c:pt idx="6">
                  <c:v>162.9615</c:v>
                </c:pt>
                <c:pt idx="7">
                  <c:v>193.35509999999999</c:v>
                </c:pt>
                <c:pt idx="8">
                  <c:v>201.24959999999999</c:v>
                </c:pt>
                <c:pt idx="9">
                  <c:v>201.24959999999999</c:v>
                </c:pt>
                <c:pt idx="10">
                  <c:v>204.66</c:v>
                </c:pt>
                <c:pt idx="11">
                  <c:v>206.1</c:v>
                </c:pt>
                <c:pt idx="12">
                  <c:v>206.08</c:v>
                </c:pt>
                <c:pt idx="13">
                  <c:v>195.89</c:v>
                </c:pt>
                <c:pt idx="14">
                  <c:v>200.78800000000001</c:v>
                </c:pt>
                <c:pt idx="15">
                  <c:v>200.78800000000001</c:v>
                </c:pt>
                <c:pt idx="16">
                  <c:v>200.78800000000001</c:v>
                </c:pt>
                <c:pt idx="17">
                  <c:v>200.63040000000001</c:v>
                </c:pt>
                <c:pt idx="18">
                  <c:v>199.98</c:v>
                </c:pt>
                <c:pt idx="19">
                  <c:v>199.98</c:v>
                </c:pt>
                <c:pt idx="20">
                  <c:v>198.32</c:v>
                </c:pt>
                <c:pt idx="21">
                  <c:v>193.37</c:v>
                </c:pt>
                <c:pt idx="22">
                  <c:v>197.35</c:v>
                </c:pt>
                <c:pt idx="23">
                  <c:v>178</c:v>
                </c:pt>
                <c:pt idx="24">
                  <c:v>195.5</c:v>
                </c:pt>
                <c:pt idx="25">
                  <c:v>195.5</c:v>
                </c:pt>
                <c:pt idx="26">
                  <c:v>195.5</c:v>
                </c:pt>
                <c:pt idx="27">
                  <c:v>188.51</c:v>
                </c:pt>
                <c:pt idx="28">
                  <c:v>194.26</c:v>
                </c:pt>
                <c:pt idx="29">
                  <c:v>187.95</c:v>
                </c:pt>
                <c:pt idx="30">
                  <c:v>175.01</c:v>
                </c:pt>
                <c:pt idx="31">
                  <c:v>187.45</c:v>
                </c:pt>
                <c:pt idx="32">
                  <c:v>174.3</c:v>
                </c:pt>
                <c:pt idx="33">
                  <c:v>159.1311</c:v>
                </c:pt>
                <c:pt idx="34">
                  <c:v>159.13</c:v>
                </c:pt>
                <c:pt idx="35">
                  <c:v>113.2483</c:v>
                </c:pt>
                <c:pt idx="36">
                  <c:v>156.16999999999999</c:v>
                </c:pt>
                <c:pt idx="37">
                  <c:v>156.16999999999999</c:v>
                </c:pt>
                <c:pt idx="38">
                  <c:v>174.87</c:v>
                </c:pt>
                <c:pt idx="39">
                  <c:v>154.79329999999999</c:v>
                </c:pt>
                <c:pt idx="40">
                  <c:v>110.19</c:v>
                </c:pt>
                <c:pt idx="41">
                  <c:v>-36.61</c:v>
                </c:pt>
                <c:pt idx="42">
                  <c:v>107.9833</c:v>
                </c:pt>
                <c:pt idx="43">
                  <c:v>152.44890000000001</c:v>
                </c:pt>
                <c:pt idx="44">
                  <c:v>152.44890000000001</c:v>
                </c:pt>
                <c:pt idx="45">
                  <c:v>152.44890000000001</c:v>
                </c:pt>
                <c:pt idx="46">
                  <c:v>152.44999999999999</c:v>
                </c:pt>
                <c:pt idx="47">
                  <c:v>152.44999999999999</c:v>
                </c:pt>
                <c:pt idx="48">
                  <c:v>-46.65</c:v>
                </c:pt>
              </c:numCache>
            </c:numRef>
          </c:val>
          <c:smooth val="0"/>
        </c:ser>
        <c:dLbls>
          <c:showLegendKey val="0"/>
          <c:showVal val="0"/>
          <c:showCatName val="0"/>
          <c:showSerName val="0"/>
          <c:showPercent val="0"/>
          <c:showBubbleSize val="0"/>
        </c:dLbls>
        <c:smooth val="0"/>
        <c:axId val="478238328"/>
        <c:axId val="478243424"/>
      </c:lineChart>
      <c:dateAx>
        <c:axId val="47823832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8243424"/>
        <c:crosses val="autoZero"/>
        <c:auto val="1"/>
        <c:lblOffset val="100"/>
        <c:baseTimeUnit val="days"/>
      </c:dateAx>
      <c:valAx>
        <c:axId val="47824342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82383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ULTA!$J$35</c:f>
              <c:strCache>
                <c:ptCount val="1"/>
                <c:pt idx="0">
                  <c:v>Total PL</c:v>
                </c:pt>
              </c:strCache>
            </c:strRef>
          </c:tx>
          <c:spPr>
            <a:ln w="28575" cap="rnd">
              <a:solidFill>
                <a:srgbClr val="00B050"/>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ULTA!$J$36:$J$90</c:f>
              <c:numCache>
                <c:formatCode>0.00</c:formatCode>
                <c:ptCount val="55"/>
                <c:pt idx="2">
                  <c:v>1434.0700000000006</c:v>
                </c:pt>
                <c:pt idx="3">
                  <c:v>1827.5200000000009</c:v>
                </c:pt>
                <c:pt idx="4">
                  <c:v>1684.3200000000008</c:v>
                </c:pt>
                <c:pt idx="5">
                  <c:v>1532</c:v>
                </c:pt>
                <c:pt idx="6">
                  <c:v>1712.54</c:v>
                </c:pt>
                <c:pt idx="7">
                  <c:v>1683</c:v>
                </c:pt>
                <c:pt idx="8">
                  <c:v>1464</c:v>
                </c:pt>
                <c:pt idx="9">
                  <c:v>1262</c:v>
                </c:pt>
                <c:pt idx="10">
                  <c:v>1036</c:v>
                </c:pt>
                <c:pt idx="11">
                  <c:v>1473</c:v>
                </c:pt>
                <c:pt idx="13">
                  <c:v>1471</c:v>
                </c:pt>
                <c:pt idx="14">
                  <c:v>1094</c:v>
                </c:pt>
                <c:pt idx="15">
                  <c:v>461</c:v>
                </c:pt>
                <c:pt idx="16">
                  <c:v>857</c:v>
                </c:pt>
                <c:pt idx="17">
                  <c:v>29</c:v>
                </c:pt>
                <c:pt idx="18">
                  <c:v>-425</c:v>
                </c:pt>
                <c:pt idx="19">
                  <c:v>256</c:v>
                </c:pt>
                <c:pt idx="20">
                  <c:v>942</c:v>
                </c:pt>
                <c:pt idx="21">
                  <c:v>1710</c:v>
                </c:pt>
                <c:pt idx="22">
                  <c:v>1330</c:v>
                </c:pt>
                <c:pt idx="23">
                  <c:v>2638</c:v>
                </c:pt>
                <c:pt idx="24">
                  <c:v>2363</c:v>
                </c:pt>
                <c:pt idx="25">
                  <c:v>1465</c:v>
                </c:pt>
                <c:pt idx="26">
                  <c:v>1167</c:v>
                </c:pt>
                <c:pt idx="27">
                  <c:v>1855</c:v>
                </c:pt>
                <c:pt idx="28">
                  <c:v>1566</c:v>
                </c:pt>
                <c:pt idx="29">
                  <c:v>1646</c:v>
                </c:pt>
                <c:pt idx="30">
                  <c:v>3478</c:v>
                </c:pt>
                <c:pt idx="31">
                  <c:v>3419</c:v>
                </c:pt>
                <c:pt idx="32">
                  <c:v>3491</c:v>
                </c:pt>
                <c:pt idx="33">
                  <c:v>3491</c:v>
                </c:pt>
                <c:pt idx="34">
                  <c:v>4260</c:v>
                </c:pt>
                <c:pt idx="35">
                  <c:v>4366</c:v>
                </c:pt>
                <c:pt idx="36">
                  <c:v>4070</c:v>
                </c:pt>
                <c:pt idx="37">
                  <c:v>3820</c:v>
                </c:pt>
                <c:pt idx="38">
                  <c:v>3685</c:v>
                </c:pt>
                <c:pt idx="39">
                  <c:v>3834</c:v>
                </c:pt>
                <c:pt idx="40">
                  <c:v>4239</c:v>
                </c:pt>
                <c:pt idx="41">
                  <c:v>4629</c:v>
                </c:pt>
                <c:pt idx="42">
                  <c:v>4563</c:v>
                </c:pt>
                <c:pt idx="43">
                  <c:v>4075</c:v>
                </c:pt>
                <c:pt idx="44">
                  <c:v>3985</c:v>
                </c:pt>
                <c:pt idx="45">
                  <c:v>3986</c:v>
                </c:pt>
                <c:pt idx="46">
                  <c:v>4134</c:v>
                </c:pt>
                <c:pt idx="47">
                  <c:v>3926</c:v>
                </c:pt>
                <c:pt idx="48">
                  <c:v>4824</c:v>
                </c:pt>
                <c:pt idx="49">
                  <c:v>5079.12</c:v>
                </c:pt>
              </c:numCache>
            </c:numRef>
          </c:val>
          <c:smooth val="0"/>
        </c:ser>
        <c:dLbls>
          <c:showLegendKey val="0"/>
          <c:showVal val="0"/>
          <c:showCatName val="0"/>
          <c:showSerName val="0"/>
          <c:showPercent val="0"/>
          <c:showBubbleSize val="0"/>
        </c:dLbls>
        <c:smooth val="0"/>
        <c:axId val="478240680"/>
        <c:axId val="478245384"/>
      </c:lineChart>
      <c:dateAx>
        <c:axId val="47824068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8245384"/>
        <c:crosses val="autoZero"/>
        <c:auto val="1"/>
        <c:lblOffset val="100"/>
        <c:baseTimeUnit val="days"/>
      </c:dateAx>
      <c:valAx>
        <c:axId val="47824538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82406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UNH!$AA$1</c:f>
              <c:strCache>
                <c:ptCount val="1"/>
                <c:pt idx="0">
                  <c:v>Close</c:v>
                </c:pt>
              </c:strCache>
            </c:strRef>
          </c:tx>
          <c:spPr>
            <a:ln w="15875" cap="rnd">
              <a:solidFill>
                <a:srgbClr val="00B0F0"/>
              </a:solidFill>
              <a:round/>
            </a:ln>
            <a:effectLst/>
          </c:spPr>
          <c:marker>
            <c:symbol val="square"/>
            <c:size val="4"/>
            <c:spPr>
              <a:solidFill>
                <a:srgbClr val="FF0000"/>
              </a:solidFill>
              <a:ln w="9525">
                <a:solidFill>
                  <a:schemeClr val="accent1"/>
                </a:solidFill>
              </a:ln>
              <a:effectLst/>
            </c:spPr>
          </c:marker>
          <c:cat>
            <c:numRef>
              <c:f>UNH!$W$2:$W$67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UNH!$AA$2:$AA$67</c:f>
              <c:numCache>
                <c:formatCode>General</c:formatCode>
                <c:ptCount val="66"/>
                <c:pt idx="0">
                  <c:v>165.37</c:v>
                </c:pt>
                <c:pt idx="1">
                  <c:v>164.97</c:v>
                </c:pt>
                <c:pt idx="2">
                  <c:v>165.59</c:v>
                </c:pt>
                <c:pt idx="3">
                  <c:v>164.01</c:v>
                </c:pt>
                <c:pt idx="4">
                  <c:v>164.99</c:v>
                </c:pt>
                <c:pt idx="5">
                  <c:v>163.44</c:v>
                </c:pt>
                <c:pt idx="6">
                  <c:v>165.35</c:v>
                </c:pt>
                <c:pt idx="7">
                  <c:v>164.6</c:v>
                </c:pt>
                <c:pt idx="8">
                  <c:v>165</c:v>
                </c:pt>
                <c:pt idx="9">
                  <c:v>165.29</c:v>
                </c:pt>
                <c:pt idx="10">
                  <c:v>167.03</c:v>
                </c:pt>
                <c:pt idx="11">
                  <c:v>167.7</c:v>
                </c:pt>
                <c:pt idx="12">
                  <c:v>168</c:v>
                </c:pt>
                <c:pt idx="13">
                  <c:v>169.7</c:v>
                </c:pt>
                <c:pt idx="14">
                  <c:v>171.3</c:v>
                </c:pt>
                <c:pt idx="15">
                  <c:v>171.78</c:v>
                </c:pt>
                <c:pt idx="16">
                  <c:v>169.06</c:v>
                </c:pt>
                <c:pt idx="17">
                  <c:v>170.21</c:v>
                </c:pt>
                <c:pt idx="18">
                  <c:v>169.98</c:v>
                </c:pt>
                <c:pt idx="19">
                  <c:v>168.01</c:v>
                </c:pt>
                <c:pt idx="20">
                  <c:v>167.91</c:v>
                </c:pt>
                <c:pt idx="22">
                  <c:v>168.3</c:v>
                </c:pt>
                <c:pt idx="23">
                  <c:v>168.7</c:v>
                </c:pt>
                <c:pt idx="24">
                  <c:v>168.2</c:v>
                </c:pt>
                <c:pt idx="25">
                  <c:v>167.31</c:v>
                </c:pt>
                <c:pt idx="26">
                  <c:v>167.94</c:v>
                </c:pt>
                <c:pt idx="27">
                  <c:v>165.38</c:v>
                </c:pt>
                <c:pt idx="28">
                  <c:v>165.38</c:v>
                </c:pt>
                <c:pt idx="29">
                  <c:v>163.06</c:v>
                </c:pt>
                <c:pt idx="30">
                  <c:v>162.6</c:v>
                </c:pt>
                <c:pt idx="31">
                  <c:v>160.57</c:v>
                </c:pt>
                <c:pt idx="32">
                  <c:v>160.57</c:v>
                </c:pt>
                <c:pt idx="33">
                  <c:v>157.62</c:v>
                </c:pt>
                <c:pt idx="34">
                  <c:v>163.65</c:v>
                </c:pt>
                <c:pt idx="35">
                  <c:v>164.29</c:v>
                </c:pt>
                <c:pt idx="36">
                  <c:v>163.13</c:v>
                </c:pt>
                <c:pt idx="37">
                  <c:v>161.99</c:v>
                </c:pt>
                <c:pt idx="38">
                  <c:v>160.75</c:v>
                </c:pt>
                <c:pt idx="39">
                  <c:v>160.44</c:v>
                </c:pt>
                <c:pt idx="40">
                  <c:v>160.31</c:v>
                </c:pt>
                <c:pt idx="41">
                  <c:v>160.53</c:v>
                </c:pt>
                <c:pt idx="42">
                  <c:v>160.51</c:v>
                </c:pt>
                <c:pt idx="43">
                  <c:v>161.87</c:v>
                </c:pt>
                <c:pt idx="44">
                  <c:v>160.76</c:v>
                </c:pt>
                <c:pt idx="45">
                  <c:v>162.71</c:v>
                </c:pt>
                <c:pt idx="46">
                  <c:v>162.1</c:v>
                </c:pt>
                <c:pt idx="47">
                  <c:v>162.09</c:v>
                </c:pt>
                <c:pt idx="48">
                  <c:v>162.99</c:v>
                </c:pt>
                <c:pt idx="49">
                  <c:v>162.75</c:v>
                </c:pt>
                <c:pt idx="50">
                  <c:v>161.24</c:v>
                </c:pt>
                <c:pt idx="51">
                  <c:v>160.43</c:v>
                </c:pt>
                <c:pt idx="52">
                  <c:v>159.07</c:v>
                </c:pt>
                <c:pt idx="53">
                  <c:v>158.66</c:v>
                </c:pt>
                <c:pt idx="54">
                  <c:v>158.69999999999999</c:v>
                </c:pt>
                <c:pt idx="55">
                  <c:v>157.74</c:v>
                </c:pt>
                <c:pt idx="56">
                  <c:v>160.66</c:v>
                </c:pt>
                <c:pt idx="57">
                  <c:v>161.80000000000001</c:v>
                </c:pt>
                <c:pt idx="58">
                  <c:v>162.36000000000001</c:v>
                </c:pt>
                <c:pt idx="59">
                  <c:v>161.88999999999999</c:v>
                </c:pt>
                <c:pt idx="60">
                  <c:v>161.58000000000001</c:v>
                </c:pt>
                <c:pt idx="61">
                  <c:v>161.94999999999999</c:v>
                </c:pt>
                <c:pt idx="62">
                  <c:v>162.41</c:v>
                </c:pt>
                <c:pt idx="63">
                  <c:v>162.18</c:v>
                </c:pt>
                <c:pt idx="64">
                  <c:v>161.91</c:v>
                </c:pt>
                <c:pt idx="65">
                  <c:v>161.44999999999999</c:v>
                </c:pt>
              </c:numCache>
            </c:numRef>
          </c:val>
          <c:smooth val="0"/>
        </c:ser>
        <c:dLbls>
          <c:showLegendKey val="0"/>
          <c:showVal val="0"/>
          <c:showCatName val="0"/>
          <c:showSerName val="0"/>
          <c:showPercent val="0"/>
          <c:showBubbleSize val="0"/>
        </c:dLbls>
        <c:marker val="1"/>
        <c:smooth val="0"/>
        <c:axId val="478251264"/>
        <c:axId val="478250480"/>
      </c:lineChart>
      <c:dateAx>
        <c:axId val="478251264"/>
        <c:scaling>
          <c:orientation val="minMax"/>
        </c:scaling>
        <c:delete val="0"/>
        <c:axPos val="b"/>
        <c:numFmt formatCode="d\-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8250480"/>
        <c:crosses val="autoZero"/>
        <c:auto val="1"/>
        <c:lblOffset val="100"/>
        <c:baseTimeUnit val="days"/>
      </c:dateAx>
      <c:valAx>
        <c:axId val="478250480"/>
        <c:scaling>
          <c:orientation val="minMax"/>
          <c:min val="107"/>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825126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WBA!$E$30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WBA!$E$31:$E$91</c:f>
              <c:numCache>
                <c:formatCode>0.00</c:formatCode>
                <c:ptCount val="61"/>
                <c:pt idx="0">
                  <c:v>81.209999999999994</c:v>
                </c:pt>
                <c:pt idx="1">
                  <c:v>75.86</c:v>
                </c:pt>
                <c:pt idx="2">
                  <c:v>73.180000000000007</c:v>
                </c:pt>
                <c:pt idx="3">
                  <c:v>70.87</c:v>
                </c:pt>
                <c:pt idx="4">
                  <c:v>70.87</c:v>
                </c:pt>
                <c:pt idx="5">
                  <c:v>67.56</c:v>
                </c:pt>
                <c:pt idx="6">
                  <c:v>67.290000000000006</c:v>
                </c:pt>
                <c:pt idx="7">
                  <c:v>64.180000000000007</c:v>
                </c:pt>
                <c:pt idx="8">
                  <c:v>67.010000000000005</c:v>
                </c:pt>
                <c:pt idx="9">
                  <c:v>70.459999999999994</c:v>
                </c:pt>
                <c:pt idx="10">
                  <c:v>70.650000000000006</c:v>
                </c:pt>
                <c:pt idx="11">
                  <c:v>72.760000000000005</c:v>
                </c:pt>
                <c:pt idx="12">
                  <c:v>71.72</c:v>
                </c:pt>
                <c:pt idx="13">
                  <c:v>73.41</c:v>
                </c:pt>
                <c:pt idx="14">
                  <c:v>70.97</c:v>
                </c:pt>
                <c:pt idx="15">
                  <c:v>72.92</c:v>
                </c:pt>
                <c:pt idx="16">
                  <c:v>73.849999999999994</c:v>
                </c:pt>
                <c:pt idx="17">
                  <c:v>75.78</c:v>
                </c:pt>
                <c:pt idx="18">
                  <c:v>70.430000000000007</c:v>
                </c:pt>
                <c:pt idx="19">
                  <c:v>68.22</c:v>
                </c:pt>
                <c:pt idx="20">
                  <c:v>69.790000000000006</c:v>
                </c:pt>
                <c:pt idx="21">
                  <c:v>70.14</c:v>
                </c:pt>
                <c:pt idx="22">
                  <c:v>69.099999999999994</c:v>
                </c:pt>
                <c:pt idx="23">
                  <c:v>70.599999999999994</c:v>
                </c:pt>
                <c:pt idx="24">
                  <c:v>70.58</c:v>
                </c:pt>
                <c:pt idx="25">
                  <c:v>67.569999999999993</c:v>
                </c:pt>
                <c:pt idx="26">
                  <c:v>66.62</c:v>
                </c:pt>
                <c:pt idx="27">
                  <c:v>65.959999999999994</c:v>
                </c:pt>
                <c:pt idx="28">
                  <c:v>63.47</c:v>
                </c:pt>
                <c:pt idx="29">
                  <c:v>66.22</c:v>
                </c:pt>
                <c:pt idx="30">
                  <c:v>67.11</c:v>
                </c:pt>
                <c:pt idx="31">
                  <c:v>63.81</c:v>
                </c:pt>
                <c:pt idx="32">
                  <c:v>62.36</c:v>
                </c:pt>
                <c:pt idx="33">
                  <c:v>65.739999999999995</c:v>
                </c:pt>
                <c:pt idx="34">
                  <c:v>64.5</c:v>
                </c:pt>
                <c:pt idx="35">
                  <c:v>63.7</c:v>
                </c:pt>
                <c:pt idx="36">
                  <c:v>65.8</c:v>
                </c:pt>
                <c:pt idx="37">
                  <c:v>68</c:v>
                </c:pt>
                <c:pt idx="38">
                  <c:v>66.260000000000005</c:v>
                </c:pt>
                <c:pt idx="39">
                  <c:v>59.7</c:v>
                </c:pt>
                <c:pt idx="40">
                  <c:v>61.13</c:v>
                </c:pt>
                <c:pt idx="41">
                  <c:v>60.76</c:v>
                </c:pt>
                <c:pt idx="42">
                  <c:v>62.38</c:v>
                </c:pt>
                <c:pt idx="43">
                  <c:v>63.53</c:v>
                </c:pt>
                <c:pt idx="44">
                  <c:v>66.099999999999994</c:v>
                </c:pt>
                <c:pt idx="45">
                  <c:v>64.930000000000007</c:v>
                </c:pt>
                <c:pt idx="46">
                  <c:v>67.62</c:v>
                </c:pt>
                <c:pt idx="47">
                  <c:v>66.489999999999995</c:v>
                </c:pt>
                <c:pt idx="48">
                  <c:v>69.62</c:v>
                </c:pt>
                <c:pt idx="49">
                  <c:v>69.989999999999995</c:v>
                </c:pt>
                <c:pt idx="50">
                  <c:v>67.8</c:v>
                </c:pt>
                <c:pt idx="51">
                  <c:v>68.56</c:v>
                </c:pt>
                <c:pt idx="52">
                  <c:v>70.38</c:v>
                </c:pt>
                <c:pt idx="53">
                  <c:v>71.28</c:v>
                </c:pt>
                <c:pt idx="54">
                  <c:v>72.89</c:v>
                </c:pt>
              </c:numCache>
            </c:numRef>
          </c:val>
          <c:smooth val="0"/>
        </c:ser>
        <c:ser>
          <c:idx val="1"/>
          <c:order val="1"/>
          <c:tx>
            <c:strRef>
              <c:f>WBA!$D$30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WBA!$D$31:$D$91</c:f>
              <c:numCache>
                <c:formatCode>0.00</c:formatCode>
                <c:ptCount val="61"/>
                <c:pt idx="0">
                  <c:v>81.08</c:v>
                </c:pt>
                <c:pt idx="1">
                  <c:v>78.180000000000007</c:v>
                </c:pt>
                <c:pt idx="2">
                  <c:v>76.513300000000001</c:v>
                </c:pt>
                <c:pt idx="3">
                  <c:v>75.23</c:v>
                </c:pt>
                <c:pt idx="4">
                  <c:v>75.23</c:v>
                </c:pt>
                <c:pt idx="5">
                  <c:v>75.23</c:v>
                </c:pt>
                <c:pt idx="6">
                  <c:v>73.64</c:v>
                </c:pt>
                <c:pt idx="7">
                  <c:v>72.063299999999998</c:v>
                </c:pt>
                <c:pt idx="8">
                  <c:v>74.355800000000002</c:v>
                </c:pt>
                <c:pt idx="9">
                  <c:v>74.7149</c:v>
                </c:pt>
                <c:pt idx="10">
                  <c:v>73.506200000000007</c:v>
                </c:pt>
                <c:pt idx="11">
                  <c:v>73.848799999999997</c:v>
                </c:pt>
                <c:pt idx="12">
                  <c:v>73.3155</c:v>
                </c:pt>
                <c:pt idx="13">
                  <c:v>73.13</c:v>
                </c:pt>
                <c:pt idx="14">
                  <c:v>72.049899999999994</c:v>
                </c:pt>
                <c:pt idx="15">
                  <c:v>71.481399999999994</c:v>
                </c:pt>
                <c:pt idx="16">
                  <c:v>71.481399999999994</c:v>
                </c:pt>
                <c:pt idx="17">
                  <c:v>71.481399999999994</c:v>
                </c:pt>
                <c:pt idx="18">
                  <c:v>70.825100000000006</c:v>
                </c:pt>
                <c:pt idx="19">
                  <c:v>70.043400000000005</c:v>
                </c:pt>
                <c:pt idx="20">
                  <c:v>69.83</c:v>
                </c:pt>
                <c:pt idx="21">
                  <c:v>69.52</c:v>
                </c:pt>
                <c:pt idx="22">
                  <c:v>69.308000000000007</c:v>
                </c:pt>
                <c:pt idx="23">
                  <c:v>69.308000000000007</c:v>
                </c:pt>
                <c:pt idx="24">
                  <c:v>69.007999999999996</c:v>
                </c:pt>
                <c:pt idx="25">
                  <c:v>69.007999999999996</c:v>
                </c:pt>
                <c:pt idx="26">
                  <c:v>69.007999999999996</c:v>
                </c:pt>
                <c:pt idx="27">
                  <c:v>69.007999999999996</c:v>
                </c:pt>
                <c:pt idx="28">
                  <c:v>69.007999999999996</c:v>
                </c:pt>
                <c:pt idx="29">
                  <c:v>69.010000000000005</c:v>
                </c:pt>
                <c:pt idx="30">
                  <c:v>69.010000000000005</c:v>
                </c:pt>
                <c:pt idx="31">
                  <c:v>69.010000000000005</c:v>
                </c:pt>
                <c:pt idx="32">
                  <c:v>66.632199999999997</c:v>
                </c:pt>
                <c:pt idx="33">
                  <c:v>66.63</c:v>
                </c:pt>
                <c:pt idx="34">
                  <c:v>66.63</c:v>
                </c:pt>
                <c:pt idx="35">
                  <c:v>66.232200000000006</c:v>
                </c:pt>
                <c:pt idx="36">
                  <c:v>66.232200000000006</c:v>
                </c:pt>
                <c:pt idx="37">
                  <c:v>65.473699999999994</c:v>
                </c:pt>
                <c:pt idx="38">
                  <c:v>65.473699999999994</c:v>
                </c:pt>
                <c:pt idx="39">
                  <c:v>62.517000000000003</c:v>
                </c:pt>
                <c:pt idx="40">
                  <c:v>62.52</c:v>
                </c:pt>
                <c:pt idx="41">
                  <c:v>62.52</c:v>
                </c:pt>
                <c:pt idx="42">
                  <c:v>62.563000000000002</c:v>
                </c:pt>
                <c:pt idx="43">
                  <c:v>62.08</c:v>
                </c:pt>
                <c:pt idx="44">
                  <c:v>62.08</c:v>
                </c:pt>
                <c:pt idx="45">
                  <c:v>62.08</c:v>
                </c:pt>
                <c:pt idx="46">
                  <c:v>62.08</c:v>
                </c:pt>
                <c:pt idx="47">
                  <c:v>62.08</c:v>
                </c:pt>
                <c:pt idx="48">
                  <c:v>62.08</c:v>
                </c:pt>
                <c:pt idx="49">
                  <c:v>62.08</c:v>
                </c:pt>
                <c:pt idx="50">
                  <c:v>62.08</c:v>
                </c:pt>
                <c:pt idx="51">
                  <c:v>62.08</c:v>
                </c:pt>
                <c:pt idx="52">
                  <c:v>58.79</c:v>
                </c:pt>
                <c:pt idx="53">
                  <c:v>33.010800000000003</c:v>
                </c:pt>
                <c:pt idx="54">
                  <c:v>33.010800000000003</c:v>
                </c:pt>
              </c:numCache>
            </c:numRef>
          </c:val>
          <c:smooth val="0"/>
        </c:ser>
        <c:dLbls>
          <c:showLegendKey val="0"/>
          <c:showVal val="0"/>
          <c:showCatName val="0"/>
          <c:showSerName val="0"/>
          <c:showPercent val="0"/>
          <c:showBubbleSize val="0"/>
        </c:dLbls>
        <c:marker val="1"/>
        <c:smooth val="0"/>
        <c:axId val="478248912"/>
        <c:axId val="478249696"/>
      </c:lineChart>
      <c:dateAx>
        <c:axId val="47824891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8249696"/>
        <c:crosses val="autoZero"/>
        <c:auto val="1"/>
        <c:lblOffset val="100"/>
        <c:baseTimeUnit val="days"/>
      </c:dateAx>
      <c:valAx>
        <c:axId val="47824969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824891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WBA!$F$30</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00B050"/>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WBA!$F$31:$F$91</c:f>
              <c:numCache>
                <c:formatCode>0.00</c:formatCode>
                <c:ptCount val="61"/>
                <c:pt idx="0">
                  <c:v>6.4999999999997726</c:v>
                </c:pt>
                <c:pt idx="1">
                  <c:v>-232.00000000000074</c:v>
                </c:pt>
                <c:pt idx="2">
                  <c:v>-499.9949999999991</c:v>
                </c:pt>
                <c:pt idx="3">
                  <c:v>-871.99999999999989</c:v>
                </c:pt>
                <c:pt idx="4">
                  <c:v>-871.99999999999989</c:v>
                </c:pt>
                <c:pt idx="5">
                  <c:v>-1534.0000000000005</c:v>
                </c:pt>
                <c:pt idx="6">
                  <c:v>-1587.4999999999986</c:v>
                </c:pt>
                <c:pt idx="7">
                  <c:v>-2364.9899999999975</c:v>
                </c:pt>
                <c:pt idx="8">
                  <c:v>-1469.1599999999994</c:v>
                </c:pt>
                <c:pt idx="9">
                  <c:v>-638.23500000000092</c:v>
                </c:pt>
                <c:pt idx="10">
                  <c:v>-571.24000000000024</c:v>
                </c:pt>
                <c:pt idx="11">
                  <c:v>-163.3199999999988</c:v>
                </c:pt>
                <c:pt idx="12">
                  <c:v>-239.32500000000019</c:v>
                </c:pt>
                <c:pt idx="13">
                  <c:v>14.000000000000057</c:v>
                </c:pt>
                <c:pt idx="14">
                  <c:v>-107.9899999999995</c:v>
                </c:pt>
                <c:pt idx="15">
                  <c:v>71.930000000000405</c:v>
                </c:pt>
                <c:pt idx="16">
                  <c:v>118.43000000000004</c:v>
                </c:pt>
                <c:pt idx="17">
                  <c:v>214.93000000000038</c:v>
                </c:pt>
                <c:pt idx="18">
                  <c:v>-39.509999999999934</c:v>
                </c:pt>
                <c:pt idx="19">
                  <c:v>-273.51000000000101</c:v>
                </c:pt>
                <c:pt idx="20">
                  <c:v>-7.9999999999984084</c:v>
                </c:pt>
                <c:pt idx="21">
                  <c:v>62.000000000000455</c:v>
                </c:pt>
                <c:pt idx="22">
                  <c:v>-41.600000000002524</c:v>
                </c:pt>
                <c:pt idx="23">
                  <c:v>258.39999999999748</c:v>
                </c:pt>
                <c:pt idx="24">
                  <c:v>314.40000000000055</c:v>
                </c:pt>
                <c:pt idx="25">
                  <c:v>-287.60000000000048</c:v>
                </c:pt>
                <c:pt idx="26">
                  <c:v>-477.5999999999982</c:v>
                </c:pt>
                <c:pt idx="27">
                  <c:v>-609.60000000000036</c:v>
                </c:pt>
                <c:pt idx="28">
                  <c:v>-1107.5999999999995</c:v>
                </c:pt>
                <c:pt idx="29">
                  <c:v>-558.00000000000125</c:v>
                </c:pt>
                <c:pt idx="30">
                  <c:v>-380.00000000000114</c:v>
                </c:pt>
                <c:pt idx="31">
                  <c:v>-1040.0000000000005</c:v>
                </c:pt>
                <c:pt idx="32">
                  <c:v>-1281.6599999999994</c:v>
                </c:pt>
                <c:pt idx="33">
                  <c:v>-267.00000000000017</c:v>
                </c:pt>
                <c:pt idx="34">
                  <c:v>-638.99999999999864</c:v>
                </c:pt>
                <c:pt idx="35">
                  <c:v>-759.66000000000099</c:v>
                </c:pt>
                <c:pt idx="36">
                  <c:v>-129.66000000000264</c:v>
                </c:pt>
                <c:pt idx="37">
                  <c:v>505.26000000000124</c:v>
                </c:pt>
                <c:pt idx="38">
                  <c:v>157.26000000000226</c:v>
                </c:pt>
                <c:pt idx="39">
                  <c:v>-1126.8000000000002</c:v>
                </c:pt>
                <c:pt idx="40">
                  <c:v>-556.00000000000023</c:v>
                </c:pt>
                <c:pt idx="41">
                  <c:v>-704.00000000000205</c:v>
                </c:pt>
                <c:pt idx="42">
                  <c:v>-54.899999999999949</c:v>
                </c:pt>
                <c:pt idx="43">
                  <c:v>290.00000000000057</c:v>
                </c:pt>
                <c:pt idx="44">
                  <c:v>803.9999999999992</c:v>
                </c:pt>
                <c:pt idx="45">
                  <c:v>570.00000000000171</c:v>
                </c:pt>
                <c:pt idx="46">
                  <c:v>1108.0000000000014</c:v>
                </c:pt>
                <c:pt idx="47">
                  <c:v>881.99999999999932</c:v>
                </c:pt>
                <c:pt idx="48">
                  <c:v>1508.0000000000014</c:v>
                </c:pt>
                <c:pt idx="49">
                  <c:v>1581.9999999999993</c:v>
                </c:pt>
                <c:pt idx="50">
                  <c:v>1143.9999999999998</c:v>
                </c:pt>
                <c:pt idx="51">
                  <c:v>1296.0000000000009</c:v>
                </c:pt>
                <c:pt idx="52">
                  <c:v>1738.4999999999995</c:v>
                </c:pt>
                <c:pt idx="53">
                  <c:v>1913.4599999999998</c:v>
                </c:pt>
                <c:pt idx="54">
                  <c:v>1993.9599999999998</c:v>
                </c:pt>
              </c:numCache>
            </c:numRef>
          </c:val>
          <c:smooth val="0"/>
        </c:ser>
        <c:dLbls>
          <c:showLegendKey val="0"/>
          <c:showVal val="0"/>
          <c:showCatName val="0"/>
          <c:showSerName val="0"/>
          <c:showPercent val="0"/>
          <c:showBubbleSize val="0"/>
        </c:dLbls>
        <c:marker val="1"/>
        <c:smooth val="0"/>
        <c:axId val="478250872"/>
        <c:axId val="478248520"/>
      </c:lineChart>
      <c:dateAx>
        <c:axId val="47825087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8248520"/>
        <c:crosses val="autoZero"/>
        <c:auto val="1"/>
        <c:lblOffset val="100"/>
        <c:baseTimeUnit val="days"/>
      </c:dateAx>
      <c:valAx>
        <c:axId val="4782485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82508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WRK!$D$28</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WRK!$B$29:$B$80</c:f>
              <c:numCache>
                <c:formatCode>d\-mmm</c:formatCode>
                <c:ptCount val="52"/>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pt idx="37">
                  <c:v>43640</c:v>
                </c:pt>
                <c:pt idx="38">
                  <c:v>43643</c:v>
                </c:pt>
                <c:pt idx="39">
                  <c:v>43647</c:v>
                </c:pt>
                <c:pt idx="40">
                  <c:v>43657</c:v>
                </c:pt>
                <c:pt idx="41">
                  <c:v>43678</c:v>
                </c:pt>
                <c:pt idx="42">
                  <c:v>43682</c:v>
                </c:pt>
                <c:pt idx="43">
                  <c:v>43697</c:v>
                </c:pt>
                <c:pt idx="44">
                  <c:v>43718</c:v>
                </c:pt>
                <c:pt idx="45">
                  <c:v>43777</c:v>
                </c:pt>
                <c:pt idx="46">
                  <c:v>43781</c:v>
                </c:pt>
                <c:pt idx="47">
                  <c:v>43802</c:v>
                </c:pt>
              </c:numCache>
            </c:numRef>
          </c:cat>
          <c:val>
            <c:numRef>
              <c:f>WRK!$D$29:$D$80</c:f>
              <c:numCache>
                <c:formatCode>0.00</c:formatCode>
                <c:ptCount val="52"/>
                <c:pt idx="0">
                  <c:v>54.48</c:v>
                </c:pt>
                <c:pt idx="1">
                  <c:v>54.48</c:v>
                </c:pt>
                <c:pt idx="2">
                  <c:v>54.48</c:v>
                </c:pt>
                <c:pt idx="3">
                  <c:v>53.88</c:v>
                </c:pt>
                <c:pt idx="4">
                  <c:v>53.3</c:v>
                </c:pt>
                <c:pt idx="5">
                  <c:v>52.646999999999998</c:v>
                </c:pt>
                <c:pt idx="6">
                  <c:v>50.534999999999997</c:v>
                </c:pt>
                <c:pt idx="7">
                  <c:v>50.534999999999997</c:v>
                </c:pt>
                <c:pt idx="8">
                  <c:v>50.534999999999997</c:v>
                </c:pt>
                <c:pt idx="9">
                  <c:v>50.54</c:v>
                </c:pt>
                <c:pt idx="10">
                  <c:v>50.534999999999997</c:v>
                </c:pt>
                <c:pt idx="11">
                  <c:v>50.534999999999997</c:v>
                </c:pt>
                <c:pt idx="12">
                  <c:v>50.54</c:v>
                </c:pt>
                <c:pt idx="13">
                  <c:v>50.08</c:v>
                </c:pt>
                <c:pt idx="14">
                  <c:v>51.624000000000002</c:v>
                </c:pt>
                <c:pt idx="15">
                  <c:v>51.62</c:v>
                </c:pt>
                <c:pt idx="16">
                  <c:v>51.62</c:v>
                </c:pt>
                <c:pt idx="17">
                  <c:v>51.624000000000002</c:v>
                </c:pt>
                <c:pt idx="18">
                  <c:v>51.62</c:v>
                </c:pt>
                <c:pt idx="19">
                  <c:v>48.637999999999998</c:v>
                </c:pt>
                <c:pt idx="20">
                  <c:v>46.664000000000001</c:v>
                </c:pt>
                <c:pt idx="21">
                  <c:v>45.137</c:v>
                </c:pt>
                <c:pt idx="22">
                  <c:v>46.42</c:v>
                </c:pt>
                <c:pt idx="23">
                  <c:v>48.155000000000001</c:v>
                </c:pt>
                <c:pt idx="24">
                  <c:v>50.726999999999997</c:v>
                </c:pt>
                <c:pt idx="25">
                  <c:v>47.816000000000003</c:v>
                </c:pt>
                <c:pt idx="26">
                  <c:v>47.247</c:v>
                </c:pt>
                <c:pt idx="27">
                  <c:v>45.313000000000002</c:v>
                </c:pt>
                <c:pt idx="28">
                  <c:v>49.735999999999997</c:v>
                </c:pt>
                <c:pt idx="29">
                  <c:v>44.89</c:v>
                </c:pt>
                <c:pt idx="30">
                  <c:v>48.43</c:v>
                </c:pt>
                <c:pt idx="31">
                  <c:v>43.17</c:v>
                </c:pt>
                <c:pt idx="32">
                  <c:v>47.384</c:v>
                </c:pt>
                <c:pt idx="33">
                  <c:v>43.996000000000002</c:v>
                </c:pt>
                <c:pt idx="34">
                  <c:v>44</c:v>
                </c:pt>
                <c:pt idx="35">
                  <c:v>46.454999999999998</c:v>
                </c:pt>
                <c:pt idx="36">
                  <c:v>43.851999999999997</c:v>
                </c:pt>
                <c:pt idx="37">
                  <c:v>42.137</c:v>
                </c:pt>
                <c:pt idx="38">
                  <c:v>43.734000000000002</c:v>
                </c:pt>
                <c:pt idx="39">
                  <c:v>45.819000000000003</c:v>
                </c:pt>
                <c:pt idx="40">
                  <c:v>43.463999999999999</c:v>
                </c:pt>
                <c:pt idx="41">
                  <c:v>45.22</c:v>
                </c:pt>
                <c:pt idx="42">
                  <c:v>42.715000000000003</c:v>
                </c:pt>
                <c:pt idx="43">
                  <c:v>42.26</c:v>
                </c:pt>
                <c:pt idx="44">
                  <c:v>44.18</c:v>
                </c:pt>
                <c:pt idx="45">
                  <c:v>44.18</c:v>
                </c:pt>
                <c:pt idx="46">
                  <c:v>44.18</c:v>
                </c:pt>
                <c:pt idx="47">
                  <c:v>43.715000000000003</c:v>
                </c:pt>
              </c:numCache>
            </c:numRef>
          </c:val>
          <c:smooth val="0"/>
        </c:ser>
        <c:ser>
          <c:idx val="2"/>
          <c:order val="1"/>
          <c:tx>
            <c:strRef>
              <c:f>WRK!$E$28</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WRK!$B$29:$B$80</c:f>
              <c:numCache>
                <c:formatCode>d\-mmm</c:formatCode>
                <c:ptCount val="52"/>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pt idx="37">
                  <c:v>43640</c:v>
                </c:pt>
                <c:pt idx="38">
                  <c:v>43643</c:v>
                </c:pt>
                <c:pt idx="39">
                  <c:v>43647</c:v>
                </c:pt>
                <c:pt idx="40">
                  <c:v>43657</c:v>
                </c:pt>
                <c:pt idx="41">
                  <c:v>43678</c:v>
                </c:pt>
                <c:pt idx="42">
                  <c:v>43682</c:v>
                </c:pt>
                <c:pt idx="43">
                  <c:v>43697</c:v>
                </c:pt>
                <c:pt idx="44">
                  <c:v>43718</c:v>
                </c:pt>
                <c:pt idx="45">
                  <c:v>43777</c:v>
                </c:pt>
                <c:pt idx="46">
                  <c:v>43781</c:v>
                </c:pt>
                <c:pt idx="47">
                  <c:v>43802</c:v>
                </c:pt>
              </c:numCache>
            </c:numRef>
          </c:cat>
          <c:val>
            <c:numRef>
              <c:f>WRK!$E$29:$E$80</c:f>
              <c:numCache>
                <c:formatCode>0.00</c:formatCode>
                <c:ptCount val="52"/>
                <c:pt idx="0">
                  <c:v>54.71</c:v>
                </c:pt>
                <c:pt idx="1">
                  <c:v>55.6</c:v>
                </c:pt>
                <c:pt idx="2">
                  <c:v>56.61</c:v>
                </c:pt>
                <c:pt idx="3">
                  <c:v>53.69</c:v>
                </c:pt>
                <c:pt idx="4">
                  <c:v>50.98</c:v>
                </c:pt>
                <c:pt idx="5">
                  <c:v>49.13</c:v>
                </c:pt>
                <c:pt idx="6">
                  <c:v>43.63</c:v>
                </c:pt>
                <c:pt idx="7">
                  <c:v>42.61</c:v>
                </c:pt>
                <c:pt idx="8">
                  <c:v>40.94</c:v>
                </c:pt>
                <c:pt idx="9">
                  <c:v>42.97</c:v>
                </c:pt>
                <c:pt idx="10">
                  <c:v>46.73</c:v>
                </c:pt>
                <c:pt idx="11">
                  <c:v>45.33</c:v>
                </c:pt>
                <c:pt idx="12">
                  <c:v>46.15</c:v>
                </c:pt>
                <c:pt idx="13">
                  <c:v>46.07</c:v>
                </c:pt>
                <c:pt idx="14">
                  <c:v>45.55</c:v>
                </c:pt>
                <c:pt idx="15">
                  <c:v>47.11</c:v>
                </c:pt>
                <c:pt idx="16">
                  <c:v>45.29</c:v>
                </c:pt>
                <c:pt idx="17">
                  <c:v>38.89</c:v>
                </c:pt>
                <c:pt idx="18">
                  <c:v>42.29</c:v>
                </c:pt>
                <c:pt idx="19">
                  <c:v>38.700000000000003</c:v>
                </c:pt>
                <c:pt idx="20">
                  <c:v>38.700000000000003</c:v>
                </c:pt>
                <c:pt idx="21">
                  <c:v>37.9</c:v>
                </c:pt>
                <c:pt idx="22">
                  <c:v>38.71</c:v>
                </c:pt>
                <c:pt idx="23">
                  <c:v>39.26</c:v>
                </c:pt>
                <c:pt idx="24">
                  <c:v>40.44</c:v>
                </c:pt>
                <c:pt idx="25">
                  <c:v>39.26</c:v>
                </c:pt>
                <c:pt idx="26">
                  <c:v>39.67</c:v>
                </c:pt>
                <c:pt idx="27">
                  <c:v>37.380000000000003</c:v>
                </c:pt>
                <c:pt idx="28">
                  <c:v>38.53</c:v>
                </c:pt>
                <c:pt idx="29">
                  <c:v>37.549999999999997</c:v>
                </c:pt>
                <c:pt idx="30">
                  <c:v>39.770000000000003</c:v>
                </c:pt>
                <c:pt idx="31">
                  <c:v>36.880000000000003</c:v>
                </c:pt>
                <c:pt idx="32">
                  <c:v>36.83</c:v>
                </c:pt>
                <c:pt idx="33">
                  <c:v>35.15</c:v>
                </c:pt>
                <c:pt idx="34">
                  <c:v>33.630000000000003</c:v>
                </c:pt>
                <c:pt idx="35">
                  <c:v>36.619999999999997</c:v>
                </c:pt>
                <c:pt idx="36">
                  <c:v>36.049999999999997</c:v>
                </c:pt>
                <c:pt idx="37">
                  <c:v>35.18</c:v>
                </c:pt>
                <c:pt idx="38">
                  <c:v>35.75</c:v>
                </c:pt>
                <c:pt idx="39">
                  <c:v>37.450000000000003</c:v>
                </c:pt>
                <c:pt idx="40">
                  <c:v>36.19</c:v>
                </c:pt>
                <c:pt idx="41">
                  <c:v>37.26</c:v>
                </c:pt>
                <c:pt idx="42">
                  <c:v>35.17</c:v>
                </c:pt>
                <c:pt idx="43">
                  <c:v>33.25</c:v>
                </c:pt>
                <c:pt idx="44">
                  <c:v>35.950000000000003</c:v>
                </c:pt>
                <c:pt idx="45">
                  <c:v>39.75</c:v>
                </c:pt>
                <c:pt idx="46">
                  <c:v>40.64</c:v>
                </c:pt>
                <c:pt idx="47">
                  <c:v>39.5</c:v>
                </c:pt>
              </c:numCache>
            </c:numRef>
          </c:val>
          <c:smooth val="0"/>
        </c:ser>
        <c:dLbls>
          <c:showLegendKey val="0"/>
          <c:showVal val="0"/>
          <c:showCatName val="0"/>
          <c:showSerName val="0"/>
          <c:showPercent val="0"/>
          <c:showBubbleSize val="0"/>
        </c:dLbls>
        <c:marker val="1"/>
        <c:smooth val="0"/>
        <c:axId val="490190744"/>
        <c:axId val="490185256"/>
      </c:lineChart>
      <c:dateAx>
        <c:axId val="49019074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185256"/>
        <c:crosses val="autoZero"/>
        <c:auto val="1"/>
        <c:lblOffset val="100"/>
        <c:baseTimeUnit val="days"/>
      </c:dateAx>
      <c:valAx>
        <c:axId val="4901852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190744"/>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WRK!$F$28</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WRK!$B$29:$B$80</c:f>
              <c:numCache>
                <c:formatCode>d\-mmm</c:formatCode>
                <c:ptCount val="52"/>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pt idx="37">
                  <c:v>43640</c:v>
                </c:pt>
                <c:pt idx="38">
                  <c:v>43643</c:v>
                </c:pt>
                <c:pt idx="39">
                  <c:v>43647</c:v>
                </c:pt>
                <c:pt idx="40">
                  <c:v>43657</c:v>
                </c:pt>
                <c:pt idx="41">
                  <c:v>43678</c:v>
                </c:pt>
                <c:pt idx="42">
                  <c:v>43682</c:v>
                </c:pt>
                <c:pt idx="43">
                  <c:v>43697</c:v>
                </c:pt>
                <c:pt idx="44">
                  <c:v>43718</c:v>
                </c:pt>
                <c:pt idx="45">
                  <c:v>43777</c:v>
                </c:pt>
                <c:pt idx="46">
                  <c:v>43781</c:v>
                </c:pt>
                <c:pt idx="47">
                  <c:v>43802</c:v>
                </c:pt>
              </c:numCache>
            </c:numRef>
          </c:cat>
          <c:val>
            <c:numRef>
              <c:f>WRK!$F$29:$F$80</c:f>
              <c:numCache>
                <c:formatCode>0.00</c:formatCode>
                <c:ptCount val="52"/>
                <c:pt idx="0">
                  <c:v>23.000000000000398</c:v>
                </c:pt>
                <c:pt idx="1">
                  <c:v>112.00000000000045</c:v>
                </c:pt>
                <c:pt idx="2">
                  <c:v>213.00000000000026</c:v>
                </c:pt>
                <c:pt idx="3">
                  <c:v>-38.000000000000966</c:v>
                </c:pt>
                <c:pt idx="4">
                  <c:v>-580.00000000000011</c:v>
                </c:pt>
                <c:pt idx="5">
                  <c:v>-1055.0999999999988</c:v>
                </c:pt>
                <c:pt idx="6">
                  <c:v>-2761.9999999999977</c:v>
                </c:pt>
                <c:pt idx="7">
                  <c:v>-3169.9999999999991</c:v>
                </c:pt>
                <c:pt idx="8">
                  <c:v>-3837.9999999999995</c:v>
                </c:pt>
                <c:pt idx="9">
                  <c:v>-3028</c:v>
                </c:pt>
                <c:pt idx="10">
                  <c:v>-1522</c:v>
                </c:pt>
                <c:pt idx="11">
                  <c:v>-2081.9999999999991</c:v>
                </c:pt>
                <c:pt idx="12">
                  <c:v>-1756.0000000000002</c:v>
                </c:pt>
                <c:pt idx="13">
                  <c:v>-1603.9999999999991</c:v>
                </c:pt>
                <c:pt idx="14">
                  <c:v>-1822.2000000000016</c:v>
                </c:pt>
                <c:pt idx="15">
                  <c:v>-1352.9999999999993</c:v>
                </c:pt>
                <c:pt idx="16">
                  <c:v>-1898.9999999999995</c:v>
                </c:pt>
                <c:pt idx="17">
                  <c:v>-3820.2000000000007</c:v>
                </c:pt>
                <c:pt idx="18">
                  <c:v>-2798.9999999999995</c:v>
                </c:pt>
                <c:pt idx="19">
                  <c:v>-3975.199999999998</c:v>
                </c:pt>
                <c:pt idx="20">
                  <c:v>-3981.9999999999991</c:v>
                </c:pt>
                <c:pt idx="21">
                  <c:v>-4342.2000000000007</c:v>
                </c:pt>
                <c:pt idx="22">
                  <c:v>-3855.0000000000005</c:v>
                </c:pt>
                <c:pt idx="23">
                  <c:v>-3558.0000000000014</c:v>
                </c:pt>
                <c:pt idx="24">
                  <c:v>-3086.1</c:v>
                </c:pt>
                <c:pt idx="25">
                  <c:v>-3422.4000000000019</c:v>
                </c:pt>
                <c:pt idx="26">
                  <c:v>-3030.7999999999993</c:v>
                </c:pt>
                <c:pt idx="27">
                  <c:v>-3966.5</c:v>
                </c:pt>
                <c:pt idx="28">
                  <c:v>-3361.7999999999988</c:v>
                </c:pt>
                <c:pt idx="29">
                  <c:v>-3670.0000000000018</c:v>
                </c:pt>
                <c:pt idx="30">
                  <c:v>-2597.9999999999991</c:v>
                </c:pt>
                <c:pt idx="31">
                  <c:v>-3144.9999999999995</c:v>
                </c:pt>
                <c:pt idx="32">
                  <c:v>-3166.2000000000007</c:v>
                </c:pt>
                <c:pt idx="33">
                  <c:v>-3538.4000000000015</c:v>
                </c:pt>
                <c:pt idx="34">
                  <c:v>-4147.9999999999991</c:v>
                </c:pt>
                <c:pt idx="35">
                  <c:v>-2950.5000000000005</c:v>
                </c:pt>
                <c:pt idx="36">
                  <c:v>-3120.7999999999997</c:v>
                </c:pt>
                <c:pt idx="37">
                  <c:v>-3478.5000000000005</c:v>
                </c:pt>
                <c:pt idx="38">
                  <c:v>-3193.6000000000008</c:v>
                </c:pt>
                <c:pt idx="39">
                  <c:v>-2510.6999999999998</c:v>
                </c:pt>
                <c:pt idx="40">
                  <c:v>-2909.6000000000004</c:v>
                </c:pt>
                <c:pt idx="41">
                  <c:v>-2388.0000000000005</c:v>
                </c:pt>
                <c:pt idx="42">
                  <c:v>-3018.0000000000009</c:v>
                </c:pt>
                <c:pt idx="43">
                  <c:v>-3603.9999999999991</c:v>
                </c:pt>
                <c:pt idx="44">
                  <c:v>-2468.9999999999991</c:v>
                </c:pt>
                <c:pt idx="45">
                  <c:v>-1329</c:v>
                </c:pt>
                <c:pt idx="46">
                  <c:v>-1061.9999999999998</c:v>
                </c:pt>
                <c:pt idx="47">
                  <c:v>-1264.5000000000009</c:v>
                </c:pt>
              </c:numCache>
            </c:numRef>
          </c:val>
          <c:smooth val="0"/>
        </c:ser>
        <c:dLbls>
          <c:showLegendKey val="0"/>
          <c:showVal val="0"/>
          <c:showCatName val="0"/>
          <c:showSerName val="0"/>
          <c:showPercent val="0"/>
          <c:showBubbleSize val="0"/>
        </c:dLbls>
        <c:marker val="1"/>
        <c:smooth val="0"/>
        <c:axId val="490185648"/>
        <c:axId val="490182512"/>
      </c:lineChart>
      <c:dateAx>
        <c:axId val="49018564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182512"/>
        <c:crosses val="autoZero"/>
        <c:auto val="1"/>
        <c:lblOffset val="100"/>
        <c:baseTimeUnit val="days"/>
      </c:dateAx>
      <c:valAx>
        <c:axId val="49018251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1856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XOP!$E$24</c:f>
              <c:strCache>
                <c:ptCount val="1"/>
                <c:pt idx="0">
                  <c:v>price</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XOP!$B$25:$B$63</c:f>
              <c:numCache>
                <c:formatCode>d\-mmm</c:formatCode>
                <c:ptCount val="39"/>
                <c:pt idx="0">
                  <c:v>43642</c:v>
                </c:pt>
                <c:pt idx="1">
                  <c:v>43663</c:v>
                </c:pt>
                <c:pt idx="2">
                  <c:v>43678</c:v>
                </c:pt>
                <c:pt idx="3">
                  <c:v>43683</c:v>
                </c:pt>
                <c:pt idx="4">
                  <c:v>43702</c:v>
                </c:pt>
                <c:pt idx="5">
                  <c:v>43706</c:v>
                </c:pt>
                <c:pt idx="6">
                  <c:v>43711</c:v>
                </c:pt>
                <c:pt idx="7">
                  <c:v>43712</c:v>
                </c:pt>
                <c:pt idx="8">
                  <c:v>43713</c:v>
                </c:pt>
                <c:pt idx="9">
                  <c:v>43718</c:v>
                </c:pt>
                <c:pt idx="10">
                  <c:v>43718</c:v>
                </c:pt>
                <c:pt idx="11">
                  <c:v>43733</c:v>
                </c:pt>
                <c:pt idx="12">
                  <c:v>43734</c:v>
                </c:pt>
                <c:pt idx="13">
                  <c:v>43739</c:v>
                </c:pt>
                <c:pt idx="14">
                  <c:v>43746</c:v>
                </c:pt>
                <c:pt idx="15">
                  <c:v>43749</c:v>
                </c:pt>
                <c:pt idx="16">
                  <c:v>43774</c:v>
                </c:pt>
                <c:pt idx="17">
                  <c:v>43776</c:v>
                </c:pt>
                <c:pt idx="18">
                  <c:v>43781</c:v>
                </c:pt>
                <c:pt idx="19">
                  <c:v>43795</c:v>
                </c:pt>
                <c:pt idx="20">
                  <c:v>43807</c:v>
                </c:pt>
              </c:numCache>
            </c:numRef>
          </c:xVal>
          <c:yVal>
            <c:numRef>
              <c:f>XOP!$E$25:$E$63</c:f>
              <c:numCache>
                <c:formatCode>0.00</c:formatCode>
                <c:ptCount val="39"/>
                <c:pt idx="0">
                  <c:v>26.84</c:v>
                </c:pt>
                <c:pt idx="1">
                  <c:v>24.65</c:v>
                </c:pt>
                <c:pt idx="2">
                  <c:v>23.47</c:v>
                </c:pt>
                <c:pt idx="3">
                  <c:v>21.91</c:v>
                </c:pt>
                <c:pt idx="4">
                  <c:v>20.93</c:v>
                </c:pt>
                <c:pt idx="5">
                  <c:v>21.98</c:v>
                </c:pt>
                <c:pt idx="6">
                  <c:v>20.85</c:v>
                </c:pt>
                <c:pt idx="7">
                  <c:v>21.72</c:v>
                </c:pt>
                <c:pt idx="8">
                  <c:v>22.29</c:v>
                </c:pt>
                <c:pt idx="9">
                  <c:v>23.88</c:v>
                </c:pt>
                <c:pt idx="10">
                  <c:v>24.33</c:v>
                </c:pt>
                <c:pt idx="11">
                  <c:v>23.08</c:v>
                </c:pt>
                <c:pt idx="12">
                  <c:v>22.63</c:v>
                </c:pt>
                <c:pt idx="13">
                  <c:v>21.55</c:v>
                </c:pt>
                <c:pt idx="14">
                  <c:v>20.38</c:v>
                </c:pt>
                <c:pt idx="15">
                  <c:v>21.4</c:v>
                </c:pt>
                <c:pt idx="16">
                  <c:v>22.92</c:v>
                </c:pt>
                <c:pt idx="17">
                  <c:v>22.67</c:v>
                </c:pt>
                <c:pt idx="18">
                  <c:v>22.25</c:v>
                </c:pt>
                <c:pt idx="19">
                  <c:v>20.75</c:v>
                </c:pt>
                <c:pt idx="20">
                  <c:v>21.23</c:v>
                </c:pt>
              </c:numCache>
            </c:numRef>
          </c:yVal>
          <c:smooth val="0"/>
        </c:ser>
        <c:ser>
          <c:idx val="1"/>
          <c:order val="1"/>
          <c:tx>
            <c:strRef>
              <c:f>XOP!$D$24</c:f>
              <c:strCache>
                <c:ptCount val="1"/>
                <c:pt idx="0">
                  <c:v>mean cost</c:v>
                </c:pt>
              </c:strCache>
            </c:strRef>
          </c:tx>
          <c:spPr>
            <a:ln w="19050" cap="rnd">
              <a:solidFill>
                <a:srgbClr val="FF0000"/>
              </a:solidFill>
              <a:round/>
            </a:ln>
            <a:effectLst/>
          </c:spPr>
          <c:marker>
            <c:symbol val="circle"/>
            <c:size val="5"/>
            <c:spPr>
              <a:solidFill>
                <a:schemeClr val="accent2"/>
              </a:solidFill>
              <a:ln w="9525">
                <a:solidFill>
                  <a:schemeClr val="accent2"/>
                </a:solidFill>
              </a:ln>
              <a:effectLst/>
            </c:spPr>
          </c:marker>
          <c:xVal>
            <c:numRef>
              <c:f>XOP!$B$25:$B$63</c:f>
              <c:numCache>
                <c:formatCode>d\-mmm</c:formatCode>
                <c:ptCount val="39"/>
                <c:pt idx="0">
                  <c:v>43642</c:v>
                </c:pt>
                <c:pt idx="1">
                  <c:v>43663</c:v>
                </c:pt>
                <c:pt idx="2">
                  <c:v>43678</c:v>
                </c:pt>
                <c:pt idx="3">
                  <c:v>43683</c:v>
                </c:pt>
                <c:pt idx="4">
                  <c:v>43702</c:v>
                </c:pt>
                <c:pt idx="5">
                  <c:v>43706</c:v>
                </c:pt>
                <c:pt idx="6">
                  <c:v>43711</c:v>
                </c:pt>
                <c:pt idx="7">
                  <c:v>43712</c:v>
                </c:pt>
                <c:pt idx="8">
                  <c:v>43713</c:v>
                </c:pt>
                <c:pt idx="9">
                  <c:v>43718</c:v>
                </c:pt>
                <c:pt idx="10">
                  <c:v>43718</c:v>
                </c:pt>
                <c:pt idx="11">
                  <c:v>43733</c:v>
                </c:pt>
                <c:pt idx="12">
                  <c:v>43734</c:v>
                </c:pt>
                <c:pt idx="13">
                  <c:v>43739</c:v>
                </c:pt>
                <c:pt idx="14">
                  <c:v>43746</c:v>
                </c:pt>
                <c:pt idx="15">
                  <c:v>43749</c:v>
                </c:pt>
                <c:pt idx="16">
                  <c:v>43774</c:v>
                </c:pt>
                <c:pt idx="17">
                  <c:v>43776</c:v>
                </c:pt>
                <c:pt idx="18">
                  <c:v>43781</c:v>
                </c:pt>
                <c:pt idx="19">
                  <c:v>43795</c:v>
                </c:pt>
                <c:pt idx="20">
                  <c:v>43807</c:v>
                </c:pt>
              </c:numCache>
            </c:numRef>
          </c:xVal>
          <c:yVal>
            <c:numRef>
              <c:f>XOP!$D$25:$D$63</c:f>
              <c:numCache>
                <c:formatCode>0.00</c:formatCode>
                <c:ptCount val="39"/>
                <c:pt idx="0">
                  <c:v>25.2577</c:v>
                </c:pt>
                <c:pt idx="1">
                  <c:v>25.1462</c:v>
                </c:pt>
                <c:pt idx="2">
                  <c:v>24.584399999999999</c:v>
                </c:pt>
                <c:pt idx="3">
                  <c:v>24.584399999999999</c:v>
                </c:pt>
                <c:pt idx="4">
                  <c:v>24.121400000000001</c:v>
                </c:pt>
                <c:pt idx="5">
                  <c:v>24.427299999999999</c:v>
                </c:pt>
                <c:pt idx="6">
                  <c:v>23.98</c:v>
                </c:pt>
                <c:pt idx="7">
                  <c:v>23.98</c:v>
                </c:pt>
                <c:pt idx="8">
                  <c:v>24.194600000000001</c:v>
                </c:pt>
                <c:pt idx="9">
                  <c:v>24.320599999999999</c:v>
                </c:pt>
                <c:pt idx="10">
                  <c:v>24.3184</c:v>
                </c:pt>
                <c:pt idx="11">
                  <c:v>24.235800000000001</c:v>
                </c:pt>
                <c:pt idx="12">
                  <c:v>23.627199999999998</c:v>
                </c:pt>
                <c:pt idx="13">
                  <c:v>23.349</c:v>
                </c:pt>
                <c:pt idx="14">
                  <c:v>22.977900000000002</c:v>
                </c:pt>
                <c:pt idx="15">
                  <c:v>23.202999999999999</c:v>
                </c:pt>
                <c:pt idx="16">
                  <c:v>23.158999999999999</c:v>
                </c:pt>
                <c:pt idx="17">
                  <c:v>23.0334</c:v>
                </c:pt>
                <c:pt idx="18">
                  <c:v>23.03</c:v>
                </c:pt>
                <c:pt idx="19">
                  <c:v>22.748000000000001</c:v>
                </c:pt>
                <c:pt idx="20">
                  <c:v>22.972100000000001</c:v>
                </c:pt>
              </c:numCache>
            </c:numRef>
          </c:yVal>
          <c:smooth val="0"/>
        </c:ser>
        <c:dLbls>
          <c:showLegendKey val="0"/>
          <c:showVal val="0"/>
          <c:showCatName val="0"/>
          <c:showSerName val="0"/>
          <c:showPercent val="0"/>
          <c:showBubbleSize val="0"/>
        </c:dLbls>
        <c:axId val="490186432"/>
        <c:axId val="490184864"/>
      </c:scatterChart>
      <c:valAx>
        <c:axId val="490186432"/>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184864"/>
        <c:crosses val="autoZero"/>
        <c:crossBetween val="midCat"/>
      </c:valAx>
      <c:valAx>
        <c:axId val="490184864"/>
        <c:scaling>
          <c:orientation val="minMax"/>
          <c:min val="15"/>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18643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XOP!$J$24</c:f>
              <c:strCache>
                <c:ptCount val="1"/>
                <c:pt idx="0">
                  <c:v>Total PL</c:v>
                </c:pt>
              </c:strCache>
            </c:strRef>
          </c:tx>
          <c:spPr>
            <a:ln w="19050" cap="rnd">
              <a:solidFill>
                <a:srgbClr val="00B050"/>
              </a:solidFill>
              <a:round/>
            </a:ln>
            <a:effectLst/>
          </c:spPr>
          <c:marker>
            <c:symbol val="circle"/>
            <c:size val="5"/>
            <c:spPr>
              <a:solidFill>
                <a:schemeClr val="accent1"/>
              </a:solidFill>
              <a:ln w="9525">
                <a:solidFill>
                  <a:schemeClr val="accent1"/>
                </a:solidFill>
              </a:ln>
              <a:effectLst/>
            </c:spPr>
          </c:marker>
          <c:xVal>
            <c:numRef>
              <c:f>XOP!$B$25:$B$63</c:f>
              <c:numCache>
                <c:formatCode>d\-mmm</c:formatCode>
                <c:ptCount val="39"/>
                <c:pt idx="0">
                  <c:v>43642</c:v>
                </c:pt>
                <c:pt idx="1">
                  <c:v>43663</c:v>
                </c:pt>
                <c:pt idx="2">
                  <c:v>43678</c:v>
                </c:pt>
                <c:pt idx="3">
                  <c:v>43683</c:v>
                </c:pt>
                <c:pt idx="4">
                  <c:v>43702</c:v>
                </c:pt>
                <c:pt idx="5">
                  <c:v>43706</c:v>
                </c:pt>
                <c:pt idx="6">
                  <c:v>43711</c:v>
                </c:pt>
                <c:pt idx="7">
                  <c:v>43712</c:v>
                </c:pt>
                <c:pt idx="8">
                  <c:v>43713</c:v>
                </c:pt>
                <c:pt idx="9">
                  <c:v>43718</c:v>
                </c:pt>
                <c:pt idx="10">
                  <c:v>43718</c:v>
                </c:pt>
                <c:pt idx="11">
                  <c:v>43733</c:v>
                </c:pt>
                <c:pt idx="12">
                  <c:v>43734</c:v>
                </c:pt>
                <c:pt idx="13">
                  <c:v>43739</c:v>
                </c:pt>
                <c:pt idx="14">
                  <c:v>43746</c:v>
                </c:pt>
                <c:pt idx="15">
                  <c:v>43749</c:v>
                </c:pt>
                <c:pt idx="16">
                  <c:v>43774</c:v>
                </c:pt>
                <c:pt idx="17">
                  <c:v>43776</c:v>
                </c:pt>
                <c:pt idx="18">
                  <c:v>43781</c:v>
                </c:pt>
                <c:pt idx="19">
                  <c:v>43795</c:v>
                </c:pt>
                <c:pt idx="20">
                  <c:v>43807</c:v>
                </c:pt>
              </c:numCache>
            </c:numRef>
          </c:xVal>
          <c:yVal>
            <c:numRef>
              <c:f>XOP!$J$25:$J$63</c:f>
              <c:numCache>
                <c:formatCode>0.00</c:formatCode>
                <c:ptCount val="39"/>
                <c:pt idx="0">
                  <c:v>632.92000000000007</c:v>
                </c:pt>
                <c:pt idx="1">
                  <c:v>-248.10000000000088</c:v>
                </c:pt>
                <c:pt idx="2">
                  <c:v>-780.07999999999993</c:v>
                </c:pt>
                <c:pt idx="3">
                  <c:v>-1872.079999999999</c:v>
                </c:pt>
                <c:pt idx="4">
                  <c:v>-2553.1200000000013</c:v>
                </c:pt>
                <c:pt idx="5">
                  <c:v>-1713.109999999999</c:v>
                </c:pt>
                <c:pt idx="6">
                  <c:v>-2503.9999999999991</c:v>
                </c:pt>
                <c:pt idx="7">
                  <c:v>-1808.0000000000014</c:v>
                </c:pt>
                <c:pt idx="8">
                  <c:v>-1333.2200000000014</c:v>
                </c:pt>
                <c:pt idx="9">
                  <c:v>-220.29999999999995</c:v>
                </c:pt>
                <c:pt idx="10">
                  <c:v>4.6399999999991337</c:v>
                </c:pt>
                <c:pt idx="11">
                  <c:v>-462.32000000000113</c:v>
                </c:pt>
                <c:pt idx="12">
                  <c:v>-598.31999999999971</c:v>
                </c:pt>
                <c:pt idx="13">
                  <c:v>-1259.2999999999997</c:v>
                </c:pt>
                <c:pt idx="14">
                  <c:v>-2078.3200000000024</c:v>
                </c:pt>
                <c:pt idx="15">
                  <c:v>-1262.1000000000006</c:v>
                </c:pt>
                <c:pt idx="16">
                  <c:v>-143.39999999999833</c:v>
                </c:pt>
                <c:pt idx="17">
                  <c:v>-254.37999999999903</c:v>
                </c:pt>
                <c:pt idx="18">
                  <c:v>-546.0000000000008</c:v>
                </c:pt>
                <c:pt idx="19">
                  <c:v>-1598.400000000001</c:v>
                </c:pt>
                <c:pt idx="20">
                  <c:v>-1219.4700000000005</c:v>
                </c:pt>
              </c:numCache>
            </c:numRef>
          </c:yVal>
          <c:smooth val="0"/>
        </c:ser>
        <c:dLbls>
          <c:showLegendKey val="0"/>
          <c:showVal val="0"/>
          <c:showCatName val="0"/>
          <c:showSerName val="0"/>
          <c:showPercent val="0"/>
          <c:showBubbleSize val="0"/>
        </c:dLbls>
        <c:axId val="490181728"/>
        <c:axId val="490188392"/>
      </c:scatterChart>
      <c:valAx>
        <c:axId val="490181728"/>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188392"/>
        <c:crosses val="autoZero"/>
        <c:crossBetween val="midCat"/>
      </c:valAx>
      <c:valAx>
        <c:axId val="49018839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18172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WWD!$AA$1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WWD!$W$2:$W$68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WWD!$AA$3:$AA$70</c:f>
              <c:numCache>
                <c:formatCode>General</c:formatCode>
                <c:ptCount val="68"/>
                <c:pt idx="0">
                  <c:v>68.66</c:v>
                </c:pt>
                <c:pt idx="1">
                  <c:v>68.180000000000007</c:v>
                </c:pt>
                <c:pt idx="2">
                  <c:v>67.92</c:v>
                </c:pt>
                <c:pt idx="3">
                  <c:v>68.33</c:v>
                </c:pt>
                <c:pt idx="4">
                  <c:v>67.62</c:v>
                </c:pt>
                <c:pt idx="5">
                  <c:v>67.64</c:v>
                </c:pt>
                <c:pt idx="6">
                  <c:v>67.14</c:v>
                </c:pt>
                <c:pt idx="7">
                  <c:v>66.73</c:v>
                </c:pt>
                <c:pt idx="8">
                  <c:v>66.37</c:v>
                </c:pt>
                <c:pt idx="9">
                  <c:v>65.849999999999994</c:v>
                </c:pt>
                <c:pt idx="10">
                  <c:v>66.92</c:v>
                </c:pt>
                <c:pt idx="11">
                  <c:v>68.87</c:v>
                </c:pt>
                <c:pt idx="12">
                  <c:v>68.84</c:v>
                </c:pt>
                <c:pt idx="13">
                  <c:v>68.59</c:v>
                </c:pt>
                <c:pt idx="14">
                  <c:v>68.989999999999995</c:v>
                </c:pt>
                <c:pt idx="15">
                  <c:v>67.959999999999994</c:v>
                </c:pt>
                <c:pt idx="16">
                  <c:v>68.52</c:v>
                </c:pt>
                <c:pt idx="17">
                  <c:v>68.09</c:v>
                </c:pt>
                <c:pt idx="18">
                  <c:v>68.45</c:v>
                </c:pt>
                <c:pt idx="19">
                  <c:v>69.37</c:v>
                </c:pt>
                <c:pt idx="20">
                  <c:v>69.959999999999994</c:v>
                </c:pt>
                <c:pt idx="21">
                  <c:v>70.540000000000006</c:v>
                </c:pt>
                <c:pt idx="22">
                  <c:v>70.39</c:v>
                </c:pt>
                <c:pt idx="23">
                  <c:v>70.81</c:v>
                </c:pt>
                <c:pt idx="24">
                  <c:v>71.959999999999994</c:v>
                </c:pt>
                <c:pt idx="25">
                  <c:v>70.45</c:v>
                </c:pt>
                <c:pt idx="26">
                  <c:v>71.86</c:v>
                </c:pt>
                <c:pt idx="27">
                  <c:v>70.09</c:v>
                </c:pt>
                <c:pt idx="28">
                  <c:v>70.02</c:v>
                </c:pt>
                <c:pt idx="29">
                  <c:v>71</c:v>
                </c:pt>
                <c:pt idx="30">
                  <c:v>71.19</c:v>
                </c:pt>
                <c:pt idx="31">
                  <c:v>70.38</c:v>
                </c:pt>
                <c:pt idx="32">
                  <c:v>70.209999999999994</c:v>
                </c:pt>
                <c:pt idx="33">
                  <c:v>70.39</c:v>
                </c:pt>
                <c:pt idx="35">
                  <c:v>70.06</c:v>
                </c:pt>
                <c:pt idx="36">
                  <c:v>70.040000000000006</c:v>
                </c:pt>
                <c:pt idx="37">
                  <c:v>70.239999999999995</c:v>
                </c:pt>
                <c:pt idx="38">
                  <c:v>70.39</c:v>
                </c:pt>
                <c:pt idx="39">
                  <c:v>69.400000000000006</c:v>
                </c:pt>
                <c:pt idx="40">
                  <c:v>69.73</c:v>
                </c:pt>
                <c:pt idx="41">
                  <c:v>70.010000000000005</c:v>
                </c:pt>
                <c:pt idx="42">
                  <c:v>70.33</c:v>
                </c:pt>
                <c:pt idx="43">
                  <c:v>69.150000000000006</c:v>
                </c:pt>
                <c:pt idx="44">
                  <c:v>69.510000000000005</c:v>
                </c:pt>
                <c:pt idx="45">
                  <c:v>69.64</c:v>
                </c:pt>
                <c:pt idx="46">
                  <c:v>70.03</c:v>
                </c:pt>
                <c:pt idx="47">
                  <c:v>70</c:v>
                </c:pt>
                <c:pt idx="48">
                  <c:v>70.23</c:v>
                </c:pt>
                <c:pt idx="49">
                  <c:v>69.44</c:v>
                </c:pt>
                <c:pt idx="50">
                  <c:v>69.39</c:v>
                </c:pt>
                <c:pt idx="51">
                  <c:v>65.8</c:v>
                </c:pt>
                <c:pt idx="52">
                  <c:v>67.599999999999994</c:v>
                </c:pt>
                <c:pt idx="53">
                  <c:v>67.459999999999994</c:v>
                </c:pt>
                <c:pt idx="54">
                  <c:v>68.44</c:v>
                </c:pt>
                <c:pt idx="55">
                  <c:v>67.92</c:v>
                </c:pt>
                <c:pt idx="56">
                  <c:v>69.58</c:v>
                </c:pt>
                <c:pt idx="57">
                  <c:v>68.72</c:v>
                </c:pt>
                <c:pt idx="58">
                  <c:v>69.66</c:v>
                </c:pt>
                <c:pt idx="59">
                  <c:v>69.16</c:v>
                </c:pt>
                <c:pt idx="60">
                  <c:v>68.17</c:v>
                </c:pt>
                <c:pt idx="61">
                  <c:v>69.19</c:v>
                </c:pt>
                <c:pt idx="62">
                  <c:v>69.2</c:v>
                </c:pt>
                <c:pt idx="63">
                  <c:v>70.19</c:v>
                </c:pt>
                <c:pt idx="64">
                  <c:v>69.47</c:v>
                </c:pt>
                <c:pt idx="65">
                  <c:v>69.05</c:v>
                </c:pt>
              </c:numCache>
            </c:numRef>
          </c:val>
          <c:smooth val="0"/>
        </c:ser>
        <c:dLbls>
          <c:showLegendKey val="0"/>
          <c:showVal val="0"/>
          <c:showCatName val="0"/>
          <c:showSerName val="0"/>
          <c:showPercent val="0"/>
          <c:showBubbleSize val="0"/>
        </c:dLbls>
        <c:marker val="1"/>
        <c:smooth val="0"/>
        <c:axId val="490184080"/>
        <c:axId val="490191136"/>
      </c:lineChart>
      <c:dateAx>
        <c:axId val="490184080"/>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0191136"/>
        <c:crosses val="autoZero"/>
        <c:auto val="1"/>
        <c:lblOffset val="100"/>
        <c:baseTimeUnit val="days"/>
      </c:dateAx>
      <c:valAx>
        <c:axId val="490191136"/>
        <c:scaling>
          <c:orientation val="minMax"/>
          <c:min val="38"/>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018408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GIS!$E$30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GIS!$E$31:$E$100</c:f>
              <c:numCache>
                <c:formatCode>0.00</c:formatCode>
                <c:ptCount val="70"/>
                <c:pt idx="0">
                  <c:v>65.05</c:v>
                </c:pt>
                <c:pt idx="1">
                  <c:v>65.260000000000005</c:v>
                </c:pt>
                <c:pt idx="2">
                  <c:v>64.650000000000006</c:v>
                </c:pt>
                <c:pt idx="3">
                  <c:v>63.9</c:v>
                </c:pt>
                <c:pt idx="4">
                  <c:v>63.05</c:v>
                </c:pt>
                <c:pt idx="5">
                  <c:v>63.05</c:v>
                </c:pt>
                <c:pt idx="6">
                  <c:v>62.13</c:v>
                </c:pt>
                <c:pt idx="7">
                  <c:v>61</c:v>
                </c:pt>
                <c:pt idx="8">
                  <c:v>62.3</c:v>
                </c:pt>
                <c:pt idx="9">
                  <c:v>60.94</c:v>
                </c:pt>
                <c:pt idx="10">
                  <c:v>62.2</c:v>
                </c:pt>
                <c:pt idx="11">
                  <c:v>63.01</c:v>
                </c:pt>
                <c:pt idx="12">
                  <c:v>61.72</c:v>
                </c:pt>
                <c:pt idx="13">
                  <c:v>61.54</c:v>
                </c:pt>
                <c:pt idx="14">
                  <c:v>61.16</c:v>
                </c:pt>
                <c:pt idx="15">
                  <c:v>58</c:v>
                </c:pt>
                <c:pt idx="16">
                  <c:v>57.73</c:v>
                </c:pt>
                <c:pt idx="17">
                  <c:v>55.92</c:v>
                </c:pt>
                <c:pt idx="18">
                  <c:v>57.3</c:v>
                </c:pt>
                <c:pt idx="19">
                  <c:v>56.98</c:v>
                </c:pt>
                <c:pt idx="20">
                  <c:v>58.75</c:v>
                </c:pt>
                <c:pt idx="21">
                  <c:v>54.35</c:v>
                </c:pt>
                <c:pt idx="22">
                  <c:v>56.07</c:v>
                </c:pt>
                <c:pt idx="23">
                  <c:v>53.4</c:v>
                </c:pt>
                <c:pt idx="24">
                  <c:v>51.76</c:v>
                </c:pt>
                <c:pt idx="25">
                  <c:v>50.19</c:v>
                </c:pt>
                <c:pt idx="26">
                  <c:v>51.53</c:v>
                </c:pt>
                <c:pt idx="27">
                  <c:v>52.03</c:v>
                </c:pt>
                <c:pt idx="28">
                  <c:v>50.1</c:v>
                </c:pt>
                <c:pt idx="29">
                  <c:v>51.5</c:v>
                </c:pt>
                <c:pt idx="30">
                  <c:v>56.34</c:v>
                </c:pt>
                <c:pt idx="31">
                  <c:v>56.34</c:v>
                </c:pt>
                <c:pt idx="32">
                  <c:v>58</c:v>
                </c:pt>
                <c:pt idx="33">
                  <c:v>60.13</c:v>
                </c:pt>
                <c:pt idx="34">
                  <c:v>55.95</c:v>
                </c:pt>
                <c:pt idx="35">
                  <c:v>51.99</c:v>
                </c:pt>
                <c:pt idx="36">
                  <c:v>50.21</c:v>
                </c:pt>
                <c:pt idx="37">
                  <c:v>44.21</c:v>
                </c:pt>
                <c:pt idx="38">
                  <c:v>45.3</c:v>
                </c:pt>
                <c:pt idx="39">
                  <c:v>45.47</c:v>
                </c:pt>
                <c:pt idx="40">
                  <c:v>42.49</c:v>
                </c:pt>
                <c:pt idx="41">
                  <c:v>44.68</c:v>
                </c:pt>
                <c:pt idx="42">
                  <c:v>43.48</c:v>
                </c:pt>
                <c:pt idx="43">
                  <c:v>46.06</c:v>
                </c:pt>
                <c:pt idx="44">
                  <c:v>45.08</c:v>
                </c:pt>
                <c:pt idx="45">
                  <c:v>47.24</c:v>
                </c:pt>
                <c:pt idx="46">
                  <c:v>45.22</c:v>
                </c:pt>
                <c:pt idx="47">
                  <c:v>46.6</c:v>
                </c:pt>
                <c:pt idx="48">
                  <c:v>47.21</c:v>
                </c:pt>
                <c:pt idx="49">
                  <c:v>46.13</c:v>
                </c:pt>
                <c:pt idx="50">
                  <c:v>45.38</c:v>
                </c:pt>
                <c:pt idx="51">
                  <c:v>46.01</c:v>
                </c:pt>
                <c:pt idx="52">
                  <c:v>47.01</c:v>
                </c:pt>
                <c:pt idx="53">
                  <c:v>47.55</c:v>
                </c:pt>
                <c:pt idx="54">
                  <c:v>47.77</c:v>
                </c:pt>
                <c:pt idx="55">
                  <c:v>44.13</c:v>
                </c:pt>
                <c:pt idx="56">
                  <c:v>43.1</c:v>
                </c:pt>
                <c:pt idx="57">
                  <c:v>45.48</c:v>
                </c:pt>
                <c:pt idx="58">
                  <c:v>44.32</c:v>
                </c:pt>
                <c:pt idx="59">
                  <c:v>45.48</c:v>
                </c:pt>
                <c:pt idx="60">
                  <c:v>42.38</c:v>
                </c:pt>
                <c:pt idx="61">
                  <c:v>41.5</c:v>
                </c:pt>
                <c:pt idx="62">
                  <c:v>38.479999999999997</c:v>
                </c:pt>
                <c:pt idx="63">
                  <c:v>42.97</c:v>
                </c:pt>
                <c:pt idx="64">
                  <c:v>44.24</c:v>
                </c:pt>
                <c:pt idx="65">
                  <c:v>46.88</c:v>
                </c:pt>
              </c:numCache>
            </c:numRef>
          </c:val>
          <c:smooth val="0"/>
        </c:ser>
        <c:ser>
          <c:idx val="1"/>
          <c:order val="1"/>
          <c:tx>
            <c:strRef>
              <c:f>GIS!$D$30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GIS!$D$31:$D$100</c:f>
              <c:numCache>
                <c:formatCode>0.00</c:formatCode>
                <c:ptCount val="70"/>
                <c:pt idx="0">
                  <c:v>66.959999999999994</c:v>
                </c:pt>
                <c:pt idx="1">
                  <c:v>66.959999999999994</c:v>
                </c:pt>
                <c:pt idx="2">
                  <c:v>66.959999999999994</c:v>
                </c:pt>
                <c:pt idx="3">
                  <c:v>66.959999999999994</c:v>
                </c:pt>
                <c:pt idx="4">
                  <c:v>66.959999999999994</c:v>
                </c:pt>
                <c:pt idx="5">
                  <c:v>66.959999999999994</c:v>
                </c:pt>
                <c:pt idx="6">
                  <c:v>66.959999999999994</c:v>
                </c:pt>
                <c:pt idx="7">
                  <c:v>63.97</c:v>
                </c:pt>
                <c:pt idx="8">
                  <c:v>63.73</c:v>
                </c:pt>
                <c:pt idx="9">
                  <c:v>63.73</c:v>
                </c:pt>
                <c:pt idx="10">
                  <c:v>63.73</c:v>
                </c:pt>
                <c:pt idx="11">
                  <c:v>63.73</c:v>
                </c:pt>
                <c:pt idx="12">
                  <c:v>63.25</c:v>
                </c:pt>
                <c:pt idx="13">
                  <c:v>61.9133</c:v>
                </c:pt>
                <c:pt idx="14">
                  <c:v>61.9133</c:v>
                </c:pt>
                <c:pt idx="15">
                  <c:v>60.83</c:v>
                </c:pt>
                <c:pt idx="16">
                  <c:v>59.7986</c:v>
                </c:pt>
                <c:pt idx="17">
                  <c:v>59.558599999999998</c:v>
                </c:pt>
                <c:pt idx="18">
                  <c:v>59.56</c:v>
                </c:pt>
                <c:pt idx="19">
                  <c:v>58.9</c:v>
                </c:pt>
                <c:pt idx="20">
                  <c:v>58.5471</c:v>
                </c:pt>
                <c:pt idx="21">
                  <c:v>58.5471</c:v>
                </c:pt>
                <c:pt idx="22">
                  <c:v>58.057000000000002</c:v>
                </c:pt>
                <c:pt idx="23">
                  <c:v>57.92</c:v>
                </c:pt>
                <c:pt idx="24">
                  <c:v>57.92</c:v>
                </c:pt>
                <c:pt idx="25">
                  <c:v>55.348300000000002</c:v>
                </c:pt>
                <c:pt idx="26">
                  <c:v>55.348300000000002</c:v>
                </c:pt>
                <c:pt idx="27">
                  <c:v>56.997999999999998</c:v>
                </c:pt>
                <c:pt idx="28">
                  <c:v>54.405299999999997</c:v>
                </c:pt>
                <c:pt idx="29">
                  <c:v>55.893599999999999</c:v>
                </c:pt>
                <c:pt idx="30">
                  <c:v>55.765000000000001</c:v>
                </c:pt>
                <c:pt idx="31">
                  <c:v>55.208599999999997</c:v>
                </c:pt>
                <c:pt idx="32">
                  <c:v>54.28</c:v>
                </c:pt>
                <c:pt idx="33">
                  <c:v>52.8</c:v>
                </c:pt>
                <c:pt idx="34">
                  <c:v>54.483600000000003</c:v>
                </c:pt>
                <c:pt idx="35">
                  <c:v>54.189599999999999</c:v>
                </c:pt>
                <c:pt idx="36">
                  <c:v>52.8431</c:v>
                </c:pt>
                <c:pt idx="37">
                  <c:v>52.8431</c:v>
                </c:pt>
                <c:pt idx="38">
                  <c:v>52.8431</c:v>
                </c:pt>
                <c:pt idx="39">
                  <c:v>52.8431</c:v>
                </c:pt>
                <c:pt idx="40">
                  <c:v>52.353000000000002</c:v>
                </c:pt>
                <c:pt idx="41">
                  <c:v>52.353000000000002</c:v>
                </c:pt>
                <c:pt idx="42">
                  <c:v>50.134799999999998</c:v>
                </c:pt>
                <c:pt idx="43">
                  <c:v>50.13</c:v>
                </c:pt>
                <c:pt idx="44">
                  <c:v>49.767299999999999</c:v>
                </c:pt>
                <c:pt idx="45">
                  <c:v>49.77</c:v>
                </c:pt>
                <c:pt idx="46">
                  <c:v>48.274900000000002</c:v>
                </c:pt>
                <c:pt idx="47">
                  <c:v>48.274900000000002</c:v>
                </c:pt>
                <c:pt idx="48">
                  <c:v>49.3003</c:v>
                </c:pt>
                <c:pt idx="49">
                  <c:v>48.567799999999998</c:v>
                </c:pt>
                <c:pt idx="50">
                  <c:v>47.471800000000002</c:v>
                </c:pt>
                <c:pt idx="51">
                  <c:v>47.47</c:v>
                </c:pt>
                <c:pt idx="52">
                  <c:v>47.47</c:v>
                </c:pt>
                <c:pt idx="53">
                  <c:v>47.463099999999997</c:v>
                </c:pt>
                <c:pt idx="54">
                  <c:v>47.463099999999997</c:v>
                </c:pt>
                <c:pt idx="55">
                  <c:v>46.707000000000001</c:v>
                </c:pt>
                <c:pt idx="56">
                  <c:v>46.71</c:v>
                </c:pt>
                <c:pt idx="57">
                  <c:v>47.32</c:v>
                </c:pt>
                <c:pt idx="58">
                  <c:v>46.585900000000002</c:v>
                </c:pt>
                <c:pt idx="59">
                  <c:v>46.585900000000002</c:v>
                </c:pt>
                <c:pt idx="60">
                  <c:v>46.59</c:v>
                </c:pt>
                <c:pt idx="61">
                  <c:v>44.783900000000003</c:v>
                </c:pt>
                <c:pt idx="62">
                  <c:v>44.783900000000003</c:v>
                </c:pt>
                <c:pt idx="63">
                  <c:v>45.936199999999999</c:v>
                </c:pt>
                <c:pt idx="64">
                  <c:v>45.201000000000001</c:v>
                </c:pt>
                <c:pt idx="65">
                  <c:v>45.2</c:v>
                </c:pt>
              </c:numCache>
            </c:numRef>
          </c:val>
          <c:smooth val="0"/>
        </c:ser>
        <c:dLbls>
          <c:showLegendKey val="0"/>
          <c:showVal val="0"/>
          <c:showCatName val="0"/>
          <c:showSerName val="0"/>
          <c:showPercent val="0"/>
          <c:showBubbleSize val="0"/>
        </c:dLbls>
        <c:marker val="1"/>
        <c:smooth val="0"/>
        <c:axId val="490183688"/>
        <c:axId val="490181336"/>
      </c:lineChart>
      <c:dateAx>
        <c:axId val="49018368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181336"/>
        <c:crosses val="autoZero"/>
        <c:auto val="1"/>
        <c:lblOffset val="100"/>
        <c:baseTimeUnit val="days"/>
      </c:dateAx>
      <c:valAx>
        <c:axId val="490181336"/>
        <c:scaling>
          <c:orientation val="minMax"/>
          <c:min val="35"/>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1836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GIS!$F$30</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GIS!$F$31:$F$100</c:f>
              <c:numCache>
                <c:formatCode>0.00</c:formatCode>
                <c:ptCount val="70"/>
                <c:pt idx="0">
                  <c:v>-47.749999999999915</c:v>
                </c:pt>
                <c:pt idx="1">
                  <c:v>-42.499999999999716</c:v>
                </c:pt>
                <c:pt idx="2">
                  <c:v>-57.749999999999702</c:v>
                </c:pt>
                <c:pt idx="3">
                  <c:v>-76.499999999999886</c:v>
                </c:pt>
                <c:pt idx="4">
                  <c:v>-97.749999999999915</c:v>
                </c:pt>
                <c:pt idx="5">
                  <c:v>-97.749999999999915</c:v>
                </c:pt>
                <c:pt idx="6">
                  <c:v>-120.74999999999977</c:v>
                </c:pt>
                <c:pt idx="7">
                  <c:v>-148.49999999999994</c:v>
                </c:pt>
                <c:pt idx="8">
                  <c:v>-71.499999999999986</c:v>
                </c:pt>
                <c:pt idx="9">
                  <c:v>-139.49999999999994</c:v>
                </c:pt>
                <c:pt idx="10">
                  <c:v>-76.499999999999702</c:v>
                </c:pt>
                <c:pt idx="11">
                  <c:v>-35.999999999999943</c:v>
                </c:pt>
                <c:pt idx="12">
                  <c:v>-76.500000000000057</c:v>
                </c:pt>
                <c:pt idx="13">
                  <c:v>-27.997500000000031</c:v>
                </c:pt>
                <c:pt idx="14">
                  <c:v>-56.497500000000223</c:v>
                </c:pt>
                <c:pt idx="15">
                  <c:v>-282.99999999999983</c:v>
                </c:pt>
                <c:pt idx="16">
                  <c:v>-310.29000000000053</c:v>
                </c:pt>
                <c:pt idx="17">
                  <c:v>-545.78999999999951</c:v>
                </c:pt>
                <c:pt idx="18">
                  <c:v>-339.0000000000008</c:v>
                </c:pt>
                <c:pt idx="19">
                  <c:v>-384.00000000000034</c:v>
                </c:pt>
                <c:pt idx="20">
                  <c:v>40.579999999999927</c:v>
                </c:pt>
                <c:pt idx="21">
                  <c:v>-839.41999999999985</c:v>
                </c:pt>
                <c:pt idx="22">
                  <c:v>-397.40000000000038</c:v>
                </c:pt>
                <c:pt idx="23">
                  <c:v>-904.00000000000068</c:v>
                </c:pt>
                <c:pt idx="24">
                  <c:v>-1232.0000000000007</c:v>
                </c:pt>
                <c:pt idx="25">
                  <c:v>-1547.4900000000011</c:v>
                </c:pt>
                <c:pt idx="26">
                  <c:v>-1145.4900000000002</c:v>
                </c:pt>
                <c:pt idx="27">
                  <c:v>-993.59999999999923</c:v>
                </c:pt>
                <c:pt idx="28">
                  <c:v>-1291.5899999999986</c:v>
                </c:pt>
                <c:pt idx="29">
                  <c:v>-878.7199999999998</c:v>
                </c:pt>
                <c:pt idx="30">
                  <c:v>86.250000000000426</c:v>
                </c:pt>
                <c:pt idx="31">
                  <c:v>113.14000000000064</c:v>
                </c:pt>
                <c:pt idx="32">
                  <c:v>278.99999999999989</c:v>
                </c:pt>
                <c:pt idx="33">
                  <c:v>439.8000000000003</c:v>
                </c:pt>
                <c:pt idx="34">
                  <c:v>146.64000000000001</c:v>
                </c:pt>
                <c:pt idx="35">
                  <c:v>-219.95999999999967</c:v>
                </c:pt>
                <c:pt idx="36">
                  <c:v>-394.9649999999998</c:v>
                </c:pt>
                <c:pt idx="37">
                  <c:v>-1294.9649999999999</c:v>
                </c:pt>
                <c:pt idx="38">
                  <c:v>-1131.4650000000004</c:v>
                </c:pt>
                <c:pt idx="39">
                  <c:v>-1105.9650000000001</c:v>
                </c:pt>
                <c:pt idx="40">
                  <c:v>-1479.4499999999998</c:v>
                </c:pt>
                <c:pt idx="41">
                  <c:v>-1150.9500000000003</c:v>
                </c:pt>
                <c:pt idx="42">
                  <c:v>-1330.9600000000003</c:v>
                </c:pt>
                <c:pt idx="43">
                  <c:v>-814</c:v>
                </c:pt>
                <c:pt idx="44">
                  <c:v>-937.46</c:v>
                </c:pt>
                <c:pt idx="45">
                  <c:v>-506.00000000000023</c:v>
                </c:pt>
                <c:pt idx="46">
                  <c:v>-916.47000000000105</c:v>
                </c:pt>
                <c:pt idx="47">
                  <c:v>-502.47000000000025</c:v>
                </c:pt>
                <c:pt idx="48">
                  <c:v>-313.54499999999985</c:v>
                </c:pt>
                <c:pt idx="49">
                  <c:v>-487.55999999999915</c:v>
                </c:pt>
                <c:pt idx="50">
                  <c:v>-627.53999999999974</c:v>
                </c:pt>
                <c:pt idx="51">
                  <c:v>-438.00000000000023</c:v>
                </c:pt>
                <c:pt idx="52">
                  <c:v>-138.00000000000026</c:v>
                </c:pt>
                <c:pt idx="53">
                  <c:v>17.379999999999995</c:v>
                </c:pt>
                <c:pt idx="54">
                  <c:v>61.380000000001189</c:v>
                </c:pt>
                <c:pt idx="55">
                  <c:v>-773.09999999999945</c:v>
                </c:pt>
                <c:pt idx="56">
                  <c:v>-1082.9999999999998</c:v>
                </c:pt>
                <c:pt idx="57">
                  <c:v>-368.00000000000068</c:v>
                </c:pt>
                <c:pt idx="58">
                  <c:v>-453.1800000000004</c:v>
                </c:pt>
                <c:pt idx="59">
                  <c:v>-221.18000000000109</c:v>
                </c:pt>
                <c:pt idx="60">
                  <c:v>-842.00000000000023</c:v>
                </c:pt>
                <c:pt idx="61">
                  <c:v>-985.17000000000075</c:v>
                </c:pt>
                <c:pt idx="62">
                  <c:v>-1891.1700000000017</c:v>
                </c:pt>
                <c:pt idx="63">
                  <c:v>-593.24000000000012</c:v>
                </c:pt>
                <c:pt idx="64">
                  <c:v>-192.1999999999997</c:v>
                </c:pt>
                <c:pt idx="65">
                  <c:v>335.65</c:v>
                </c:pt>
              </c:numCache>
            </c:numRef>
          </c:val>
          <c:smooth val="0"/>
        </c:ser>
        <c:dLbls>
          <c:showLegendKey val="0"/>
          <c:showVal val="0"/>
          <c:showCatName val="0"/>
          <c:showSerName val="0"/>
          <c:showPercent val="0"/>
          <c:showBubbleSize val="0"/>
        </c:dLbls>
        <c:marker val="1"/>
        <c:smooth val="0"/>
        <c:axId val="490192312"/>
        <c:axId val="490191528"/>
      </c:lineChart>
      <c:dateAx>
        <c:axId val="49019231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191528"/>
        <c:crosses val="autoZero"/>
        <c:auto val="1"/>
        <c:lblOffset val="100"/>
        <c:baseTimeUnit val="days"/>
      </c:dateAx>
      <c:valAx>
        <c:axId val="49019152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19231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GM!$AA$1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diamond"/>
            <c:size val="2"/>
            <c:spPr>
              <a:solidFill>
                <a:schemeClr val="accent1"/>
              </a:solidFill>
              <a:ln w="9525">
                <a:solidFill>
                  <a:srgbClr val="FF0000"/>
                </a:solidFill>
                <a:round/>
              </a:ln>
              <a:effectLst>
                <a:outerShdw blurRad="57150" dist="19050" dir="5400000" algn="ctr" rotWithShape="0">
                  <a:srgbClr val="000000">
                    <a:alpha val="63000"/>
                  </a:srgbClr>
                </a:outerShdw>
              </a:effectLst>
            </c:spPr>
          </c:marker>
          <c:cat>
            <c:strRef>
              <c:f>GM!$W$2:$W$69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GM!$AA$2:$AA$69</c:f>
              <c:numCache>
                <c:formatCode>General</c:formatCode>
                <c:ptCount val="68"/>
                <c:pt idx="0">
                  <c:v>34</c:v>
                </c:pt>
                <c:pt idx="1">
                  <c:v>34.270000000000003</c:v>
                </c:pt>
                <c:pt idx="2">
                  <c:v>34.17</c:v>
                </c:pt>
                <c:pt idx="3">
                  <c:v>35.36</c:v>
                </c:pt>
                <c:pt idx="4">
                  <c:v>35.409999999999997</c:v>
                </c:pt>
                <c:pt idx="5">
                  <c:v>35.54</c:v>
                </c:pt>
                <c:pt idx="6">
                  <c:v>35.56</c:v>
                </c:pt>
                <c:pt idx="7">
                  <c:v>34.71</c:v>
                </c:pt>
                <c:pt idx="8">
                  <c:v>34.56</c:v>
                </c:pt>
                <c:pt idx="9">
                  <c:v>34.26</c:v>
                </c:pt>
                <c:pt idx="10">
                  <c:v>34.39</c:v>
                </c:pt>
                <c:pt idx="11">
                  <c:v>34.549999999999997</c:v>
                </c:pt>
                <c:pt idx="12">
                  <c:v>35.71</c:v>
                </c:pt>
                <c:pt idx="13">
                  <c:v>36.33</c:v>
                </c:pt>
                <c:pt idx="14">
                  <c:v>37.08</c:v>
                </c:pt>
                <c:pt idx="15">
                  <c:v>37.090000000000003</c:v>
                </c:pt>
                <c:pt idx="16">
                  <c:v>36.96</c:v>
                </c:pt>
                <c:pt idx="17">
                  <c:v>36.869999999999997</c:v>
                </c:pt>
                <c:pt idx="18">
                  <c:v>36.83</c:v>
                </c:pt>
                <c:pt idx="19">
                  <c:v>36.83</c:v>
                </c:pt>
                <c:pt idx="20">
                  <c:v>37.270000000000003</c:v>
                </c:pt>
                <c:pt idx="22">
                  <c:v>37.520000000000003</c:v>
                </c:pt>
                <c:pt idx="23">
                  <c:v>37.909999999999997</c:v>
                </c:pt>
                <c:pt idx="24">
                  <c:v>38.229999999999997</c:v>
                </c:pt>
                <c:pt idx="25">
                  <c:v>37.76</c:v>
                </c:pt>
                <c:pt idx="26">
                  <c:v>37.43</c:v>
                </c:pt>
                <c:pt idx="27">
                  <c:v>36.840000000000003</c:v>
                </c:pt>
                <c:pt idx="28">
                  <c:v>37.270000000000003</c:v>
                </c:pt>
                <c:pt idx="29">
                  <c:v>36.9</c:v>
                </c:pt>
                <c:pt idx="30">
                  <c:v>37.25</c:v>
                </c:pt>
                <c:pt idx="31">
                  <c:v>37.840000000000003</c:v>
                </c:pt>
                <c:pt idx="32">
                  <c:v>37.81</c:v>
                </c:pt>
                <c:pt idx="33">
                  <c:v>37.22</c:v>
                </c:pt>
                <c:pt idx="34">
                  <c:v>37.03</c:v>
                </c:pt>
                <c:pt idx="35">
                  <c:v>37.08</c:v>
                </c:pt>
                <c:pt idx="36">
                  <c:v>37.24</c:v>
                </c:pt>
                <c:pt idx="37">
                  <c:v>35.520000000000003</c:v>
                </c:pt>
                <c:pt idx="38">
                  <c:v>35.17</c:v>
                </c:pt>
                <c:pt idx="39">
                  <c:v>35.08</c:v>
                </c:pt>
                <c:pt idx="40">
                  <c:v>35.14</c:v>
                </c:pt>
                <c:pt idx="41">
                  <c:v>35.1</c:v>
                </c:pt>
                <c:pt idx="42">
                  <c:v>36.83</c:v>
                </c:pt>
                <c:pt idx="43">
                  <c:v>36.33</c:v>
                </c:pt>
                <c:pt idx="44">
                  <c:v>35.729999999999997</c:v>
                </c:pt>
                <c:pt idx="45">
                  <c:v>36.14</c:v>
                </c:pt>
                <c:pt idx="46">
                  <c:v>36.61</c:v>
                </c:pt>
                <c:pt idx="47">
                  <c:v>36.33</c:v>
                </c:pt>
                <c:pt idx="48">
                  <c:v>37.01</c:v>
                </c:pt>
                <c:pt idx="49">
                  <c:v>37.520000000000003</c:v>
                </c:pt>
                <c:pt idx="50">
                  <c:v>38.28</c:v>
                </c:pt>
                <c:pt idx="51">
                  <c:v>37</c:v>
                </c:pt>
                <c:pt idx="52">
                  <c:v>36.65</c:v>
                </c:pt>
                <c:pt idx="53">
                  <c:v>37.01</c:v>
                </c:pt>
                <c:pt idx="54">
                  <c:v>37.299999999999997</c:v>
                </c:pt>
                <c:pt idx="55">
                  <c:v>37.47</c:v>
                </c:pt>
                <c:pt idx="56">
                  <c:v>37.31</c:v>
                </c:pt>
                <c:pt idx="57">
                  <c:v>37.340000000000003</c:v>
                </c:pt>
                <c:pt idx="58">
                  <c:v>37.51</c:v>
                </c:pt>
                <c:pt idx="59">
                  <c:v>37.950000000000003</c:v>
                </c:pt>
                <c:pt idx="60">
                  <c:v>37.35</c:v>
                </c:pt>
                <c:pt idx="61">
                  <c:v>36.01</c:v>
                </c:pt>
                <c:pt idx="62">
                  <c:v>35.99</c:v>
                </c:pt>
                <c:pt idx="63">
                  <c:v>36.39</c:v>
                </c:pt>
                <c:pt idx="64">
                  <c:v>37.090000000000003</c:v>
                </c:pt>
                <c:pt idx="65">
                  <c:v>35.15</c:v>
                </c:pt>
                <c:pt idx="66">
                  <c:v>34.840000000000003</c:v>
                </c:pt>
              </c:numCache>
            </c:numRef>
          </c:val>
          <c:smooth val="0"/>
        </c:ser>
        <c:dLbls>
          <c:showLegendKey val="0"/>
          <c:showVal val="0"/>
          <c:showCatName val="0"/>
          <c:showSerName val="0"/>
          <c:showPercent val="0"/>
          <c:showBubbleSize val="0"/>
        </c:dLbls>
        <c:marker val="1"/>
        <c:smooth val="0"/>
        <c:axId val="490180160"/>
        <c:axId val="490180552"/>
      </c:lineChart>
      <c:catAx>
        <c:axId val="490180160"/>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0180552"/>
        <c:crosses val="autoZero"/>
        <c:auto val="1"/>
        <c:lblAlgn val="ctr"/>
        <c:lblOffset val="100"/>
        <c:noMultiLvlLbl val="0"/>
      </c:catAx>
      <c:valAx>
        <c:axId val="490180552"/>
        <c:scaling>
          <c:orientation val="minMax"/>
          <c:min val="26"/>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018016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Reversed" id="24">
  <a:schemeClr val="accent4"/>
</cs:colorStyle>
</file>

<file path=xl/charts/colors3.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6.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7.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8.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3.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4.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9.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7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4.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jpeg"/></Relationships>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1" Type="http://schemas.openxmlformats.org/officeDocument/2006/relationships/image" Target="../media/image5.gif"/></Relationships>
</file>

<file path=xl/drawings/_rels/drawing6.xml.rels><?xml version="1.0" encoding="UTF-8" standalone="yes"?>
<Relationships xmlns="http://schemas.openxmlformats.org/package/2006/relationships"><Relationship Id="rId2" Type="http://schemas.openxmlformats.org/officeDocument/2006/relationships/chart" Target="../charts/chart10.xml"/><Relationship Id="rId1" Type="http://schemas.openxmlformats.org/officeDocument/2006/relationships/chart" Target="../charts/chart9.xml"/></Relationships>
</file>

<file path=xl/drawings/_rels/drawing7.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11.xml"/></Relationships>
</file>

<file path=xl/drawings/_rels/drawing8.xml.rels><?xml version="1.0" encoding="UTF-8" standalone="yes"?>
<Relationships xmlns="http://schemas.openxmlformats.org/package/2006/relationships"><Relationship Id="rId2" Type="http://schemas.openxmlformats.org/officeDocument/2006/relationships/chart" Target="../charts/chart13.xml"/><Relationship Id="rId1" Type="http://schemas.openxmlformats.org/officeDocument/2006/relationships/chart" Target="../charts/chart12.xml"/></Relationships>
</file>

<file path=xl/drawings/_rels/drawing10.xml.rels><?xml version="1.0" encoding="UTF-8" standalone="yes"?>
<Relationships xmlns="http://schemas.openxmlformats.org/package/2006/relationships"><Relationship Id="rId2" Type="http://schemas.openxmlformats.org/officeDocument/2006/relationships/chart" Target="../charts/chart15.xml"/><Relationship Id="rId1" Type="http://schemas.openxmlformats.org/officeDocument/2006/relationships/chart" Target="../charts/chart14.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12.xml.rels><?xml version="1.0" encoding="UTF-8" standalone="yes"?>
<Relationships xmlns="http://schemas.openxmlformats.org/package/2006/relationships"><Relationship Id="rId2" Type="http://schemas.openxmlformats.org/officeDocument/2006/relationships/chart" Target="../charts/chart18.xml"/><Relationship Id="rId1" Type="http://schemas.openxmlformats.org/officeDocument/2006/relationships/chart" Target="../charts/chart17.xml"/></Relationships>
</file>

<file path=xl/drawings/_rels/drawing13.xml.rels><?xml version="1.0" encoding="UTF-8" standalone="yes"?>
<Relationships xmlns="http://schemas.openxmlformats.org/package/2006/relationships"><Relationship Id="rId2" Type="http://schemas.openxmlformats.org/officeDocument/2006/relationships/chart" Target="../charts/chart20.xml"/><Relationship Id="rId1" Type="http://schemas.openxmlformats.org/officeDocument/2006/relationships/chart" Target="../charts/chart19.xml"/></Relationships>
</file>

<file path=xl/drawings/_rels/drawing14.xml.rels><?xml version="1.0" encoding="UTF-8" standalone="yes"?>
<Relationships xmlns="http://schemas.openxmlformats.org/package/2006/relationships"><Relationship Id="rId1" Type="http://schemas.openxmlformats.org/officeDocument/2006/relationships/chart" Target="../charts/chart21.xml"/></Relationships>
</file>

<file path=xl/drawings/_rels/drawing15.xml.rels><?xml version="1.0" encoding="UTF-8" standalone="yes"?>
<Relationships xmlns="http://schemas.openxmlformats.org/package/2006/relationships"><Relationship Id="rId2" Type="http://schemas.openxmlformats.org/officeDocument/2006/relationships/chart" Target="../charts/chart23.xml"/><Relationship Id="rId1" Type="http://schemas.openxmlformats.org/officeDocument/2006/relationships/chart" Target="../charts/chart22.xml"/></Relationships>
</file>

<file path=xl/drawings/_rels/drawing16.xml.rels><?xml version="1.0" encoding="UTF-8" standalone="yes"?>
<Relationships xmlns="http://schemas.openxmlformats.org/package/2006/relationships"><Relationship Id="rId2" Type="http://schemas.openxmlformats.org/officeDocument/2006/relationships/chart" Target="../charts/chart25.xml"/><Relationship Id="rId1" Type="http://schemas.openxmlformats.org/officeDocument/2006/relationships/chart" Target="../charts/chart24.xml"/></Relationships>
</file>

<file path=xl/drawings/_rels/drawing17.xml.rels><?xml version="1.0" encoding="UTF-8" standalone="yes"?>
<Relationships xmlns="http://schemas.openxmlformats.org/package/2006/relationships"><Relationship Id="rId1" Type="http://schemas.openxmlformats.org/officeDocument/2006/relationships/image" Target="../media/image6.png"/></Relationships>
</file>

<file path=xl/drawings/_rels/drawing18.xml.rels><?xml version="1.0" encoding="UTF-8" standalone="yes"?>
<Relationships xmlns="http://schemas.openxmlformats.org/package/2006/relationships"><Relationship Id="rId2" Type="http://schemas.openxmlformats.org/officeDocument/2006/relationships/image" Target="../media/image8.png"/><Relationship Id="rId1" Type="http://schemas.openxmlformats.org/officeDocument/2006/relationships/image" Target="../media/image7.png"/></Relationships>
</file>

<file path=xl/drawings/_rels/drawing19.xml.rels><?xml version="1.0" encoding="UTF-8" standalone="yes"?>
<Relationships xmlns="http://schemas.openxmlformats.org/package/2006/relationships"><Relationship Id="rId2" Type="http://schemas.openxmlformats.org/officeDocument/2006/relationships/chart" Target="../charts/chart27.xml"/><Relationship Id="rId1" Type="http://schemas.openxmlformats.org/officeDocument/2006/relationships/chart" Target="../charts/chart26.xml"/></Relationships>
</file>

<file path=xl/drawings/_rels/drawing20.xml.rels><?xml version="1.0" encoding="UTF-8" standalone="yes"?>
<Relationships xmlns="http://schemas.openxmlformats.org/package/2006/relationships"><Relationship Id="rId1" Type="http://schemas.openxmlformats.org/officeDocument/2006/relationships/chart" Target="../charts/chart28.xml"/></Relationships>
</file>

<file path=xl/drawings/_rels/drawing21.xml.rels><?xml version="1.0" encoding="UTF-8" standalone="yes"?>
<Relationships xmlns="http://schemas.openxmlformats.org/package/2006/relationships"><Relationship Id="rId2" Type="http://schemas.openxmlformats.org/officeDocument/2006/relationships/chart" Target="../charts/chart30.xml"/><Relationship Id="rId1" Type="http://schemas.openxmlformats.org/officeDocument/2006/relationships/chart" Target="../charts/chart29.xml"/></Relationships>
</file>

<file path=xl/drawings/_rels/drawing22.xml.rels><?xml version="1.0" encoding="UTF-8" standalone="yes"?>
<Relationships xmlns="http://schemas.openxmlformats.org/package/2006/relationships"><Relationship Id="rId2" Type="http://schemas.openxmlformats.org/officeDocument/2006/relationships/chart" Target="../charts/chart32.xml"/><Relationship Id="rId1" Type="http://schemas.openxmlformats.org/officeDocument/2006/relationships/chart" Target="../charts/chart31.xml"/></Relationships>
</file>

<file path=xl/drawings/_rels/drawing23.xml.rels><?xml version="1.0" encoding="UTF-8" standalone="yes"?>
<Relationships xmlns="http://schemas.openxmlformats.org/package/2006/relationships"><Relationship Id="rId3" Type="http://schemas.openxmlformats.org/officeDocument/2006/relationships/image" Target="../media/image9.png"/><Relationship Id="rId2" Type="http://schemas.openxmlformats.org/officeDocument/2006/relationships/chart" Target="../charts/chart34.xml"/><Relationship Id="rId1" Type="http://schemas.openxmlformats.org/officeDocument/2006/relationships/chart" Target="../charts/chart33.xml"/></Relationships>
</file>

<file path=xl/drawings/_rels/drawing24.xml.rels><?xml version="1.0" encoding="UTF-8" standalone="yes"?>
<Relationships xmlns="http://schemas.openxmlformats.org/package/2006/relationships"><Relationship Id="rId3" Type="http://schemas.openxmlformats.org/officeDocument/2006/relationships/image" Target="../media/image10.png"/><Relationship Id="rId2" Type="http://schemas.openxmlformats.org/officeDocument/2006/relationships/chart" Target="../charts/chart36.xml"/><Relationship Id="rId1" Type="http://schemas.openxmlformats.org/officeDocument/2006/relationships/chart" Target="../charts/chart35.xml"/></Relationships>
</file>

<file path=xl/drawings/_rels/drawing25.xml.rels><?xml version="1.0" encoding="UTF-8" standalone="yes"?>
<Relationships xmlns="http://schemas.openxmlformats.org/package/2006/relationships"><Relationship Id="rId8" Type="http://schemas.openxmlformats.org/officeDocument/2006/relationships/image" Target="../media/image17.gif"/><Relationship Id="rId3" Type="http://schemas.openxmlformats.org/officeDocument/2006/relationships/image" Target="../media/image12.gif"/><Relationship Id="rId7" Type="http://schemas.openxmlformats.org/officeDocument/2006/relationships/image" Target="../media/image16.gif"/><Relationship Id="rId2" Type="http://schemas.openxmlformats.org/officeDocument/2006/relationships/image" Target="../media/image11.gif"/><Relationship Id="rId1" Type="http://schemas.openxmlformats.org/officeDocument/2006/relationships/image" Target="../media/image5.gif"/><Relationship Id="rId6" Type="http://schemas.openxmlformats.org/officeDocument/2006/relationships/image" Target="../media/image15.gif"/><Relationship Id="rId5" Type="http://schemas.openxmlformats.org/officeDocument/2006/relationships/image" Target="../media/image14.gif"/><Relationship Id="rId10" Type="http://schemas.openxmlformats.org/officeDocument/2006/relationships/chart" Target="../charts/chart38.xml"/><Relationship Id="rId4" Type="http://schemas.openxmlformats.org/officeDocument/2006/relationships/image" Target="../media/image13.gif"/><Relationship Id="rId9" Type="http://schemas.openxmlformats.org/officeDocument/2006/relationships/chart" Target="../charts/chart37.xml"/></Relationships>
</file>

<file path=xl/drawings/_rels/drawing26.xml.rels><?xml version="1.0" encoding="UTF-8" standalone="yes"?>
<Relationships xmlns="http://schemas.openxmlformats.org/package/2006/relationships"><Relationship Id="rId1" Type="http://schemas.openxmlformats.org/officeDocument/2006/relationships/image" Target="../media/image5.gif"/></Relationships>
</file>

<file path=xl/drawings/_rels/drawing27.xml.rels><?xml version="1.0" encoding="UTF-8" standalone="yes"?>
<Relationships xmlns="http://schemas.openxmlformats.org/package/2006/relationships"><Relationship Id="rId2" Type="http://schemas.openxmlformats.org/officeDocument/2006/relationships/chart" Target="../charts/chart40.xml"/><Relationship Id="rId1" Type="http://schemas.openxmlformats.org/officeDocument/2006/relationships/chart" Target="../charts/chart39.xml"/></Relationships>
</file>

<file path=xl/drawings/_rels/drawing28.xml.rels><?xml version="1.0" encoding="UTF-8" standalone="yes"?>
<Relationships xmlns="http://schemas.openxmlformats.org/package/2006/relationships"><Relationship Id="rId1" Type="http://schemas.openxmlformats.org/officeDocument/2006/relationships/chart" Target="../charts/chart41.xml"/></Relationships>
</file>

<file path=xl/drawings/_rels/drawing29.xml.rels><?xml version="1.0" encoding="UTF-8" standalone="yes"?>
<Relationships xmlns="http://schemas.openxmlformats.org/package/2006/relationships"><Relationship Id="rId2" Type="http://schemas.openxmlformats.org/officeDocument/2006/relationships/chart" Target="../charts/chart43.xml"/><Relationship Id="rId1" Type="http://schemas.openxmlformats.org/officeDocument/2006/relationships/chart" Target="../charts/chart42.xml"/></Relationships>
</file>

<file path=xl/drawings/_rels/drawing30.xml.rels><?xml version="1.0" encoding="UTF-8" standalone="yes"?>
<Relationships xmlns="http://schemas.openxmlformats.org/package/2006/relationships"><Relationship Id="rId3" Type="http://schemas.openxmlformats.org/officeDocument/2006/relationships/image" Target="../media/image18.png"/><Relationship Id="rId2" Type="http://schemas.openxmlformats.org/officeDocument/2006/relationships/chart" Target="../charts/chart44.xml"/><Relationship Id="rId1" Type="http://schemas.openxmlformats.org/officeDocument/2006/relationships/image" Target="../media/image5.gif"/><Relationship Id="rId5" Type="http://schemas.openxmlformats.org/officeDocument/2006/relationships/image" Target="../media/image19.png"/><Relationship Id="rId4" Type="http://schemas.openxmlformats.org/officeDocument/2006/relationships/chart" Target="../charts/chart45.xml"/></Relationships>
</file>

<file path=xl/drawings/_rels/drawing31.xml.rels><?xml version="1.0" encoding="UTF-8" standalone="yes"?>
<Relationships xmlns="http://schemas.openxmlformats.org/package/2006/relationships"><Relationship Id="rId1" Type="http://schemas.openxmlformats.org/officeDocument/2006/relationships/image" Target="../media/image5.gif"/></Relationships>
</file>

<file path=xl/drawings/_rels/drawing32.xml.rels><?xml version="1.0" encoding="UTF-8" standalone="yes"?>
<Relationships xmlns="http://schemas.openxmlformats.org/package/2006/relationships"><Relationship Id="rId1" Type="http://schemas.openxmlformats.org/officeDocument/2006/relationships/image" Target="../media/image5.gif"/></Relationships>
</file>

<file path=xl/drawings/_rels/drawing33.xml.rels><?xml version="1.0" encoding="UTF-8" standalone="yes"?>
<Relationships xmlns="http://schemas.openxmlformats.org/package/2006/relationships"><Relationship Id="rId1" Type="http://schemas.openxmlformats.org/officeDocument/2006/relationships/chart" Target="../charts/chart46.xml"/></Relationships>
</file>

<file path=xl/drawings/_rels/drawing34.xml.rels><?xml version="1.0" encoding="UTF-8" standalone="yes"?>
<Relationships xmlns="http://schemas.openxmlformats.org/package/2006/relationships"><Relationship Id="rId1" Type="http://schemas.openxmlformats.org/officeDocument/2006/relationships/image" Target="../media/image5.gif"/></Relationships>
</file>

<file path=xl/drawings/_rels/drawing35.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47.xml"/></Relationships>
</file>

<file path=xl/drawings/_rels/drawing36.xml.rels><?xml version="1.0" encoding="UTF-8" standalone="yes"?>
<Relationships xmlns="http://schemas.openxmlformats.org/package/2006/relationships"><Relationship Id="rId1" Type="http://schemas.openxmlformats.org/officeDocument/2006/relationships/chart" Target="../charts/chart48.xml"/></Relationships>
</file>

<file path=xl/drawings/_rels/drawing37.xml.rels><?xml version="1.0" encoding="UTF-8" standalone="yes"?>
<Relationships xmlns="http://schemas.openxmlformats.org/package/2006/relationships"><Relationship Id="rId3" Type="http://schemas.openxmlformats.org/officeDocument/2006/relationships/chart" Target="../charts/chart50.xml"/><Relationship Id="rId2" Type="http://schemas.openxmlformats.org/officeDocument/2006/relationships/chart" Target="../charts/chart49.xml"/><Relationship Id="rId1" Type="http://schemas.openxmlformats.org/officeDocument/2006/relationships/image" Target="../media/image5.gif"/></Relationships>
</file>

<file path=xl/drawings/_rels/drawing38.xml.rels><?xml version="1.0" encoding="UTF-8" standalone="yes"?>
<Relationships xmlns="http://schemas.openxmlformats.org/package/2006/relationships"><Relationship Id="rId2" Type="http://schemas.openxmlformats.org/officeDocument/2006/relationships/chart" Target="../charts/chart52.xml"/><Relationship Id="rId1" Type="http://schemas.openxmlformats.org/officeDocument/2006/relationships/chart" Target="../charts/chart51.xml"/></Relationships>
</file>

<file path=xl/drawings/_rels/drawing39.xml.rels><?xml version="1.0" encoding="UTF-8" standalone="yes"?>
<Relationships xmlns="http://schemas.openxmlformats.org/package/2006/relationships"><Relationship Id="rId1" Type="http://schemas.openxmlformats.org/officeDocument/2006/relationships/image" Target="../media/image5.gif"/></Relationships>
</file>

<file path=xl/drawings/_rels/drawing40.xml.rels><?xml version="1.0" encoding="UTF-8" standalone="yes"?>
<Relationships xmlns="http://schemas.openxmlformats.org/package/2006/relationships"><Relationship Id="rId1" Type="http://schemas.openxmlformats.org/officeDocument/2006/relationships/chart" Target="../charts/chart53.xml"/></Relationships>
</file>

<file path=xl/drawings/_rels/drawing41.xml.rels><?xml version="1.0" encoding="UTF-8" standalone="yes"?>
<Relationships xmlns="http://schemas.openxmlformats.org/package/2006/relationships"><Relationship Id="rId1" Type="http://schemas.openxmlformats.org/officeDocument/2006/relationships/image" Target="../media/image5.gif"/></Relationships>
</file>

<file path=xl/drawings/_rels/drawing42.xml.rels><?xml version="1.0" encoding="UTF-8" standalone="yes"?>
<Relationships xmlns="http://schemas.openxmlformats.org/package/2006/relationships"><Relationship Id="rId1" Type="http://schemas.openxmlformats.org/officeDocument/2006/relationships/chart" Target="../charts/chart54.xml"/></Relationships>
</file>

<file path=xl/drawings/_rels/drawing43.xml.rels><?xml version="1.0" encoding="UTF-8" standalone="yes"?>
<Relationships xmlns="http://schemas.openxmlformats.org/package/2006/relationships"><Relationship Id="rId2" Type="http://schemas.openxmlformats.org/officeDocument/2006/relationships/chart" Target="../charts/chart56.xml"/><Relationship Id="rId1" Type="http://schemas.openxmlformats.org/officeDocument/2006/relationships/chart" Target="../charts/chart55.xml"/></Relationships>
</file>

<file path=xl/drawings/_rels/drawing44.xml.rels><?xml version="1.0" encoding="UTF-8" standalone="yes"?>
<Relationships xmlns="http://schemas.openxmlformats.org/package/2006/relationships"><Relationship Id="rId2" Type="http://schemas.openxmlformats.org/officeDocument/2006/relationships/chart" Target="../charts/chart58.xml"/><Relationship Id="rId1" Type="http://schemas.openxmlformats.org/officeDocument/2006/relationships/chart" Target="../charts/chart57.xml"/></Relationships>
</file>

<file path=xl/drawings/_rels/drawing45.xml.rels><?xml version="1.0" encoding="UTF-8" standalone="yes"?>
<Relationships xmlns="http://schemas.openxmlformats.org/package/2006/relationships"><Relationship Id="rId1" Type="http://schemas.openxmlformats.org/officeDocument/2006/relationships/chart" Target="../charts/chart59.xml"/></Relationships>
</file>

<file path=xl/drawings/_rels/drawing46.xml.rels><?xml version="1.0" encoding="UTF-8" standalone="yes"?>
<Relationships xmlns="http://schemas.openxmlformats.org/package/2006/relationships"><Relationship Id="rId3" Type="http://schemas.openxmlformats.org/officeDocument/2006/relationships/chart" Target="../charts/chart61.xml"/><Relationship Id="rId2" Type="http://schemas.openxmlformats.org/officeDocument/2006/relationships/chart" Target="../charts/chart60.xml"/><Relationship Id="rId1" Type="http://schemas.openxmlformats.org/officeDocument/2006/relationships/image" Target="../media/image5.gif"/></Relationships>
</file>

<file path=xl/drawings/_rels/drawing47.xml.rels><?xml version="1.0" encoding="UTF-8" standalone="yes"?>
<Relationships xmlns="http://schemas.openxmlformats.org/package/2006/relationships"><Relationship Id="rId2" Type="http://schemas.openxmlformats.org/officeDocument/2006/relationships/chart" Target="../charts/chart63.xml"/><Relationship Id="rId1" Type="http://schemas.openxmlformats.org/officeDocument/2006/relationships/chart" Target="../charts/chart62.xml"/></Relationships>
</file>

<file path=xl/drawings/_rels/drawing48.xml.rels><?xml version="1.0" encoding="UTF-8" standalone="yes"?>
<Relationships xmlns="http://schemas.openxmlformats.org/package/2006/relationships"><Relationship Id="rId1" Type="http://schemas.openxmlformats.org/officeDocument/2006/relationships/image" Target="../media/image5.gif"/></Relationships>
</file>

<file path=xl/drawings/_rels/drawing49.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64.xml"/></Relationships>
</file>

<file path=xl/drawings/_rels/drawing50.xml.rels><?xml version="1.0" encoding="UTF-8" standalone="yes"?>
<Relationships xmlns="http://schemas.openxmlformats.org/package/2006/relationships"><Relationship Id="rId2" Type="http://schemas.openxmlformats.org/officeDocument/2006/relationships/chart" Target="../charts/chart66.xml"/><Relationship Id="rId1" Type="http://schemas.openxmlformats.org/officeDocument/2006/relationships/chart" Target="../charts/chart65.xml"/></Relationships>
</file>

<file path=xl/drawings/_rels/drawing51.xml.rels><?xml version="1.0" encoding="UTF-8" standalone="yes"?>
<Relationships xmlns="http://schemas.openxmlformats.org/package/2006/relationships"><Relationship Id="rId1" Type="http://schemas.openxmlformats.org/officeDocument/2006/relationships/image" Target="../media/image5.gif"/></Relationships>
</file>

<file path=xl/drawings/_rels/drawing52.xml.rels><?xml version="1.0" encoding="UTF-8" standalone="yes"?>
<Relationships xmlns="http://schemas.openxmlformats.org/package/2006/relationships"><Relationship Id="rId3" Type="http://schemas.openxmlformats.org/officeDocument/2006/relationships/image" Target="../media/image20.png"/><Relationship Id="rId2" Type="http://schemas.openxmlformats.org/officeDocument/2006/relationships/chart" Target="../charts/chart68.xml"/><Relationship Id="rId1" Type="http://schemas.openxmlformats.org/officeDocument/2006/relationships/chart" Target="../charts/chart67.xml"/></Relationships>
</file>

<file path=xl/drawings/_rels/drawing53.xml.rels><?xml version="1.0" encoding="UTF-8" standalone="yes"?>
<Relationships xmlns="http://schemas.openxmlformats.org/package/2006/relationships"><Relationship Id="rId1" Type="http://schemas.openxmlformats.org/officeDocument/2006/relationships/image" Target="../media/image21.png"/></Relationships>
</file>

<file path=xl/drawings/_rels/drawing54.xml.rels><?xml version="1.0" encoding="UTF-8" standalone="yes"?>
<Relationships xmlns="http://schemas.openxmlformats.org/package/2006/relationships"><Relationship Id="rId2" Type="http://schemas.openxmlformats.org/officeDocument/2006/relationships/chart" Target="../charts/chart70.xml"/><Relationship Id="rId1" Type="http://schemas.openxmlformats.org/officeDocument/2006/relationships/chart" Target="../charts/chart69.xml"/></Relationships>
</file>

<file path=xl/drawings/_rels/drawing55.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71.xml"/></Relationships>
</file>

<file path=xl/drawings/_rels/drawing56.xml.rels><?xml version="1.0" encoding="UTF-8" standalone="yes"?>
<Relationships xmlns="http://schemas.openxmlformats.org/package/2006/relationships"><Relationship Id="rId2" Type="http://schemas.openxmlformats.org/officeDocument/2006/relationships/chart" Target="../charts/chart73.xml"/><Relationship Id="rId1" Type="http://schemas.openxmlformats.org/officeDocument/2006/relationships/chart" Target="../charts/chart72.xml"/></Relationships>
</file>

<file path=xl/drawings/_rels/drawing57.xml.rels><?xml version="1.0" encoding="UTF-8" standalone="yes"?>
<Relationships xmlns="http://schemas.openxmlformats.org/package/2006/relationships"><Relationship Id="rId1" Type="http://schemas.openxmlformats.org/officeDocument/2006/relationships/chart" Target="../charts/chart74.xml"/></Relationships>
</file>

<file path=xl/drawings/_rels/drawing58.xml.rels><?xml version="1.0" encoding="UTF-8" standalone="yes"?>
<Relationships xmlns="http://schemas.openxmlformats.org/package/2006/relationships"><Relationship Id="rId1" Type="http://schemas.openxmlformats.org/officeDocument/2006/relationships/image" Target="../media/image5.gif"/></Relationships>
</file>

<file path=xl/drawings/_rels/drawing59.xml.rels><?xml version="1.0" encoding="UTF-8" standalone="yes"?>
<Relationships xmlns="http://schemas.openxmlformats.org/package/2006/relationships"><Relationship Id="rId1" Type="http://schemas.openxmlformats.org/officeDocument/2006/relationships/image" Target="../media/image5.gif"/></Relationships>
</file>

<file path=xl/drawings/drawing1.xml><?xml version="1.0" encoding="utf-8"?>
<xdr:wsDr xmlns:xdr="http://schemas.openxmlformats.org/drawingml/2006/spreadsheetDrawing" xmlns:a="http://schemas.openxmlformats.org/drawingml/2006/main">
  <xdr:twoCellAnchor editAs="oneCell">
    <xdr:from>
      <xdr:col>0</xdr:col>
      <xdr:colOff>133351</xdr:colOff>
      <xdr:row>18</xdr:row>
      <xdr:rowOff>200025</xdr:rowOff>
    </xdr:from>
    <xdr:to>
      <xdr:col>2</xdr:col>
      <xdr:colOff>104775</xdr:colOff>
      <xdr:row>21</xdr:row>
      <xdr:rowOff>163879</xdr:rowOff>
    </xdr:to>
    <xdr:pic macro="[0]!sumPL">
      <xdr:nvPicPr>
        <xdr:cNvPr id="4" name="Picture 3" descr="Analyse" title="Analyse"/>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3351" y="5172075"/>
          <a:ext cx="1085849" cy="79252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133351</xdr:colOff>
      <xdr:row>2</xdr:row>
      <xdr:rowOff>266701</xdr:rowOff>
    </xdr:from>
    <xdr:to>
      <xdr:col>2</xdr:col>
      <xdr:colOff>161926</xdr:colOff>
      <xdr:row>7</xdr:row>
      <xdr:rowOff>28576</xdr:rowOff>
    </xdr:to>
    <xdr:pic macro="[0]!downloadd">
      <xdr:nvPicPr>
        <xdr:cNvPr id="6" name="Picture 5" descr="http://mib.pianetalinux.org/2010.2/others/people/emanueleeeee/icon-samples/folder-download.png"/>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33351" y="819151"/>
          <a:ext cx="1143000" cy="1143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238126</xdr:colOff>
      <xdr:row>24</xdr:row>
      <xdr:rowOff>85727</xdr:rowOff>
    </xdr:from>
    <xdr:to>
      <xdr:col>2</xdr:col>
      <xdr:colOff>104775</xdr:colOff>
      <xdr:row>27</xdr:row>
      <xdr:rowOff>238126</xdr:rowOff>
    </xdr:to>
    <xdr:pic macro="[0]!ComputeTradable">
      <xdr:nvPicPr>
        <xdr:cNvPr id="2" name="Picture 1"/>
        <xdr:cNvPicPr>
          <a:picLocks noChangeAspect="1"/>
        </xdr:cNvPicPr>
      </xdr:nvPicPr>
      <xdr:blipFill>
        <a:blip xmlns:r="http://schemas.openxmlformats.org/officeDocument/2006/relationships" r:embed="rId3"/>
        <a:stretch>
          <a:fillRect/>
        </a:stretch>
      </xdr:blipFill>
      <xdr:spPr>
        <a:xfrm>
          <a:off x="238126" y="6715127"/>
          <a:ext cx="981074" cy="981074"/>
        </a:xfrm>
        <a:prstGeom prst="rect">
          <a:avLst/>
        </a:prstGeom>
        <a:pattFill prst="pct75">
          <a:fgClr>
            <a:schemeClr val="accent1"/>
          </a:fgClr>
          <a:bgClr>
            <a:schemeClr val="accent1">
              <a:lumMod val="60000"/>
              <a:lumOff val="40000"/>
            </a:schemeClr>
          </a:bgClr>
        </a:pattFill>
      </xdr:spPr>
    </xdr:pic>
    <xdr:clientData/>
  </xdr:twoCellAnchor>
  <xdr:twoCellAnchor editAs="oneCell">
    <xdr:from>
      <xdr:col>0</xdr:col>
      <xdr:colOff>133351</xdr:colOff>
      <xdr:row>10</xdr:row>
      <xdr:rowOff>76201</xdr:rowOff>
    </xdr:from>
    <xdr:to>
      <xdr:col>2</xdr:col>
      <xdr:colOff>66676</xdr:colOff>
      <xdr:row>14</xdr:row>
      <xdr:rowOff>19051</xdr:rowOff>
    </xdr:to>
    <xdr:pic macro="[0]!Distribute_Prices">
      <xdr:nvPicPr>
        <xdr:cNvPr id="5" name="Picture 4" descr="Image result for distribute"/>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33351" y="2838451"/>
          <a:ext cx="1047750" cy="1047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27</xdr:col>
      <xdr:colOff>300036</xdr:colOff>
      <xdr:row>30</xdr:row>
      <xdr:rowOff>9525</xdr:rowOff>
    </xdr:from>
    <xdr:to>
      <xdr:col>46</xdr:col>
      <xdr:colOff>609599</xdr:colOff>
      <xdr:row>44</xdr:row>
      <xdr:rowOff>238125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27</xdr:col>
      <xdr:colOff>266700</xdr:colOff>
      <xdr:row>15</xdr:row>
      <xdr:rowOff>47625</xdr:rowOff>
    </xdr:from>
    <xdr:to>
      <xdr:col>47</xdr:col>
      <xdr:colOff>0</xdr:colOff>
      <xdr:row>30</xdr:row>
      <xdr:rowOff>66675</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27</xdr:col>
      <xdr:colOff>276224</xdr:colOff>
      <xdr:row>0</xdr:row>
      <xdr:rowOff>28575</xdr:rowOff>
    </xdr:from>
    <xdr:to>
      <xdr:col>47</xdr:col>
      <xdr:colOff>9525</xdr:colOff>
      <xdr:row>15</xdr:row>
      <xdr:rowOff>9525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27</xdr:col>
      <xdr:colOff>352425</xdr:colOff>
      <xdr:row>45</xdr:row>
      <xdr:rowOff>95250</xdr:rowOff>
    </xdr:from>
    <xdr:to>
      <xdr:col>47</xdr:col>
      <xdr:colOff>0</xdr:colOff>
      <xdr:row>63</xdr:row>
      <xdr:rowOff>48986</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27</xdr:col>
      <xdr:colOff>323850</xdr:colOff>
      <xdr:row>63</xdr:row>
      <xdr:rowOff>219075</xdr:rowOff>
    </xdr:from>
    <xdr:to>
      <xdr:col>47</xdr:col>
      <xdr:colOff>9525</xdr:colOff>
      <xdr:row>81</xdr:row>
      <xdr:rowOff>172811</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27</xdr:col>
      <xdr:colOff>304800</xdr:colOff>
      <xdr:row>82</xdr:row>
      <xdr:rowOff>123825</xdr:rowOff>
    </xdr:from>
    <xdr:to>
      <xdr:col>47</xdr:col>
      <xdr:colOff>57150</xdr:colOff>
      <xdr:row>100</xdr:row>
      <xdr:rowOff>77561</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27</xdr:col>
      <xdr:colOff>323850</xdr:colOff>
      <xdr:row>100</xdr:row>
      <xdr:rowOff>161925</xdr:rowOff>
    </xdr:from>
    <xdr:to>
      <xdr:col>47</xdr:col>
      <xdr:colOff>47625</xdr:colOff>
      <xdr:row>118</xdr:row>
      <xdr:rowOff>115661</xdr:rowOff>
    </xdr:to>
    <xdr:graphicFrame macro="">
      <xdr:nvGraphicFramePr>
        <xdr:cNvPr id="12"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27</xdr:col>
      <xdr:colOff>314325</xdr:colOff>
      <xdr:row>118</xdr:row>
      <xdr:rowOff>152400</xdr:rowOff>
    </xdr:from>
    <xdr:to>
      <xdr:col>47</xdr:col>
      <xdr:colOff>38100</xdr:colOff>
      <xdr:row>136</xdr:row>
      <xdr:rowOff>106136</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14</xdr:col>
      <xdr:colOff>0</xdr:colOff>
      <xdr:row>189</xdr:row>
      <xdr:rowOff>0</xdr:rowOff>
    </xdr:from>
    <xdr:to>
      <xdr:col>14</xdr:col>
      <xdr:colOff>9525</xdr:colOff>
      <xdr:row>189</xdr:row>
      <xdr:rowOff>9525</xdr:rowOff>
    </xdr:to>
    <xdr:pic>
      <xdr:nvPicPr>
        <xdr:cNvPr id="2" name="Picture 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829675"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6.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114300</xdr:colOff>
      <xdr:row>60</xdr:row>
      <xdr:rowOff>161925</xdr:rowOff>
    </xdr:from>
    <xdr:to>
      <xdr:col>18</xdr:col>
      <xdr:colOff>1681163</xdr:colOff>
      <xdr:row>80</xdr:row>
      <xdr:rowOff>66675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8.xml><?xml version="1.0" encoding="utf-8"?>
<xdr:wsDr xmlns:xdr="http://schemas.openxmlformats.org/drawingml/2006/spreadsheetDrawing" xmlns:a="http://schemas.openxmlformats.org/drawingml/2006/main">
  <xdr:twoCellAnchor>
    <xdr:from>
      <xdr:col>14</xdr:col>
      <xdr:colOff>90488</xdr:colOff>
      <xdr:row>39</xdr:row>
      <xdr:rowOff>95250</xdr:rowOff>
    </xdr:from>
    <xdr:to>
      <xdr:col>18</xdr:col>
      <xdr:colOff>3810001</xdr:colOff>
      <xdr:row>58</xdr:row>
      <xdr:rowOff>114300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76200</xdr:colOff>
      <xdr:row>59</xdr:row>
      <xdr:rowOff>85725</xdr:rowOff>
    </xdr:from>
    <xdr:to>
      <xdr:col>18</xdr:col>
      <xdr:colOff>3867150</xdr:colOff>
      <xdr:row>78</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9703"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7315200" y="2095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10.xml><?xml version="1.0" encoding="utf-8"?>
<xdr:wsDr xmlns:xdr="http://schemas.openxmlformats.org/drawingml/2006/spreadsheetDrawing" xmlns:a="http://schemas.openxmlformats.org/drawingml/2006/main">
  <xdr:twoCellAnchor>
    <xdr:from>
      <xdr:col>13</xdr:col>
      <xdr:colOff>242887</xdr:colOff>
      <xdr:row>40</xdr:row>
      <xdr:rowOff>104775</xdr:rowOff>
    </xdr:from>
    <xdr:to>
      <xdr:col>19</xdr:col>
      <xdr:colOff>561975</xdr:colOff>
      <xdr:row>60</xdr:row>
      <xdr:rowOff>9525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247650</xdr:colOff>
      <xdr:row>60</xdr:row>
      <xdr:rowOff>114300</xdr:rowOff>
    </xdr:from>
    <xdr:to>
      <xdr:col>19</xdr:col>
      <xdr:colOff>566738</xdr:colOff>
      <xdr:row>80</xdr:row>
      <xdr:rowOff>19050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13</xdr:col>
      <xdr:colOff>595311</xdr:colOff>
      <xdr:row>12</xdr:row>
      <xdr:rowOff>185737</xdr:rowOff>
    </xdr:from>
    <xdr:to>
      <xdr:col>20</xdr:col>
      <xdr:colOff>2200275</xdr:colOff>
      <xdr:row>38</xdr:row>
      <xdr:rowOff>76200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13</xdr:col>
      <xdr:colOff>347662</xdr:colOff>
      <xdr:row>42</xdr:row>
      <xdr:rowOff>23812</xdr:rowOff>
    </xdr:from>
    <xdr:to>
      <xdr:col>19</xdr:col>
      <xdr:colOff>976312</xdr:colOff>
      <xdr:row>56</xdr:row>
      <xdr:rowOff>100012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409575</xdr:colOff>
      <xdr:row>57</xdr:row>
      <xdr:rowOff>142875</xdr:rowOff>
    </xdr:from>
    <xdr:to>
      <xdr:col>19</xdr:col>
      <xdr:colOff>1038225</xdr:colOff>
      <xdr:row>72</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13</xdr:col>
      <xdr:colOff>100012</xdr:colOff>
      <xdr:row>40</xdr:row>
      <xdr:rowOff>171450</xdr:rowOff>
    </xdr:from>
    <xdr:to>
      <xdr:col>19</xdr:col>
      <xdr:colOff>419100</xdr:colOff>
      <xdr:row>60</xdr:row>
      <xdr:rowOff>76200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104775</xdr:colOff>
      <xdr:row>60</xdr:row>
      <xdr:rowOff>95250</xdr:rowOff>
    </xdr:from>
    <xdr:to>
      <xdr:col>19</xdr:col>
      <xdr:colOff>423863</xdr:colOff>
      <xdr:row>80</xdr:row>
      <xdr:rowOff>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114300</xdr:colOff>
      <xdr:row>60</xdr:row>
      <xdr:rowOff>161925</xdr:rowOff>
    </xdr:from>
    <xdr:to>
      <xdr:col>18</xdr:col>
      <xdr:colOff>1681163</xdr:colOff>
      <xdr:row>80</xdr:row>
      <xdr:rowOff>66675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14</xdr:col>
      <xdr:colOff>100011</xdr:colOff>
      <xdr:row>43</xdr:row>
      <xdr:rowOff>133350</xdr:rowOff>
    </xdr:from>
    <xdr:to>
      <xdr:col>20</xdr:col>
      <xdr:colOff>723899</xdr:colOff>
      <xdr:row>62</xdr:row>
      <xdr:rowOff>95250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95250</xdr:colOff>
      <xdr:row>63</xdr:row>
      <xdr:rowOff>19050</xdr:rowOff>
    </xdr:from>
    <xdr:to>
      <xdr:col>20</xdr:col>
      <xdr:colOff>719138</xdr:colOff>
      <xdr:row>81</xdr:row>
      <xdr:rowOff>171450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editAs="oneCell">
    <xdr:from>
      <xdr:col>20</xdr:col>
      <xdr:colOff>0</xdr:colOff>
      <xdr:row>7</xdr:row>
      <xdr:rowOff>0</xdr:rowOff>
    </xdr:from>
    <xdr:to>
      <xdr:col>20</xdr:col>
      <xdr:colOff>1676190</xdr:colOff>
      <xdr:row>36</xdr:row>
      <xdr:rowOff>123108</xdr:rowOff>
    </xdr:to>
    <xdr:pic>
      <xdr:nvPicPr>
        <xdr:cNvPr id="2" name="Picture 1"/>
        <xdr:cNvPicPr>
          <a:picLocks noChangeAspect="1"/>
        </xdr:cNvPicPr>
      </xdr:nvPicPr>
      <xdr:blipFill>
        <a:blip xmlns:r="http://schemas.openxmlformats.org/officeDocument/2006/relationships" r:embed="rId1"/>
        <a:stretch>
          <a:fillRect/>
        </a:stretch>
      </xdr:blipFill>
      <xdr:spPr>
        <a:xfrm>
          <a:off x="13373100" y="1333500"/>
          <a:ext cx="1676190" cy="5733333"/>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20</xdr:col>
      <xdr:colOff>0</xdr:colOff>
      <xdr:row>10</xdr:row>
      <xdr:rowOff>0</xdr:rowOff>
    </xdr:from>
    <xdr:to>
      <xdr:col>20</xdr:col>
      <xdr:colOff>4610100</xdr:colOff>
      <xdr:row>25</xdr:row>
      <xdr:rowOff>93015</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1905000"/>
          <a:ext cx="4610100" cy="3036240"/>
        </a:xfrm>
        <a:prstGeom prst="rect">
          <a:avLst/>
        </a:prstGeom>
      </xdr:spPr>
    </xdr:pic>
    <xdr:clientData/>
  </xdr:twoCellAnchor>
  <xdr:twoCellAnchor editAs="oneCell">
    <xdr:from>
      <xdr:col>20</xdr:col>
      <xdr:colOff>0</xdr:colOff>
      <xdr:row>29</xdr:row>
      <xdr:rowOff>0</xdr:rowOff>
    </xdr:from>
    <xdr:to>
      <xdr:col>21</xdr:col>
      <xdr:colOff>132744</xdr:colOff>
      <xdr:row>45</xdr:row>
      <xdr:rowOff>94857</xdr:rowOff>
    </xdr:to>
    <xdr:pic>
      <xdr:nvPicPr>
        <xdr:cNvPr id="3" name="Picture 2"/>
        <xdr:cNvPicPr>
          <a:picLocks noChangeAspect="1"/>
        </xdr:cNvPicPr>
      </xdr:nvPicPr>
      <xdr:blipFill>
        <a:blip xmlns:r="http://schemas.openxmlformats.org/officeDocument/2006/relationships" r:embed="rId2"/>
        <a:stretch>
          <a:fillRect/>
        </a:stretch>
      </xdr:blipFill>
      <xdr:spPr>
        <a:xfrm>
          <a:off x="13011150" y="5610225"/>
          <a:ext cx="4847619" cy="3142857"/>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xdr:twoCellAnchor>
    <xdr:from>
      <xdr:col>12</xdr:col>
      <xdr:colOff>261937</xdr:colOff>
      <xdr:row>43</xdr:row>
      <xdr:rowOff>123824</xdr:rowOff>
    </xdr:from>
    <xdr:to>
      <xdr:col>19</xdr:col>
      <xdr:colOff>9525</xdr:colOff>
      <xdr:row>63</xdr:row>
      <xdr:rowOff>76200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228600</xdr:colOff>
      <xdr:row>64</xdr:row>
      <xdr:rowOff>0</xdr:rowOff>
    </xdr:from>
    <xdr:to>
      <xdr:col>18</xdr:col>
      <xdr:colOff>1538288</xdr:colOff>
      <xdr:row>83</xdr:row>
      <xdr:rowOff>142876</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13</xdr:col>
      <xdr:colOff>295275</xdr:colOff>
      <xdr:row>41</xdr:row>
      <xdr:rowOff>109537</xdr:rowOff>
    </xdr:from>
    <xdr:to>
      <xdr:col>19</xdr:col>
      <xdr:colOff>838200</xdr:colOff>
      <xdr:row>55</xdr:row>
      <xdr:rowOff>185737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304800</xdr:colOff>
      <xdr:row>56</xdr:row>
      <xdr:rowOff>76200</xdr:rowOff>
    </xdr:from>
    <xdr:to>
      <xdr:col>19</xdr:col>
      <xdr:colOff>847725</xdr:colOff>
      <xdr:row>68</xdr:row>
      <xdr:rowOff>19050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13</xdr:col>
      <xdr:colOff>252412</xdr:colOff>
      <xdr:row>37</xdr:row>
      <xdr:rowOff>23812</xdr:rowOff>
    </xdr:from>
    <xdr:to>
      <xdr:col>19</xdr:col>
      <xdr:colOff>871537</xdr:colOff>
      <xdr:row>51</xdr:row>
      <xdr:rowOff>100012</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257175</xdr:colOff>
      <xdr:row>52</xdr:row>
      <xdr:rowOff>104775</xdr:rowOff>
    </xdr:from>
    <xdr:to>
      <xdr:col>19</xdr:col>
      <xdr:colOff>876300</xdr:colOff>
      <xdr:row>66</xdr:row>
      <xdr:rowOff>171450</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13</xdr:col>
      <xdr:colOff>352425</xdr:colOff>
      <xdr:row>14</xdr:row>
      <xdr:rowOff>61912</xdr:rowOff>
    </xdr:from>
    <xdr:to>
      <xdr:col>20</xdr:col>
      <xdr:colOff>19050</xdr:colOff>
      <xdr:row>26</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333375</xdr:colOff>
      <xdr:row>26</xdr:row>
      <xdr:rowOff>38100</xdr:rowOff>
    </xdr:from>
    <xdr:to>
      <xdr:col>20</xdr:col>
      <xdr:colOff>0</xdr:colOff>
      <xdr:row>37</xdr:row>
      <xdr:rowOff>185738</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3</xdr:row>
      <xdr:rowOff>0</xdr:rowOff>
    </xdr:from>
    <xdr:to>
      <xdr:col>20</xdr:col>
      <xdr:colOff>3428571</xdr:colOff>
      <xdr:row>21</xdr:row>
      <xdr:rowOff>56713</xdr:rowOff>
    </xdr:to>
    <xdr:pic>
      <xdr:nvPicPr>
        <xdr:cNvPr id="4" name="Picture 3"/>
        <xdr:cNvPicPr>
          <a:picLocks noChangeAspect="1"/>
        </xdr:cNvPicPr>
      </xdr:nvPicPr>
      <xdr:blipFill>
        <a:blip xmlns:r="http://schemas.openxmlformats.org/officeDocument/2006/relationships" r:embed="rId3"/>
        <a:stretch>
          <a:fillRect/>
        </a:stretch>
      </xdr:blipFill>
      <xdr:spPr>
        <a:xfrm>
          <a:off x="14411325" y="571500"/>
          <a:ext cx="3428571" cy="3495238"/>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xdr:twoCellAnchor>
    <xdr:from>
      <xdr:col>13</xdr:col>
      <xdr:colOff>295275</xdr:colOff>
      <xdr:row>42</xdr:row>
      <xdr:rowOff>180975</xdr:rowOff>
    </xdr:from>
    <xdr:to>
      <xdr:col>19</xdr:col>
      <xdr:colOff>47625</xdr:colOff>
      <xdr:row>58</xdr:row>
      <xdr:rowOff>133350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304800</xdr:colOff>
      <xdr:row>58</xdr:row>
      <xdr:rowOff>190499</xdr:rowOff>
    </xdr:from>
    <xdr:to>
      <xdr:col>19</xdr:col>
      <xdr:colOff>95250</xdr:colOff>
      <xdr:row>74</xdr:row>
      <xdr:rowOff>152400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19</xdr:col>
      <xdr:colOff>0</xdr:colOff>
      <xdr:row>17</xdr:row>
      <xdr:rowOff>0</xdr:rowOff>
    </xdr:from>
    <xdr:to>
      <xdr:col>30</xdr:col>
      <xdr:colOff>560539</xdr:colOff>
      <xdr:row>40</xdr:row>
      <xdr:rowOff>180394</xdr:rowOff>
    </xdr:to>
    <xdr:pic>
      <xdr:nvPicPr>
        <xdr:cNvPr id="4" name="Picture 3"/>
        <xdr:cNvPicPr>
          <a:picLocks noChangeAspect="1"/>
        </xdr:cNvPicPr>
      </xdr:nvPicPr>
      <xdr:blipFill>
        <a:blip xmlns:r="http://schemas.openxmlformats.org/officeDocument/2006/relationships" r:embed="rId3"/>
        <a:stretch>
          <a:fillRect/>
        </a:stretch>
      </xdr:blipFill>
      <xdr:spPr>
        <a:xfrm>
          <a:off x="12134850" y="3238500"/>
          <a:ext cx="11485714" cy="4647619"/>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xdr:twoCellAnchor editAs="oneCell">
    <xdr:from>
      <xdr:col>14</xdr:col>
      <xdr:colOff>0</xdr:colOff>
      <xdr:row>12</xdr:row>
      <xdr:rowOff>0</xdr:rowOff>
    </xdr:from>
    <xdr:to>
      <xdr:col>14</xdr:col>
      <xdr:colOff>9525</xdr:colOff>
      <xdr:row>12</xdr:row>
      <xdr:rowOff>9525</xdr:rowOff>
    </xdr:to>
    <xdr:pic>
      <xdr:nvPicPr>
        <xdr:cNvPr id="31" name="Picture 30" descr="https://secure-gl.imrworldwide.com/cgi-bin/m?ci=nlsnapi29032&amp;am=4&amp;ep=1&amp;at=view&amp;rt=banner&amp;st=image&amp;ca=moat_tsci_1RQwM&amp;cr=crv1940182&amp;pc=b-8791-m.motortrend.com&amp;r=150440289322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086850" y="5334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12</xdr:row>
      <xdr:rowOff>0</xdr:rowOff>
    </xdr:from>
    <xdr:to>
      <xdr:col>14</xdr:col>
      <xdr:colOff>9525</xdr:colOff>
      <xdr:row>12</xdr:row>
      <xdr:rowOff>9525</xdr:rowOff>
    </xdr:to>
    <xdr:sp macro="" textlink="">
      <xdr:nvSpPr>
        <xdr:cNvPr id="19486" name="AutoShape 30" descr="https://d.adroll.com/cm/aol/out"/>
        <xdr:cNvSpPr>
          <a:spLocks noChangeAspect="1" noChangeArrowheads="1"/>
        </xdr:cNvSpPr>
      </xdr:nvSpPr>
      <xdr:spPr bwMode="auto">
        <a:xfrm>
          <a:off x="90868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19050</xdr:colOff>
      <xdr:row>12</xdr:row>
      <xdr:rowOff>0</xdr:rowOff>
    </xdr:from>
    <xdr:to>
      <xdr:col>14</xdr:col>
      <xdr:colOff>28575</xdr:colOff>
      <xdr:row>12</xdr:row>
      <xdr:rowOff>9525</xdr:rowOff>
    </xdr:to>
    <xdr:pic>
      <xdr:nvPicPr>
        <xdr:cNvPr id="33" name="Picture 32" descr="https://d.adroll.com/cm/index/out"/>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10590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4" name="Picture 33" descr="https://d.adroll.com/cm/n/out"/>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912495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sp macro="" textlink="">
      <xdr:nvSpPr>
        <xdr:cNvPr id="19489" name="AutoShape 33" descr="https://d.adroll.com/cm/pubmatic/out"/>
        <xdr:cNvSpPr>
          <a:spLocks noChangeAspect="1" noChangeArrowheads="1"/>
        </xdr:cNvSpPr>
      </xdr:nvSpPr>
      <xdr:spPr bwMode="auto">
        <a:xfrm>
          <a:off x="914400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76200</xdr:colOff>
      <xdr:row>12</xdr:row>
      <xdr:rowOff>0</xdr:rowOff>
    </xdr:from>
    <xdr:to>
      <xdr:col>14</xdr:col>
      <xdr:colOff>85725</xdr:colOff>
      <xdr:row>12</xdr:row>
      <xdr:rowOff>9525</xdr:rowOff>
    </xdr:to>
    <xdr:sp macro="" textlink="">
      <xdr:nvSpPr>
        <xdr:cNvPr id="19490" name="AutoShape 34" descr="https://d.adroll.com/cm/taboola/out"/>
        <xdr:cNvSpPr>
          <a:spLocks noChangeAspect="1" noChangeArrowheads="1"/>
        </xdr:cNvSpPr>
      </xdr:nvSpPr>
      <xdr:spPr bwMode="auto">
        <a:xfrm>
          <a:off x="91630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12</xdr:row>
      <xdr:rowOff>0</xdr:rowOff>
    </xdr:from>
    <xdr:to>
      <xdr:col>14</xdr:col>
      <xdr:colOff>9525</xdr:colOff>
      <xdr:row>12</xdr:row>
      <xdr:rowOff>9525</xdr:rowOff>
    </xdr:to>
    <xdr:pic>
      <xdr:nvPicPr>
        <xdr:cNvPr id="37" name="Picture 36" descr="https://d.adroll.com/cm/r/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0868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19050</xdr:colOff>
      <xdr:row>12</xdr:row>
      <xdr:rowOff>0</xdr:rowOff>
    </xdr:from>
    <xdr:to>
      <xdr:col>14</xdr:col>
      <xdr:colOff>28575</xdr:colOff>
      <xdr:row>12</xdr:row>
      <xdr:rowOff>9525</xdr:rowOff>
    </xdr:to>
    <xdr:pic>
      <xdr:nvPicPr>
        <xdr:cNvPr id="38" name="Picture 37" descr="https://d.adroll.com/cm/f/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1059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9" name="Picture 38" descr="https://d.adroll.com/cm/b/out"/>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1249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pic>
      <xdr:nvPicPr>
        <xdr:cNvPr id="40" name="Picture 39" descr="https://d.adroll.com/cm/w/out"/>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91440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76200</xdr:colOff>
      <xdr:row>12</xdr:row>
      <xdr:rowOff>0</xdr:rowOff>
    </xdr:from>
    <xdr:to>
      <xdr:col>14</xdr:col>
      <xdr:colOff>85725</xdr:colOff>
      <xdr:row>12</xdr:row>
      <xdr:rowOff>9525</xdr:rowOff>
    </xdr:to>
    <xdr:pic>
      <xdr:nvPicPr>
        <xdr:cNvPr id="41" name="Picture 40" descr="https://d.adroll.com/cm/x/out"/>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91630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95250</xdr:colOff>
      <xdr:row>12</xdr:row>
      <xdr:rowOff>0</xdr:rowOff>
    </xdr:from>
    <xdr:to>
      <xdr:col>14</xdr:col>
      <xdr:colOff>104775</xdr:colOff>
      <xdr:row>12</xdr:row>
      <xdr:rowOff>9525</xdr:rowOff>
    </xdr:to>
    <xdr:pic>
      <xdr:nvPicPr>
        <xdr:cNvPr id="42" name="Picture 41" descr="https://d.adroll.com/cm/l/out"/>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91821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114300</xdr:colOff>
      <xdr:row>12</xdr:row>
      <xdr:rowOff>0</xdr:rowOff>
    </xdr:from>
    <xdr:to>
      <xdr:col>14</xdr:col>
      <xdr:colOff>123825</xdr:colOff>
      <xdr:row>12</xdr:row>
      <xdr:rowOff>9525</xdr:rowOff>
    </xdr:to>
    <xdr:pic>
      <xdr:nvPicPr>
        <xdr:cNvPr id="43" name="Picture 42" descr="https://d.adroll.com/cm/o/out"/>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92011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133350</xdr:colOff>
      <xdr:row>12</xdr:row>
      <xdr:rowOff>0</xdr:rowOff>
    </xdr:from>
    <xdr:to>
      <xdr:col>14</xdr:col>
      <xdr:colOff>142875</xdr:colOff>
      <xdr:row>12</xdr:row>
      <xdr:rowOff>9525</xdr:rowOff>
    </xdr:to>
    <xdr:pic>
      <xdr:nvPicPr>
        <xdr:cNvPr id="44" name="Picture 43" descr="https://d.adroll.com/cm/g/out?google_nid=adroll5"/>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2202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504824</xdr:colOff>
      <xdr:row>77</xdr:row>
      <xdr:rowOff>33338</xdr:rowOff>
    </xdr:from>
    <xdr:to>
      <xdr:col>20</xdr:col>
      <xdr:colOff>238125</xdr:colOff>
      <xdr:row>94</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12</xdr:col>
      <xdr:colOff>400051</xdr:colOff>
      <xdr:row>95</xdr:row>
      <xdr:rowOff>114301</xdr:rowOff>
    </xdr:from>
    <xdr:to>
      <xdr:col>20</xdr:col>
      <xdr:colOff>238125</xdr:colOff>
      <xdr:row>111</xdr:row>
      <xdr:rowOff>38101</xdr:rowOff>
    </xdr:to>
    <xdr:graphicFrame macro="">
      <xdr:nvGraphicFramePr>
        <xdr:cNvPr id="18" name="Chart 1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27.xml><?xml version="1.0" encoding="utf-8"?>
<xdr:wsDr xmlns:xdr="http://schemas.openxmlformats.org/drawingml/2006/spreadsheetDrawing" xmlns:a="http://schemas.openxmlformats.org/drawingml/2006/main">
  <xdr:twoCellAnchor>
    <xdr:from>
      <xdr:col>14</xdr:col>
      <xdr:colOff>171449</xdr:colOff>
      <xdr:row>37</xdr:row>
      <xdr:rowOff>76199</xdr:rowOff>
    </xdr:from>
    <xdr:to>
      <xdr:col>20</xdr:col>
      <xdr:colOff>904875</xdr:colOff>
      <xdr:row>53</xdr:row>
      <xdr:rowOff>47625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238125</xdr:colOff>
      <xdr:row>54</xdr:row>
      <xdr:rowOff>152400</xdr:rowOff>
    </xdr:from>
    <xdr:to>
      <xdr:col>20</xdr:col>
      <xdr:colOff>881064</xdr:colOff>
      <xdr:row>69</xdr:row>
      <xdr:rowOff>114300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13</xdr:col>
      <xdr:colOff>209550</xdr:colOff>
      <xdr:row>13</xdr:row>
      <xdr:rowOff>152399</xdr:rowOff>
    </xdr:from>
    <xdr:to>
      <xdr:col>21</xdr:col>
      <xdr:colOff>628650</xdr:colOff>
      <xdr:row>38</xdr:row>
      <xdr:rowOff>180975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12</xdr:col>
      <xdr:colOff>104969</xdr:colOff>
      <xdr:row>74</xdr:row>
      <xdr:rowOff>159204</xdr:rowOff>
    </xdr:from>
    <xdr:to>
      <xdr:col>21</xdr:col>
      <xdr:colOff>1302398</xdr:colOff>
      <xdr:row>89</xdr:row>
      <xdr:rowOff>145791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155511</xdr:colOff>
      <xdr:row>90</xdr:row>
      <xdr:rowOff>38878</xdr:rowOff>
    </xdr:from>
    <xdr:to>
      <xdr:col>21</xdr:col>
      <xdr:colOff>1352940</xdr:colOff>
      <xdr:row>105</xdr:row>
      <xdr:rowOff>25465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0.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362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12" name="Picture 1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9335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3080" name="AutoShape 8" descr="Image result for marathon oil logo"/>
        <xdr:cNvSpPr>
          <a:spLocks noChangeAspect="1" noChangeArrowheads="1"/>
        </xdr:cNvSpPr>
      </xdr:nvSpPr>
      <xdr:spPr bwMode="auto">
        <a:xfrm>
          <a:off x="7410450" y="1933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xdr:from>
      <xdr:col>12</xdr:col>
      <xdr:colOff>38099</xdr:colOff>
      <xdr:row>63</xdr:row>
      <xdr:rowOff>76200</xdr:rowOff>
    </xdr:from>
    <xdr:to>
      <xdr:col>19</xdr:col>
      <xdr:colOff>704849</xdr:colOff>
      <xdr:row>90</xdr:row>
      <xdr:rowOff>57150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21</xdr:col>
      <xdr:colOff>0</xdr:colOff>
      <xdr:row>50</xdr:row>
      <xdr:rowOff>0</xdr:rowOff>
    </xdr:from>
    <xdr:to>
      <xdr:col>23</xdr:col>
      <xdr:colOff>513055</xdr:colOff>
      <xdr:row>83</xdr:row>
      <xdr:rowOff>8738</xdr:rowOff>
    </xdr:to>
    <xdr:pic>
      <xdr:nvPicPr>
        <xdr:cNvPr id="3" name="Picture 2"/>
        <xdr:cNvPicPr>
          <a:picLocks noChangeAspect="1"/>
        </xdr:cNvPicPr>
      </xdr:nvPicPr>
      <xdr:blipFill>
        <a:blip xmlns:r="http://schemas.openxmlformats.org/officeDocument/2006/relationships" r:embed="rId3"/>
        <a:stretch>
          <a:fillRect/>
        </a:stretch>
      </xdr:blipFill>
      <xdr:spPr>
        <a:xfrm>
          <a:off x="15973425" y="8839200"/>
          <a:ext cx="10361905" cy="6295238"/>
        </a:xfrm>
        <a:prstGeom prst="rect">
          <a:avLst/>
        </a:prstGeom>
      </xdr:spPr>
    </xdr:pic>
    <xdr:clientData/>
  </xdr:twoCellAnchor>
  <xdr:twoCellAnchor>
    <xdr:from>
      <xdr:col>11</xdr:col>
      <xdr:colOff>628649</xdr:colOff>
      <xdr:row>91</xdr:row>
      <xdr:rowOff>33336</xdr:rowOff>
    </xdr:from>
    <xdr:to>
      <xdr:col>19</xdr:col>
      <xdr:colOff>638174</xdr:colOff>
      <xdr:row>107</xdr:row>
      <xdr:rowOff>76199</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21</xdr:col>
      <xdr:colOff>0</xdr:colOff>
      <xdr:row>99</xdr:row>
      <xdr:rowOff>152399</xdr:rowOff>
    </xdr:from>
    <xdr:to>
      <xdr:col>21</xdr:col>
      <xdr:colOff>8978563</xdr:colOff>
      <xdr:row>123</xdr:row>
      <xdr:rowOff>19050</xdr:rowOff>
    </xdr:to>
    <xdr:pic>
      <xdr:nvPicPr>
        <xdr:cNvPr id="6" name="Picture 5"/>
        <xdr:cNvPicPr>
          <a:picLocks noChangeAspect="1"/>
        </xdr:cNvPicPr>
      </xdr:nvPicPr>
      <xdr:blipFill>
        <a:blip xmlns:r="http://schemas.openxmlformats.org/officeDocument/2006/relationships" r:embed="rId5"/>
        <a:stretch>
          <a:fillRect/>
        </a:stretch>
      </xdr:blipFill>
      <xdr:spPr>
        <a:xfrm>
          <a:off x="15640050" y="18326099"/>
          <a:ext cx="8978563" cy="4438651"/>
        </a:xfrm>
        <a:prstGeom prst="rect">
          <a:avLst/>
        </a:prstGeom>
      </xdr:spPr>
    </xdr:pic>
    <xdr:clientData/>
  </xdr:twoCellAnchor>
</xdr:wsDr>
</file>

<file path=xl/drawings/drawing31.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92202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2.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3.xml><?xml version="1.0" encoding="utf-8"?>
<xdr:wsDr xmlns:xdr="http://schemas.openxmlformats.org/drawingml/2006/spreadsheetDrawing" xmlns:a="http://schemas.openxmlformats.org/drawingml/2006/main">
  <xdr:twoCellAnchor>
    <xdr:from>
      <xdr:col>14</xdr:col>
      <xdr:colOff>28574</xdr:colOff>
      <xdr:row>16</xdr:row>
      <xdr:rowOff>123824</xdr:rowOff>
    </xdr:from>
    <xdr:to>
      <xdr:col>20</xdr:col>
      <xdr:colOff>971550</xdr:colOff>
      <xdr:row>37</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4.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5.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6.xml><?xml version="1.0" encoding="utf-8"?>
<xdr:wsDr xmlns:xdr="http://schemas.openxmlformats.org/drawingml/2006/spreadsheetDrawing" xmlns:a="http://schemas.openxmlformats.org/drawingml/2006/main">
  <xdr:twoCellAnchor>
    <xdr:from>
      <xdr:col>14</xdr:col>
      <xdr:colOff>9525</xdr:colOff>
      <xdr:row>12</xdr:row>
      <xdr:rowOff>66675</xdr:rowOff>
    </xdr:from>
    <xdr:to>
      <xdr:col>20</xdr:col>
      <xdr:colOff>990600</xdr:colOff>
      <xdr:row>34</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7.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247651</xdr:colOff>
      <xdr:row>40</xdr:row>
      <xdr:rowOff>38100</xdr:rowOff>
    </xdr:from>
    <xdr:to>
      <xdr:col>19</xdr:col>
      <xdr:colOff>638176</xdr:colOff>
      <xdr:row>60</xdr:row>
      <xdr:rowOff>76200</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228600</xdr:colOff>
      <xdr:row>60</xdr:row>
      <xdr:rowOff>180975</xdr:rowOff>
    </xdr:from>
    <xdr:to>
      <xdr:col>19</xdr:col>
      <xdr:colOff>619125</xdr:colOff>
      <xdr:row>81</xdr:row>
      <xdr:rowOff>28575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38.xml><?xml version="1.0" encoding="utf-8"?>
<xdr:wsDr xmlns:xdr="http://schemas.openxmlformats.org/drawingml/2006/spreadsheetDrawing" xmlns:a="http://schemas.openxmlformats.org/drawingml/2006/main">
  <xdr:twoCellAnchor>
    <xdr:from>
      <xdr:col>12</xdr:col>
      <xdr:colOff>276224</xdr:colOff>
      <xdr:row>39</xdr:row>
      <xdr:rowOff>23812</xdr:rowOff>
    </xdr:from>
    <xdr:to>
      <xdr:col>18</xdr:col>
      <xdr:colOff>2381250</xdr:colOff>
      <xdr:row>63</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257175</xdr:colOff>
      <xdr:row>64</xdr:row>
      <xdr:rowOff>66675</xdr:rowOff>
    </xdr:from>
    <xdr:to>
      <xdr:col>19</xdr:col>
      <xdr:colOff>85725</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9.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0.xml><?xml version="1.0" encoding="utf-8"?>
<xdr:wsDr xmlns:xdr="http://schemas.openxmlformats.org/drawingml/2006/spreadsheetDrawing" xmlns:a="http://schemas.openxmlformats.org/drawingml/2006/main">
  <xdr:twoCellAnchor>
    <xdr:from>
      <xdr:col>13</xdr:col>
      <xdr:colOff>609599</xdr:colOff>
      <xdr:row>15</xdr:row>
      <xdr:rowOff>23811</xdr:rowOff>
    </xdr:from>
    <xdr:to>
      <xdr:col>21</xdr:col>
      <xdr:colOff>542924</xdr:colOff>
      <xdr:row>32</xdr:row>
      <xdr:rowOff>142874</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1.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886825"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42.xml><?xml version="1.0" encoding="utf-8"?>
<xdr:wsDr xmlns:xdr="http://schemas.openxmlformats.org/drawingml/2006/spreadsheetDrawing" xmlns:a="http://schemas.openxmlformats.org/drawingml/2006/main">
  <xdr:twoCellAnchor>
    <xdr:from>
      <xdr:col>13</xdr:col>
      <xdr:colOff>590550</xdr:colOff>
      <xdr:row>16</xdr:row>
      <xdr:rowOff>33337</xdr:rowOff>
    </xdr:from>
    <xdr:to>
      <xdr:col>21</xdr:col>
      <xdr:colOff>19050</xdr:colOff>
      <xdr:row>37</xdr:row>
      <xdr:rowOff>142875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3.xml><?xml version="1.0" encoding="utf-8"?>
<xdr:wsDr xmlns:xdr="http://schemas.openxmlformats.org/drawingml/2006/spreadsheetDrawing" xmlns:a="http://schemas.openxmlformats.org/drawingml/2006/main">
  <xdr:twoCellAnchor>
    <xdr:from>
      <xdr:col>12</xdr:col>
      <xdr:colOff>542925</xdr:colOff>
      <xdr:row>48</xdr:row>
      <xdr:rowOff>4762</xdr:rowOff>
    </xdr:from>
    <xdr:to>
      <xdr:col>19</xdr:col>
      <xdr:colOff>619125</xdr:colOff>
      <xdr:row>62</xdr:row>
      <xdr:rowOff>80962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19050</xdr:colOff>
      <xdr:row>63</xdr:row>
      <xdr:rowOff>104775</xdr:rowOff>
    </xdr:from>
    <xdr:to>
      <xdr:col>19</xdr:col>
      <xdr:colOff>704850</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4.xml><?xml version="1.0" encoding="utf-8"?>
<xdr:wsDr xmlns:xdr="http://schemas.openxmlformats.org/drawingml/2006/spreadsheetDrawing" xmlns:a="http://schemas.openxmlformats.org/drawingml/2006/main">
  <xdr:twoCellAnchor>
    <xdr:from>
      <xdr:col>13</xdr:col>
      <xdr:colOff>471487</xdr:colOff>
      <xdr:row>39</xdr:row>
      <xdr:rowOff>76201</xdr:rowOff>
    </xdr:from>
    <xdr:to>
      <xdr:col>20</xdr:col>
      <xdr:colOff>1028700</xdr:colOff>
      <xdr:row>54</xdr:row>
      <xdr:rowOff>133351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476251</xdr:colOff>
      <xdr:row>54</xdr:row>
      <xdr:rowOff>123826</xdr:rowOff>
    </xdr:from>
    <xdr:to>
      <xdr:col>20</xdr:col>
      <xdr:colOff>1066801</xdr:colOff>
      <xdr:row>67</xdr:row>
      <xdr:rowOff>180976</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5.xml><?xml version="1.0" encoding="utf-8"?>
<xdr:wsDr xmlns:xdr="http://schemas.openxmlformats.org/drawingml/2006/spreadsheetDrawing" xmlns:a="http://schemas.openxmlformats.org/drawingml/2006/main">
  <xdr:twoCellAnchor>
    <xdr:from>
      <xdr:col>14</xdr:col>
      <xdr:colOff>9524</xdr:colOff>
      <xdr:row>14</xdr:row>
      <xdr:rowOff>157162</xdr:rowOff>
    </xdr:from>
    <xdr:to>
      <xdr:col>20</xdr:col>
      <xdr:colOff>2457449</xdr:colOff>
      <xdr:row>37</xdr:row>
      <xdr:rowOff>19050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3335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90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14</xdr:col>
      <xdr:colOff>42862</xdr:colOff>
      <xdr:row>37</xdr:row>
      <xdr:rowOff>38100</xdr:rowOff>
    </xdr:from>
    <xdr:to>
      <xdr:col>20</xdr:col>
      <xdr:colOff>604837</xdr:colOff>
      <xdr:row>51</xdr:row>
      <xdr:rowOff>114300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76200</xdr:colOff>
      <xdr:row>51</xdr:row>
      <xdr:rowOff>171450</xdr:rowOff>
    </xdr:from>
    <xdr:to>
      <xdr:col>20</xdr:col>
      <xdr:colOff>638175</xdr:colOff>
      <xdr:row>66</xdr:row>
      <xdr:rowOff>57150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7.xml><?xml version="1.0" encoding="utf-8"?>
<xdr:wsDr xmlns:xdr="http://schemas.openxmlformats.org/drawingml/2006/spreadsheetDrawing" xmlns:a="http://schemas.openxmlformats.org/drawingml/2006/main">
  <xdr:twoCellAnchor>
    <xdr:from>
      <xdr:col>12</xdr:col>
      <xdr:colOff>385762</xdr:colOff>
      <xdr:row>45</xdr:row>
      <xdr:rowOff>147637</xdr:rowOff>
    </xdr:from>
    <xdr:to>
      <xdr:col>19</xdr:col>
      <xdr:colOff>347662</xdr:colOff>
      <xdr:row>60</xdr:row>
      <xdr:rowOff>33337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304800</xdr:colOff>
      <xdr:row>61</xdr:row>
      <xdr:rowOff>19050</xdr:rowOff>
    </xdr:from>
    <xdr:to>
      <xdr:col>19</xdr:col>
      <xdr:colOff>266700</xdr:colOff>
      <xdr:row>75</xdr:row>
      <xdr:rowOff>95250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8.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9.xml><?xml version="1.0" encoding="utf-8"?>
<xdr:wsDr xmlns:xdr="http://schemas.openxmlformats.org/drawingml/2006/spreadsheetDrawing" xmlns:a="http://schemas.openxmlformats.org/drawingml/2006/main">
  <xdr:twoCellAnchor>
    <xdr:from>
      <xdr:col>14</xdr:col>
      <xdr:colOff>4761</xdr:colOff>
      <xdr:row>16</xdr:row>
      <xdr:rowOff>176212</xdr:rowOff>
    </xdr:from>
    <xdr:to>
      <xdr:col>20</xdr:col>
      <xdr:colOff>2343149</xdr:colOff>
      <xdr:row>38</xdr:row>
      <xdr:rowOff>152400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0.xml><?xml version="1.0" encoding="utf-8"?>
<xdr:wsDr xmlns:xdr="http://schemas.openxmlformats.org/drawingml/2006/spreadsheetDrawing" xmlns:a="http://schemas.openxmlformats.org/drawingml/2006/main">
  <xdr:twoCellAnchor>
    <xdr:from>
      <xdr:col>13</xdr:col>
      <xdr:colOff>100012</xdr:colOff>
      <xdr:row>43</xdr:row>
      <xdr:rowOff>76199</xdr:rowOff>
    </xdr:from>
    <xdr:to>
      <xdr:col>19</xdr:col>
      <xdr:colOff>681037</xdr:colOff>
      <xdr:row>64</xdr:row>
      <xdr:rowOff>66674</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295275</xdr:colOff>
      <xdr:row>64</xdr:row>
      <xdr:rowOff>114300</xdr:rowOff>
    </xdr:from>
    <xdr:to>
      <xdr:col>19</xdr:col>
      <xdr:colOff>876300</xdr:colOff>
      <xdr:row>85</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1.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5"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2.xml><?xml version="1.0" encoding="utf-8"?>
<xdr:wsDr xmlns:xdr="http://schemas.openxmlformats.org/drawingml/2006/spreadsheetDrawing" xmlns:a="http://schemas.openxmlformats.org/drawingml/2006/main">
  <xdr:twoCellAnchor>
    <xdr:from>
      <xdr:col>13</xdr:col>
      <xdr:colOff>157162</xdr:colOff>
      <xdr:row>37</xdr:row>
      <xdr:rowOff>133349</xdr:rowOff>
    </xdr:from>
    <xdr:to>
      <xdr:col>19</xdr:col>
      <xdr:colOff>352425</xdr:colOff>
      <xdr:row>53</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152400</xdr:colOff>
      <xdr:row>53</xdr:row>
      <xdr:rowOff>161925</xdr:rowOff>
    </xdr:from>
    <xdr:to>
      <xdr:col>19</xdr:col>
      <xdr:colOff>390525</xdr:colOff>
      <xdr:row>66</xdr:row>
      <xdr:rowOff>57150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12</xdr:row>
      <xdr:rowOff>190499</xdr:rowOff>
    </xdr:from>
    <xdr:to>
      <xdr:col>27</xdr:col>
      <xdr:colOff>219074</xdr:colOff>
      <xdr:row>36</xdr:row>
      <xdr:rowOff>72211</xdr:rowOff>
    </xdr:to>
    <xdr:pic>
      <xdr:nvPicPr>
        <xdr:cNvPr id="4" name="Picture 3"/>
        <xdr:cNvPicPr>
          <a:picLocks noChangeAspect="1"/>
        </xdr:cNvPicPr>
      </xdr:nvPicPr>
      <xdr:blipFill>
        <a:blip xmlns:r="http://schemas.openxmlformats.org/officeDocument/2006/relationships" r:embed="rId3"/>
        <a:stretch>
          <a:fillRect/>
        </a:stretch>
      </xdr:blipFill>
      <xdr:spPr>
        <a:xfrm>
          <a:off x="13315950" y="2476499"/>
          <a:ext cx="7886699" cy="4539437"/>
        </a:xfrm>
        <a:prstGeom prst="rect">
          <a:avLst/>
        </a:prstGeom>
      </xdr:spPr>
    </xdr:pic>
    <xdr:clientData/>
  </xdr:twoCellAnchor>
</xdr:wsDr>
</file>

<file path=xl/drawings/drawing53.xml><?xml version="1.0" encoding="utf-8"?>
<xdr:wsDr xmlns:xdr="http://schemas.openxmlformats.org/drawingml/2006/spreadsheetDrawing" xmlns:a="http://schemas.openxmlformats.org/drawingml/2006/main">
  <xdr:twoCellAnchor editAs="oneCell">
    <xdr:from>
      <xdr:col>20</xdr:col>
      <xdr:colOff>0</xdr:colOff>
      <xdr:row>3</xdr:row>
      <xdr:rowOff>0</xdr:rowOff>
    </xdr:from>
    <xdr:to>
      <xdr:col>20</xdr:col>
      <xdr:colOff>4342857</xdr:colOff>
      <xdr:row>22</xdr:row>
      <xdr:rowOff>66204</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571500"/>
          <a:ext cx="4342857" cy="3771429"/>
        </a:xfrm>
        <a:prstGeom prst="rect">
          <a:avLst/>
        </a:prstGeom>
      </xdr:spPr>
    </xdr:pic>
    <xdr:clientData/>
  </xdr:twoCellAnchor>
</xdr:wsDr>
</file>

<file path=xl/drawings/drawing54.xml><?xml version="1.0" encoding="utf-8"?>
<xdr:wsDr xmlns:xdr="http://schemas.openxmlformats.org/drawingml/2006/spreadsheetDrawing" xmlns:a="http://schemas.openxmlformats.org/drawingml/2006/main">
  <xdr:twoCellAnchor>
    <xdr:from>
      <xdr:col>12</xdr:col>
      <xdr:colOff>285750</xdr:colOff>
      <xdr:row>38</xdr:row>
      <xdr:rowOff>90486</xdr:rowOff>
    </xdr:from>
    <xdr:to>
      <xdr:col>19</xdr:col>
      <xdr:colOff>600075</xdr:colOff>
      <xdr:row>55</xdr:row>
      <xdr:rowOff>57149</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295275</xdr:colOff>
      <xdr:row>56</xdr:row>
      <xdr:rowOff>0</xdr:rowOff>
    </xdr:from>
    <xdr:to>
      <xdr:col>19</xdr:col>
      <xdr:colOff>609600</xdr:colOff>
      <xdr:row>72</xdr:row>
      <xdr:rowOff>157163</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5.xml><?xml version="1.0" encoding="utf-8"?>
<xdr:wsDr xmlns:xdr="http://schemas.openxmlformats.org/drawingml/2006/spreadsheetDrawing" xmlns:a="http://schemas.openxmlformats.org/drawingml/2006/main">
  <xdr:twoCellAnchor>
    <xdr:from>
      <xdr:col>13</xdr:col>
      <xdr:colOff>604836</xdr:colOff>
      <xdr:row>14</xdr:row>
      <xdr:rowOff>119061</xdr:rowOff>
    </xdr:from>
    <xdr:to>
      <xdr:col>20</xdr:col>
      <xdr:colOff>2390774</xdr:colOff>
      <xdr:row>37</xdr:row>
      <xdr:rowOff>161924</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6.xml><?xml version="1.0" encoding="utf-8"?>
<xdr:wsDr xmlns:xdr="http://schemas.openxmlformats.org/drawingml/2006/spreadsheetDrawing" xmlns:a="http://schemas.openxmlformats.org/drawingml/2006/main">
  <xdr:twoCellAnchor>
    <xdr:from>
      <xdr:col>12</xdr:col>
      <xdr:colOff>485775</xdr:colOff>
      <xdr:row>40</xdr:row>
      <xdr:rowOff>133350</xdr:rowOff>
    </xdr:from>
    <xdr:to>
      <xdr:col>20</xdr:col>
      <xdr:colOff>533400</xdr:colOff>
      <xdr:row>61</xdr:row>
      <xdr:rowOff>85725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514350</xdr:colOff>
      <xdr:row>62</xdr:row>
      <xdr:rowOff>114300</xdr:rowOff>
    </xdr:from>
    <xdr:to>
      <xdr:col>20</xdr:col>
      <xdr:colOff>528638</xdr:colOff>
      <xdr:row>81</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7.xml><?xml version="1.0" encoding="utf-8"?>
<xdr:wsDr xmlns:xdr="http://schemas.openxmlformats.org/drawingml/2006/spreadsheetDrawing" xmlns:a="http://schemas.openxmlformats.org/drawingml/2006/main">
  <xdr:twoCellAnchor>
    <xdr:from>
      <xdr:col>14</xdr:col>
      <xdr:colOff>28575</xdr:colOff>
      <xdr:row>17</xdr:row>
      <xdr:rowOff>109537</xdr:rowOff>
    </xdr:from>
    <xdr:to>
      <xdr:col>20</xdr:col>
      <xdr:colOff>2162175</xdr:colOff>
      <xdr:row>38</xdr:row>
      <xdr:rowOff>142875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8.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8" name="Picture 7"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9.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queryTables/queryTable1.xml><?xml version="1.0" encoding="utf-8"?>
<queryTable xmlns="http://schemas.openxmlformats.org/spreadsheetml/2006/main" name="q?s=AXP" backgroundRefresh="0" connectionId="45"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hp?s=AXP+Historical+Prices" backgroundRefresh="0" adjustColumnWidth="0" connectionId="26"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q?s=dg" backgroundRefresh="0" connectionId="53"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hp?s=pinc" backgroundRefresh="0" adjustColumnWidth="0" connectionId="57"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q?s=pinc" backgroundRefresh="0" connectionId="58"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q?s=cce" backgroundRefresh="0" adjustColumnWidth="0" connectionId="6"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hp?s=AKAM+Historical+Prices" backgroundRefresh="0" adjustColumnWidth="0" connectionId="51"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q?s=BMY_1" backgroundRefresh="0" connectionId="3"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q?s=AKAM" backgroundRefresh="0" connectionId="52"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hp?s=KORS" backgroundRefresh="0" adjustColumnWidth="0" connectionId="25"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q?s=KORS" backgroundRefresh="0" adjustColumnWidth="0" connectionId="24"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q?s=aa&amp;ql=1" backgroundRefresh="0" connectionId="1"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hp?s=AA+Historical+Prices_1" backgroundRefresh="0" adjustColumnWidth="0" connectionId="2"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q?s=foxa" backgroundRefresh="0" connectionId="56"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hp?s=foxa" backgroundRefresh="0" adjustColumnWidth="0" connectionId="54"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q?s=F" backgroundRefresh="0" adjustColumnWidth="0" connectionId="43"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q?s=JNJ" backgroundRefresh="0" connectionId="61"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q?s=ew" backgroundRefresh="0" adjustColumnWidth="0" connectionId="4"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hp?s=ew+Historical+Prices" backgroundRefresh="0" adjustColumnWidth="0" connectionId="5"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q?s=GILD" backgroundRefresh="0" connectionId="21"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q?s=NKE" backgroundRefresh="0" connectionId="9"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hp?s=nke" backgroundRefresh="0" adjustColumnWidth="0" connectionId="10"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q?s=HES" backgroundRefresh="0" connectionId="50"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hp?s=HES" backgroundRefresh="0" adjustColumnWidth="0" connectionId="55"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hp?s=MYL" backgroundRefresh="0" adjustColumnWidth="0" connectionId="46"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q?s=MYL" backgroundRefresh="0" connectionId="47"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q?s=vgk" backgroundRefresh="0" connectionId="49"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hp?s=vgk" backgroundRefresh="0" connectionId="48"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hp?s=IP" backgroundRefresh="0" adjustColumnWidth="0" connectionId="39" autoFormatId="16" applyNumberFormats="0" applyBorderFormats="0" applyFontFormats="1" applyPatternFormats="1" applyAlignmentFormats="0" applyWidthHeightFormats="0"/>
</file>

<file path=xl/queryTables/queryTable30.xml><?xml version="1.0" encoding="utf-8"?>
<queryTable xmlns="http://schemas.openxmlformats.org/spreadsheetml/2006/main" name="q?s=IP" backgroundRefresh="0" connectionId="34" autoFormatId="16" applyNumberFormats="0" applyBorderFormats="0" applyFontFormats="1" applyPatternFormats="1" applyAlignmentFormats="0" applyWidthHeightFormats="0"/>
</file>

<file path=xl/queryTables/queryTable31.xml><?xml version="1.0" encoding="utf-8"?>
<queryTable xmlns="http://schemas.openxmlformats.org/spreadsheetml/2006/main" name="hp?s=INTC+Historical+Prices" backgroundRefresh="0" adjustColumnWidth="0" connectionId="18" autoFormatId="16" applyNumberFormats="0" applyBorderFormats="0" applyFontFormats="1" applyPatternFormats="1" applyAlignmentFormats="0" applyWidthHeightFormats="0"/>
</file>

<file path=xl/queryTables/queryTable32.xml><?xml version="1.0" encoding="utf-8"?>
<queryTable xmlns="http://schemas.openxmlformats.org/spreadsheetml/2006/main" name="q?s=INTC" backgroundRefresh="0" connectionId="11" autoFormatId="16" applyNumberFormats="0" applyBorderFormats="0" applyFontFormats="1" applyPatternFormats="1" applyAlignmentFormats="0" applyWidthHeightFormats="0"/>
</file>

<file path=xl/queryTables/queryTable33.xml><?xml version="1.0" encoding="utf-8"?>
<queryTable xmlns="http://schemas.openxmlformats.org/spreadsheetml/2006/main" name="q?s=NSC" backgroundRefresh="0" adjustColumnWidth="0" connectionId="8" autoFormatId="16" applyNumberFormats="0" applyBorderFormats="0" applyFontFormats="1" applyPatternFormats="1" applyAlignmentFormats="0" applyWidthHeightFormats="0"/>
</file>

<file path=xl/queryTables/queryTable34.xml><?xml version="1.0" encoding="utf-8"?>
<queryTable xmlns="http://schemas.openxmlformats.org/spreadsheetml/2006/main" name="hp?s=nclh" backgroundRefresh="0" adjustColumnWidth="0" connectionId="59" autoFormatId="16" applyNumberFormats="0" applyBorderFormats="0" applyFontFormats="1" applyPatternFormats="1" applyAlignmentFormats="0" applyWidthHeightFormats="0"/>
</file>

<file path=xl/queryTables/queryTable35.xml><?xml version="1.0" encoding="utf-8"?>
<queryTable xmlns="http://schemas.openxmlformats.org/spreadsheetml/2006/main" name="q?s=nclh" backgroundRefresh="0" connectionId="60" autoFormatId="16" applyNumberFormats="0" applyBorderFormats="0" applyFontFormats="1" applyPatternFormats="1" applyAlignmentFormats="0" applyWidthHeightFormats="0"/>
</file>

<file path=xl/queryTables/queryTable36.xml><?xml version="1.0" encoding="utf-8"?>
<queryTable xmlns="http://schemas.openxmlformats.org/spreadsheetml/2006/main" name="q?s=SWKS" backgroundRefresh="0" connectionId="42" autoFormatId="16" applyNumberFormats="0" applyBorderFormats="0" applyFontFormats="1" applyPatternFormats="1" applyAlignmentFormats="0" applyWidthHeightFormats="0"/>
</file>

<file path=xl/queryTables/queryTable37.xml><?xml version="1.0" encoding="utf-8"?>
<queryTable xmlns="http://schemas.openxmlformats.org/spreadsheetml/2006/main" name="hp?s=SWKS" backgroundRefresh="0" adjustColumnWidth="0" connectionId="41" autoFormatId="16" applyNumberFormats="0" applyBorderFormats="0" applyFontFormats="1" applyPatternFormats="1" applyAlignmentFormats="0" applyWidthHeightFormats="0"/>
</file>

<file path=xl/queryTables/queryTable38.xml><?xml version="1.0" encoding="utf-8"?>
<queryTable xmlns="http://schemas.openxmlformats.org/spreadsheetml/2006/main" name="q?s=CNI" backgroundRefresh="0" adjustColumnWidth="0" connectionId="36" autoFormatId="16" applyNumberFormats="0" applyBorderFormats="0" applyFontFormats="1" applyPatternFormats="1" applyAlignmentFormats="0" applyWidthHeightFormats="0"/>
</file>

<file path=xl/queryTables/queryTable39.xml><?xml version="1.0" encoding="utf-8"?>
<queryTable xmlns="http://schemas.openxmlformats.org/spreadsheetml/2006/main" name="hp?s=CNI" backgroundRefresh="0" adjustColumnWidth="0" connectionId="37" autoFormatId="16" applyNumberFormats="0" applyBorderFormats="0" applyFontFormats="1" applyPatternFormats="1" applyAlignmentFormats="0" applyWidthHeightFormats="0"/>
</file>

<file path=xl/queryTables/queryTable40.xml><?xml version="1.0" encoding="utf-8"?>
<queryTable xmlns="http://schemas.openxmlformats.org/spreadsheetml/2006/main" name="q?s=CF" backgroundRefresh="0" connectionId="27" autoFormatId="16" applyNumberFormats="0" applyBorderFormats="0" applyFontFormats="1" applyPatternFormats="1" applyAlignmentFormats="0" applyWidthHeightFormats="0"/>
</file>

<file path=xl/queryTables/queryTable41.xml><?xml version="1.0" encoding="utf-8"?>
<queryTable xmlns="http://schemas.openxmlformats.org/spreadsheetml/2006/main" name="q?s=tgt" backgroundRefresh="0" adjustColumnWidth="0" connectionId="7" autoFormatId="16" applyNumberFormats="0" applyBorderFormats="0" applyFontFormats="1" applyPatternFormats="1" applyAlignmentFormats="0" applyWidthHeightFormats="0"/>
</file>

<file path=xl/queryTables/queryTable42.xml><?xml version="1.0" encoding="utf-8"?>
<queryTable xmlns="http://schemas.openxmlformats.org/spreadsheetml/2006/main" name="q?s=ALL" backgroundRefresh="0" connectionId="40" autoFormatId="16" applyNumberFormats="0" applyBorderFormats="0" applyFontFormats="1" applyPatternFormats="1" applyAlignmentFormats="0" applyWidthHeightFormats="0"/>
</file>

<file path=xl/queryTables/queryTable43.xml><?xml version="1.0" encoding="utf-8"?>
<queryTable xmlns="http://schemas.openxmlformats.org/spreadsheetml/2006/main" name="hp?s=ALL+Historical+Prices" backgroundRefresh="0" adjustColumnWidth="0" connectionId="44" autoFormatId="16" applyNumberFormats="0" applyBorderFormats="0" applyFontFormats="1" applyPatternFormats="1" applyAlignmentFormats="0" applyWidthHeightFormats="0"/>
</file>

<file path=xl/queryTables/queryTable44.xml><?xml version="1.0" encoding="utf-8"?>
<queryTable xmlns="http://schemas.openxmlformats.org/spreadsheetml/2006/main" name="hp?s=AVGO" backgroundRefresh="0" adjustColumnWidth="0" connectionId="17" autoFormatId="16" applyNumberFormats="0" applyBorderFormats="0" applyFontFormats="1" applyPatternFormats="1" applyAlignmentFormats="0" applyWidthHeightFormats="0"/>
</file>

<file path=xl/queryTables/queryTable45.xml><?xml version="1.0" encoding="utf-8"?>
<queryTable xmlns="http://schemas.openxmlformats.org/spreadsheetml/2006/main" name="q?s=AVGO" backgroundRefresh="0" adjustColumnWidth="0" connectionId="16" autoFormatId="16" applyNumberFormats="0" applyBorderFormats="0" applyFontFormats="1" applyPatternFormats="1" applyAlignmentFormats="0" applyWidthHeightFormats="0"/>
</file>

<file path=xl/queryTables/queryTable46.xml><?xml version="1.0" encoding="utf-8"?>
<queryTable xmlns="http://schemas.openxmlformats.org/spreadsheetml/2006/main" name="q?s=UAL" connectionId="15" autoFormatId="16" applyNumberFormats="0" applyBorderFormats="0" applyFontFormats="1" applyPatternFormats="1" applyAlignmentFormats="0" applyWidthHeightFormats="0"/>
</file>

<file path=xl/queryTables/queryTable47.xml><?xml version="1.0" encoding="utf-8"?>
<queryTable xmlns="http://schemas.openxmlformats.org/spreadsheetml/2006/main" name="hp?s=ual" backgroundRefresh="0" adjustColumnWidth="0" connectionId="14" autoFormatId="16" applyNumberFormats="0" applyBorderFormats="0" applyFontFormats="1" applyPatternFormats="1" applyAlignmentFormats="0" applyWidthHeightFormats="0"/>
</file>

<file path=xl/queryTables/queryTable48.xml><?xml version="1.0" encoding="utf-8"?>
<queryTable xmlns="http://schemas.openxmlformats.org/spreadsheetml/2006/main" name="hp?s=DIS" backgroundRefresh="0" adjustColumnWidth="0" connectionId="20" autoFormatId="16" applyNumberFormats="0" applyBorderFormats="0" applyFontFormats="1" applyPatternFormats="1" applyAlignmentFormats="0" applyWidthHeightFormats="0"/>
</file>

<file path=xl/queryTables/queryTable49.xml><?xml version="1.0" encoding="utf-8"?>
<queryTable xmlns="http://schemas.openxmlformats.org/spreadsheetml/2006/main" name="q?s=DIS" backgroundRefresh="0" adjustColumnWidth="0" connectionId="19" autoFormatId="16" applyNumberFormats="0" applyBorderFormats="0" applyFontFormats="1" applyPatternFormats="1" applyAlignmentFormats="0" applyWidthHeightFormats="0"/>
</file>

<file path=xl/queryTables/queryTable50.xml><?xml version="1.0" encoding="utf-8"?>
<queryTable xmlns="http://schemas.openxmlformats.org/spreadsheetml/2006/main" name="hp?s=UTX" backgroundRefresh="0" adjustColumnWidth="0" connectionId="31" autoFormatId="16" applyNumberFormats="0" applyBorderFormats="0" applyFontFormats="1" applyPatternFormats="1" applyAlignmentFormats="0" applyWidthHeightFormats="0"/>
</file>

<file path=xl/queryTables/queryTable51.xml><?xml version="1.0" encoding="utf-8"?>
<queryTable xmlns="http://schemas.openxmlformats.org/spreadsheetml/2006/main" name="q?s=UTX" backgroundRefresh="0" adjustColumnWidth="0" connectionId="30" autoFormatId="16" applyNumberFormats="0" applyBorderFormats="0" applyFontFormats="1" applyPatternFormats="1" applyAlignmentFormats="0" applyWidthHeightFormats="0"/>
</file>

<file path=xl/queryTables/queryTable52.xml><?xml version="1.0" encoding="utf-8"?>
<queryTable xmlns="http://schemas.openxmlformats.org/spreadsheetml/2006/main" name="hp?s=UNH" backgroundRefresh="0" adjustColumnWidth="0" connectionId="29" autoFormatId="16" applyNumberFormats="0" applyBorderFormats="0" applyFontFormats="1" applyPatternFormats="1" applyAlignmentFormats="0" applyWidthHeightFormats="0"/>
</file>

<file path=xl/queryTables/queryTable53.xml><?xml version="1.0" encoding="utf-8"?>
<queryTable xmlns="http://schemas.openxmlformats.org/spreadsheetml/2006/main" name="q?s=UNH" backgroundRefresh="0" adjustColumnWidth="0" connectionId="28" autoFormatId="16" applyNumberFormats="0" applyBorderFormats="0" applyFontFormats="1" applyPatternFormats="1" applyAlignmentFormats="0" applyWidthHeightFormats="0"/>
</file>

<file path=xl/queryTables/queryTable54.xml><?xml version="1.0" encoding="utf-8"?>
<queryTable xmlns="http://schemas.openxmlformats.org/spreadsheetml/2006/main" name="q?s=WWD" backgroundRefresh="0" adjustColumnWidth="0" connectionId="32" autoFormatId="16" applyNumberFormats="0" applyBorderFormats="0" applyFontFormats="1" applyPatternFormats="1" applyAlignmentFormats="0" applyWidthHeightFormats="0"/>
</file>

<file path=xl/queryTables/queryTable55.xml><?xml version="1.0" encoding="utf-8"?>
<queryTable xmlns="http://schemas.openxmlformats.org/spreadsheetml/2006/main" name="hp?s=WWD" backgroundRefresh="0" adjustColumnWidth="0" connectionId="33" autoFormatId="16" applyNumberFormats="0" applyBorderFormats="0" applyFontFormats="1" applyPatternFormats="1" applyAlignmentFormats="0" applyWidthHeightFormats="0"/>
</file>

<file path=xl/queryTables/queryTable56.xml><?xml version="1.0" encoding="utf-8"?>
<queryTable xmlns="http://schemas.openxmlformats.org/spreadsheetml/2006/main" name="q?s=GM" backgroundRefresh="0" connectionId="22" autoFormatId="16" applyNumberFormats="0" applyBorderFormats="0" applyFontFormats="1" applyPatternFormats="1" applyAlignmentFormats="0" applyWidthHeightFormats="0"/>
</file>

<file path=xl/queryTables/queryTable57.xml><?xml version="1.0" encoding="utf-8"?>
<queryTable xmlns="http://schemas.openxmlformats.org/spreadsheetml/2006/main" name="hp?s=GM" backgroundRefresh="0" adjustColumnWidth="0" connectionId="23" autoFormatId="16" applyNumberFormats="0" applyBorderFormats="0" applyFontFormats="1" applyPatternFormats="1" applyAlignmentFormats="0" applyWidthHeightFormats="0"/>
</file>

<file path=xl/queryTables/queryTable58.xml><?xml version="1.0" encoding="utf-8"?>
<queryTable xmlns="http://schemas.openxmlformats.org/spreadsheetml/2006/main" name="hp?s=tmo" backgroundRefresh="0" adjustColumnWidth="0" connectionId="35" autoFormatId="16" applyNumberFormats="0" applyBorderFormats="0" applyFontFormats="1" applyPatternFormats="1" applyAlignmentFormats="0" applyWidthHeightFormats="0"/>
</file>

<file path=xl/queryTables/queryTable59.xml><?xml version="1.0" encoding="utf-8"?>
<queryTable xmlns="http://schemas.openxmlformats.org/spreadsheetml/2006/main" name="q?s=tmo" backgroundRefresh="0" adjustColumnWidth="0" connectionId="38" autoFormatId="16" applyNumberFormats="0" applyBorderFormats="0" applyFontFormats="1" applyPatternFormats="1" applyAlignmentFormats="0" applyWidthHeightFormats="0"/>
</file>

<file path=xl/queryTables/queryTable60.xml><?xml version="1.0" encoding="utf-8"?>
<queryTable xmlns="http://schemas.openxmlformats.org/spreadsheetml/2006/main" name="q?s=TKR" backgroundRefresh="0" adjustColumnWidth="0" connectionId="12" autoFormatId="16" applyNumberFormats="0" applyBorderFormats="0" applyFontFormats="1" applyPatternFormats="1" applyAlignmentFormats="0" applyWidthHeightFormats="0"/>
</file>

<file path=xl/queryTables/queryTable61.xml><?xml version="1.0" encoding="utf-8"?>
<queryTable xmlns="http://schemas.openxmlformats.org/spreadsheetml/2006/main" name="hp?s=TKR" backgroundRefresh="0" adjustColumnWidth="0" connectionId="13" autoFormatId="16" applyNumberFormats="0" applyBorderFormats="0" applyFontFormats="1" applyPatternFormats="1" applyAlignmentFormats="0" applyWidthHeightFormats="0"/>
</file>

<file path=xl/tables/table1.xml><?xml version="1.0" encoding="utf-8"?>
<table xmlns="http://schemas.openxmlformats.org/spreadsheetml/2006/main" id="7" name="Table248" displayName="Table248" ref="O15:W26" totalsRowShown="0" headerRowDxfId="4216" dataDxfId="4215">
  <autoFilter ref="O15:W26"/>
  <tableColumns count="9">
    <tableColumn id="1" name="Date" dataDxfId="4214"/>
    <tableColumn id="2" name="Quarter" dataDxfId="4213"/>
    <tableColumn id="3" name="Time" dataDxfId="4212"/>
    <tableColumn id="4" name="EPS estimate" dataDxfId="4211"/>
    <tableColumn id="5" name="EPS Actual" dataDxfId="4210"/>
    <tableColumn id="6" name="Sales Estiamte (B)" dataDxfId="4209"/>
    <tableColumn id="7" name="Sales Actual (B)" dataDxfId="4208"/>
    <tableColumn id="8" name="Guidance" dataDxfId="4207"/>
    <tableColumn id="9" name="Reaction" dataDxfId="4206" dataCellStyle="Percent"/>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queryTable" Target="../queryTables/queryTable2.xml"/><Relationship Id="rId2" Type="http://schemas.openxmlformats.org/officeDocument/2006/relationships/queryTable" Target="../queryTables/queryTable1.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queryTable" Target="../queryTables/queryTable4.xml"/><Relationship Id="rId2" Type="http://schemas.openxmlformats.org/officeDocument/2006/relationships/drawing" Target="../drawings/drawing7.xml"/><Relationship Id="rId1" Type="http://schemas.openxmlformats.org/officeDocument/2006/relationships/printerSettings" Target="../printerSettings/printerSettings10.bin"/><Relationship Id="rId4" Type="http://schemas.openxmlformats.org/officeDocument/2006/relationships/queryTable" Target="../queryTables/queryTable5.xml"/></Relationships>
</file>

<file path=xl/worksheets/_rels/sheet11.xml.rels><?xml version="1.0" encoding="UTF-8" standalone="yes"?>
<Relationships xmlns="http://schemas.openxmlformats.org/package/2006/relationships"><Relationship Id="rId8" Type="http://schemas.openxmlformats.org/officeDocument/2006/relationships/hyperlink" Target="http://finance.yahoo.com/quote/VSTO?p=VSTO" TargetMode="External"/><Relationship Id="rId3" Type="http://schemas.openxmlformats.org/officeDocument/2006/relationships/hyperlink" Target="http://finance.yahoo.com/quote/CAB?p=CAB" TargetMode="External"/><Relationship Id="rId7" Type="http://schemas.openxmlformats.org/officeDocument/2006/relationships/hyperlink" Target="http://investors.vistaoutdoor.com/event" TargetMode="External"/><Relationship Id="rId2" Type="http://schemas.openxmlformats.org/officeDocument/2006/relationships/hyperlink" Target="https://www.fbi.gov/file-repository/nics_firearm_checks_-_month_year.pdf/view" TargetMode="External"/><Relationship Id="rId1" Type="http://schemas.openxmlformats.org/officeDocument/2006/relationships/hyperlink" Target="https://www.fbi.gov/file-repository/nics_firearm_checks_-_month_year.pdf/view" TargetMode="External"/><Relationship Id="rId6" Type="http://schemas.openxmlformats.org/officeDocument/2006/relationships/hyperlink" Target="http://www.ruger.com/corporate/news.html" TargetMode="External"/><Relationship Id="rId5" Type="http://schemas.openxmlformats.org/officeDocument/2006/relationships/hyperlink" Target="http://ir.aob.com/phoenix.zhtml?c=90977&amp;p=irol-investorHome" TargetMode="External"/><Relationship Id="rId4" Type="http://schemas.openxmlformats.org/officeDocument/2006/relationships/hyperlink" Target="http://finance.yahoo.com/quote/RGR/?p=RGR" TargetMode="External"/><Relationship Id="rId9"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queryTable" Target="../queryTables/queryTable8.xml"/><Relationship Id="rId2" Type="http://schemas.openxmlformats.org/officeDocument/2006/relationships/queryTable" Target="../queryTables/queryTable7.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3" Type="http://schemas.openxmlformats.org/officeDocument/2006/relationships/queryTable" Target="../queryTables/queryTable10.xml"/><Relationship Id="rId2" Type="http://schemas.openxmlformats.org/officeDocument/2006/relationships/drawing" Target="../drawings/drawing11.xml"/><Relationship Id="rId1" Type="http://schemas.openxmlformats.org/officeDocument/2006/relationships/printerSettings" Target="../printerSettings/printerSettings20.bin"/><Relationship Id="rId4" Type="http://schemas.openxmlformats.org/officeDocument/2006/relationships/queryTable" Target="../queryTables/queryTable11.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3" Type="http://schemas.openxmlformats.org/officeDocument/2006/relationships/queryTable" Target="../queryTables/queryTable12.xml"/><Relationship Id="rId2" Type="http://schemas.openxmlformats.org/officeDocument/2006/relationships/vmlDrawing" Target="../drawings/vmlDrawing2.vml"/><Relationship Id="rId1" Type="http://schemas.openxmlformats.org/officeDocument/2006/relationships/printerSettings" Target="../printerSettings/printerSettings22.bin"/><Relationship Id="rId5" Type="http://schemas.openxmlformats.org/officeDocument/2006/relationships/comments" Target="../comments2.xml"/><Relationship Id="rId4" Type="http://schemas.openxmlformats.org/officeDocument/2006/relationships/queryTable" Target="../queryTables/queryTable13.xm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3" Type="http://schemas.openxmlformats.org/officeDocument/2006/relationships/drawing" Target="../drawings/drawing14.xml"/><Relationship Id="rId2" Type="http://schemas.openxmlformats.org/officeDocument/2006/relationships/printerSettings" Target="../printerSettings/printerSettings33.bin"/><Relationship Id="rId1" Type="http://schemas.openxmlformats.org/officeDocument/2006/relationships/hyperlink" Target="https://en.wikipedia.org/wiki/21st_Century_Fox" TargetMode="External"/><Relationship Id="rId5" Type="http://schemas.openxmlformats.org/officeDocument/2006/relationships/queryTable" Target="../queryTables/queryTable15.xml"/><Relationship Id="rId4" Type="http://schemas.openxmlformats.org/officeDocument/2006/relationships/queryTable" Target="../queryTables/queryTable14.xml"/></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3" Type="http://schemas.openxmlformats.org/officeDocument/2006/relationships/drawing" Target="../drawings/drawing18.xml"/><Relationship Id="rId2" Type="http://schemas.openxmlformats.org/officeDocument/2006/relationships/printerSettings" Target="../printerSettings/printerSettings44.bin"/><Relationship Id="rId1" Type="http://schemas.openxmlformats.org/officeDocument/2006/relationships/hyperlink" Target="http://portfolios.morningstar.com/fund/holdings?t=XLP&amp;region=usa&amp;culture=en-US" TargetMode="External"/></Relationships>
</file>

<file path=xl/worksheets/_rels/sheet45.xml.rels><?xml version="1.0" encoding="UTF-8" standalone="yes"?>
<Relationships xmlns="http://schemas.openxmlformats.org/package/2006/relationships"><Relationship Id="rId2" Type="http://schemas.openxmlformats.org/officeDocument/2006/relationships/queryTable" Target="../queryTables/queryTable16.xml"/><Relationship Id="rId1" Type="http://schemas.openxmlformats.org/officeDocument/2006/relationships/printerSettings" Target="../printerSettings/printerSettings45.bin"/></Relationships>
</file>

<file path=xl/worksheets/_rels/sheet46.xml.rels><?xml version="1.0" encoding="UTF-8" standalone="yes"?>
<Relationships xmlns="http://schemas.openxmlformats.org/package/2006/relationships"><Relationship Id="rId2" Type="http://schemas.openxmlformats.org/officeDocument/2006/relationships/queryTable" Target="../queryTables/queryTable17.xml"/><Relationship Id="rId1" Type="http://schemas.openxmlformats.org/officeDocument/2006/relationships/printerSettings" Target="../printerSettings/printerSettings46.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47.bin"/></Relationships>
</file>

<file path=xl/worksheets/_rels/sheet48.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48.bin"/></Relationships>
</file>

<file path=xl/worksheets/_rels/sheet49.xml.rels><?xml version="1.0" encoding="UTF-8" standalone="yes"?>
<Relationships xmlns="http://schemas.openxmlformats.org/package/2006/relationships"><Relationship Id="rId1" Type="http://schemas.openxmlformats.org/officeDocument/2006/relationships/printerSettings" Target="../printerSettings/printerSettings49.bin"/></Relationships>
</file>

<file path=xl/worksheets/_rels/sheet50.xml.rels><?xml version="1.0" encoding="UTF-8" standalone="yes"?>
<Relationships xmlns="http://schemas.openxmlformats.org/package/2006/relationships"><Relationship Id="rId2" Type="http://schemas.openxmlformats.org/officeDocument/2006/relationships/printerSettings" Target="../printerSettings/printerSettings50.bin"/><Relationship Id="rId1" Type="http://schemas.openxmlformats.org/officeDocument/2006/relationships/hyperlink" Target="http://www.wsj.com/mdc/public/page/2_3021-peyield.html" TargetMode="External"/></Relationships>
</file>

<file path=xl/worksheets/_rels/sheet51.xml.rels><?xml version="1.0" encoding="UTF-8" standalone="yes"?>
<Relationships xmlns="http://schemas.openxmlformats.org/package/2006/relationships"><Relationship Id="rId3" Type="http://schemas.openxmlformats.org/officeDocument/2006/relationships/queryTable" Target="../queryTables/queryTable18.xml"/><Relationship Id="rId2" Type="http://schemas.openxmlformats.org/officeDocument/2006/relationships/drawing" Target="../drawings/drawing20.xml"/><Relationship Id="rId1" Type="http://schemas.openxmlformats.org/officeDocument/2006/relationships/printerSettings" Target="../printerSettings/printerSettings51.bin"/><Relationship Id="rId4" Type="http://schemas.openxmlformats.org/officeDocument/2006/relationships/queryTable" Target="../queryTables/queryTable19.xml"/></Relationships>
</file>

<file path=xl/worksheets/_rels/sheet52.xml.rels><?xml version="1.0" encoding="UTF-8" standalone="yes"?>
<Relationships xmlns="http://schemas.openxmlformats.org/package/2006/relationships"><Relationship Id="rId1" Type="http://schemas.openxmlformats.org/officeDocument/2006/relationships/printerSettings" Target="../printerSettings/printerSettings52.bin"/></Relationships>
</file>

<file path=xl/worksheets/_rels/sheet53.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54.xml.rels><?xml version="1.0" encoding="UTF-8" standalone="yes"?>
<Relationships xmlns="http://schemas.openxmlformats.org/package/2006/relationships"><Relationship Id="rId2" Type="http://schemas.openxmlformats.org/officeDocument/2006/relationships/queryTable" Target="../queryTables/queryTable20.xml"/><Relationship Id="rId1" Type="http://schemas.openxmlformats.org/officeDocument/2006/relationships/printerSettings" Target="../printerSettings/printerSettings54.bin"/></Relationships>
</file>

<file path=xl/worksheets/_rels/sheet55.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56.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56.bin"/></Relationships>
</file>

<file path=xl/worksheets/_rels/sheet57.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57.bin"/></Relationships>
</file>

<file path=xl/worksheets/_rels/sheet58.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58.bin"/></Relationships>
</file>

<file path=xl/worksheets/_rels/sheet59.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60.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61.xml.rels><?xml version="1.0" encoding="UTF-8" standalone="yes"?>
<Relationships xmlns="http://schemas.openxmlformats.org/package/2006/relationships"><Relationship Id="rId1" Type="http://schemas.openxmlformats.org/officeDocument/2006/relationships/printerSettings" Target="../printerSettings/printerSettings61.bin"/></Relationships>
</file>

<file path=xl/worksheets/_rels/sheet62.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62.bin"/></Relationships>
</file>

<file path=xl/worksheets/_rels/sheet63.xml.rels><?xml version="1.0" encoding="UTF-8" standalone="yes"?>
<Relationships xmlns="http://schemas.openxmlformats.org/package/2006/relationships"><Relationship Id="rId3" Type="http://schemas.openxmlformats.org/officeDocument/2006/relationships/printerSettings" Target="../printerSettings/printerSettings63.bin"/><Relationship Id="rId2" Type="http://schemas.openxmlformats.org/officeDocument/2006/relationships/hyperlink" Target="https://fred.stlouisfed.org/series/CPIFABSL" TargetMode="External"/><Relationship Id="rId1" Type="http://schemas.openxmlformats.org/officeDocument/2006/relationships/hyperlink" Target="http://www.supermarketnews.com/retail-financial/unfi-takes-hit-whole-foods-investment" TargetMode="External"/><Relationship Id="rId4" Type="http://schemas.openxmlformats.org/officeDocument/2006/relationships/drawing" Target="../drawings/drawing25.xml"/></Relationships>
</file>

<file path=xl/worksheets/_rels/sheet64.xml.rels><?xml version="1.0" encoding="UTF-8" standalone="yes"?>
<Relationships xmlns="http://schemas.openxmlformats.org/package/2006/relationships"><Relationship Id="rId1" Type="http://schemas.openxmlformats.org/officeDocument/2006/relationships/printerSettings" Target="../printerSettings/printerSettings64.bin"/></Relationships>
</file>

<file path=xl/worksheets/_rels/sheet65.xml.rels><?xml version="1.0" encoding="UTF-8" standalone="yes"?>
<Relationships xmlns="http://schemas.openxmlformats.org/package/2006/relationships"><Relationship Id="rId1" Type="http://schemas.openxmlformats.org/officeDocument/2006/relationships/printerSettings" Target="../printerSettings/printerSettings65.bin"/></Relationships>
</file>

<file path=xl/worksheets/_rels/sheet66.xml.rels><?xml version="1.0" encoding="UTF-8" standalone="yes"?>
<Relationships xmlns="http://schemas.openxmlformats.org/package/2006/relationships"><Relationship Id="rId3" Type="http://schemas.openxmlformats.org/officeDocument/2006/relationships/queryTable" Target="../queryTables/queryTable21.xml"/><Relationship Id="rId2" Type="http://schemas.openxmlformats.org/officeDocument/2006/relationships/drawing" Target="../drawings/drawing26.xml"/><Relationship Id="rId1" Type="http://schemas.openxmlformats.org/officeDocument/2006/relationships/printerSettings" Target="../printerSettings/printerSettings66.bin"/><Relationship Id="rId4" Type="http://schemas.openxmlformats.org/officeDocument/2006/relationships/queryTable" Target="../queryTables/queryTable22.xml"/></Relationships>
</file>

<file path=xl/worksheets/_rels/sheet67.xml.rels><?xml version="1.0" encoding="UTF-8" standalone="yes"?>
<Relationships xmlns="http://schemas.openxmlformats.org/package/2006/relationships"><Relationship Id="rId1" Type="http://schemas.openxmlformats.org/officeDocument/2006/relationships/printerSettings" Target="../printerSettings/printerSettings67.bin"/></Relationships>
</file>

<file path=xl/worksheets/_rels/sheet68.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68.bin"/></Relationships>
</file>

<file path=xl/worksheets/_rels/sheet69.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8.xml"/><Relationship Id="rId1" Type="http://schemas.openxmlformats.org/officeDocument/2006/relationships/printerSettings" Target="../printerSettings/printerSettings69.bin"/><Relationship Id="rId6" Type="http://schemas.openxmlformats.org/officeDocument/2006/relationships/comments" Target="../comments3.xml"/><Relationship Id="rId5" Type="http://schemas.openxmlformats.org/officeDocument/2006/relationships/queryTable" Target="../queryTables/queryTable24.xml"/><Relationship Id="rId4" Type="http://schemas.openxmlformats.org/officeDocument/2006/relationships/queryTable" Target="../queryTables/queryTable23.xml"/></Relationships>
</file>

<file path=xl/worksheets/_rels/sheet70.xml.rels><?xml version="1.0" encoding="UTF-8" standalone="yes"?>
<Relationships xmlns="http://schemas.openxmlformats.org/package/2006/relationships"><Relationship Id="rId1" Type="http://schemas.openxmlformats.org/officeDocument/2006/relationships/printerSettings" Target="../printerSettings/printerSettings70.bin"/></Relationships>
</file>

<file path=xl/worksheets/_rels/sheet71.xml.rels><?xml version="1.0" encoding="UTF-8" standalone="yes"?>
<Relationships xmlns="http://schemas.openxmlformats.org/package/2006/relationships"><Relationship Id="rId3" Type="http://schemas.openxmlformats.org/officeDocument/2006/relationships/drawing" Target="../drawings/drawing29.xml"/><Relationship Id="rId2" Type="http://schemas.openxmlformats.org/officeDocument/2006/relationships/printerSettings" Target="../printerSettings/printerSettings71.bin"/><Relationship Id="rId1" Type="http://schemas.openxmlformats.org/officeDocument/2006/relationships/hyperlink" Target="http://www.nasdaq.com/markets/corn.aspx?timeframe=2y" TargetMode="External"/></Relationships>
</file>

<file path=xl/worksheets/_rels/sheet72.xml.rels><?xml version="1.0" encoding="UTF-8" standalone="yes"?>
<Relationships xmlns="http://schemas.openxmlformats.org/package/2006/relationships"><Relationship Id="rId2" Type="http://schemas.openxmlformats.org/officeDocument/2006/relationships/drawing" Target="../drawings/drawing30.xml"/><Relationship Id="rId1" Type="http://schemas.openxmlformats.org/officeDocument/2006/relationships/printerSettings" Target="../printerSettings/printerSettings72.bin"/></Relationships>
</file>

<file path=xl/worksheets/_rels/sheet73.xml.rels><?xml version="1.0" encoding="UTF-8" standalone="yes"?>
<Relationships xmlns="http://schemas.openxmlformats.org/package/2006/relationships"><Relationship Id="rId3" Type="http://schemas.openxmlformats.org/officeDocument/2006/relationships/queryTable" Target="../queryTables/queryTable25.xml"/><Relationship Id="rId2" Type="http://schemas.openxmlformats.org/officeDocument/2006/relationships/drawing" Target="../drawings/drawing31.xml"/><Relationship Id="rId1" Type="http://schemas.openxmlformats.org/officeDocument/2006/relationships/printerSettings" Target="../printerSettings/printerSettings73.bin"/><Relationship Id="rId4" Type="http://schemas.openxmlformats.org/officeDocument/2006/relationships/queryTable" Target="../queryTables/queryTable26.xml"/></Relationships>
</file>

<file path=xl/worksheets/_rels/sheet74.xml.rels><?xml version="1.0" encoding="UTF-8" standalone="yes"?>
<Relationships xmlns="http://schemas.openxmlformats.org/package/2006/relationships"><Relationship Id="rId3" Type="http://schemas.openxmlformats.org/officeDocument/2006/relationships/queryTable" Target="../queryTables/queryTable28.xml"/><Relationship Id="rId2" Type="http://schemas.openxmlformats.org/officeDocument/2006/relationships/queryTable" Target="../queryTables/queryTable27.xml"/><Relationship Id="rId1" Type="http://schemas.openxmlformats.org/officeDocument/2006/relationships/printerSettings" Target="../printerSettings/printerSettings74.bin"/></Relationships>
</file>

<file path=xl/worksheets/_rels/sheet75.xml.rels><?xml version="1.0" encoding="UTF-8" standalone="yes"?>
<Relationships xmlns="http://schemas.openxmlformats.org/package/2006/relationships"><Relationship Id="rId3" Type="http://schemas.openxmlformats.org/officeDocument/2006/relationships/drawing" Target="../drawings/drawing32.xml"/><Relationship Id="rId2" Type="http://schemas.openxmlformats.org/officeDocument/2006/relationships/printerSettings" Target="../printerSettings/printerSettings75.bin"/><Relationship Id="rId1" Type="http://schemas.openxmlformats.org/officeDocument/2006/relationships/hyperlink" Target="http://www.trendforce.com/price" TargetMode="External"/></Relationships>
</file>

<file path=xl/worksheets/_rels/sheet76.xml.rels><?xml version="1.0" encoding="UTF-8" standalone="yes"?>
<Relationships xmlns="http://schemas.openxmlformats.org/package/2006/relationships"><Relationship Id="rId3" Type="http://schemas.openxmlformats.org/officeDocument/2006/relationships/queryTable" Target="../queryTables/queryTable30.xml"/><Relationship Id="rId2" Type="http://schemas.openxmlformats.org/officeDocument/2006/relationships/queryTable" Target="../queryTables/queryTable29.xml"/><Relationship Id="rId1" Type="http://schemas.openxmlformats.org/officeDocument/2006/relationships/printerSettings" Target="../printerSettings/printerSettings76.bin"/></Relationships>
</file>

<file path=xl/worksheets/_rels/sheet77.xml.rels><?xml version="1.0" encoding="UTF-8" standalone="yes"?>
<Relationships xmlns="http://schemas.openxmlformats.org/package/2006/relationships"><Relationship Id="rId3" Type="http://schemas.openxmlformats.org/officeDocument/2006/relationships/queryTable" Target="../queryTables/queryTable31.xml"/><Relationship Id="rId2" Type="http://schemas.openxmlformats.org/officeDocument/2006/relationships/drawing" Target="../drawings/drawing33.xml"/><Relationship Id="rId1" Type="http://schemas.openxmlformats.org/officeDocument/2006/relationships/printerSettings" Target="../printerSettings/printerSettings77.bin"/><Relationship Id="rId4" Type="http://schemas.openxmlformats.org/officeDocument/2006/relationships/queryTable" Target="../queryTables/queryTable32.xml"/></Relationships>
</file>

<file path=xl/worksheets/_rels/sheet78.xml.rels><?xml version="1.0" encoding="UTF-8" standalone="yes"?>
<Relationships xmlns="http://schemas.openxmlformats.org/package/2006/relationships"><Relationship Id="rId3" Type="http://schemas.openxmlformats.org/officeDocument/2006/relationships/queryTable" Target="../queryTables/queryTable33.xml"/><Relationship Id="rId2" Type="http://schemas.openxmlformats.org/officeDocument/2006/relationships/drawing" Target="../drawings/drawing34.xml"/><Relationship Id="rId1" Type="http://schemas.openxmlformats.org/officeDocument/2006/relationships/printerSettings" Target="../printerSettings/printerSettings78.bin"/></Relationships>
</file>

<file path=xl/worksheets/_rels/sheet79.xml.rels><?xml version="1.0" encoding="UTF-8" standalone="yes"?>
<Relationships xmlns="http://schemas.openxmlformats.org/package/2006/relationships"><Relationship Id="rId3" Type="http://schemas.openxmlformats.org/officeDocument/2006/relationships/queryTable" Target="../queryTables/queryTable34.xml"/><Relationship Id="rId2" Type="http://schemas.openxmlformats.org/officeDocument/2006/relationships/drawing" Target="../drawings/drawing35.xml"/><Relationship Id="rId1" Type="http://schemas.openxmlformats.org/officeDocument/2006/relationships/printerSettings" Target="../printerSettings/printerSettings79.bin"/><Relationship Id="rId4" Type="http://schemas.openxmlformats.org/officeDocument/2006/relationships/queryTable" Target="../queryTables/queryTable35.xml"/></Relationships>
</file>

<file path=xl/worksheets/_rels/sheet80.xml.rels><?xml version="1.0" encoding="UTF-8" standalone="yes"?>
<Relationships xmlns="http://schemas.openxmlformats.org/package/2006/relationships"><Relationship Id="rId3" Type="http://schemas.openxmlformats.org/officeDocument/2006/relationships/queryTable" Target="../queryTables/queryTable36.xml"/><Relationship Id="rId2" Type="http://schemas.openxmlformats.org/officeDocument/2006/relationships/drawing" Target="../drawings/drawing36.xml"/><Relationship Id="rId1" Type="http://schemas.openxmlformats.org/officeDocument/2006/relationships/printerSettings" Target="../printerSettings/printerSettings80.bin"/><Relationship Id="rId4" Type="http://schemas.openxmlformats.org/officeDocument/2006/relationships/queryTable" Target="../queryTables/queryTable37.xml"/></Relationships>
</file>

<file path=xl/worksheets/_rels/sheet81.xml.rels><?xml version="1.0" encoding="UTF-8" standalone="yes"?>
<Relationships xmlns="http://schemas.openxmlformats.org/package/2006/relationships"><Relationship Id="rId3" Type="http://schemas.openxmlformats.org/officeDocument/2006/relationships/queryTable" Target="../queryTables/queryTable39.xml"/><Relationship Id="rId2" Type="http://schemas.openxmlformats.org/officeDocument/2006/relationships/queryTable" Target="../queryTables/queryTable38.xml"/><Relationship Id="rId1" Type="http://schemas.openxmlformats.org/officeDocument/2006/relationships/printerSettings" Target="../printerSettings/printerSettings81.bin"/></Relationships>
</file>

<file path=xl/worksheets/_rels/sheet82.xml.rels><?xml version="1.0" encoding="UTF-8" standalone="yes"?>
<Relationships xmlns="http://schemas.openxmlformats.org/package/2006/relationships"><Relationship Id="rId2" Type="http://schemas.openxmlformats.org/officeDocument/2006/relationships/queryTable" Target="../queryTables/queryTable40.xml"/><Relationship Id="rId1" Type="http://schemas.openxmlformats.org/officeDocument/2006/relationships/printerSettings" Target="../printerSettings/printerSettings82.bin"/></Relationships>
</file>

<file path=xl/worksheets/_rels/sheet83.xml.rels><?xml version="1.0" encoding="UTF-8" standalone="yes"?>
<Relationships xmlns="http://schemas.openxmlformats.org/package/2006/relationships"><Relationship Id="rId3" Type="http://schemas.openxmlformats.org/officeDocument/2006/relationships/queryTable" Target="../queryTables/queryTable41.xml"/><Relationship Id="rId2" Type="http://schemas.openxmlformats.org/officeDocument/2006/relationships/table" Target="../tables/table1.xml"/><Relationship Id="rId1" Type="http://schemas.openxmlformats.org/officeDocument/2006/relationships/printerSettings" Target="../printerSettings/printerSettings83.bin"/></Relationships>
</file>

<file path=xl/worksheets/_rels/sheet84.xml.rels><?xml version="1.0" encoding="UTF-8" standalone="yes"?>
<Relationships xmlns="http://schemas.openxmlformats.org/package/2006/relationships"><Relationship Id="rId2" Type="http://schemas.openxmlformats.org/officeDocument/2006/relationships/drawing" Target="../drawings/drawing37.xml"/><Relationship Id="rId1" Type="http://schemas.openxmlformats.org/officeDocument/2006/relationships/printerSettings" Target="../printerSettings/printerSettings84.bin"/></Relationships>
</file>

<file path=xl/worksheets/_rels/sheet85.xml.rels><?xml version="1.0" encoding="UTF-8" standalone="yes"?>
<Relationships xmlns="http://schemas.openxmlformats.org/package/2006/relationships"><Relationship Id="rId2" Type="http://schemas.openxmlformats.org/officeDocument/2006/relationships/drawing" Target="../drawings/drawing38.xml"/><Relationship Id="rId1" Type="http://schemas.openxmlformats.org/officeDocument/2006/relationships/printerSettings" Target="../printerSettings/printerSettings85.bin"/></Relationships>
</file>

<file path=xl/worksheets/_rels/sheet86.xml.rels><?xml version="1.0" encoding="UTF-8" standalone="yes"?>
<Relationships xmlns="http://schemas.openxmlformats.org/package/2006/relationships"><Relationship Id="rId2" Type="http://schemas.openxmlformats.org/officeDocument/2006/relationships/printerSettings" Target="../printerSettings/printerSettings86.bin"/><Relationship Id="rId1" Type="http://schemas.openxmlformats.org/officeDocument/2006/relationships/hyperlink" Target="https://www.census.gov/construction/nrc/index.html" TargetMode="External"/></Relationships>
</file>

<file path=xl/worksheets/_rels/sheet87.xml.rels><?xml version="1.0" encoding="UTF-8" standalone="yes"?>
<Relationships xmlns="http://schemas.openxmlformats.org/package/2006/relationships"><Relationship Id="rId2" Type="http://schemas.openxmlformats.org/officeDocument/2006/relationships/printerSettings" Target="../printerSettings/printerSettings87.bin"/><Relationship Id="rId1" Type="http://schemas.openxmlformats.org/officeDocument/2006/relationships/hyperlink" Target="https://www.fa-mag.com/news/the--powershares--name-is-no-more-39023.html" TargetMode="External"/></Relationships>
</file>

<file path=xl/worksheets/_rels/sheet88.xml.rels><?xml version="1.0" encoding="UTF-8" standalone="yes"?>
<Relationships xmlns="http://schemas.openxmlformats.org/package/2006/relationships"><Relationship Id="rId3" Type="http://schemas.openxmlformats.org/officeDocument/2006/relationships/drawing" Target="../drawings/drawing39.xml"/><Relationship Id="rId2" Type="http://schemas.openxmlformats.org/officeDocument/2006/relationships/printerSettings" Target="../printerSettings/printerSettings88.bin"/><Relationship Id="rId1" Type="http://schemas.openxmlformats.org/officeDocument/2006/relationships/hyperlink" Target="http://www.wsj.com/mdc/public/page/2_3021-peyield.html" TargetMode="External"/></Relationships>
</file>

<file path=xl/worksheets/_rels/sheet89.xml.rels><?xml version="1.0" encoding="UTF-8" standalone="yes"?>
<Relationships xmlns="http://schemas.openxmlformats.org/package/2006/relationships"><Relationship Id="rId3" Type="http://schemas.openxmlformats.org/officeDocument/2006/relationships/queryTable" Target="../queryTables/queryTable42.xml"/><Relationship Id="rId2" Type="http://schemas.openxmlformats.org/officeDocument/2006/relationships/vmlDrawing" Target="../drawings/vmlDrawing4.vml"/><Relationship Id="rId1" Type="http://schemas.openxmlformats.org/officeDocument/2006/relationships/drawing" Target="../drawings/drawing40.xml"/><Relationship Id="rId5" Type="http://schemas.openxmlformats.org/officeDocument/2006/relationships/comments" Target="../comments4.xml"/><Relationship Id="rId4" Type="http://schemas.openxmlformats.org/officeDocument/2006/relationships/queryTable" Target="../queryTables/queryTable43.xml"/></Relationships>
</file>

<file path=xl/worksheets/_rels/sheet90.xml.rels><?xml version="1.0" encoding="UTF-8" standalone="yes"?>
<Relationships xmlns="http://schemas.openxmlformats.org/package/2006/relationships"><Relationship Id="rId2" Type="http://schemas.openxmlformats.org/officeDocument/2006/relationships/drawing" Target="../drawings/drawing41.xml"/><Relationship Id="rId1" Type="http://schemas.openxmlformats.org/officeDocument/2006/relationships/printerSettings" Target="../printerSettings/printerSettings89.bin"/></Relationships>
</file>

<file path=xl/worksheets/_rels/sheet91.xml.rels><?xml version="1.0" encoding="UTF-8" standalone="yes"?>
<Relationships xmlns="http://schemas.openxmlformats.org/package/2006/relationships"><Relationship Id="rId3" Type="http://schemas.openxmlformats.org/officeDocument/2006/relationships/queryTable" Target="../queryTables/queryTable44.xml"/><Relationship Id="rId2" Type="http://schemas.openxmlformats.org/officeDocument/2006/relationships/drawing" Target="../drawings/drawing42.xml"/><Relationship Id="rId1" Type="http://schemas.openxmlformats.org/officeDocument/2006/relationships/printerSettings" Target="../printerSettings/printerSettings90.bin"/><Relationship Id="rId4" Type="http://schemas.openxmlformats.org/officeDocument/2006/relationships/queryTable" Target="../queryTables/queryTable45.xml"/></Relationships>
</file>

<file path=xl/worksheets/_rels/sheet92.xml.rels><?xml version="1.0" encoding="UTF-8" standalone="yes"?>
<Relationships xmlns="http://schemas.openxmlformats.org/package/2006/relationships"><Relationship Id="rId3" Type="http://schemas.openxmlformats.org/officeDocument/2006/relationships/queryTable" Target="../queryTables/queryTable47.xml"/><Relationship Id="rId2" Type="http://schemas.openxmlformats.org/officeDocument/2006/relationships/queryTable" Target="../queryTables/queryTable46.xml"/><Relationship Id="rId1" Type="http://schemas.openxmlformats.org/officeDocument/2006/relationships/printerSettings" Target="../printerSettings/printerSettings91.bin"/></Relationships>
</file>

<file path=xl/worksheets/_rels/sheet93.xml.rels><?xml version="1.0" encoding="UTF-8" standalone="yes"?>
<Relationships xmlns="http://schemas.openxmlformats.org/package/2006/relationships"><Relationship Id="rId2" Type="http://schemas.openxmlformats.org/officeDocument/2006/relationships/drawing" Target="../drawings/drawing43.xml"/><Relationship Id="rId1" Type="http://schemas.openxmlformats.org/officeDocument/2006/relationships/printerSettings" Target="../printerSettings/printerSettings92.bin"/></Relationships>
</file>

<file path=xl/worksheets/_rels/sheet94.xml.rels><?xml version="1.0" encoding="UTF-8" standalone="yes"?>
<Relationships xmlns="http://schemas.openxmlformats.org/package/2006/relationships"><Relationship Id="rId1" Type="http://schemas.openxmlformats.org/officeDocument/2006/relationships/printerSettings" Target="../printerSettings/printerSettings93.bin"/></Relationships>
</file>

<file path=xl/worksheets/_rels/sheet95.xml.rels><?xml version="1.0" encoding="UTF-8" standalone="yes"?>
<Relationships xmlns="http://schemas.openxmlformats.org/package/2006/relationships"><Relationship Id="rId2" Type="http://schemas.openxmlformats.org/officeDocument/2006/relationships/drawing" Target="../drawings/drawing44.xml"/><Relationship Id="rId1" Type="http://schemas.openxmlformats.org/officeDocument/2006/relationships/printerSettings" Target="../printerSettings/printerSettings94.bin"/></Relationships>
</file>

<file path=xl/worksheets/_rels/sheet96.xml.rels><?xml version="1.0" encoding="UTF-8" standalone="yes"?>
<Relationships xmlns="http://schemas.openxmlformats.org/package/2006/relationships"><Relationship Id="rId3" Type="http://schemas.openxmlformats.org/officeDocument/2006/relationships/queryTable" Target="../queryTables/queryTable49.xml"/><Relationship Id="rId2" Type="http://schemas.openxmlformats.org/officeDocument/2006/relationships/queryTable" Target="../queryTables/queryTable48.xml"/><Relationship Id="rId1" Type="http://schemas.openxmlformats.org/officeDocument/2006/relationships/drawing" Target="../drawings/drawing45.xml"/></Relationships>
</file>

<file path=xl/worksheets/_rels/sheet97.xml.rels><?xml version="1.0" encoding="UTF-8" standalone="yes"?>
<Relationships xmlns="http://schemas.openxmlformats.org/package/2006/relationships"><Relationship Id="rId1" Type="http://schemas.openxmlformats.org/officeDocument/2006/relationships/printerSettings" Target="../printerSettings/printerSettings95.bin"/></Relationships>
</file>

<file path=xl/worksheets/_rels/sheet98.xml.rels><?xml version="1.0" encoding="UTF-8" standalone="yes"?>
<Relationships xmlns="http://schemas.openxmlformats.org/package/2006/relationships"><Relationship Id="rId2" Type="http://schemas.openxmlformats.org/officeDocument/2006/relationships/drawing" Target="../drawings/drawing46.xml"/><Relationship Id="rId1" Type="http://schemas.openxmlformats.org/officeDocument/2006/relationships/printerSettings" Target="../printerSettings/printerSettings96.bin"/></Relationships>
</file>

<file path=xl/worksheets/_rels/sheet99.xml.rels><?xml version="1.0" encoding="UTF-8" standalone="yes"?>
<Relationships xmlns="http://schemas.openxmlformats.org/package/2006/relationships"><Relationship Id="rId2" Type="http://schemas.openxmlformats.org/officeDocument/2006/relationships/drawing" Target="../drawings/drawing47.xml"/><Relationship Id="rId1" Type="http://schemas.openxmlformats.org/officeDocument/2006/relationships/printerSettings" Target="../printerSettings/printerSettings97.bin"/></Relationships>
</file>

<file path=xl/worksheets/_rels/sheet100.xml.rels><?xml version="1.0" encoding="UTF-8" standalone="yes"?>
<Relationships xmlns="http://schemas.openxmlformats.org/package/2006/relationships"><Relationship Id="rId1" Type="http://schemas.openxmlformats.org/officeDocument/2006/relationships/printerSettings" Target="../printerSettings/printerSettings98.bin"/></Relationships>
</file>

<file path=xl/worksheets/_rels/sheet101.xml.rels><?xml version="1.0" encoding="UTF-8" standalone="yes"?>
<Relationships xmlns="http://schemas.openxmlformats.org/package/2006/relationships"><Relationship Id="rId1" Type="http://schemas.openxmlformats.org/officeDocument/2006/relationships/printerSettings" Target="../printerSettings/printerSettings99.bin"/></Relationships>
</file>

<file path=xl/worksheets/_rels/sheet102.xml.rels><?xml version="1.0" encoding="UTF-8" standalone="yes"?>
<Relationships xmlns="http://schemas.openxmlformats.org/package/2006/relationships"><Relationship Id="rId1" Type="http://schemas.openxmlformats.org/officeDocument/2006/relationships/printerSettings" Target="../printerSettings/printerSettings100.bin"/></Relationships>
</file>

<file path=xl/worksheets/_rels/sheet103.xml.rels><?xml version="1.0" encoding="UTF-8" standalone="yes"?>
<Relationships xmlns="http://schemas.openxmlformats.org/package/2006/relationships"><Relationship Id="rId3" Type="http://schemas.openxmlformats.org/officeDocument/2006/relationships/queryTable" Target="../queryTables/queryTable50.xml"/><Relationship Id="rId2" Type="http://schemas.openxmlformats.org/officeDocument/2006/relationships/drawing" Target="../drawings/drawing48.xml"/><Relationship Id="rId1" Type="http://schemas.openxmlformats.org/officeDocument/2006/relationships/printerSettings" Target="../printerSettings/printerSettings101.bin"/><Relationship Id="rId4" Type="http://schemas.openxmlformats.org/officeDocument/2006/relationships/queryTable" Target="../queryTables/queryTable51.xml"/></Relationships>
</file>

<file path=xl/worksheets/_rels/sheet104.xml.rels><?xml version="1.0" encoding="UTF-8" standalone="yes"?>
<Relationships xmlns="http://schemas.openxmlformats.org/package/2006/relationships"><Relationship Id="rId3" Type="http://schemas.openxmlformats.org/officeDocument/2006/relationships/queryTable" Target="../queryTables/queryTable53.xml"/><Relationship Id="rId2" Type="http://schemas.openxmlformats.org/officeDocument/2006/relationships/queryTable" Target="../queryTables/queryTable52.xml"/><Relationship Id="rId1" Type="http://schemas.openxmlformats.org/officeDocument/2006/relationships/drawing" Target="../drawings/drawing49.xml"/></Relationships>
</file>

<file path=xl/worksheets/_rels/sheet105.xml.rels><?xml version="1.0" encoding="UTF-8" standalone="yes"?>
<Relationships xmlns="http://schemas.openxmlformats.org/package/2006/relationships"><Relationship Id="rId2" Type="http://schemas.openxmlformats.org/officeDocument/2006/relationships/drawing" Target="../drawings/drawing50.xml"/><Relationship Id="rId1" Type="http://schemas.openxmlformats.org/officeDocument/2006/relationships/printerSettings" Target="../printerSettings/printerSettings102.bin"/></Relationships>
</file>

<file path=xl/worksheets/_rels/sheet106.xml.rels><?xml version="1.0" encoding="UTF-8" standalone="yes"?>
<Relationships xmlns="http://schemas.openxmlformats.org/package/2006/relationships"><Relationship Id="rId2" Type="http://schemas.openxmlformats.org/officeDocument/2006/relationships/drawing" Target="../drawings/drawing51.xml"/><Relationship Id="rId1" Type="http://schemas.openxmlformats.org/officeDocument/2006/relationships/printerSettings" Target="../printerSettings/printerSettings103.bin"/></Relationships>
</file>

<file path=xl/worksheets/_rels/sheet107.xml.rels><?xml version="1.0" encoding="UTF-8" standalone="yes"?>
<Relationships xmlns="http://schemas.openxmlformats.org/package/2006/relationships"><Relationship Id="rId2" Type="http://schemas.openxmlformats.org/officeDocument/2006/relationships/drawing" Target="../drawings/drawing52.xml"/><Relationship Id="rId1" Type="http://schemas.openxmlformats.org/officeDocument/2006/relationships/printerSettings" Target="../printerSettings/printerSettings104.bin"/></Relationships>
</file>

<file path=xl/worksheets/_rels/sheet108.xml.rels><?xml version="1.0" encoding="UTF-8" standalone="yes"?>
<Relationships xmlns="http://schemas.openxmlformats.org/package/2006/relationships"><Relationship Id="rId2" Type="http://schemas.openxmlformats.org/officeDocument/2006/relationships/drawing" Target="../drawings/drawing53.xml"/><Relationship Id="rId1" Type="http://schemas.openxmlformats.org/officeDocument/2006/relationships/printerSettings" Target="../printerSettings/printerSettings105.bin"/></Relationships>
</file>

<file path=xl/worksheets/_rels/sheet109.xml.rels><?xml version="1.0" encoding="UTF-8" standalone="yes"?>
<Relationships xmlns="http://schemas.openxmlformats.org/package/2006/relationships"><Relationship Id="rId2" Type="http://schemas.openxmlformats.org/officeDocument/2006/relationships/drawing" Target="../drawings/drawing54.xml"/><Relationship Id="rId1" Type="http://schemas.openxmlformats.org/officeDocument/2006/relationships/printerSettings" Target="../printerSettings/printerSettings106.bin"/></Relationships>
</file>

<file path=xl/worksheets/_rels/sheet110.xml.rels><?xml version="1.0" encoding="UTF-8" standalone="yes"?>
<Relationships xmlns="http://schemas.openxmlformats.org/package/2006/relationships"><Relationship Id="rId3" Type="http://schemas.openxmlformats.org/officeDocument/2006/relationships/queryTable" Target="../queryTables/queryTable55.xml"/><Relationship Id="rId2" Type="http://schemas.openxmlformats.org/officeDocument/2006/relationships/queryTable" Target="../queryTables/queryTable54.xml"/><Relationship Id="rId1" Type="http://schemas.openxmlformats.org/officeDocument/2006/relationships/drawing" Target="../drawings/drawing55.xml"/></Relationships>
</file>

<file path=xl/worksheets/_rels/sheet111.xml.rels><?xml version="1.0" encoding="UTF-8" standalone="yes"?>
<Relationships xmlns="http://schemas.openxmlformats.org/package/2006/relationships"><Relationship Id="rId1" Type="http://schemas.openxmlformats.org/officeDocument/2006/relationships/drawing" Target="../drawings/drawing56.xml"/></Relationships>
</file>

<file path=xl/worksheets/_rels/sheet112.xml.rels><?xml version="1.0" encoding="UTF-8" standalone="yes"?>
<Relationships xmlns="http://schemas.openxmlformats.org/package/2006/relationships"><Relationship Id="rId3" Type="http://schemas.openxmlformats.org/officeDocument/2006/relationships/queryTable" Target="../queryTables/queryTable57.xml"/><Relationship Id="rId2" Type="http://schemas.openxmlformats.org/officeDocument/2006/relationships/queryTable" Target="../queryTables/queryTable56.xml"/><Relationship Id="rId1" Type="http://schemas.openxmlformats.org/officeDocument/2006/relationships/drawing" Target="../drawings/drawing57.xml"/></Relationships>
</file>

<file path=xl/worksheets/_rels/sheet113.xml.rels><?xml version="1.0" encoding="UTF-8" standalone="yes"?>
<Relationships xmlns="http://schemas.openxmlformats.org/package/2006/relationships"><Relationship Id="rId3" Type="http://schemas.openxmlformats.org/officeDocument/2006/relationships/queryTable" Target="../queryTables/queryTable58.xml"/><Relationship Id="rId2" Type="http://schemas.openxmlformats.org/officeDocument/2006/relationships/drawing" Target="../drawings/drawing58.xml"/><Relationship Id="rId1" Type="http://schemas.openxmlformats.org/officeDocument/2006/relationships/printerSettings" Target="../printerSettings/printerSettings107.bin"/><Relationship Id="rId4" Type="http://schemas.openxmlformats.org/officeDocument/2006/relationships/queryTable" Target="../queryTables/queryTable59.xml"/></Relationships>
</file>

<file path=xl/worksheets/_rels/sheet114.xml.rels><?xml version="1.0" encoding="UTF-8" standalone="yes"?>
<Relationships xmlns="http://schemas.openxmlformats.org/package/2006/relationships"><Relationship Id="rId3" Type="http://schemas.openxmlformats.org/officeDocument/2006/relationships/queryTable" Target="../queryTables/queryTable60.xml"/><Relationship Id="rId2" Type="http://schemas.openxmlformats.org/officeDocument/2006/relationships/drawing" Target="../drawings/drawing59.xml"/><Relationship Id="rId1" Type="http://schemas.openxmlformats.org/officeDocument/2006/relationships/printerSettings" Target="../printerSettings/printerSettings108.bin"/><Relationship Id="rId4" Type="http://schemas.openxmlformats.org/officeDocument/2006/relationships/queryTable" Target="../queryTables/queryTable6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00B050"/>
  </sheetPr>
  <dimension ref="A1:AG236"/>
  <sheetViews>
    <sheetView tabSelected="1" zoomScaleNormal="100" workbookViewId="0">
      <pane ySplit="1" topLeftCell="A2" activePane="bottomLeft" state="frozen"/>
      <selection activeCell="M34" sqref="M34"/>
      <selection pane="bottomLeft" activeCell="V14" sqref="V14"/>
    </sheetView>
  </sheetViews>
  <sheetFormatPr defaultColWidth="9.140625" defaultRowHeight="21.95" customHeight="1" x14ac:dyDescent="0.25"/>
  <cols>
    <col min="1" max="1" width="8.42578125" style="52" bestFit="1" customWidth="1"/>
    <col min="2" max="2" width="8.28515625" style="52" bestFit="1" customWidth="1"/>
    <col min="3" max="3" width="3.5703125" style="52" customWidth="1"/>
    <col min="4" max="4" width="2" style="49" customWidth="1"/>
    <col min="5" max="5" width="7.28515625" bestFit="1" customWidth="1"/>
    <col min="6" max="6" width="10.85546875" style="2" bestFit="1" customWidth="1"/>
    <col min="7" max="7" width="10.7109375" style="2" bestFit="1" customWidth="1"/>
    <col min="8" max="8" width="7.42578125" bestFit="1" customWidth="1"/>
    <col min="9" max="9" width="11.42578125" style="2" bestFit="1" customWidth="1"/>
    <col min="10" max="10" width="12" style="2" bestFit="1" customWidth="1"/>
    <col min="11" max="11" width="9.85546875" style="2" bestFit="1" customWidth="1"/>
    <col min="12" max="12" width="11.5703125" style="131" bestFit="1" customWidth="1"/>
    <col min="13" max="13" width="9.85546875" style="2" bestFit="1" customWidth="1"/>
    <col min="14" max="14" width="11.5703125" style="863" bestFit="1" customWidth="1"/>
    <col min="15" max="15" width="14.140625" bestFit="1" customWidth="1"/>
    <col min="16" max="16" width="9.140625" style="131" bestFit="1" customWidth="1"/>
    <col min="17" max="17" width="13.5703125" style="131" bestFit="1" customWidth="1"/>
    <col min="18" max="18" width="8" style="2" bestFit="1" customWidth="1"/>
    <col min="19" max="19" width="15" style="29" bestFit="1" customWidth="1"/>
    <col min="20" max="20" width="10.7109375" style="49" bestFit="1" customWidth="1"/>
    <col min="21" max="21" width="13.42578125" bestFit="1" customWidth="1"/>
    <col min="22" max="22" width="25.140625" customWidth="1"/>
    <col min="23" max="24" width="14.28515625" bestFit="1" customWidth="1"/>
    <col min="25" max="25" width="14.85546875" customWidth="1"/>
    <col min="26" max="26" width="15" bestFit="1" customWidth="1"/>
    <col min="29" max="16384" width="9.140625" style="49"/>
  </cols>
  <sheetData>
    <row r="1" spans="1:32" s="55" customFormat="1" ht="21.95" customHeight="1" x14ac:dyDescent="0.25">
      <c r="A1" s="56" t="s">
        <v>634</v>
      </c>
      <c r="B1" s="56" t="s">
        <v>91</v>
      </c>
      <c r="C1" s="56"/>
      <c r="D1" s="54"/>
      <c r="E1" s="56" t="s">
        <v>72</v>
      </c>
      <c r="F1" s="860" t="s">
        <v>139</v>
      </c>
      <c r="G1" s="860" t="s">
        <v>73</v>
      </c>
      <c r="H1" s="56" t="s">
        <v>57</v>
      </c>
      <c r="I1" s="860" t="s">
        <v>1091</v>
      </c>
      <c r="J1" s="860" t="s">
        <v>74</v>
      </c>
      <c r="K1" s="860" t="s">
        <v>1090</v>
      </c>
      <c r="L1" s="861" t="s">
        <v>1092</v>
      </c>
      <c r="M1" s="860" t="s">
        <v>175</v>
      </c>
      <c r="N1" s="862" t="s">
        <v>222</v>
      </c>
      <c r="O1" s="56" t="s">
        <v>875</v>
      </c>
      <c r="P1" s="861" t="s">
        <v>200</v>
      </c>
      <c r="Q1" s="861" t="s">
        <v>270</v>
      </c>
      <c r="R1" s="860" t="s">
        <v>901</v>
      </c>
      <c r="S1" s="864" t="s">
        <v>988</v>
      </c>
      <c r="U1"/>
      <c r="V1"/>
      <c r="W1"/>
      <c r="X1"/>
      <c r="Y1"/>
      <c r="Z1"/>
      <c r="AA1"/>
      <c r="AB1"/>
      <c r="AC1" s="11"/>
      <c r="AD1" s="11"/>
      <c r="AE1" s="11"/>
      <c r="AF1" s="11"/>
    </row>
    <row r="2" spans="1:32" ht="21.95" customHeight="1" x14ac:dyDescent="0.25">
      <c r="A2" s="50"/>
      <c r="B2" s="50"/>
      <c r="C2" s="51"/>
      <c r="D2"/>
      <c r="E2" s="22" t="s">
        <v>50</v>
      </c>
      <c r="F2" s="2">
        <v>12.59</v>
      </c>
      <c r="G2" s="2">
        <v>10.632299999999994</v>
      </c>
      <c r="H2">
        <v>6500</v>
      </c>
      <c r="I2" s="2">
        <v>81835</v>
      </c>
      <c r="J2" s="2">
        <v>69109.949999999953</v>
      </c>
      <c r="K2" s="2">
        <v>12725.050000000047</v>
      </c>
      <c r="L2" s="131">
        <v>0.18412761114716547</v>
      </c>
      <c r="M2" s="2">
        <v>27340.621000001673</v>
      </c>
      <c r="N2">
        <v>6000</v>
      </c>
      <c r="O2" t="s">
        <v>1361</v>
      </c>
      <c r="P2" s="131">
        <v>1.5885623510722795E-2</v>
      </c>
      <c r="Q2" s="131">
        <v>-2.5999999999999999E-3</v>
      </c>
      <c r="R2" s="2">
        <v>19.984126984126984</v>
      </c>
      <c r="S2" s="29">
        <v>43471</v>
      </c>
      <c r="W2" s="877"/>
      <c r="X2" s="647"/>
      <c r="Y2" s="877"/>
    </row>
    <row r="3" spans="1:32" ht="21.95" customHeight="1" x14ac:dyDescent="0.25">
      <c r="A3" s="50"/>
      <c r="B3" s="50"/>
      <c r="C3" s="51"/>
      <c r="D3"/>
      <c r="E3" s="22" t="s">
        <v>870</v>
      </c>
      <c r="F3" s="2">
        <v>31.88</v>
      </c>
      <c r="G3" s="2">
        <v>52.136949999999999</v>
      </c>
      <c r="H3">
        <v>600</v>
      </c>
      <c r="I3" s="2">
        <v>19128</v>
      </c>
      <c r="J3" s="2">
        <v>31282.17</v>
      </c>
      <c r="K3" s="2">
        <v>-12154.169999999998</v>
      </c>
      <c r="L3" s="131">
        <v>-0.38853346810659234</v>
      </c>
      <c r="M3" s="2">
        <v>-12154.169999999998</v>
      </c>
      <c r="N3">
        <v>500</v>
      </c>
      <c r="O3" t="s">
        <v>1362</v>
      </c>
      <c r="P3" s="131">
        <v>7.8419071518193231E-2</v>
      </c>
      <c r="Q3" s="131">
        <v>0.13439999999999999</v>
      </c>
      <c r="R3" s="2">
        <v>11.345195729537366</v>
      </c>
      <c r="S3" s="29">
        <v>43471</v>
      </c>
      <c r="T3" s="48"/>
      <c r="W3" s="877"/>
      <c r="X3" s="647"/>
      <c r="Y3" s="877"/>
    </row>
    <row r="4" spans="1:32" ht="21.95" customHeight="1" x14ac:dyDescent="0.25">
      <c r="A4" s="50"/>
      <c r="B4" s="51"/>
      <c r="C4" s="51"/>
      <c r="D4"/>
      <c r="E4" s="22" t="s">
        <v>311</v>
      </c>
      <c r="F4" s="2">
        <v>9.49</v>
      </c>
      <c r="G4" s="2">
        <v>11.893815000000009</v>
      </c>
      <c r="H4">
        <v>2000</v>
      </c>
      <c r="I4" s="2">
        <v>18980</v>
      </c>
      <c r="J4" s="2">
        <v>23787.630000000019</v>
      </c>
      <c r="K4" s="2">
        <v>-4807.6300000000192</v>
      </c>
      <c r="L4" s="131">
        <v>-0.20210630483154537</v>
      </c>
      <c r="M4" s="2">
        <v>-4522.6600000000144</v>
      </c>
      <c r="N4">
        <v>1800</v>
      </c>
      <c r="O4" t="s">
        <v>1363</v>
      </c>
      <c r="P4" s="131">
        <v>0</v>
      </c>
      <c r="Q4" s="131">
        <v>-4.8999999999999998E-3</v>
      </c>
      <c r="R4" s="2">
        <v>3.8734693877551019</v>
      </c>
      <c r="S4" s="29">
        <v>43345</v>
      </c>
      <c r="W4" s="877"/>
      <c r="X4" s="647"/>
      <c r="Y4" s="877"/>
    </row>
    <row r="5" spans="1:32" ht="21.95" customHeight="1" x14ac:dyDescent="0.25">
      <c r="A5" s="51"/>
      <c r="B5" s="50"/>
      <c r="C5" s="51"/>
      <c r="D5"/>
      <c r="E5" s="22" t="s">
        <v>1344</v>
      </c>
      <c r="F5" s="2">
        <v>21.52</v>
      </c>
      <c r="G5" s="2">
        <v>22.972057142857143</v>
      </c>
      <c r="H5">
        <v>700</v>
      </c>
      <c r="I5" s="2">
        <v>15064</v>
      </c>
      <c r="J5" s="2">
        <v>16080.44</v>
      </c>
      <c r="K5" s="2">
        <v>-1016.4400000000023</v>
      </c>
      <c r="L5" s="131">
        <v>-6.320971316705265E-2</v>
      </c>
      <c r="M5" s="2">
        <v>-1016.4400000000023</v>
      </c>
      <c r="N5">
        <v>600</v>
      </c>
      <c r="Q5" s="131">
        <v>-5.1999999999999998E-3</v>
      </c>
      <c r="T5" s="48"/>
      <c r="W5" s="877"/>
      <c r="X5" s="647"/>
      <c r="Y5" s="877"/>
    </row>
    <row r="6" spans="1:32" ht="21.95" customHeight="1" x14ac:dyDescent="0.25">
      <c r="A6" s="50"/>
      <c r="B6" s="50"/>
      <c r="C6" s="51"/>
      <c r="D6"/>
      <c r="E6" s="22" t="s">
        <v>1190</v>
      </c>
      <c r="F6" s="2">
        <v>40.07</v>
      </c>
      <c r="G6" s="2">
        <v>43.714833333333374</v>
      </c>
      <c r="H6">
        <v>300</v>
      </c>
      <c r="I6" s="2">
        <v>12021</v>
      </c>
      <c r="J6" s="2">
        <v>13114.450000000012</v>
      </c>
      <c r="K6" s="2">
        <v>-1093.4500000000116</v>
      </c>
      <c r="L6" s="131">
        <v>-8.3377495815685071E-2</v>
      </c>
      <c r="M6" s="2">
        <v>-1093.4500000000116</v>
      </c>
      <c r="N6">
        <v>300</v>
      </c>
      <c r="O6" t="s">
        <v>1363</v>
      </c>
      <c r="P6" s="131">
        <v>4.5420514100324431E-2</v>
      </c>
      <c r="Q6" s="131">
        <v>-7.7000000000000002E-3</v>
      </c>
      <c r="R6" s="2">
        <v>8.7108695652173918</v>
      </c>
      <c r="S6" s="29">
        <v>43423</v>
      </c>
      <c r="W6" s="877"/>
      <c r="X6" s="647"/>
      <c r="Y6" s="877"/>
      <c r="Z6" s="647"/>
    </row>
    <row r="7" spans="1:32" ht="21.95" customHeight="1" x14ac:dyDescent="0.25">
      <c r="A7" s="51"/>
      <c r="B7" s="51"/>
      <c r="C7" s="51"/>
      <c r="D7"/>
      <c r="E7" s="22" t="s">
        <v>219</v>
      </c>
      <c r="F7" s="2">
        <v>18.25</v>
      </c>
      <c r="G7" s="2">
        <v>9.84279999999994</v>
      </c>
      <c r="H7">
        <v>600</v>
      </c>
      <c r="I7" s="2">
        <v>10950</v>
      </c>
      <c r="J7" s="2">
        <v>5905.6799999999639</v>
      </c>
      <c r="K7" s="2">
        <v>5044.3200000000361</v>
      </c>
      <c r="L7" s="131">
        <v>0.85414719388792937</v>
      </c>
      <c r="M7" s="2">
        <v>6496.5800000000345</v>
      </c>
      <c r="N7" s="29">
        <v>43812</v>
      </c>
      <c r="O7" t="s">
        <v>1364</v>
      </c>
      <c r="P7" s="131">
        <v>5.4794520547945206E-3</v>
      </c>
      <c r="Q7" s="131">
        <v>-1.49E-2</v>
      </c>
      <c r="R7" s="2">
        <v>10.428571428571429</v>
      </c>
      <c r="S7" s="29">
        <v>43421</v>
      </c>
      <c r="T7" s="48"/>
      <c r="W7" s="877"/>
      <c r="X7" s="647"/>
      <c r="Y7" s="877"/>
    </row>
    <row r="8" spans="1:32" ht="21.95" customHeight="1" x14ac:dyDescent="0.25">
      <c r="A8" s="50"/>
      <c r="B8" s="50"/>
      <c r="C8" s="51"/>
      <c r="D8"/>
      <c r="E8" s="22" t="s">
        <v>1339</v>
      </c>
      <c r="F8" s="2">
        <v>179.75</v>
      </c>
      <c r="G8" s="2">
        <v>229.60275000000001</v>
      </c>
      <c r="H8">
        <v>40</v>
      </c>
      <c r="I8" s="2">
        <v>7190</v>
      </c>
      <c r="J8" s="2">
        <v>9184.11</v>
      </c>
      <c r="K8" s="2">
        <v>-1994.1100000000006</v>
      </c>
      <c r="L8" s="131">
        <v>-0.21712610149486455</v>
      </c>
      <c r="M8" s="2">
        <v>-1994.1100000000006</v>
      </c>
      <c r="N8">
        <v>40</v>
      </c>
      <c r="Q8" s="131">
        <v>0.14199999999999999</v>
      </c>
      <c r="S8" s="29">
        <v>43631</v>
      </c>
      <c r="T8" s="48"/>
      <c r="W8" s="877"/>
      <c r="X8" s="647"/>
      <c r="Y8" s="877"/>
    </row>
    <row r="9" spans="1:32" ht="21.95" customHeight="1" x14ac:dyDescent="0.25">
      <c r="A9" s="50"/>
      <c r="B9" s="50"/>
      <c r="C9" s="51"/>
      <c r="D9"/>
      <c r="E9" s="22" t="s">
        <v>663</v>
      </c>
      <c r="F9" s="2">
        <v>68.33</v>
      </c>
      <c r="G9" s="2">
        <v>51.96220000000001</v>
      </c>
      <c r="H9">
        <v>100</v>
      </c>
      <c r="I9" s="2">
        <v>6833</v>
      </c>
      <c r="J9" s="2">
        <v>5196.2200000000012</v>
      </c>
      <c r="K9" s="2">
        <v>1636.7799999999988</v>
      </c>
      <c r="L9" s="131">
        <v>0.31499436128570357</v>
      </c>
      <c r="M9" s="2">
        <v>2677.4999999999927</v>
      </c>
      <c r="N9">
        <v>100</v>
      </c>
      <c r="O9" t="s">
        <v>1342</v>
      </c>
      <c r="P9" s="131">
        <v>0</v>
      </c>
      <c r="Q9" s="131">
        <v>-3.3999999999999998E-3</v>
      </c>
      <c r="R9" s="2">
        <v>19.979532163742689</v>
      </c>
      <c r="W9" s="877"/>
      <c r="X9" s="647"/>
      <c r="Y9" s="877"/>
    </row>
    <row r="10" spans="1:32" ht="21.95" customHeight="1" x14ac:dyDescent="0.25">
      <c r="A10" s="50"/>
      <c r="B10" s="51"/>
      <c r="C10" s="51"/>
      <c r="D10"/>
      <c r="E10" s="22" t="s">
        <v>1347</v>
      </c>
      <c r="F10" s="2">
        <v>64.040000000000006</v>
      </c>
      <c r="G10" s="2">
        <v>77.882700000000014</v>
      </c>
      <c r="H10">
        <v>100</v>
      </c>
      <c r="I10" s="2">
        <v>6404.0000000000009</v>
      </c>
      <c r="J10" s="2">
        <v>7788.2700000000013</v>
      </c>
      <c r="K10" s="2">
        <v>-1384.2699999999995</v>
      </c>
      <c r="L10" s="131">
        <v>-0.17773780313214624</v>
      </c>
      <c r="M10" s="2">
        <v>-1384.2699999999995</v>
      </c>
      <c r="N10">
        <v>100</v>
      </c>
      <c r="P10" s="131">
        <v>0</v>
      </c>
      <c r="Q10" s="131">
        <v>4.8999999999999998E-3</v>
      </c>
      <c r="S10" s="29">
        <v>43436</v>
      </c>
      <c r="T10" s="48"/>
      <c r="W10" s="877"/>
      <c r="X10" s="647"/>
      <c r="Y10" s="877"/>
      <c r="Z10" s="647"/>
    </row>
    <row r="11" spans="1:32" ht="21.95" customHeight="1" x14ac:dyDescent="0.25">
      <c r="A11" s="50"/>
      <c r="B11" s="51"/>
      <c r="C11" s="51"/>
      <c r="D11"/>
      <c r="E11" s="22" t="s">
        <v>14</v>
      </c>
      <c r="F11" s="2">
        <v>50.05</v>
      </c>
      <c r="G11" s="2">
        <v>47.352299999999957</v>
      </c>
      <c r="H11">
        <v>100</v>
      </c>
      <c r="I11" s="2">
        <v>5005</v>
      </c>
      <c r="J11" s="2">
        <v>4735.2299999999959</v>
      </c>
      <c r="K11" s="2">
        <v>269.77000000000407</v>
      </c>
      <c r="L11" s="131">
        <v>5.6970833518119345E-2</v>
      </c>
      <c r="M11" s="2">
        <v>269.77000000000407</v>
      </c>
      <c r="N11">
        <v>100</v>
      </c>
      <c r="O11" t="s">
        <v>1354</v>
      </c>
      <c r="P11" s="131">
        <v>5.5944055944055944E-2</v>
      </c>
      <c r="Q11" s="131">
        <v>-2.5499999999999998E-2</v>
      </c>
      <c r="R11" s="2">
        <v>12.559598494353825</v>
      </c>
      <c r="S11" s="29">
        <v>43426</v>
      </c>
      <c r="W11" s="877"/>
      <c r="X11" s="647"/>
      <c r="Y11" s="877"/>
    </row>
    <row r="12" spans="1:32" ht="21.95" customHeight="1" x14ac:dyDescent="0.25">
      <c r="A12" s="51"/>
      <c r="B12" s="51"/>
      <c r="C12" s="51"/>
      <c r="D12"/>
      <c r="E12" s="22" t="s">
        <v>753</v>
      </c>
      <c r="F12" s="2">
        <v>23.09</v>
      </c>
      <c r="G12" s="2">
        <v>29.324850000000005</v>
      </c>
      <c r="H12">
        <v>200</v>
      </c>
      <c r="I12" s="2">
        <v>4618</v>
      </c>
      <c r="J12" s="2">
        <v>5864.9700000000012</v>
      </c>
      <c r="K12" s="2">
        <v>-1246.9700000000012</v>
      </c>
      <c r="L12" s="131">
        <v>-0.21261319324736544</v>
      </c>
      <c r="M12" s="2">
        <v>-1246.9700000000012</v>
      </c>
      <c r="N12">
        <v>200</v>
      </c>
      <c r="O12" t="s">
        <v>1345</v>
      </c>
      <c r="P12" s="131">
        <v>4.5041143352100479E-2</v>
      </c>
      <c r="Q12" s="131">
        <v>-1.83E-2</v>
      </c>
      <c r="R12" s="2">
        <v>13.58235294117647</v>
      </c>
      <c r="S12" s="29">
        <v>43324</v>
      </c>
      <c r="T12" s="48"/>
      <c r="W12" s="877"/>
      <c r="X12" s="647"/>
      <c r="Y12" s="877"/>
    </row>
    <row r="13" spans="1:32" ht="21.95" customHeight="1" x14ac:dyDescent="0.25">
      <c r="A13" s="50"/>
      <c r="B13" s="50"/>
      <c r="C13" s="51"/>
      <c r="D13"/>
      <c r="E13" s="22" t="s">
        <v>170</v>
      </c>
      <c r="F13" s="2">
        <v>53.69</v>
      </c>
      <c r="G13" s="2">
        <v>38.685000000000002</v>
      </c>
      <c r="H13">
        <v>80</v>
      </c>
      <c r="I13" s="2">
        <v>4295.2</v>
      </c>
      <c r="J13" s="2">
        <v>3094.8</v>
      </c>
      <c r="K13" s="2">
        <v>1200.3999999999969</v>
      </c>
      <c r="L13" s="131">
        <v>0.3878764378958251</v>
      </c>
      <c r="M13" s="2">
        <v>2804.9799999999987</v>
      </c>
      <c r="N13">
        <v>80</v>
      </c>
      <c r="P13" s="131">
        <v>3.2035760849320173E-2</v>
      </c>
      <c r="Q13" s="131">
        <v>-7.7000000000000002E-3</v>
      </c>
      <c r="R13" s="2">
        <v>11.878318584070797</v>
      </c>
      <c r="W13" s="877"/>
      <c r="X13" s="647"/>
      <c r="Y13" s="877"/>
    </row>
    <row r="14" spans="1:32" ht="21.95" customHeight="1" x14ac:dyDescent="0.25">
      <c r="A14" s="50"/>
      <c r="B14" s="51"/>
      <c r="C14" s="51"/>
      <c r="D14"/>
      <c r="E14" s="22" t="s">
        <v>847</v>
      </c>
      <c r="F14" s="2">
        <v>133.53</v>
      </c>
      <c r="G14" s="2">
        <v>117.55499999999999</v>
      </c>
      <c r="H14">
        <v>30</v>
      </c>
      <c r="I14" s="2">
        <v>4005.9</v>
      </c>
      <c r="J14" s="2">
        <v>3526.6499999999996</v>
      </c>
      <c r="K14" s="2">
        <v>479.25000000000045</v>
      </c>
      <c r="L14" s="131">
        <v>0.13589383692739576</v>
      </c>
      <c r="M14" s="2">
        <v>2880.949999999983</v>
      </c>
      <c r="N14">
        <v>30</v>
      </c>
      <c r="O14" t="s">
        <v>1340</v>
      </c>
      <c r="P14" s="131">
        <v>3.8942559724406503E-3</v>
      </c>
      <c r="Q14" s="131">
        <v>-2.9899999999999999E-2</v>
      </c>
      <c r="R14" s="2">
        <v>15.490719257540604</v>
      </c>
      <c r="S14" s="29">
        <v>43324</v>
      </c>
      <c r="W14" s="877"/>
      <c r="X14" s="647"/>
      <c r="Y14" s="877"/>
    </row>
    <row r="15" spans="1:32" ht="21.95" customHeight="1" x14ac:dyDescent="0.25">
      <c r="A15" s="51"/>
      <c r="B15" s="51"/>
      <c r="C15" s="51"/>
      <c r="D15" s="695"/>
      <c r="E15" s="22" t="s">
        <v>1346</v>
      </c>
      <c r="F15" s="2">
        <v>25.87</v>
      </c>
      <c r="G15" s="2">
        <v>27.898666666666667</v>
      </c>
      <c r="H15">
        <v>150</v>
      </c>
      <c r="I15" s="2">
        <v>3880.5</v>
      </c>
      <c r="J15" s="2">
        <v>4184.8</v>
      </c>
      <c r="K15" s="2">
        <v>-304.30000000000018</v>
      </c>
      <c r="L15" s="131">
        <v>-7.2715541961384036E-2</v>
      </c>
      <c r="M15" s="2">
        <v>-304.30000000000018</v>
      </c>
      <c r="N15">
        <v>34</v>
      </c>
      <c r="P15" s="131">
        <v>2.0100502512562814E-2</v>
      </c>
      <c r="Q15" s="131">
        <v>-0.04</v>
      </c>
      <c r="W15" s="877"/>
      <c r="X15" s="647"/>
      <c r="Y15" s="877"/>
    </row>
    <row r="16" spans="1:32" ht="21.95" customHeight="1" x14ac:dyDescent="0.25">
      <c r="A16" s="50"/>
      <c r="B16" s="50"/>
      <c r="C16" s="51"/>
      <c r="D16"/>
      <c r="E16" s="22" t="s">
        <v>1335</v>
      </c>
      <c r="F16" s="2">
        <v>53.13</v>
      </c>
      <c r="G16" s="2">
        <v>51.841400000000014</v>
      </c>
      <c r="H16">
        <v>50</v>
      </c>
      <c r="I16" s="2">
        <v>2656.5</v>
      </c>
      <c r="J16" s="2">
        <v>2592.0700000000006</v>
      </c>
      <c r="K16" s="2">
        <v>64.429999999999382</v>
      </c>
      <c r="L16" s="131">
        <v>2.4856581805275085E-2</v>
      </c>
      <c r="M16" s="2">
        <v>64.429999999999382</v>
      </c>
      <c r="N16">
        <v>50</v>
      </c>
      <c r="Q16" s="131">
        <v>-1.06E-2</v>
      </c>
      <c r="W16" s="877"/>
      <c r="X16" s="647"/>
      <c r="Y16" s="877"/>
      <c r="Z16" s="647"/>
    </row>
    <row r="17" spans="1:33" ht="21.95" customHeight="1" x14ac:dyDescent="0.25">
      <c r="A17" s="50"/>
      <c r="B17" s="50"/>
      <c r="C17" s="51"/>
      <c r="D17"/>
      <c r="E17" s="22" t="s">
        <v>197</v>
      </c>
      <c r="F17" s="2">
        <v>218.72</v>
      </c>
      <c r="G17" s="2">
        <v>218.72</v>
      </c>
      <c r="H17">
        <v>0</v>
      </c>
      <c r="I17" s="2">
        <v>0</v>
      </c>
      <c r="J17" s="2">
        <v>0</v>
      </c>
      <c r="K17" s="2">
        <v>0</v>
      </c>
      <c r="L17" s="131">
        <v>0</v>
      </c>
      <c r="M17" s="2">
        <v>363.09999999999945</v>
      </c>
      <c r="N17">
        <v>0</v>
      </c>
      <c r="P17" s="131">
        <v>0</v>
      </c>
      <c r="Q17" s="131">
        <v>9.7000000000000003E-3</v>
      </c>
      <c r="V17" s="882"/>
      <c r="W17" s="884"/>
      <c r="X17" s="883"/>
      <c r="Y17" s="884"/>
      <c r="Z17" s="882"/>
      <c r="AA17" s="882"/>
      <c r="AB17" s="882"/>
      <c r="AC17" s="882"/>
      <c r="AD17" s="882"/>
    </row>
    <row r="18" spans="1:33" ht="21.95" customHeight="1" x14ac:dyDescent="0.25">
      <c r="A18" s="50"/>
      <c r="B18" s="50"/>
      <c r="C18" s="51"/>
      <c r="D18"/>
      <c r="E18" s="22" t="s">
        <v>1149</v>
      </c>
      <c r="F18" s="2">
        <v>83.85</v>
      </c>
      <c r="G18" s="2">
        <v>83.85</v>
      </c>
      <c r="H18">
        <v>0</v>
      </c>
      <c r="I18" s="2">
        <v>0</v>
      </c>
      <c r="J18" s="2">
        <v>0</v>
      </c>
      <c r="K18" s="2">
        <v>1957.6999999999971</v>
      </c>
      <c r="L18" s="131">
        <v>0</v>
      </c>
      <c r="M18" s="2">
        <v>1957.6999999999971</v>
      </c>
      <c r="N18">
        <v>0</v>
      </c>
      <c r="O18" t="s">
        <v>1341</v>
      </c>
      <c r="P18" s="131">
        <v>1.8127608825283244E-2</v>
      </c>
      <c r="Q18" s="131">
        <v>-2.3099999999999999E-2</v>
      </c>
      <c r="R18" s="2">
        <v>12.919876733436054</v>
      </c>
      <c r="S18" s="29">
        <v>43359</v>
      </c>
      <c r="W18" s="877"/>
      <c r="X18" s="647"/>
      <c r="Y18" s="877"/>
      <c r="Z18" s="877"/>
    </row>
    <row r="19" spans="1:33" ht="21.95" customHeight="1" x14ac:dyDescent="0.25">
      <c r="A19" s="50"/>
      <c r="B19" s="50"/>
      <c r="C19" s="51"/>
      <c r="D19"/>
      <c r="E19" s="22" t="s">
        <v>207</v>
      </c>
      <c r="F19" s="2">
        <v>16.45</v>
      </c>
      <c r="G19" s="2">
        <v>16.45</v>
      </c>
      <c r="H19">
        <v>0</v>
      </c>
      <c r="I19" s="2">
        <v>0</v>
      </c>
      <c r="J19" s="2">
        <v>0</v>
      </c>
      <c r="K19" s="2">
        <v>973.83000000000175</v>
      </c>
      <c r="L19" s="131">
        <v>0</v>
      </c>
      <c r="M19" s="2">
        <v>2131.6999999999971</v>
      </c>
      <c r="N19">
        <v>0</v>
      </c>
      <c r="P19" s="131">
        <v>8.9969604863221891E-2</v>
      </c>
      <c r="Q19" s="131">
        <v>1.47E-2</v>
      </c>
      <c r="R19" s="2">
        <v>4.1124999999999998</v>
      </c>
      <c r="T19" s="48"/>
      <c r="W19" s="877"/>
      <c r="X19" s="647"/>
      <c r="Y19" s="877"/>
    </row>
    <row r="20" spans="1:33" ht="21.95" customHeight="1" x14ac:dyDescent="0.25">
      <c r="A20" s="50"/>
      <c r="B20" s="50"/>
      <c r="C20" s="51"/>
      <c r="D20"/>
      <c r="E20" s="22" t="s">
        <v>218</v>
      </c>
      <c r="F20" s="2">
        <v>118.24</v>
      </c>
      <c r="G20" s="2">
        <v>118.24</v>
      </c>
      <c r="H20">
        <v>0</v>
      </c>
      <c r="I20" s="2">
        <v>0</v>
      </c>
      <c r="J20" s="2">
        <v>0</v>
      </c>
      <c r="K20" s="2">
        <v>0</v>
      </c>
      <c r="L20" s="131">
        <v>0</v>
      </c>
      <c r="M20" s="2">
        <v>231.53999999999996</v>
      </c>
      <c r="N20">
        <v>0</v>
      </c>
      <c r="P20" s="131">
        <v>1.6199999999999999E-2</v>
      </c>
      <c r="Q20" s="131">
        <v>9.4999999999999998E-3</v>
      </c>
      <c r="T20" s="277"/>
      <c r="W20" s="877"/>
      <c r="X20" s="647"/>
      <c r="Y20" s="877"/>
      <c r="Z20" s="877"/>
    </row>
    <row r="21" spans="1:33" ht="21.95" customHeight="1" x14ac:dyDescent="0.25">
      <c r="A21" s="50"/>
      <c r="B21" s="50"/>
      <c r="C21" s="51"/>
      <c r="D21"/>
      <c r="E21" s="22" t="s">
        <v>258</v>
      </c>
      <c r="F21" s="2">
        <v>158.71</v>
      </c>
      <c r="G21" s="2">
        <v>158.71</v>
      </c>
      <c r="H21">
        <v>0</v>
      </c>
      <c r="I21" s="2">
        <v>0</v>
      </c>
      <c r="J21" s="2">
        <v>0</v>
      </c>
      <c r="K21" s="2">
        <v>0</v>
      </c>
      <c r="L21" s="131">
        <v>0</v>
      </c>
      <c r="M21" s="2">
        <v>1857.7799999999988</v>
      </c>
      <c r="N21">
        <v>0</v>
      </c>
      <c r="P21" s="131">
        <v>1.49E-2</v>
      </c>
      <c r="Q21" s="131">
        <v>9.4000000000000004E-3</v>
      </c>
      <c r="T21" s="48"/>
      <c r="W21" s="877"/>
      <c r="X21" s="647"/>
      <c r="Y21" s="877"/>
    </row>
    <row r="22" spans="1:33" ht="21.95" customHeight="1" x14ac:dyDescent="0.25">
      <c r="A22" s="149"/>
      <c r="B22" s="50"/>
      <c r="C22" s="51"/>
      <c r="D22"/>
      <c r="E22" s="22" t="s">
        <v>23</v>
      </c>
      <c r="F22" s="2">
        <v>34.630000000000003</v>
      </c>
      <c r="G22" s="2">
        <v>34.630000000000003</v>
      </c>
      <c r="H22">
        <v>0</v>
      </c>
      <c r="I22" s="2">
        <v>0</v>
      </c>
      <c r="J22" s="2">
        <v>0</v>
      </c>
      <c r="K22" s="2">
        <v>0</v>
      </c>
      <c r="L22" s="131">
        <v>0</v>
      </c>
      <c r="M22" s="2">
        <v>171.89999999999964</v>
      </c>
      <c r="N22">
        <v>0</v>
      </c>
      <c r="P22" s="131">
        <v>0</v>
      </c>
      <c r="Q22" s="131">
        <v>1.14E-2</v>
      </c>
      <c r="W22" s="877"/>
      <c r="X22" s="647"/>
      <c r="Y22" s="877"/>
      <c r="Z22" s="877"/>
      <c r="AC22"/>
      <c r="AD22"/>
      <c r="AE22"/>
      <c r="AF22"/>
      <c r="AG22"/>
    </row>
    <row r="23" spans="1:33" ht="21.95" customHeight="1" x14ac:dyDescent="0.25">
      <c r="A23" s="50"/>
      <c r="B23" s="50"/>
      <c r="C23" s="51"/>
      <c r="D23"/>
      <c r="E23" s="22" t="s">
        <v>308</v>
      </c>
      <c r="F23" s="2">
        <v>6.08</v>
      </c>
      <c r="G23" s="2">
        <v>6.08</v>
      </c>
      <c r="H23">
        <v>0</v>
      </c>
      <c r="I23" s="2">
        <v>0</v>
      </c>
      <c r="J23" s="2">
        <v>0</v>
      </c>
      <c r="K23" s="2">
        <v>-1184.9399999999987</v>
      </c>
      <c r="L23" s="131">
        <v>0</v>
      </c>
      <c r="M23" s="2">
        <v>98.479999999995925</v>
      </c>
      <c r="N23">
        <v>0</v>
      </c>
      <c r="P23" s="131">
        <v>0</v>
      </c>
      <c r="Q23" s="131">
        <v>2.06E-2</v>
      </c>
      <c r="R23" s="2">
        <v>19</v>
      </c>
      <c r="W23" s="877"/>
      <c r="X23" s="647"/>
      <c r="Y23" s="877"/>
      <c r="Z23" s="647"/>
      <c r="AC23"/>
      <c r="AD23"/>
      <c r="AE23"/>
      <c r="AF23"/>
      <c r="AG23"/>
    </row>
    <row r="24" spans="1:33" ht="21.95" customHeight="1" x14ac:dyDescent="0.25">
      <c r="A24" s="50"/>
      <c r="B24" s="51"/>
      <c r="C24" s="51"/>
      <c r="D24"/>
      <c r="E24" s="22" t="s">
        <v>1300</v>
      </c>
      <c r="F24" s="2">
        <v>55.93</v>
      </c>
      <c r="G24" s="2">
        <v>55.93</v>
      </c>
      <c r="H24">
        <v>0</v>
      </c>
      <c r="I24" s="2">
        <v>0</v>
      </c>
      <c r="J24" s="2">
        <v>0</v>
      </c>
      <c r="K24" s="2">
        <v>0</v>
      </c>
      <c r="L24" s="131">
        <v>0</v>
      </c>
      <c r="M24" s="2">
        <v>264.92000000000007</v>
      </c>
      <c r="N24">
        <v>0</v>
      </c>
      <c r="P24" s="131">
        <v>3.4200000000000001E-2</v>
      </c>
      <c r="Q24" s="131">
        <v>0</v>
      </c>
      <c r="W24" s="877"/>
      <c r="X24" s="647"/>
      <c r="Y24" s="877"/>
      <c r="Z24" s="647"/>
    </row>
    <row r="25" spans="1:33" ht="21.95" customHeight="1" x14ac:dyDescent="0.25">
      <c r="A25" s="50"/>
      <c r="B25" s="50"/>
      <c r="C25" s="51"/>
      <c r="D25"/>
      <c r="E25" s="22" t="s">
        <v>284</v>
      </c>
      <c r="F25" s="2">
        <v>50.52</v>
      </c>
      <c r="G25" s="2">
        <v>50.52</v>
      </c>
      <c r="H25">
        <v>0</v>
      </c>
      <c r="I25" s="2">
        <v>0</v>
      </c>
      <c r="J25" s="2">
        <v>0</v>
      </c>
      <c r="K25" s="2">
        <v>0</v>
      </c>
      <c r="L25" s="131">
        <v>0</v>
      </c>
      <c r="M25" s="2">
        <v>910.79999999999927</v>
      </c>
      <c r="N25">
        <v>0</v>
      </c>
      <c r="P25" s="131">
        <v>2.87E-2</v>
      </c>
      <c r="Q25" s="131">
        <v>2.0400000000000001E-2</v>
      </c>
      <c r="W25" s="877"/>
      <c r="X25" s="647"/>
      <c r="Y25" s="877"/>
    </row>
    <row r="26" spans="1:33" ht="21.95" customHeight="1" x14ac:dyDescent="0.25">
      <c r="A26" s="50"/>
      <c r="B26" s="50"/>
      <c r="C26" s="51"/>
      <c r="D26"/>
      <c r="E26" s="22" t="s">
        <v>624</v>
      </c>
      <c r="F26" s="2">
        <v>17.440000000000001</v>
      </c>
      <c r="G26" s="2">
        <v>17.440000000000001</v>
      </c>
      <c r="H26">
        <v>0</v>
      </c>
      <c r="I26" s="2">
        <v>0</v>
      </c>
      <c r="J26" s="2">
        <v>0</v>
      </c>
      <c r="K26" s="2">
        <v>0</v>
      </c>
      <c r="L26" s="131">
        <v>0</v>
      </c>
      <c r="M26" s="2">
        <v>557.94000000000005</v>
      </c>
      <c r="N26">
        <v>0</v>
      </c>
      <c r="P26" s="131">
        <v>4.0599999999999997E-2</v>
      </c>
      <c r="Q26" s="131">
        <v>5.4999999999999997E-3</v>
      </c>
      <c r="V26" s="2"/>
      <c r="W26" s="877"/>
      <c r="X26" s="647"/>
      <c r="Y26" s="877"/>
    </row>
    <row r="27" spans="1:33" ht="21.95" customHeight="1" x14ac:dyDescent="0.25">
      <c r="A27" s="51"/>
      <c r="B27" s="50"/>
      <c r="C27" s="51"/>
      <c r="D27"/>
      <c r="E27" s="22" t="s">
        <v>240</v>
      </c>
      <c r="F27" s="2">
        <v>89.61</v>
      </c>
      <c r="G27" s="2">
        <v>89.61</v>
      </c>
      <c r="H27">
        <v>0</v>
      </c>
      <c r="I27" s="2">
        <v>0</v>
      </c>
      <c r="J27" s="2">
        <v>0</v>
      </c>
      <c r="K27" s="2">
        <v>0</v>
      </c>
      <c r="L27" s="131">
        <v>0</v>
      </c>
      <c r="M27" s="2">
        <v>329.74000000000069</v>
      </c>
      <c r="N27">
        <v>0</v>
      </c>
      <c r="P27" s="131">
        <v>0</v>
      </c>
      <c r="Q27" s="131">
        <v>5.0000000000000001E-4</v>
      </c>
      <c r="W27" s="877"/>
      <c r="X27" s="647"/>
      <c r="Y27" s="877"/>
    </row>
    <row r="28" spans="1:33" ht="21.95" customHeight="1" x14ac:dyDescent="0.25">
      <c r="A28" s="50"/>
      <c r="B28" s="50"/>
      <c r="C28" s="51"/>
      <c r="D28"/>
      <c r="E28" s="22" t="s">
        <v>604</v>
      </c>
      <c r="F28" s="2">
        <v>26.77</v>
      </c>
      <c r="G28" s="2">
        <v>26.77</v>
      </c>
      <c r="H28">
        <v>0</v>
      </c>
      <c r="I28" s="2">
        <v>0</v>
      </c>
      <c r="J28" s="2">
        <v>0</v>
      </c>
      <c r="K28" s="2">
        <v>0</v>
      </c>
      <c r="L28" s="131">
        <v>0</v>
      </c>
      <c r="M28" s="2">
        <v>309.26000000000022</v>
      </c>
      <c r="N28">
        <v>0</v>
      </c>
      <c r="P28" s="131">
        <v>8.8000000000000005E-3</v>
      </c>
      <c r="Q28" s="131">
        <v>6.0000000000000001E-3</v>
      </c>
      <c r="T28" s="48"/>
      <c r="W28" s="877"/>
      <c r="X28" s="647"/>
      <c r="Y28" s="877"/>
    </row>
    <row r="29" spans="1:33" ht="21.95" customHeight="1" x14ac:dyDescent="0.25">
      <c r="A29" s="50"/>
      <c r="B29" s="51"/>
      <c r="C29" s="51"/>
      <c r="D29"/>
      <c r="E29" s="22" t="s">
        <v>62</v>
      </c>
      <c r="F29" s="2">
        <v>239.96</v>
      </c>
      <c r="G29" s="2">
        <v>239.96</v>
      </c>
      <c r="H29">
        <v>0</v>
      </c>
      <c r="I29" s="2">
        <v>0</v>
      </c>
      <c r="J29" s="2">
        <v>0</v>
      </c>
      <c r="K29" s="2">
        <v>0</v>
      </c>
      <c r="L29" s="131">
        <v>0</v>
      </c>
      <c r="M29" s="2">
        <v>1659.3600000000079</v>
      </c>
      <c r="N29">
        <v>0</v>
      </c>
      <c r="P29" s="131">
        <v>0</v>
      </c>
      <c r="V29" s="2"/>
      <c r="W29" s="877"/>
      <c r="X29" s="647"/>
      <c r="Y29" s="877"/>
    </row>
    <row r="30" spans="1:33" ht="21.95" customHeight="1" x14ac:dyDescent="0.25">
      <c r="A30" s="50"/>
      <c r="B30" s="50"/>
      <c r="C30" s="51"/>
      <c r="D30"/>
      <c r="E30" s="22" t="s">
        <v>1325</v>
      </c>
      <c r="F30" s="2">
        <v>32.79</v>
      </c>
      <c r="G30" s="2">
        <v>32.79</v>
      </c>
      <c r="H30">
        <v>0</v>
      </c>
      <c r="I30" s="2">
        <v>0</v>
      </c>
      <c r="J30" s="2">
        <v>0</v>
      </c>
      <c r="K30" s="2">
        <v>0</v>
      </c>
      <c r="L30" s="131">
        <v>0</v>
      </c>
      <c r="M30" s="2">
        <v>937.36999999999534</v>
      </c>
      <c r="N30">
        <v>0</v>
      </c>
      <c r="P30" s="131">
        <v>0</v>
      </c>
      <c r="Q30" s="131">
        <v>1.9099999999999999E-2</v>
      </c>
      <c r="T30" s="48"/>
      <c r="W30" s="877"/>
      <c r="X30" s="647"/>
      <c r="Y30" s="877"/>
      <c r="AC30"/>
      <c r="AD30"/>
      <c r="AE30"/>
      <c r="AF30"/>
      <c r="AG30"/>
    </row>
    <row r="31" spans="1:33" ht="21.95" customHeight="1" x14ac:dyDescent="0.25">
      <c r="A31" s="50"/>
      <c r="B31" s="50"/>
      <c r="C31" s="51"/>
      <c r="D31"/>
      <c r="E31" s="22" t="s">
        <v>612</v>
      </c>
      <c r="F31" s="2">
        <v>287.57</v>
      </c>
      <c r="G31" s="2">
        <v>287.57</v>
      </c>
      <c r="H31">
        <v>0</v>
      </c>
      <c r="I31" s="2">
        <v>0</v>
      </c>
      <c r="J31" s="2">
        <v>0</v>
      </c>
      <c r="K31" s="2">
        <v>1550.08</v>
      </c>
      <c r="L31" s="131">
        <v>0</v>
      </c>
      <c r="M31" s="2">
        <v>1693.1100000000001</v>
      </c>
      <c r="N31">
        <v>0</v>
      </c>
      <c r="O31" t="s">
        <v>1299</v>
      </c>
      <c r="P31" s="131">
        <v>1.7387070974023717E-3</v>
      </c>
      <c r="Q31" s="131">
        <v>1.23E-2</v>
      </c>
      <c r="R31" s="2">
        <v>41.919825072886297</v>
      </c>
      <c r="W31" s="877"/>
      <c r="X31" s="647"/>
      <c r="Y31" s="877"/>
    </row>
    <row r="32" spans="1:33" ht="21.95" customHeight="1" x14ac:dyDescent="0.25">
      <c r="A32" s="50"/>
      <c r="B32" s="50"/>
      <c r="C32" s="51"/>
      <c r="D32"/>
      <c r="E32" s="22" t="s">
        <v>10</v>
      </c>
      <c r="F32" s="2">
        <v>21.3</v>
      </c>
      <c r="G32" s="2">
        <v>21.3</v>
      </c>
      <c r="H32">
        <v>0</v>
      </c>
      <c r="I32" s="2">
        <v>0</v>
      </c>
      <c r="J32" s="2">
        <v>0</v>
      </c>
      <c r="K32" s="2">
        <v>0</v>
      </c>
      <c r="L32" s="131">
        <v>0</v>
      </c>
      <c r="M32" s="2">
        <v>1128.3800000000047</v>
      </c>
      <c r="N32">
        <v>0</v>
      </c>
      <c r="P32" s="131">
        <v>1.2500000000000001E-2</v>
      </c>
      <c r="Q32" s="131">
        <v>-8.0000000000000004E-4</v>
      </c>
      <c r="W32" s="877"/>
      <c r="X32" s="647"/>
      <c r="Y32" s="877"/>
    </row>
    <row r="33" spans="1:33" ht="21.95" customHeight="1" x14ac:dyDescent="0.25">
      <c r="A33" s="51"/>
      <c r="B33" s="51"/>
      <c r="C33" s="51"/>
      <c r="D33"/>
      <c r="E33" s="22" t="s">
        <v>666</v>
      </c>
      <c r="F33" s="2">
        <v>277.44</v>
      </c>
      <c r="G33" s="2">
        <v>277.44</v>
      </c>
      <c r="H33">
        <v>0</v>
      </c>
      <c r="I33" s="2">
        <v>0</v>
      </c>
      <c r="J33" s="2">
        <v>0</v>
      </c>
      <c r="K33" s="2">
        <v>0</v>
      </c>
      <c r="L33" s="131">
        <v>0</v>
      </c>
      <c r="M33" s="2">
        <v>843.18000000000029</v>
      </c>
      <c r="N33">
        <v>0</v>
      </c>
      <c r="P33" s="131">
        <v>2.8E-3</v>
      </c>
      <c r="Q33" s="131">
        <v>1.3899999999999999E-2</v>
      </c>
      <c r="W33" s="877"/>
      <c r="X33" s="647"/>
      <c r="Y33" s="877"/>
      <c r="Z33" s="877"/>
    </row>
    <row r="34" spans="1:33" ht="21.95" customHeight="1" x14ac:dyDescent="0.25">
      <c r="A34" s="50"/>
      <c r="B34" s="50"/>
      <c r="C34" s="51"/>
      <c r="D34"/>
      <c r="E34" s="22" t="s">
        <v>1277</v>
      </c>
      <c r="F34" s="2">
        <v>47.77</v>
      </c>
      <c r="G34" s="2">
        <v>47.77</v>
      </c>
      <c r="H34">
        <v>0</v>
      </c>
      <c r="I34" s="2">
        <v>0</v>
      </c>
      <c r="J34" s="2">
        <v>0</v>
      </c>
      <c r="K34" s="2">
        <v>229.9399999999996</v>
      </c>
      <c r="L34" s="131">
        <v>0</v>
      </c>
      <c r="M34" s="2">
        <v>229.9399999999996</v>
      </c>
      <c r="N34">
        <v>0</v>
      </c>
      <c r="O34" t="s">
        <v>1298</v>
      </c>
      <c r="P34" s="131">
        <v>2.4182541343939708E-2</v>
      </c>
      <c r="Q34" s="131">
        <v>2.4500000000000001E-2</v>
      </c>
      <c r="V34" s="2"/>
      <c r="W34" s="2"/>
      <c r="X34" s="647"/>
      <c r="Y34" s="877"/>
    </row>
    <row r="35" spans="1:33" ht="21.95" customHeight="1" x14ac:dyDescent="0.25">
      <c r="A35" s="50"/>
      <c r="B35" s="50"/>
      <c r="C35" s="51"/>
      <c r="D35"/>
      <c r="E35" s="22" t="s">
        <v>611</v>
      </c>
      <c r="F35" s="2">
        <v>161.22</v>
      </c>
      <c r="G35" s="2">
        <v>161.22</v>
      </c>
      <c r="H35">
        <v>0</v>
      </c>
      <c r="I35" s="2">
        <v>0</v>
      </c>
      <c r="J35" s="2">
        <v>0</v>
      </c>
      <c r="K35" s="2">
        <v>2714.0600000000013</v>
      </c>
      <c r="L35" s="131">
        <v>0</v>
      </c>
      <c r="M35" s="2">
        <v>2714.0600000000013</v>
      </c>
      <c r="N35">
        <v>0</v>
      </c>
      <c r="P35" s="131">
        <v>2.8E-3</v>
      </c>
      <c r="Q35" s="131">
        <v>1.29E-2</v>
      </c>
      <c r="R35" s="2">
        <v>24.098654708520179</v>
      </c>
      <c r="T35" s="48"/>
      <c r="W35" s="877"/>
      <c r="X35" s="647"/>
      <c r="Y35" s="877"/>
    </row>
    <row r="36" spans="1:33" ht="21.95" customHeight="1" x14ac:dyDescent="0.25">
      <c r="A36" s="50"/>
      <c r="B36" s="50"/>
      <c r="C36" s="51"/>
      <c r="D36"/>
      <c r="E36" s="22" t="s">
        <v>664</v>
      </c>
      <c r="F36" s="2">
        <v>1147.26</v>
      </c>
      <c r="G36" s="2">
        <v>1147.26</v>
      </c>
      <c r="H36">
        <v>0</v>
      </c>
      <c r="I36" s="2">
        <v>0</v>
      </c>
      <c r="J36" s="2">
        <v>0</v>
      </c>
      <c r="K36" s="2">
        <v>0</v>
      </c>
      <c r="L36" s="131">
        <v>0</v>
      </c>
      <c r="M36" s="2">
        <v>559.89000000000033</v>
      </c>
      <c r="N36">
        <v>0</v>
      </c>
      <c r="P36" s="131">
        <v>0</v>
      </c>
      <c r="Q36" s="131">
        <v>-8.0000000000000004E-4</v>
      </c>
      <c r="T36" s="48"/>
      <c r="W36" s="877"/>
      <c r="X36" s="647"/>
      <c r="Y36" s="877"/>
    </row>
    <row r="37" spans="1:33" ht="21.95" customHeight="1" x14ac:dyDescent="0.25">
      <c r="A37" s="50"/>
      <c r="B37" s="51"/>
      <c r="C37" s="51"/>
      <c r="D37"/>
      <c r="E37" s="22" t="s">
        <v>752</v>
      </c>
      <c r="F37" s="2">
        <v>843.29</v>
      </c>
      <c r="G37" s="2">
        <v>843.29</v>
      </c>
      <c r="H37">
        <v>0</v>
      </c>
      <c r="I37" s="2">
        <v>0</v>
      </c>
      <c r="J37" s="2">
        <v>0</v>
      </c>
      <c r="K37" s="2">
        <v>0</v>
      </c>
      <c r="L37" s="131">
        <v>0</v>
      </c>
      <c r="M37" s="2">
        <v>1264.8599999999997</v>
      </c>
      <c r="N37">
        <v>0</v>
      </c>
      <c r="P37" s="131">
        <v>0</v>
      </c>
      <c r="Q37" s="131">
        <v>1.7899999999999999E-2</v>
      </c>
      <c r="T37" s="48"/>
      <c r="W37" s="877"/>
      <c r="X37" s="647"/>
      <c r="Y37" s="877"/>
    </row>
    <row r="38" spans="1:33" ht="21.95" customHeight="1" x14ac:dyDescent="0.25">
      <c r="A38" s="50"/>
      <c r="B38" s="51"/>
      <c r="C38" s="51"/>
      <c r="D38"/>
      <c r="E38" s="22" t="s">
        <v>267</v>
      </c>
      <c r="F38" s="2">
        <v>76.58</v>
      </c>
      <c r="G38" s="2">
        <v>76.58</v>
      </c>
      <c r="H38">
        <v>0</v>
      </c>
      <c r="I38" s="2">
        <v>0</v>
      </c>
      <c r="J38" s="2">
        <v>0</v>
      </c>
      <c r="K38" s="2">
        <v>4105.7400000000052</v>
      </c>
      <c r="L38" s="131">
        <v>0</v>
      </c>
      <c r="M38" s="2">
        <v>4302.9500000000007</v>
      </c>
      <c r="N38">
        <v>0</v>
      </c>
      <c r="O38" t="s">
        <v>1353</v>
      </c>
      <c r="P38" s="131">
        <v>2.6116479498563595E-2</v>
      </c>
      <c r="Q38" s="131">
        <v>-9.7999999999999997E-3</v>
      </c>
      <c r="R38" s="2">
        <v>11.294985250737463</v>
      </c>
      <c r="S38" s="29">
        <v>43324</v>
      </c>
      <c r="T38" s="48"/>
      <c r="W38" s="877"/>
      <c r="X38" s="647"/>
      <c r="Y38" s="877"/>
    </row>
    <row r="39" spans="1:33" ht="21.95" customHeight="1" x14ac:dyDescent="0.25">
      <c r="A39" s="50"/>
      <c r="B39" s="51"/>
      <c r="C39" s="51"/>
      <c r="D39"/>
      <c r="E39" s="22" t="s">
        <v>1234</v>
      </c>
      <c r="F39" s="2">
        <v>30.69</v>
      </c>
      <c r="G39" s="2">
        <v>30.69</v>
      </c>
      <c r="H39">
        <v>0</v>
      </c>
      <c r="I39" s="2">
        <v>0</v>
      </c>
      <c r="J39" s="2">
        <v>0</v>
      </c>
      <c r="K39" s="2">
        <v>863.92000000000007</v>
      </c>
      <c r="L39" s="131">
        <v>0</v>
      </c>
      <c r="M39" s="2">
        <v>863.92000000000007</v>
      </c>
      <c r="N39">
        <v>0</v>
      </c>
      <c r="P39" s="131">
        <v>0</v>
      </c>
      <c r="Q39" s="131">
        <v>-5.1000000000000004E-3</v>
      </c>
      <c r="T39" s="48"/>
      <c r="W39" s="877"/>
      <c r="X39" s="647"/>
      <c r="Y39" s="877"/>
      <c r="Z39" s="647"/>
    </row>
    <row r="40" spans="1:33" ht="21.95" customHeight="1" x14ac:dyDescent="0.25">
      <c r="A40" s="50"/>
      <c r="B40" s="51"/>
      <c r="C40" s="51"/>
      <c r="D40"/>
      <c r="E40" s="22" t="s">
        <v>1263</v>
      </c>
      <c r="F40" s="2">
        <v>35.64</v>
      </c>
      <c r="G40" s="2">
        <v>35.64</v>
      </c>
      <c r="H40">
        <v>0</v>
      </c>
      <c r="I40" s="2">
        <v>0</v>
      </c>
      <c r="J40" s="2">
        <v>0</v>
      </c>
      <c r="K40" s="2">
        <v>593.93000000000029</v>
      </c>
      <c r="L40" s="131">
        <v>0</v>
      </c>
      <c r="M40" s="2">
        <v>593.93000000000029</v>
      </c>
      <c r="N40">
        <v>0</v>
      </c>
      <c r="O40" t="s">
        <v>1303</v>
      </c>
      <c r="P40" s="131">
        <v>0</v>
      </c>
      <c r="Q40" s="131">
        <v>-4.4000000000000003E-3</v>
      </c>
      <c r="R40" s="2">
        <v>8.1</v>
      </c>
      <c r="W40" s="877"/>
      <c r="X40" s="647"/>
      <c r="Y40" s="877"/>
    </row>
    <row r="41" spans="1:33" ht="21.95" customHeight="1" x14ac:dyDescent="0.25">
      <c r="A41" s="51"/>
      <c r="B41" s="51"/>
      <c r="C41" s="51"/>
      <c r="D41"/>
      <c r="E41" s="22" t="s">
        <v>1269</v>
      </c>
      <c r="F41" s="2">
        <v>80.13</v>
      </c>
      <c r="G41" s="2">
        <v>80.13</v>
      </c>
      <c r="H41">
        <v>0</v>
      </c>
      <c r="I41" s="2">
        <v>0</v>
      </c>
      <c r="J41" s="2">
        <v>0</v>
      </c>
      <c r="K41" s="2">
        <v>117.11999999999898</v>
      </c>
      <c r="L41" s="131">
        <v>0</v>
      </c>
      <c r="M41" s="2">
        <v>117.11999999999898</v>
      </c>
      <c r="N41">
        <v>0</v>
      </c>
      <c r="O41" t="s">
        <v>1304</v>
      </c>
      <c r="P41" s="131">
        <v>1.0982153999750405E-2</v>
      </c>
      <c r="Q41" s="131">
        <v>8.6E-3</v>
      </c>
      <c r="R41" s="2">
        <v>18.211363636363632</v>
      </c>
      <c r="S41" s="29">
        <v>43436</v>
      </c>
      <c r="W41" s="877"/>
      <c r="X41" s="647"/>
      <c r="Y41" s="877"/>
      <c r="Z41" s="877"/>
      <c r="AC41"/>
      <c r="AD41"/>
      <c r="AE41"/>
      <c r="AF41"/>
      <c r="AG41"/>
    </row>
    <row r="42" spans="1:33" ht="21.95" customHeight="1" x14ac:dyDescent="0.25">
      <c r="A42" s="50"/>
      <c r="B42" s="50"/>
      <c r="C42" s="51"/>
      <c r="D42"/>
      <c r="E42" s="22" t="s">
        <v>259</v>
      </c>
      <c r="F42" s="2">
        <v>32.270000000000003</v>
      </c>
      <c r="G42" s="2">
        <v>32.270000000000003</v>
      </c>
      <c r="H42">
        <v>0</v>
      </c>
      <c r="I42" s="2">
        <v>0</v>
      </c>
      <c r="J42" s="2">
        <v>0</v>
      </c>
      <c r="K42" s="2">
        <v>0</v>
      </c>
      <c r="L42" s="131">
        <v>0</v>
      </c>
      <c r="M42" s="2">
        <v>98.449999999999818</v>
      </c>
      <c r="N42">
        <v>0</v>
      </c>
      <c r="P42" s="131">
        <v>1.11E-2</v>
      </c>
      <c r="Q42" s="131">
        <v>3.0999999999999999E-3</v>
      </c>
      <c r="W42" s="877"/>
      <c r="X42" s="647"/>
      <c r="Y42" s="877"/>
      <c r="Z42" s="647"/>
      <c r="AC42"/>
      <c r="AD42"/>
      <c r="AE42"/>
      <c r="AF42"/>
      <c r="AG42"/>
    </row>
    <row r="43" spans="1:33" ht="21.95" customHeight="1" x14ac:dyDescent="0.25">
      <c r="A43" s="50"/>
      <c r="B43" s="50"/>
      <c r="C43" s="51"/>
      <c r="D43"/>
      <c r="E43" s="22" t="s">
        <v>1235</v>
      </c>
      <c r="F43" s="2">
        <v>145.66999999999999</v>
      </c>
      <c r="G43" s="2">
        <v>145.66999999999999</v>
      </c>
      <c r="H43">
        <v>0</v>
      </c>
      <c r="I43" s="2">
        <v>0</v>
      </c>
      <c r="J43" s="2">
        <v>0</v>
      </c>
      <c r="K43" s="2">
        <v>173.36000000000058</v>
      </c>
      <c r="L43" s="131">
        <v>0</v>
      </c>
      <c r="M43" s="2">
        <v>173.36000000000058</v>
      </c>
      <c r="N43">
        <v>0</v>
      </c>
      <c r="O43" t="s">
        <v>1297</v>
      </c>
      <c r="P43" s="131">
        <v>0</v>
      </c>
      <c r="Q43" s="131">
        <v>4.1999999999999997E-3</v>
      </c>
      <c r="W43" s="877"/>
      <c r="X43" s="877"/>
      <c r="Y43" s="647"/>
      <c r="AC43"/>
      <c r="AD43"/>
      <c r="AE43"/>
      <c r="AF43"/>
      <c r="AG43"/>
    </row>
    <row r="44" spans="1:33" ht="21.95" customHeight="1" x14ac:dyDescent="0.25">
      <c r="A44" s="50"/>
      <c r="B44" s="50"/>
      <c r="C44" s="51"/>
      <c r="D44"/>
      <c r="E44" s="22" t="s">
        <v>1283</v>
      </c>
      <c r="F44" s="2">
        <v>47.7</v>
      </c>
      <c r="G44" s="2">
        <v>47.7</v>
      </c>
      <c r="H44">
        <v>0</v>
      </c>
      <c r="I44" s="2">
        <v>0</v>
      </c>
      <c r="J44" s="2">
        <v>0</v>
      </c>
      <c r="K44" s="2">
        <v>-0.63999999999987267</v>
      </c>
      <c r="L44" s="131">
        <v>0</v>
      </c>
      <c r="M44" s="2">
        <v>-0.63999999999987267</v>
      </c>
      <c r="N44">
        <v>0</v>
      </c>
      <c r="P44" s="131">
        <v>1.8448637316561843E-2</v>
      </c>
      <c r="Q44" s="131">
        <v>1.2699999999999999E-2</v>
      </c>
      <c r="R44" s="2">
        <v>10.84090909090909</v>
      </c>
      <c r="T44" s="48"/>
      <c r="W44" s="877"/>
      <c r="X44" s="647"/>
      <c r="Y44" s="877"/>
      <c r="Z44" s="647"/>
    </row>
    <row r="45" spans="1:33" ht="21.95" customHeight="1" x14ac:dyDescent="0.25">
      <c r="A45" s="50"/>
      <c r="B45" s="50"/>
      <c r="C45" s="51"/>
      <c r="D45"/>
      <c r="E45" s="22" t="s">
        <v>1268</v>
      </c>
      <c r="F45" s="2">
        <v>25.83</v>
      </c>
      <c r="G45" s="2">
        <v>25.83</v>
      </c>
      <c r="H45">
        <v>0</v>
      </c>
      <c r="I45" s="2">
        <v>0</v>
      </c>
      <c r="J45" s="2">
        <v>0</v>
      </c>
      <c r="K45" s="2">
        <v>718.7599999999984</v>
      </c>
      <c r="L45" s="131">
        <v>0</v>
      </c>
      <c r="M45" s="2">
        <v>718.7599999999984</v>
      </c>
      <c r="N45">
        <v>0</v>
      </c>
      <c r="O45" t="s">
        <v>1309</v>
      </c>
      <c r="P45" s="131">
        <v>1.2388695315524586E-2</v>
      </c>
      <c r="Q45" s="131">
        <v>-8.8999999999999999E-3</v>
      </c>
      <c r="T45" s="48"/>
      <c r="W45" s="877"/>
      <c r="X45" s="647"/>
      <c r="Y45" s="877"/>
      <c r="Z45" s="647"/>
    </row>
    <row r="46" spans="1:33" ht="21.95" customHeight="1" x14ac:dyDescent="0.25">
      <c r="A46" s="50"/>
      <c r="B46" s="50"/>
      <c r="C46" s="51"/>
      <c r="D46"/>
      <c r="E46" s="22" t="s">
        <v>1281</v>
      </c>
      <c r="F46" s="2">
        <v>13.55</v>
      </c>
      <c r="G46" s="2">
        <v>13.55</v>
      </c>
      <c r="H46">
        <v>0</v>
      </c>
      <c r="I46" s="2">
        <v>0</v>
      </c>
      <c r="J46" s="2">
        <v>0</v>
      </c>
      <c r="K46" s="2">
        <v>450.96000000000004</v>
      </c>
      <c r="L46" s="131">
        <v>0</v>
      </c>
      <c r="M46" s="2">
        <v>450.96000000000004</v>
      </c>
      <c r="N46">
        <v>0</v>
      </c>
      <c r="O46" t="s">
        <v>1327</v>
      </c>
      <c r="P46" s="131">
        <v>8.5254612546125458E-2</v>
      </c>
      <c r="Q46" s="131">
        <v>3.7900000000000003E-2</v>
      </c>
      <c r="W46" s="877"/>
      <c r="X46" s="647"/>
      <c r="Y46" s="877"/>
    </row>
    <row r="47" spans="1:33" ht="21.95" customHeight="1" x14ac:dyDescent="0.25">
      <c r="A47" s="50"/>
      <c r="B47" s="50"/>
      <c r="C47" s="51"/>
      <c r="D47"/>
      <c r="E47" s="22" t="s">
        <v>892</v>
      </c>
      <c r="F47" s="2">
        <v>52.28</v>
      </c>
      <c r="G47" s="2">
        <v>52.28</v>
      </c>
      <c r="H47">
        <v>0</v>
      </c>
      <c r="I47" s="2">
        <v>0</v>
      </c>
      <c r="J47" s="2">
        <v>0</v>
      </c>
      <c r="K47" s="2">
        <v>86.249999999996362</v>
      </c>
      <c r="L47" s="131">
        <v>0</v>
      </c>
      <c r="M47" s="2">
        <v>86.249999999996362</v>
      </c>
      <c r="N47">
        <v>0</v>
      </c>
      <c r="O47" t="s">
        <v>1311</v>
      </c>
      <c r="P47" s="131">
        <v>6.6947207345065029E-3</v>
      </c>
      <c r="Q47" s="131">
        <v>0</v>
      </c>
      <c r="R47" s="2">
        <v>25.195180722891564</v>
      </c>
      <c r="S47" s="29">
        <v>43425</v>
      </c>
      <c r="W47" s="877"/>
      <c r="X47" s="647"/>
      <c r="Y47" s="877"/>
    </row>
    <row r="48" spans="1:33" ht="21.95" customHeight="1" x14ac:dyDescent="0.25">
      <c r="A48" s="50"/>
      <c r="B48" s="50"/>
      <c r="C48" s="51"/>
      <c r="D48"/>
      <c r="E48" s="22" t="s">
        <v>1320</v>
      </c>
      <c r="F48" s="2">
        <v>54.18</v>
      </c>
      <c r="G48" s="2">
        <v>54.18</v>
      </c>
      <c r="H48">
        <v>0</v>
      </c>
      <c r="I48" s="2">
        <v>0</v>
      </c>
      <c r="J48" s="2">
        <v>0</v>
      </c>
      <c r="K48" s="2">
        <v>469.9399999999996</v>
      </c>
      <c r="L48" s="131">
        <v>0</v>
      </c>
      <c r="M48" s="2">
        <v>469.9399999999996</v>
      </c>
      <c r="N48">
        <v>0</v>
      </c>
      <c r="P48" s="131">
        <v>6.275378368401625E-3</v>
      </c>
      <c r="Q48" s="131">
        <v>-8.6999999999999994E-3</v>
      </c>
      <c r="T48" s="48"/>
      <c r="V48" s="2"/>
      <c r="W48" s="877"/>
      <c r="X48" s="647"/>
      <c r="Y48" s="877"/>
    </row>
    <row r="49" spans="1:33" ht="21.95" customHeight="1" x14ac:dyDescent="0.25">
      <c r="A49" s="50"/>
      <c r="B49" s="50"/>
      <c r="C49" s="51"/>
      <c r="D49"/>
      <c r="E49" s="22" t="s">
        <v>1249</v>
      </c>
      <c r="F49" s="2">
        <v>89.35</v>
      </c>
      <c r="G49" s="2">
        <v>89.35</v>
      </c>
      <c r="H49">
        <v>0</v>
      </c>
      <c r="I49" s="2">
        <v>0</v>
      </c>
      <c r="J49" s="2">
        <v>0</v>
      </c>
      <c r="K49" s="2">
        <v>74.930000000000291</v>
      </c>
      <c r="L49" s="131">
        <v>0</v>
      </c>
      <c r="M49" s="2">
        <v>74.930000000000291</v>
      </c>
      <c r="N49">
        <v>0</v>
      </c>
      <c r="O49" t="s">
        <v>1308</v>
      </c>
      <c r="P49" s="131">
        <v>2.0145495243424735E-2</v>
      </c>
      <c r="Q49" s="131">
        <v>-6.9999999999999999E-4</v>
      </c>
      <c r="T49" s="48"/>
      <c r="W49" s="877"/>
      <c r="X49" s="647"/>
      <c r="Y49" s="877"/>
    </row>
    <row r="50" spans="1:33" ht="21.95" customHeight="1" x14ac:dyDescent="0.25">
      <c r="A50" s="51"/>
      <c r="B50" s="51"/>
      <c r="C50" s="51"/>
      <c r="D50"/>
      <c r="E50" s="22" t="s">
        <v>1275</v>
      </c>
      <c r="F50" s="2">
        <v>133.75</v>
      </c>
      <c r="G50" s="2">
        <v>133.75</v>
      </c>
      <c r="H50">
        <v>0</v>
      </c>
      <c r="I50" s="2">
        <v>0</v>
      </c>
      <c r="J50" s="2">
        <v>0</v>
      </c>
      <c r="K50" s="2">
        <v>94.199999999999818</v>
      </c>
      <c r="L50" s="131">
        <v>0</v>
      </c>
      <c r="M50" s="2">
        <v>94.199999999999818</v>
      </c>
      <c r="N50">
        <v>0</v>
      </c>
      <c r="O50" t="s">
        <v>1293</v>
      </c>
      <c r="P50" s="131">
        <v>6.5794392523364489E-3</v>
      </c>
      <c r="Q50" s="131">
        <v>3.9100000000000003E-2</v>
      </c>
      <c r="R50" s="2">
        <v>30.39772727272727</v>
      </c>
      <c r="W50" s="877"/>
      <c r="X50" s="647"/>
      <c r="Y50" s="877"/>
      <c r="Z50" s="647"/>
    </row>
    <row r="51" spans="1:33" ht="21.95" customHeight="1" x14ac:dyDescent="0.25">
      <c r="A51" s="51"/>
      <c r="B51" s="51"/>
      <c r="C51" s="51"/>
      <c r="D51"/>
      <c r="E51" s="22" t="s">
        <v>46</v>
      </c>
      <c r="F51" s="2">
        <v>11.51</v>
      </c>
      <c r="G51" s="2">
        <v>11.51</v>
      </c>
      <c r="H51">
        <v>0</v>
      </c>
      <c r="I51" s="2">
        <v>0</v>
      </c>
      <c r="J51" s="2">
        <v>0</v>
      </c>
      <c r="K51" s="2">
        <v>470.39999999999964</v>
      </c>
      <c r="L51" s="131">
        <v>0</v>
      </c>
      <c r="M51" s="2">
        <v>470.39999999999964</v>
      </c>
      <c r="N51">
        <v>0</v>
      </c>
      <c r="O51" t="s">
        <v>1326</v>
      </c>
      <c r="P51" s="131">
        <v>2.1720243266724587E-2</v>
      </c>
      <c r="Q51" s="131">
        <v>4.7E-2</v>
      </c>
      <c r="R51" s="2">
        <v>8.5259259259259252</v>
      </c>
      <c r="S51" s="29">
        <v>43461</v>
      </c>
      <c r="T51" s="48"/>
      <c r="W51" s="877"/>
      <c r="X51" s="647"/>
      <c r="Y51" s="877"/>
      <c r="Z51" s="647"/>
    </row>
    <row r="52" spans="1:33" ht="21.95" customHeight="1" x14ac:dyDescent="0.25">
      <c r="A52" s="50"/>
      <c r="B52" s="51"/>
      <c r="C52" s="51"/>
      <c r="D52"/>
      <c r="E52" s="22" t="s">
        <v>970</v>
      </c>
      <c r="F52" s="2">
        <v>60.56</v>
      </c>
      <c r="G52" s="2">
        <v>60.56</v>
      </c>
      <c r="H52">
        <v>0</v>
      </c>
      <c r="I52" s="2">
        <v>0</v>
      </c>
      <c r="J52" s="2">
        <v>0</v>
      </c>
      <c r="K52" s="2">
        <v>458.44000000000051</v>
      </c>
      <c r="L52" s="131">
        <v>0</v>
      </c>
      <c r="M52" s="2">
        <v>458.44000000000051</v>
      </c>
      <c r="N52">
        <v>0</v>
      </c>
      <c r="P52" s="131">
        <v>2.4768824306472918E-2</v>
      </c>
      <c r="Q52" s="131">
        <v>4.1999999999999997E-3</v>
      </c>
      <c r="T52" s="48"/>
      <c r="W52" s="877"/>
      <c r="X52" s="647"/>
      <c r="Y52" s="877"/>
    </row>
    <row r="53" spans="1:33" ht="21.95" customHeight="1" x14ac:dyDescent="0.25">
      <c r="A53" s="57"/>
      <c r="B53" s="58"/>
      <c r="C53" s="57"/>
      <c r="D53"/>
      <c r="E53" s="22" t="s">
        <v>192</v>
      </c>
      <c r="F53" s="2">
        <v>9.16</v>
      </c>
      <c r="G53" s="2">
        <v>9.16</v>
      </c>
      <c r="H53">
        <v>0</v>
      </c>
      <c r="I53" s="2">
        <v>0</v>
      </c>
      <c r="J53" s="2">
        <v>0</v>
      </c>
      <c r="K53" s="2">
        <v>0</v>
      </c>
      <c r="L53" s="131">
        <v>0</v>
      </c>
      <c r="M53" s="2">
        <v>495.20999999999913</v>
      </c>
      <c r="N53">
        <v>0</v>
      </c>
      <c r="P53" s="131">
        <v>5.1499999999999997E-2</v>
      </c>
      <c r="Q53" s="131">
        <v>-2.0500000000000001E-2</v>
      </c>
      <c r="W53" s="877"/>
      <c r="X53" s="647"/>
      <c r="Y53" s="877"/>
      <c r="Z53" s="647"/>
    </row>
    <row r="54" spans="1:33" ht="21.95" customHeight="1" x14ac:dyDescent="0.25">
      <c r="A54" s="50"/>
      <c r="B54" s="50"/>
      <c r="C54" s="51"/>
      <c r="D54"/>
      <c r="E54" s="22" t="s">
        <v>262</v>
      </c>
      <c r="F54" s="2">
        <v>131.74</v>
      </c>
      <c r="G54" s="2">
        <v>131.74</v>
      </c>
      <c r="H54">
        <v>0</v>
      </c>
      <c r="I54" s="2">
        <v>0</v>
      </c>
      <c r="J54" s="2">
        <v>0</v>
      </c>
      <c r="K54" s="2">
        <v>765.82999999999993</v>
      </c>
      <c r="L54" s="131">
        <v>0</v>
      </c>
      <c r="M54" s="2">
        <v>920.60999999999967</v>
      </c>
      <c r="N54">
        <v>0</v>
      </c>
      <c r="P54" s="131">
        <v>2.5700000000000001E-2</v>
      </c>
      <c r="Q54" s="131">
        <v>1.49E-2</v>
      </c>
      <c r="R54" s="2">
        <v>16.224137931034484</v>
      </c>
      <c r="W54" s="877"/>
      <c r="X54" s="647"/>
      <c r="Y54" s="877"/>
    </row>
    <row r="55" spans="1:33" ht="21.95" customHeight="1" x14ac:dyDescent="0.25">
      <c r="A55" s="50"/>
      <c r="B55" s="50"/>
      <c r="C55" s="51"/>
      <c r="D55"/>
      <c r="E55" s="22" t="s">
        <v>757</v>
      </c>
      <c r="F55" s="2">
        <v>103.62</v>
      </c>
      <c r="G55" s="2">
        <v>103.62</v>
      </c>
      <c r="H55">
        <v>0</v>
      </c>
      <c r="I55" s="2">
        <v>0</v>
      </c>
      <c r="J55" s="2">
        <v>0</v>
      </c>
      <c r="K55" s="2">
        <v>695.89000000000033</v>
      </c>
      <c r="L55" s="131">
        <v>0</v>
      </c>
      <c r="M55" s="2">
        <v>1673.0599999999986</v>
      </c>
      <c r="N55">
        <v>0</v>
      </c>
      <c r="O55" t="s">
        <v>1306</v>
      </c>
      <c r="P55" s="131">
        <v>6.5624396834587919E-3</v>
      </c>
      <c r="Q55" s="131">
        <v>2.1000000000000001E-2</v>
      </c>
      <c r="R55" s="2">
        <v>21.814736842105265</v>
      </c>
      <c r="T55" s="48"/>
      <c r="W55" s="877"/>
      <c r="X55" s="647"/>
      <c r="Y55" s="877"/>
      <c r="AC55"/>
      <c r="AD55"/>
      <c r="AE55"/>
      <c r="AF55"/>
      <c r="AG55"/>
    </row>
    <row r="56" spans="1:33" ht="21.95" customHeight="1" x14ac:dyDescent="0.25">
      <c r="A56" s="50"/>
      <c r="B56" s="50"/>
      <c r="C56" s="51"/>
      <c r="D56"/>
      <c r="E56" s="22" t="s">
        <v>886</v>
      </c>
      <c r="F56" s="2">
        <v>46.22</v>
      </c>
      <c r="G56" s="2">
        <v>46.22</v>
      </c>
      <c r="H56">
        <v>0</v>
      </c>
      <c r="I56" s="2">
        <v>0</v>
      </c>
      <c r="J56" s="2">
        <v>0</v>
      </c>
      <c r="K56" s="2">
        <v>1966.5599999999977</v>
      </c>
      <c r="L56" s="131">
        <v>0</v>
      </c>
      <c r="M56" s="2">
        <v>1966.5599999999977</v>
      </c>
      <c r="N56">
        <v>0</v>
      </c>
      <c r="O56" t="s">
        <v>1315</v>
      </c>
      <c r="P56" s="131">
        <v>1.6443098225876245E-2</v>
      </c>
      <c r="Q56" s="131">
        <v>1.11E-2</v>
      </c>
      <c r="R56" s="2">
        <v>18.488</v>
      </c>
      <c r="S56" s="29">
        <v>43366</v>
      </c>
      <c r="W56" s="877"/>
      <c r="X56" s="647"/>
      <c r="Y56" s="877"/>
    </row>
    <row r="57" spans="1:33" ht="21.95" customHeight="1" x14ac:dyDescent="0.25">
      <c r="A57" s="50"/>
      <c r="B57" s="50"/>
      <c r="C57" s="51"/>
      <c r="D57"/>
      <c r="E57" s="22" t="s">
        <v>887</v>
      </c>
      <c r="F57" s="2">
        <v>50.79</v>
      </c>
      <c r="G57" s="2">
        <v>50.79</v>
      </c>
      <c r="H57">
        <v>0</v>
      </c>
      <c r="I57" s="2">
        <v>0</v>
      </c>
      <c r="J57" s="2">
        <v>0</v>
      </c>
      <c r="K57" s="2">
        <v>500.88000000000011</v>
      </c>
      <c r="L57" s="131">
        <v>0</v>
      </c>
      <c r="M57" s="2">
        <v>500.88000000000011</v>
      </c>
      <c r="N57">
        <v>0</v>
      </c>
      <c r="P57" s="131">
        <v>1.2600905690096476E-2</v>
      </c>
      <c r="Q57" s="131">
        <v>6.7000000000000002E-3</v>
      </c>
      <c r="R57" s="2">
        <v>6.8821138211382111</v>
      </c>
      <c r="T57" s="48"/>
      <c r="W57" s="877"/>
      <c r="X57" s="647"/>
      <c r="Y57" s="877"/>
      <c r="Z57" s="877"/>
    </row>
    <row r="58" spans="1:33" ht="21.95" customHeight="1" x14ac:dyDescent="0.25">
      <c r="A58" s="51"/>
      <c r="B58" s="149"/>
      <c r="C58" s="268"/>
      <c r="D58"/>
      <c r="E58" s="22" t="s">
        <v>846</v>
      </c>
      <c r="F58" s="2">
        <v>269.36</v>
      </c>
      <c r="G58" s="2">
        <v>269.36</v>
      </c>
      <c r="H58">
        <v>0</v>
      </c>
      <c r="I58" s="2">
        <v>0</v>
      </c>
      <c r="J58" s="2">
        <v>0</v>
      </c>
      <c r="K58" s="2">
        <v>423.00000000000364</v>
      </c>
      <c r="L58" s="131">
        <v>0</v>
      </c>
      <c r="M58" s="2">
        <v>423.00000000000364</v>
      </c>
      <c r="N58">
        <v>0</v>
      </c>
      <c r="P58" s="131">
        <v>1.9900000000000001E-2</v>
      </c>
      <c r="Q58" s="131">
        <v>1.18E-2</v>
      </c>
      <c r="R58" s="2">
        <v>16.34</v>
      </c>
      <c r="W58" s="877"/>
      <c r="X58" s="647"/>
      <c r="Y58" s="877"/>
      <c r="AC58"/>
      <c r="AD58"/>
      <c r="AE58"/>
      <c r="AF58"/>
      <c r="AG58"/>
    </row>
    <row r="59" spans="1:33" ht="21.95" customHeight="1" x14ac:dyDescent="0.25">
      <c r="A59" s="50"/>
      <c r="B59" s="50"/>
      <c r="C59" s="51"/>
      <c r="D59"/>
      <c r="E59" s="22" t="s">
        <v>290</v>
      </c>
      <c r="F59" s="2">
        <v>219.7</v>
      </c>
      <c r="G59" s="2">
        <v>219.7</v>
      </c>
      <c r="H59">
        <v>0</v>
      </c>
      <c r="I59" s="2">
        <v>0</v>
      </c>
      <c r="J59" s="2">
        <v>0</v>
      </c>
      <c r="K59" s="2">
        <v>0</v>
      </c>
      <c r="L59" s="131">
        <v>0</v>
      </c>
      <c r="M59" s="2">
        <v>720.56000000000131</v>
      </c>
      <c r="N59">
        <v>0</v>
      </c>
      <c r="P59" s="131">
        <v>0</v>
      </c>
      <c r="Q59" s="131">
        <v>1.83E-2</v>
      </c>
      <c r="T59" s="48"/>
      <c r="W59" s="877"/>
      <c r="X59" s="647"/>
      <c r="Y59" s="877"/>
    </row>
    <row r="60" spans="1:33" ht="21.95" customHeight="1" x14ac:dyDescent="0.25">
      <c r="A60" s="50"/>
      <c r="B60" s="51"/>
      <c r="C60" s="51"/>
      <c r="D60"/>
      <c r="E60" s="22" t="s">
        <v>622</v>
      </c>
      <c r="F60" s="2">
        <v>55.19</v>
      </c>
      <c r="G60" s="2">
        <v>55.19</v>
      </c>
      <c r="H60">
        <v>0</v>
      </c>
      <c r="I60" s="2">
        <v>0</v>
      </c>
      <c r="J60" s="2">
        <v>0</v>
      </c>
      <c r="K60" s="2">
        <v>0</v>
      </c>
      <c r="L60" s="131">
        <v>0</v>
      </c>
      <c r="M60" s="2">
        <v>329.55999999999949</v>
      </c>
      <c r="N60">
        <v>0</v>
      </c>
      <c r="P60" s="131">
        <v>1.78E-2</v>
      </c>
      <c r="Q60" s="131">
        <v>2.1499999999999998E-2</v>
      </c>
      <c r="W60" s="877"/>
      <c r="X60" s="647"/>
      <c r="Y60" s="877"/>
      <c r="Z60" s="877"/>
    </row>
    <row r="61" spans="1:33" ht="21.95" customHeight="1" x14ac:dyDescent="0.25">
      <c r="A61" s="50"/>
      <c r="B61" s="50"/>
      <c r="C61" s="51"/>
      <c r="D61"/>
      <c r="E61" s="22" t="s">
        <v>874</v>
      </c>
      <c r="F61" s="2">
        <v>40.28</v>
      </c>
      <c r="G61" s="2">
        <v>40.28</v>
      </c>
      <c r="H61">
        <v>0</v>
      </c>
      <c r="I61" s="2">
        <v>0</v>
      </c>
      <c r="J61" s="2">
        <v>0</v>
      </c>
      <c r="K61" s="2">
        <v>2227.6699999999946</v>
      </c>
      <c r="L61" s="131">
        <v>0</v>
      </c>
      <c r="M61" s="2">
        <v>2227.6699999999946</v>
      </c>
      <c r="N61">
        <v>0</v>
      </c>
      <c r="O61" t="s">
        <v>1205</v>
      </c>
      <c r="P61" s="131">
        <v>3.4260178748758682E-2</v>
      </c>
      <c r="Q61" s="131">
        <v>1.7600000000000001E-2</v>
      </c>
      <c r="R61" s="2">
        <v>9.1545454545454543</v>
      </c>
      <c r="S61" s="29">
        <v>43314</v>
      </c>
      <c r="W61" s="877"/>
      <c r="X61" s="647"/>
      <c r="Y61" s="877"/>
    </row>
    <row r="62" spans="1:33" ht="21.95" customHeight="1" x14ac:dyDescent="0.25">
      <c r="A62" s="50"/>
      <c r="B62" s="50"/>
      <c r="C62" s="51"/>
      <c r="D62"/>
      <c r="E62" s="22" t="s">
        <v>55</v>
      </c>
      <c r="F62" s="2">
        <v>65.73</v>
      </c>
      <c r="G62" s="2">
        <v>65.73</v>
      </c>
      <c r="H62">
        <v>0</v>
      </c>
      <c r="I62" s="2">
        <v>0</v>
      </c>
      <c r="J62" s="2">
        <v>0</v>
      </c>
      <c r="K62" s="2">
        <v>113.94999999999982</v>
      </c>
      <c r="L62" s="131">
        <v>0</v>
      </c>
      <c r="M62" s="2">
        <v>924.07999999998992</v>
      </c>
      <c r="N62">
        <v>0</v>
      </c>
      <c r="O62" t="s">
        <v>1123</v>
      </c>
      <c r="P62" s="131">
        <v>3.1644606724478927E-2</v>
      </c>
      <c r="Q62" s="131">
        <v>1.0800000000000001E-2</v>
      </c>
      <c r="R62" s="2">
        <v>10.174922600619196</v>
      </c>
      <c r="T62" s="48"/>
      <c r="W62" s="877"/>
      <c r="X62" s="647"/>
      <c r="Y62" s="877"/>
    </row>
    <row r="63" spans="1:33" ht="21.95" customHeight="1" x14ac:dyDescent="0.25">
      <c r="A63" s="50"/>
      <c r="B63" s="50"/>
      <c r="C63" s="51"/>
      <c r="D63" s="695"/>
      <c r="E63" s="22" t="s">
        <v>778</v>
      </c>
      <c r="F63" s="2">
        <v>118.08</v>
      </c>
      <c r="G63" s="2">
        <v>118.08</v>
      </c>
      <c r="H63">
        <v>0</v>
      </c>
      <c r="I63" s="2">
        <v>0</v>
      </c>
      <c r="J63" s="2">
        <v>0</v>
      </c>
      <c r="K63" s="2">
        <v>1468.9799999999996</v>
      </c>
      <c r="L63" s="131">
        <v>0</v>
      </c>
      <c r="M63" s="2">
        <v>1468.9799999999996</v>
      </c>
      <c r="N63">
        <v>0</v>
      </c>
      <c r="O63" t="s">
        <v>1324</v>
      </c>
      <c r="P63" s="131">
        <v>1.9308943089430892E-2</v>
      </c>
      <c r="Q63" s="131">
        <v>2.5100000000000001E-2</v>
      </c>
      <c r="R63" s="2">
        <v>24.806722689075631</v>
      </c>
      <c r="T63" s="48"/>
      <c r="W63" s="877"/>
      <c r="X63" s="647"/>
      <c r="Y63" s="877"/>
    </row>
    <row r="64" spans="1:33" ht="21.95" customHeight="1" x14ac:dyDescent="0.25">
      <c r="A64" s="50"/>
      <c r="B64" s="50"/>
      <c r="C64" s="51"/>
      <c r="D64"/>
      <c r="E64" s="22" t="s">
        <v>711</v>
      </c>
      <c r="F64" s="2">
        <v>9.34</v>
      </c>
      <c r="G64" s="2">
        <v>9.34</v>
      </c>
      <c r="H64">
        <v>0</v>
      </c>
      <c r="I64" s="2">
        <v>0</v>
      </c>
      <c r="J64" s="2">
        <v>0</v>
      </c>
      <c r="K64" s="2">
        <v>-353.91000000000349</v>
      </c>
      <c r="L64" s="131">
        <v>0</v>
      </c>
      <c r="M64" s="2">
        <v>-353.91000000000349</v>
      </c>
      <c r="N64">
        <v>0</v>
      </c>
      <c r="P64" s="131">
        <v>1.7130620985010708E-2</v>
      </c>
      <c r="Q64" s="131">
        <v>6.2E-2</v>
      </c>
      <c r="R64" s="2">
        <v>9.8315789473684205</v>
      </c>
      <c r="S64" s="29">
        <v>43337</v>
      </c>
      <c r="T64" s="48"/>
      <c r="W64" s="877"/>
      <c r="X64" s="647"/>
      <c r="Y64" s="877"/>
      <c r="Z64" s="877"/>
    </row>
    <row r="65" spans="1:33" ht="21.95" customHeight="1" x14ac:dyDescent="0.25">
      <c r="A65" s="50"/>
      <c r="B65" s="51"/>
      <c r="C65" s="51"/>
      <c r="D65"/>
      <c r="E65" s="22" t="s">
        <v>1068</v>
      </c>
      <c r="F65" s="2">
        <v>52.43</v>
      </c>
      <c r="G65" s="2">
        <v>52.43</v>
      </c>
      <c r="H65">
        <v>0</v>
      </c>
      <c r="I65" s="2">
        <v>0</v>
      </c>
      <c r="J65" s="2">
        <v>0</v>
      </c>
      <c r="K65" s="2">
        <v>1697.5200000000041</v>
      </c>
      <c r="L65" s="131">
        <v>0</v>
      </c>
      <c r="M65" s="2">
        <v>1697.5200000000041</v>
      </c>
      <c r="N65">
        <v>0</v>
      </c>
      <c r="P65" s="131">
        <v>2.4794964714857908E-2</v>
      </c>
      <c r="Q65" s="131">
        <v>-7.4000000000000003E-3</v>
      </c>
      <c r="S65" s="29">
        <v>43421</v>
      </c>
      <c r="T65" s="48"/>
      <c r="W65" s="877"/>
      <c r="X65" s="647"/>
      <c r="Y65" s="877"/>
    </row>
    <row r="66" spans="1:33" ht="21.95" customHeight="1" x14ac:dyDescent="0.25">
      <c r="A66" s="50"/>
      <c r="B66" s="50"/>
      <c r="C66" s="51"/>
      <c r="D66"/>
      <c r="E66" s="22" t="s">
        <v>1276</v>
      </c>
      <c r="F66" s="2">
        <v>131.84</v>
      </c>
      <c r="G66" s="2">
        <v>131.84</v>
      </c>
      <c r="H66">
        <v>0</v>
      </c>
      <c r="I66" s="2">
        <v>0</v>
      </c>
      <c r="J66" s="2">
        <v>0</v>
      </c>
      <c r="K66" s="2">
        <v>567.85999999999967</v>
      </c>
      <c r="L66" s="131">
        <v>0</v>
      </c>
      <c r="M66" s="2">
        <v>1715.6899999999996</v>
      </c>
      <c r="N66">
        <v>0</v>
      </c>
      <c r="O66" t="s">
        <v>1321</v>
      </c>
      <c r="P66" s="131">
        <v>8.7621359223300967E-3</v>
      </c>
      <c r="Q66" s="131">
        <v>-2.4299999999999999E-2</v>
      </c>
      <c r="W66" s="877"/>
      <c r="X66" s="647"/>
      <c r="Y66" s="877"/>
    </row>
    <row r="67" spans="1:33" ht="21.95" customHeight="1" x14ac:dyDescent="0.25">
      <c r="A67" s="50"/>
      <c r="B67" s="50"/>
      <c r="C67" s="51"/>
      <c r="D67"/>
      <c r="E67" s="22" t="s">
        <v>1280</v>
      </c>
      <c r="F67" s="2">
        <v>155.31</v>
      </c>
      <c r="G67" s="2">
        <v>155.31</v>
      </c>
      <c r="H67">
        <v>0</v>
      </c>
      <c r="I67" s="2">
        <v>0</v>
      </c>
      <c r="J67" s="2">
        <v>0</v>
      </c>
      <c r="K67" s="2">
        <v>186.67000000000007</v>
      </c>
      <c r="L67" s="131">
        <v>0</v>
      </c>
      <c r="M67" s="2">
        <v>444.12000000000035</v>
      </c>
      <c r="N67">
        <v>0</v>
      </c>
      <c r="P67" s="131">
        <v>7.4380271714635246E-3</v>
      </c>
      <c r="Q67" s="131">
        <v>-1.26E-2</v>
      </c>
      <c r="W67" s="877"/>
      <c r="X67" s="647"/>
      <c r="Y67" s="877"/>
    </row>
    <row r="68" spans="1:33" ht="21.95" customHeight="1" x14ac:dyDescent="0.25">
      <c r="A68" s="50"/>
      <c r="B68" s="50"/>
      <c r="C68" s="51"/>
      <c r="D68"/>
      <c r="E68" s="22" t="s">
        <v>850</v>
      </c>
      <c r="F68" s="2">
        <v>30.8</v>
      </c>
      <c r="G68" s="2">
        <v>30.8</v>
      </c>
      <c r="H68">
        <v>0</v>
      </c>
      <c r="I68" s="2">
        <v>0</v>
      </c>
      <c r="J68" s="2">
        <v>0</v>
      </c>
      <c r="K68" s="2">
        <v>284.59000000000015</v>
      </c>
      <c r="L68" s="131">
        <v>0</v>
      </c>
      <c r="M68" s="2">
        <v>1368.8499999999985</v>
      </c>
      <c r="N68">
        <v>0</v>
      </c>
      <c r="P68" s="131">
        <v>8.5714285714285715E-2</v>
      </c>
      <c r="Q68" s="131">
        <v>-8.0000000000000002E-3</v>
      </c>
      <c r="T68" s="48"/>
      <c r="W68" s="877"/>
      <c r="X68" s="647"/>
      <c r="Y68" s="877"/>
      <c r="AC68"/>
      <c r="AD68"/>
      <c r="AE68"/>
      <c r="AF68"/>
      <c r="AG68"/>
    </row>
    <row r="69" spans="1:33" ht="21.95" customHeight="1" x14ac:dyDescent="0.25">
      <c r="A69" s="149"/>
      <c r="B69" s="50"/>
      <c r="C69" s="51"/>
      <c r="D69"/>
      <c r="E69" s="22" t="s">
        <v>191</v>
      </c>
      <c r="F69" s="2">
        <v>25.72</v>
      </c>
      <c r="G69" s="2">
        <v>25.72</v>
      </c>
      <c r="H69">
        <v>0</v>
      </c>
      <c r="I69" s="2">
        <v>0</v>
      </c>
      <c r="J69" s="2">
        <v>0</v>
      </c>
      <c r="K69" s="2">
        <v>0</v>
      </c>
      <c r="L69" s="131">
        <v>0</v>
      </c>
      <c r="M69" s="2">
        <v>7328.5800000000963</v>
      </c>
      <c r="N69">
        <v>0</v>
      </c>
      <c r="P69" s="131">
        <v>2.1772939346811824E-2</v>
      </c>
      <c r="Q69" s="131">
        <v>7.2700000000000001E-2</v>
      </c>
      <c r="R69" s="2">
        <v>12.395180722891565</v>
      </c>
      <c r="S69" s="29">
        <v>43358</v>
      </c>
      <c r="W69" s="877"/>
      <c r="X69" s="647"/>
      <c r="Y69" s="877"/>
    </row>
    <row r="70" spans="1:33" ht="21.95" customHeight="1" x14ac:dyDescent="0.25">
      <c r="A70" s="50"/>
      <c r="B70" s="50"/>
      <c r="C70" s="51"/>
      <c r="D70"/>
      <c r="E70" s="22" t="s">
        <v>873</v>
      </c>
      <c r="F70" s="2">
        <v>266.85000000000002</v>
      </c>
      <c r="G70" s="2">
        <v>266.85000000000002</v>
      </c>
      <c r="H70">
        <v>0</v>
      </c>
      <c r="I70" s="2">
        <v>0</v>
      </c>
      <c r="J70" s="2">
        <v>0</v>
      </c>
      <c r="K70" s="2">
        <v>725.41999999999462</v>
      </c>
      <c r="L70" s="131">
        <v>0</v>
      </c>
      <c r="M70" s="2">
        <v>725.41999999999462</v>
      </c>
      <c r="N70">
        <v>0</v>
      </c>
      <c r="O70" t="s">
        <v>1323</v>
      </c>
      <c r="P70" s="131">
        <v>7.1950534007869582E-3</v>
      </c>
      <c r="Q70" s="131">
        <v>1.12E-2</v>
      </c>
      <c r="R70" s="2">
        <v>30.957076566125295</v>
      </c>
      <c r="S70" s="29">
        <v>43426</v>
      </c>
      <c r="W70" s="877"/>
      <c r="X70" s="647"/>
      <c r="Y70" s="877"/>
      <c r="Z70" s="647"/>
      <c r="AC70"/>
      <c r="AD70"/>
      <c r="AE70" s="2"/>
      <c r="AF70"/>
      <c r="AG70"/>
    </row>
    <row r="71" spans="1:33" ht="21.95" customHeight="1" x14ac:dyDescent="0.25">
      <c r="A71" s="50"/>
      <c r="B71" s="51"/>
      <c r="C71" s="51"/>
      <c r="D71"/>
      <c r="E71" s="22" t="s">
        <v>851</v>
      </c>
      <c r="F71" s="2">
        <v>92.5</v>
      </c>
      <c r="G71" s="2">
        <v>92.5</v>
      </c>
      <c r="H71">
        <v>0</v>
      </c>
      <c r="I71" s="2">
        <v>0</v>
      </c>
      <c r="J71" s="2">
        <v>0</v>
      </c>
      <c r="K71" s="2">
        <v>870.23999999999796</v>
      </c>
      <c r="L71" s="131">
        <v>0</v>
      </c>
      <c r="M71" s="2">
        <v>870.23999999999796</v>
      </c>
      <c r="N71">
        <v>0</v>
      </c>
      <c r="P71" s="131">
        <v>1.0378378378378378E-2</v>
      </c>
      <c r="Q71" s="131">
        <v>1.18E-2</v>
      </c>
      <c r="R71" s="2">
        <v>26.056338028169016</v>
      </c>
      <c r="W71" s="877"/>
      <c r="X71" s="647"/>
      <c r="Y71" s="877"/>
    </row>
    <row r="72" spans="1:33" ht="21.95" customHeight="1" x14ac:dyDescent="0.25">
      <c r="A72" s="50"/>
      <c r="B72" s="51"/>
      <c r="C72" s="51"/>
      <c r="D72"/>
      <c r="E72" s="22" t="s">
        <v>190</v>
      </c>
      <c r="F72" s="2">
        <v>87.69</v>
      </c>
      <c r="G72" s="2">
        <v>87.69</v>
      </c>
      <c r="H72">
        <v>0</v>
      </c>
      <c r="I72" s="2">
        <v>0</v>
      </c>
      <c r="J72" s="2">
        <v>0</v>
      </c>
      <c r="K72" s="2">
        <v>0</v>
      </c>
      <c r="L72" s="131">
        <v>0</v>
      </c>
      <c r="M72" s="2">
        <v>785.90999999999985</v>
      </c>
      <c r="N72">
        <v>0</v>
      </c>
      <c r="P72" s="131">
        <v>1.29E-2</v>
      </c>
      <c r="Q72" s="131">
        <v>1.12E-2</v>
      </c>
      <c r="T72" s="48"/>
      <c r="W72" s="877"/>
      <c r="X72" s="647"/>
      <c r="Y72" s="877"/>
    </row>
    <row r="73" spans="1:33" ht="21.95" customHeight="1" x14ac:dyDescent="0.25">
      <c r="A73" s="50"/>
      <c r="B73" s="50"/>
      <c r="C73" s="51"/>
      <c r="D73"/>
      <c r="E73" s="22" t="s">
        <v>1282</v>
      </c>
      <c r="F73" s="2">
        <v>43.42</v>
      </c>
      <c r="G73" s="2">
        <v>43.42</v>
      </c>
      <c r="H73">
        <v>0</v>
      </c>
      <c r="I73" s="2">
        <v>0</v>
      </c>
      <c r="J73" s="2">
        <v>0</v>
      </c>
      <c r="K73" s="2">
        <v>557.90999999999985</v>
      </c>
      <c r="L73" s="131">
        <v>0</v>
      </c>
      <c r="M73" s="2">
        <v>905.33999999999878</v>
      </c>
      <c r="N73">
        <v>0</v>
      </c>
      <c r="P73" s="131">
        <v>2.660525103638876E-2</v>
      </c>
      <c r="Q73" s="131">
        <v>-1.61E-2</v>
      </c>
      <c r="W73" s="877"/>
      <c r="X73" s="647"/>
      <c r="Y73" s="877"/>
    </row>
    <row r="74" spans="1:33" ht="21.95" customHeight="1" x14ac:dyDescent="0.25">
      <c r="A74" s="50"/>
      <c r="B74" s="50"/>
      <c r="C74" s="51"/>
      <c r="D74"/>
      <c r="E74" s="22" t="s">
        <v>22</v>
      </c>
      <c r="F74" s="2">
        <v>65.510000000000005</v>
      </c>
      <c r="G74" s="2">
        <v>65.510000000000005</v>
      </c>
      <c r="H74">
        <v>0</v>
      </c>
      <c r="I74" s="2">
        <v>0</v>
      </c>
      <c r="J74" s="2">
        <v>0</v>
      </c>
      <c r="K74" s="2">
        <v>0</v>
      </c>
      <c r="L74" s="131">
        <v>0</v>
      </c>
      <c r="M74" s="2">
        <v>3178.8000000000466</v>
      </c>
      <c r="N74">
        <v>0</v>
      </c>
      <c r="P74" s="131">
        <v>2.07E-2</v>
      </c>
      <c r="Q74" s="131">
        <v>3.0000000000000001E-3</v>
      </c>
      <c r="W74" s="877"/>
      <c r="X74" s="647"/>
      <c r="Y74" s="877"/>
    </row>
    <row r="75" spans="1:33" ht="21.95" customHeight="1" x14ac:dyDescent="0.25">
      <c r="A75" s="50"/>
      <c r="B75" s="51"/>
      <c r="C75" s="51"/>
      <c r="D75"/>
      <c r="E75" s="22" t="s">
        <v>36</v>
      </c>
      <c r="F75" s="2">
        <v>54.48</v>
      </c>
      <c r="G75" s="2">
        <v>54.48</v>
      </c>
      <c r="H75">
        <v>0</v>
      </c>
      <c r="I75" s="2">
        <v>0</v>
      </c>
      <c r="J75" s="2">
        <v>0</v>
      </c>
      <c r="K75" s="2">
        <v>0</v>
      </c>
      <c r="L75" s="131">
        <v>0</v>
      </c>
      <c r="M75" s="2">
        <v>117.73999999999978</v>
      </c>
      <c r="N75">
        <v>0</v>
      </c>
      <c r="P75" s="131">
        <v>0</v>
      </c>
      <c r="Q75" s="131">
        <v>-6.7999999999999996E-3</v>
      </c>
      <c r="W75" s="877"/>
      <c r="X75" s="647"/>
      <c r="Y75" s="877"/>
      <c r="Z75" s="647"/>
    </row>
    <row r="76" spans="1:33" ht="21.95" customHeight="1" x14ac:dyDescent="0.25">
      <c r="A76" s="50"/>
      <c r="B76" s="50"/>
      <c r="C76" s="51"/>
      <c r="D76"/>
      <c r="E76" s="22" t="s">
        <v>198</v>
      </c>
      <c r="F76" s="2">
        <v>20.86</v>
      </c>
      <c r="G76" s="2">
        <v>20.86</v>
      </c>
      <c r="H76">
        <v>0</v>
      </c>
      <c r="I76" s="2">
        <v>0</v>
      </c>
      <c r="J76" s="2">
        <v>0</v>
      </c>
      <c r="K76" s="2">
        <v>0</v>
      </c>
      <c r="L76" s="131">
        <v>0</v>
      </c>
      <c r="M76" s="2">
        <v>555.54</v>
      </c>
      <c r="N76">
        <v>0</v>
      </c>
      <c r="P76" s="131">
        <v>0</v>
      </c>
      <c r="Q76" s="131">
        <v>4.7999999999999996E-3</v>
      </c>
      <c r="W76" s="877"/>
      <c r="X76" s="647"/>
      <c r="Y76" s="877"/>
    </row>
    <row r="77" spans="1:33" ht="21.95" customHeight="1" x14ac:dyDescent="0.25">
      <c r="A77" s="50"/>
      <c r="B77" s="50"/>
      <c r="C77" s="51"/>
      <c r="D77"/>
      <c r="E77" s="22" t="s">
        <v>217</v>
      </c>
      <c r="F77" s="2">
        <v>54.08</v>
      </c>
      <c r="G77" s="2">
        <v>54.08</v>
      </c>
      <c r="H77">
        <v>0</v>
      </c>
      <c r="I77" s="2">
        <v>0</v>
      </c>
      <c r="J77" s="2">
        <v>0</v>
      </c>
      <c r="K77" s="2">
        <v>0</v>
      </c>
      <c r="L77" s="131">
        <v>0</v>
      </c>
      <c r="M77" s="2">
        <v>257.64999999999964</v>
      </c>
      <c r="N77">
        <v>0</v>
      </c>
      <c r="P77" s="131">
        <v>0</v>
      </c>
      <c r="Q77" s="131">
        <v>4.4999999999999997E-3</v>
      </c>
      <c r="W77" s="877"/>
      <c r="X77" s="647"/>
      <c r="Y77" s="877"/>
      <c r="Z77" s="877"/>
    </row>
    <row r="78" spans="1:33" ht="21.95" customHeight="1" x14ac:dyDescent="0.25">
      <c r="A78" s="50"/>
      <c r="B78" s="50"/>
      <c r="C78" s="50"/>
      <c r="D78"/>
      <c r="E78" s="22" t="s">
        <v>34</v>
      </c>
      <c r="F78" s="2">
        <v>49.6</v>
      </c>
      <c r="G78" s="2">
        <v>49.6</v>
      </c>
      <c r="H78">
        <v>0</v>
      </c>
      <c r="I78" s="2">
        <v>0</v>
      </c>
      <c r="J78" s="2">
        <v>0</v>
      </c>
      <c r="K78" s="2">
        <v>0</v>
      </c>
      <c r="L78" s="131">
        <v>0</v>
      </c>
      <c r="M78" s="2">
        <v>21137.586999999941</v>
      </c>
      <c r="N78">
        <v>0</v>
      </c>
      <c r="P78" s="131">
        <v>0</v>
      </c>
      <c r="Q78" s="131">
        <v>5.1000000000000004E-3</v>
      </c>
      <c r="T78" s="48"/>
      <c r="W78" s="877"/>
      <c r="X78" s="647"/>
      <c r="Y78" s="877"/>
      <c r="Z78" s="647"/>
    </row>
    <row r="79" spans="1:33" ht="21.95" customHeight="1" x14ac:dyDescent="0.25">
      <c r="A79" s="50"/>
      <c r="B79" s="51"/>
      <c r="C79" s="51"/>
      <c r="D79"/>
      <c r="E79" s="22" t="s">
        <v>169</v>
      </c>
      <c r="F79" s="2">
        <v>41.07</v>
      </c>
      <c r="G79" s="2">
        <v>41.07</v>
      </c>
      <c r="H79">
        <v>0</v>
      </c>
      <c r="I79" s="2">
        <v>0</v>
      </c>
      <c r="J79" s="2">
        <v>0</v>
      </c>
      <c r="K79" s="2">
        <v>0</v>
      </c>
      <c r="L79" s="131">
        <v>0</v>
      </c>
      <c r="M79" s="2">
        <v>119.92000000000053</v>
      </c>
      <c r="N79">
        <v>0</v>
      </c>
      <c r="P79" s="131">
        <v>3.6400000000000002E-2</v>
      </c>
      <c r="Q79" s="131">
        <v>1.38E-2</v>
      </c>
      <c r="T79" s="48"/>
      <c r="W79" s="877"/>
      <c r="X79" s="647"/>
      <c r="Y79" s="877"/>
    </row>
    <row r="80" spans="1:33" ht="21.95" customHeight="1" x14ac:dyDescent="0.25">
      <c r="A80" s="50"/>
      <c r="B80" s="51"/>
      <c r="C80" s="51"/>
      <c r="D80"/>
      <c r="E80" s="22" t="s">
        <v>27</v>
      </c>
      <c r="F80" s="2">
        <v>50.9</v>
      </c>
      <c r="G80" s="2">
        <v>50.9</v>
      </c>
      <c r="H80">
        <v>0</v>
      </c>
      <c r="I80" s="2">
        <v>0</v>
      </c>
      <c r="J80" s="2">
        <v>0</v>
      </c>
      <c r="K80" s="2">
        <v>0</v>
      </c>
      <c r="L80" s="131">
        <v>0</v>
      </c>
      <c r="M80" s="2">
        <v>1407.5400000000009</v>
      </c>
      <c r="N80">
        <v>0</v>
      </c>
      <c r="P80" s="131">
        <v>3.0200000000000001E-2</v>
      </c>
      <c r="Q80" s="131">
        <v>3.8999999999999998E-3</v>
      </c>
      <c r="W80" s="877"/>
      <c r="X80" s="647"/>
      <c r="Y80" s="877"/>
      <c r="Z80" s="877"/>
      <c r="AC80"/>
      <c r="AD80"/>
      <c r="AE80"/>
      <c r="AF80"/>
      <c r="AG80"/>
    </row>
    <row r="81" spans="1:33" ht="21.95" customHeight="1" x14ac:dyDescent="0.25">
      <c r="A81" s="50"/>
      <c r="B81" s="51"/>
      <c r="C81" s="51"/>
      <c r="D81"/>
      <c r="E81" s="22" t="s">
        <v>42</v>
      </c>
      <c r="F81" s="2">
        <v>166.05</v>
      </c>
      <c r="G81" s="2">
        <v>166.05</v>
      </c>
      <c r="H81">
        <v>0</v>
      </c>
      <c r="I81" s="2">
        <v>0</v>
      </c>
      <c r="J81" s="2">
        <v>0</v>
      </c>
      <c r="K81" s="2">
        <v>0</v>
      </c>
      <c r="L81" s="131">
        <v>0</v>
      </c>
      <c r="M81" s="2">
        <v>128.08999999999833</v>
      </c>
      <c r="N81">
        <v>0</v>
      </c>
      <c r="P81" s="131">
        <v>2.18E-2</v>
      </c>
      <c r="Q81" s="131">
        <v>1.0500000000000001E-2</v>
      </c>
      <c r="T81" s="48"/>
      <c r="W81" s="877"/>
      <c r="X81" s="647"/>
      <c r="Y81" s="877"/>
      <c r="Z81" s="877"/>
    </row>
    <row r="82" spans="1:33" ht="21.95" customHeight="1" x14ac:dyDescent="0.25">
      <c r="A82" s="50"/>
      <c r="B82" s="50"/>
      <c r="C82" s="50"/>
      <c r="D82"/>
      <c r="E82" s="22" t="s">
        <v>260</v>
      </c>
      <c r="F82" s="2">
        <v>53.51</v>
      </c>
      <c r="G82" s="2">
        <v>53.51</v>
      </c>
      <c r="H82">
        <v>0</v>
      </c>
      <c r="I82" s="2">
        <v>0</v>
      </c>
      <c r="J82" s="2">
        <v>0</v>
      </c>
      <c r="K82" s="2">
        <v>0</v>
      </c>
      <c r="L82" s="131">
        <v>0</v>
      </c>
      <c r="M82" s="2">
        <v>427.92000000000007</v>
      </c>
      <c r="N82">
        <v>0</v>
      </c>
      <c r="P82" s="131">
        <v>0</v>
      </c>
      <c r="Q82" s="131">
        <v>9.2999999999999992E-3</v>
      </c>
      <c r="W82" s="877"/>
      <c r="X82" s="647"/>
      <c r="Y82" s="877"/>
      <c r="Z82" s="647"/>
      <c r="AC82"/>
      <c r="AD82"/>
      <c r="AE82"/>
      <c r="AF82"/>
      <c r="AG82"/>
    </row>
    <row r="83" spans="1:33" ht="21.95" customHeight="1" x14ac:dyDescent="0.25">
      <c r="A83" s="50"/>
      <c r="B83" s="50"/>
      <c r="C83" s="51"/>
      <c r="D83"/>
      <c r="E83" s="22" t="s">
        <v>167</v>
      </c>
      <c r="F83" s="2">
        <v>79.84</v>
      </c>
      <c r="G83" s="2">
        <v>79.84</v>
      </c>
      <c r="H83">
        <v>0</v>
      </c>
      <c r="I83" s="2">
        <v>0</v>
      </c>
      <c r="J83" s="2">
        <v>0</v>
      </c>
      <c r="K83" s="2">
        <v>0</v>
      </c>
      <c r="L83" s="131">
        <v>0</v>
      </c>
      <c r="M83" s="2">
        <v>1368.9000000000015</v>
      </c>
      <c r="N83">
        <v>0</v>
      </c>
      <c r="P83" s="131">
        <v>1.14E-2</v>
      </c>
      <c r="Q83" s="131">
        <v>-3.0000000000000001E-3</v>
      </c>
      <c r="W83" s="877"/>
      <c r="X83" s="647"/>
      <c r="Y83" s="877"/>
    </row>
    <row r="84" spans="1:33" ht="21.95" customHeight="1" x14ac:dyDescent="0.25">
      <c r="A84" s="50"/>
      <c r="B84" s="50"/>
      <c r="C84" s="51"/>
      <c r="D84"/>
      <c r="E84" s="22" t="s">
        <v>8</v>
      </c>
      <c r="F84" s="2">
        <v>89.35</v>
      </c>
      <c r="G84" s="2">
        <v>89.35</v>
      </c>
      <c r="H84">
        <v>0</v>
      </c>
      <c r="I84" s="2">
        <v>0</v>
      </c>
      <c r="J84" s="2">
        <v>0</v>
      </c>
      <c r="K84" s="2">
        <v>0</v>
      </c>
      <c r="L84" s="131">
        <v>0</v>
      </c>
      <c r="M84" s="2">
        <v>121.94999999999982</v>
      </c>
      <c r="N84">
        <v>0</v>
      </c>
      <c r="P84" s="131">
        <v>1.67E-2</v>
      </c>
      <c r="Q84" s="131">
        <v>7.1999999999999998E-3</v>
      </c>
      <c r="T84" s="48"/>
      <c r="W84" s="877"/>
      <c r="X84" s="647"/>
      <c r="Y84" s="877"/>
      <c r="Z84" s="647"/>
    </row>
    <row r="85" spans="1:33" ht="21.95" customHeight="1" x14ac:dyDescent="0.25">
      <c r="A85" s="50"/>
      <c r="B85" s="51"/>
      <c r="C85" s="51"/>
      <c r="D85"/>
      <c r="E85" s="22" t="s">
        <v>216</v>
      </c>
      <c r="F85" s="2">
        <v>49.91</v>
      </c>
      <c r="G85" s="2">
        <v>49.91</v>
      </c>
      <c r="H85">
        <v>0</v>
      </c>
      <c r="I85" s="2">
        <v>0</v>
      </c>
      <c r="J85" s="2">
        <v>0</v>
      </c>
      <c r="K85" s="2">
        <v>0</v>
      </c>
      <c r="L85" s="131">
        <v>0</v>
      </c>
      <c r="M85" s="2">
        <v>4376.9599999999991</v>
      </c>
      <c r="N85">
        <v>0</v>
      </c>
      <c r="O85" t="s">
        <v>1124</v>
      </c>
      <c r="P85" s="131">
        <v>4.0899999999999999E-2</v>
      </c>
      <c r="Q85" s="131">
        <v>2.69E-2</v>
      </c>
      <c r="T85" s="48"/>
      <c r="W85" s="877"/>
      <c r="X85" s="647"/>
      <c r="Y85" s="877"/>
    </row>
    <row r="86" spans="1:33" ht="21.95" customHeight="1" x14ac:dyDescent="0.25">
      <c r="A86" s="51"/>
      <c r="B86" s="51"/>
      <c r="C86" s="51"/>
      <c r="D86"/>
      <c r="E86" s="22" t="s">
        <v>321</v>
      </c>
      <c r="F86" s="2">
        <v>108.78</v>
      </c>
      <c r="G86" s="2">
        <v>108.78</v>
      </c>
      <c r="H86">
        <v>0</v>
      </c>
      <c r="I86" s="2">
        <v>0</v>
      </c>
      <c r="J86" s="2">
        <v>0</v>
      </c>
      <c r="K86" s="2">
        <v>129.92000000000007</v>
      </c>
      <c r="L86" s="131">
        <v>0</v>
      </c>
      <c r="M86" s="2">
        <v>2190.3500000000004</v>
      </c>
      <c r="N86">
        <v>0</v>
      </c>
      <c r="P86" s="131">
        <v>4.3499999999999997E-2</v>
      </c>
      <c r="Q86" s="131">
        <v>1.61E-2</v>
      </c>
      <c r="R86" s="2">
        <v>20.72</v>
      </c>
      <c r="T86" s="48"/>
      <c r="W86" s="877"/>
      <c r="X86" s="647"/>
      <c r="Y86" s="877"/>
      <c r="Z86" s="647"/>
    </row>
    <row r="87" spans="1:33" ht="21.95" customHeight="1" x14ac:dyDescent="0.25">
      <c r="A87" s="50"/>
      <c r="B87" s="50"/>
      <c r="C87" s="51"/>
      <c r="D87"/>
      <c r="E87" s="22" t="s">
        <v>171</v>
      </c>
      <c r="F87" s="2">
        <v>17.920000000000002</v>
      </c>
      <c r="G87" s="2">
        <v>17.920000000000002</v>
      </c>
      <c r="H87">
        <v>0</v>
      </c>
      <c r="I87" s="2">
        <v>0</v>
      </c>
      <c r="J87" s="2">
        <v>0</v>
      </c>
      <c r="K87" s="2">
        <v>-3702.1100000000006</v>
      </c>
      <c r="L87" s="131">
        <v>0</v>
      </c>
      <c r="M87" s="2">
        <v>-3627.0900000000006</v>
      </c>
      <c r="N87">
        <v>0</v>
      </c>
      <c r="O87" t="s">
        <v>1351</v>
      </c>
      <c r="P87" s="131">
        <v>5.1339285714285712E-2</v>
      </c>
      <c r="Q87" s="131">
        <v>-2.2200000000000001E-2</v>
      </c>
      <c r="R87" s="2">
        <v>11.561290322580646</v>
      </c>
      <c r="S87" s="29">
        <v>43417</v>
      </c>
      <c r="W87" s="877"/>
      <c r="X87" s="647"/>
      <c r="Y87" s="877"/>
    </row>
    <row r="88" spans="1:33" ht="21.95" customHeight="1" x14ac:dyDescent="0.25">
      <c r="A88" s="50"/>
      <c r="B88" s="50"/>
      <c r="C88" s="51"/>
      <c r="D88"/>
      <c r="E88" s="22" t="s">
        <v>1137</v>
      </c>
      <c r="F88" s="2">
        <v>3502.99</v>
      </c>
      <c r="G88" s="2">
        <v>3502.99</v>
      </c>
      <c r="H88">
        <v>0</v>
      </c>
      <c r="I88" s="2">
        <v>0</v>
      </c>
      <c r="J88" s="2">
        <v>0</v>
      </c>
      <c r="K88" s="2">
        <v>1153.9500000000007</v>
      </c>
      <c r="L88" s="131">
        <v>0</v>
      </c>
      <c r="M88" s="2">
        <v>1153.9500000000007</v>
      </c>
      <c r="N88">
        <v>0</v>
      </c>
      <c r="O88" t="s">
        <v>1314</v>
      </c>
      <c r="P88" s="131">
        <v>0</v>
      </c>
      <c r="Q88" s="131">
        <v>2.2100000000000002E-2</v>
      </c>
      <c r="R88" s="2">
        <v>18.056649484536081</v>
      </c>
      <c r="S88" s="29">
        <v>43422</v>
      </c>
      <c r="W88" s="877"/>
      <c r="X88" s="647"/>
      <c r="Y88" s="877"/>
    </row>
    <row r="89" spans="1:33" ht="21.95" customHeight="1" x14ac:dyDescent="0.25">
      <c r="A89" s="50"/>
      <c r="B89" s="50"/>
      <c r="C89" s="51"/>
      <c r="D89"/>
      <c r="E89" s="22" t="s">
        <v>888</v>
      </c>
      <c r="F89" s="2">
        <v>190.5</v>
      </c>
      <c r="G89" s="2">
        <v>190.5</v>
      </c>
      <c r="H89">
        <v>0</v>
      </c>
      <c r="I89" s="2">
        <v>0</v>
      </c>
      <c r="J89" s="2">
        <v>0</v>
      </c>
      <c r="K89" s="2">
        <v>1372.8899999999921</v>
      </c>
      <c r="L89" s="131">
        <v>0</v>
      </c>
      <c r="M89" s="2">
        <v>1372.8899999999921</v>
      </c>
      <c r="N89">
        <v>0</v>
      </c>
      <c r="P89" s="131">
        <v>6.7191601049868769E-3</v>
      </c>
      <c r="Q89" s="131">
        <v>4.1999999999999997E-3</v>
      </c>
      <c r="R89" s="2">
        <v>19.68</v>
      </c>
      <c r="W89" s="877"/>
      <c r="X89" s="647"/>
      <c r="Y89" s="877"/>
      <c r="AC89"/>
      <c r="AD89"/>
      <c r="AE89"/>
      <c r="AF89"/>
      <c r="AG89"/>
    </row>
    <row r="90" spans="1:33" ht="21.95" customHeight="1" x14ac:dyDescent="0.25">
      <c r="A90" s="50"/>
      <c r="B90" s="50"/>
      <c r="C90" s="51"/>
      <c r="D90"/>
      <c r="E90" s="22" t="s">
        <v>172</v>
      </c>
      <c r="F90" s="2">
        <v>298.20999999999998</v>
      </c>
      <c r="G90" s="2">
        <v>298.20999999999998</v>
      </c>
      <c r="H90">
        <v>0</v>
      </c>
      <c r="I90" s="2">
        <v>0</v>
      </c>
      <c r="J90" s="2">
        <v>0</v>
      </c>
      <c r="K90" s="2">
        <v>1100.2300000000032</v>
      </c>
      <c r="L90" s="131">
        <v>0</v>
      </c>
      <c r="M90" s="2">
        <v>1261.0600000000031</v>
      </c>
      <c r="N90">
        <v>0</v>
      </c>
      <c r="P90" s="131">
        <v>1.84E-2</v>
      </c>
      <c r="Q90" s="131">
        <v>8.8000000000000005E-3</v>
      </c>
      <c r="R90" s="2">
        <v>22.939230769230768</v>
      </c>
      <c r="W90" s="877"/>
      <c r="X90" s="647"/>
      <c r="Y90" s="877"/>
    </row>
    <row r="91" spans="1:33" ht="21.95" customHeight="1" x14ac:dyDescent="0.25">
      <c r="A91" s="51"/>
      <c r="B91" s="51"/>
      <c r="C91" s="51"/>
      <c r="D91"/>
      <c r="E91" s="22" t="s">
        <v>45</v>
      </c>
      <c r="F91" s="2">
        <v>108.41</v>
      </c>
      <c r="G91" s="2">
        <v>108.41</v>
      </c>
      <c r="H91">
        <v>0</v>
      </c>
      <c r="I91" s="2">
        <v>0</v>
      </c>
      <c r="J91" s="2">
        <v>0</v>
      </c>
      <c r="K91" s="2">
        <v>0</v>
      </c>
      <c r="L91" s="131">
        <v>0</v>
      </c>
      <c r="M91" s="2">
        <v>523.61999999999898</v>
      </c>
      <c r="N91">
        <v>0</v>
      </c>
      <c r="P91" s="131">
        <v>1.67E-2</v>
      </c>
      <c r="Q91" s="131">
        <v>7.4000000000000003E-3</v>
      </c>
      <c r="W91" s="877"/>
      <c r="X91" s="647"/>
      <c r="Y91" s="877"/>
    </row>
    <row r="92" spans="1:33" ht="21.95" customHeight="1" x14ac:dyDescent="0.25">
      <c r="A92" s="50"/>
      <c r="B92" s="50"/>
      <c r="C92" s="51"/>
      <c r="D92"/>
      <c r="E92" s="22" t="s">
        <v>47</v>
      </c>
      <c r="F92" s="2">
        <v>179.51</v>
      </c>
      <c r="G92" s="2">
        <v>179.51</v>
      </c>
      <c r="H92">
        <v>0</v>
      </c>
      <c r="I92" s="2">
        <v>0</v>
      </c>
      <c r="J92" s="2">
        <v>0</v>
      </c>
      <c r="K92" s="2">
        <v>0</v>
      </c>
      <c r="L92" s="131">
        <v>0</v>
      </c>
      <c r="M92" s="2">
        <v>-168.6200000000008</v>
      </c>
      <c r="N92">
        <v>0</v>
      </c>
      <c r="P92" s="131">
        <v>0</v>
      </c>
      <c r="Q92" s="131">
        <v>1.04E-2</v>
      </c>
      <c r="T92" s="48"/>
      <c r="W92" s="877"/>
      <c r="X92" s="647"/>
      <c r="Y92" s="877"/>
    </row>
    <row r="93" spans="1:33" ht="21.95" customHeight="1" x14ac:dyDescent="0.25">
      <c r="A93" s="50"/>
      <c r="B93" s="51"/>
      <c r="C93" s="51"/>
      <c r="D93"/>
      <c r="E93" s="22" t="s">
        <v>33</v>
      </c>
      <c r="F93" s="2">
        <v>285.45999999999998</v>
      </c>
      <c r="G93" s="2">
        <v>285.45999999999998</v>
      </c>
      <c r="H93">
        <v>0</v>
      </c>
      <c r="I93" s="2">
        <v>0</v>
      </c>
      <c r="J93" s="2">
        <v>0</v>
      </c>
      <c r="K93" s="2">
        <v>0</v>
      </c>
      <c r="L93" s="131">
        <v>0</v>
      </c>
      <c r="M93" s="2">
        <v>780.73999999999796</v>
      </c>
      <c r="N93">
        <v>0</v>
      </c>
      <c r="P93" s="131">
        <v>1.8599999999999998E-2</v>
      </c>
      <c r="Q93" s="131">
        <v>2.7000000000000001E-3</v>
      </c>
      <c r="W93" s="877"/>
      <c r="X93" s="647"/>
      <c r="Y93" s="877"/>
    </row>
    <row r="94" spans="1:33" ht="21.95" customHeight="1" x14ac:dyDescent="0.25">
      <c r="A94" s="50"/>
      <c r="B94" s="50"/>
      <c r="C94" s="50"/>
      <c r="D94"/>
      <c r="E94" s="22" t="s">
        <v>13</v>
      </c>
      <c r="F94" s="2">
        <v>88.21</v>
      </c>
      <c r="G94" s="2">
        <v>88.21</v>
      </c>
      <c r="H94">
        <v>0</v>
      </c>
      <c r="I94" s="2">
        <v>0</v>
      </c>
      <c r="J94" s="2">
        <v>0</v>
      </c>
      <c r="K94" s="2">
        <v>0</v>
      </c>
      <c r="L94" s="131">
        <v>0</v>
      </c>
      <c r="M94" s="2">
        <v>1461.5600000000013</v>
      </c>
      <c r="N94">
        <v>0</v>
      </c>
      <c r="P94" s="131">
        <v>0</v>
      </c>
      <c r="Q94" s="131">
        <v>6.7000000000000002E-3</v>
      </c>
      <c r="T94" s="48"/>
      <c r="W94" s="877"/>
      <c r="X94" s="647"/>
      <c r="Y94" s="877"/>
      <c r="Z94" s="877"/>
    </row>
    <row r="95" spans="1:33" ht="21.95" customHeight="1" x14ac:dyDescent="0.25">
      <c r="A95" s="50"/>
      <c r="B95" s="51"/>
      <c r="C95" s="51"/>
      <c r="D95"/>
      <c r="E95" s="22" t="s">
        <v>52</v>
      </c>
      <c r="F95" s="2">
        <v>47.17</v>
      </c>
      <c r="G95" s="2">
        <v>47.17</v>
      </c>
      <c r="H95">
        <v>0</v>
      </c>
      <c r="I95" s="2">
        <v>0</v>
      </c>
      <c r="J95" s="2">
        <v>0</v>
      </c>
      <c r="K95" s="2">
        <v>1824.2300000000032</v>
      </c>
      <c r="L95" s="131">
        <v>0</v>
      </c>
      <c r="M95" s="2">
        <v>2880.9700000000012</v>
      </c>
      <c r="N95">
        <v>0</v>
      </c>
      <c r="O95" t="s">
        <v>1322</v>
      </c>
      <c r="P95" s="131">
        <v>4.0364638541445834E-2</v>
      </c>
      <c r="Q95" s="131">
        <v>2.3599999999999999E-2</v>
      </c>
      <c r="R95" s="2">
        <v>9.6265306122448973</v>
      </c>
      <c r="S95" s="29">
        <v>43323</v>
      </c>
      <c r="W95" s="877"/>
      <c r="X95" s="647"/>
      <c r="Y95" s="877"/>
      <c r="Z95" s="877"/>
    </row>
    <row r="96" spans="1:33" ht="21.95" customHeight="1" x14ac:dyDescent="0.25">
      <c r="A96" s="51"/>
      <c r="B96" s="51"/>
      <c r="C96" s="51"/>
      <c r="D96"/>
      <c r="E96" s="22" t="s">
        <v>32</v>
      </c>
      <c r="F96" s="2">
        <v>58.02</v>
      </c>
      <c r="G96" s="2">
        <v>58.02</v>
      </c>
      <c r="H96">
        <v>0</v>
      </c>
      <c r="I96" s="2">
        <v>0</v>
      </c>
      <c r="J96" s="2">
        <v>0</v>
      </c>
      <c r="K96" s="2">
        <v>2229.1399999999994</v>
      </c>
      <c r="L96" s="131">
        <v>0</v>
      </c>
      <c r="M96" s="2">
        <v>3427.6099999999965</v>
      </c>
      <c r="N96">
        <v>0</v>
      </c>
      <c r="P96" s="131">
        <v>2.102723198896932E-2</v>
      </c>
      <c r="Q96" s="131">
        <v>-5.5999999999999999E-3</v>
      </c>
      <c r="R96" s="2">
        <v>10.501357466063348</v>
      </c>
      <c r="T96" s="48"/>
      <c r="W96" s="877"/>
      <c r="X96" s="647"/>
      <c r="Y96" s="877"/>
      <c r="AC96"/>
      <c r="AD96"/>
      <c r="AE96"/>
      <c r="AF96"/>
      <c r="AG96"/>
    </row>
    <row r="97" spans="1:33" ht="21.95" customHeight="1" x14ac:dyDescent="0.25">
      <c r="A97" s="50"/>
      <c r="B97" s="51"/>
      <c r="C97" s="51"/>
      <c r="D97"/>
      <c r="E97" s="22" t="s">
        <v>849</v>
      </c>
      <c r="F97" s="2">
        <v>37.6</v>
      </c>
      <c r="G97" s="2">
        <v>37.6</v>
      </c>
      <c r="H97">
        <v>0</v>
      </c>
      <c r="I97" s="2">
        <v>0</v>
      </c>
      <c r="J97" s="2">
        <v>0</v>
      </c>
      <c r="K97" s="2">
        <v>3232.7200000000012</v>
      </c>
      <c r="L97" s="131">
        <v>0</v>
      </c>
      <c r="M97" s="2">
        <v>3232.7200000000012</v>
      </c>
      <c r="N97">
        <v>0</v>
      </c>
      <c r="O97" t="s">
        <v>1317</v>
      </c>
      <c r="P97" s="131">
        <v>5.3191489361702128E-2</v>
      </c>
      <c r="Q97" s="131">
        <v>2.9999999999999997E-4</v>
      </c>
      <c r="R97" s="2">
        <v>10.742857142857144</v>
      </c>
      <c r="S97" s="29">
        <v>43429</v>
      </c>
      <c r="T97" s="48"/>
      <c r="W97" s="877"/>
      <c r="X97" s="647"/>
      <c r="Y97" s="877"/>
    </row>
    <row r="98" spans="1:33" ht="21.95" customHeight="1" x14ac:dyDescent="0.25">
      <c r="A98" s="50"/>
      <c r="B98" s="50"/>
      <c r="C98" s="50"/>
      <c r="D98"/>
      <c r="E98" s="22" t="s">
        <v>63</v>
      </c>
      <c r="F98" s="2">
        <v>132.46</v>
      </c>
      <c r="G98" s="2">
        <v>132.46</v>
      </c>
      <c r="H98">
        <v>0</v>
      </c>
      <c r="I98" s="2">
        <v>0</v>
      </c>
      <c r="J98" s="2">
        <v>0</v>
      </c>
      <c r="K98" s="2">
        <v>0</v>
      </c>
      <c r="L98" s="131">
        <v>0</v>
      </c>
      <c r="M98" s="2">
        <v>257.30999999999949</v>
      </c>
      <c r="N98">
        <v>0</v>
      </c>
      <c r="P98" s="131">
        <v>1.38E-2</v>
      </c>
      <c r="Q98" s="131">
        <v>2.1899999999999999E-2</v>
      </c>
      <c r="T98" s="48"/>
      <c r="W98" s="877"/>
      <c r="X98" s="647"/>
      <c r="Y98" s="877"/>
      <c r="Z98" s="647"/>
    </row>
    <row r="99" spans="1:33" ht="21.95" customHeight="1" x14ac:dyDescent="0.25">
      <c r="A99" s="50"/>
      <c r="B99" s="50"/>
      <c r="C99" s="51"/>
      <c r="D99"/>
      <c r="E99" s="22" t="s">
        <v>1358</v>
      </c>
      <c r="F99" s="2">
        <v>38.090000000000003</v>
      </c>
      <c r="G99" s="2">
        <v>38.090000000000003</v>
      </c>
      <c r="H99">
        <v>0</v>
      </c>
      <c r="I99" s="2">
        <v>0</v>
      </c>
      <c r="J99" s="2">
        <v>0</v>
      </c>
      <c r="K99" s="2">
        <v>1102.8400000000001</v>
      </c>
      <c r="L99" s="131">
        <v>0</v>
      </c>
      <c r="M99" s="2">
        <v>1102.8400000000001</v>
      </c>
      <c r="N99">
        <v>0</v>
      </c>
      <c r="O99" t="s">
        <v>1356</v>
      </c>
      <c r="P99" s="131">
        <v>2.3103176686794433E-2</v>
      </c>
      <c r="Q99" s="131">
        <v>7.1000000000000004E-3</v>
      </c>
      <c r="R99" s="2">
        <v>8.6568181818181813</v>
      </c>
      <c r="W99" s="877"/>
      <c r="X99" s="647"/>
      <c r="Y99" s="877"/>
      <c r="Z99" s="877"/>
    </row>
    <row r="100" spans="1:33" ht="21.95" customHeight="1" x14ac:dyDescent="0.25">
      <c r="A100" s="50"/>
      <c r="B100" s="50"/>
      <c r="C100" s="51"/>
      <c r="D100"/>
      <c r="E100" s="22" t="s">
        <v>625</v>
      </c>
      <c r="F100" s="2">
        <v>237.31</v>
      </c>
      <c r="G100" s="2">
        <v>237.31</v>
      </c>
      <c r="H100">
        <v>0</v>
      </c>
      <c r="I100" s="2">
        <v>0</v>
      </c>
      <c r="J100" s="2">
        <v>0</v>
      </c>
      <c r="K100" s="2">
        <v>4854.3499999999767</v>
      </c>
      <c r="L100" s="131">
        <v>0</v>
      </c>
      <c r="M100" s="2">
        <v>5079.1199999999772</v>
      </c>
      <c r="N100">
        <v>0</v>
      </c>
      <c r="O100" t="s">
        <v>1086</v>
      </c>
      <c r="P100" s="131">
        <v>0</v>
      </c>
      <c r="Q100" s="131">
        <v>2.2499999999999999E-2</v>
      </c>
      <c r="R100" s="2">
        <v>24.235089869281047</v>
      </c>
      <c r="S100" s="29">
        <v>43324</v>
      </c>
      <c r="T100" s="48"/>
      <c r="W100" s="877"/>
      <c r="X100" s="647"/>
      <c r="Y100" s="877"/>
    </row>
    <row r="101" spans="1:33" ht="21.95" customHeight="1" x14ac:dyDescent="0.25">
      <c r="A101" s="50"/>
      <c r="B101" s="50"/>
      <c r="C101" s="51"/>
      <c r="D101"/>
      <c r="E101" s="22" t="s">
        <v>1343</v>
      </c>
      <c r="F101" s="2">
        <v>29.84</v>
      </c>
      <c r="G101" s="2">
        <v>29.84</v>
      </c>
      <c r="H101">
        <v>0</v>
      </c>
      <c r="I101" s="2">
        <v>0</v>
      </c>
      <c r="J101" s="2">
        <v>0</v>
      </c>
      <c r="K101" s="2">
        <v>503.63999999999942</v>
      </c>
      <c r="L101" s="131">
        <v>0</v>
      </c>
      <c r="M101" s="2">
        <v>503.63999999999942</v>
      </c>
      <c r="N101">
        <v>0</v>
      </c>
      <c r="O101" t="s">
        <v>1356</v>
      </c>
      <c r="P101" s="131">
        <v>2.9490616621983913E-2</v>
      </c>
      <c r="Q101" s="131">
        <v>-5.4000000000000003E-3</v>
      </c>
      <c r="R101" s="2">
        <v>6.7818181818181813</v>
      </c>
      <c r="T101" s="48"/>
      <c r="W101" s="877"/>
      <c r="X101" s="647"/>
      <c r="Y101" s="877"/>
    </row>
    <row r="102" spans="1:33" ht="21.95" customHeight="1" x14ac:dyDescent="0.25">
      <c r="A102" s="51"/>
      <c r="B102" s="149"/>
      <c r="C102" s="268"/>
      <c r="D102"/>
      <c r="E102" s="22" t="s">
        <v>1273</v>
      </c>
      <c r="F102" s="2">
        <v>91.78</v>
      </c>
      <c r="G102" s="2">
        <v>91.78</v>
      </c>
      <c r="H102">
        <v>0</v>
      </c>
      <c r="I102" s="2">
        <v>0</v>
      </c>
      <c r="J102" s="2">
        <v>0</v>
      </c>
      <c r="K102" s="2">
        <v>149.8799999999992</v>
      </c>
      <c r="L102" s="131">
        <v>0</v>
      </c>
      <c r="M102" s="2">
        <v>149.8799999999992</v>
      </c>
      <c r="N102">
        <v>0</v>
      </c>
      <c r="O102" t="s">
        <v>1328</v>
      </c>
      <c r="P102" s="131">
        <v>1.2586620178688166E-2</v>
      </c>
      <c r="Q102" s="131">
        <v>-5.0000000000000001E-3</v>
      </c>
      <c r="T102" s="48"/>
      <c r="W102" s="877"/>
      <c r="X102" s="647"/>
      <c r="Y102" s="877"/>
      <c r="Z102" s="877"/>
      <c r="AC102"/>
      <c r="AD102"/>
      <c r="AE102" s="2"/>
      <c r="AF102"/>
      <c r="AG102"/>
    </row>
    <row r="103" spans="1:33" ht="21.95" customHeight="1" x14ac:dyDescent="0.25">
      <c r="A103" s="50"/>
      <c r="B103" s="50"/>
      <c r="C103" s="51"/>
      <c r="D103"/>
      <c r="E103" s="22" t="s">
        <v>1231</v>
      </c>
      <c r="F103" s="2">
        <v>42.87</v>
      </c>
      <c r="G103" s="2">
        <v>42.87</v>
      </c>
      <c r="H103">
        <v>0</v>
      </c>
      <c r="I103" s="2">
        <v>0</v>
      </c>
      <c r="J103" s="2">
        <v>0</v>
      </c>
      <c r="K103" s="2">
        <v>1589.75</v>
      </c>
      <c r="L103" s="131">
        <v>0</v>
      </c>
      <c r="M103" s="2">
        <v>1589.75</v>
      </c>
      <c r="N103">
        <v>0</v>
      </c>
      <c r="P103" s="131">
        <v>1.1546536039188245E-3</v>
      </c>
      <c r="Q103" s="131">
        <v>1.2999999999999999E-3</v>
      </c>
      <c r="W103" s="877"/>
      <c r="X103" s="647"/>
      <c r="Y103" s="877"/>
      <c r="AC103"/>
      <c r="AD103"/>
      <c r="AE103"/>
      <c r="AF103"/>
      <c r="AG103"/>
    </row>
    <row r="104" spans="1:33" ht="21.95" customHeight="1" x14ac:dyDescent="0.25">
      <c r="A104" s="50"/>
      <c r="B104" s="50"/>
      <c r="C104" s="51"/>
      <c r="D104"/>
      <c r="E104" s="22" t="s">
        <v>54</v>
      </c>
      <c r="F104" s="2">
        <v>135.66999999999999</v>
      </c>
      <c r="G104" s="2">
        <v>135.66999999999999</v>
      </c>
      <c r="H104">
        <v>0</v>
      </c>
      <c r="I104" s="2">
        <v>0</v>
      </c>
      <c r="J104" s="2">
        <v>0</v>
      </c>
      <c r="K104" s="2">
        <v>0</v>
      </c>
      <c r="L104" s="131">
        <v>0</v>
      </c>
      <c r="M104" s="2">
        <v>114.84999999999991</v>
      </c>
      <c r="N104">
        <v>0</v>
      </c>
      <c r="P104" s="131">
        <v>2.35E-2</v>
      </c>
      <c r="Q104" s="131">
        <v>9.7999999999999997E-3</v>
      </c>
      <c r="W104" s="877"/>
      <c r="X104" s="647"/>
      <c r="Y104" s="877"/>
    </row>
    <row r="105" spans="1:33" ht="21.95" customHeight="1" x14ac:dyDescent="0.25">
      <c r="A105" s="51"/>
      <c r="B105" s="51"/>
      <c r="C105" s="51"/>
      <c r="D105"/>
      <c r="E105" s="22" t="s">
        <v>51</v>
      </c>
      <c r="F105" s="2">
        <v>228.77</v>
      </c>
      <c r="G105" s="2">
        <v>228.77</v>
      </c>
      <c r="H105">
        <v>0</v>
      </c>
      <c r="I105" s="2">
        <v>0</v>
      </c>
      <c r="J105" s="2">
        <v>0</v>
      </c>
      <c r="K105" s="2">
        <v>0</v>
      </c>
      <c r="L105" s="131">
        <v>0</v>
      </c>
      <c r="M105" s="2">
        <v>176.70000000000073</v>
      </c>
      <c r="N105">
        <v>0</v>
      </c>
      <c r="P105" s="131">
        <v>1.52E-2</v>
      </c>
      <c r="Q105" s="131">
        <v>1.01E-2</v>
      </c>
      <c r="W105" s="877"/>
      <c r="X105" s="647"/>
      <c r="Y105" s="877"/>
    </row>
    <row r="106" spans="1:33" ht="21.95" customHeight="1" x14ac:dyDescent="0.25">
      <c r="A106" s="50"/>
      <c r="B106" s="50"/>
      <c r="C106" s="51"/>
      <c r="D106"/>
      <c r="E106" s="22" t="s">
        <v>665</v>
      </c>
      <c r="F106" s="2">
        <v>54.32</v>
      </c>
      <c r="G106" s="2">
        <v>54.32</v>
      </c>
      <c r="H106">
        <v>0</v>
      </c>
      <c r="I106" s="2">
        <v>0</v>
      </c>
      <c r="J106" s="2">
        <v>0</v>
      </c>
      <c r="K106" s="2">
        <v>2113.4099999999889</v>
      </c>
      <c r="L106" s="131">
        <v>0</v>
      </c>
      <c r="M106" s="2">
        <v>2113.4099999999889</v>
      </c>
      <c r="N106">
        <v>0</v>
      </c>
      <c r="P106" s="131">
        <v>2.9455081001472757E-2</v>
      </c>
      <c r="Q106" s="131">
        <v>4.1000000000000003E-3</v>
      </c>
      <c r="R106" s="2">
        <v>9.0912133891213394</v>
      </c>
      <c r="S106" s="29">
        <v>43317</v>
      </c>
      <c r="T106" s="48"/>
      <c r="W106" s="877"/>
      <c r="X106" s="647"/>
      <c r="Y106" s="877"/>
    </row>
    <row r="107" spans="1:33" ht="21.95" customHeight="1" x14ac:dyDescent="0.25">
      <c r="A107" s="50"/>
      <c r="B107" s="51"/>
      <c r="C107" s="51"/>
      <c r="D107"/>
      <c r="E107" s="22" t="s">
        <v>1229</v>
      </c>
      <c r="F107" s="2">
        <v>58.2</v>
      </c>
      <c r="G107" s="2">
        <v>58.2</v>
      </c>
      <c r="H107">
        <v>0</v>
      </c>
      <c r="I107" s="2">
        <v>0</v>
      </c>
      <c r="J107" s="2">
        <v>0</v>
      </c>
      <c r="K107" s="2">
        <v>146.78999999999996</v>
      </c>
      <c r="L107" s="131">
        <v>0</v>
      </c>
      <c r="M107" s="2">
        <v>146.78999999999996</v>
      </c>
      <c r="N107">
        <v>0</v>
      </c>
      <c r="P107" s="131">
        <v>1.9848797250859106E-2</v>
      </c>
      <c r="Q107" s="131">
        <v>6.1999999999999998E-3</v>
      </c>
      <c r="T107" s="48"/>
      <c r="W107" s="877"/>
      <c r="X107" s="647"/>
      <c r="Y107" s="877"/>
      <c r="Z107" s="877"/>
    </row>
    <row r="108" spans="1:33" ht="21.95" customHeight="1" x14ac:dyDescent="0.25">
      <c r="A108" s="50"/>
      <c r="B108" s="50"/>
      <c r="C108" s="51"/>
      <c r="D108"/>
      <c r="E108" s="22" t="s">
        <v>53</v>
      </c>
      <c r="F108" s="2">
        <v>109.31</v>
      </c>
      <c r="G108" s="2">
        <v>109.31</v>
      </c>
      <c r="H108">
        <v>0</v>
      </c>
      <c r="I108" s="2">
        <v>0</v>
      </c>
      <c r="J108" s="2">
        <v>0</v>
      </c>
      <c r="K108" s="2">
        <v>0</v>
      </c>
      <c r="L108" s="131">
        <v>0</v>
      </c>
      <c r="M108" s="2">
        <v>33.940000000000055</v>
      </c>
      <c r="N108">
        <v>0</v>
      </c>
      <c r="P108" s="131">
        <v>7.4000000000000003E-3</v>
      </c>
      <c r="Q108" s="131">
        <v>2.2599999999999999E-2</v>
      </c>
    </row>
    <row r="109" spans="1:33" ht="21.95" customHeight="1" x14ac:dyDescent="0.25">
      <c r="A109" s="50"/>
      <c r="B109" s="51"/>
      <c r="C109" s="51"/>
      <c r="D109"/>
      <c r="E109" s="22" t="s">
        <v>168</v>
      </c>
      <c r="F109" s="2">
        <v>53.9</v>
      </c>
      <c r="G109" s="2">
        <v>53.9</v>
      </c>
      <c r="H109">
        <v>0</v>
      </c>
      <c r="I109" s="2">
        <v>0</v>
      </c>
      <c r="J109" s="2">
        <v>0</v>
      </c>
      <c r="K109" s="2">
        <v>335.65000000000146</v>
      </c>
      <c r="L109" s="131">
        <v>0</v>
      </c>
      <c r="M109" s="2">
        <v>385.60000000000127</v>
      </c>
      <c r="N109">
        <v>0</v>
      </c>
      <c r="O109" t="s">
        <v>1310</v>
      </c>
      <c r="P109" s="131">
        <v>3.6363636363636362E-2</v>
      </c>
      <c r="Q109" s="131">
        <v>1.55E-2</v>
      </c>
      <c r="R109" s="2">
        <v>17.847682119205299</v>
      </c>
      <c r="S109" s="29">
        <v>43320</v>
      </c>
    </row>
    <row r="110" spans="1:33" ht="21.95" customHeight="1" x14ac:dyDescent="0.25">
      <c r="A110" s="50"/>
      <c r="B110" s="50"/>
      <c r="C110" s="51"/>
      <c r="D110"/>
      <c r="E110" s="22" t="s">
        <v>56</v>
      </c>
      <c r="F110" s="2">
        <v>37.24</v>
      </c>
      <c r="G110" s="2">
        <v>37.24</v>
      </c>
      <c r="H110">
        <v>0</v>
      </c>
      <c r="I110" s="2">
        <v>0</v>
      </c>
      <c r="J110" s="2">
        <v>0</v>
      </c>
      <c r="K110" s="2">
        <v>0</v>
      </c>
      <c r="L110" s="131">
        <v>0</v>
      </c>
      <c r="M110" s="2">
        <v>36.819999999999709</v>
      </c>
      <c r="N110">
        <v>0</v>
      </c>
      <c r="P110" s="131">
        <v>4.2999999999999997E-2</v>
      </c>
      <c r="Q110" s="131">
        <v>-1.3899999999999999E-2</v>
      </c>
    </row>
    <row r="111" spans="1:33" ht="21.95" customHeight="1" x14ac:dyDescent="0.25">
      <c r="A111" s="50"/>
      <c r="B111" s="51"/>
      <c r="C111" s="51"/>
      <c r="D111"/>
      <c r="E111" s="22" t="s">
        <v>0</v>
      </c>
      <c r="F111" s="2">
        <v>290.45</v>
      </c>
      <c r="G111" s="2">
        <v>290.45</v>
      </c>
      <c r="H111">
        <v>0</v>
      </c>
      <c r="I111" s="2">
        <v>0</v>
      </c>
      <c r="J111" s="2">
        <v>0</v>
      </c>
      <c r="K111" s="2">
        <v>0</v>
      </c>
      <c r="L111" s="131">
        <v>0</v>
      </c>
      <c r="M111" s="2">
        <v>465.57999999999993</v>
      </c>
      <c r="N111">
        <v>0</v>
      </c>
      <c r="P111" s="131">
        <v>3.8999999999999998E-3</v>
      </c>
      <c r="Q111" s="131">
        <v>6.4999999999999997E-3</v>
      </c>
    </row>
    <row r="112" spans="1:33" ht="21.95" customHeight="1" x14ac:dyDescent="0.25">
      <c r="A112" s="50"/>
      <c r="B112" s="50"/>
      <c r="C112" s="51"/>
      <c r="D112"/>
      <c r="E112" s="22" t="s">
        <v>39</v>
      </c>
      <c r="F112" s="2">
        <v>43.92</v>
      </c>
      <c r="G112" s="2">
        <v>43.92</v>
      </c>
      <c r="H112">
        <v>0</v>
      </c>
      <c r="I112" s="2">
        <v>0</v>
      </c>
      <c r="J112" s="2">
        <v>0</v>
      </c>
      <c r="K112" s="2">
        <v>0</v>
      </c>
      <c r="L112" s="131">
        <v>0</v>
      </c>
      <c r="M112" s="2">
        <v>529.88000000000284</v>
      </c>
      <c r="N112">
        <v>0</v>
      </c>
      <c r="P112" s="131">
        <v>2.3E-2</v>
      </c>
      <c r="Q112" s="131">
        <v>1.55E-2</v>
      </c>
    </row>
    <row r="113" spans="1:4" ht="21.95" customHeight="1" x14ac:dyDescent="0.25">
      <c r="A113" s="50"/>
      <c r="B113" s="51"/>
      <c r="C113" s="51"/>
      <c r="D113"/>
    </row>
    <row r="114" spans="1:4" ht="21.95" customHeight="1" x14ac:dyDescent="0.25">
      <c r="A114" s="50"/>
      <c r="B114" s="50"/>
      <c r="C114" s="51"/>
      <c r="D114"/>
    </row>
    <row r="115" spans="1:4" ht="21.95" customHeight="1" x14ac:dyDescent="0.25">
      <c r="A115"/>
      <c r="B115"/>
      <c r="C115"/>
      <c r="D115"/>
    </row>
    <row r="116" spans="1:4" ht="21.95" customHeight="1" x14ac:dyDescent="0.25">
      <c r="A116"/>
      <c r="B116"/>
      <c r="C116"/>
      <c r="D116"/>
    </row>
    <row r="117" spans="1:4" ht="21.95" customHeight="1" x14ac:dyDescent="0.25">
      <c r="A117"/>
      <c r="B117"/>
      <c r="C117"/>
      <c r="D117"/>
    </row>
    <row r="118" spans="1:4" ht="21.95" customHeight="1" x14ac:dyDescent="0.25">
      <c r="A118"/>
      <c r="B118"/>
      <c r="C118"/>
      <c r="D118"/>
    </row>
    <row r="119" spans="1:4" ht="21.95" customHeight="1" x14ac:dyDescent="0.25">
      <c r="A119"/>
      <c r="B119"/>
      <c r="C119"/>
      <c r="D119"/>
    </row>
    <row r="120" spans="1:4" ht="21.95" customHeight="1" x14ac:dyDescent="0.25">
      <c r="A120"/>
      <c r="B120"/>
      <c r="C120"/>
      <c r="D120"/>
    </row>
    <row r="121" spans="1:4" ht="21.95" customHeight="1" x14ac:dyDescent="0.25">
      <c r="A121"/>
      <c r="B121"/>
      <c r="C121"/>
      <c r="D121"/>
    </row>
    <row r="122" spans="1:4" ht="21.95" customHeight="1" x14ac:dyDescent="0.25">
      <c r="A122"/>
      <c r="B122"/>
      <c r="C122"/>
      <c r="D122"/>
    </row>
    <row r="123" spans="1:4" ht="21.95" customHeight="1" x14ac:dyDescent="0.25">
      <c r="A123"/>
      <c r="B123"/>
      <c r="C123"/>
      <c r="D123"/>
    </row>
    <row r="124" spans="1:4" ht="21.95" customHeight="1" x14ac:dyDescent="0.25">
      <c r="A124"/>
      <c r="B124"/>
      <c r="C124"/>
      <c r="D124"/>
    </row>
    <row r="125" spans="1:4" ht="21.95" customHeight="1" x14ac:dyDescent="0.25">
      <c r="A125"/>
      <c r="B125"/>
      <c r="C125"/>
      <c r="D125"/>
    </row>
    <row r="126" spans="1:4" ht="21.95" customHeight="1" x14ac:dyDescent="0.25">
      <c r="A126"/>
      <c r="B126"/>
      <c r="C126"/>
      <c r="D126"/>
    </row>
    <row r="127" spans="1:4" ht="21.95" customHeight="1" x14ac:dyDescent="0.25">
      <c r="A127"/>
      <c r="B127"/>
      <c r="C127"/>
      <c r="D127"/>
    </row>
    <row r="128" spans="1:4" ht="21.95" customHeight="1" x14ac:dyDescent="0.25">
      <c r="A128"/>
      <c r="B128"/>
      <c r="C128"/>
      <c r="D128"/>
    </row>
    <row r="129" spans="1:4" ht="21.95" customHeight="1" x14ac:dyDescent="0.25">
      <c r="A129"/>
      <c r="B129"/>
      <c r="C129"/>
      <c r="D129"/>
    </row>
    <row r="130" spans="1:4" ht="21.95" customHeight="1" x14ac:dyDescent="0.25">
      <c r="A130"/>
      <c r="B130"/>
      <c r="C130"/>
      <c r="D130"/>
    </row>
    <row r="131" spans="1:4" ht="21.95" customHeight="1" x14ac:dyDescent="0.25">
      <c r="A131"/>
      <c r="B131"/>
      <c r="C131"/>
      <c r="D131"/>
    </row>
    <row r="132" spans="1:4" ht="21.95" customHeight="1" x14ac:dyDescent="0.25">
      <c r="A132"/>
      <c r="B132"/>
      <c r="C132"/>
      <c r="D132"/>
    </row>
    <row r="133" spans="1:4" ht="21.95" customHeight="1" x14ac:dyDescent="0.25">
      <c r="A133"/>
      <c r="B133"/>
      <c r="C133"/>
      <c r="D133"/>
    </row>
    <row r="134" spans="1:4" ht="21.95" customHeight="1" x14ac:dyDescent="0.25">
      <c r="A134"/>
      <c r="B134"/>
      <c r="C134"/>
      <c r="D134"/>
    </row>
    <row r="135" spans="1:4" ht="21.95" customHeight="1" x14ac:dyDescent="0.25">
      <c r="A135"/>
      <c r="B135"/>
      <c r="C135"/>
      <c r="D135"/>
    </row>
    <row r="136" spans="1:4" ht="21.95" customHeight="1" x14ac:dyDescent="0.25">
      <c r="A136"/>
      <c r="B136"/>
      <c r="C136"/>
      <c r="D136"/>
    </row>
    <row r="137" spans="1:4" ht="21.95" customHeight="1" x14ac:dyDescent="0.25">
      <c r="A137"/>
      <c r="B137"/>
      <c r="C137"/>
      <c r="D137"/>
    </row>
    <row r="138" spans="1:4" ht="21.95" customHeight="1" x14ac:dyDescent="0.25">
      <c r="A138"/>
      <c r="B138"/>
      <c r="C138"/>
      <c r="D138"/>
    </row>
    <row r="139" spans="1:4" ht="21.95" customHeight="1" x14ac:dyDescent="0.25">
      <c r="A139"/>
      <c r="B139"/>
      <c r="C139"/>
      <c r="D139"/>
    </row>
    <row r="140" spans="1:4" ht="21.95" customHeight="1" x14ac:dyDescent="0.25">
      <c r="A140"/>
      <c r="B140"/>
      <c r="C140"/>
      <c r="D140"/>
    </row>
    <row r="141" spans="1:4" ht="21.95" customHeight="1" x14ac:dyDescent="0.25">
      <c r="A141"/>
      <c r="B141"/>
      <c r="C141"/>
      <c r="D141"/>
    </row>
    <row r="142" spans="1:4" ht="21.95" customHeight="1" x14ac:dyDescent="0.25">
      <c r="A142"/>
      <c r="B142"/>
      <c r="C142"/>
      <c r="D142"/>
    </row>
    <row r="143" spans="1:4" ht="21.95" customHeight="1" x14ac:dyDescent="0.25">
      <c r="A143"/>
      <c r="B143"/>
      <c r="C143"/>
      <c r="D143"/>
    </row>
    <row r="144" spans="1:4" ht="21.95" customHeight="1" x14ac:dyDescent="0.25">
      <c r="A144"/>
      <c r="B144"/>
      <c r="C144"/>
      <c r="D144"/>
    </row>
    <row r="145" spans="1:4" ht="21.95" customHeight="1" x14ac:dyDescent="0.25">
      <c r="A145"/>
      <c r="B145"/>
      <c r="C145"/>
      <c r="D145"/>
    </row>
    <row r="146" spans="1:4" ht="21.95" customHeight="1" x14ac:dyDescent="0.25">
      <c r="A146"/>
      <c r="B146"/>
      <c r="C146"/>
      <c r="D146"/>
    </row>
    <row r="147" spans="1:4" ht="21.95" customHeight="1" x14ac:dyDescent="0.25">
      <c r="A147"/>
      <c r="B147"/>
      <c r="C147"/>
      <c r="D147"/>
    </row>
    <row r="148" spans="1:4" ht="21.95" customHeight="1" x14ac:dyDescent="0.25">
      <c r="A148"/>
      <c r="B148"/>
      <c r="C148"/>
      <c r="D148"/>
    </row>
    <row r="149" spans="1:4" ht="21.95" customHeight="1" x14ac:dyDescent="0.25">
      <c r="A149"/>
      <c r="B149"/>
      <c r="C149"/>
      <c r="D149"/>
    </row>
    <row r="150" spans="1:4" ht="21.95" customHeight="1" x14ac:dyDescent="0.25">
      <c r="A150"/>
      <c r="B150"/>
      <c r="C150"/>
      <c r="D150"/>
    </row>
    <row r="151" spans="1:4" ht="21.95" customHeight="1" x14ac:dyDescent="0.25">
      <c r="A151"/>
      <c r="B151"/>
      <c r="C151"/>
      <c r="D151"/>
    </row>
    <row r="152" spans="1:4" ht="21.95" customHeight="1" x14ac:dyDescent="0.25">
      <c r="A152"/>
      <c r="B152"/>
      <c r="C152"/>
      <c r="D152"/>
    </row>
    <row r="153" spans="1:4" ht="21.95" customHeight="1" x14ac:dyDescent="0.25">
      <c r="A153"/>
      <c r="B153"/>
      <c r="C153"/>
      <c r="D153"/>
    </row>
    <row r="154" spans="1:4" ht="21.95" customHeight="1" x14ac:dyDescent="0.25">
      <c r="A154"/>
      <c r="B154"/>
      <c r="C154"/>
      <c r="D154"/>
    </row>
    <row r="155" spans="1:4" ht="21.95" customHeight="1" x14ac:dyDescent="0.25">
      <c r="A155"/>
      <c r="B155"/>
      <c r="C155"/>
      <c r="D155"/>
    </row>
    <row r="156" spans="1:4" ht="21.95" customHeight="1" x14ac:dyDescent="0.25">
      <c r="A156"/>
      <c r="B156"/>
      <c r="C156"/>
      <c r="D156"/>
    </row>
    <row r="157" spans="1:4" ht="21.95" customHeight="1" x14ac:dyDescent="0.25">
      <c r="A157"/>
      <c r="B157"/>
      <c r="C157"/>
      <c r="D157"/>
    </row>
    <row r="158" spans="1:4" ht="21.95" customHeight="1" x14ac:dyDescent="0.25">
      <c r="A158"/>
      <c r="B158"/>
      <c r="C158"/>
      <c r="D158"/>
    </row>
    <row r="159" spans="1:4" ht="21.95" customHeight="1" x14ac:dyDescent="0.25">
      <c r="A159"/>
      <c r="B159"/>
      <c r="C159"/>
      <c r="D159"/>
    </row>
    <row r="160" spans="1:4" ht="21.95" customHeight="1" x14ac:dyDescent="0.25">
      <c r="A160"/>
      <c r="B160"/>
      <c r="C160"/>
      <c r="D160"/>
    </row>
    <row r="161" spans="1:4" ht="21.95" customHeight="1" x14ac:dyDescent="0.25">
      <c r="A161"/>
      <c r="B161"/>
      <c r="C161"/>
      <c r="D161"/>
    </row>
    <row r="162" spans="1:4" ht="21.95" customHeight="1" x14ac:dyDescent="0.25">
      <c r="A162"/>
      <c r="B162"/>
      <c r="C162"/>
      <c r="D162"/>
    </row>
    <row r="163" spans="1:4" ht="21.95" customHeight="1" x14ac:dyDescent="0.25">
      <c r="A163"/>
      <c r="B163"/>
      <c r="C163"/>
      <c r="D163"/>
    </row>
    <row r="164" spans="1:4" ht="21.95" customHeight="1" x14ac:dyDescent="0.25">
      <c r="A164"/>
      <c r="B164"/>
      <c r="C164"/>
      <c r="D164"/>
    </row>
    <row r="165" spans="1:4" ht="21.95" customHeight="1" x14ac:dyDescent="0.25">
      <c r="A165"/>
      <c r="B165"/>
      <c r="C165"/>
      <c r="D165"/>
    </row>
    <row r="166" spans="1:4" ht="21.95" customHeight="1" x14ac:dyDescent="0.25">
      <c r="A166"/>
      <c r="B166"/>
      <c r="C166"/>
      <c r="D166"/>
    </row>
    <row r="167" spans="1:4" ht="21.95" customHeight="1" x14ac:dyDescent="0.25">
      <c r="A167"/>
      <c r="B167"/>
      <c r="C167"/>
      <c r="D167"/>
    </row>
    <row r="168" spans="1:4" ht="21.95" customHeight="1" x14ac:dyDescent="0.25">
      <c r="A168"/>
      <c r="B168"/>
      <c r="C168"/>
      <c r="D168"/>
    </row>
    <row r="169" spans="1:4" ht="21.95" customHeight="1" x14ac:dyDescent="0.25">
      <c r="A169"/>
      <c r="B169"/>
      <c r="C169"/>
      <c r="D169"/>
    </row>
    <row r="170" spans="1:4" ht="21.95" customHeight="1" x14ac:dyDescent="0.25">
      <c r="A170"/>
      <c r="B170"/>
      <c r="C170"/>
      <c r="D170"/>
    </row>
    <row r="171" spans="1:4" ht="21.95" customHeight="1" x14ac:dyDescent="0.25">
      <c r="A171"/>
      <c r="B171"/>
      <c r="C171"/>
      <c r="D171"/>
    </row>
    <row r="172" spans="1:4" ht="21.95" customHeight="1" x14ac:dyDescent="0.25">
      <c r="A172"/>
      <c r="B172"/>
      <c r="C172"/>
      <c r="D172"/>
    </row>
    <row r="173" spans="1:4" ht="21.95" customHeight="1" x14ac:dyDescent="0.25">
      <c r="A173"/>
      <c r="B173"/>
      <c r="C173"/>
      <c r="D173"/>
    </row>
    <row r="174" spans="1:4" ht="21.95" customHeight="1" x14ac:dyDescent="0.25">
      <c r="A174"/>
      <c r="B174"/>
      <c r="C174"/>
      <c r="D174"/>
    </row>
    <row r="175" spans="1:4" ht="21.95" customHeight="1" x14ac:dyDescent="0.25">
      <c r="A175"/>
      <c r="B175"/>
      <c r="C175"/>
      <c r="D175"/>
    </row>
    <row r="176" spans="1:4" ht="21.95" customHeight="1" x14ac:dyDescent="0.25">
      <c r="A176"/>
      <c r="B176"/>
      <c r="C176"/>
      <c r="D176"/>
    </row>
    <row r="177" spans="1:4" ht="21.95" customHeight="1" x14ac:dyDescent="0.25">
      <c r="A177"/>
      <c r="B177"/>
      <c r="C177"/>
      <c r="D177"/>
    </row>
    <row r="178" spans="1:4" ht="21.95" customHeight="1" x14ac:dyDescent="0.25">
      <c r="A178"/>
      <c r="B178"/>
      <c r="C178"/>
      <c r="D178"/>
    </row>
    <row r="179" spans="1:4" ht="21.95" customHeight="1" x14ac:dyDescent="0.25">
      <c r="A179"/>
      <c r="B179"/>
      <c r="C179"/>
      <c r="D179"/>
    </row>
    <row r="180" spans="1:4" ht="21.95" customHeight="1" x14ac:dyDescent="0.25">
      <c r="A180"/>
      <c r="B180"/>
      <c r="C180"/>
      <c r="D180"/>
    </row>
    <row r="181" spans="1:4" ht="21.95" customHeight="1" x14ac:dyDescent="0.25">
      <c r="A181"/>
      <c r="B181"/>
      <c r="C181"/>
      <c r="D181"/>
    </row>
    <row r="182" spans="1:4" ht="21.95" customHeight="1" x14ac:dyDescent="0.25">
      <c r="A182"/>
      <c r="B182"/>
      <c r="C182"/>
      <c r="D182"/>
    </row>
    <row r="183" spans="1:4" ht="21.95" customHeight="1" x14ac:dyDescent="0.25">
      <c r="A183"/>
      <c r="B183"/>
      <c r="C183"/>
      <c r="D183"/>
    </row>
    <row r="184" spans="1:4" ht="21.95" customHeight="1" x14ac:dyDescent="0.25">
      <c r="A184"/>
      <c r="B184"/>
      <c r="C184"/>
      <c r="D184"/>
    </row>
    <row r="185" spans="1:4" ht="21.95" customHeight="1" x14ac:dyDescent="0.25">
      <c r="A185"/>
      <c r="B185"/>
      <c r="C185"/>
      <c r="D185"/>
    </row>
    <row r="186" spans="1:4" ht="21.95" customHeight="1" x14ac:dyDescent="0.25">
      <c r="A186"/>
      <c r="B186"/>
      <c r="C186"/>
      <c r="D186"/>
    </row>
    <row r="187" spans="1:4" ht="21.95" customHeight="1" x14ac:dyDescent="0.25">
      <c r="A187"/>
      <c r="B187"/>
      <c r="C187"/>
      <c r="D187"/>
    </row>
    <row r="188" spans="1:4" ht="21.95" customHeight="1" x14ac:dyDescent="0.25">
      <c r="A188"/>
      <c r="B188"/>
      <c r="C188"/>
      <c r="D188"/>
    </row>
    <row r="189" spans="1:4" ht="21.95" customHeight="1" x14ac:dyDescent="0.25">
      <c r="A189"/>
      <c r="B189"/>
      <c r="C189"/>
      <c r="D189"/>
    </row>
    <row r="190" spans="1:4" ht="21.95" customHeight="1" x14ac:dyDescent="0.25">
      <c r="A190"/>
      <c r="B190"/>
      <c r="C190"/>
      <c r="D190"/>
    </row>
    <row r="191" spans="1:4" ht="21.95" customHeight="1" x14ac:dyDescent="0.25">
      <c r="A191"/>
      <c r="B191"/>
      <c r="C191"/>
      <c r="D191"/>
    </row>
    <row r="192" spans="1:4" ht="21.95" customHeight="1" x14ac:dyDescent="0.25">
      <c r="A192"/>
      <c r="B192"/>
      <c r="C192"/>
      <c r="D192"/>
    </row>
    <row r="193" spans="1:4" ht="21.95" customHeight="1" x14ac:dyDescent="0.25">
      <c r="A193"/>
      <c r="B193"/>
      <c r="C193"/>
      <c r="D193"/>
    </row>
    <row r="194" spans="1:4" ht="21.95" customHeight="1" x14ac:dyDescent="0.25">
      <c r="A194"/>
      <c r="B194"/>
      <c r="C194"/>
      <c r="D194"/>
    </row>
    <row r="195" spans="1:4" ht="21.95" customHeight="1" x14ac:dyDescent="0.25">
      <c r="A195"/>
      <c r="B195"/>
      <c r="C195"/>
      <c r="D195"/>
    </row>
    <row r="196" spans="1:4" ht="21.95" customHeight="1" x14ac:dyDescent="0.25">
      <c r="A196"/>
      <c r="B196"/>
      <c r="C196"/>
      <c r="D196"/>
    </row>
    <row r="197" spans="1:4" ht="21.95" customHeight="1" x14ac:dyDescent="0.25">
      <c r="A197"/>
      <c r="B197"/>
      <c r="C197"/>
      <c r="D197"/>
    </row>
    <row r="198" spans="1:4" ht="21.95" customHeight="1" x14ac:dyDescent="0.25">
      <c r="A198"/>
      <c r="B198"/>
      <c r="C198"/>
      <c r="D198"/>
    </row>
    <row r="199" spans="1:4" ht="21.95" customHeight="1" x14ac:dyDescent="0.25">
      <c r="A199"/>
      <c r="B199"/>
      <c r="C199"/>
      <c r="D199"/>
    </row>
    <row r="200" spans="1:4" ht="21.95" customHeight="1" x14ac:dyDescent="0.25">
      <c r="A200"/>
      <c r="B200"/>
      <c r="C200"/>
      <c r="D200"/>
    </row>
    <row r="201" spans="1:4" ht="21.95" customHeight="1" x14ac:dyDescent="0.25">
      <c r="A201"/>
      <c r="B201"/>
      <c r="C201"/>
      <c r="D201"/>
    </row>
    <row r="202" spans="1:4" ht="21.95" customHeight="1" x14ac:dyDescent="0.25">
      <c r="A202"/>
      <c r="B202"/>
      <c r="C202"/>
      <c r="D202"/>
    </row>
    <row r="203" spans="1:4" ht="21.95" customHeight="1" x14ac:dyDescent="0.25">
      <c r="A203"/>
      <c r="B203"/>
      <c r="C203"/>
      <c r="D203"/>
    </row>
    <row r="204" spans="1:4" ht="21.95" customHeight="1" x14ac:dyDescent="0.25">
      <c r="A204"/>
      <c r="B204"/>
      <c r="C204"/>
      <c r="D204"/>
    </row>
    <row r="205" spans="1:4" ht="21.95" customHeight="1" x14ac:dyDescent="0.25">
      <c r="A205"/>
      <c r="B205"/>
      <c r="C205"/>
      <c r="D205"/>
    </row>
    <row r="206" spans="1:4" ht="21.95" customHeight="1" x14ac:dyDescent="0.25">
      <c r="A206"/>
      <c r="B206"/>
      <c r="C206"/>
      <c r="D206"/>
    </row>
    <row r="207" spans="1:4" ht="21.95" customHeight="1" x14ac:dyDescent="0.25">
      <c r="A207"/>
      <c r="B207"/>
      <c r="C207"/>
      <c r="D207"/>
    </row>
    <row r="208" spans="1:4" ht="21.95" customHeight="1" x14ac:dyDescent="0.25">
      <c r="A208"/>
      <c r="B208"/>
      <c r="C208"/>
      <c r="D208"/>
    </row>
    <row r="209" spans="1:4" ht="21.95" customHeight="1" x14ac:dyDescent="0.25">
      <c r="A209"/>
      <c r="B209"/>
      <c r="C209"/>
      <c r="D209"/>
    </row>
    <row r="210" spans="1:4" ht="21.95" customHeight="1" x14ac:dyDescent="0.25">
      <c r="A210"/>
      <c r="B210"/>
      <c r="C210"/>
      <c r="D210"/>
    </row>
    <row r="211" spans="1:4" ht="21.95" customHeight="1" x14ac:dyDescent="0.25">
      <c r="A211"/>
      <c r="B211"/>
      <c r="C211"/>
      <c r="D211"/>
    </row>
    <row r="212" spans="1:4" ht="21.95" customHeight="1" x14ac:dyDescent="0.25">
      <c r="A212"/>
      <c r="B212"/>
      <c r="C212"/>
      <c r="D212"/>
    </row>
    <row r="213" spans="1:4" ht="21.95" customHeight="1" x14ac:dyDescent="0.25">
      <c r="A213"/>
      <c r="B213"/>
      <c r="C213"/>
      <c r="D213"/>
    </row>
    <row r="214" spans="1:4" ht="21.95" customHeight="1" x14ac:dyDescent="0.25">
      <c r="A214"/>
      <c r="B214"/>
      <c r="C214"/>
      <c r="D214"/>
    </row>
    <row r="215" spans="1:4" ht="21.95" customHeight="1" x14ac:dyDescent="0.25">
      <c r="A215"/>
      <c r="B215"/>
      <c r="C215"/>
      <c r="D215"/>
    </row>
    <row r="216" spans="1:4" ht="21.95" customHeight="1" x14ac:dyDescent="0.25">
      <c r="A216"/>
      <c r="B216"/>
      <c r="C216"/>
      <c r="D216"/>
    </row>
    <row r="217" spans="1:4" ht="21.95" customHeight="1" x14ac:dyDescent="0.25">
      <c r="A217"/>
      <c r="B217"/>
      <c r="C217"/>
      <c r="D217"/>
    </row>
    <row r="218" spans="1:4" ht="21.95" customHeight="1" x14ac:dyDescent="0.25">
      <c r="A218"/>
      <c r="B218"/>
      <c r="C218"/>
      <c r="D218"/>
    </row>
    <row r="219" spans="1:4" ht="21.95" customHeight="1" x14ac:dyDescent="0.25">
      <c r="A219"/>
      <c r="B219"/>
      <c r="C219"/>
      <c r="D219"/>
    </row>
    <row r="220" spans="1:4" ht="21.95" customHeight="1" x14ac:dyDescent="0.25">
      <c r="A220"/>
      <c r="B220"/>
      <c r="C220"/>
      <c r="D220"/>
    </row>
    <row r="221" spans="1:4" ht="21.95" customHeight="1" x14ac:dyDescent="0.25">
      <c r="A221"/>
      <c r="B221"/>
      <c r="C221"/>
      <c r="D221"/>
    </row>
    <row r="222" spans="1:4" ht="21.95" customHeight="1" x14ac:dyDescent="0.25">
      <c r="A222"/>
      <c r="B222"/>
      <c r="C222"/>
      <c r="D222"/>
    </row>
    <row r="223" spans="1:4" ht="21.95" customHeight="1" x14ac:dyDescent="0.25">
      <c r="A223"/>
      <c r="B223"/>
      <c r="C223"/>
      <c r="D223"/>
    </row>
    <row r="224" spans="1:4" ht="21.95" customHeight="1" x14ac:dyDescent="0.25">
      <c r="A224"/>
      <c r="B224"/>
      <c r="C224"/>
      <c r="D224"/>
    </row>
    <row r="225" spans="1:4" ht="21.95" customHeight="1" x14ac:dyDescent="0.25">
      <c r="A225"/>
      <c r="B225"/>
      <c r="C225"/>
      <c r="D225"/>
    </row>
    <row r="226" spans="1:4" ht="21.95" customHeight="1" x14ac:dyDescent="0.25">
      <c r="A226"/>
      <c r="B226"/>
      <c r="C226"/>
      <c r="D226"/>
    </row>
    <row r="227" spans="1:4" ht="21.95" customHeight="1" x14ac:dyDescent="0.25">
      <c r="A227"/>
      <c r="B227"/>
      <c r="C227"/>
      <c r="D227"/>
    </row>
    <row r="228" spans="1:4" ht="21.95" customHeight="1" x14ac:dyDescent="0.25">
      <c r="A228"/>
      <c r="B228"/>
      <c r="C228"/>
      <c r="D228"/>
    </row>
    <row r="229" spans="1:4" ht="21.95" customHeight="1" x14ac:dyDescent="0.25">
      <c r="A229"/>
      <c r="B229"/>
      <c r="C229"/>
      <c r="D229"/>
    </row>
    <row r="230" spans="1:4" ht="21.95" customHeight="1" x14ac:dyDescent="0.25">
      <c r="A230"/>
      <c r="B230"/>
      <c r="C230"/>
      <c r="D230"/>
    </row>
    <row r="231" spans="1:4" ht="21.95" customHeight="1" x14ac:dyDescent="0.25">
      <c r="A231"/>
      <c r="B231"/>
      <c r="C231"/>
      <c r="D231"/>
    </row>
    <row r="232" spans="1:4" ht="21.95" customHeight="1" x14ac:dyDescent="0.25">
      <c r="A232"/>
      <c r="B232"/>
      <c r="C232"/>
      <c r="D232"/>
    </row>
    <row r="233" spans="1:4" ht="21.95" customHeight="1" x14ac:dyDescent="0.25">
      <c r="A233"/>
      <c r="B233"/>
      <c r="C233"/>
      <c r="D233"/>
    </row>
    <row r="234" spans="1:4" ht="21.95" customHeight="1" x14ac:dyDescent="0.25">
      <c r="A234"/>
      <c r="B234"/>
      <c r="C234"/>
      <c r="D234"/>
    </row>
    <row r="235" spans="1:4" ht="21.95" customHeight="1" x14ac:dyDescent="0.25">
      <c r="A235"/>
      <c r="B235"/>
      <c r="C235"/>
      <c r="D235"/>
    </row>
    <row r="236" spans="1:4" ht="21.95" customHeight="1" x14ac:dyDescent="0.25">
      <c r="A236"/>
      <c r="B236"/>
      <c r="C236"/>
      <c r="D236"/>
    </row>
  </sheetData>
  <sortState ref="A2:AG236">
    <sortCondition descending="1" ref="I1"/>
  </sortState>
  <dataConsolidate/>
  <conditionalFormatting sqref="J1:J1048576">
    <cfRule type="dataBar" priority="11">
      <dataBar>
        <cfvo type="min"/>
        <cfvo type="max"/>
        <color rgb="FFFF555A"/>
      </dataBar>
      <extLst>
        <ext xmlns:x14="http://schemas.microsoft.com/office/spreadsheetml/2009/9/main" uri="{B025F937-C7B1-47D3-B67F-A62EFF666E3E}">
          <x14:id>{81A2B982-6F8F-49C1-AD11-AF920697D3DE}</x14:id>
        </ext>
      </extLst>
    </cfRule>
  </conditionalFormatting>
  <conditionalFormatting sqref="I1:I1048576">
    <cfRule type="dataBar" priority="10">
      <dataBar>
        <cfvo type="min"/>
        <cfvo type="max"/>
        <color rgb="FF63C384"/>
      </dataBar>
      <extLst>
        <ext xmlns:x14="http://schemas.microsoft.com/office/spreadsheetml/2009/9/main" uri="{B025F937-C7B1-47D3-B67F-A62EFF666E3E}">
          <x14:id>{730E8BB8-6573-4EA3-AA83-D2CE531066F7}</x14:id>
        </ext>
      </extLst>
    </cfRule>
  </conditionalFormatting>
  <conditionalFormatting sqref="P1:P1048576">
    <cfRule type="dataBar" priority="7">
      <dataBar>
        <cfvo type="min"/>
        <cfvo type="max"/>
        <color rgb="FF63C384"/>
      </dataBar>
      <extLst>
        <ext xmlns:x14="http://schemas.microsoft.com/office/spreadsheetml/2009/9/main" uri="{B025F937-C7B1-47D3-B67F-A62EFF666E3E}">
          <x14:id>{93A44921-6121-4816-8944-636E5B91B8E6}</x14:id>
        </ext>
      </extLst>
    </cfRule>
  </conditionalFormatting>
  <conditionalFormatting sqref="Q1:Q1048576">
    <cfRule type="dataBar" priority="6">
      <dataBar>
        <cfvo type="min"/>
        <cfvo type="max"/>
        <color rgb="FF63C384"/>
      </dataBar>
      <extLst>
        <ext xmlns:x14="http://schemas.microsoft.com/office/spreadsheetml/2009/9/main" uri="{B025F937-C7B1-47D3-B67F-A62EFF666E3E}">
          <x14:id>{BA7FC0D8-B698-4835-90FB-2266930D0C8E}</x14:id>
        </ext>
      </extLst>
    </cfRule>
  </conditionalFormatting>
  <conditionalFormatting sqref="L1:L1048576">
    <cfRule type="dataBar" priority="3">
      <dataBar>
        <cfvo type="min"/>
        <cfvo type="max"/>
        <color rgb="FF63C384"/>
      </dataBar>
      <extLst>
        <ext xmlns:x14="http://schemas.microsoft.com/office/spreadsheetml/2009/9/main" uri="{B025F937-C7B1-47D3-B67F-A62EFF666E3E}">
          <x14:id>{7076FB42-5D9F-4A22-8E6E-7214920E8841}</x14:id>
        </ext>
      </extLst>
    </cfRule>
  </conditionalFormatting>
  <conditionalFormatting sqref="M1:M1048576">
    <cfRule type="dataBar" priority="2">
      <dataBar>
        <cfvo type="min"/>
        <cfvo type="max"/>
        <color rgb="FF63C384"/>
      </dataBar>
      <extLst>
        <ext xmlns:x14="http://schemas.microsoft.com/office/spreadsheetml/2009/9/main" uri="{B025F937-C7B1-47D3-B67F-A62EFF666E3E}">
          <x14:id>{B804179A-6652-4A1A-A8A7-BC6F8612123F}</x14:id>
        </ext>
      </extLst>
    </cfRule>
  </conditionalFormatting>
  <conditionalFormatting sqref="K1:K1048576">
    <cfRule type="dataBar" priority="1">
      <dataBar>
        <cfvo type="min"/>
        <cfvo type="max"/>
        <color rgb="FF63C384"/>
      </dataBar>
      <extLst>
        <ext xmlns:x14="http://schemas.microsoft.com/office/spreadsheetml/2009/9/main" uri="{B025F937-C7B1-47D3-B67F-A62EFF666E3E}">
          <x14:id>{D6672F93-14CF-446B-9739-46762902CA89}</x14:id>
        </ext>
      </extLst>
    </cfRule>
  </conditionalFormatting>
  <hyperlinks>
    <hyperlink ref="E17" location="AAPL!A1" display="AAPL"/>
    <hyperlink ref="E18" location="ABC!A1" display="ABC"/>
    <hyperlink ref="E19" location="SIG!A1" display="SIG"/>
    <hyperlink ref="E8" location="ABMD!A1" display="ABMD"/>
    <hyperlink ref="E20" location="AXP!A1" display="AXP"/>
    <hyperlink ref="E21" location="DG!A1" display="DG"/>
    <hyperlink ref="E22" location="PINC!A1" display="PINC"/>
    <hyperlink ref="E23" location="AOBC!A1" display="AOBC"/>
    <hyperlink ref="E24" location="CCEP!A1" display="CCEP"/>
    <hyperlink ref="E25" location="BMY!A1" display="BMY"/>
    <hyperlink ref="E26" location="GPS!A1" display="GPS"/>
    <hyperlink ref="E27" location="AKAM!A1" display="AKAM"/>
    <hyperlink ref="E28" location="ARNC!A1" display="ARNC"/>
    <hyperlink ref="E14" location="AYI!A1" display="AYI"/>
    <hyperlink ref="E29" location="BIIB!A1" display="BIIB"/>
    <hyperlink ref="E15" location="CTVA!A1" display="CTVA"/>
    <hyperlink ref="E30" location="CPRI!A1" display="CPRI"/>
    <hyperlink ref="E31" location="COST!A1" display="COST"/>
    <hyperlink ref="E32" location="AA!A1" display="AA"/>
    <hyperlink ref="E33" location="ADBE!A1" display="ADBE"/>
    <hyperlink ref="E34" location="AOS!A1" display="AOS"/>
    <hyperlink ref="E35" location="AAP!A1" display="AAP"/>
    <hyperlink ref="E36" location="AZO!A1" display="AZO"/>
    <hyperlink ref="E37" location="CMG!A1" display="CMG"/>
    <hyperlink ref="E38" location="CVS!A1" display="CVS"/>
    <hyperlink ref="E39" location="PPC!A1" display="PPC"/>
    <hyperlink ref="E40" location="SKX!A1" display="SKX"/>
    <hyperlink ref="E10" location="DD!A1" display="DD"/>
    <hyperlink ref="E41" location="EOG!A1" display="EOG"/>
    <hyperlink ref="E42" location="FOXA!A1" display="FOXA"/>
    <hyperlink ref="E43" location="FDX!A1" display="FDX"/>
    <hyperlink ref="E44" location="CCL!A1" display="CCL"/>
    <hyperlink ref="E16" location="DOW!A1" display="DOW"/>
    <hyperlink ref="E45" location="DVN!A1" display="DVN"/>
    <hyperlink ref="E46" location="ET!A1" display="ET"/>
    <hyperlink ref="E47" location="XRAY!A1" display="XRAY"/>
    <hyperlink ref="E48" location="ATVI!A1" display="ATVI"/>
    <hyperlink ref="E49" location="CRI!A1" display="CRI"/>
    <hyperlink ref="E50" location="PXD!A1" display="PXD"/>
    <hyperlink ref="E51" location="SLCA!A1" display="SLCA"/>
    <hyperlink ref="E52" location="XLP!A1" display="XLP"/>
    <hyperlink ref="E53" location="F!A1" display="F"/>
    <hyperlink ref="E54" location="JNJ!A1" display="JNJ"/>
    <hyperlink ref="E55" location="FRC!A1" display="FRC"/>
    <hyperlink ref="E56" location="CMCSA!A1" display="CMCSA"/>
    <hyperlink ref="E57" location="XEC!A1" display="XEC"/>
    <hyperlink ref="E58" location="DIA!A1" display="DIA"/>
    <hyperlink ref="E59" location="EW!A1" display="EW"/>
    <hyperlink ref="E60" location="TJX!A1" display="TJX"/>
    <hyperlink ref="E61" location="FL!A1" display="FL"/>
    <hyperlink ref="E62" location="GILD!A1" display="GILD"/>
    <hyperlink ref="E63" location="HAS!A1" display="HAS"/>
    <hyperlink ref="E64" location="GE!A1" display="GE"/>
    <hyperlink ref="E9" location="HSIC!A1" display="HSIC"/>
    <hyperlink ref="E65" location="IEMG!A1" display="IEMG"/>
    <hyperlink ref="E66" location="IPGP!A1" display="IPGP"/>
    <hyperlink ref="E67" location="IWM!A1" display="IWM"/>
    <hyperlink ref="E68" location="KBWY!A1" display="KBWY"/>
    <hyperlink ref="E3" location="KHC!A1" display="KHC"/>
    <hyperlink ref="E69" location="KR!A1" display="KR"/>
    <hyperlink ref="E70" location="MLM!A1" display="MLM"/>
    <hyperlink ref="E71" location="ICE!A1" display="ICE"/>
    <hyperlink ref="E72" location="NKE!A1" display="NKE"/>
    <hyperlink ref="E73" location="KWEB!A1" display="KWEB"/>
    <hyperlink ref="E11" location="MO!A1" display="MO"/>
    <hyperlink ref="E74" location="HES!A1" display="HES"/>
    <hyperlink ref="E75" location="LUV!A1" display="LUV"/>
    <hyperlink ref="E7" location="MOS!A1" display="MOS"/>
    <hyperlink ref="E2" location="MRO!A1" display="MRO"/>
    <hyperlink ref="E76" location="MYL!A1" display="MYL"/>
    <hyperlink ref="E77" location="VGK!A1" display="VGK"/>
    <hyperlink ref="E78" location="MU!A1" display="MU"/>
    <hyperlink ref="E79" location="IP!A1" display="IP"/>
    <hyperlink ref="E80" location="INTC!A1" display="INTC"/>
    <hyperlink ref="E81" location="UNP!A1" display="UNP"/>
    <hyperlink ref="E82" location="NCLH!A1" display="NCLH"/>
    <hyperlink ref="E83" location="SWKS!A1" display="SWKS"/>
    <hyperlink ref="E84" location="CNI!A1" display="CNI"/>
    <hyperlink ref="E85" location="CF!A1" display="CF"/>
    <hyperlink ref="E86" location="TGT!A1" display="TGT"/>
    <hyperlink ref="E87" location="NWL!A1" display="NWL"/>
    <hyperlink ref="E12" location="PDCO!A1" display="PDCO"/>
    <hyperlink ref="E88" location="NVR!A1" display="NVR"/>
    <hyperlink ref="E89" location="QQQ!A1" display="QQQ"/>
    <hyperlink ref="E90" location="SPY!A1" display="SPY"/>
    <hyperlink ref="E91" location="ALL!A1" display="ALL"/>
    <hyperlink ref="E92" location="NSC!A1" display="NSC"/>
    <hyperlink ref="E93" location="AVGO!A1" display="AVGO"/>
    <hyperlink ref="E94" location="UAL!A1" display="UAL"/>
    <hyperlink ref="E95" location="CAH!A1" display="CAH"/>
    <hyperlink ref="E96" location="DAL!A1" display="DAL"/>
    <hyperlink ref="E97" location="T!A1" display="T"/>
    <hyperlink ref="E98" location="DIS!A1" display="DIS"/>
    <hyperlink ref="E99" location="STNE!A1" display="STNE"/>
    <hyperlink ref="E4" location="TEVA!A1" display="TEVA"/>
    <hyperlink ref="E100" location="ULTA!A1" display="ULTA"/>
    <hyperlink ref="E101" location="UVE!A1" display="UVE"/>
    <hyperlink ref="E102" location="TIF!A1" display="TIF"/>
    <hyperlink ref="E103" location="TCEHY!A1" display="TCEHY"/>
    <hyperlink ref="E104" location="UTX!A1" display="UTX"/>
    <hyperlink ref="E105" location="UNH!A1" display="UNH"/>
    <hyperlink ref="E106" location="WBA!A1" display="WBA"/>
    <hyperlink ref="E13" location="WFC!A1" display="WFC"/>
    <hyperlink ref="E6" location="WRK!A1" display="WRK"/>
    <hyperlink ref="E107" location="XLB!A1" display="XLB"/>
    <hyperlink ref="E5" location="XOP!A1" display="XOP"/>
    <hyperlink ref="E108" location="WWD!A1" display="WWD"/>
    <hyperlink ref="E109" location="GIS!A1" display="GIS"/>
    <hyperlink ref="E110" location="GM!A1" display="GM"/>
    <hyperlink ref="E111" location="TMO!A1" display="TMO"/>
    <hyperlink ref="E112" location="TKR!A1" display="TKR"/>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81A2B982-6F8F-49C1-AD11-AF920697D3DE}">
            <x14:dataBar minLength="0" maxLength="100" border="1" negativeBarBorderColorSameAsPositive="0">
              <x14:cfvo type="autoMin"/>
              <x14:cfvo type="autoMax"/>
              <x14:borderColor rgb="FFFF555A"/>
              <x14:negativeFillColor rgb="FFFF0000"/>
              <x14:negativeBorderColor rgb="FFFF0000"/>
              <x14:axisColor rgb="FF000000"/>
            </x14:dataBar>
          </x14:cfRule>
          <xm:sqref>J1:J1048576</xm:sqref>
        </x14:conditionalFormatting>
        <x14:conditionalFormatting xmlns:xm="http://schemas.microsoft.com/office/excel/2006/main">
          <x14:cfRule type="dataBar" id="{730E8BB8-6573-4EA3-AA83-D2CE531066F7}">
            <x14:dataBar minLength="0" maxLength="100" border="1" negativeBarBorderColorSameAsPositive="0">
              <x14:cfvo type="autoMin"/>
              <x14:cfvo type="autoMax"/>
              <x14:borderColor rgb="FF63C384"/>
              <x14:negativeFillColor rgb="FFFF0000"/>
              <x14:negativeBorderColor rgb="FFFF0000"/>
              <x14:axisColor rgb="FF000000"/>
            </x14:dataBar>
          </x14:cfRule>
          <xm:sqref>I1:I1048576</xm:sqref>
        </x14:conditionalFormatting>
        <x14:conditionalFormatting xmlns:xm="http://schemas.microsoft.com/office/excel/2006/main">
          <x14:cfRule type="dataBar" id="{93A44921-6121-4816-8944-636E5B91B8E6}">
            <x14:dataBar minLength="0" maxLength="100" border="1" negativeBarBorderColorSameAsPositive="0">
              <x14:cfvo type="autoMin"/>
              <x14:cfvo type="autoMax"/>
              <x14:borderColor rgb="FF63C384"/>
              <x14:negativeFillColor rgb="FFFF0000"/>
              <x14:negativeBorderColor rgb="FFFF0000"/>
              <x14:axisColor rgb="FF000000"/>
            </x14:dataBar>
          </x14:cfRule>
          <xm:sqref>P1:P1048576</xm:sqref>
        </x14:conditionalFormatting>
        <x14:conditionalFormatting xmlns:xm="http://schemas.microsoft.com/office/excel/2006/main">
          <x14:cfRule type="dataBar" id="{BA7FC0D8-B698-4835-90FB-2266930D0C8E}">
            <x14:dataBar minLength="0" maxLength="100" border="1" negativeBarBorderColorSameAsPositive="0">
              <x14:cfvo type="autoMin"/>
              <x14:cfvo type="autoMax"/>
              <x14:borderColor rgb="FF63C384"/>
              <x14:negativeFillColor rgb="FFFF0000"/>
              <x14:negativeBorderColor rgb="FFFF0000"/>
              <x14:axisColor rgb="FF000000"/>
            </x14:dataBar>
          </x14:cfRule>
          <xm:sqref>Q1:Q1048576</xm:sqref>
        </x14:conditionalFormatting>
        <x14:conditionalFormatting xmlns:xm="http://schemas.microsoft.com/office/excel/2006/main">
          <x14:cfRule type="dataBar" id="{7076FB42-5D9F-4A22-8E6E-7214920E8841}">
            <x14:dataBar minLength="0" maxLength="100" border="1" negativeBarBorderColorSameAsPositive="0">
              <x14:cfvo type="autoMin"/>
              <x14:cfvo type="autoMax"/>
              <x14:borderColor rgb="FF63C384"/>
              <x14:negativeFillColor rgb="FFFF0000"/>
              <x14:negativeBorderColor rgb="FFFF0000"/>
              <x14:axisColor rgb="FF000000"/>
            </x14:dataBar>
          </x14:cfRule>
          <xm:sqref>L1:L1048576</xm:sqref>
        </x14:conditionalFormatting>
        <x14:conditionalFormatting xmlns:xm="http://schemas.microsoft.com/office/excel/2006/main">
          <x14:cfRule type="dataBar" id="{B804179A-6652-4A1A-A8A7-BC6F8612123F}">
            <x14:dataBar minLength="0" maxLength="100" border="1" negativeBarBorderColorSameAsPositive="0">
              <x14:cfvo type="autoMin"/>
              <x14:cfvo type="autoMax"/>
              <x14:borderColor rgb="FF63C384"/>
              <x14:negativeFillColor rgb="FFFF0000"/>
              <x14:negativeBorderColor rgb="FFFF0000"/>
              <x14:axisColor rgb="FF000000"/>
            </x14:dataBar>
          </x14:cfRule>
          <xm:sqref>M1:M1048576</xm:sqref>
        </x14:conditionalFormatting>
        <x14:conditionalFormatting xmlns:xm="http://schemas.microsoft.com/office/excel/2006/main">
          <x14:cfRule type="dataBar" id="{D6672F93-14CF-446B-9739-46762902CA89}">
            <x14:dataBar minLength="0" maxLength="100" border="1" negativeBarBorderColorSameAsPositive="0">
              <x14:cfvo type="autoMin"/>
              <x14:cfvo type="autoMax"/>
              <x14:borderColor rgb="FF63C384"/>
              <x14:negativeFillColor rgb="FFFF0000"/>
              <x14:negativeBorderColor rgb="FFFF0000"/>
              <x14:axisColor rgb="FF000000"/>
            </x14:dataBar>
          </x14:cfRule>
          <xm:sqref>K1:K1048576</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rgb="FFFFFF00"/>
  </sheetPr>
  <dimension ref="A1:AW1037"/>
  <sheetViews>
    <sheetView zoomScaleNormal="100" workbookViewId="0">
      <pane ySplit="1" topLeftCell="A1022" activePane="bottomLeft" state="frozen"/>
      <selection activeCell="M34" sqref="M34"/>
      <selection pane="bottomLeft" activeCell="U1043" sqref="U1043"/>
    </sheetView>
  </sheetViews>
  <sheetFormatPr defaultColWidth="9.140625" defaultRowHeight="20.100000000000001" customHeight="1" x14ac:dyDescent="0.2"/>
  <cols>
    <col min="1" max="1" width="5" style="777" bestFit="1" customWidth="1"/>
    <col min="2" max="2" width="10.140625" style="847" bestFit="1" customWidth="1"/>
    <col min="3" max="3" width="8" style="777" bestFit="1" customWidth="1"/>
    <col min="4" max="4" width="11.42578125" style="848" bestFit="1" customWidth="1"/>
    <col min="5" max="5" width="11.5703125" style="848" bestFit="1" customWidth="1"/>
    <col min="6" max="6" width="10.5703125" style="848" bestFit="1" customWidth="1"/>
    <col min="7" max="7" width="14.28515625" style="848" bestFit="1" customWidth="1"/>
    <col min="8" max="8" width="12.28515625" style="848" bestFit="1" customWidth="1"/>
    <col min="9" max="9" width="10" style="849" bestFit="1" customWidth="1"/>
    <col min="10" max="10" width="11.42578125" style="777" bestFit="1" customWidth="1"/>
    <col min="11" max="11" width="9.140625" style="777" bestFit="1" customWidth="1"/>
    <col min="12" max="12" width="11.140625" style="777" bestFit="1" customWidth="1"/>
    <col min="13" max="13" width="10.140625" style="821" bestFit="1" customWidth="1"/>
    <col min="14" max="15" width="8.85546875" style="850" bestFit="1" customWidth="1"/>
    <col min="16" max="16" width="9" style="851" bestFit="1" customWidth="1"/>
    <col min="17" max="17" width="9.85546875" style="852" bestFit="1" customWidth="1"/>
    <col min="18" max="18" width="10.85546875" style="852" bestFit="1" customWidth="1"/>
    <col min="19" max="19" width="9.5703125" style="852" bestFit="1" customWidth="1"/>
    <col min="20" max="20" width="11.85546875" style="852" bestFit="1" customWidth="1"/>
    <col min="21" max="21" width="9.5703125" style="852" bestFit="1" customWidth="1"/>
    <col min="22" max="22" width="8.140625" style="850" bestFit="1" customWidth="1"/>
    <col min="23" max="23" width="7.28515625" style="850" bestFit="1" customWidth="1"/>
    <col min="24" max="24" width="10.28515625" style="850" bestFit="1" customWidth="1"/>
    <col min="25" max="25" width="10.7109375" style="821" bestFit="1" customWidth="1"/>
    <col min="26" max="26" width="8.7109375" style="821" bestFit="1" customWidth="1"/>
    <col min="27" max="27" width="9.5703125" style="777" bestFit="1" customWidth="1"/>
    <col min="28" max="28" width="9.140625" style="777"/>
    <col min="29" max="29" width="11.42578125" style="777" bestFit="1" customWidth="1"/>
    <col min="30" max="16384" width="9.140625" style="777"/>
  </cols>
  <sheetData>
    <row r="1" spans="1:49" ht="20.100000000000001" customHeight="1" x14ac:dyDescent="0.2">
      <c r="A1" s="768"/>
      <c r="B1" s="769" t="s">
        <v>86</v>
      </c>
      <c r="C1" s="768" t="s">
        <v>133</v>
      </c>
      <c r="D1" s="770" t="s">
        <v>135</v>
      </c>
      <c r="E1" s="770" t="s">
        <v>1265</v>
      </c>
      <c r="F1" s="770" t="s">
        <v>150</v>
      </c>
      <c r="G1" s="770" t="s">
        <v>271</v>
      </c>
      <c r="H1" s="770" t="s">
        <v>1264</v>
      </c>
      <c r="I1" s="768" t="s">
        <v>85</v>
      </c>
      <c r="J1" s="768" t="s">
        <v>87</v>
      </c>
      <c r="K1" s="768" t="s">
        <v>132</v>
      </c>
      <c r="L1" s="768" t="s">
        <v>134</v>
      </c>
      <c r="M1" s="771" t="s">
        <v>96</v>
      </c>
      <c r="N1" s="771" t="s">
        <v>76</v>
      </c>
      <c r="O1" s="771" t="s">
        <v>705</v>
      </c>
      <c r="P1" s="768" t="s">
        <v>146</v>
      </c>
      <c r="Q1" s="772" t="s">
        <v>1266</v>
      </c>
      <c r="R1" s="772" t="s">
        <v>184</v>
      </c>
      <c r="S1" s="772" t="s">
        <v>185</v>
      </c>
      <c r="T1" s="772" t="s">
        <v>208</v>
      </c>
      <c r="U1" s="772" t="s">
        <v>209</v>
      </c>
      <c r="V1" s="771" t="s">
        <v>213</v>
      </c>
      <c r="W1" s="771" t="s">
        <v>214</v>
      </c>
      <c r="X1" s="771" t="s">
        <v>1267</v>
      </c>
      <c r="Y1" s="771" t="s">
        <v>880</v>
      </c>
      <c r="Z1" s="771" t="s">
        <v>857</v>
      </c>
      <c r="AA1" s="773" t="s">
        <v>147</v>
      </c>
      <c r="AB1" s="774"/>
      <c r="AC1" s="775"/>
      <c r="AD1" s="774"/>
      <c r="AE1" s="775"/>
      <c r="AF1" s="775"/>
      <c r="AG1" s="776"/>
      <c r="AH1" s="776"/>
      <c r="AI1" s="776"/>
      <c r="AJ1" s="776"/>
    </row>
    <row r="2" spans="1:49" ht="20.100000000000001" customHeight="1" x14ac:dyDescent="0.2">
      <c r="A2" s="776"/>
      <c r="B2" s="778">
        <v>42233</v>
      </c>
      <c r="C2" s="779">
        <v>2102.44</v>
      </c>
      <c r="D2" s="780"/>
      <c r="E2" s="780"/>
      <c r="F2" s="781">
        <v>5091.7</v>
      </c>
      <c r="G2" s="780"/>
      <c r="H2" s="780"/>
      <c r="I2" s="782">
        <v>322588.21000000002</v>
      </c>
      <c r="J2" s="783">
        <v>360000</v>
      </c>
      <c r="K2" s="784"/>
      <c r="L2" s="784"/>
      <c r="M2" s="785">
        <f t="shared" ref="M2:M29" si="0">I2-J2</f>
        <v>-37411.789999999979</v>
      </c>
      <c r="N2" s="786">
        <f>M2/J2</f>
        <v>-0.10392163888888883</v>
      </c>
      <c r="O2" s="786"/>
      <c r="P2" s="785" t="b">
        <f>L2&gt;D2</f>
        <v>0</v>
      </c>
      <c r="Q2" s="786">
        <f>COUNTIF(P$2:P2, TRUE)/(COUNTIF(P$2:P2,FALSE) + COUNTIF(P$2:P2, TRUE))</f>
        <v>0</v>
      </c>
      <c r="R2" s="787"/>
      <c r="S2" s="787"/>
      <c r="T2" s="787"/>
      <c r="U2" s="787"/>
      <c r="V2" s="786"/>
      <c r="W2" s="786"/>
      <c r="X2" s="786"/>
      <c r="Y2" s="785"/>
      <c r="Z2" s="788"/>
      <c r="AA2" s="789">
        <f>LOOKUP(2,1/(M:M&lt;&gt;""),M:M)</f>
        <v>105904.09999999998</v>
      </c>
      <c r="AB2" s="774"/>
      <c r="AC2" s="775"/>
      <c r="AD2" s="774"/>
      <c r="AE2" s="775"/>
      <c r="AF2" s="775"/>
      <c r="AG2" s="776"/>
      <c r="AH2" s="776"/>
      <c r="AI2" s="776"/>
      <c r="AJ2" s="776"/>
    </row>
    <row r="3" spans="1:49" ht="20.100000000000001" customHeight="1" x14ac:dyDescent="0.2">
      <c r="A3" s="790" t="s">
        <v>71</v>
      </c>
      <c r="B3" s="778">
        <v>42234</v>
      </c>
      <c r="C3" s="791">
        <v>2096.92</v>
      </c>
      <c r="D3" s="792">
        <f>(C3-C2)/C2</f>
        <v>-2.6255208234242031E-3</v>
      </c>
      <c r="E3" s="793">
        <f>(C3-$C$2)/$C$2</f>
        <v>-2.6255208234242031E-3</v>
      </c>
      <c r="F3" s="794">
        <v>5059.3500000000004</v>
      </c>
      <c r="G3" s="792">
        <f t="shared" ref="G3:G66" si="1">(F3-F2)/F2</f>
        <v>-6.3534772276448836E-3</v>
      </c>
      <c r="H3" s="793">
        <f>(F3-F$2)/F$2</f>
        <v>-6.3534772276448836E-3</v>
      </c>
      <c r="I3" s="782">
        <v>319994.03000000003</v>
      </c>
      <c r="J3" s="783">
        <v>360000</v>
      </c>
      <c r="K3" s="783">
        <f t="shared" ref="K3:K28" si="2">I3-I2-J3+J2</f>
        <v>-2594.179999999993</v>
      </c>
      <c r="L3" s="792">
        <f>K3/I2</f>
        <v>-8.0417694124654861E-3</v>
      </c>
      <c r="M3" s="785">
        <f t="shared" si="0"/>
        <v>-40005.969999999972</v>
      </c>
      <c r="N3" s="786">
        <f t="shared" ref="N3:N29" si="3">M3/J3</f>
        <v>-0.11112769444444437</v>
      </c>
      <c r="O3" s="786"/>
      <c r="P3" s="785" t="b">
        <f>L3&gt;D3</f>
        <v>0</v>
      </c>
      <c r="Q3" s="786">
        <f>COUNTIF(P$2:P3, TRUE)/(COUNTIF(P$2:P3,FALSE) + COUNTIF(P$2:P3, TRUE))</f>
        <v>0</v>
      </c>
      <c r="R3" s="787"/>
      <c r="S3" s="787"/>
      <c r="T3" s="787"/>
      <c r="U3" s="787"/>
      <c r="V3" s="786"/>
      <c r="W3" s="786"/>
      <c r="X3" s="786"/>
      <c r="Y3" s="785"/>
      <c r="Z3" s="788"/>
      <c r="AB3" s="774"/>
      <c r="AC3" s="775"/>
      <c r="AD3" s="774"/>
      <c r="AE3" s="775"/>
      <c r="AF3" s="775"/>
      <c r="AG3" s="776"/>
      <c r="AH3" s="776"/>
      <c r="AI3" s="776"/>
      <c r="AJ3" s="776"/>
    </row>
    <row r="4" spans="1:49" ht="20.100000000000001" customHeight="1" x14ac:dyDescent="0.2">
      <c r="A4" s="776"/>
      <c r="B4" s="778">
        <v>42235</v>
      </c>
      <c r="C4" s="791">
        <v>2079.61</v>
      </c>
      <c r="D4" s="792">
        <f t="shared" ref="D4:D67" si="4">(C4-C3)/C3</f>
        <v>-8.254964424012334E-3</v>
      </c>
      <c r="E4" s="793">
        <f t="shared" ref="E4:E43" si="5">(C4-$C$2)/$C$2</f>
        <v>-1.0858811666444668E-2</v>
      </c>
      <c r="F4" s="794">
        <v>5019.05</v>
      </c>
      <c r="G4" s="792">
        <f t="shared" si="1"/>
        <v>-7.9654501072272486E-3</v>
      </c>
      <c r="H4" s="793">
        <f t="shared" ref="H4:H66" si="6">(F4-F$2)/F$2</f>
        <v>-1.4268319029007923E-2</v>
      </c>
      <c r="I4" s="782">
        <v>311839.78000000003</v>
      </c>
      <c r="J4" s="783">
        <v>360000</v>
      </c>
      <c r="K4" s="783">
        <f t="shared" si="2"/>
        <v>-8154.25</v>
      </c>
      <c r="L4" s="792">
        <f t="shared" ref="L4:L67" si="7">K4/I3</f>
        <v>-2.5482506658014836E-2</v>
      </c>
      <c r="M4" s="785">
        <f t="shared" si="0"/>
        <v>-48160.219999999972</v>
      </c>
      <c r="N4" s="786">
        <f t="shared" si="3"/>
        <v>-0.13377838888888882</v>
      </c>
      <c r="O4" s="786"/>
      <c r="P4" s="785" t="b">
        <f>L4&gt;D4</f>
        <v>0</v>
      </c>
      <c r="Q4" s="786">
        <f>COUNTIF(P$2:P4, TRUE)/(COUNTIF(P$2:P4,FALSE) + COUNTIF(P$2:P4, TRUE))</f>
        <v>0</v>
      </c>
      <c r="R4" s="787"/>
      <c r="S4" s="787"/>
      <c r="T4" s="787"/>
      <c r="U4" s="787"/>
      <c r="V4" s="786">
        <f>STDEV(D$2:D4)*SQRT(252)</f>
        <v>6.3190347694703594E-2</v>
      </c>
      <c r="W4" s="786">
        <f>STDEV(L$2:L4)*SQRT(252)</f>
        <v>0.19577179003677936</v>
      </c>
      <c r="X4" s="786"/>
      <c r="Y4" s="785"/>
      <c r="Z4" s="788"/>
      <c r="AA4" s="776"/>
      <c r="AB4" s="774"/>
      <c r="AC4" s="775"/>
      <c r="AD4" s="774"/>
      <c r="AE4" s="775"/>
      <c r="AF4" s="775"/>
      <c r="AG4" s="776"/>
      <c r="AH4" s="776"/>
      <c r="AI4" s="776"/>
      <c r="AJ4" s="776"/>
    </row>
    <row r="5" spans="1:49" ht="20.100000000000001" customHeight="1" x14ac:dyDescent="0.2">
      <c r="A5" s="776"/>
      <c r="B5" s="778">
        <v>42236</v>
      </c>
      <c r="C5" s="791">
        <v>2035.73</v>
      </c>
      <c r="D5" s="792">
        <f t="shared" si="4"/>
        <v>-2.1100110116800797E-2</v>
      </c>
      <c r="E5" s="793">
        <f t="shared" si="5"/>
        <v>-3.1729799661345884E-2</v>
      </c>
      <c r="F5" s="794">
        <v>4877.49</v>
      </c>
      <c r="G5" s="792">
        <f t="shared" si="1"/>
        <v>-2.8204540699933334E-2</v>
      </c>
      <c r="H5" s="793">
        <f t="shared" si="6"/>
        <v>-4.2070428344167965E-2</v>
      </c>
      <c r="I5" s="782">
        <v>301697.40999999997</v>
      </c>
      <c r="J5" s="783">
        <v>360000</v>
      </c>
      <c r="K5" s="783">
        <f t="shared" si="2"/>
        <v>-10142.370000000054</v>
      </c>
      <c r="L5" s="792">
        <f t="shared" si="7"/>
        <v>-3.2524298214936055E-2</v>
      </c>
      <c r="M5" s="785">
        <f t="shared" si="0"/>
        <v>-58302.590000000026</v>
      </c>
      <c r="N5" s="786">
        <f t="shared" si="3"/>
        <v>-0.16195163888888897</v>
      </c>
      <c r="O5" s="786"/>
      <c r="P5" s="785" t="b">
        <f>L5&gt;D5</f>
        <v>0</v>
      </c>
      <c r="Q5" s="786">
        <f>COUNTIF(P$2:P5, TRUE)/(COUNTIF(P$2:P5,FALSE) + COUNTIF(P$2:P5, TRUE))</f>
        <v>0</v>
      </c>
      <c r="R5" s="787"/>
      <c r="S5" s="787"/>
      <c r="T5" s="787"/>
      <c r="U5" s="787"/>
      <c r="V5" s="786">
        <f>STDEV(D$2:D5)*SQRT(252)</f>
        <v>0.15031949910961184</v>
      </c>
      <c r="W5" s="786">
        <f>STDEV(L$2:L5)*SQRT(252)</f>
        <v>0.20008182112239786</v>
      </c>
      <c r="X5" s="786"/>
      <c r="Y5" s="785"/>
      <c r="Z5" s="788"/>
      <c r="AA5" s="776"/>
      <c r="AB5" s="774"/>
      <c r="AC5" s="775"/>
      <c r="AD5" s="774"/>
      <c r="AE5" s="775"/>
      <c r="AF5" s="775"/>
      <c r="AG5" s="776"/>
      <c r="AH5" s="776"/>
      <c r="AI5" s="776"/>
      <c r="AJ5" s="776"/>
    </row>
    <row r="6" spans="1:49" ht="20.100000000000001" customHeight="1" x14ac:dyDescent="0.2">
      <c r="A6" s="776">
        <f>B6-$B$2</f>
        <v>4</v>
      </c>
      <c r="B6" s="778">
        <v>42237</v>
      </c>
      <c r="C6" s="791">
        <v>1970.89</v>
      </c>
      <c r="D6" s="792">
        <f t="shared" si="4"/>
        <v>-3.1850982202944356E-2</v>
      </c>
      <c r="E6" s="793">
        <f t="shared" si="5"/>
        <v>-6.2570156579973724E-2</v>
      </c>
      <c r="F6" s="794">
        <v>4706.04</v>
      </c>
      <c r="G6" s="792">
        <f t="shared" si="1"/>
        <v>-3.5151276578732057E-2</v>
      </c>
      <c r="H6" s="793">
        <f t="shared" si="6"/>
        <v>-7.5742875660388453E-2</v>
      </c>
      <c r="I6" s="782">
        <v>295093.56</v>
      </c>
      <c r="J6" s="783">
        <v>360000</v>
      </c>
      <c r="K6" s="783">
        <f t="shared" si="2"/>
        <v>-6603.8499999999767</v>
      </c>
      <c r="L6" s="792">
        <f t="shared" si="7"/>
        <v>-2.1888984728108792E-2</v>
      </c>
      <c r="M6" s="785">
        <f t="shared" si="0"/>
        <v>-64906.44</v>
      </c>
      <c r="N6" s="786">
        <f t="shared" si="3"/>
        <v>-0.18029566666666666</v>
      </c>
      <c r="O6" s="786"/>
      <c r="P6" s="785" t="b">
        <f>L6&gt;D6</f>
        <v>1</v>
      </c>
      <c r="Q6" s="786">
        <f>COUNTIF(P$2:P6, TRUE)/(COUNTIF(P$2:P6,FALSE) + COUNTIF(P$2:P6, TRUE))</f>
        <v>0.2</v>
      </c>
      <c r="R6" s="787"/>
      <c r="S6" s="787"/>
      <c r="T6" s="787"/>
      <c r="U6" s="787"/>
      <c r="V6" s="786">
        <f>STDEV(D$2:D6)*SQRT(252)</f>
        <v>0.20821641331654633</v>
      </c>
      <c r="W6" s="786">
        <f>STDEV(L$2:L6)*SQRT(252)</f>
        <v>0.16336924292253127</v>
      </c>
      <c r="X6" s="786"/>
      <c r="Y6" s="785"/>
      <c r="Z6" s="788"/>
      <c r="AA6" s="776"/>
      <c r="AB6" s="774"/>
      <c r="AC6" s="775"/>
      <c r="AD6" s="774"/>
      <c r="AE6" s="775"/>
      <c r="AF6" s="775"/>
      <c r="AG6" s="776"/>
      <c r="AH6" s="776"/>
      <c r="AI6" s="776"/>
      <c r="AJ6" s="776"/>
    </row>
    <row r="7" spans="1:49" ht="20.100000000000001" customHeight="1" x14ac:dyDescent="0.2">
      <c r="A7" s="776">
        <f t="shared" ref="A7:A70" si="8">B7-$B$2</f>
        <v>7</v>
      </c>
      <c r="B7" s="795">
        <v>42240</v>
      </c>
      <c r="C7" s="796">
        <v>1893.21</v>
      </c>
      <c r="D7" s="792">
        <f t="shared" si="4"/>
        <v>-3.9413665907280494E-2</v>
      </c>
      <c r="E7" s="797">
        <f t="shared" si="5"/>
        <v>-9.95177032400449E-2</v>
      </c>
      <c r="F7" s="798">
        <v>4526.25</v>
      </c>
      <c r="G7" s="792">
        <f t="shared" si="1"/>
        <v>-3.8204095162812035E-2</v>
      </c>
      <c r="H7" s="797">
        <f t="shared" si="6"/>
        <v>-0.11105328279356597</v>
      </c>
      <c r="I7" s="799">
        <v>283095.28999999998</v>
      </c>
      <c r="J7" s="800">
        <v>360000</v>
      </c>
      <c r="K7" s="800">
        <f t="shared" si="2"/>
        <v>-11998.270000000019</v>
      </c>
      <c r="L7" s="792">
        <f t="shared" si="7"/>
        <v>-4.0659206524195309E-2</v>
      </c>
      <c r="M7" s="801">
        <f t="shared" si="0"/>
        <v>-76904.710000000021</v>
      </c>
      <c r="N7" s="802">
        <f t="shared" si="3"/>
        <v>-0.2136241944444445</v>
      </c>
      <c r="O7" s="786"/>
      <c r="P7" s="801" t="b">
        <f t="shared" ref="P7:P58" si="9">L7&gt;D7</f>
        <v>0</v>
      </c>
      <c r="Q7" s="802">
        <f>COUNTIF(P$2:P7, TRUE)/(COUNTIF(P$2:P7,FALSE) + COUNTIF(P$2:P7, TRUE))</f>
        <v>0.16666666666666666</v>
      </c>
      <c r="R7" s="803"/>
      <c r="S7" s="803"/>
      <c r="T7" s="803"/>
      <c r="U7" s="803"/>
      <c r="V7" s="802">
        <f>STDEV(D$2:D7)*SQRT(252)</f>
        <v>0.24544711494961968</v>
      </c>
      <c r="W7" s="802">
        <f>STDEV(L$2:L7)*SQRT(252)</f>
        <v>0.19389190476539761</v>
      </c>
      <c r="X7" s="802"/>
      <c r="Y7" s="801"/>
      <c r="Z7" s="804"/>
      <c r="AA7" s="776"/>
      <c r="AB7" s="774"/>
      <c r="AC7" s="775"/>
      <c r="AD7" s="774"/>
      <c r="AE7" s="775"/>
      <c r="AF7" s="775"/>
      <c r="AG7" s="776"/>
      <c r="AH7" s="776"/>
      <c r="AI7" s="776"/>
      <c r="AJ7" s="776"/>
    </row>
    <row r="8" spans="1:49" ht="20.100000000000001" customHeight="1" x14ac:dyDescent="0.2">
      <c r="A8" s="776">
        <f t="shared" si="8"/>
        <v>8</v>
      </c>
      <c r="B8" s="795">
        <v>42241</v>
      </c>
      <c r="C8" s="796">
        <v>1867.61</v>
      </c>
      <c r="D8" s="792">
        <f t="shared" si="4"/>
        <v>-1.3522007595565277E-2</v>
      </c>
      <c r="E8" s="797">
        <f t="shared" si="5"/>
        <v>-0.11169403169650509</v>
      </c>
      <c r="F8" s="798">
        <v>4506.49</v>
      </c>
      <c r="G8" s="792">
        <f t="shared" si="1"/>
        <v>-4.3656448494891397E-3</v>
      </c>
      <c r="H8" s="797">
        <f t="shared" si="6"/>
        <v>-0.11493410845100852</v>
      </c>
      <c r="I8" s="799">
        <v>276943.21000000002</v>
      </c>
      <c r="J8" s="800">
        <v>360000</v>
      </c>
      <c r="K8" s="800">
        <f t="shared" si="2"/>
        <v>-6152.0799999999581</v>
      </c>
      <c r="L8" s="792">
        <f t="shared" si="7"/>
        <v>-2.1731481297339698E-2</v>
      </c>
      <c r="M8" s="801">
        <f t="shared" si="0"/>
        <v>-83056.789999999979</v>
      </c>
      <c r="N8" s="802">
        <f t="shared" si="3"/>
        <v>-0.2307133055555555</v>
      </c>
      <c r="O8" s="786"/>
      <c r="P8" s="801" t="b">
        <f t="shared" si="9"/>
        <v>0</v>
      </c>
      <c r="Q8" s="802">
        <f>COUNTIF(P$2:P8, TRUE)/(COUNTIF(P$2:P8,FALSE) + COUNTIF(P$2:P8, TRUE))</f>
        <v>0.14285714285714285</v>
      </c>
      <c r="R8" s="803"/>
      <c r="S8" s="803"/>
      <c r="T8" s="803"/>
      <c r="U8" s="803"/>
      <c r="V8" s="802">
        <f>STDEV(D$2:D8)*SQRT(252)</f>
        <v>0.22434082778798065</v>
      </c>
      <c r="W8" s="802">
        <f>STDEV(L$2:L8)*SQRT(252)</f>
        <v>0.17533735395795544</v>
      </c>
      <c r="X8" s="802"/>
      <c r="Y8" s="801"/>
      <c r="Z8" s="804"/>
      <c r="AA8" s="776"/>
      <c r="AB8" s="774"/>
      <c r="AC8" s="775"/>
      <c r="AD8" s="774"/>
      <c r="AE8" s="775"/>
      <c r="AF8" s="775"/>
      <c r="AG8" s="776"/>
      <c r="AH8" s="776"/>
      <c r="AI8" s="776"/>
      <c r="AJ8" s="776"/>
      <c r="AS8" s="805"/>
    </row>
    <row r="9" spans="1:49" ht="20.100000000000001" customHeight="1" x14ac:dyDescent="0.2">
      <c r="A9" s="776">
        <f t="shared" si="8"/>
        <v>9</v>
      </c>
      <c r="B9" s="795">
        <v>42242</v>
      </c>
      <c r="C9" s="796">
        <v>1940.51</v>
      </c>
      <c r="D9" s="792">
        <f t="shared" si="4"/>
        <v>3.9033845395987435E-2</v>
      </c>
      <c r="E9" s="797">
        <f t="shared" si="5"/>
        <v>-7.7020033865413548E-2</v>
      </c>
      <c r="F9" s="798">
        <v>4697.54</v>
      </c>
      <c r="G9" s="792">
        <f t="shared" si="1"/>
        <v>4.239441339046579E-2</v>
      </c>
      <c r="H9" s="797">
        <f t="shared" si="6"/>
        <v>-7.741225916687941E-2</v>
      </c>
      <c r="I9" s="799">
        <v>284832.2</v>
      </c>
      <c r="J9" s="800">
        <v>360000</v>
      </c>
      <c r="K9" s="800">
        <f t="shared" si="2"/>
        <v>7888.9899999999907</v>
      </c>
      <c r="L9" s="792">
        <f t="shared" si="7"/>
        <v>2.8485948436865412E-2</v>
      </c>
      <c r="M9" s="801">
        <f t="shared" si="0"/>
        <v>-75167.799999999988</v>
      </c>
      <c r="N9" s="802">
        <f t="shared" si="3"/>
        <v>-0.2087994444444444</v>
      </c>
      <c r="O9" s="786"/>
      <c r="P9" s="801" t="b">
        <f t="shared" si="9"/>
        <v>0</v>
      </c>
      <c r="Q9" s="802">
        <f>COUNTIF(P$2:P9, TRUE)/(COUNTIF(P$2:P9,FALSE) + COUNTIF(P$2:P9, TRUE))</f>
        <v>0.125</v>
      </c>
      <c r="R9" s="803"/>
      <c r="S9" s="803"/>
      <c r="T9" s="803"/>
      <c r="U9" s="803"/>
      <c r="V9" s="802">
        <f>STDEV(D$2:D9)*SQRT(252)</f>
        <v>0.40635063731985605</v>
      </c>
      <c r="W9" s="802">
        <f>STDEV(L$2:L9)*SQRT(252)</f>
        <v>0.35891083910893234</v>
      </c>
      <c r="X9" s="802"/>
      <c r="Y9" s="801"/>
      <c r="Z9" s="804"/>
      <c r="AA9" s="776"/>
      <c r="AB9" s="774"/>
      <c r="AC9" s="775"/>
      <c r="AD9" s="774"/>
      <c r="AE9" s="775"/>
      <c r="AF9" s="775"/>
      <c r="AG9" s="776"/>
      <c r="AH9" s="776"/>
      <c r="AI9" s="776"/>
      <c r="AJ9" s="776"/>
    </row>
    <row r="10" spans="1:49" ht="20.100000000000001" customHeight="1" x14ac:dyDescent="0.2">
      <c r="A10" s="776">
        <f t="shared" si="8"/>
        <v>10</v>
      </c>
      <c r="B10" s="795">
        <v>42243</v>
      </c>
      <c r="C10" s="796">
        <v>1987.66</v>
      </c>
      <c r="D10" s="792">
        <f t="shared" si="4"/>
        <v>2.429773616214299E-2</v>
      </c>
      <c r="E10" s="797">
        <f t="shared" si="5"/>
        <v>-5.4593710165331696E-2</v>
      </c>
      <c r="F10" s="798">
        <v>4812.71</v>
      </c>
      <c r="G10" s="792">
        <f t="shared" si="1"/>
        <v>2.4517087667161978E-2</v>
      </c>
      <c r="H10" s="797">
        <f t="shared" si="6"/>
        <v>-5.4793094644224875E-2</v>
      </c>
      <c r="I10" s="799">
        <v>300742.98</v>
      </c>
      <c r="J10" s="800">
        <v>360000</v>
      </c>
      <c r="K10" s="800">
        <f t="shared" si="2"/>
        <v>15910.77999999997</v>
      </c>
      <c r="L10" s="792">
        <f t="shared" si="7"/>
        <v>5.5860187155806013E-2</v>
      </c>
      <c r="M10" s="801">
        <f t="shared" si="0"/>
        <v>-59257.020000000019</v>
      </c>
      <c r="N10" s="802">
        <f t="shared" si="3"/>
        <v>-0.16460283333333339</v>
      </c>
      <c r="O10" s="786"/>
      <c r="P10" s="801" t="b">
        <f t="shared" si="9"/>
        <v>1</v>
      </c>
      <c r="Q10" s="802">
        <f>COUNTIF(P$2:P10, TRUE)/(COUNTIF(P$2:P10,FALSE) + COUNTIF(P$2:P10, TRUE))</f>
        <v>0.22222222222222221</v>
      </c>
      <c r="R10" s="803"/>
      <c r="S10" s="803"/>
      <c r="T10" s="803"/>
      <c r="U10" s="803"/>
      <c r="V10" s="802">
        <f>STDEV(D$2:D10)*SQRT(252)</f>
        <v>0.42545538355052082</v>
      </c>
      <c r="W10" s="802">
        <f>STDEV(L$2:L10)*SQRT(252)</f>
        <v>0.52868202794227925</v>
      </c>
      <c r="X10" s="802"/>
      <c r="Y10" s="801"/>
      <c r="Z10" s="804"/>
      <c r="AA10" s="776" t="s">
        <v>123</v>
      </c>
      <c r="AB10" s="774"/>
      <c r="AC10" s="775"/>
      <c r="AD10" s="774"/>
      <c r="AE10" s="775"/>
      <c r="AF10" s="775"/>
      <c r="AG10" s="776"/>
      <c r="AH10" s="776"/>
      <c r="AI10" s="776"/>
      <c r="AJ10" s="776"/>
    </row>
    <row r="11" spans="1:49" ht="20.100000000000001" customHeight="1" x14ac:dyDescent="0.2">
      <c r="A11" s="776">
        <f t="shared" si="8"/>
        <v>11</v>
      </c>
      <c r="B11" s="795">
        <v>42244</v>
      </c>
      <c r="C11" s="796">
        <v>1988.87</v>
      </c>
      <c r="D11" s="792">
        <f t="shared" si="4"/>
        <v>6.0875602467213154E-4</v>
      </c>
      <c r="E11" s="797">
        <f t="shared" si="5"/>
        <v>-5.401818839063191E-2</v>
      </c>
      <c r="F11" s="798">
        <v>4828.32</v>
      </c>
      <c r="G11" s="792">
        <f t="shared" si="1"/>
        <v>3.2434948293164709E-3</v>
      </c>
      <c r="H11" s="797">
        <f t="shared" si="6"/>
        <v>-5.1727320934069197E-2</v>
      </c>
      <c r="I11" s="799">
        <v>307941.06</v>
      </c>
      <c r="J11" s="800">
        <v>360000</v>
      </c>
      <c r="K11" s="800">
        <f t="shared" si="2"/>
        <v>7198.0800000000163</v>
      </c>
      <c r="L11" s="792">
        <f t="shared" si="7"/>
        <v>2.3934324252556174E-2</v>
      </c>
      <c r="M11" s="801">
        <f t="shared" si="0"/>
        <v>-52058.94</v>
      </c>
      <c r="N11" s="802">
        <f t="shared" si="3"/>
        <v>-0.14460816666666668</v>
      </c>
      <c r="O11" s="786"/>
      <c r="P11" s="801" t="b">
        <f t="shared" si="9"/>
        <v>1</v>
      </c>
      <c r="Q11" s="802">
        <f>COUNTIF(P$2:P11, TRUE)/(COUNTIF(P$2:P11,FALSE) + COUNTIF(P$2:P11, TRUE))</f>
        <v>0.3</v>
      </c>
      <c r="R11" s="803"/>
      <c r="S11" s="803"/>
      <c r="T11" s="803"/>
      <c r="U11" s="803"/>
      <c r="V11" s="802">
        <f>STDEV(D$2:D11)*SQRT(252)</f>
        <v>0.39984128605241964</v>
      </c>
      <c r="W11" s="802">
        <f>STDEV(L$2:L11)*SQRT(252)</f>
        <v>0.52303521027280186</v>
      </c>
      <c r="X11" s="802"/>
      <c r="Y11" s="801"/>
      <c r="Z11" s="804"/>
      <c r="AA11" s="776"/>
      <c r="AB11" s="774"/>
      <c r="AC11" s="775"/>
      <c r="AD11" s="774"/>
      <c r="AE11" s="775"/>
      <c r="AF11" s="775"/>
      <c r="AG11" s="776"/>
      <c r="AH11" s="776"/>
      <c r="AI11" s="776"/>
      <c r="AJ11" s="776"/>
    </row>
    <row r="12" spans="1:49" ht="20.100000000000001" customHeight="1" x14ac:dyDescent="0.2">
      <c r="A12" s="776">
        <f t="shared" si="8"/>
        <v>14</v>
      </c>
      <c r="B12" s="778">
        <v>42247</v>
      </c>
      <c r="C12" s="791">
        <v>1972.18</v>
      </c>
      <c r="D12" s="792">
        <f t="shared" si="4"/>
        <v>-8.391699809439445E-3</v>
      </c>
      <c r="E12" s="793">
        <f t="shared" si="5"/>
        <v>-6.1956583778847427E-2</v>
      </c>
      <c r="F12" s="794">
        <v>4776.51</v>
      </c>
      <c r="G12" s="792">
        <f t="shared" si="1"/>
        <v>-1.0730440401630277E-2</v>
      </c>
      <c r="H12" s="793">
        <f t="shared" si="6"/>
        <v>-6.1902704401280442E-2</v>
      </c>
      <c r="I12" s="806">
        <v>311200.71000000002</v>
      </c>
      <c r="J12" s="783">
        <v>360000</v>
      </c>
      <c r="K12" s="783">
        <f t="shared" si="2"/>
        <v>3259.6500000000233</v>
      </c>
      <c r="L12" s="792">
        <f t="shared" si="7"/>
        <v>1.0585304863209938E-2</v>
      </c>
      <c r="M12" s="785">
        <f t="shared" si="0"/>
        <v>-48799.289999999979</v>
      </c>
      <c r="N12" s="786">
        <f t="shared" si="3"/>
        <v>-0.13555358333333328</v>
      </c>
      <c r="O12" s="786"/>
      <c r="P12" s="785" t="b">
        <f t="shared" si="9"/>
        <v>1</v>
      </c>
      <c r="Q12" s="786">
        <f>COUNTIF(P$2:P12, TRUE)/(COUNTIF(P$2:P12,FALSE) + COUNTIF(P$2:P12, TRUE))</f>
        <v>0.36363636363636365</v>
      </c>
      <c r="R12" s="787"/>
      <c r="S12" s="787"/>
      <c r="T12" s="787"/>
      <c r="U12" s="787"/>
      <c r="V12" s="786">
        <f>STDEV(D$2:D12)*SQRT(252)</f>
        <v>0.37718652016375942</v>
      </c>
      <c r="W12" s="786">
        <f>STDEV(L$2:L12)*SQRT(252)</f>
        <v>0.49903486890486387</v>
      </c>
      <c r="X12" s="786"/>
      <c r="Y12" s="785"/>
      <c r="Z12" s="788"/>
      <c r="AA12" s="776"/>
      <c r="AB12" s="774"/>
      <c r="AC12" s="775"/>
      <c r="AD12" s="774"/>
      <c r="AE12" s="775"/>
      <c r="AF12" s="775"/>
      <c r="AG12" s="776"/>
      <c r="AH12" s="776"/>
      <c r="AI12" s="776"/>
      <c r="AJ12" s="776"/>
    </row>
    <row r="13" spans="1:49" ht="20.100000000000001" customHeight="1" x14ac:dyDescent="0.2">
      <c r="A13" s="776">
        <f t="shared" si="8"/>
        <v>15</v>
      </c>
      <c r="B13" s="778">
        <v>42248</v>
      </c>
      <c r="C13" s="791">
        <v>1913.85</v>
      </c>
      <c r="D13" s="792">
        <f t="shared" si="4"/>
        <v>-2.9576407832956501E-2</v>
      </c>
      <c r="E13" s="793">
        <f t="shared" si="5"/>
        <v>-8.9700538422023995E-2</v>
      </c>
      <c r="F13" s="794">
        <v>4636.1000000000004</v>
      </c>
      <c r="G13" s="792">
        <f t="shared" si="1"/>
        <v>-2.9395939713305289E-2</v>
      </c>
      <c r="H13" s="793">
        <f t="shared" si="6"/>
        <v>-8.9478955947915134E-2</v>
      </c>
      <c r="I13" s="782">
        <v>307440.78999999998</v>
      </c>
      <c r="J13" s="783">
        <v>365000</v>
      </c>
      <c r="K13" s="783">
        <f t="shared" si="2"/>
        <v>-8759.9200000000419</v>
      </c>
      <c r="L13" s="792">
        <f t="shared" si="7"/>
        <v>-2.8148778966474854E-2</v>
      </c>
      <c r="M13" s="785">
        <f t="shared" si="0"/>
        <v>-57559.210000000021</v>
      </c>
      <c r="N13" s="786">
        <f t="shared" si="3"/>
        <v>-0.15769646575342472</v>
      </c>
      <c r="O13" s="786"/>
      <c r="P13" s="785" t="b">
        <f t="shared" si="9"/>
        <v>1</v>
      </c>
      <c r="Q13" s="786">
        <f>COUNTIF(P$2:P13, TRUE)/(COUNTIF(P$2:P13,FALSE) + COUNTIF(P$2:P13, TRUE))</f>
        <v>0.41666666666666669</v>
      </c>
      <c r="R13" s="787"/>
      <c r="S13" s="787"/>
      <c r="T13" s="787"/>
      <c r="U13" s="787"/>
      <c r="V13" s="786">
        <f>STDEV(D$2:D13)*SQRT(252)</f>
        <v>0.37502713989732378</v>
      </c>
      <c r="W13" s="786">
        <f>STDEV(L$2:L13)*SQRT(252)</f>
        <v>0.48831680410668976</v>
      </c>
      <c r="X13" s="786"/>
      <c r="Y13" s="785"/>
      <c r="Z13" s="788"/>
      <c r="AA13" s="776"/>
      <c r="AB13" s="774"/>
      <c r="AC13" s="775"/>
      <c r="AD13" s="774"/>
      <c r="AE13" s="775"/>
      <c r="AF13" s="775"/>
      <c r="AG13" s="776"/>
      <c r="AH13" s="776"/>
      <c r="AI13" s="776"/>
      <c r="AJ13" s="776"/>
    </row>
    <row r="14" spans="1:49" ht="20.100000000000001" customHeight="1" x14ac:dyDescent="0.2">
      <c r="A14" s="776">
        <f t="shared" si="8"/>
        <v>16</v>
      </c>
      <c r="B14" s="778">
        <v>42249</v>
      </c>
      <c r="C14" s="791">
        <v>1948.86</v>
      </c>
      <c r="D14" s="792">
        <f t="shared" si="4"/>
        <v>1.829296966846931E-2</v>
      </c>
      <c r="E14" s="793">
        <f t="shared" si="5"/>
        <v>-7.3048457982154147E-2</v>
      </c>
      <c r="F14" s="794">
        <v>4749.9799999999996</v>
      </c>
      <c r="G14" s="792">
        <f t="shared" si="1"/>
        <v>2.4563749703414333E-2</v>
      </c>
      <c r="H14" s="793">
        <f t="shared" si="6"/>
        <v>-6.7113144922128221E-2</v>
      </c>
      <c r="I14" s="782">
        <v>326031.94</v>
      </c>
      <c r="J14" s="783">
        <v>380000</v>
      </c>
      <c r="K14" s="783">
        <f t="shared" si="2"/>
        <v>3591.1500000000233</v>
      </c>
      <c r="L14" s="792">
        <f t="shared" si="7"/>
        <v>1.1680785753900852E-2</v>
      </c>
      <c r="M14" s="785">
        <f t="shared" si="0"/>
        <v>-53968.06</v>
      </c>
      <c r="N14" s="786">
        <f t="shared" si="3"/>
        <v>-0.14202121052631578</v>
      </c>
      <c r="O14" s="786"/>
      <c r="P14" s="785" t="b">
        <f t="shared" si="9"/>
        <v>0</v>
      </c>
      <c r="Q14" s="786">
        <f>COUNTIF(P$2:P14, TRUE)/(COUNTIF(P$2:P14,FALSE) + COUNTIF(P$2:P14, TRUE))</f>
        <v>0.38461538461538464</v>
      </c>
      <c r="R14" s="787"/>
      <c r="S14" s="787"/>
      <c r="T14" s="787"/>
      <c r="U14" s="787"/>
      <c r="V14" s="786">
        <f>STDEV(D$2:D14)*SQRT(252)</f>
        <v>0.37770238456909672</v>
      </c>
      <c r="W14" s="786">
        <f>STDEV(L$2:L14)*SQRT(252)</f>
        <v>0.47214016149480637</v>
      </c>
      <c r="X14" s="786"/>
      <c r="Y14" s="785"/>
      <c r="Z14" s="788"/>
      <c r="AB14" s="774"/>
      <c r="AC14" s="775"/>
      <c r="AD14" s="774"/>
      <c r="AE14" s="775"/>
      <c r="AF14" s="775"/>
      <c r="AG14" s="776"/>
      <c r="AH14" s="776"/>
      <c r="AI14" s="776"/>
      <c r="AJ14" s="776"/>
    </row>
    <row r="15" spans="1:49" ht="20.100000000000001" customHeight="1" x14ac:dyDescent="0.2">
      <c r="A15" s="776">
        <f t="shared" si="8"/>
        <v>17</v>
      </c>
      <c r="B15" s="778">
        <v>42250</v>
      </c>
      <c r="C15" s="791">
        <v>1951.13</v>
      </c>
      <c r="D15" s="792">
        <f t="shared" si="4"/>
        <v>1.1647835144649741E-3</v>
      </c>
      <c r="E15" s="793">
        <f t="shared" si="5"/>
        <v>-7.1968760107303867E-2</v>
      </c>
      <c r="F15" s="794">
        <v>4733.5</v>
      </c>
      <c r="G15" s="792">
        <f t="shared" si="1"/>
        <v>-3.469488292582193E-3</v>
      </c>
      <c r="H15" s="793">
        <f t="shared" si="6"/>
        <v>-7.0349784944124721E-2</v>
      </c>
      <c r="I15" s="782">
        <v>328219.34000000003</v>
      </c>
      <c r="J15" s="783">
        <v>380000</v>
      </c>
      <c r="K15" s="783">
        <f t="shared" si="2"/>
        <v>2187.4000000000233</v>
      </c>
      <c r="L15" s="792">
        <f t="shared" si="7"/>
        <v>6.7091586180176802E-3</v>
      </c>
      <c r="M15" s="785">
        <f t="shared" si="0"/>
        <v>-51780.659999999974</v>
      </c>
      <c r="N15" s="786">
        <f t="shared" si="3"/>
        <v>-0.13626489473684203</v>
      </c>
      <c r="O15" s="786"/>
      <c r="P15" s="785" t="b">
        <f t="shared" si="9"/>
        <v>1</v>
      </c>
      <c r="Q15" s="786">
        <f>COUNTIF(P$2:P15, TRUE)/(COUNTIF(P$2:P15,FALSE) + COUNTIF(P$2:P15, TRUE))</f>
        <v>0.42857142857142855</v>
      </c>
      <c r="R15" s="787"/>
      <c r="S15" s="787"/>
      <c r="T15" s="787"/>
      <c r="U15" s="787"/>
      <c r="V15" s="786">
        <f>STDEV(D$2:D15)*SQRT(252)</f>
        <v>0.3630118196770083</v>
      </c>
      <c r="W15" s="786">
        <f>STDEV(L$2:L15)*SQRT(252)</f>
        <v>0.45448950679382538</v>
      </c>
      <c r="X15" s="786"/>
      <c r="Y15" s="785"/>
      <c r="Z15" s="788"/>
      <c r="AA15" s="776"/>
      <c r="AB15" s="774"/>
      <c r="AC15" s="775"/>
      <c r="AD15" s="774"/>
      <c r="AE15" s="775"/>
      <c r="AF15" s="775"/>
      <c r="AG15" s="776"/>
      <c r="AH15" s="776"/>
      <c r="AI15" s="776"/>
      <c r="AJ15" s="776"/>
      <c r="AW15" s="858"/>
    </row>
    <row r="16" spans="1:49" ht="20.100000000000001" customHeight="1" x14ac:dyDescent="0.2">
      <c r="A16" s="776">
        <f t="shared" si="8"/>
        <v>18</v>
      </c>
      <c r="B16" s="778">
        <v>42251</v>
      </c>
      <c r="C16" s="791">
        <v>1921.22</v>
      </c>
      <c r="D16" s="792">
        <f t="shared" si="4"/>
        <v>-1.5329578244402004E-2</v>
      </c>
      <c r="E16" s="793">
        <f t="shared" si="5"/>
        <v>-8.6195087612488355E-2</v>
      </c>
      <c r="F16" s="794">
        <v>4683.92</v>
      </c>
      <c r="G16" s="792">
        <f t="shared" si="1"/>
        <v>-1.0474279074680454E-2</v>
      </c>
      <c r="H16" s="793">
        <f t="shared" si="6"/>
        <v>-8.0087200738456654E-2</v>
      </c>
      <c r="I16" s="782">
        <v>324929.40000000002</v>
      </c>
      <c r="J16" s="783">
        <v>380000</v>
      </c>
      <c r="K16" s="783">
        <f t="shared" si="2"/>
        <v>-3289.9400000000023</v>
      </c>
      <c r="L16" s="792">
        <f t="shared" si="7"/>
        <v>-1.0023601899875863E-2</v>
      </c>
      <c r="M16" s="785">
        <f t="shared" si="0"/>
        <v>-55070.599999999977</v>
      </c>
      <c r="N16" s="786">
        <f t="shared" si="3"/>
        <v>-0.1449226315789473</v>
      </c>
      <c r="O16" s="786"/>
      <c r="P16" s="785" t="b">
        <f t="shared" si="9"/>
        <v>1</v>
      </c>
      <c r="Q16" s="786">
        <f>COUNTIF(P$2:P16, TRUE)/(COUNTIF(P$2:P16,FALSE) + COUNTIF(P$2:P16, TRUE))</f>
        <v>0.46666666666666667</v>
      </c>
      <c r="R16" s="787"/>
      <c r="S16" s="787"/>
      <c r="T16" s="787"/>
      <c r="U16" s="787"/>
      <c r="V16" s="786">
        <f>STDEV(D$2:D16)*SQRT(252)</f>
        <v>0.35126122417304334</v>
      </c>
      <c r="W16" s="786">
        <f>STDEV(L$2:L16)*SQRT(252)</f>
        <v>0.43762621603032426</v>
      </c>
      <c r="X16" s="786"/>
      <c r="Y16" s="785"/>
      <c r="Z16" s="788"/>
      <c r="AA16" s="776"/>
      <c r="AB16" s="774"/>
      <c r="AC16" s="775"/>
      <c r="AD16" s="774"/>
      <c r="AE16" s="775"/>
      <c r="AF16" s="775"/>
      <c r="AG16" s="776"/>
      <c r="AH16" s="776"/>
      <c r="AI16" s="776"/>
      <c r="AJ16" s="776"/>
    </row>
    <row r="17" spans="1:36" ht="20.100000000000001" customHeight="1" x14ac:dyDescent="0.2">
      <c r="A17" s="776">
        <f t="shared" si="8"/>
        <v>22</v>
      </c>
      <c r="B17" s="795">
        <v>42255</v>
      </c>
      <c r="C17" s="796">
        <v>1969.41</v>
      </c>
      <c r="D17" s="792">
        <f t="shared" si="4"/>
        <v>2.5083020164270647E-2</v>
      </c>
      <c r="E17" s="797">
        <f t="shared" si="5"/>
        <v>-6.3274100568862832E-2</v>
      </c>
      <c r="F17" s="798">
        <v>4811.93</v>
      </c>
      <c r="G17" s="792">
        <f t="shared" si="1"/>
        <v>2.7329672581939961E-2</v>
      </c>
      <c r="H17" s="797">
        <f t="shared" si="6"/>
        <v>-5.4946285130702821E-2</v>
      </c>
      <c r="I17" s="799">
        <v>331613.90000000002</v>
      </c>
      <c r="J17" s="800">
        <v>380000</v>
      </c>
      <c r="K17" s="800">
        <f t="shared" si="2"/>
        <v>6684.5</v>
      </c>
      <c r="L17" s="792">
        <f t="shared" si="7"/>
        <v>2.0572161214097585E-2</v>
      </c>
      <c r="M17" s="801">
        <f t="shared" si="0"/>
        <v>-48386.099999999977</v>
      </c>
      <c r="N17" s="802">
        <f t="shared" si="3"/>
        <v>-0.1273318421052631</v>
      </c>
      <c r="O17" s="786"/>
      <c r="P17" s="801" t="b">
        <f t="shared" si="9"/>
        <v>0</v>
      </c>
      <c r="Q17" s="802">
        <f>COUNTIF(P$2:P17, TRUE)/(COUNTIF(P$2:P17,FALSE) + COUNTIF(P$2:P17, TRUE))</f>
        <v>0.4375</v>
      </c>
      <c r="R17" s="803"/>
      <c r="S17" s="803"/>
      <c r="T17" s="803"/>
      <c r="U17" s="803"/>
      <c r="V17" s="802">
        <f>STDEV(D$2:D17)*SQRT(252)</f>
        <v>0.36194228365900932</v>
      </c>
      <c r="W17" s="802">
        <f>STDEV(L$2:L17)*SQRT(252)</f>
        <v>0.43324605788841486</v>
      </c>
      <c r="X17" s="802"/>
      <c r="Y17" s="801"/>
      <c r="Z17" s="804"/>
      <c r="AA17" s="776"/>
      <c r="AB17" s="774"/>
      <c r="AC17" s="775"/>
      <c r="AD17" s="774"/>
      <c r="AE17" s="775"/>
      <c r="AF17" s="775"/>
      <c r="AG17" s="776"/>
      <c r="AH17" s="776"/>
      <c r="AI17" s="776"/>
      <c r="AJ17" s="776"/>
    </row>
    <row r="18" spans="1:36" ht="20.100000000000001" customHeight="1" x14ac:dyDescent="0.2">
      <c r="A18" s="776">
        <f t="shared" si="8"/>
        <v>23</v>
      </c>
      <c r="B18" s="795">
        <v>42256</v>
      </c>
      <c r="C18" s="796">
        <v>1942.04</v>
      </c>
      <c r="D18" s="792">
        <f t="shared" si="4"/>
        <v>-1.3897563229596741E-2</v>
      </c>
      <c r="E18" s="797">
        <f t="shared" si="5"/>
        <v>-7.629230798500794E-2</v>
      </c>
      <c r="F18" s="798">
        <v>4756.53</v>
      </c>
      <c r="G18" s="792">
        <f t="shared" si="1"/>
        <v>-1.1513051935502084E-2</v>
      </c>
      <c r="H18" s="797">
        <f t="shared" si="6"/>
        <v>-6.5826737631832208E-2</v>
      </c>
      <c r="I18" s="799">
        <v>321792.48</v>
      </c>
      <c r="J18" s="800">
        <v>380000</v>
      </c>
      <c r="K18" s="800">
        <f t="shared" si="2"/>
        <v>-9821.4200000000419</v>
      </c>
      <c r="L18" s="792">
        <f t="shared" si="7"/>
        <v>-2.9617033544130814E-2</v>
      </c>
      <c r="M18" s="801">
        <f t="shared" si="0"/>
        <v>-58207.520000000019</v>
      </c>
      <c r="N18" s="802">
        <f t="shared" si="3"/>
        <v>-0.15317768421052635</v>
      </c>
      <c r="O18" s="786"/>
      <c r="P18" s="801" t="b">
        <f t="shared" si="9"/>
        <v>0</v>
      </c>
      <c r="Q18" s="802">
        <f>COUNTIF(P$2:P18, TRUE)/(COUNTIF(P$2:P18,FALSE) + COUNTIF(P$2:P18, TRUE))</f>
        <v>0.41176470588235292</v>
      </c>
      <c r="R18" s="803"/>
      <c r="S18" s="803"/>
      <c r="T18" s="803"/>
      <c r="U18" s="803"/>
      <c r="V18" s="802">
        <f>STDEV(D$2:D18)*SQRT(252)</f>
        <v>0.35182224095506454</v>
      </c>
      <c r="W18" s="802">
        <f>STDEV(L$2:L18)*SQRT(252)</f>
        <v>0.43262248943141224</v>
      </c>
      <c r="X18" s="802"/>
      <c r="Y18" s="801"/>
      <c r="Z18" s="804"/>
      <c r="AA18" s="776"/>
      <c r="AB18" s="774"/>
      <c r="AC18" s="775"/>
      <c r="AD18" s="774"/>
      <c r="AE18" s="775"/>
      <c r="AF18" s="775"/>
      <c r="AG18" s="776"/>
      <c r="AH18" s="776"/>
      <c r="AI18" s="776"/>
      <c r="AJ18" s="776"/>
    </row>
    <row r="19" spans="1:36" ht="20.100000000000001" customHeight="1" x14ac:dyDescent="0.2">
      <c r="A19" s="776">
        <f t="shared" si="8"/>
        <v>24</v>
      </c>
      <c r="B19" s="795">
        <v>42257</v>
      </c>
      <c r="C19" s="796">
        <v>1952.29</v>
      </c>
      <c r="D19" s="792">
        <f t="shared" si="4"/>
        <v>5.2779551399559227E-3</v>
      </c>
      <c r="E19" s="797">
        <f t="shared" si="5"/>
        <v>-7.1417020224120581E-2</v>
      </c>
      <c r="F19" s="798">
        <v>4796.25</v>
      </c>
      <c r="G19" s="792">
        <f t="shared" si="1"/>
        <v>8.3506253508335397E-3</v>
      </c>
      <c r="H19" s="797">
        <f t="shared" si="6"/>
        <v>-5.8025806705029721E-2</v>
      </c>
      <c r="I19" s="799">
        <v>323389.99</v>
      </c>
      <c r="J19" s="800">
        <v>380000</v>
      </c>
      <c r="K19" s="800">
        <f t="shared" si="2"/>
        <v>1597.5100000000093</v>
      </c>
      <c r="L19" s="792">
        <f t="shared" si="7"/>
        <v>4.9644106040017139E-3</v>
      </c>
      <c r="M19" s="801">
        <f t="shared" si="0"/>
        <v>-56610.010000000009</v>
      </c>
      <c r="N19" s="802">
        <f t="shared" si="3"/>
        <v>-0.14897371052631581</v>
      </c>
      <c r="O19" s="786"/>
      <c r="P19" s="801" t="b">
        <f t="shared" si="9"/>
        <v>0</v>
      </c>
      <c r="Q19" s="802">
        <f>COUNTIF(P$2:P19, TRUE)/(COUNTIF(P$2:P19,FALSE) + COUNTIF(P$2:P19, TRUE))</f>
        <v>0.3888888888888889</v>
      </c>
      <c r="R19" s="803"/>
      <c r="S19" s="803"/>
      <c r="T19" s="803"/>
      <c r="U19" s="803"/>
      <c r="V19" s="802">
        <f>STDEV(D$2:D19)*SQRT(252)</f>
        <v>0.34281735693264087</v>
      </c>
      <c r="W19" s="802">
        <f>STDEV(L$2:L19)*SQRT(252)</f>
        <v>0.42023205119752755</v>
      </c>
      <c r="X19" s="802"/>
      <c r="Y19" s="801"/>
      <c r="Z19" s="804"/>
      <c r="AA19" s="776"/>
      <c r="AB19" s="774"/>
      <c r="AC19" s="775"/>
      <c r="AD19" s="774"/>
      <c r="AE19" s="775"/>
      <c r="AF19" s="775"/>
      <c r="AG19" s="776"/>
      <c r="AH19" s="776"/>
      <c r="AI19" s="776"/>
      <c r="AJ19" s="776"/>
    </row>
    <row r="20" spans="1:36" ht="20.100000000000001" customHeight="1" x14ac:dyDescent="0.2">
      <c r="A20" s="776">
        <f t="shared" si="8"/>
        <v>25</v>
      </c>
      <c r="B20" s="795">
        <v>42258</v>
      </c>
      <c r="C20" s="796">
        <v>1961.05</v>
      </c>
      <c r="D20" s="792">
        <f t="shared" si="4"/>
        <v>4.4870382986134183E-3</v>
      </c>
      <c r="E20" s="797">
        <f t="shared" si="5"/>
        <v>-6.7250432830425644E-2</v>
      </c>
      <c r="F20" s="798">
        <v>4822.34</v>
      </c>
      <c r="G20" s="792">
        <f t="shared" si="1"/>
        <v>5.4396664060464206E-3</v>
      </c>
      <c r="H20" s="797">
        <f t="shared" si="6"/>
        <v>-5.2901781330400396E-2</v>
      </c>
      <c r="I20" s="799">
        <v>323039.64</v>
      </c>
      <c r="J20" s="800">
        <v>380000</v>
      </c>
      <c r="K20" s="800">
        <f t="shared" si="2"/>
        <v>-350.34999999997672</v>
      </c>
      <c r="L20" s="792">
        <f t="shared" si="7"/>
        <v>-1.0833668661172126E-3</v>
      </c>
      <c r="M20" s="801">
        <f t="shared" si="0"/>
        <v>-56960.359999999986</v>
      </c>
      <c r="N20" s="802">
        <f t="shared" si="3"/>
        <v>-0.14989568421052629</v>
      </c>
      <c r="O20" s="786"/>
      <c r="P20" s="801" t="b">
        <f t="shared" si="9"/>
        <v>0</v>
      </c>
      <c r="Q20" s="802">
        <f>COUNTIF(P$2:P20, TRUE)/(COUNTIF(P$2:P20,FALSE) + COUNTIF(P$2:P20, TRUE))</f>
        <v>0.36842105263157893</v>
      </c>
      <c r="R20" s="803"/>
      <c r="S20" s="803"/>
      <c r="T20" s="803"/>
      <c r="U20" s="803"/>
      <c r="V20" s="802">
        <f>STDEV(D$2:D20)*SQRT(252)</f>
        <v>0.33414073790213511</v>
      </c>
      <c r="W20" s="802">
        <f>STDEV(L$2:L20)*SQRT(252)</f>
        <v>0.40776589668846686</v>
      </c>
      <c r="X20" s="802"/>
      <c r="Y20" s="801"/>
      <c r="Z20" s="804"/>
      <c r="AA20" s="776"/>
      <c r="AB20" s="774"/>
      <c r="AC20" s="775"/>
      <c r="AD20" s="774"/>
      <c r="AE20" s="775"/>
      <c r="AF20" s="775"/>
      <c r="AG20" s="776"/>
      <c r="AH20" s="776"/>
      <c r="AI20" s="776"/>
      <c r="AJ20" s="776"/>
    </row>
    <row r="21" spans="1:36" ht="20.100000000000001" customHeight="1" x14ac:dyDescent="0.2">
      <c r="A21" s="776">
        <f t="shared" si="8"/>
        <v>28</v>
      </c>
      <c r="B21" s="778">
        <v>42261</v>
      </c>
      <c r="C21" s="791">
        <v>1953.03</v>
      </c>
      <c r="D21" s="792">
        <f t="shared" si="4"/>
        <v>-4.0896458529869114E-3</v>
      </c>
      <c r="E21" s="793">
        <f t="shared" si="5"/>
        <v>-7.1065048229676034E-2</v>
      </c>
      <c r="F21" s="794">
        <v>4805.76</v>
      </c>
      <c r="G21" s="792">
        <f t="shared" si="1"/>
        <v>-3.4381648743141147E-3</v>
      </c>
      <c r="H21" s="793">
        <f t="shared" si="6"/>
        <v>-5.6158061158355678E-2</v>
      </c>
      <c r="I21" s="782">
        <v>326015.75</v>
      </c>
      <c r="J21" s="783">
        <v>380000</v>
      </c>
      <c r="K21" s="783">
        <f t="shared" si="2"/>
        <v>2976.109999999986</v>
      </c>
      <c r="L21" s="792">
        <f t="shared" si="7"/>
        <v>9.2128322084558591E-3</v>
      </c>
      <c r="M21" s="785">
        <f t="shared" si="0"/>
        <v>-53984.25</v>
      </c>
      <c r="N21" s="786">
        <f t="shared" si="3"/>
        <v>-0.14206381578947369</v>
      </c>
      <c r="O21" s="786"/>
      <c r="P21" s="785" t="b">
        <f t="shared" si="9"/>
        <v>1</v>
      </c>
      <c r="Q21" s="786">
        <f>COUNTIF(P$2:P21, TRUE)/(COUNTIF(P$2:P21,FALSE) + COUNTIF(P$2:P21, TRUE))</f>
        <v>0.4</v>
      </c>
      <c r="R21" s="787"/>
      <c r="S21" s="787"/>
      <c r="T21" s="787"/>
      <c r="U21" s="787"/>
      <c r="V21" s="786">
        <f>STDEV(D$2:D21)*SQRT(252)</f>
        <v>0.3247303591191491</v>
      </c>
      <c r="W21" s="786">
        <f>STDEV(L$2:L21)*SQRT(252)</f>
        <v>0.39882009643497413</v>
      </c>
      <c r="X21" s="786"/>
      <c r="Y21" s="785"/>
      <c r="Z21" s="788"/>
      <c r="AA21" s="776"/>
      <c r="AB21" s="774"/>
      <c r="AC21" s="775"/>
      <c r="AD21" s="774"/>
      <c r="AE21" s="775"/>
      <c r="AF21" s="775"/>
      <c r="AG21" s="776"/>
      <c r="AH21" s="776"/>
      <c r="AI21" s="776"/>
      <c r="AJ21" s="776"/>
    </row>
    <row r="22" spans="1:36" ht="20.100000000000001" customHeight="1" x14ac:dyDescent="0.2">
      <c r="A22" s="776">
        <f t="shared" si="8"/>
        <v>29</v>
      </c>
      <c r="B22" s="778">
        <v>42262</v>
      </c>
      <c r="C22" s="791">
        <v>1978.09</v>
      </c>
      <c r="D22" s="792">
        <f t="shared" si="4"/>
        <v>1.2831344116577803E-2</v>
      </c>
      <c r="E22" s="793">
        <f t="shared" si="5"/>
        <v>-5.9145564201594399E-2</v>
      </c>
      <c r="F22" s="794">
        <v>4860.5200000000004</v>
      </c>
      <c r="G22" s="792">
        <f t="shared" si="1"/>
        <v>1.1394659741643406E-2</v>
      </c>
      <c r="H22" s="793">
        <f t="shared" si="6"/>
        <v>-4.540330341536214E-2</v>
      </c>
      <c r="I22" s="782">
        <v>328528.74</v>
      </c>
      <c r="J22" s="783">
        <v>380000</v>
      </c>
      <c r="K22" s="783">
        <f t="shared" si="2"/>
        <v>2512.9899999999907</v>
      </c>
      <c r="L22" s="792">
        <f t="shared" si="7"/>
        <v>7.7081858775227595E-3</v>
      </c>
      <c r="M22" s="785">
        <f t="shared" si="0"/>
        <v>-51471.260000000009</v>
      </c>
      <c r="N22" s="786">
        <f t="shared" si="3"/>
        <v>-0.13545068421052633</v>
      </c>
      <c r="O22" s="786"/>
      <c r="P22" s="785" t="b">
        <f t="shared" si="9"/>
        <v>0</v>
      </c>
      <c r="Q22" s="786">
        <f>COUNTIF(P$2:P22, TRUE)/(COUNTIF(P$2:P22,FALSE) + COUNTIF(P$2:P22, TRUE))</f>
        <v>0.38095238095238093</v>
      </c>
      <c r="R22" s="787"/>
      <c r="S22" s="787"/>
      <c r="T22" s="787"/>
      <c r="U22" s="787"/>
      <c r="V22" s="786">
        <f>STDEV(D$2:D22)*SQRT(252)</f>
        <v>0.32145355759875488</v>
      </c>
      <c r="W22" s="786">
        <f>STDEV(L$2:L22)*SQRT(252)</f>
        <v>0.38986525703766828</v>
      </c>
      <c r="X22" s="786"/>
      <c r="Y22" s="785"/>
      <c r="Z22" s="788"/>
      <c r="AA22" s="776"/>
      <c r="AB22" s="774"/>
      <c r="AC22" s="775"/>
      <c r="AD22" s="774"/>
      <c r="AE22" s="775"/>
      <c r="AF22" s="775"/>
      <c r="AG22" s="776"/>
      <c r="AH22" s="776"/>
      <c r="AI22" s="776"/>
      <c r="AJ22" s="776"/>
    </row>
    <row r="23" spans="1:36" ht="20.100000000000001" customHeight="1" x14ac:dyDescent="0.2">
      <c r="A23" s="776">
        <f t="shared" si="8"/>
        <v>30</v>
      </c>
      <c r="B23" s="778">
        <v>42263</v>
      </c>
      <c r="C23" s="791">
        <v>1995.31</v>
      </c>
      <c r="D23" s="792">
        <f t="shared" si="4"/>
        <v>8.7053672987579076E-3</v>
      </c>
      <c r="E23" s="793">
        <f t="shared" si="5"/>
        <v>-5.0955080763303642E-2</v>
      </c>
      <c r="F23" s="794">
        <v>4889.24</v>
      </c>
      <c r="G23" s="792">
        <f t="shared" si="1"/>
        <v>5.908832799782604E-3</v>
      </c>
      <c r="H23" s="793">
        <f t="shared" si="6"/>
        <v>-3.9762751144018706E-2</v>
      </c>
      <c r="I23" s="782">
        <v>333204.93</v>
      </c>
      <c r="J23" s="783">
        <v>380000</v>
      </c>
      <c r="K23" s="783">
        <f t="shared" si="2"/>
        <v>4676.1900000000023</v>
      </c>
      <c r="L23" s="792">
        <f t="shared" si="7"/>
        <v>1.4233731879895812E-2</v>
      </c>
      <c r="M23" s="785">
        <f t="shared" si="0"/>
        <v>-46795.070000000007</v>
      </c>
      <c r="N23" s="786">
        <f t="shared" si="3"/>
        <v>-0.1231449210526316</v>
      </c>
      <c r="O23" s="786"/>
      <c r="P23" s="785" t="b">
        <f t="shared" si="9"/>
        <v>1</v>
      </c>
      <c r="Q23" s="786">
        <f>COUNTIF(P$2:P23, TRUE)/(COUNTIF(P$2:P23,FALSE) + COUNTIF(P$2:P23, TRUE))</f>
        <v>0.40909090909090912</v>
      </c>
      <c r="R23" s="787"/>
      <c r="S23" s="787"/>
      <c r="T23" s="787"/>
      <c r="U23" s="787"/>
      <c r="V23" s="786">
        <f>STDEV(D$2:D23)*SQRT(252)</f>
        <v>0.31586031332458192</v>
      </c>
      <c r="W23" s="786">
        <f>STDEV(L$2:L23)*SQRT(252)</f>
        <v>0.38411926521956707</v>
      </c>
      <c r="X23" s="786"/>
      <c r="Y23" s="785"/>
      <c r="Z23" s="788"/>
      <c r="AA23" s="776"/>
      <c r="AB23" s="774"/>
      <c r="AC23" s="775"/>
      <c r="AD23" s="774"/>
      <c r="AE23" s="775"/>
      <c r="AF23" s="775"/>
      <c r="AG23" s="776"/>
      <c r="AH23" s="776"/>
      <c r="AI23" s="776"/>
      <c r="AJ23" s="776"/>
    </row>
    <row r="24" spans="1:36" ht="20.100000000000001" customHeight="1" x14ac:dyDescent="0.2">
      <c r="A24" s="776">
        <f t="shared" si="8"/>
        <v>31</v>
      </c>
      <c r="B24" s="778">
        <v>42264</v>
      </c>
      <c r="C24" s="791">
        <v>1990.2</v>
      </c>
      <c r="D24" s="792">
        <f t="shared" si="4"/>
        <v>-2.5610055580335385E-3</v>
      </c>
      <c r="E24" s="793">
        <f t="shared" si="5"/>
        <v>-5.3385590076292309E-2</v>
      </c>
      <c r="F24" s="794">
        <v>4893.95</v>
      </c>
      <c r="G24" s="792">
        <f t="shared" si="1"/>
        <v>9.6333990558860607E-4</v>
      </c>
      <c r="H24" s="793">
        <f t="shared" si="6"/>
        <v>-3.8837716283363119E-2</v>
      </c>
      <c r="I24" s="782">
        <v>333913.03999999998</v>
      </c>
      <c r="J24" s="783">
        <v>380000</v>
      </c>
      <c r="K24" s="783">
        <f t="shared" si="2"/>
        <v>708.10999999998603</v>
      </c>
      <c r="L24" s="792">
        <f t="shared" si="7"/>
        <v>2.1251486285031439E-3</v>
      </c>
      <c r="M24" s="785">
        <f t="shared" si="0"/>
        <v>-46086.960000000021</v>
      </c>
      <c r="N24" s="786">
        <f t="shared" si="3"/>
        <v>-0.12128147368421058</v>
      </c>
      <c r="O24" s="786"/>
      <c r="P24" s="785" t="b">
        <f t="shared" si="9"/>
        <v>1</v>
      </c>
      <c r="Q24" s="786">
        <f>COUNTIF(P$2:P24, TRUE)/(COUNTIF(P$2:P24,FALSE) + COUNTIF(P$2:P24, TRUE))</f>
        <v>0.43478260869565216</v>
      </c>
      <c r="R24" s="787"/>
      <c r="S24" s="787"/>
      <c r="T24" s="787"/>
      <c r="U24" s="787"/>
      <c r="V24" s="786">
        <f>STDEV(D$2:D24)*SQRT(252)</f>
        <v>0.30824938276419228</v>
      </c>
      <c r="W24" s="786">
        <f>STDEV(L$2:L24)*SQRT(252)</f>
        <v>0.37503116894241934</v>
      </c>
      <c r="X24" s="786"/>
      <c r="Y24" s="785"/>
      <c r="Z24" s="788"/>
      <c r="AA24" s="776"/>
      <c r="AB24" s="774"/>
      <c r="AC24" s="775"/>
      <c r="AD24" s="774"/>
      <c r="AE24" s="775"/>
      <c r="AF24" s="775"/>
      <c r="AG24" s="776"/>
      <c r="AH24" s="776"/>
      <c r="AI24" s="776"/>
      <c r="AJ24" s="776"/>
    </row>
    <row r="25" spans="1:36" ht="20.100000000000001" customHeight="1" x14ac:dyDescent="0.2">
      <c r="A25" s="776">
        <f t="shared" si="8"/>
        <v>32</v>
      </c>
      <c r="B25" s="778">
        <v>42265</v>
      </c>
      <c r="C25" s="791">
        <v>1958.08</v>
      </c>
      <c r="D25" s="792">
        <f t="shared" si="4"/>
        <v>-1.6139081499346859E-2</v>
      </c>
      <c r="E25" s="793">
        <f t="shared" si="5"/>
        <v>-6.866307718650716E-2</v>
      </c>
      <c r="F25" s="794">
        <v>4827.2299999999996</v>
      </c>
      <c r="G25" s="792">
        <f t="shared" si="1"/>
        <v>-1.3633159308942726E-2</v>
      </c>
      <c r="H25" s="793">
        <f t="shared" si="6"/>
        <v>-5.1941394819019243E-2</v>
      </c>
      <c r="I25" s="782">
        <v>334619.5</v>
      </c>
      <c r="J25" s="783">
        <v>390000</v>
      </c>
      <c r="K25" s="783">
        <f t="shared" si="2"/>
        <v>-9293.539999999979</v>
      </c>
      <c r="L25" s="792">
        <f t="shared" si="7"/>
        <v>-2.7832216435752195E-2</v>
      </c>
      <c r="M25" s="785">
        <f t="shared" si="0"/>
        <v>-55380.5</v>
      </c>
      <c r="N25" s="786">
        <f t="shared" si="3"/>
        <v>-0.14200128205128204</v>
      </c>
      <c r="O25" s="786"/>
      <c r="P25" s="785" t="b">
        <f t="shared" si="9"/>
        <v>0</v>
      </c>
      <c r="Q25" s="786">
        <f>COUNTIF(P$2:P25, TRUE)/(COUNTIF(P$2:P25,FALSE) + COUNTIF(P$2:P25, TRUE))</f>
        <v>0.41666666666666669</v>
      </c>
      <c r="R25" s="787"/>
      <c r="S25" s="787"/>
      <c r="T25" s="787"/>
      <c r="U25" s="787"/>
      <c r="V25" s="786">
        <f>STDEV(D$2:D25)*SQRT(252)</f>
        <v>0.30462094080099172</v>
      </c>
      <c r="W25" s="786">
        <f>STDEV(L$2:L25)*SQRT(252)</f>
        <v>0.37697940519041084</v>
      </c>
      <c r="X25" s="786"/>
      <c r="Y25" s="785"/>
      <c r="Z25" s="788"/>
      <c r="AA25" s="776"/>
      <c r="AB25" s="774"/>
      <c r="AC25" s="775"/>
      <c r="AD25" s="774"/>
      <c r="AE25" s="775"/>
      <c r="AF25" s="775"/>
      <c r="AG25" s="776"/>
      <c r="AH25" s="776"/>
      <c r="AI25" s="776"/>
      <c r="AJ25" s="776"/>
    </row>
    <row r="26" spans="1:36" ht="20.100000000000001" customHeight="1" x14ac:dyDescent="0.2">
      <c r="A26" s="776">
        <f t="shared" si="8"/>
        <v>35</v>
      </c>
      <c r="B26" s="795">
        <v>42268</v>
      </c>
      <c r="C26" s="796">
        <v>1966.97</v>
      </c>
      <c r="D26" s="792">
        <f t="shared" si="4"/>
        <v>4.5401617911423947E-3</v>
      </c>
      <c r="E26" s="797">
        <f t="shared" si="5"/>
        <v>-6.4434656874869212E-2</v>
      </c>
      <c r="F26" s="798">
        <v>4828.95</v>
      </c>
      <c r="G26" s="792">
        <f t="shared" si="1"/>
        <v>3.5631200502156618E-4</v>
      </c>
      <c r="H26" s="797">
        <f t="shared" si="6"/>
        <v>-5.1603590156529253E-2</v>
      </c>
      <c r="I26" s="799">
        <v>336797.05</v>
      </c>
      <c r="J26" s="800">
        <v>390000</v>
      </c>
      <c r="K26" s="800">
        <f t="shared" si="2"/>
        <v>2177.5499999999884</v>
      </c>
      <c r="L26" s="792">
        <f t="shared" si="7"/>
        <v>6.5075406543850202E-3</v>
      </c>
      <c r="M26" s="801">
        <f t="shared" si="0"/>
        <v>-53202.950000000012</v>
      </c>
      <c r="N26" s="802">
        <f t="shared" si="3"/>
        <v>-0.13641782051282053</v>
      </c>
      <c r="O26" s="786">
        <f t="shared" ref="O26:O70" si="10">N26/(A26/365.25)</f>
        <v>-1.4236173983516487</v>
      </c>
      <c r="P26" s="801" t="b">
        <f t="shared" si="9"/>
        <v>1</v>
      </c>
      <c r="Q26" s="802">
        <f>COUNTIF(P$2:P26, TRUE)/(COUNTIF(P$2:P26,FALSE) + COUNTIF(P$2:P26, TRUE))</f>
        <v>0.44</v>
      </c>
      <c r="R26" s="803"/>
      <c r="S26" s="803"/>
      <c r="T26" s="803"/>
      <c r="U26" s="803"/>
      <c r="V26" s="802">
        <f>STDEV(D$2:D26)*SQRT(252)</f>
        <v>0.29890210628506431</v>
      </c>
      <c r="W26" s="802">
        <f>STDEV(L$2:L26)*SQRT(252)</f>
        <v>0.36977509623053162</v>
      </c>
      <c r="X26" s="801">
        <f>E26/(A26/365.25)/V26</f>
        <v>-2.2496384438418087</v>
      </c>
      <c r="Y26" s="801">
        <f>O26/W26</f>
        <v>-3.8499547775497365</v>
      </c>
      <c r="Z26" s="807">
        <f>-(E26-N26)</f>
        <v>-7.198316363795132E-2</v>
      </c>
      <c r="AA26" s="776"/>
      <c r="AB26" s="774"/>
      <c r="AC26" s="775"/>
      <c r="AD26" s="774"/>
      <c r="AE26" s="775"/>
      <c r="AF26" s="775"/>
      <c r="AG26" s="776"/>
      <c r="AH26" s="776"/>
      <c r="AI26" s="776"/>
      <c r="AJ26" s="776"/>
    </row>
    <row r="27" spans="1:36" ht="20.100000000000001" customHeight="1" x14ac:dyDescent="0.2">
      <c r="A27" s="776">
        <f t="shared" si="8"/>
        <v>36</v>
      </c>
      <c r="B27" s="795">
        <v>42269</v>
      </c>
      <c r="C27" s="796">
        <v>1942.74</v>
      </c>
      <c r="D27" s="792">
        <f t="shared" si="4"/>
        <v>-1.2318439020422282E-2</v>
      </c>
      <c r="E27" s="797">
        <f t="shared" si="5"/>
        <v>-7.5959361503776579E-2</v>
      </c>
      <c r="F27" s="798">
        <v>4756.72</v>
      </c>
      <c r="G27" s="792">
        <f t="shared" si="1"/>
        <v>-1.4957703020325239E-2</v>
      </c>
      <c r="H27" s="797">
        <f t="shared" si="6"/>
        <v>-6.578942200051055E-2</v>
      </c>
      <c r="I27" s="799">
        <v>328628.18</v>
      </c>
      <c r="J27" s="800">
        <v>390000</v>
      </c>
      <c r="K27" s="800">
        <f t="shared" si="2"/>
        <v>-8168.8699999999953</v>
      </c>
      <c r="L27" s="792">
        <f t="shared" si="7"/>
        <v>-2.4254577051669533E-2</v>
      </c>
      <c r="M27" s="801">
        <f t="shared" si="0"/>
        <v>-61371.820000000007</v>
      </c>
      <c r="N27" s="802">
        <f t="shared" si="3"/>
        <v>-0.15736364102564104</v>
      </c>
      <c r="O27" s="786">
        <f t="shared" si="10"/>
        <v>-1.5965852745726496</v>
      </c>
      <c r="P27" s="801" t="b">
        <f t="shared" si="9"/>
        <v>0</v>
      </c>
      <c r="Q27" s="802">
        <f>COUNTIF(P$2:P27, TRUE)/(COUNTIF(P$2:P27,FALSE) + COUNTIF(P$2:P27, TRUE))</f>
        <v>0.42307692307692307</v>
      </c>
      <c r="R27" s="803"/>
      <c r="S27" s="803"/>
      <c r="T27" s="803"/>
      <c r="U27" s="803"/>
      <c r="V27" s="802">
        <f>STDEV(D$2:D27)*SQRT(252)</f>
        <v>0.29423063039577757</v>
      </c>
      <c r="W27" s="802">
        <f>STDEV(L$2:L27)*SQRT(252)</f>
        <v>0.36891081336097858</v>
      </c>
      <c r="X27" s="801">
        <f t="shared" ref="X27:X90" si="11">E27/(A27/365.25)/V27</f>
        <v>-2.6192752973648008</v>
      </c>
      <c r="Y27" s="801">
        <f t="shared" ref="Y27:Y90" si="12">O27/W27</f>
        <v>-4.3278353920474375</v>
      </c>
      <c r="Z27" s="807">
        <f t="shared" ref="Z27:Z90" si="13">-(E27-N27)</f>
        <v>-8.1404279521864464E-2</v>
      </c>
      <c r="AA27" s="776"/>
      <c r="AB27" s="774"/>
      <c r="AC27" s="775"/>
      <c r="AD27" s="774"/>
      <c r="AE27" s="775"/>
      <c r="AF27" s="775"/>
      <c r="AG27" s="776"/>
      <c r="AH27" s="776"/>
      <c r="AI27" s="776"/>
      <c r="AJ27" s="776"/>
    </row>
    <row r="28" spans="1:36" ht="20.100000000000001" customHeight="1" x14ac:dyDescent="0.2">
      <c r="A28" s="776">
        <f t="shared" si="8"/>
        <v>37</v>
      </c>
      <c r="B28" s="795">
        <v>42270</v>
      </c>
      <c r="C28" s="796">
        <v>1938.76</v>
      </c>
      <c r="D28" s="792">
        <f t="shared" si="4"/>
        <v>-2.0486529334857047E-3</v>
      </c>
      <c r="E28" s="797">
        <f t="shared" si="5"/>
        <v>-7.7852400068491881E-2</v>
      </c>
      <c r="F28" s="798">
        <v>4752.74</v>
      </c>
      <c r="G28" s="792">
        <f t="shared" si="1"/>
        <v>-8.3671101094882037E-4</v>
      </c>
      <c r="H28" s="797">
        <f t="shared" si="6"/>
        <v>-6.6571086277667585E-2</v>
      </c>
      <c r="I28" s="799">
        <v>321819.21000000002</v>
      </c>
      <c r="J28" s="800">
        <v>390000</v>
      </c>
      <c r="K28" s="800">
        <f t="shared" si="2"/>
        <v>-6808.9699999999721</v>
      </c>
      <c r="L28" s="792">
        <f t="shared" si="7"/>
        <v>-2.0719373487690471E-2</v>
      </c>
      <c r="M28" s="801">
        <f t="shared" si="0"/>
        <v>-68180.789999999979</v>
      </c>
      <c r="N28" s="802">
        <f t="shared" si="3"/>
        <v>-0.17482253846153842</v>
      </c>
      <c r="O28" s="786">
        <f t="shared" si="10"/>
        <v>-1.7257819506237002</v>
      </c>
      <c r="P28" s="801" t="b">
        <f t="shared" si="9"/>
        <v>0</v>
      </c>
      <c r="Q28" s="802">
        <f>COUNTIF(P$2:P28, TRUE)/(COUNTIF(P$2:P28,FALSE) + COUNTIF(P$2:P28, TRUE))</f>
        <v>0.40740740740740738</v>
      </c>
      <c r="R28" s="803"/>
      <c r="S28" s="803"/>
      <c r="T28" s="803"/>
      <c r="U28" s="803"/>
      <c r="V28" s="802">
        <f>STDEV(D$2:D28)*SQRT(252)</f>
        <v>0.288300857286579</v>
      </c>
      <c r="W28" s="802">
        <f>STDEV(L$2:L28)*SQRT(252)</f>
        <v>0.36576166417456935</v>
      </c>
      <c r="X28" s="801">
        <f t="shared" si="11"/>
        <v>-2.6657202584983009</v>
      </c>
      <c r="Y28" s="801">
        <f t="shared" si="12"/>
        <v>-4.7183237601413186</v>
      </c>
      <c r="Z28" s="807">
        <f t="shared" si="13"/>
        <v>-9.6970138393046537E-2</v>
      </c>
      <c r="AA28" s="774"/>
      <c r="AB28" s="775"/>
      <c r="AC28" s="775"/>
      <c r="AD28" s="776"/>
      <c r="AE28" s="776"/>
      <c r="AF28" s="776"/>
      <c r="AG28" s="776"/>
    </row>
    <row r="29" spans="1:36" ht="20.100000000000001" customHeight="1" x14ac:dyDescent="0.2">
      <c r="A29" s="776">
        <f t="shared" si="8"/>
        <v>38</v>
      </c>
      <c r="B29" s="795">
        <v>42271</v>
      </c>
      <c r="C29" s="796">
        <v>1932.24</v>
      </c>
      <c r="D29" s="792">
        <f t="shared" si="4"/>
        <v>-3.3629742722152212E-3</v>
      </c>
      <c r="E29" s="797">
        <f t="shared" si="5"/>
        <v>-8.0953558722246549E-2</v>
      </c>
      <c r="F29" s="798">
        <v>4734.4799999999996</v>
      </c>
      <c r="G29" s="792">
        <f t="shared" si="1"/>
        <v>-3.8419943022341258E-3</v>
      </c>
      <c r="H29" s="797">
        <f t="shared" si="6"/>
        <v>-7.0157314845729374E-2</v>
      </c>
      <c r="I29" s="808">
        <v>323446.15999999997</v>
      </c>
      <c r="J29" s="800">
        <v>390000</v>
      </c>
      <c r="K29" s="800">
        <f t="shared" ref="K29:K49" si="14">I29-I28-J29+J28</f>
        <v>1626.9499999999534</v>
      </c>
      <c r="L29" s="792">
        <f t="shared" si="7"/>
        <v>5.0554781984579267E-3</v>
      </c>
      <c r="M29" s="801">
        <f t="shared" si="0"/>
        <v>-66553.840000000026</v>
      </c>
      <c r="N29" s="802">
        <f t="shared" si="3"/>
        <v>-0.17065087179487187</v>
      </c>
      <c r="O29" s="786">
        <f t="shared" si="10"/>
        <v>-1.6402692348178145</v>
      </c>
      <c r="P29" s="801" t="b">
        <f t="shared" si="9"/>
        <v>1</v>
      </c>
      <c r="Q29" s="802">
        <f>COUNTIF(P$2:P29, TRUE)/(COUNTIF(P$2:P29,FALSE) + COUNTIF(P$2:P29, TRUE))</f>
        <v>0.42857142857142855</v>
      </c>
      <c r="R29" s="803"/>
      <c r="S29" s="803"/>
      <c r="T29" s="803"/>
      <c r="U29" s="803"/>
      <c r="V29" s="802">
        <f>STDEV(D$2:D29)*SQRT(252)</f>
        <v>0.28270501442194107</v>
      </c>
      <c r="W29" s="802">
        <f>STDEV(L$2:L29)*SQRT(252)</f>
        <v>0.35959656379312804</v>
      </c>
      <c r="X29" s="801">
        <f t="shared" si="11"/>
        <v>-2.7523842330438435</v>
      </c>
      <c r="Y29" s="801">
        <f t="shared" si="12"/>
        <v>-4.5614152079646777</v>
      </c>
      <c r="Z29" s="807">
        <f t="shared" si="13"/>
        <v>-8.9697313072625323E-2</v>
      </c>
      <c r="AA29" s="774"/>
      <c r="AB29" s="775"/>
      <c r="AC29" s="775"/>
      <c r="AD29" s="776"/>
      <c r="AE29" s="776"/>
      <c r="AF29" s="776"/>
      <c r="AG29" s="776"/>
    </row>
    <row r="30" spans="1:36" ht="20.100000000000001" customHeight="1" x14ac:dyDescent="0.2">
      <c r="A30" s="776">
        <f t="shared" si="8"/>
        <v>39</v>
      </c>
      <c r="B30" s="795">
        <v>42272</v>
      </c>
      <c r="C30" s="796">
        <v>1931.34</v>
      </c>
      <c r="D30" s="792">
        <f t="shared" si="4"/>
        <v>-4.6578064836670961E-4</v>
      </c>
      <c r="E30" s="797">
        <f t="shared" si="5"/>
        <v>-8.1381632769544021E-2</v>
      </c>
      <c r="F30" s="798">
        <v>4686.5</v>
      </c>
      <c r="G30" s="792">
        <f t="shared" si="1"/>
        <v>-1.0134164681232061E-2</v>
      </c>
      <c r="H30" s="797">
        <f t="shared" si="6"/>
        <v>-7.9580493744721773E-2</v>
      </c>
      <c r="I30" s="799">
        <v>320711.92</v>
      </c>
      <c r="J30" s="800">
        <v>390000</v>
      </c>
      <c r="K30" s="800">
        <f t="shared" si="14"/>
        <v>-2734.2399999999907</v>
      </c>
      <c r="L30" s="792">
        <f t="shared" si="7"/>
        <v>-8.4534625484500754E-3</v>
      </c>
      <c r="M30" s="801">
        <f t="shared" ref="M30:M61" si="15">I30-J30</f>
        <v>-69288.080000000016</v>
      </c>
      <c r="N30" s="802">
        <f t="shared" ref="N30:N61" si="16">M30/J30</f>
        <v>-0.17766174358974363</v>
      </c>
      <c r="O30" s="786">
        <f t="shared" si="10"/>
        <v>-1.6638705601577912</v>
      </c>
      <c r="P30" s="801" t="b">
        <f t="shared" si="9"/>
        <v>0</v>
      </c>
      <c r="Q30" s="802">
        <f>COUNTIF(P$2:P30, TRUE)/(COUNTIF(P$2:P30,FALSE) + COUNTIF(P$2:P30, TRUE))</f>
        <v>0.41379310344827586</v>
      </c>
      <c r="R30" s="803"/>
      <c r="S30" s="803"/>
      <c r="T30" s="803"/>
      <c r="U30" s="803"/>
      <c r="V30" s="802">
        <f>STDEV(D$2:D30)*SQRT(252)</f>
        <v>0.27752195461786261</v>
      </c>
      <c r="W30" s="802">
        <f>STDEV(L$2:L30)*SQRT(252)</f>
        <v>0.35323644241397795</v>
      </c>
      <c r="X30" s="801">
        <f t="shared" si="11"/>
        <v>-2.7463423301563585</v>
      </c>
      <c r="Y30" s="801">
        <f t="shared" si="12"/>
        <v>-4.7103592958503597</v>
      </c>
      <c r="Z30" s="807">
        <f t="shared" si="13"/>
        <v>-9.6280110820199605E-2</v>
      </c>
      <c r="AA30" s="774"/>
      <c r="AB30" s="775"/>
      <c r="AC30" s="775"/>
      <c r="AD30" s="776"/>
      <c r="AE30" s="776"/>
      <c r="AF30" s="776"/>
      <c r="AG30" s="776"/>
    </row>
    <row r="31" spans="1:36" ht="20.100000000000001" customHeight="1" x14ac:dyDescent="0.2">
      <c r="A31" s="776">
        <f t="shared" si="8"/>
        <v>42</v>
      </c>
      <c r="B31" s="778">
        <v>42275</v>
      </c>
      <c r="C31" s="791">
        <v>1881.77</v>
      </c>
      <c r="D31" s="792">
        <f t="shared" si="4"/>
        <v>-2.5666117824929811E-2</v>
      </c>
      <c r="E31" s="793">
        <f t="shared" si="5"/>
        <v>-0.10495900001902554</v>
      </c>
      <c r="F31" s="794">
        <v>4543.97</v>
      </c>
      <c r="G31" s="792">
        <f t="shared" si="1"/>
        <v>-3.041288808279094E-2</v>
      </c>
      <c r="H31" s="793">
        <f t="shared" si="6"/>
        <v>-0.10757310917768124</v>
      </c>
      <c r="I31" s="782">
        <v>308867.92</v>
      </c>
      <c r="J31" s="783">
        <v>390000</v>
      </c>
      <c r="K31" s="783">
        <f t="shared" si="14"/>
        <v>-11844</v>
      </c>
      <c r="L31" s="792">
        <f t="shared" si="7"/>
        <v>-3.693033922780295E-2</v>
      </c>
      <c r="M31" s="785">
        <f t="shared" si="15"/>
        <v>-81132.080000000016</v>
      </c>
      <c r="N31" s="786">
        <f t="shared" si="16"/>
        <v>-0.20803097435897441</v>
      </c>
      <c r="O31" s="786">
        <f t="shared" si="10"/>
        <v>-1.8091265091575097</v>
      </c>
      <c r="P31" s="785" t="b">
        <f t="shared" si="9"/>
        <v>0</v>
      </c>
      <c r="Q31" s="786">
        <f>COUNTIF(P$2:P31, TRUE)/(COUNTIF(P$2:P31,FALSE) + COUNTIF(P$2:P31, TRUE))</f>
        <v>0.4</v>
      </c>
      <c r="R31" s="787"/>
      <c r="S31" s="787"/>
      <c r="T31" s="787"/>
      <c r="U31" s="787"/>
      <c r="V31" s="786">
        <f>STDEV(D$2:D31)*SQRT(252)</f>
        <v>0.28067725027853285</v>
      </c>
      <c r="W31" s="786">
        <f>STDEV(L$2:L31)*SQRT(252)</f>
        <v>0.36074758156117998</v>
      </c>
      <c r="X31" s="801">
        <f t="shared" si="11"/>
        <v>-3.2520214790768787</v>
      </c>
      <c r="Y31" s="801">
        <f t="shared" si="12"/>
        <v>-5.0149373180224526</v>
      </c>
      <c r="Z31" s="807">
        <f t="shared" si="13"/>
        <v>-0.10307197433994887</v>
      </c>
      <c r="AA31" s="774"/>
      <c r="AB31" s="775"/>
      <c r="AC31" s="775"/>
      <c r="AD31" s="776"/>
      <c r="AE31" s="776"/>
      <c r="AF31" s="776"/>
      <c r="AG31" s="776"/>
    </row>
    <row r="32" spans="1:36" ht="20.100000000000001" customHeight="1" x14ac:dyDescent="0.2">
      <c r="A32" s="776">
        <f t="shared" si="8"/>
        <v>43</v>
      </c>
      <c r="B32" s="778">
        <v>42276</v>
      </c>
      <c r="C32" s="791">
        <v>1884.09</v>
      </c>
      <c r="D32" s="792">
        <f t="shared" si="4"/>
        <v>1.2328818080849075E-3</v>
      </c>
      <c r="E32" s="793">
        <f t="shared" si="5"/>
        <v>-0.10385552025265887</v>
      </c>
      <c r="F32" s="794">
        <v>4517.32</v>
      </c>
      <c r="G32" s="792">
        <f t="shared" si="1"/>
        <v>-5.8649154813963439E-3</v>
      </c>
      <c r="H32" s="793">
        <f t="shared" si="6"/>
        <v>-0.11280711746567947</v>
      </c>
      <c r="I32" s="782">
        <v>312033</v>
      </c>
      <c r="J32" s="783">
        <v>390000</v>
      </c>
      <c r="K32" s="783">
        <f t="shared" si="14"/>
        <v>3165.0800000000163</v>
      </c>
      <c r="L32" s="792">
        <f t="shared" si="7"/>
        <v>1.0247357511262472E-2</v>
      </c>
      <c r="M32" s="785">
        <f t="shared" si="15"/>
        <v>-77967</v>
      </c>
      <c r="N32" s="786">
        <f t="shared" si="16"/>
        <v>-0.19991538461538461</v>
      </c>
      <c r="O32" s="786">
        <f t="shared" si="10"/>
        <v>-1.6981184704830052</v>
      </c>
      <c r="P32" s="785" t="b">
        <f t="shared" si="9"/>
        <v>1</v>
      </c>
      <c r="Q32" s="786">
        <f>COUNTIF(P$2:P32, TRUE)/(COUNTIF(P$2:P32,FALSE) + COUNTIF(P$2:P32, TRUE))</f>
        <v>0.41935483870967744</v>
      </c>
      <c r="R32" s="787"/>
      <c r="S32" s="787"/>
      <c r="T32" s="787"/>
      <c r="U32" s="787"/>
      <c r="V32" s="786">
        <f>STDEV(D$2:D32)*SQRT(252)</f>
        <v>0.27616064910345123</v>
      </c>
      <c r="W32" s="786">
        <f>STDEV(L$2:L32)*SQRT(252)</f>
        <v>0.35703191736213136</v>
      </c>
      <c r="X32" s="801">
        <f t="shared" si="11"/>
        <v>-3.1944019318004857</v>
      </c>
      <c r="Y32" s="801">
        <f t="shared" si="12"/>
        <v>-4.7562091451914448</v>
      </c>
      <c r="Z32" s="807">
        <f t="shared" si="13"/>
        <v>-9.6059864362725733E-2</v>
      </c>
      <c r="AA32" s="774"/>
      <c r="AB32" s="775"/>
      <c r="AC32" s="775"/>
      <c r="AD32" s="776"/>
      <c r="AE32" s="776"/>
      <c r="AF32" s="776"/>
      <c r="AG32" s="776"/>
    </row>
    <row r="33" spans="1:33" ht="20.100000000000001" customHeight="1" x14ac:dyDescent="0.2">
      <c r="A33" s="776">
        <f t="shared" si="8"/>
        <v>44</v>
      </c>
      <c r="B33" s="778">
        <v>42277</v>
      </c>
      <c r="C33" s="791">
        <v>1920.03</v>
      </c>
      <c r="D33" s="792">
        <f t="shared" si="4"/>
        <v>1.9075521869974393E-2</v>
      </c>
      <c r="E33" s="793">
        <f t="shared" si="5"/>
        <v>-8.6761096630581652E-2</v>
      </c>
      <c r="F33" s="794">
        <v>4620.16</v>
      </c>
      <c r="G33" s="792">
        <f t="shared" si="1"/>
        <v>2.2765710642593431E-2</v>
      </c>
      <c r="H33" s="793">
        <f t="shared" si="6"/>
        <v>-9.2609541017734748E-2</v>
      </c>
      <c r="I33" s="809">
        <v>320653.48</v>
      </c>
      <c r="J33" s="783">
        <v>390000</v>
      </c>
      <c r="K33" s="783">
        <f t="shared" si="14"/>
        <v>8620.4799999999814</v>
      </c>
      <c r="L33" s="792">
        <f t="shared" si="7"/>
        <v>2.762682152208254E-2</v>
      </c>
      <c r="M33" s="785">
        <f t="shared" si="15"/>
        <v>-69346.520000000019</v>
      </c>
      <c r="N33" s="786">
        <f t="shared" si="16"/>
        <v>-0.17781158974358979</v>
      </c>
      <c r="O33" s="786">
        <f t="shared" si="10"/>
        <v>-1.476038253496504</v>
      </c>
      <c r="P33" s="785" t="b">
        <f t="shared" si="9"/>
        <v>1</v>
      </c>
      <c r="Q33" s="786">
        <f>COUNTIF(P$2:P33, TRUE)/(COUNTIF(P$2:P33,FALSE) + COUNTIF(P$2:P33, TRUE))</f>
        <v>0.4375</v>
      </c>
      <c r="R33" s="787"/>
      <c r="S33" s="787"/>
      <c r="T33" s="787"/>
      <c r="U33" s="787"/>
      <c r="V33" s="786">
        <f>STDEV(D$2:D33)*SQRT(252)</f>
        <v>0.27904525871697899</v>
      </c>
      <c r="W33" s="786">
        <f>STDEV(L$2:L33)*SQRT(252)</f>
        <v>0.36241608593546876</v>
      </c>
      <c r="X33" s="801">
        <f t="shared" si="11"/>
        <v>-2.5809995751247179</v>
      </c>
      <c r="Y33" s="801">
        <f t="shared" si="12"/>
        <v>-4.0727724589998608</v>
      </c>
      <c r="Z33" s="807">
        <f t="shared" si="13"/>
        <v>-9.1050493113008141E-2</v>
      </c>
      <c r="AA33" s="774"/>
      <c r="AB33" s="775"/>
      <c r="AC33" s="775"/>
      <c r="AD33" s="776"/>
      <c r="AE33" s="776"/>
      <c r="AF33" s="776"/>
      <c r="AG33" s="776"/>
    </row>
    <row r="34" spans="1:33" ht="20.100000000000001" customHeight="1" x14ac:dyDescent="0.2">
      <c r="A34" s="776">
        <f t="shared" si="8"/>
        <v>45</v>
      </c>
      <c r="B34" s="778">
        <v>42278</v>
      </c>
      <c r="C34" s="791">
        <v>1923.82</v>
      </c>
      <c r="D34" s="792">
        <f t="shared" si="4"/>
        <v>1.9739274907162718E-3</v>
      </c>
      <c r="E34" s="793">
        <f t="shared" si="5"/>
        <v>-8.4958429253629175E-2</v>
      </c>
      <c r="F34" s="794">
        <v>4627.08</v>
      </c>
      <c r="G34" s="792">
        <f t="shared" si="1"/>
        <v>1.497783626541088E-3</v>
      </c>
      <c r="H34" s="793">
        <f t="shared" si="6"/>
        <v>-9.1250466445391504E-2</v>
      </c>
      <c r="I34" s="782">
        <v>321963.56</v>
      </c>
      <c r="J34" s="783">
        <v>390000</v>
      </c>
      <c r="K34" s="783">
        <f t="shared" si="14"/>
        <v>1310.0800000000163</v>
      </c>
      <c r="L34" s="792">
        <f t="shared" si="7"/>
        <v>4.0856565785595605E-3</v>
      </c>
      <c r="M34" s="785">
        <f t="shared" si="15"/>
        <v>-68036.44</v>
      </c>
      <c r="N34" s="786">
        <f t="shared" si="16"/>
        <v>-0.17445241025641026</v>
      </c>
      <c r="O34" s="786">
        <f t="shared" si="10"/>
        <v>-1.4159720632478634</v>
      </c>
      <c r="P34" s="785" t="b">
        <f t="shared" si="9"/>
        <v>1</v>
      </c>
      <c r="Q34" s="786">
        <f>COUNTIF(P$2:P34, TRUE)/(COUNTIF(P$2:P34,FALSE) + COUNTIF(P$2:P34, TRUE))</f>
        <v>0.45454545454545453</v>
      </c>
      <c r="R34" s="787"/>
      <c r="S34" s="787"/>
      <c r="T34" s="787"/>
      <c r="U34" s="787"/>
      <c r="V34" s="786">
        <f>STDEV(D$2:D34)*SQRT(252)</f>
        <v>0.27483074679675301</v>
      </c>
      <c r="W34" s="786">
        <f>STDEV(L$2:L34)*SQRT(252)</f>
        <v>0.35707118458821713</v>
      </c>
      <c r="X34" s="801">
        <f t="shared" si="11"/>
        <v>-2.5091051813255021</v>
      </c>
      <c r="Y34" s="801">
        <f t="shared" si="12"/>
        <v>-3.9655175896671575</v>
      </c>
      <c r="Z34" s="807">
        <f t="shared" si="13"/>
        <v>-8.9493981002781081E-2</v>
      </c>
    </row>
    <row r="35" spans="1:33" ht="20.100000000000001" customHeight="1" x14ac:dyDescent="0.2">
      <c r="A35" s="776">
        <f t="shared" si="8"/>
        <v>46</v>
      </c>
      <c r="B35" s="778">
        <v>42279</v>
      </c>
      <c r="C35" s="791">
        <v>1951.36</v>
      </c>
      <c r="D35" s="792">
        <f t="shared" si="4"/>
        <v>1.4315268580220584E-2</v>
      </c>
      <c r="E35" s="793">
        <f t="shared" si="5"/>
        <v>-7.1859363406327953E-2</v>
      </c>
      <c r="F35" s="794">
        <v>4707.78</v>
      </c>
      <c r="G35" s="792">
        <f t="shared" si="1"/>
        <v>1.7440805000129633E-2</v>
      </c>
      <c r="H35" s="793">
        <f t="shared" si="6"/>
        <v>-7.5401143036706808E-2</v>
      </c>
      <c r="I35" s="782">
        <v>336327.01</v>
      </c>
      <c r="J35" s="783">
        <v>390000</v>
      </c>
      <c r="K35" s="783">
        <f t="shared" si="14"/>
        <v>14363.450000000012</v>
      </c>
      <c r="L35" s="792">
        <f t="shared" si="7"/>
        <v>4.4612036219254164E-2</v>
      </c>
      <c r="M35" s="785">
        <f t="shared" si="15"/>
        <v>-53672.989999999991</v>
      </c>
      <c r="N35" s="786">
        <f t="shared" si="16"/>
        <v>-0.13762305128205127</v>
      </c>
      <c r="O35" s="786">
        <f t="shared" si="10"/>
        <v>-1.0927569452341137</v>
      </c>
      <c r="P35" s="785" t="b">
        <f t="shared" si="9"/>
        <v>1</v>
      </c>
      <c r="Q35" s="786">
        <f>COUNTIF(P$2:P35, TRUE)/(COUNTIF(P$2:P35,FALSE) + COUNTIF(P$2:P35, TRUE))</f>
        <v>0.47058823529411764</v>
      </c>
      <c r="R35" s="787"/>
      <c r="S35" s="787"/>
      <c r="T35" s="787"/>
      <c r="U35" s="787"/>
      <c r="V35" s="786">
        <f>STDEV(D$2:D35)*SQRT(252)</f>
        <v>0.27452334333609368</v>
      </c>
      <c r="W35" s="786">
        <f>STDEV(L$2:L35)*SQRT(252)</f>
        <v>0.37502060427916972</v>
      </c>
      <c r="X35" s="801">
        <f t="shared" si="11"/>
        <v>-2.0784351527747336</v>
      </c>
      <c r="Y35" s="801">
        <f t="shared" si="12"/>
        <v>-2.9138584194180774</v>
      </c>
      <c r="Z35" s="807">
        <f t="shared" si="13"/>
        <v>-6.5763687875723315E-2</v>
      </c>
    </row>
    <row r="36" spans="1:33" ht="20.100000000000001" customHeight="1" x14ac:dyDescent="0.2">
      <c r="A36" s="776">
        <f t="shared" si="8"/>
        <v>49</v>
      </c>
      <c r="B36" s="795">
        <v>42282</v>
      </c>
      <c r="C36" s="796">
        <v>1987.05</v>
      </c>
      <c r="D36" s="792">
        <f t="shared" si="4"/>
        <v>1.8289808133814395E-2</v>
      </c>
      <c r="E36" s="797">
        <f t="shared" si="5"/>
        <v>-5.4883849241833343E-2</v>
      </c>
      <c r="F36" s="798">
        <v>4781.26</v>
      </c>
      <c r="G36" s="792">
        <f t="shared" si="1"/>
        <v>1.5608205990934257E-2</v>
      </c>
      <c r="H36" s="797">
        <f t="shared" si="6"/>
        <v>-6.0969813618241372E-2</v>
      </c>
      <c r="I36" s="799">
        <v>348049.53</v>
      </c>
      <c r="J36" s="800">
        <v>390000</v>
      </c>
      <c r="K36" s="800">
        <f t="shared" si="14"/>
        <v>11722.520000000019</v>
      </c>
      <c r="L36" s="792">
        <f t="shared" si="7"/>
        <v>3.4854530416691835E-2</v>
      </c>
      <c r="M36" s="801">
        <f t="shared" si="15"/>
        <v>-41950.469999999972</v>
      </c>
      <c r="N36" s="802">
        <f t="shared" si="16"/>
        <v>-0.10756530769230763</v>
      </c>
      <c r="O36" s="786">
        <f t="shared" si="10"/>
        <v>-0.80180058437990531</v>
      </c>
      <c r="P36" s="801" t="b">
        <f t="shared" si="9"/>
        <v>1</v>
      </c>
      <c r="Q36" s="802">
        <f>COUNTIF(P$2:P36, TRUE)/(COUNTIF(P$2:P36,FALSE) + COUNTIF(P$2:P36, TRUE))</f>
        <v>0.48571428571428571</v>
      </c>
      <c r="R36" s="803"/>
      <c r="S36" s="803"/>
      <c r="T36" s="803"/>
      <c r="U36" s="803"/>
      <c r="V36" s="802">
        <f>STDEV(D$2:D36)*SQRT(252)</f>
        <v>0.27597887919090974</v>
      </c>
      <c r="W36" s="802">
        <f>STDEV(L$2:L36)*SQRT(252)</f>
        <v>0.38219304301343621</v>
      </c>
      <c r="X36" s="801">
        <f t="shared" si="11"/>
        <v>-1.4823913111113354</v>
      </c>
      <c r="Y36" s="801">
        <f t="shared" si="12"/>
        <v>-2.0978942422866593</v>
      </c>
      <c r="Z36" s="807">
        <f t="shared" si="13"/>
        <v>-5.2681458450474283E-2</v>
      </c>
    </row>
    <row r="37" spans="1:33" ht="20.100000000000001" customHeight="1" x14ac:dyDescent="0.2">
      <c r="A37" s="776">
        <f t="shared" si="8"/>
        <v>50</v>
      </c>
      <c r="B37" s="795">
        <v>42283</v>
      </c>
      <c r="C37" s="796">
        <v>1979.92</v>
      </c>
      <c r="D37" s="792">
        <f t="shared" si="4"/>
        <v>-3.5882338139452364E-3</v>
      </c>
      <c r="E37" s="797">
        <f t="shared" si="5"/>
        <v>-5.8275146972089562E-2</v>
      </c>
      <c r="F37" s="798">
        <v>4748.3599999999997</v>
      </c>
      <c r="G37" s="792">
        <f t="shared" si="1"/>
        <v>-6.8810313599345242E-3</v>
      </c>
      <c r="H37" s="797">
        <f t="shared" si="6"/>
        <v>-6.7431309778659423E-2</v>
      </c>
      <c r="I37" s="799">
        <v>349442.62</v>
      </c>
      <c r="J37" s="800">
        <v>390000</v>
      </c>
      <c r="K37" s="800">
        <f t="shared" si="14"/>
        <v>1393.0899999999674</v>
      </c>
      <c r="L37" s="792">
        <f t="shared" si="7"/>
        <v>4.0025625088474254E-3</v>
      </c>
      <c r="M37" s="801">
        <f t="shared" si="15"/>
        <v>-40557.380000000005</v>
      </c>
      <c r="N37" s="802">
        <f t="shared" si="16"/>
        <v>-0.10399328205128207</v>
      </c>
      <c r="O37" s="786">
        <f t="shared" si="10"/>
        <v>-0.75967092538461556</v>
      </c>
      <c r="P37" s="801" t="b">
        <f t="shared" si="9"/>
        <v>1</v>
      </c>
      <c r="Q37" s="802">
        <f>COUNTIF(P$2:P37, TRUE)/(COUNTIF(P$2:P37,FALSE) + COUNTIF(P$2:P37, TRUE))</f>
        <v>0.5</v>
      </c>
      <c r="R37" s="803"/>
      <c r="S37" s="803"/>
      <c r="T37" s="803"/>
      <c r="U37" s="803"/>
      <c r="V37" s="802">
        <f>STDEV(D$2:D37)*SQRT(252)</f>
        <v>0.27194715501453054</v>
      </c>
      <c r="W37" s="802">
        <f>STDEV(L$2:L37)*SQRT(252)</f>
        <v>0.37670306697854899</v>
      </c>
      <c r="X37" s="801">
        <f t="shared" si="11"/>
        <v>-1.5653774668404548</v>
      </c>
      <c r="Y37" s="801">
        <f t="shared" si="12"/>
        <v>-2.0166305824844115</v>
      </c>
      <c r="Z37" s="807">
        <f t="shared" si="13"/>
        <v>-4.5718135079192507E-2</v>
      </c>
    </row>
    <row r="38" spans="1:33" ht="20.100000000000001" customHeight="1" x14ac:dyDescent="0.2">
      <c r="A38" s="776">
        <f t="shared" si="8"/>
        <v>51</v>
      </c>
      <c r="B38" s="795">
        <v>42284</v>
      </c>
      <c r="C38" s="796">
        <v>1995.83</v>
      </c>
      <c r="D38" s="792">
        <f t="shared" si="4"/>
        <v>8.0356782092205013E-3</v>
      </c>
      <c r="E38" s="797">
        <f t="shared" si="5"/>
        <v>-5.0707749091531806E-2</v>
      </c>
      <c r="F38" s="798">
        <v>4791.1499999999996</v>
      </c>
      <c r="G38" s="792">
        <f t="shared" si="1"/>
        <v>9.0115324027664218E-3</v>
      </c>
      <c r="H38" s="797">
        <f t="shared" si="6"/>
        <v>-5.9027436808924368E-2</v>
      </c>
      <c r="I38" s="799">
        <v>351672.29</v>
      </c>
      <c r="J38" s="800">
        <v>390000</v>
      </c>
      <c r="K38" s="800">
        <f t="shared" si="14"/>
        <v>2229.6699999999837</v>
      </c>
      <c r="L38" s="792">
        <f t="shared" si="7"/>
        <v>6.3806469857625942E-3</v>
      </c>
      <c r="M38" s="801">
        <f t="shared" si="15"/>
        <v>-38327.710000000021</v>
      </c>
      <c r="N38" s="802">
        <f t="shared" si="16"/>
        <v>-9.8276179487179538E-2</v>
      </c>
      <c r="O38" s="786">
        <f t="shared" si="10"/>
        <v>-0.70383087368024178</v>
      </c>
      <c r="P38" s="801" t="b">
        <f t="shared" si="9"/>
        <v>0</v>
      </c>
      <c r="Q38" s="802">
        <f>COUNTIF(P$2:P38, TRUE)/(COUNTIF(P$2:P38,FALSE) + COUNTIF(P$2:P38, TRUE))</f>
        <v>0.48648648648648651</v>
      </c>
      <c r="R38" s="803"/>
      <c r="S38" s="803"/>
      <c r="T38" s="803"/>
      <c r="U38" s="803"/>
      <c r="V38" s="802">
        <f>STDEV(D$2:D38)*SQRT(252)</f>
        <v>0.26923649970087526</v>
      </c>
      <c r="W38" s="802">
        <f>STDEV(L$2:L38)*SQRT(252)</f>
        <v>0.37168118749449619</v>
      </c>
      <c r="X38" s="801">
        <f t="shared" si="11"/>
        <v>-1.3488400278637624</v>
      </c>
      <c r="Y38" s="801">
        <f t="shared" si="12"/>
        <v>-1.8936413715872129</v>
      </c>
      <c r="Z38" s="807">
        <f t="shared" si="13"/>
        <v>-4.7568430395647732E-2</v>
      </c>
    </row>
    <row r="39" spans="1:33" ht="20.100000000000001" customHeight="1" x14ac:dyDescent="0.2">
      <c r="A39" s="776">
        <f t="shared" si="8"/>
        <v>52</v>
      </c>
      <c r="B39" s="795">
        <v>42285</v>
      </c>
      <c r="C39" s="796">
        <v>2013.43</v>
      </c>
      <c r="D39" s="792">
        <f t="shared" si="4"/>
        <v>8.8183863355096054E-3</v>
      </c>
      <c r="E39" s="797">
        <f t="shared" si="5"/>
        <v>-4.2336523277715414E-2</v>
      </c>
      <c r="F39" s="798">
        <v>4810.79</v>
      </c>
      <c r="G39" s="792">
        <f t="shared" si="1"/>
        <v>4.0992246120451934E-3</v>
      </c>
      <c r="H39" s="797">
        <f t="shared" si="6"/>
        <v>-5.5170178918632254E-2</v>
      </c>
      <c r="I39" s="799">
        <v>354527.57</v>
      </c>
      <c r="J39" s="800">
        <v>390000</v>
      </c>
      <c r="K39" s="800">
        <f t="shared" si="14"/>
        <v>2855.2800000000279</v>
      </c>
      <c r="L39" s="792">
        <f t="shared" si="7"/>
        <v>8.119149791415264E-3</v>
      </c>
      <c r="M39" s="801">
        <f t="shared" si="15"/>
        <v>-35472.429999999993</v>
      </c>
      <c r="N39" s="802">
        <f t="shared" si="16"/>
        <v>-9.0954948717948694E-2</v>
      </c>
      <c r="O39" s="786">
        <f t="shared" si="10"/>
        <v>-0.63887105806212996</v>
      </c>
      <c r="P39" s="801" t="b">
        <f t="shared" si="9"/>
        <v>0</v>
      </c>
      <c r="Q39" s="802">
        <f>COUNTIF(P$2:P39, TRUE)/(COUNTIF(P$2:P39,FALSE) + COUNTIF(P$2:P39, TRUE))</f>
        <v>0.47368421052631576</v>
      </c>
      <c r="R39" s="803"/>
      <c r="S39" s="803"/>
      <c r="T39" s="803"/>
      <c r="U39" s="803"/>
      <c r="V39" s="802">
        <f>STDEV(D$2:D39)*SQRT(252)</f>
        <v>0.26678199068533232</v>
      </c>
      <c r="W39" s="802">
        <f>STDEV(L$2:L39)*SQRT(252)</f>
        <v>0.36708606132795213</v>
      </c>
      <c r="X39" s="801">
        <f t="shared" si="11"/>
        <v>-1.1146680743575432</v>
      </c>
      <c r="Y39" s="801">
        <f t="shared" si="12"/>
        <v>-1.7403849542828786</v>
      </c>
      <c r="Z39" s="807">
        <f t="shared" si="13"/>
        <v>-4.861842544023328E-2</v>
      </c>
    </row>
    <row r="40" spans="1:33" ht="20.100000000000001" customHeight="1" x14ac:dyDescent="0.2">
      <c r="A40" s="776">
        <f t="shared" si="8"/>
        <v>53</v>
      </c>
      <c r="B40" s="795">
        <v>42286</v>
      </c>
      <c r="C40" s="796">
        <v>2014.89</v>
      </c>
      <c r="D40" s="792">
        <f t="shared" si="4"/>
        <v>7.2513074703368691E-4</v>
      </c>
      <c r="E40" s="797">
        <f t="shared" si="5"/>
        <v>-4.1642092045432906E-2</v>
      </c>
      <c r="F40" s="798">
        <v>4830.47</v>
      </c>
      <c r="G40" s="792">
        <f t="shared" si="1"/>
        <v>4.0908042130295211E-3</v>
      </c>
      <c r="H40" s="797">
        <f t="shared" si="6"/>
        <v>-5.1305065105956671E-2</v>
      </c>
      <c r="I40" s="799">
        <v>351691.92</v>
      </c>
      <c r="J40" s="800">
        <v>390000</v>
      </c>
      <c r="K40" s="800">
        <f t="shared" si="14"/>
        <v>-2835.6500000000233</v>
      </c>
      <c r="L40" s="792">
        <f t="shared" si="7"/>
        <v>-7.9983906470236527E-3</v>
      </c>
      <c r="M40" s="810">
        <f t="shared" si="15"/>
        <v>-38308.080000000016</v>
      </c>
      <c r="N40" s="802">
        <f t="shared" si="16"/>
        <v>-9.8225846153846191E-2</v>
      </c>
      <c r="O40" s="786">
        <f t="shared" si="10"/>
        <v>-0.67692434542815694</v>
      </c>
      <c r="P40" s="810" t="b">
        <f t="shared" si="9"/>
        <v>0</v>
      </c>
      <c r="Q40" s="802">
        <f>COUNTIF(P$2:P40, TRUE)/(COUNTIF(P$2:P40,FALSE) + COUNTIF(P$2:P40, TRUE))</f>
        <v>0.46153846153846156</v>
      </c>
      <c r="R40" s="803"/>
      <c r="S40" s="803"/>
      <c r="T40" s="803"/>
      <c r="U40" s="803"/>
      <c r="V40" s="802">
        <f>STDEV(D$2:D40)*SQRT(252)</f>
        <v>0.26319098013674441</v>
      </c>
      <c r="W40" s="802">
        <f>STDEV(L$2:L40)*SQRT(252)</f>
        <v>0.36271772022566956</v>
      </c>
      <c r="X40" s="801">
        <f t="shared" si="11"/>
        <v>-1.090375019812317</v>
      </c>
      <c r="Y40" s="801">
        <f t="shared" si="12"/>
        <v>-1.8662566168727561</v>
      </c>
      <c r="Z40" s="807">
        <f t="shared" si="13"/>
        <v>-5.6583754108413285E-2</v>
      </c>
    </row>
    <row r="41" spans="1:33" ht="20.100000000000001" customHeight="1" x14ac:dyDescent="0.2">
      <c r="A41" s="776">
        <f t="shared" si="8"/>
        <v>56</v>
      </c>
      <c r="B41" s="778">
        <v>42289</v>
      </c>
      <c r="C41" s="779">
        <v>2017.46</v>
      </c>
      <c r="D41" s="792">
        <f t="shared" si="4"/>
        <v>1.2755038736605652E-3</v>
      </c>
      <c r="E41" s="780">
        <f t="shared" si="5"/>
        <v>-4.0419702821483619E-2</v>
      </c>
      <c r="F41" s="781">
        <v>4838.6400000000003</v>
      </c>
      <c r="G41" s="792">
        <f t="shared" si="1"/>
        <v>1.6913468047622844E-3</v>
      </c>
      <c r="H41" s="793">
        <f t="shared" si="6"/>
        <v>-4.9700492959129462E-2</v>
      </c>
      <c r="I41" s="782">
        <v>348866.78</v>
      </c>
      <c r="J41" s="783">
        <v>390000</v>
      </c>
      <c r="K41" s="783">
        <f t="shared" si="14"/>
        <v>-2825.1399999999558</v>
      </c>
      <c r="L41" s="792">
        <f t="shared" si="7"/>
        <v>-8.0329966068027839E-3</v>
      </c>
      <c r="M41" s="811">
        <f t="shared" si="15"/>
        <v>-41133.219999999972</v>
      </c>
      <c r="N41" s="786">
        <f t="shared" si="16"/>
        <v>-0.10546979487179479</v>
      </c>
      <c r="O41" s="786">
        <f t="shared" si="10"/>
        <v>-0.68790790315934025</v>
      </c>
      <c r="P41" s="811" t="b">
        <f t="shared" si="9"/>
        <v>0</v>
      </c>
      <c r="Q41" s="786">
        <f>COUNTIF(P$2:P41, TRUE)/(COUNTIF(P$2:P41,FALSE) + COUNTIF(P$2:P41, TRUE))</f>
        <v>0.45</v>
      </c>
      <c r="R41" s="787"/>
      <c r="S41" s="787"/>
      <c r="T41" s="787"/>
      <c r="U41" s="787"/>
      <c r="V41" s="786">
        <f>STDEV(D$2:D41)*SQRT(252)</f>
        <v>0.25976838750277326</v>
      </c>
      <c r="W41" s="786">
        <f>STDEV(L$2:L41)*SQRT(252)</f>
        <v>0.35850362464103236</v>
      </c>
      <c r="X41" s="801">
        <f t="shared" si="11"/>
        <v>-1.014866729487002</v>
      </c>
      <c r="Y41" s="801">
        <f t="shared" si="12"/>
        <v>-1.918831096472563</v>
      </c>
      <c r="Z41" s="807">
        <f t="shared" si="13"/>
        <v>-6.5050092050311176E-2</v>
      </c>
    </row>
    <row r="42" spans="1:33" ht="20.100000000000001" customHeight="1" x14ac:dyDescent="0.2">
      <c r="A42" s="776">
        <f t="shared" si="8"/>
        <v>57</v>
      </c>
      <c r="B42" s="778">
        <v>42290</v>
      </c>
      <c r="C42" s="779">
        <v>2003.69</v>
      </c>
      <c r="D42" s="792">
        <f t="shared" si="4"/>
        <v>-6.8254141346048899E-3</v>
      </c>
      <c r="E42" s="780">
        <f t="shared" si="5"/>
        <v>-4.6969235745134223E-2</v>
      </c>
      <c r="F42" s="781">
        <v>4796.6099999999997</v>
      </c>
      <c r="G42" s="792">
        <f t="shared" si="1"/>
        <v>-8.6863250830813317E-3</v>
      </c>
      <c r="H42" s="793">
        <f t="shared" si="6"/>
        <v>-5.7955103403578401E-2</v>
      </c>
      <c r="I42" s="782">
        <v>347508.59</v>
      </c>
      <c r="J42" s="783">
        <v>390000</v>
      </c>
      <c r="K42" s="783">
        <f t="shared" si="14"/>
        <v>-1358.1900000000023</v>
      </c>
      <c r="L42" s="792">
        <f t="shared" si="7"/>
        <v>-3.8931479804411363E-3</v>
      </c>
      <c r="M42" s="811">
        <f t="shared" si="15"/>
        <v>-42491.409999999974</v>
      </c>
      <c r="N42" s="786">
        <f t="shared" si="16"/>
        <v>-0.10895233333333326</v>
      </c>
      <c r="O42" s="786">
        <f t="shared" si="10"/>
        <v>-0.69815508333333287</v>
      </c>
      <c r="P42" s="811" t="b">
        <f t="shared" si="9"/>
        <v>1</v>
      </c>
      <c r="Q42" s="786">
        <f>COUNTIF(P$2:P42, TRUE)/(COUNTIF(P$2:P42,FALSE) + COUNTIF(P$2:P42, TRUE))</f>
        <v>0.46341463414634149</v>
      </c>
      <c r="R42" s="787"/>
      <c r="S42" s="787"/>
      <c r="T42" s="787"/>
      <c r="U42" s="787"/>
      <c r="V42" s="786">
        <f>STDEV(D$2:D42)*SQRT(252)</f>
        <v>0.2568435001245859</v>
      </c>
      <c r="W42" s="786">
        <f>STDEV(L$2:L42)*SQRT(252)</f>
        <v>0.35400225993009587</v>
      </c>
      <c r="X42" s="801">
        <f t="shared" si="11"/>
        <v>-1.1718183188546707</v>
      </c>
      <c r="Y42" s="801">
        <f t="shared" si="12"/>
        <v>-1.9721769105971136</v>
      </c>
      <c r="Z42" s="807">
        <f t="shared" si="13"/>
        <v>-6.1983097588199039E-2</v>
      </c>
    </row>
    <row r="43" spans="1:33" ht="20.100000000000001" customHeight="1" x14ac:dyDescent="0.2">
      <c r="A43" s="776">
        <f t="shared" si="8"/>
        <v>58</v>
      </c>
      <c r="B43" s="778">
        <v>42291</v>
      </c>
      <c r="C43" s="812">
        <v>1994.24</v>
      </c>
      <c r="D43" s="792">
        <f t="shared" si="4"/>
        <v>-4.7162984293977837E-3</v>
      </c>
      <c r="E43" s="780">
        <f t="shared" si="5"/>
        <v>-5.1464013241757214E-2</v>
      </c>
      <c r="F43" s="781">
        <v>4782.8500000000004</v>
      </c>
      <c r="G43" s="792">
        <f t="shared" si="1"/>
        <v>-2.8686926808723888E-3</v>
      </c>
      <c r="H43" s="793">
        <f t="shared" si="6"/>
        <v>-6.0657540703497742E-2</v>
      </c>
      <c r="I43" s="782">
        <v>350349.65</v>
      </c>
      <c r="J43" s="783">
        <v>390000</v>
      </c>
      <c r="K43" s="783">
        <f t="shared" si="14"/>
        <v>2841.0599999999977</v>
      </c>
      <c r="L43" s="792">
        <f t="shared" si="7"/>
        <v>8.1755101363105796E-3</v>
      </c>
      <c r="M43" s="811">
        <f t="shared" si="15"/>
        <v>-39650.349999999977</v>
      </c>
      <c r="N43" s="786">
        <f t="shared" si="16"/>
        <v>-0.10166756410256404</v>
      </c>
      <c r="O43" s="786">
        <f t="shared" si="10"/>
        <v>-0.64024272049071573</v>
      </c>
      <c r="P43" s="811" t="b">
        <f t="shared" si="9"/>
        <v>1</v>
      </c>
      <c r="Q43" s="786">
        <f>COUNTIF(P$2:P43, TRUE)/(COUNTIF(P$2:P43,FALSE) + COUNTIF(P$2:P43, TRUE))</f>
        <v>0.47619047619047616</v>
      </c>
      <c r="R43" s="787"/>
      <c r="S43" s="787"/>
      <c r="T43" s="787"/>
      <c r="U43" s="787"/>
      <c r="V43" s="786">
        <f>STDEV(D$2:D43)*SQRT(252)</f>
        <v>0.25377333453127793</v>
      </c>
      <c r="W43" s="786">
        <f>STDEV(L$2:L43)*SQRT(252)</f>
        <v>0.35017187352757795</v>
      </c>
      <c r="X43" s="801">
        <f t="shared" si="11"/>
        <v>-1.2770852675900659</v>
      </c>
      <c r="Y43" s="801">
        <f t="shared" si="12"/>
        <v>-1.8283670645532104</v>
      </c>
      <c r="Z43" s="807">
        <f t="shared" si="13"/>
        <v>-5.0203550860806828E-2</v>
      </c>
    </row>
    <row r="44" spans="1:33" ht="20.100000000000001" customHeight="1" x14ac:dyDescent="0.2">
      <c r="A44" s="776">
        <f t="shared" si="8"/>
        <v>59</v>
      </c>
      <c r="B44" s="778">
        <v>42292</v>
      </c>
      <c r="C44" s="812">
        <v>2023.86</v>
      </c>
      <c r="D44" s="792">
        <f t="shared" si="4"/>
        <v>1.4852775994865158E-2</v>
      </c>
      <c r="E44" s="780">
        <f>(C44-$C$2)/$C$2</f>
        <v>-3.7375620707368655E-2</v>
      </c>
      <c r="F44" s="781">
        <v>4870.1000000000004</v>
      </c>
      <c r="G44" s="792">
        <f t="shared" si="1"/>
        <v>1.8242261413174154E-2</v>
      </c>
      <c r="H44" s="793">
        <f t="shared" si="6"/>
        <v>-4.3521810004517048E-2</v>
      </c>
      <c r="I44" s="782">
        <v>353686.58</v>
      </c>
      <c r="J44" s="783">
        <v>390000</v>
      </c>
      <c r="K44" s="783">
        <f t="shared" si="14"/>
        <v>3336.929999999993</v>
      </c>
      <c r="L44" s="792">
        <f t="shared" si="7"/>
        <v>9.5245706681881745E-3</v>
      </c>
      <c r="M44" s="811">
        <f t="shared" si="15"/>
        <v>-36313.419999999984</v>
      </c>
      <c r="N44" s="786">
        <f t="shared" si="16"/>
        <v>-9.3111333333333296E-2</v>
      </c>
      <c r="O44" s="786">
        <f t="shared" si="10"/>
        <v>-0.57642227966101678</v>
      </c>
      <c r="P44" s="811" t="b">
        <f t="shared" si="9"/>
        <v>0</v>
      </c>
      <c r="Q44" s="786">
        <f>COUNTIF(P$2:P44, TRUE)/(COUNTIF(P$2:P44,FALSE) + COUNTIF(P$2:P44, TRUE))</f>
        <v>0.46511627906976744</v>
      </c>
      <c r="R44" s="787"/>
      <c r="S44" s="787"/>
      <c r="T44" s="787"/>
      <c r="U44" s="787"/>
      <c r="V44" s="786">
        <f>STDEV(D$2:D44)*SQRT(252)</f>
        <v>0.25371078720500778</v>
      </c>
      <c r="W44" s="786">
        <f>STDEV(L$2:L44)*SQRT(252)</f>
        <v>0.34666743153233776</v>
      </c>
      <c r="X44" s="801">
        <f t="shared" si="11"/>
        <v>-0.91198499729346294</v>
      </c>
      <c r="Y44" s="801">
        <f t="shared" si="12"/>
        <v>-1.6627529073415339</v>
      </c>
      <c r="Z44" s="807">
        <f t="shared" si="13"/>
        <v>-5.5735712625964641E-2</v>
      </c>
    </row>
    <row r="45" spans="1:33" ht="20.100000000000001" customHeight="1" x14ac:dyDescent="0.2">
      <c r="A45" s="776">
        <f t="shared" si="8"/>
        <v>60</v>
      </c>
      <c r="B45" s="778">
        <v>42293</v>
      </c>
      <c r="C45" s="812">
        <v>2033.11</v>
      </c>
      <c r="D45" s="792">
        <f t="shared" si="4"/>
        <v>4.5704742422894868E-3</v>
      </c>
      <c r="E45" s="780">
        <f t="shared" ref="E45:E53" si="17">(C45-$C$2)/$C$2</f>
        <v>-3.2975970776811775E-2</v>
      </c>
      <c r="F45" s="781">
        <v>4886.6899999999996</v>
      </c>
      <c r="G45" s="792">
        <f t="shared" si="1"/>
        <v>3.4065008932053211E-3</v>
      </c>
      <c r="H45" s="793">
        <f t="shared" si="6"/>
        <v>-4.0263566195966029E-2</v>
      </c>
      <c r="I45" s="782">
        <v>351968.34</v>
      </c>
      <c r="J45" s="783">
        <v>390000</v>
      </c>
      <c r="K45" s="783">
        <f t="shared" si="14"/>
        <v>-1718.2399999999907</v>
      </c>
      <c r="L45" s="792">
        <f t="shared" si="7"/>
        <v>-4.8580865013311799E-3</v>
      </c>
      <c r="M45" s="811">
        <f t="shared" si="15"/>
        <v>-38031.659999999974</v>
      </c>
      <c r="N45" s="786">
        <f t="shared" si="16"/>
        <v>-9.7517076923076859E-2</v>
      </c>
      <c r="O45" s="786">
        <f t="shared" si="10"/>
        <v>-0.59363520576923046</v>
      </c>
      <c r="P45" s="811" t="b">
        <f t="shared" si="9"/>
        <v>0</v>
      </c>
      <c r="Q45" s="786">
        <f>COUNTIF(P$2:P45, TRUE)/(COUNTIF(P$2:P45,FALSE) + COUNTIF(P$2:P45, TRUE))</f>
        <v>0.45454545454545453</v>
      </c>
      <c r="R45" s="787"/>
      <c r="S45" s="787"/>
      <c r="T45" s="787"/>
      <c r="U45" s="787"/>
      <c r="V45" s="786">
        <f>STDEV(D$2:D45)*SQRT(252)</f>
        <v>0.25100684114352073</v>
      </c>
      <c r="W45" s="786">
        <f>STDEV(L$2:L45)*SQRT(252)</f>
        <v>0.34273345139982825</v>
      </c>
      <c r="X45" s="801">
        <f t="shared" si="11"/>
        <v>-0.79974402765007446</v>
      </c>
      <c r="Y45" s="801">
        <f t="shared" si="12"/>
        <v>-1.7320608868047245</v>
      </c>
      <c r="Z45" s="807">
        <f t="shared" si="13"/>
        <v>-6.4541106146265084E-2</v>
      </c>
    </row>
    <row r="46" spans="1:33" ht="20.100000000000001" customHeight="1" x14ac:dyDescent="0.2">
      <c r="A46" s="776">
        <f t="shared" si="8"/>
        <v>63</v>
      </c>
      <c r="B46" s="813">
        <v>42296</v>
      </c>
      <c r="C46" s="814">
        <v>2033.66</v>
      </c>
      <c r="D46" s="792">
        <f t="shared" si="4"/>
        <v>2.7052151629778119E-4</v>
      </c>
      <c r="E46" s="815">
        <f t="shared" si="17"/>
        <v>-3.2714369970129928E-2</v>
      </c>
      <c r="F46" s="816">
        <v>4905.47</v>
      </c>
      <c r="G46" s="792">
        <f t="shared" si="1"/>
        <v>3.843092154403217E-3</v>
      </c>
      <c r="H46" s="797">
        <f t="shared" si="6"/>
        <v>-3.657521063691882E-2</v>
      </c>
      <c r="I46" s="799">
        <v>353616.79</v>
      </c>
      <c r="J46" s="800">
        <v>390000</v>
      </c>
      <c r="K46" s="800">
        <f t="shared" si="14"/>
        <v>1648.4499999999534</v>
      </c>
      <c r="L46" s="792">
        <f t="shared" si="7"/>
        <v>4.6835178414057167E-3</v>
      </c>
      <c r="M46" s="817">
        <f t="shared" si="15"/>
        <v>-36383.210000000021</v>
      </c>
      <c r="N46" s="802">
        <f t="shared" si="16"/>
        <v>-9.3290282051282106E-2</v>
      </c>
      <c r="O46" s="786">
        <f t="shared" si="10"/>
        <v>-0.5408615161782665</v>
      </c>
      <c r="P46" s="817" t="b">
        <f t="shared" si="9"/>
        <v>1</v>
      </c>
      <c r="Q46" s="802">
        <f>COUNTIF(P$2:P46, TRUE)/(COUNTIF(P$2:P46,FALSE) + COUNTIF(P$2:P46, TRUE))</f>
        <v>0.46666666666666667</v>
      </c>
      <c r="R46" s="803"/>
      <c r="S46" s="803"/>
      <c r="T46" s="803"/>
      <c r="U46" s="803"/>
      <c r="V46" s="802">
        <f>STDEV(D$2:D46)*SQRT(252)</f>
        <v>0.24808092074482793</v>
      </c>
      <c r="W46" s="802">
        <f>STDEV(L$2:L46)*SQRT(252)</f>
        <v>0.33890448472804552</v>
      </c>
      <c r="X46" s="801">
        <f t="shared" si="11"/>
        <v>-0.76453059711419202</v>
      </c>
      <c r="Y46" s="801">
        <f t="shared" si="12"/>
        <v>-1.5959113571845522</v>
      </c>
      <c r="Z46" s="807">
        <f t="shared" si="13"/>
        <v>-6.0575912081152178E-2</v>
      </c>
    </row>
    <row r="47" spans="1:33" ht="20.100000000000001" customHeight="1" x14ac:dyDescent="0.2">
      <c r="A47" s="776">
        <f t="shared" si="8"/>
        <v>64</v>
      </c>
      <c r="B47" s="813">
        <v>42297</v>
      </c>
      <c r="C47" s="814">
        <v>2030.77</v>
      </c>
      <c r="D47" s="792">
        <f t="shared" si="4"/>
        <v>-1.4210831702448296E-3</v>
      </c>
      <c r="E47" s="815">
        <f t="shared" si="17"/>
        <v>-3.4088963299785044E-2</v>
      </c>
      <c r="F47" s="816">
        <v>4880.97</v>
      </c>
      <c r="G47" s="792">
        <f t="shared" si="1"/>
        <v>-4.9944245913235629E-3</v>
      </c>
      <c r="H47" s="797">
        <f t="shared" si="6"/>
        <v>-4.1386963096804522E-2</v>
      </c>
      <c r="I47" s="799">
        <v>352193</v>
      </c>
      <c r="J47" s="800">
        <v>395000</v>
      </c>
      <c r="K47" s="800">
        <f t="shared" si="14"/>
        <v>-6423.789999999979</v>
      </c>
      <c r="L47" s="792">
        <f t="shared" si="7"/>
        <v>-1.8165964348016334E-2</v>
      </c>
      <c r="M47" s="817">
        <f t="shared" si="15"/>
        <v>-42807</v>
      </c>
      <c r="N47" s="802">
        <f t="shared" si="16"/>
        <v>-0.10837215189873417</v>
      </c>
      <c r="O47" s="786">
        <f t="shared" si="10"/>
        <v>-0.61848325751582278</v>
      </c>
      <c r="P47" s="817" t="b">
        <f t="shared" si="9"/>
        <v>0</v>
      </c>
      <c r="Q47" s="802">
        <f>COUNTIF(P$2:P47, TRUE)/(COUNTIF(P$2:P47,FALSE) + COUNTIF(P$2:P47, TRUE))</f>
        <v>0.45652173913043476</v>
      </c>
      <c r="R47" s="803"/>
      <c r="S47" s="803"/>
      <c r="T47" s="803"/>
      <c r="U47" s="803"/>
      <c r="V47" s="802">
        <f>STDEV(D$2:D47)*SQRT(252)</f>
        <v>0.24525265348900513</v>
      </c>
      <c r="W47" s="802">
        <f>STDEV(L$2:L47)*SQRT(252)</f>
        <v>0.33783134123152347</v>
      </c>
      <c r="X47" s="801">
        <f t="shared" si="11"/>
        <v>-0.79325045443676745</v>
      </c>
      <c r="Y47" s="801">
        <f t="shared" si="12"/>
        <v>-1.8307456474026849</v>
      </c>
      <c r="Z47" s="807">
        <f t="shared" si="13"/>
        <v>-7.4283188598949126E-2</v>
      </c>
    </row>
    <row r="48" spans="1:33" ht="20.100000000000001" customHeight="1" x14ac:dyDescent="0.2">
      <c r="A48" s="776">
        <f t="shared" si="8"/>
        <v>65</v>
      </c>
      <c r="B48" s="813">
        <v>42298</v>
      </c>
      <c r="C48" s="814">
        <v>2018.94</v>
      </c>
      <c r="D48" s="792">
        <f t="shared" si="4"/>
        <v>-5.8253765812967141E-3</v>
      </c>
      <c r="E48" s="815">
        <f t="shared" si="17"/>
        <v>-3.9715758832594511E-2</v>
      </c>
      <c r="F48" s="816">
        <v>4840.12</v>
      </c>
      <c r="G48" s="792">
        <f t="shared" si="1"/>
        <v>-8.3692380817748033E-3</v>
      </c>
      <c r="H48" s="797">
        <f t="shared" si="6"/>
        <v>-4.9409823830940537E-2</v>
      </c>
      <c r="I48" s="799">
        <v>350311.35</v>
      </c>
      <c r="J48" s="800">
        <v>400000</v>
      </c>
      <c r="K48" s="800">
        <f t="shared" si="14"/>
        <v>-6881.6500000000233</v>
      </c>
      <c r="L48" s="792">
        <f t="shared" si="7"/>
        <v>-1.9539428665532883E-2</v>
      </c>
      <c r="M48" s="817">
        <f t="shared" si="15"/>
        <v>-49688.650000000023</v>
      </c>
      <c r="N48" s="802">
        <f t="shared" si="16"/>
        <v>-0.12422162500000006</v>
      </c>
      <c r="O48" s="786">
        <f t="shared" si="10"/>
        <v>-0.69802997740384654</v>
      </c>
      <c r="P48" s="817" t="b">
        <f t="shared" si="9"/>
        <v>0</v>
      </c>
      <c r="Q48" s="802">
        <f>COUNTIF(P$2:P48, TRUE)/(COUNTIF(P$2:P48,FALSE) + COUNTIF(P$2:P48, TRUE))</f>
        <v>0.44680851063829785</v>
      </c>
      <c r="R48" s="803"/>
      <c r="S48" s="803"/>
      <c r="T48" s="803"/>
      <c r="U48" s="803"/>
      <c r="V48" s="802">
        <f>STDEV(D$2:D48)*SQRT(252)</f>
        <v>0.24281424638505256</v>
      </c>
      <c r="W48" s="802">
        <f>STDEV(L$2:L48)*SQRT(252)</f>
        <v>0.33709966873657005</v>
      </c>
      <c r="X48" s="801">
        <f t="shared" si="11"/>
        <v>-0.91910593129515017</v>
      </c>
      <c r="Y48" s="801">
        <f t="shared" si="12"/>
        <v>-2.0706931573680341</v>
      </c>
      <c r="Z48" s="807">
        <f t="shared" si="13"/>
        <v>-8.4505866167405547E-2</v>
      </c>
    </row>
    <row r="49" spans="1:27" ht="20.100000000000001" customHeight="1" x14ac:dyDescent="0.2">
      <c r="A49" s="776">
        <f t="shared" si="8"/>
        <v>66</v>
      </c>
      <c r="B49" s="813">
        <v>42299</v>
      </c>
      <c r="C49" s="814">
        <v>2052.5100000000002</v>
      </c>
      <c r="D49" s="792">
        <f t="shared" si="4"/>
        <v>1.6627537222502979E-2</v>
      </c>
      <c r="E49" s="815">
        <f t="shared" si="17"/>
        <v>-2.3748596868400446E-2</v>
      </c>
      <c r="F49" s="816">
        <v>4920.05</v>
      </c>
      <c r="G49" s="792">
        <f t="shared" si="1"/>
        <v>1.6514053370577649E-2</v>
      </c>
      <c r="H49" s="797">
        <f t="shared" si="6"/>
        <v>-3.3711726928137876E-2</v>
      </c>
      <c r="I49" s="799">
        <v>353557.89</v>
      </c>
      <c r="J49" s="800">
        <v>400000</v>
      </c>
      <c r="K49" s="800">
        <f t="shared" si="14"/>
        <v>3246.5400000000373</v>
      </c>
      <c r="L49" s="792">
        <f t="shared" si="7"/>
        <v>9.2675843931406664E-3</v>
      </c>
      <c r="M49" s="817">
        <f t="shared" si="15"/>
        <v>-46442.109999999986</v>
      </c>
      <c r="N49" s="802">
        <f t="shared" si="16"/>
        <v>-0.11610527499999997</v>
      </c>
      <c r="O49" s="786">
        <f t="shared" si="10"/>
        <v>-0.64253714687499974</v>
      </c>
      <c r="P49" s="817" t="b">
        <f t="shared" si="9"/>
        <v>0</v>
      </c>
      <c r="Q49" s="802">
        <f>COUNTIF(P$2:P49, TRUE)/(COUNTIF(P$2:P49,FALSE) + COUNTIF(P$2:P49, TRUE))</f>
        <v>0.4375</v>
      </c>
      <c r="R49" s="803"/>
      <c r="S49" s="803"/>
      <c r="T49" s="803"/>
      <c r="U49" s="803"/>
      <c r="V49" s="802">
        <f>STDEV(D$2:D49)*SQRT(252)</f>
        <v>0.24351413133026822</v>
      </c>
      <c r="W49" s="802">
        <f>STDEV(L$2:L49)*SQRT(252)</f>
        <v>0.33420544036824928</v>
      </c>
      <c r="X49" s="801">
        <f t="shared" si="11"/>
        <v>-0.53970951630248853</v>
      </c>
      <c r="Y49" s="801">
        <f t="shared" si="12"/>
        <v>-1.9225813504621905</v>
      </c>
      <c r="Z49" s="807">
        <f t="shared" si="13"/>
        <v>-9.2356678131599521E-2</v>
      </c>
    </row>
    <row r="50" spans="1:27" ht="20.100000000000001" customHeight="1" x14ac:dyDescent="0.2">
      <c r="A50" s="776">
        <f t="shared" si="8"/>
        <v>67</v>
      </c>
      <c r="B50" s="813">
        <v>42300</v>
      </c>
      <c r="C50" s="814">
        <v>2075.15</v>
      </c>
      <c r="D50" s="792">
        <f t="shared" si="4"/>
        <v>1.103039692863853E-2</v>
      </c>
      <c r="E50" s="815">
        <f t="shared" si="17"/>
        <v>-1.2980156389718596E-2</v>
      </c>
      <c r="F50" s="816">
        <v>5031.8599999999997</v>
      </c>
      <c r="G50" s="792">
        <f t="shared" si="1"/>
        <v>2.2725378807125839E-2</v>
      </c>
      <c r="H50" s="797">
        <f t="shared" si="6"/>
        <v>-1.1752459885696358E-2</v>
      </c>
      <c r="I50" s="799">
        <v>354948.58</v>
      </c>
      <c r="J50" s="800">
        <v>400000</v>
      </c>
      <c r="K50" s="800">
        <f t="shared" ref="K50:K55" si="18">I50-I49-J50+J49</f>
        <v>1390.6900000000023</v>
      </c>
      <c r="L50" s="792">
        <f t="shared" si="7"/>
        <v>3.93341526051081E-3</v>
      </c>
      <c r="M50" s="817">
        <f t="shared" si="15"/>
        <v>-45051.419999999984</v>
      </c>
      <c r="N50" s="802">
        <f t="shared" si="16"/>
        <v>-0.11262854999999997</v>
      </c>
      <c r="O50" s="786">
        <f t="shared" si="10"/>
        <v>-0.61399369981343266</v>
      </c>
      <c r="P50" s="817" t="b">
        <f t="shared" si="9"/>
        <v>0</v>
      </c>
      <c r="Q50" s="802">
        <f>COUNTIF(P$2:P50, TRUE)/(COUNTIF(P$2:P50,FALSE) + COUNTIF(P$2:P50, TRUE))</f>
        <v>0.42857142857142855</v>
      </c>
      <c r="R50" s="803"/>
      <c r="S50" s="803"/>
      <c r="T50" s="803"/>
      <c r="U50" s="803"/>
      <c r="V50" s="802">
        <f>STDEV(D$2:D50)*SQRT(252)</f>
        <v>0.2423280462112376</v>
      </c>
      <c r="W50" s="802">
        <f>STDEV(L$2:L50)*SQRT(252)</f>
        <v>0.33078274353135961</v>
      </c>
      <c r="X50" s="801">
        <f t="shared" si="11"/>
        <v>-0.29200592666863479</v>
      </c>
      <c r="Y50" s="801">
        <f t="shared" si="12"/>
        <v>-1.8561841928589706</v>
      </c>
      <c r="Z50" s="807">
        <f t="shared" si="13"/>
        <v>-9.9648393610281369E-2</v>
      </c>
    </row>
    <row r="51" spans="1:27" ht="20.100000000000001" customHeight="1" x14ac:dyDescent="0.2">
      <c r="A51" s="776">
        <f t="shared" si="8"/>
        <v>70</v>
      </c>
      <c r="B51" s="778">
        <v>42303</v>
      </c>
      <c r="C51" s="779">
        <v>2071.1799999999998</v>
      </c>
      <c r="D51" s="792">
        <f t="shared" si="4"/>
        <v>-1.9131147145990672E-3</v>
      </c>
      <c r="E51" s="780">
        <f t="shared" si="17"/>
        <v>-1.4868438576130695E-2</v>
      </c>
      <c r="F51" s="781">
        <v>5034.7</v>
      </c>
      <c r="G51" s="792">
        <f t="shared" si="1"/>
        <v>5.644036201325446E-4</v>
      </c>
      <c r="H51" s="793">
        <f t="shared" si="6"/>
        <v>-1.1194689396468763E-2</v>
      </c>
      <c r="I51" s="782">
        <v>346950.72</v>
      </c>
      <c r="J51" s="783">
        <v>400000</v>
      </c>
      <c r="K51" s="783">
        <f t="shared" si="18"/>
        <v>-7997.8600000000442</v>
      </c>
      <c r="L51" s="792">
        <f t="shared" si="7"/>
        <v>-2.2532446812437011E-2</v>
      </c>
      <c r="M51" s="811">
        <f t="shared" si="15"/>
        <v>-53049.280000000028</v>
      </c>
      <c r="N51" s="786">
        <f t="shared" si="16"/>
        <v>-0.13262320000000008</v>
      </c>
      <c r="O51" s="786">
        <f t="shared" si="10"/>
        <v>-0.6920089114285719</v>
      </c>
      <c r="P51" s="811" t="b">
        <f t="shared" si="9"/>
        <v>0</v>
      </c>
      <c r="Q51" s="786">
        <f>COUNTIF(P$2:P51, TRUE)/(COUNTIF(P$2:P51,FALSE) + COUNTIF(P$2:P51, TRUE))</f>
        <v>0.42</v>
      </c>
      <c r="R51" s="787"/>
      <c r="S51" s="787"/>
      <c r="T51" s="787"/>
      <c r="U51" s="787"/>
      <c r="V51" s="786">
        <f>STDEV(D$2:D51)*SQRT(252)</f>
        <v>0.23982354896201158</v>
      </c>
      <c r="W51" s="786">
        <f>STDEV(L$2:L51)*SQRT(252)</f>
        <v>0.33116253966336157</v>
      </c>
      <c r="X51" s="801">
        <f t="shared" si="11"/>
        <v>-0.32349362172054774</v>
      </c>
      <c r="Y51" s="801">
        <f t="shared" si="12"/>
        <v>-2.0896352351084859</v>
      </c>
      <c r="Z51" s="807">
        <f t="shared" si="13"/>
        <v>-0.11775476142386938</v>
      </c>
    </row>
    <row r="52" spans="1:27" ht="20.100000000000001" customHeight="1" x14ac:dyDescent="0.2">
      <c r="A52" s="776">
        <f t="shared" si="8"/>
        <v>71</v>
      </c>
      <c r="B52" s="778">
        <v>42304</v>
      </c>
      <c r="C52" s="779">
        <v>2065.89</v>
      </c>
      <c r="D52" s="792">
        <f t="shared" si="4"/>
        <v>-2.5540995953997063E-3</v>
      </c>
      <c r="E52" s="780">
        <f t="shared" si="17"/>
        <v>-1.7384562698578881E-2</v>
      </c>
      <c r="F52" s="781">
        <v>5030.1499999999996</v>
      </c>
      <c r="G52" s="792">
        <f t="shared" si="1"/>
        <v>-9.0372812680004412E-4</v>
      </c>
      <c r="H52" s="793">
        <f t="shared" si="6"/>
        <v>-1.2088300567590428E-2</v>
      </c>
      <c r="I52" s="782">
        <v>345588.46</v>
      </c>
      <c r="J52" s="783">
        <v>400000</v>
      </c>
      <c r="K52" s="783">
        <f t="shared" si="18"/>
        <v>-1362.2599999999511</v>
      </c>
      <c r="L52" s="792">
        <f t="shared" si="7"/>
        <v>-3.9263789393489401E-3</v>
      </c>
      <c r="M52" s="811">
        <f t="shared" si="15"/>
        <v>-54411.539999999979</v>
      </c>
      <c r="N52" s="786">
        <f t="shared" si="16"/>
        <v>-0.13602884999999995</v>
      </c>
      <c r="O52" s="786">
        <f t="shared" si="10"/>
        <v>-0.69978221778168981</v>
      </c>
      <c r="P52" s="811" t="b">
        <f t="shared" si="9"/>
        <v>0</v>
      </c>
      <c r="Q52" s="786">
        <f>COUNTIF(P$2:P52, TRUE)/(COUNTIF(P$2:P52,FALSE) + COUNTIF(P$2:P52, TRUE))</f>
        <v>0.41176470588235292</v>
      </c>
      <c r="R52" s="787"/>
      <c r="S52" s="787"/>
      <c r="T52" s="787"/>
      <c r="U52" s="787"/>
      <c r="V52" s="786">
        <f>STDEV(D$2:D52)*SQRT(252)</f>
        <v>0.2374229026669446</v>
      </c>
      <c r="W52" s="786">
        <f>STDEV(L$2:L52)*SQRT(252)</f>
        <v>0.32784098915228843</v>
      </c>
      <c r="X52" s="801">
        <f t="shared" si="11"/>
        <v>-0.3766804115980118</v>
      </c>
      <c r="Y52" s="801">
        <f t="shared" si="12"/>
        <v>-2.134517162088684</v>
      </c>
      <c r="Z52" s="807">
        <f t="shared" si="13"/>
        <v>-0.11864428730142107</v>
      </c>
    </row>
    <row r="53" spans="1:27" ht="20.100000000000001" customHeight="1" x14ac:dyDescent="0.2">
      <c r="A53" s="776">
        <f t="shared" si="8"/>
        <v>72</v>
      </c>
      <c r="B53" s="778">
        <v>42305</v>
      </c>
      <c r="C53" s="812">
        <v>2090.31</v>
      </c>
      <c r="D53" s="792">
        <f t="shared" si="4"/>
        <v>1.1820571279206576E-2</v>
      </c>
      <c r="E53" s="780">
        <f t="shared" si="17"/>
        <v>-5.7694868819086909E-3</v>
      </c>
      <c r="F53" s="781">
        <v>5095.6899999999996</v>
      </c>
      <c r="G53" s="792">
        <f t="shared" si="1"/>
        <v>1.3029432521892979E-2</v>
      </c>
      <c r="H53" s="793">
        <f t="shared" si="6"/>
        <v>7.836282577527706E-4</v>
      </c>
      <c r="I53" s="782">
        <v>353348</v>
      </c>
      <c r="J53" s="783">
        <v>400000</v>
      </c>
      <c r="K53" s="783">
        <f t="shared" si="18"/>
        <v>7759.539999999979</v>
      </c>
      <c r="L53" s="792">
        <f t="shared" si="7"/>
        <v>2.2453122421969698E-2</v>
      </c>
      <c r="M53" s="811">
        <f t="shared" si="15"/>
        <v>-46652</v>
      </c>
      <c r="N53" s="786">
        <f t="shared" si="16"/>
        <v>-0.11663</v>
      </c>
      <c r="O53" s="786">
        <f t="shared" si="10"/>
        <v>-0.59165427083333333</v>
      </c>
      <c r="P53" s="811" t="b">
        <f t="shared" si="9"/>
        <v>1</v>
      </c>
      <c r="Q53" s="786">
        <f>COUNTIF(P$2:P53, TRUE)/(COUNTIF(P$2:P53,FALSE) + COUNTIF(P$2:P53, TRUE))</f>
        <v>0.42307692307692307</v>
      </c>
      <c r="R53" s="787"/>
      <c r="S53" s="787"/>
      <c r="T53" s="787"/>
      <c r="U53" s="787"/>
      <c r="V53" s="786">
        <f>STDEV(D$2:D53)*SQRT(252)</f>
        <v>0.23656092323249167</v>
      </c>
      <c r="W53" s="786">
        <f>STDEV(L$2:L53)*SQRT(252)</f>
        <v>0.32865868284465172</v>
      </c>
      <c r="X53" s="801">
        <f t="shared" si="11"/>
        <v>-0.12372341873465142</v>
      </c>
      <c r="Y53" s="801">
        <f t="shared" si="12"/>
        <v>-1.8002088540986232</v>
      </c>
      <c r="Z53" s="807">
        <f t="shared" si="13"/>
        <v>-0.11086051311809131</v>
      </c>
    </row>
    <row r="54" spans="1:27" ht="20.100000000000001" customHeight="1" x14ac:dyDescent="0.2">
      <c r="A54" s="776">
        <f t="shared" si="8"/>
        <v>73</v>
      </c>
      <c r="B54" s="778">
        <v>42306</v>
      </c>
      <c r="C54" s="812">
        <v>2089.41</v>
      </c>
      <c r="D54" s="792">
        <f t="shared" si="4"/>
        <v>-4.3055814687777935E-4</v>
      </c>
      <c r="E54" s="780">
        <f>(C54-$C$2)/$C$2</f>
        <v>-6.1975609292061603E-3</v>
      </c>
      <c r="F54" s="781">
        <v>5074.2700000000004</v>
      </c>
      <c r="G54" s="792">
        <f t="shared" si="1"/>
        <v>-4.203552413902566E-3</v>
      </c>
      <c r="H54" s="793">
        <f t="shared" si="6"/>
        <v>-3.4232181786042742E-3</v>
      </c>
      <c r="I54" s="782">
        <v>349127.55</v>
      </c>
      <c r="J54" s="783">
        <v>400000</v>
      </c>
      <c r="K54" s="783">
        <f t="shared" si="18"/>
        <v>-4220.4500000000116</v>
      </c>
      <c r="L54" s="792">
        <f t="shared" si="7"/>
        <v>-1.1944174015418261E-2</v>
      </c>
      <c r="M54" s="811">
        <f t="shared" si="15"/>
        <v>-50872.450000000012</v>
      </c>
      <c r="N54" s="786">
        <f t="shared" si="16"/>
        <v>-0.12718112500000003</v>
      </c>
      <c r="O54" s="786">
        <f t="shared" si="10"/>
        <v>-0.63634117679794533</v>
      </c>
      <c r="P54" s="811" t="b">
        <f t="shared" si="9"/>
        <v>0</v>
      </c>
      <c r="Q54" s="786">
        <f>COUNTIF(P$2:P54, TRUE)/(COUNTIF(P$2:P54,FALSE) + COUNTIF(P$2:P54, TRUE))</f>
        <v>0.41509433962264153</v>
      </c>
      <c r="R54" s="787"/>
      <c r="S54" s="787"/>
      <c r="T54" s="787"/>
      <c r="U54" s="787"/>
      <c r="V54" s="786">
        <f>STDEV(D$2:D54)*SQRT(252)</f>
        <v>0.23423209631374151</v>
      </c>
      <c r="W54" s="786">
        <f>STDEV(L$2:L54)*SQRT(252)</f>
        <v>0.32641026079746971</v>
      </c>
      <c r="X54" s="801">
        <f t="shared" si="11"/>
        <v>-0.13238590977824835</v>
      </c>
      <c r="Y54" s="801">
        <f t="shared" si="12"/>
        <v>-1.949513398393995</v>
      </c>
      <c r="Z54" s="807">
        <f t="shared" si="13"/>
        <v>-0.12098356407079387</v>
      </c>
    </row>
    <row r="55" spans="1:27" ht="20.100000000000001" customHeight="1" x14ac:dyDescent="0.2">
      <c r="A55" s="776">
        <f t="shared" si="8"/>
        <v>74</v>
      </c>
      <c r="B55" s="778">
        <v>42307</v>
      </c>
      <c r="C55" s="812">
        <v>2079.36</v>
      </c>
      <c r="D55" s="792">
        <f t="shared" si="4"/>
        <v>-4.8099702786909837E-3</v>
      </c>
      <c r="E55" s="780">
        <f>(C55-$C$2)/$C$2</f>
        <v>-1.0977721124027286E-2</v>
      </c>
      <c r="F55" s="781">
        <v>5053.75</v>
      </c>
      <c r="G55" s="792">
        <f t="shared" si="1"/>
        <v>-4.0439314423553405E-3</v>
      </c>
      <c r="H55" s="793">
        <f t="shared" si="6"/>
        <v>-7.4533063613331143E-3</v>
      </c>
      <c r="I55" s="809">
        <v>351138.5</v>
      </c>
      <c r="J55" s="783">
        <v>400000</v>
      </c>
      <c r="K55" s="783">
        <f t="shared" si="18"/>
        <v>2010.9500000000116</v>
      </c>
      <c r="L55" s="792">
        <f t="shared" si="7"/>
        <v>5.759929286588846E-3</v>
      </c>
      <c r="M55" s="811">
        <f t="shared" si="15"/>
        <v>-48861.5</v>
      </c>
      <c r="N55" s="786">
        <f t="shared" si="16"/>
        <v>-0.12215375000000001</v>
      </c>
      <c r="O55" s="786">
        <f t="shared" si="10"/>
        <v>-0.60292779983108113</v>
      </c>
      <c r="P55" s="811" t="b">
        <f t="shared" si="9"/>
        <v>1</v>
      </c>
      <c r="Q55" s="786">
        <f>COUNTIF(P$2:P55, TRUE)/(COUNTIF(P$2:P55,FALSE) + COUNTIF(P$2:P55, TRUE))</f>
        <v>0.42592592592592593</v>
      </c>
      <c r="R55" s="787"/>
      <c r="S55" s="787"/>
      <c r="T55" s="787"/>
      <c r="U55" s="787"/>
      <c r="V55" s="786">
        <f>STDEV(D$2:D55)*SQRT(252)</f>
        <v>0.23220468856265722</v>
      </c>
      <c r="W55" s="786">
        <f>STDEV(L$2:L55)*SQRT(252)</f>
        <v>0.32355647040832186</v>
      </c>
      <c r="X55" s="801">
        <f t="shared" si="11"/>
        <v>-0.23334565265429297</v>
      </c>
      <c r="Y55" s="801">
        <f t="shared" si="12"/>
        <v>-1.8634391674201358</v>
      </c>
      <c r="Z55" s="807">
        <f t="shared" si="13"/>
        <v>-0.11117602887597272</v>
      </c>
    </row>
    <row r="56" spans="1:27" ht="20.100000000000001" customHeight="1" x14ac:dyDescent="0.2">
      <c r="A56" s="776">
        <f t="shared" si="8"/>
        <v>77</v>
      </c>
      <c r="B56" s="795">
        <v>42310</v>
      </c>
      <c r="C56" s="818">
        <v>2104.0500000000002</v>
      </c>
      <c r="D56" s="792">
        <f t="shared" si="4"/>
        <v>1.187384579870732E-2</v>
      </c>
      <c r="E56" s="819">
        <f t="shared" ref="E56:E62" si="19">(C56-$C$2)/$C$2</f>
        <v>7.6577690683212233E-4</v>
      </c>
      <c r="F56" s="816">
        <v>5053.75</v>
      </c>
      <c r="G56" s="792">
        <f t="shared" si="1"/>
        <v>0</v>
      </c>
      <c r="H56" s="797">
        <f t="shared" si="6"/>
        <v>-7.4533063613331143E-3</v>
      </c>
      <c r="I56" s="799">
        <v>356948.81</v>
      </c>
      <c r="J56" s="800">
        <v>400000</v>
      </c>
      <c r="K56" s="800">
        <f t="shared" ref="K56:K87" si="20">I56-I55-J56+J55</f>
        <v>5810.3099999999977</v>
      </c>
      <c r="L56" s="792">
        <f t="shared" si="7"/>
        <v>1.6547060490376297E-2</v>
      </c>
      <c r="M56" s="817">
        <f t="shared" si="15"/>
        <v>-43051.19</v>
      </c>
      <c r="N56" s="802">
        <f t="shared" si="16"/>
        <v>-0.107627975</v>
      </c>
      <c r="O56" s="786">
        <f t="shared" si="10"/>
        <v>-0.51053399829545454</v>
      </c>
      <c r="P56" s="817" t="b">
        <f t="shared" si="9"/>
        <v>1</v>
      </c>
      <c r="Q56" s="802">
        <f>COUNTIF(P$2:P56, TRUE)/(COUNTIF(P$2:P56,FALSE) + COUNTIF(P$2:P56, TRUE))</f>
        <v>0.43636363636363634</v>
      </c>
      <c r="R56" s="803"/>
      <c r="S56" s="803"/>
      <c r="T56" s="803"/>
      <c r="U56" s="803"/>
      <c r="V56" s="802">
        <f>STDEV(D$2:D56)*SQRT(252)</f>
        <v>0.23145429539624826</v>
      </c>
      <c r="W56" s="802">
        <f>STDEV(L$2:L56)*SQRT(252)</f>
        <v>0.32260027221647702</v>
      </c>
      <c r="X56" s="801">
        <f t="shared" si="11"/>
        <v>1.5694103770754083E-2</v>
      </c>
      <c r="Y56" s="801">
        <f t="shared" si="12"/>
        <v>-1.5825591056937076</v>
      </c>
      <c r="Z56" s="807">
        <f t="shared" si="13"/>
        <v>-0.10839375190683212</v>
      </c>
    </row>
    <row r="57" spans="1:27" ht="20.100000000000001" customHeight="1" x14ac:dyDescent="0.2">
      <c r="A57" s="776">
        <f t="shared" si="8"/>
        <v>78</v>
      </c>
      <c r="B57" s="795">
        <v>42311</v>
      </c>
      <c r="C57" s="818">
        <v>2109.79</v>
      </c>
      <c r="D57" s="792">
        <f t="shared" si="4"/>
        <v>2.7280720515195844E-3</v>
      </c>
      <c r="E57" s="819">
        <f t="shared" si="19"/>
        <v>3.4959380529289343E-3</v>
      </c>
      <c r="F57" s="816">
        <v>5145.13</v>
      </c>
      <c r="G57" s="792">
        <f t="shared" si="1"/>
        <v>1.8081622557506824E-2</v>
      </c>
      <c r="H57" s="797">
        <f t="shared" si="6"/>
        <v>1.049354832374262E-2</v>
      </c>
      <c r="I57" s="799">
        <v>362269.44</v>
      </c>
      <c r="J57" s="800">
        <v>400000</v>
      </c>
      <c r="K57" s="800">
        <f t="shared" si="20"/>
        <v>5320.6300000000047</v>
      </c>
      <c r="L57" s="792">
        <f t="shared" si="7"/>
        <v>1.4905862832264393E-2</v>
      </c>
      <c r="M57" s="817">
        <f t="shared" si="15"/>
        <v>-37730.559999999998</v>
      </c>
      <c r="N57" s="802">
        <f t="shared" si="16"/>
        <v>-9.4326399999999991E-2</v>
      </c>
      <c r="O57" s="786">
        <f t="shared" si="10"/>
        <v>-0.44170150769230765</v>
      </c>
      <c r="P57" s="817" t="b">
        <f t="shared" si="9"/>
        <v>1</v>
      </c>
      <c r="Q57" s="802">
        <f>COUNTIF(P$2:P57, TRUE)/(COUNTIF(P$2:P57,FALSE) + COUNTIF(P$2:P57, TRUE))</f>
        <v>0.44642857142857145</v>
      </c>
      <c r="R57" s="803"/>
      <c r="S57" s="803"/>
      <c r="T57" s="803"/>
      <c r="U57" s="803"/>
      <c r="V57" s="802">
        <f>STDEV(D$2:D57)*SQRT(252)</f>
        <v>0.22936919812964679</v>
      </c>
      <c r="W57" s="802">
        <f>STDEV(L$2:L57)*SQRT(252)</f>
        <v>0.32122906847311467</v>
      </c>
      <c r="X57" s="801">
        <f t="shared" si="11"/>
        <v>7.1371406283445571E-2</v>
      </c>
      <c r="Y57" s="801">
        <f t="shared" si="12"/>
        <v>-1.3750359199801869</v>
      </c>
      <c r="Z57" s="807">
        <f t="shared" si="13"/>
        <v>-9.782233805292892E-2</v>
      </c>
    </row>
    <row r="58" spans="1:27" ht="20.100000000000001" customHeight="1" x14ac:dyDescent="0.2">
      <c r="A58" s="776">
        <f t="shared" si="8"/>
        <v>79</v>
      </c>
      <c r="B58" s="795">
        <v>42312</v>
      </c>
      <c r="C58" s="818">
        <v>2102.31</v>
      </c>
      <c r="D58" s="792">
        <f t="shared" si="4"/>
        <v>-3.5453765540646312E-3</v>
      </c>
      <c r="E58" s="819">
        <f t="shared" si="19"/>
        <v>-6.1832917943013417E-5</v>
      </c>
      <c r="F58" s="816">
        <v>5142.4799999999996</v>
      </c>
      <c r="G58" s="792">
        <f t="shared" si="1"/>
        <v>-5.1505015422361453E-4</v>
      </c>
      <c r="H58" s="797">
        <f t="shared" si="6"/>
        <v>9.9730934658365071E-3</v>
      </c>
      <c r="I58" s="799">
        <v>361654.42</v>
      </c>
      <c r="J58" s="800">
        <v>400000</v>
      </c>
      <c r="K58" s="800">
        <f t="shared" si="20"/>
        <v>-615.02000000001863</v>
      </c>
      <c r="L58" s="792">
        <f t="shared" si="7"/>
        <v>-1.697686672107972E-3</v>
      </c>
      <c r="M58" s="817">
        <f t="shared" si="15"/>
        <v>-38345.580000000016</v>
      </c>
      <c r="N58" s="802">
        <f t="shared" si="16"/>
        <v>-9.5863950000000045E-2</v>
      </c>
      <c r="O58" s="786">
        <f t="shared" si="10"/>
        <v>-0.44321908528481035</v>
      </c>
      <c r="P58" s="817" t="b">
        <f t="shared" si="9"/>
        <v>1</v>
      </c>
      <c r="Q58" s="802">
        <f>COUNTIF(P$2:P58, TRUE)/(COUNTIF(P$2:P58,FALSE) + COUNTIF(P$2:P58, TRUE))</f>
        <v>0.45614035087719296</v>
      </c>
      <c r="R58" s="803"/>
      <c r="S58" s="803"/>
      <c r="T58" s="803"/>
      <c r="U58" s="803"/>
      <c r="V58" s="802">
        <f>STDEV(D$2:D58)*SQRT(252)</f>
        <v>0.22741079678230972</v>
      </c>
      <c r="W58" s="802">
        <f>STDEV(L$2:L58)*SQRT(252)</f>
        <v>0.31831780697519846</v>
      </c>
      <c r="X58" s="801">
        <f t="shared" si="11"/>
        <v>-1.2571056987440105E-3</v>
      </c>
      <c r="Y58" s="801">
        <f t="shared" si="12"/>
        <v>-1.392379174437274</v>
      </c>
      <c r="Z58" s="807">
        <f t="shared" si="13"/>
        <v>-9.5802117082057034E-2</v>
      </c>
    </row>
    <row r="59" spans="1:27" ht="20.100000000000001" customHeight="1" x14ac:dyDescent="0.2">
      <c r="A59" s="776">
        <f t="shared" si="8"/>
        <v>80</v>
      </c>
      <c r="B59" s="795">
        <v>42313</v>
      </c>
      <c r="C59" s="818">
        <v>2099.9299999999998</v>
      </c>
      <c r="D59" s="792">
        <f t="shared" si="4"/>
        <v>-1.1320880364932427E-3</v>
      </c>
      <c r="E59" s="819">
        <f t="shared" si="19"/>
        <v>-1.1938509541295915E-3</v>
      </c>
      <c r="F59" s="816">
        <v>5127.74</v>
      </c>
      <c r="G59" s="792">
        <f t="shared" si="1"/>
        <v>-2.8663213080069895E-3</v>
      </c>
      <c r="H59" s="797">
        <f t="shared" si="6"/>
        <v>7.0781860675216456E-3</v>
      </c>
      <c r="I59" s="799">
        <v>351667.44</v>
      </c>
      <c r="J59" s="800">
        <v>400000</v>
      </c>
      <c r="K59" s="800">
        <f t="shared" si="20"/>
        <v>-9986.9799999999814</v>
      </c>
      <c r="L59" s="792">
        <f t="shared" si="7"/>
        <v>-2.7614704667510995E-2</v>
      </c>
      <c r="M59" s="817">
        <f t="shared" si="15"/>
        <v>-48332.56</v>
      </c>
      <c r="N59" s="802">
        <f t="shared" si="16"/>
        <v>-0.12083139999999999</v>
      </c>
      <c r="O59" s="786">
        <f t="shared" si="10"/>
        <v>-0.55167086062500004</v>
      </c>
      <c r="P59" s="817" t="b">
        <f t="shared" ref="P59:P90" si="21">L59&gt;D59</f>
        <v>0</v>
      </c>
      <c r="Q59" s="802">
        <f>COUNTIF(P$2:P59, TRUE)/(COUNTIF(P$2:P59,FALSE) + COUNTIF(P$2:P59, TRUE))</f>
        <v>0.44827586206896552</v>
      </c>
      <c r="R59" s="803"/>
      <c r="S59" s="803"/>
      <c r="T59" s="803"/>
      <c r="U59" s="803"/>
      <c r="V59" s="802">
        <f>STDEV(D$2:D59)*SQRT(252)</f>
        <v>0.2253860839795564</v>
      </c>
      <c r="W59" s="802">
        <f>STDEV(L$2:L59)*SQRT(252)</f>
        <v>0.32078118980306136</v>
      </c>
      <c r="X59" s="801">
        <f t="shared" si="11"/>
        <v>-2.4183728055465568E-2</v>
      </c>
      <c r="Y59" s="801">
        <f t="shared" si="12"/>
        <v>-1.7197730981785118</v>
      </c>
      <c r="Z59" s="807">
        <f t="shared" si="13"/>
        <v>-0.1196375490458704</v>
      </c>
    </row>
    <row r="60" spans="1:27" ht="20.100000000000001" customHeight="1" x14ac:dyDescent="0.2">
      <c r="A60" s="776">
        <f t="shared" si="8"/>
        <v>81</v>
      </c>
      <c r="B60" s="795">
        <v>42314</v>
      </c>
      <c r="C60" s="820">
        <v>2099.1999999999998</v>
      </c>
      <c r="D60" s="792">
        <f t="shared" si="4"/>
        <v>-3.4763063530689989E-4</v>
      </c>
      <c r="E60" s="819">
        <f t="shared" si="19"/>
        <v>-1.5410665702708455E-3</v>
      </c>
      <c r="F60" s="816">
        <v>5147.12</v>
      </c>
      <c r="G60" s="792">
        <f t="shared" si="1"/>
        <v>3.7794427954615699E-3</v>
      </c>
      <c r="H60" s="797">
        <f t="shared" si="6"/>
        <v>1.0884380462321047E-2</v>
      </c>
      <c r="I60" s="799">
        <v>351454.25</v>
      </c>
      <c r="J60" s="800">
        <v>400000</v>
      </c>
      <c r="K60" s="800">
        <f t="shared" si="20"/>
        <v>-213.19000000000233</v>
      </c>
      <c r="L60" s="792">
        <f t="shared" si="7"/>
        <v>-6.0622615502874632E-4</v>
      </c>
      <c r="M60" s="817">
        <f t="shared" si="15"/>
        <v>-48545.75</v>
      </c>
      <c r="N60" s="802">
        <f t="shared" si="16"/>
        <v>-0.121364375</v>
      </c>
      <c r="O60" s="786">
        <f t="shared" si="10"/>
        <v>-0.54726343171296288</v>
      </c>
      <c r="P60" s="817" t="b">
        <f t="shared" si="21"/>
        <v>0</v>
      </c>
      <c r="Q60" s="802">
        <f>COUNTIF(P$2:P60, TRUE)/(COUNTIF(P$2:P60,FALSE) + COUNTIF(P$2:P60, TRUE))</f>
        <v>0.44067796610169491</v>
      </c>
      <c r="R60" s="803"/>
      <c r="S60" s="803"/>
      <c r="T60" s="803"/>
      <c r="U60" s="803"/>
      <c r="V60" s="802">
        <f>STDEV(D$2:D60)*SQRT(252)</f>
        <v>0.22340202899589548</v>
      </c>
      <c r="W60" s="802">
        <f>STDEV(L$2:L60)*SQRT(252)</f>
        <v>0.31795506965896425</v>
      </c>
      <c r="X60" s="801">
        <f t="shared" si="11"/>
        <v>-3.110566512024111E-2</v>
      </c>
      <c r="Y60" s="801">
        <f t="shared" si="12"/>
        <v>-1.7211973764090402</v>
      </c>
      <c r="Z60" s="807">
        <f t="shared" si="13"/>
        <v>-0.11982330842972914</v>
      </c>
      <c r="AA60" s="821"/>
    </row>
    <row r="61" spans="1:27" ht="20.100000000000001" customHeight="1" x14ac:dyDescent="0.2">
      <c r="A61" s="776">
        <f t="shared" si="8"/>
        <v>84</v>
      </c>
      <c r="B61" s="778">
        <v>42317</v>
      </c>
      <c r="C61" s="779">
        <v>2078.58</v>
      </c>
      <c r="D61" s="792">
        <f t="shared" si="4"/>
        <v>-9.8227896341462895E-3</v>
      </c>
      <c r="E61" s="780">
        <f t="shared" si="19"/>
        <v>-1.1348718631685149E-2</v>
      </c>
      <c r="F61" s="781">
        <v>5095.3</v>
      </c>
      <c r="G61" s="792">
        <f t="shared" si="1"/>
        <v>-1.0067766051694873E-2</v>
      </c>
      <c r="H61" s="793">
        <f t="shared" si="6"/>
        <v>7.0703301451388806E-4</v>
      </c>
      <c r="I61" s="782">
        <v>347015.14</v>
      </c>
      <c r="J61" s="783">
        <v>400000</v>
      </c>
      <c r="K61" s="783">
        <f t="shared" si="20"/>
        <v>-4439.109999999986</v>
      </c>
      <c r="L61" s="792">
        <f t="shared" si="7"/>
        <v>-1.2630690907849275E-2</v>
      </c>
      <c r="M61" s="811">
        <f t="shared" si="15"/>
        <v>-52984.859999999986</v>
      </c>
      <c r="N61" s="786">
        <f t="shared" si="16"/>
        <v>-0.13246214999999997</v>
      </c>
      <c r="O61" s="786">
        <f t="shared" si="10"/>
        <v>-0.57597381294642847</v>
      </c>
      <c r="P61" s="811" t="b">
        <f t="shared" si="21"/>
        <v>0</v>
      </c>
      <c r="Q61" s="786">
        <f>COUNTIF(P$2:P61, TRUE)/(COUNTIF(P$2:P61,FALSE) + COUNTIF(P$2:P61, TRUE))</f>
        <v>0.43333333333333335</v>
      </c>
      <c r="R61" s="787"/>
      <c r="S61" s="787"/>
      <c r="T61" s="787"/>
      <c r="U61" s="787"/>
      <c r="V61" s="786">
        <f>STDEV(D$2:D61)*SQRT(252)</f>
        <v>0.2224096817728117</v>
      </c>
      <c r="W61" s="786">
        <f>STDEV(L$2:L61)*SQRT(252)</f>
        <v>0.31620783635013966</v>
      </c>
      <c r="X61" s="801">
        <f t="shared" si="11"/>
        <v>-0.22187280735940332</v>
      </c>
      <c r="Y61" s="801">
        <f t="shared" si="12"/>
        <v>-1.821503918418542</v>
      </c>
      <c r="Z61" s="807">
        <f t="shared" si="13"/>
        <v>-0.12111343136831482</v>
      </c>
    </row>
    <row r="62" spans="1:27" ht="20.100000000000001" customHeight="1" x14ac:dyDescent="0.2">
      <c r="A62" s="776">
        <f t="shared" si="8"/>
        <v>85</v>
      </c>
      <c r="B62" s="778">
        <v>42318</v>
      </c>
      <c r="C62" s="779">
        <v>2081.7199999999998</v>
      </c>
      <c r="D62" s="792">
        <f t="shared" si="4"/>
        <v>1.5106466914912454E-3</v>
      </c>
      <c r="E62" s="780">
        <f t="shared" si="19"/>
        <v>-9.8552158444475246E-3</v>
      </c>
      <c r="F62" s="781">
        <v>5083.24</v>
      </c>
      <c r="G62" s="792">
        <f t="shared" si="1"/>
        <v>-2.3668871312779228E-3</v>
      </c>
      <c r="H62" s="793">
        <f t="shared" si="6"/>
        <v>-1.6615275841074762E-3</v>
      </c>
      <c r="I62" s="782">
        <v>346488.34</v>
      </c>
      <c r="J62" s="783">
        <v>400000</v>
      </c>
      <c r="K62" s="783">
        <f t="shared" si="20"/>
        <v>-526.79999999998836</v>
      </c>
      <c r="L62" s="792">
        <f t="shared" si="7"/>
        <v>-1.5180893836504894E-3</v>
      </c>
      <c r="M62" s="811">
        <f t="shared" ref="M62:M93" si="22">I62-J62</f>
        <v>-53511.659999999974</v>
      </c>
      <c r="N62" s="786">
        <f t="shared" ref="N62:N93" si="23">M62/J62</f>
        <v>-0.13377914999999993</v>
      </c>
      <c r="O62" s="786">
        <f t="shared" si="10"/>
        <v>-0.57485687691176446</v>
      </c>
      <c r="P62" s="811" t="b">
        <f t="shared" si="21"/>
        <v>0</v>
      </c>
      <c r="Q62" s="786">
        <f>COUNTIF(P$2:P62, TRUE)/(COUNTIF(P$2:P62,FALSE) + COUNTIF(P$2:P62, TRUE))</f>
        <v>0.42622950819672129</v>
      </c>
      <c r="R62" s="787"/>
      <c r="S62" s="787"/>
      <c r="T62" s="787"/>
      <c r="U62" s="787"/>
      <c r="V62" s="786">
        <f>STDEV(D$2:D62)*SQRT(252)</f>
        <v>0.22054140197015909</v>
      </c>
      <c r="W62" s="786">
        <f>STDEV(L$2:L62)*SQRT(252)</f>
        <v>0.31352177036879675</v>
      </c>
      <c r="X62" s="801">
        <f t="shared" si="11"/>
        <v>-0.1920203727003611</v>
      </c>
      <c r="Y62" s="801">
        <f t="shared" si="12"/>
        <v>-1.8335469215919467</v>
      </c>
      <c r="Z62" s="807">
        <f t="shared" si="13"/>
        <v>-0.1239239341555524</v>
      </c>
    </row>
    <row r="63" spans="1:27" ht="20.100000000000001" customHeight="1" x14ac:dyDescent="0.2">
      <c r="A63" s="776">
        <f t="shared" si="8"/>
        <v>86</v>
      </c>
      <c r="B63" s="778">
        <v>42319</v>
      </c>
      <c r="C63" s="779">
        <v>2075</v>
      </c>
      <c r="D63" s="792">
        <f t="shared" si="4"/>
        <v>-3.2280998405164003E-3</v>
      </c>
      <c r="E63" s="780">
        <f t="shared" ref="E63:E84" si="24">(C63-$C$2)/$C$2</f>
        <v>-1.305150206426821E-2</v>
      </c>
      <c r="F63" s="781">
        <v>5067.0200000000004</v>
      </c>
      <c r="G63" s="792">
        <f t="shared" si="1"/>
        <v>-3.1908782587482289E-3</v>
      </c>
      <c r="H63" s="793">
        <f t="shared" si="6"/>
        <v>-4.8471041106112655E-3</v>
      </c>
      <c r="I63" s="782">
        <v>341384.62</v>
      </c>
      <c r="J63" s="783">
        <v>400000</v>
      </c>
      <c r="K63" s="783">
        <f t="shared" si="20"/>
        <v>-5103.7200000000303</v>
      </c>
      <c r="L63" s="792">
        <f t="shared" si="7"/>
        <v>-1.472984632036977E-2</v>
      </c>
      <c r="M63" s="811">
        <f t="shared" si="22"/>
        <v>-58615.380000000005</v>
      </c>
      <c r="N63" s="786">
        <f t="shared" si="23"/>
        <v>-0.14653845000000001</v>
      </c>
      <c r="O63" s="786">
        <f t="shared" si="10"/>
        <v>-0.62236242863372093</v>
      </c>
      <c r="P63" s="811" t="b">
        <f t="shared" si="21"/>
        <v>0</v>
      </c>
      <c r="Q63" s="786">
        <f>COUNTIF(P$2:P63, TRUE)/(COUNTIF(P$2:P63,FALSE) + COUNTIF(P$2:P63, TRUE))</f>
        <v>0.41935483870967744</v>
      </c>
      <c r="R63" s="787"/>
      <c r="S63" s="787"/>
      <c r="T63" s="787"/>
      <c r="U63" s="787"/>
      <c r="V63" s="786">
        <f>STDEV(D$2:D63)*SQRT(252)</f>
        <v>0.21879001839109452</v>
      </c>
      <c r="W63" s="786">
        <f>STDEV(L$2:L63)*SQRT(252)</f>
        <v>0.31221077177668255</v>
      </c>
      <c r="X63" s="801">
        <f t="shared" si="11"/>
        <v>-0.25335224964914849</v>
      </c>
      <c r="Y63" s="801">
        <f t="shared" si="12"/>
        <v>-1.9934047281330927</v>
      </c>
      <c r="Z63" s="807">
        <f t="shared" si="13"/>
        <v>-0.13348694793573179</v>
      </c>
    </row>
    <row r="64" spans="1:27" ht="20.100000000000001" customHeight="1" x14ac:dyDescent="0.2">
      <c r="A64" s="776">
        <f t="shared" si="8"/>
        <v>87</v>
      </c>
      <c r="B64" s="778">
        <v>42320</v>
      </c>
      <c r="C64" s="812">
        <v>2045.97</v>
      </c>
      <c r="D64" s="792">
        <f t="shared" si="4"/>
        <v>-1.3990361445783119E-2</v>
      </c>
      <c r="E64" s="780">
        <f t="shared" si="24"/>
        <v>-2.6859268278761832E-2</v>
      </c>
      <c r="F64" s="781">
        <v>5005.08</v>
      </c>
      <c r="G64" s="792">
        <f t="shared" si="1"/>
        <v>-1.222414752655417E-2</v>
      </c>
      <c r="H64" s="793">
        <f t="shared" si="6"/>
        <v>-1.7011999921440757E-2</v>
      </c>
      <c r="I64" s="782">
        <v>335500.62</v>
      </c>
      <c r="J64" s="783">
        <v>400000</v>
      </c>
      <c r="K64" s="783">
        <f t="shared" si="20"/>
        <v>-5884</v>
      </c>
      <c r="L64" s="792">
        <f t="shared" si="7"/>
        <v>-1.7235691520022196E-2</v>
      </c>
      <c r="M64" s="811">
        <f t="shared" si="22"/>
        <v>-64499.380000000005</v>
      </c>
      <c r="N64" s="786">
        <f t="shared" si="23"/>
        <v>-0.16124845000000002</v>
      </c>
      <c r="O64" s="786">
        <f t="shared" si="10"/>
        <v>-0.67696547543103458</v>
      </c>
      <c r="P64" s="811" t="b">
        <f t="shared" si="21"/>
        <v>0</v>
      </c>
      <c r="Q64" s="786">
        <f>COUNTIF(P$2:P64, TRUE)/(COUNTIF(P$2:P64,FALSE) + COUNTIF(P$2:P64, TRUE))</f>
        <v>0.41269841269841268</v>
      </c>
      <c r="R64" s="787"/>
      <c r="S64" s="787"/>
      <c r="T64" s="787"/>
      <c r="U64" s="787"/>
      <c r="V64" s="786">
        <f>STDEV(D$2:D64)*SQRT(252)</f>
        <v>0.21878322617502383</v>
      </c>
      <c r="W64" s="786">
        <f>STDEV(L$2:L64)*SQRT(252)</f>
        <v>0.311389828072407</v>
      </c>
      <c r="X64" s="801">
        <f t="shared" si="11"/>
        <v>-0.5154079664103306</v>
      </c>
      <c r="Y64" s="801">
        <f t="shared" si="12"/>
        <v>-2.1740128109567562</v>
      </c>
      <c r="Z64" s="807">
        <f t="shared" si="13"/>
        <v>-0.13438918172123818</v>
      </c>
    </row>
    <row r="65" spans="1:26" ht="20.100000000000001" customHeight="1" x14ac:dyDescent="0.2">
      <c r="A65" s="776">
        <f t="shared" si="8"/>
        <v>88</v>
      </c>
      <c r="B65" s="778">
        <v>42321</v>
      </c>
      <c r="C65" s="812">
        <v>2023.04</v>
      </c>
      <c r="D65" s="792">
        <f t="shared" si="4"/>
        <v>-1.1207397957936852E-2</v>
      </c>
      <c r="E65" s="780">
        <f t="shared" si="24"/>
        <v>-3.7765643728239609E-2</v>
      </c>
      <c r="F65" s="781">
        <v>4927.88</v>
      </c>
      <c r="G65" s="792">
        <f t="shared" si="1"/>
        <v>-1.5424328881855999E-2</v>
      </c>
      <c r="H65" s="793">
        <f t="shared" si="6"/>
        <v>-3.217393012157034E-2</v>
      </c>
      <c r="I65" s="782">
        <v>335955</v>
      </c>
      <c r="J65" s="783">
        <v>400000</v>
      </c>
      <c r="K65" s="783">
        <f t="shared" si="20"/>
        <v>454.38000000000466</v>
      </c>
      <c r="L65" s="792">
        <f t="shared" si="7"/>
        <v>1.3543343079366133E-3</v>
      </c>
      <c r="M65" s="811">
        <f t="shared" si="22"/>
        <v>-64045</v>
      </c>
      <c r="N65" s="786">
        <f t="shared" si="23"/>
        <v>-0.16011249999999999</v>
      </c>
      <c r="O65" s="786">
        <f t="shared" si="10"/>
        <v>-0.66455784801136364</v>
      </c>
      <c r="P65" s="811" t="b">
        <f t="shared" si="21"/>
        <v>1</v>
      </c>
      <c r="Q65" s="786">
        <f>COUNTIF(P$2:P65, TRUE)/(COUNTIF(P$2:P65,FALSE) + COUNTIF(P$2:P65, TRUE))</f>
        <v>0.421875</v>
      </c>
      <c r="R65" s="787"/>
      <c r="S65" s="787"/>
      <c r="T65" s="787"/>
      <c r="U65" s="787"/>
      <c r="V65" s="786">
        <f>STDEV(D$2:D65)*SQRT(252)</f>
        <v>0.21809630494176296</v>
      </c>
      <c r="W65" s="786">
        <f>STDEV(L$2:L65)*SQRT(252)</f>
        <v>0.30890912442956392</v>
      </c>
      <c r="X65" s="801">
        <f t="shared" si="11"/>
        <v>-0.71871405279501854</v>
      </c>
      <c r="Y65" s="801">
        <f t="shared" si="12"/>
        <v>-2.1513053369289294</v>
      </c>
      <c r="Z65" s="807">
        <f t="shared" si="13"/>
        <v>-0.12234685627176038</v>
      </c>
    </row>
    <row r="66" spans="1:26" ht="20.100000000000001" customHeight="1" x14ac:dyDescent="0.2">
      <c r="A66" s="776">
        <f t="shared" si="8"/>
        <v>91</v>
      </c>
      <c r="B66" s="795">
        <v>42324</v>
      </c>
      <c r="C66" s="818">
        <v>2053.19</v>
      </c>
      <c r="D66" s="792">
        <f t="shared" si="4"/>
        <v>1.4903313824739053E-2</v>
      </c>
      <c r="E66" s="819">
        <f t="shared" si="24"/>
        <v>-2.3425163143775803E-2</v>
      </c>
      <c r="F66" s="816">
        <v>4984.62</v>
      </c>
      <c r="G66" s="792">
        <f t="shared" si="1"/>
        <v>1.1514079076600847E-2</v>
      </c>
      <c r="H66" s="797">
        <f t="shared" si="6"/>
        <v>-2.1030304220594286E-2</v>
      </c>
      <c r="I66" s="799">
        <v>342834.39</v>
      </c>
      <c r="J66" s="800">
        <v>400000</v>
      </c>
      <c r="K66" s="800">
        <f t="shared" si="20"/>
        <v>6879.390000000014</v>
      </c>
      <c r="L66" s="792">
        <f t="shared" si="7"/>
        <v>2.047711747108992E-2</v>
      </c>
      <c r="M66" s="817">
        <f t="shared" si="22"/>
        <v>-57165.609999999986</v>
      </c>
      <c r="N66" s="802">
        <f t="shared" si="23"/>
        <v>-0.14291402499999997</v>
      </c>
      <c r="O66" s="786">
        <f t="shared" si="10"/>
        <v>-0.57361920473901085</v>
      </c>
      <c r="P66" s="817" t="b">
        <f t="shared" si="21"/>
        <v>1</v>
      </c>
      <c r="Q66" s="802">
        <f>COUNTIF(P$2:P66, TRUE)/(COUNTIF(P$2:P66,FALSE) + COUNTIF(P$2:P66, TRUE))</f>
        <v>0.43076923076923079</v>
      </c>
      <c r="R66" s="803"/>
      <c r="S66" s="803"/>
      <c r="T66" s="803"/>
      <c r="U66" s="803"/>
      <c r="V66" s="802">
        <f>STDEV(D$2:D66)*SQRT(252)</f>
        <v>0.2185117014996438</v>
      </c>
      <c r="W66" s="802">
        <f>STDEV(L$2:L66)*SQRT(252)</f>
        <v>0.30942792293284299</v>
      </c>
      <c r="X66" s="801">
        <f t="shared" si="11"/>
        <v>-0.43028554603179631</v>
      </c>
      <c r="Y66" s="801">
        <f t="shared" si="12"/>
        <v>-1.8538055625429346</v>
      </c>
      <c r="Z66" s="807">
        <f t="shared" si="13"/>
        <v>-0.11948886185622418</v>
      </c>
    </row>
    <row r="67" spans="1:26" ht="20.100000000000001" customHeight="1" x14ac:dyDescent="0.2">
      <c r="A67" s="776">
        <f t="shared" si="8"/>
        <v>92</v>
      </c>
      <c r="B67" s="795">
        <v>42325</v>
      </c>
      <c r="C67" s="818">
        <v>2050.44</v>
      </c>
      <c r="D67" s="792">
        <f t="shared" si="4"/>
        <v>-1.3393792099123801E-3</v>
      </c>
      <c r="E67" s="819">
        <f t="shared" si="24"/>
        <v>-2.4733167177184604E-2</v>
      </c>
      <c r="F67" s="816">
        <v>4986.01</v>
      </c>
      <c r="G67" s="792">
        <f t="shared" ref="G67:G131" si="25">(F67-F66)/F66</f>
        <v>2.7885776648978807E-4</v>
      </c>
      <c r="H67" s="797">
        <f t="shared" ref="H67:H84" si="26">(F67-F$2)/F$2</f>
        <v>-2.0757310917768054E-2</v>
      </c>
      <c r="I67" s="799">
        <v>341363.07</v>
      </c>
      <c r="J67" s="800">
        <v>400000</v>
      </c>
      <c r="K67" s="800">
        <f t="shared" si="20"/>
        <v>-1471.320000000007</v>
      </c>
      <c r="L67" s="792">
        <f t="shared" si="7"/>
        <v>-4.2916348036146747E-3</v>
      </c>
      <c r="M67" s="817">
        <f t="shared" si="22"/>
        <v>-58636.929999999993</v>
      </c>
      <c r="N67" s="802">
        <f t="shared" si="23"/>
        <v>-0.146592325</v>
      </c>
      <c r="O67" s="786">
        <f t="shared" si="10"/>
        <v>-0.58198746419836955</v>
      </c>
      <c r="P67" s="817" t="b">
        <f t="shared" si="21"/>
        <v>0</v>
      </c>
      <c r="Q67" s="802">
        <f>COUNTIF(P$2:P67, TRUE)/(COUNTIF(P$2:P67,FALSE) + COUNTIF(P$2:P67, TRUE))</f>
        <v>0.42424242424242425</v>
      </c>
      <c r="R67" s="803"/>
      <c r="S67" s="803"/>
      <c r="T67" s="803"/>
      <c r="U67" s="803"/>
      <c r="V67" s="802">
        <f>STDEV(D$2:D67)*SQRT(252)</f>
        <v>0.21680795188349017</v>
      </c>
      <c r="W67" s="802">
        <f>STDEV(L$2:L67)*SQRT(252)</f>
        <v>0.30707902780871166</v>
      </c>
      <c r="X67" s="801">
        <f t="shared" si="11"/>
        <v>-0.45290479997674349</v>
      </c>
      <c r="Y67" s="801">
        <f t="shared" si="12"/>
        <v>-1.8952367680443036</v>
      </c>
      <c r="Z67" s="807">
        <f t="shared" si="13"/>
        <v>-0.12185915782281539</v>
      </c>
    </row>
    <row r="68" spans="1:26" ht="20.100000000000001" customHeight="1" x14ac:dyDescent="0.2">
      <c r="A68" s="776">
        <f t="shared" si="8"/>
        <v>93</v>
      </c>
      <c r="B68" s="795">
        <v>42326</v>
      </c>
      <c r="C68" s="818">
        <v>2083.58</v>
      </c>
      <c r="D68" s="792">
        <f t="shared" ref="D68:D132" si="27">(C68-C67)/C67</f>
        <v>1.6162384658902417E-2</v>
      </c>
      <c r="E68" s="819">
        <f t="shared" si="24"/>
        <v>-8.970529480032784E-3</v>
      </c>
      <c r="F68" s="816">
        <v>5075.2</v>
      </c>
      <c r="G68" s="792">
        <f t="shared" si="25"/>
        <v>1.7888050766043308E-2</v>
      </c>
      <c r="H68" s="797">
        <f t="shared" si="26"/>
        <v>-3.2405679831883261E-3</v>
      </c>
      <c r="I68" s="799">
        <v>349578.29</v>
      </c>
      <c r="J68" s="800">
        <v>400000</v>
      </c>
      <c r="K68" s="800">
        <f t="shared" si="20"/>
        <v>8215.2199999999721</v>
      </c>
      <c r="L68" s="792">
        <f t="shared" ref="L68:L131" si="28">K68/I67</f>
        <v>2.4065930740545461E-2</v>
      </c>
      <c r="M68" s="817">
        <f t="shared" si="22"/>
        <v>-50421.710000000021</v>
      </c>
      <c r="N68" s="802">
        <f t="shared" si="23"/>
        <v>-0.12605427500000005</v>
      </c>
      <c r="O68" s="786">
        <f t="shared" si="10"/>
        <v>-0.4950679993951615</v>
      </c>
      <c r="P68" s="817" t="b">
        <f t="shared" si="21"/>
        <v>1</v>
      </c>
      <c r="Q68" s="802">
        <f>COUNTIF(P$2:P68, TRUE)/(COUNTIF(P$2:P68,FALSE) + COUNTIF(P$2:P68, TRUE))</f>
        <v>0.43283582089552236</v>
      </c>
      <c r="R68" s="803"/>
      <c r="S68" s="803"/>
      <c r="T68" s="803"/>
      <c r="U68" s="803"/>
      <c r="V68" s="802">
        <f>STDEV(D$2:D68)*SQRT(252)</f>
        <v>0.21752341302178005</v>
      </c>
      <c r="W68" s="802">
        <f>STDEV(L$2:L68)*SQRT(252)</f>
        <v>0.30856663188820815</v>
      </c>
      <c r="X68" s="801">
        <f t="shared" si="11"/>
        <v>-0.16196431737444461</v>
      </c>
      <c r="Y68" s="801">
        <f t="shared" si="12"/>
        <v>-1.6044119753509889</v>
      </c>
      <c r="Z68" s="807">
        <f t="shared" si="13"/>
        <v>-0.11708374551996727</v>
      </c>
    </row>
    <row r="69" spans="1:26" ht="20.100000000000001" customHeight="1" x14ac:dyDescent="0.2">
      <c r="A69" s="776">
        <f t="shared" si="8"/>
        <v>94</v>
      </c>
      <c r="B69" s="795">
        <v>42327</v>
      </c>
      <c r="C69" s="818">
        <v>2081.2399999999998</v>
      </c>
      <c r="D69" s="792">
        <f t="shared" si="27"/>
        <v>-1.1230670288638524E-3</v>
      </c>
      <c r="E69" s="819">
        <f t="shared" si="24"/>
        <v>-1.0083522003006161E-2</v>
      </c>
      <c r="F69" s="816">
        <v>5073.63</v>
      </c>
      <c r="G69" s="792">
        <f t="shared" si="25"/>
        <v>-3.0934741488014442E-4</v>
      </c>
      <c r="H69" s="797">
        <f t="shared" si="26"/>
        <v>-3.5489129367401282E-3</v>
      </c>
      <c r="I69" s="799">
        <v>351509.95</v>
      </c>
      <c r="J69" s="800">
        <v>400000</v>
      </c>
      <c r="K69" s="800">
        <f t="shared" si="20"/>
        <v>1931.6600000000326</v>
      </c>
      <c r="L69" s="792">
        <f t="shared" si="28"/>
        <v>5.5256863920240375E-3</v>
      </c>
      <c r="M69" s="817">
        <f t="shared" si="22"/>
        <v>-48490.049999999988</v>
      </c>
      <c r="N69" s="802">
        <f t="shared" si="23"/>
        <v>-0.12122512499999998</v>
      </c>
      <c r="O69" s="786">
        <f t="shared" si="10"/>
        <v>-0.47103698836436159</v>
      </c>
      <c r="P69" s="817" t="b">
        <f t="shared" si="21"/>
        <v>1</v>
      </c>
      <c r="Q69" s="802">
        <f>COUNTIF(P$2:P69, TRUE)/(COUNTIF(P$2:P69,FALSE) + COUNTIF(P$2:P69, TRUE))</f>
        <v>0.44117647058823528</v>
      </c>
      <c r="R69" s="803"/>
      <c r="S69" s="803"/>
      <c r="T69" s="803"/>
      <c r="U69" s="803"/>
      <c r="V69" s="802">
        <f>STDEV(D$2:D69)*SQRT(252)</f>
        <v>0.21587936448621181</v>
      </c>
      <c r="W69" s="802">
        <f>STDEV(L$2:L69)*SQRT(252)</f>
        <v>0.30643952094821814</v>
      </c>
      <c r="X69" s="801">
        <f t="shared" si="11"/>
        <v>-0.18149450905402137</v>
      </c>
      <c r="Y69" s="801">
        <f t="shared" si="12"/>
        <v>-1.5371287192553631</v>
      </c>
      <c r="Z69" s="807">
        <f t="shared" si="13"/>
        <v>-0.11114160299699381</v>
      </c>
    </row>
    <row r="70" spans="1:26" ht="20.100000000000001" customHeight="1" x14ac:dyDescent="0.2">
      <c r="A70" s="776">
        <f t="shared" si="8"/>
        <v>95</v>
      </c>
      <c r="B70" s="795">
        <v>42328</v>
      </c>
      <c r="C70" s="820">
        <v>2089.17</v>
      </c>
      <c r="D70" s="792">
        <f t="shared" si="27"/>
        <v>3.8102285176146392E-3</v>
      </c>
      <c r="E70" s="819">
        <f t="shared" si="24"/>
        <v>-6.3117140084853699E-3</v>
      </c>
      <c r="F70" s="816">
        <v>5104.92</v>
      </c>
      <c r="G70" s="792">
        <f t="shared" si="25"/>
        <v>6.1671820767379495E-3</v>
      </c>
      <c r="H70" s="797">
        <f t="shared" si="26"/>
        <v>2.5963823477424546E-3</v>
      </c>
      <c r="I70" s="799">
        <v>349809.33</v>
      </c>
      <c r="J70" s="800">
        <v>400000</v>
      </c>
      <c r="K70" s="800">
        <f t="shared" si="20"/>
        <v>-1700.6199999999953</v>
      </c>
      <c r="L70" s="792">
        <f t="shared" si="28"/>
        <v>-4.8380422801687275E-3</v>
      </c>
      <c r="M70" s="817">
        <f t="shared" si="22"/>
        <v>-50190.669999999984</v>
      </c>
      <c r="N70" s="802">
        <f t="shared" si="23"/>
        <v>-0.12547667499999995</v>
      </c>
      <c r="O70" s="786">
        <f t="shared" si="10"/>
        <v>-0.48242479519736825</v>
      </c>
      <c r="P70" s="817" t="b">
        <f t="shared" si="21"/>
        <v>0</v>
      </c>
      <c r="Q70" s="802">
        <f>COUNTIF(P$2:P70, TRUE)/(COUNTIF(P$2:P70,FALSE) + COUNTIF(P$2:P70, TRUE))</f>
        <v>0.43478260869565216</v>
      </c>
      <c r="R70" s="803"/>
      <c r="S70" s="803"/>
      <c r="T70" s="803"/>
      <c r="U70" s="803"/>
      <c r="V70" s="802">
        <f>STDEV(D$2:D70)*SQRT(252)</f>
        <v>0.21439176321013317</v>
      </c>
      <c r="W70" s="802">
        <f>STDEV(L$2:L70)*SQRT(252)</f>
        <v>0.30426600271918647</v>
      </c>
      <c r="X70" s="801">
        <f t="shared" si="11"/>
        <v>-0.11318942025524899</v>
      </c>
      <c r="Y70" s="801">
        <f t="shared" si="12"/>
        <v>-1.5855363099590469</v>
      </c>
      <c r="Z70" s="807">
        <f t="shared" si="13"/>
        <v>-0.11916496099151458</v>
      </c>
    </row>
    <row r="71" spans="1:26" ht="20.100000000000001" customHeight="1" x14ac:dyDescent="0.2">
      <c r="A71" s="776">
        <f t="shared" ref="A71:A134" si="29">B71-$B$2</f>
        <v>98</v>
      </c>
      <c r="B71" s="778">
        <v>42331</v>
      </c>
      <c r="C71" s="779">
        <v>2086.59</v>
      </c>
      <c r="D71" s="792">
        <f t="shared" si="27"/>
        <v>-1.2349401915592924E-3</v>
      </c>
      <c r="E71" s="780">
        <f t="shared" si="24"/>
        <v>-7.5388596107379561E-3</v>
      </c>
      <c r="F71" s="781">
        <v>5102.47</v>
      </c>
      <c r="G71" s="792">
        <f t="shared" si="25"/>
        <v>-4.7992916637279687E-4</v>
      </c>
      <c r="H71" s="793">
        <f t="shared" si="26"/>
        <v>2.1152071017539204E-3</v>
      </c>
      <c r="I71" s="782">
        <v>352380.62</v>
      </c>
      <c r="J71" s="783">
        <v>400000</v>
      </c>
      <c r="K71" s="783">
        <f t="shared" si="20"/>
        <v>2571.289999999979</v>
      </c>
      <c r="L71" s="792">
        <f t="shared" si="28"/>
        <v>7.3505472252554807E-3</v>
      </c>
      <c r="M71" s="811">
        <f t="shared" si="22"/>
        <v>-47619.380000000005</v>
      </c>
      <c r="N71" s="786">
        <f t="shared" si="23"/>
        <v>-0.11904845000000001</v>
      </c>
      <c r="O71" s="786">
        <f t="shared" ref="O71:O134" si="30">N71/(A71/365.25)</f>
        <v>-0.44369843227040823</v>
      </c>
      <c r="P71" s="811" t="b">
        <f t="shared" si="21"/>
        <v>1</v>
      </c>
      <c r="Q71" s="786">
        <f>COUNTIF(P$2:P71, TRUE)/(COUNTIF(P$2:P71,FALSE) + COUNTIF(P$2:P71, TRUE))</f>
        <v>0.44285714285714284</v>
      </c>
      <c r="R71" s="787"/>
      <c r="S71" s="787"/>
      <c r="T71" s="787"/>
      <c r="U71" s="787"/>
      <c r="V71" s="786">
        <f>STDEV(D$2:D71)*SQRT(252)</f>
        <v>0.21282253565490999</v>
      </c>
      <c r="W71" s="786">
        <f>STDEV(L$2:L71)*SQRT(252)</f>
        <v>0.30238621984250691</v>
      </c>
      <c r="X71" s="801">
        <f t="shared" si="11"/>
        <v>-0.13202378869940726</v>
      </c>
      <c r="Y71" s="801">
        <f t="shared" si="12"/>
        <v>-1.4673235853852784</v>
      </c>
      <c r="Z71" s="807">
        <f t="shared" si="13"/>
        <v>-0.11150959038926206</v>
      </c>
    </row>
    <row r="72" spans="1:26" ht="20.100000000000001" customHeight="1" x14ac:dyDescent="0.2">
      <c r="A72" s="776">
        <f t="shared" si="29"/>
        <v>99</v>
      </c>
      <c r="B72" s="778">
        <v>42332</v>
      </c>
      <c r="C72" s="779">
        <v>2089.14</v>
      </c>
      <c r="D72" s="792">
        <f t="shared" si="27"/>
        <v>1.2220896294910485E-3</v>
      </c>
      <c r="E72" s="780">
        <f t="shared" si="24"/>
        <v>-6.3259831433953792E-3</v>
      </c>
      <c r="F72" s="781">
        <v>5102.8</v>
      </c>
      <c r="G72" s="792">
        <f t="shared" si="25"/>
        <v>6.4674559576034202E-5</v>
      </c>
      <c r="H72" s="793">
        <f t="shared" si="26"/>
        <v>2.1800184614176729E-3</v>
      </c>
      <c r="I72" s="782">
        <v>356994.69</v>
      </c>
      <c r="J72" s="783">
        <v>400000</v>
      </c>
      <c r="K72" s="783">
        <f t="shared" si="20"/>
        <v>4614.070000000007</v>
      </c>
      <c r="L72" s="792">
        <f t="shared" si="28"/>
        <v>1.309399478325456E-2</v>
      </c>
      <c r="M72" s="811">
        <f t="shared" si="22"/>
        <v>-43005.31</v>
      </c>
      <c r="N72" s="786">
        <f t="shared" si="23"/>
        <v>-0.10751327499999999</v>
      </c>
      <c r="O72" s="786">
        <f t="shared" si="30"/>
        <v>-0.39665882518939388</v>
      </c>
      <c r="P72" s="811" t="b">
        <f t="shared" si="21"/>
        <v>1</v>
      </c>
      <c r="Q72" s="786">
        <f>COUNTIF(P$2:P72, TRUE)/(COUNTIF(P$2:P72,FALSE) + COUNTIF(P$2:P72, TRUE))</f>
        <v>0.45070422535211269</v>
      </c>
      <c r="R72" s="787"/>
      <c r="S72" s="787"/>
      <c r="T72" s="787"/>
      <c r="U72" s="787"/>
      <c r="V72" s="786">
        <f>STDEV(D$2:D72)*SQRT(252)</f>
        <v>0.21128787806615651</v>
      </c>
      <c r="W72" s="786">
        <f>STDEV(L$2:L72)*SQRT(252)</f>
        <v>0.30126350583982381</v>
      </c>
      <c r="X72" s="801">
        <f t="shared" si="11"/>
        <v>-0.11046087491419374</v>
      </c>
      <c r="Y72" s="801">
        <f t="shared" si="12"/>
        <v>-1.3166507641993983</v>
      </c>
      <c r="Z72" s="807">
        <f t="shared" si="13"/>
        <v>-0.10118729185660461</v>
      </c>
    </row>
    <row r="73" spans="1:26" ht="20.100000000000001" customHeight="1" x14ac:dyDescent="0.2">
      <c r="A73" s="776">
        <f t="shared" si="29"/>
        <v>100</v>
      </c>
      <c r="B73" s="778">
        <v>42333</v>
      </c>
      <c r="C73" s="779">
        <v>2088.87</v>
      </c>
      <c r="D73" s="792">
        <f t="shared" si="27"/>
        <v>-1.2923978287715607E-4</v>
      </c>
      <c r="E73" s="780">
        <f t="shared" si="24"/>
        <v>-6.4544053575845989E-3</v>
      </c>
      <c r="F73" s="781">
        <v>5116.1400000000003</v>
      </c>
      <c r="G73" s="792">
        <f t="shared" si="25"/>
        <v>2.6142509994513102E-3</v>
      </c>
      <c r="H73" s="793">
        <f t="shared" si="26"/>
        <v>4.7999685763105661E-3</v>
      </c>
      <c r="I73" s="782">
        <v>357953.42</v>
      </c>
      <c r="J73" s="783">
        <v>400000</v>
      </c>
      <c r="K73" s="783">
        <f t="shared" si="20"/>
        <v>958.72999999998137</v>
      </c>
      <c r="L73" s="792">
        <f t="shared" si="28"/>
        <v>2.6855581521394098E-3</v>
      </c>
      <c r="M73" s="811">
        <f t="shared" si="22"/>
        <v>-42046.580000000016</v>
      </c>
      <c r="N73" s="786">
        <f t="shared" si="23"/>
        <v>-0.10511645000000004</v>
      </c>
      <c r="O73" s="786">
        <f t="shared" si="30"/>
        <v>-0.38393783362500017</v>
      </c>
      <c r="P73" s="811" t="b">
        <f t="shared" si="21"/>
        <v>1</v>
      </c>
      <c r="Q73" s="786">
        <f>COUNTIF(P$2:P73, TRUE)/(COUNTIF(P$2:P73,FALSE) + COUNTIF(P$2:P73, TRUE))</f>
        <v>0.45833333333333331</v>
      </c>
      <c r="R73" s="787"/>
      <c r="S73" s="787"/>
      <c r="T73" s="787"/>
      <c r="U73" s="787"/>
      <c r="V73" s="786">
        <f>STDEV(D$2:D73)*SQRT(252)</f>
        <v>0.20977338456133537</v>
      </c>
      <c r="W73" s="786">
        <f>STDEV(L$2:L73)*SQRT(252)</f>
        <v>0.29915075312421052</v>
      </c>
      <c r="X73" s="801">
        <f t="shared" si="11"/>
        <v>-0.11238182392811977</v>
      </c>
      <c r="Y73" s="801">
        <f t="shared" si="12"/>
        <v>-1.2834259302886835</v>
      </c>
      <c r="Z73" s="807">
        <f t="shared" si="13"/>
        <v>-9.8662044642415445E-2</v>
      </c>
    </row>
    <row r="74" spans="1:26" ht="20.100000000000001" customHeight="1" x14ac:dyDescent="0.2">
      <c r="A74" s="776">
        <f t="shared" si="29"/>
        <v>102</v>
      </c>
      <c r="B74" s="778">
        <v>42335</v>
      </c>
      <c r="C74" s="812">
        <v>2090.11</v>
      </c>
      <c r="D74" s="792">
        <f t="shared" si="27"/>
        <v>5.9362238913873841E-4</v>
      </c>
      <c r="E74" s="780">
        <f t="shared" si="24"/>
        <v>-5.8646144479746996E-3</v>
      </c>
      <c r="F74" s="781">
        <v>5127.5200000000004</v>
      </c>
      <c r="G74" s="792">
        <f t="shared" si="25"/>
        <v>2.2243331886930592E-3</v>
      </c>
      <c r="H74" s="793">
        <f t="shared" si="26"/>
        <v>7.0349784944125967E-3</v>
      </c>
      <c r="I74" s="782">
        <v>355463.47</v>
      </c>
      <c r="J74" s="783">
        <v>400000</v>
      </c>
      <c r="K74" s="783">
        <f t="shared" si="20"/>
        <v>-2489.9500000000116</v>
      </c>
      <c r="L74" s="792">
        <f t="shared" si="28"/>
        <v>-6.9560726644265942E-3</v>
      </c>
      <c r="M74" s="811">
        <f t="shared" si="22"/>
        <v>-44536.530000000028</v>
      </c>
      <c r="N74" s="786">
        <f t="shared" si="23"/>
        <v>-0.11134132500000007</v>
      </c>
      <c r="O74" s="786">
        <f t="shared" si="30"/>
        <v>-0.39870018584558853</v>
      </c>
      <c r="P74" s="811" t="b">
        <f t="shared" si="21"/>
        <v>0</v>
      </c>
      <c r="Q74" s="786">
        <f>COUNTIF(P$2:P74, TRUE)/(COUNTIF(P$2:P74,FALSE) + COUNTIF(P$2:P74, TRUE))</f>
        <v>0.45205479452054792</v>
      </c>
      <c r="R74" s="787"/>
      <c r="S74" s="787"/>
      <c r="T74" s="787"/>
      <c r="U74" s="787"/>
      <c r="V74" s="786">
        <f>STDEV(D$2:D74)*SQRT(252)</f>
        <v>0.20829387869007757</v>
      </c>
      <c r="W74" s="786">
        <f>STDEV(L$2:L74)*SQRT(252)</f>
        <v>0.29731455796464418</v>
      </c>
      <c r="X74" s="801">
        <f t="shared" si="11"/>
        <v>-0.10082146684110337</v>
      </c>
      <c r="Y74" s="801">
        <f t="shared" si="12"/>
        <v>-1.3410045864387201</v>
      </c>
      <c r="Z74" s="807">
        <f t="shared" si="13"/>
        <v>-0.10547671055202537</v>
      </c>
    </row>
    <row r="75" spans="1:26" ht="20.100000000000001" customHeight="1" x14ac:dyDescent="0.2">
      <c r="A75" s="776">
        <f t="shared" si="29"/>
        <v>105</v>
      </c>
      <c r="B75" s="795">
        <v>42338</v>
      </c>
      <c r="C75" s="818">
        <v>2080.41</v>
      </c>
      <c r="D75" s="792">
        <f t="shared" si="27"/>
        <v>-4.6409040672501789E-3</v>
      </c>
      <c r="E75" s="819">
        <f t="shared" si="24"/>
        <v>-1.0478301402180418E-2</v>
      </c>
      <c r="F75" s="816">
        <v>5108.66</v>
      </c>
      <c r="G75" s="792">
        <f t="shared" si="25"/>
        <v>-3.6781914063720045E-3</v>
      </c>
      <c r="H75" s="797">
        <f t="shared" si="26"/>
        <v>3.3309110905984322E-3</v>
      </c>
      <c r="I75" s="822">
        <v>358262.29</v>
      </c>
      <c r="J75" s="800">
        <v>400000</v>
      </c>
      <c r="K75" s="800">
        <f t="shared" si="20"/>
        <v>2798.820000000007</v>
      </c>
      <c r="L75" s="792">
        <f t="shared" si="28"/>
        <v>7.8737204697855653E-3</v>
      </c>
      <c r="M75" s="817">
        <f t="shared" si="22"/>
        <v>-41737.710000000021</v>
      </c>
      <c r="N75" s="802">
        <f t="shared" si="23"/>
        <v>-0.10434427500000006</v>
      </c>
      <c r="O75" s="786">
        <f t="shared" si="30"/>
        <v>-0.36296901375000024</v>
      </c>
      <c r="P75" s="817" t="b">
        <f t="shared" si="21"/>
        <v>1</v>
      </c>
      <c r="Q75" s="802">
        <f>COUNTIF(P$2:P75, TRUE)/(COUNTIF(P$2:P75,FALSE) + COUNTIF(P$2:P75, TRUE))</f>
        <v>0.45945945945945948</v>
      </c>
      <c r="R75" s="803"/>
      <c r="S75" s="803"/>
      <c r="T75" s="803"/>
      <c r="U75" s="803"/>
      <c r="V75" s="802">
        <f>STDEV(D$2:D75)*SQRT(252)</f>
        <v>0.20702224585874895</v>
      </c>
      <c r="W75" s="802">
        <f>STDEV(L$2:L75)*SQRT(252)</f>
        <v>0.29562170062555598</v>
      </c>
      <c r="X75" s="801">
        <f t="shared" si="11"/>
        <v>-0.17606571567412233</v>
      </c>
      <c r="Y75" s="801">
        <f t="shared" si="12"/>
        <v>-1.2278158639299235</v>
      </c>
      <c r="Z75" s="807">
        <f t="shared" si="13"/>
        <v>-9.3865973597819632E-2</v>
      </c>
    </row>
    <row r="76" spans="1:26" ht="20.100000000000001" customHeight="1" x14ac:dyDescent="0.2">
      <c r="A76" s="776">
        <f t="shared" si="29"/>
        <v>106</v>
      </c>
      <c r="B76" s="795">
        <v>42339</v>
      </c>
      <c r="C76" s="818">
        <v>2102.63</v>
      </c>
      <c r="D76" s="792">
        <f t="shared" si="27"/>
        <v>1.0680586999678072E-2</v>
      </c>
      <c r="E76" s="819">
        <f t="shared" si="24"/>
        <v>9.0371187762815854E-5</v>
      </c>
      <c r="F76" s="816">
        <v>5156.3</v>
      </c>
      <c r="G76" s="792">
        <f t="shared" si="25"/>
        <v>9.3253416747249435E-3</v>
      </c>
      <c r="H76" s="797">
        <f t="shared" si="26"/>
        <v>1.2687314649331337E-2</v>
      </c>
      <c r="I76" s="799">
        <v>361281.91</v>
      </c>
      <c r="J76" s="800">
        <v>400000</v>
      </c>
      <c r="K76" s="800">
        <f t="shared" si="20"/>
        <v>3019.6199999999953</v>
      </c>
      <c r="L76" s="792">
        <f t="shared" si="28"/>
        <v>8.4285175534382795E-3</v>
      </c>
      <c r="M76" s="817">
        <f t="shared" si="22"/>
        <v>-38718.090000000026</v>
      </c>
      <c r="N76" s="802">
        <f t="shared" si="23"/>
        <v>-9.6795225000000068E-2</v>
      </c>
      <c r="O76" s="786">
        <f t="shared" si="30"/>
        <v>-0.33353260312500022</v>
      </c>
      <c r="P76" s="817" t="b">
        <f t="shared" si="21"/>
        <v>0</v>
      </c>
      <c r="Q76" s="802">
        <f>COUNTIF(P$2:P76, TRUE)/(COUNTIF(P$2:P76,FALSE) + COUNTIF(P$2:P76, TRUE))</f>
        <v>0.45333333333333331</v>
      </c>
      <c r="R76" s="803"/>
      <c r="S76" s="803"/>
      <c r="T76" s="803"/>
      <c r="U76" s="803"/>
      <c r="V76" s="802">
        <f>STDEV(D$2:D76)*SQRT(252)</f>
        <v>0.20655260318517649</v>
      </c>
      <c r="W76" s="802">
        <f>STDEV(L$2:L76)*SQRT(252)</f>
        <v>0.29400855496408335</v>
      </c>
      <c r="X76" s="801">
        <f t="shared" si="11"/>
        <v>1.5075914886133863E-3</v>
      </c>
      <c r="Y76" s="801">
        <f t="shared" si="12"/>
        <v>-1.134431626201303</v>
      </c>
      <c r="Z76" s="807">
        <f t="shared" si="13"/>
        <v>-9.6885596187762879E-2</v>
      </c>
    </row>
    <row r="77" spans="1:26" ht="20.100000000000001" customHeight="1" x14ac:dyDescent="0.2">
      <c r="A77" s="776">
        <f t="shared" si="29"/>
        <v>107</v>
      </c>
      <c r="B77" s="795">
        <v>42340</v>
      </c>
      <c r="C77" s="818">
        <v>2079.5100000000002</v>
      </c>
      <c r="D77" s="792">
        <f t="shared" si="27"/>
        <v>-1.0995752937987135E-2</v>
      </c>
      <c r="E77" s="819">
        <f t="shared" si="24"/>
        <v>-1.0906375449477671E-2</v>
      </c>
      <c r="F77" s="816">
        <v>5123.22</v>
      </c>
      <c r="G77" s="792">
        <f t="shared" si="25"/>
        <v>-6.415452941062375E-3</v>
      </c>
      <c r="H77" s="797">
        <f t="shared" si="26"/>
        <v>6.1904668381877245E-3</v>
      </c>
      <c r="I77" s="799">
        <v>349641.2</v>
      </c>
      <c r="J77" s="800">
        <v>400000</v>
      </c>
      <c r="K77" s="800">
        <f t="shared" si="20"/>
        <v>-11640.709999999963</v>
      </c>
      <c r="L77" s="792">
        <f t="shared" si="28"/>
        <v>-3.2220572571707129E-2</v>
      </c>
      <c r="M77" s="817">
        <f t="shared" si="22"/>
        <v>-50358.799999999988</v>
      </c>
      <c r="N77" s="802">
        <f t="shared" si="23"/>
        <v>-0.12589699999999998</v>
      </c>
      <c r="O77" s="786">
        <f t="shared" si="30"/>
        <v>-0.42975588084112148</v>
      </c>
      <c r="P77" s="817" t="b">
        <f t="shared" si="21"/>
        <v>0</v>
      </c>
      <c r="Q77" s="802">
        <f>COUNTIF(P$2:P77, TRUE)/(COUNTIF(P$2:P77,FALSE) + COUNTIF(P$2:P77, TRUE))</f>
        <v>0.44736842105263158</v>
      </c>
      <c r="R77" s="803"/>
      <c r="S77" s="803"/>
      <c r="T77" s="803"/>
      <c r="U77" s="803"/>
      <c r="V77" s="802">
        <f>STDEV(D$2:D77)*SQRT(252)</f>
        <v>0.20615523591080137</v>
      </c>
      <c r="W77" s="802">
        <f>STDEV(L$2:L77)*SQRT(252)</f>
        <v>0.29794414920309426</v>
      </c>
      <c r="X77" s="801">
        <f t="shared" si="11"/>
        <v>-0.18058951081399757</v>
      </c>
      <c r="Y77" s="801">
        <f t="shared" si="12"/>
        <v>-1.4424041619564663</v>
      </c>
      <c r="Z77" s="807">
        <f t="shared" si="13"/>
        <v>-0.11499062455052231</v>
      </c>
    </row>
    <row r="78" spans="1:26" ht="20.100000000000001" customHeight="1" x14ac:dyDescent="0.2">
      <c r="A78" s="776">
        <f t="shared" si="29"/>
        <v>108</v>
      </c>
      <c r="B78" s="795">
        <v>42341</v>
      </c>
      <c r="C78" s="818">
        <v>2049.62</v>
      </c>
      <c r="D78" s="792">
        <f t="shared" si="27"/>
        <v>-1.4373578391063435E-2</v>
      </c>
      <c r="E78" s="819">
        <f t="shared" si="24"/>
        <v>-2.5123190198055669E-2</v>
      </c>
      <c r="F78" s="816">
        <v>5037.5200000000004</v>
      </c>
      <c r="G78" s="792">
        <f t="shared" si="25"/>
        <v>-1.6727761056523009E-2</v>
      </c>
      <c r="H78" s="797">
        <f t="shared" si="26"/>
        <v>-1.0640846868432819E-2</v>
      </c>
      <c r="I78" s="799">
        <v>344430.58</v>
      </c>
      <c r="J78" s="800">
        <v>400000</v>
      </c>
      <c r="K78" s="800">
        <f t="shared" si="20"/>
        <v>-5210.6199999999953</v>
      </c>
      <c r="L78" s="792">
        <f t="shared" si="28"/>
        <v>-1.4902763175506763E-2</v>
      </c>
      <c r="M78" s="817">
        <f t="shared" si="22"/>
        <v>-55569.419999999984</v>
      </c>
      <c r="N78" s="802">
        <f t="shared" si="23"/>
        <v>-0.13892354999999995</v>
      </c>
      <c r="O78" s="786">
        <f t="shared" si="30"/>
        <v>-0.46983172812499985</v>
      </c>
      <c r="P78" s="817" t="b">
        <f t="shared" si="21"/>
        <v>0</v>
      </c>
      <c r="Q78" s="802">
        <f>COUNTIF(P$2:P78, TRUE)/(COUNTIF(P$2:P78,FALSE) + COUNTIF(P$2:P78, TRUE))</f>
        <v>0.44155844155844154</v>
      </c>
      <c r="R78" s="803"/>
      <c r="S78" s="803"/>
      <c r="T78" s="803"/>
      <c r="U78" s="803"/>
      <c r="V78" s="802">
        <f>STDEV(D$2:D78)*SQRT(252)</f>
        <v>0.20642766070992974</v>
      </c>
      <c r="W78" s="802">
        <f>STDEV(L$2:L78)*SQRT(252)</f>
        <v>0.29712936975574017</v>
      </c>
      <c r="X78" s="801">
        <f t="shared" si="11"/>
        <v>-0.41159810281640435</v>
      </c>
      <c r="Y78" s="801">
        <f t="shared" si="12"/>
        <v>-1.5812362423520514</v>
      </c>
      <c r="Z78" s="807">
        <f t="shared" si="13"/>
        <v>-0.11380035980194428</v>
      </c>
    </row>
    <row r="79" spans="1:26" ht="20.100000000000001" customHeight="1" x14ac:dyDescent="0.2">
      <c r="A79" s="776">
        <f t="shared" si="29"/>
        <v>109</v>
      </c>
      <c r="B79" s="795">
        <v>42342</v>
      </c>
      <c r="C79" s="818">
        <v>2091.69</v>
      </c>
      <c r="D79" s="792">
        <f t="shared" si="27"/>
        <v>2.0525755993794054E-2</v>
      </c>
      <c r="E79" s="819">
        <f t="shared" si="24"/>
        <v>-5.1131066760525864E-3</v>
      </c>
      <c r="F79" s="816">
        <v>5142.2700000000004</v>
      </c>
      <c r="G79" s="792">
        <f t="shared" si="25"/>
        <v>2.0793962108339021E-2</v>
      </c>
      <c r="H79" s="797">
        <f t="shared" si="26"/>
        <v>9.9318498733233732E-3</v>
      </c>
      <c r="I79" s="799">
        <v>341064.65</v>
      </c>
      <c r="J79" s="800">
        <v>400000</v>
      </c>
      <c r="K79" s="800">
        <f t="shared" si="20"/>
        <v>-3365.929999999993</v>
      </c>
      <c r="L79" s="792">
        <f t="shared" si="28"/>
        <v>-9.7724481955115388E-3</v>
      </c>
      <c r="M79" s="817">
        <f t="shared" si="22"/>
        <v>-58935.349999999977</v>
      </c>
      <c r="N79" s="802">
        <f t="shared" si="23"/>
        <v>-0.14733837499999994</v>
      </c>
      <c r="O79" s="786">
        <f t="shared" si="30"/>
        <v>-0.4937187290711007</v>
      </c>
      <c r="P79" s="817" t="b">
        <f t="shared" si="21"/>
        <v>0</v>
      </c>
      <c r="Q79" s="802">
        <f>COUNTIF(P$2:P79, TRUE)/(COUNTIF(P$2:P79,FALSE) + COUNTIF(P$2:P79, TRUE))</f>
        <v>0.4358974358974359</v>
      </c>
      <c r="R79" s="803"/>
      <c r="S79" s="803"/>
      <c r="T79" s="803"/>
      <c r="U79" s="803"/>
      <c r="V79" s="802">
        <f>STDEV(D$2:D79)*SQRT(252)</f>
        <v>0.2084813160993948</v>
      </c>
      <c r="W79" s="802">
        <f>STDEV(L$2:L79)*SQRT(252)</f>
        <v>0.29563649002359699</v>
      </c>
      <c r="X79" s="801">
        <f t="shared" si="11"/>
        <v>-8.218289585318822E-2</v>
      </c>
      <c r="Y79" s="801">
        <f t="shared" si="12"/>
        <v>-1.6700195873374537</v>
      </c>
      <c r="Z79" s="807">
        <f t="shared" si="13"/>
        <v>-0.14222526832394736</v>
      </c>
    </row>
    <row r="80" spans="1:26" ht="20.100000000000001" customHeight="1" x14ac:dyDescent="0.2">
      <c r="A80" s="776">
        <f t="shared" si="29"/>
        <v>112</v>
      </c>
      <c r="B80" s="778">
        <v>42345</v>
      </c>
      <c r="C80" s="779">
        <v>2077.0700000000002</v>
      </c>
      <c r="D80" s="792">
        <f t="shared" si="27"/>
        <v>-6.9895634630370131E-3</v>
      </c>
      <c r="E80" s="780">
        <f t="shared" si="24"/>
        <v>-1.2066931755484052E-2</v>
      </c>
      <c r="F80" s="781">
        <v>5101.8100000000004</v>
      </c>
      <c r="G80" s="792">
        <f t="shared" si="25"/>
        <v>-7.8681204993125663E-3</v>
      </c>
      <c r="H80" s="793">
        <f t="shared" si="26"/>
        <v>1.9855843824264159E-3</v>
      </c>
      <c r="I80" s="782">
        <v>323555.34000000003</v>
      </c>
      <c r="J80" s="783">
        <v>400000</v>
      </c>
      <c r="K80" s="783">
        <f t="shared" si="20"/>
        <v>-17509.309999999998</v>
      </c>
      <c r="L80" s="792">
        <f t="shared" si="28"/>
        <v>-5.1337217152231981E-2</v>
      </c>
      <c r="M80" s="811">
        <f t="shared" si="22"/>
        <v>-76444.659999999974</v>
      </c>
      <c r="N80" s="786">
        <f t="shared" si="23"/>
        <v>-0.19111164999999994</v>
      </c>
      <c r="O80" s="786">
        <f t="shared" si="30"/>
        <v>-0.6232458050223213</v>
      </c>
      <c r="P80" s="811" t="b">
        <f t="shared" si="21"/>
        <v>0</v>
      </c>
      <c r="Q80" s="786">
        <f>COUNTIF(P$2:P80, TRUE)/(COUNTIF(P$2:P80,FALSE) + COUNTIF(P$2:P80, TRUE))</f>
        <v>0.43037974683544306</v>
      </c>
      <c r="R80" s="787"/>
      <c r="S80" s="787"/>
      <c r="T80" s="787"/>
      <c r="U80" s="787"/>
      <c r="V80" s="786">
        <f>STDEV(D$2:D80)*SQRT(252)</f>
        <v>0.20750582350249624</v>
      </c>
      <c r="W80" s="786">
        <f>STDEV(L$2:L80)*SQRT(252)</f>
        <v>0.3074916653921197</v>
      </c>
      <c r="X80" s="801">
        <f t="shared" si="11"/>
        <v>-0.18964385248917093</v>
      </c>
      <c r="Y80" s="801">
        <f t="shared" si="12"/>
        <v>-2.0268705632315123</v>
      </c>
      <c r="Z80" s="807">
        <f t="shared" si="13"/>
        <v>-0.1790447182445159</v>
      </c>
    </row>
    <row r="81" spans="1:26" ht="20.100000000000001" customHeight="1" x14ac:dyDescent="0.2">
      <c r="A81" s="776">
        <f t="shared" si="29"/>
        <v>113</v>
      </c>
      <c r="B81" s="778">
        <v>42346</v>
      </c>
      <c r="C81" s="779">
        <v>2063.59</v>
      </c>
      <c r="D81" s="792">
        <f t="shared" si="27"/>
        <v>-6.489911269239851E-3</v>
      </c>
      <c r="E81" s="780">
        <f t="shared" si="24"/>
        <v>-1.8478529708338839E-2</v>
      </c>
      <c r="F81" s="781">
        <v>5098.24</v>
      </c>
      <c r="G81" s="792">
        <f t="shared" si="25"/>
        <v>-6.9975165676507318E-4</v>
      </c>
      <c r="H81" s="793">
        <f t="shared" si="26"/>
        <v>1.284443309700093E-3</v>
      </c>
      <c r="I81" s="782">
        <v>320909.52</v>
      </c>
      <c r="J81" s="783">
        <v>400000</v>
      </c>
      <c r="K81" s="783">
        <f t="shared" si="20"/>
        <v>-2645.820000000007</v>
      </c>
      <c r="L81" s="792">
        <f t="shared" si="28"/>
        <v>-8.1773337445149464E-3</v>
      </c>
      <c r="M81" s="811">
        <f t="shared" si="22"/>
        <v>-79090.479999999981</v>
      </c>
      <c r="N81" s="786">
        <f t="shared" si="23"/>
        <v>-0.19772619999999996</v>
      </c>
      <c r="O81" s="786">
        <f t="shared" si="30"/>
        <v>-0.63911057123893789</v>
      </c>
      <c r="P81" s="811" t="b">
        <f t="shared" si="21"/>
        <v>0</v>
      </c>
      <c r="Q81" s="786">
        <f>COUNTIF(P$2:P81, TRUE)/(COUNTIF(P$2:P81,FALSE) + COUNTIF(P$2:P81, TRUE))</f>
        <v>0.42499999999999999</v>
      </c>
      <c r="R81" s="787"/>
      <c r="S81" s="787"/>
      <c r="T81" s="787"/>
      <c r="U81" s="787"/>
      <c r="V81" s="786">
        <f>STDEV(D$2:D81)*SQRT(252)</f>
        <v>0.20648984597109604</v>
      </c>
      <c r="W81" s="786">
        <f>STDEV(L$2:L81)*SQRT(252)</f>
        <v>0.3057577572819663</v>
      </c>
      <c r="X81" s="801">
        <f t="shared" si="11"/>
        <v>-0.28925474590796779</v>
      </c>
      <c r="Y81" s="801">
        <f t="shared" si="12"/>
        <v>-2.0902513706285379</v>
      </c>
      <c r="Z81" s="807">
        <f t="shared" si="13"/>
        <v>-0.17924767029166111</v>
      </c>
    </row>
    <row r="82" spans="1:26" ht="20.100000000000001" customHeight="1" x14ac:dyDescent="0.2">
      <c r="A82" s="776">
        <f t="shared" si="29"/>
        <v>114</v>
      </c>
      <c r="B82" s="778">
        <v>42347</v>
      </c>
      <c r="C82" s="779">
        <v>2047.62</v>
      </c>
      <c r="D82" s="792">
        <f t="shared" si="27"/>
        <v>-7.7389403902908297E-3</v>
      </c>
      <c r="E82" s="780">
        <f t="shared" si="24"/>
        <v>-2.6074465858716617E-2</v>
      </c>
      <c r="F82" s="781">
        <v>5022.8599999999997</v>
      </c>
      <c r="G82" s="792">
        <f t="shared" si="25"/>
        <v>-1.4785494602058772E-2</v>
      </c>
      <c r="H82" s="793">
        <f t="shared" si="26"/>
        <v>-1.3520042421980899E-2</v>
      </c>
      <c r="I82" s="782">
        <v>319453.12</v>
      </c>
      <c r="J82" s="783">
        <v>400000</v>
      </c>
      <c r="K82" s="783">
        <f t="shared" si="20"/>
        <v>-1456.4000000000233</v>
      </c>
      <c r="L82" s="792">
        <f t="shared" si="28"/>
        <v>-4.5383508722334669E-3</v>
      </c>
      <c r="M82" s="811">
        <f t="shared" si="22"/>
        <v>-80546.880000000005</v>
      </c>
      <c r="N82" s="786">
        <f t="shared" si="23"/>
        <v>-0.20136720000000002</v>
      </c>
      <c r="O82" s="786">
        <f t="shared" si="30"/>
        <v>-0.64516991052631578</v>
      </c>
      <c r="P82" s="811" t="b">
        <f t="shared" si="21"/>
        <v>1</v>
      </c>
      <c r="Q82" s="786">
        <f>COUNTIF(P$2:P82, TRUE)/(COUNTIF(P$2:P82,FALSE) + COUNTIF(P$2:P82, TRUE))</f>
        <v>0.43209876543209874</v>
      </c>
      <c r="R82" s="787"/>
      <c r="S82" s="787"/>
      <c r="T82" s="787"/>
      <c r="U82" s="787"/>
      <c r="V82" s="786">
        <f>STDEV(D$2:D82)*SQRT(252)</f>
        <v>0.20562012018240991</v>
      </c>
      <c r="W82" s="786">
        <f>STDEV(L$2:L82)*SQRT(252)</f>
        <v>0.30386643217647319</v>
      </c>
      <c r="X82" s="801">
        <f t="shared" si="11"/>
        <v>-0.40628911313206373</v>
      </c>
      <c r="Y82" s="801">
        <f t="shared" si="12"/>
        <v>-2.1232023093344758</v>
      </c>
      <c r="Z82" s="807">
        <f t="shared" si="13"/>
        <v>-0.17529273414128341</v>
      </c>
    </row>
    <row r="83" spans="1:26" ht="20.100000000000001" customHeight="1" x14ac:dyDescent="0.2">
      <c r="A83" s="776">
        <f t="shared" si="29"/>
        <v>115</v>
      </c>
      <c r="B83" s="778">
        <v>42348</v>
      </c>
      <c r="C83" s="812">
        <v>2052.23</v>
      </c>
      <c r="D83" s="792">
        <f t="shared" si="27"/>
        <v>2.2513943016771315E-3</v>
      </c>
      <c r="E83" s="780">
        <f t="shared" si="24"/>
        <v>-2.3881775460893075E-2</v>
      </c>
      <c r="F83" s="781">
        <v>5045.17</v>
      </c>
      <c r="G83" s="792">
        <f t="shared" si="25"/>
        <v>4.4416925815173825E-3</v>
      </c>
      <c r="H83" s="793">
        <f t="shared" si="26"/>
        <v>-9.1384017125910304E-3</v>
      </c>
      <c r="I83" s="782">
        <v>324246.53999999998</v>
      </c>
      <c r="J83" s="783">
        <v>400000</v>
      </c>
      <c r="K83" s="783">
        <f t="shared" si="20"/>
        <v>4793.4199999999837</v>
      </c>
      <c r="L83" s="792">
        <f t="shared" si="28"/>
        <v>1.5005081183742965E-2</v>
      </c>
      <c r="M83" s="811">
        <f t="shared" si="22"/>
        <v>-75753.460000000021</v>
      </c>
      <c r="N83" s="786">
        <f t="shared" si="23"/>
        <v>-0.18938365000000004</v>
      </c>
      <c r="O83" s="786">
        <f t="shared" si="30"/>
        <v>-0.60149894054347841</v>
      </c>
      <c r="P83" s="811" t="b">
        <f t="shared" si="21"/>
        <v>1</v>
      </c>
      <c r="Q83" s="786">
        <f>COUNTIF(P$2:P83, TRUE)/(COUNTIF(P$2:P83,FALSE) + COUNTIF(P$2:P83, TRUE))</f>
        <v>0.43902439024390244</v>
      </c>
      <c r="R83" s="787"/>
      <c r="S83" s="787"/>
      <c r="T83" s="787"/>
      <c r="U83" s="787"/>
      <c r="V83" s="786">
        <f>STDEV(D$2:D83)*SQRT(252)</f>
        <v>0.20437847650239915</v>
      </c>
      <c r="W83" s="786">
        <f>STDEV(L$2:L83)*SQRT(252)</f>
        <v>0.30335650462124281</v>
      </c>
      <c r="X83" s="801">
        <f t="shared" si="11"/>
        <v>-0.37112809938688945</v>
      </c>
      <c r="Y83" s="801">
        <f t="shared" si="12"/>
        <v>-1.9828120754967253</v>
      </c>
      <c r="Z83" s="807">
        <f t="shared" si="13"/>
        <v>-0.16550187453910697</v>
      </c>
    </row>
    <row r="84" spans="1:26" ht="20.100000000000001" customHeight="1" x14ac:dyDescent="0.2">
      <c r="A84" s="776">
        <f t="shared" si="29"/>
        <v>116</v>
      </c>
      <c r="B84" s="778">
        <v>42349</v>
      </c>
      <c r="C84" s="812">
        <v>2012.37</v>
      </c>
      <c r="D84" s="792">
        <f t="shared" si="27"/>
        <v>-1.9422774250449575E-2</v>
      </c>
      <c r="E84" s="780">
        <f t="shared" si="24"/>
        <v>-4.2840699377865797E-2</v>
      </c>
      <c r="F84" s="781">
        <v>4933.47</v>
      </c>
      <c r="G84" s="792">
        <f t="shared" si="25"/>
        <v>-2.2139987354241743E-2</v>
      </c>
      <c r="H84" s="793">
        <f t="shared" si="26"/>
        <v>-3.1076064968478027E-2</v>
      </c>
      <c r="I84" s="782">
        <v>314974.52</v>
      </c>
      <c r="J84" s="783">
        <v>400000</v>
      </c>
      <c r="K84" s="783">
        <f t="shared" si="20"/>
        <v>-9272.0199999999604</v>
      </c>
      <c r="L84" s="792">
        <f t="shared" si="28"/>
        <v>-2.8595586555834832E-2</v>
      </c>
      <c r="M84" s="811">
        <f t="shared" si="22"/>
        <v>-85025.479999999981</v>
      </c>
      <c r="N84" s="786">
        <f t="shared" si="23"/>
        <v>-0.21256369999999997</v>
      </c>
      <c r="O84" s="786">
        <f t="shared" si="30"/>
        <v>-0.66930078814655158</v>
      </c>
      <c r="P84" s="811" t="b">
        <f t="shared" si="21"/>
        <v>0</v>
      </c>
      <c r="Q84" s="786">
        <f>COUNTIF(P$2:P84, TRUE)/(COUNTIF(P$2:P84,FALSE) + COUNTIF(P$2:P84, TRUE))</f>
        <v>0.43373493975903615</v>
      </c>
      <c r="R84" s="787"/>
      <c r="S84" s="787"/>
      <c r="T84" s="787"/>
      <c r="U84" s="787"/>
      <c r="V84" s="786">
        <f>STDEV(D$2:D84)*SQRT(252)</f>
        <v>0.20588473038733746</v>
      </c>
      <c r="W84" s="786">
        <f>STDEV(L$2:L84)*SQRT(252)</f>
        <v>0.3052608066855817</v>
      </c>
      <c r="X84" s="801">
        <f t="shared" si="11"/>
        <v>-0.65518606129948087</v>
      </c>
      <c r="Y84" s="801">
        <f t="shared" si="12"/>
        <v>-2.1925539521879425</v>
      </c>
      <c r="Z84" s="807">
        <f t="shared" si="13"/>
        <v>-0.16972300062213416</v>
      </c>
    </row>
    <row r="85" spans="1:26" ht="20.100000000000001" customHeight="1" x14ac:dyDescent="0.2">
      <c r="A85" s="776">
        <f t="shared" si="29"/>
        <v>119</v>
      </c>
      <c r="B85" s="795">
        <v>42352</v>
      </c>
      <c r="C85" s="818">
        <v>2021.94</v>
      </c>
      <c r="D85" s="792">
        <f t="shared" si="27"/>
        <v>4.7555866962835681E-3</v>
      </c>
      <c r="E85" s="819">
        <f t="shared" ref="E85:E95" si="31">(C85-$C$2)/$C$2</f>
        <v>-3.8288845341603088E-2</v>
      </c>
      <c r="F85" s="816">
        <v>4871.59</v>
      </c>
      <c r="G85" s="792">
        <f t="shared" si="25"/>
        <v>-1.2542895771130685E-2</v>
      </c>
      <c r="H85" s="797">
        <f t="shared" ref="H85:H106" si="32">(F85-F$2)/F$2</f>
        <v>-4.3229176895732205E-2</v>
      </c>
      <c r="I85" s="799">
        <f>400000-82872.25</f>
        <v>317127.75</v>
      </c>
      <c r="J85" s="800">
        <v>400000</v>
      </c>
      <c r="K85" s="800">
        <f t="shared" si="20"/>
        <v>2153.2299999999814</v>
      </c>
      <c r="L85" s="792">
        <f t="shared" si="28"/>
        <v>6.8362037665776303E-3</v>
      </c>
      <c r="M85" s="817">
        <f t="shared" si="22"/>
        <v>-82872.25</v>
      </c>
      <c r="N85" s="802">
        <f t="shared" si="23"/>
        <v>-0.20718062500000001</v>
      </c>
      <c r="O85" s="786">
        <f t="shared" si="30"/>
        <v>-0.63590523765756302</v>
      </c>
      <c r="P85" s="817" t="b">
        <f t="shared" si="21"/>
        <v>1</v>
      </c>
      <c r="Q85" s="802">
        <f>COUNTIF(P$2:P85, TRUE)/(COUNTIF(P$2:P85,FALSE) + COUNTIF(P$2:P85, TRUE))</f>
        <v>0.44047619047619047</v>
      </c>
      <c r="R85" s="803"/>
      <c r="S85" s="803"/>
      <c r="T85" s="803"/>
      <c r="U85" s="803"/>
      <c r="V85" s="802">
        <f>STDEV(D$2:D85)*SQRT(252)</f>
        <v>0.20482646913198044</v>
      </c>
      <c r="W85" s="802">
        <f>STDEV(L$2:L85)*SQRT(252)</f>
        <v>0.30374972032355096</v>
      </c>
      <c r="X85" s="801">
        <f t="shared" si="11"/>
        <v>-0.57375892528209749</v>
      </c>
      <c r="Y85" s="801">
        <f t="shared" si="12"/>
        <v>-2.093517113300396</v>
      </c>
      <c r="Z85" s="807">
        <f t="shared" si="13"/>
        <v>-0.16889177965839691</v>
      </c>
    </row>
    <row r="86" spans="1:26" ht="20.100000000000001" customHeight="1" x14ac:dyDescent="0.2">
      <c r="A86" s="776">
        <f t="shared" si="29"/>
        <v>120</v>
      </c>
      <c r="B86" s="795">
        <v>42353</v>
      </c>
      <c r="C86" s="818">
        <v>2043.41</v>
      </c>
      <c r="D86" s="792">
        <f t="shared" si="27"/>
        <v>1.0618514891638736E-2</v>
      </c>
      <c r="E86" s="819">
        <f t="shared" si="31"/>
        <v>-2.8076901124407819E-2</v>
      </c>
      <c r="F86" s="816">
        <v>4986.99</v>
      </c>
      <c r="G86" s="792">
        <f t="shared" si="25"/>
        <v>2.3688364579120911E-2</v>
      </c>
      <c r="H86" s="797">
        <f t="shared" si="32"/>
        <v>-2.0564840819372713E-2</v>
      </c>
      <c r="I86" s="799">
        <v>315111.13</v>
      </c>
      <c r="J86" s="800">
        <v>400000</v>
      </c>
      <c r="K86" s="800">
        <f t="shared" si="20"/>
        <v>-2016.6199999999953</v>
      </c>
      <c r="L86" s="792">
        <f t="shared" si="28"/>
        <v>-6.3590146242326487E-3</v>
      </c>
      <c r="M86" s="817">
        <f t="shared" si="22"/>
        <v>-84888.87</v>
      </c>
      <c r="N86" s="802">
        <f t="shared" si="23"/>
        <v>-0.21222217499999999</v>
      </c>
      <c r="O86" s="786">
        <f t="shared" si="30"/>
        <v>-0.64595124515625002</v>
      </c>
      <c r="P86" s="817" t="b">
        <f t="shared" si="21"/>
        <v>0</v>
      </c>
      <c r="Q86" s="802">
        <f>COUNTIF(P$2:P86, TRUE)/(COUNTIF(P$2:P86,FALSE) + COUNTIF(P$2:P86, TRUE))</f>
        <v>0.43529411764705883</v>
      </c>
      <c r="R86" s="803"/>
      <c r="S86" s="803"/>
      <c r="T86" s="803"/>
      <c r="U86" s="803"/>
      <c r="V86" s="802">
        <f>STDEV(D$2:D86)*SQRT(252)</f>
        <v>0.20447942963510182</v>
      </c>
      <c r="W86" s="802">
        <f>STDEV(L$2:L86)*SQRT(252)</f>
        <v>0.30203167512176549</v>
      </c>
      <c r="X86" s="801">
        <f t="shared" si="11"/>
        <v>-0.41793479153340729</v>
      </c>
      <c r="Y86" s="801">
        <f t="shared" si="12"/>
        <v>-2.1386870926561983</v>
      </c>
      <c r="Z86" s="807">
        <f t="shared" si="13"/>
        <v>-0.18414527387559215</v>
      </c>
    </row>
    <row r="87" spans="1:26" ht="20.100000000000001" customHeight="1" x14ac:dyDescent="0.2">
      <c r="A87" s="776">
        <f t="shared" si="29"/>
        <v>121</v>
      </c>
      <c r="B87" s="795">
        <v>42354</v>
      </c>
      <c r="C87" s="818">
        <v>2073.0700000000002</v>
      </c>
      <c r="D87" s="792">
        <f t="shared" si="27"/>
        <v>1.4514952946300586E-2</v>
      </c>
      <c r="E87" s="819">
        <f t="shared" si="31"/>
        <v>-1.3969483076805945E-2</v>
      </c>
      <c r="F87" s="816">
        <v>4992.63</v>
      </c>
      <c r="G87" s="792">
        <f t="shared" si="25"/>
        <v>1.1309427129391331E-3</v>
      </c>
      <c r="H87" s="797">
        <f t="shared" si="32"/>
        <v>-1.9457155763301003E-2</v>
      </c>
      <c r="I87" s="799">
        <v>320067.34000000003</v>
      </c>
      <c r="J87" s="800">
        <v>400000</v>
      </c>
      <c r="K87" s="800">
        <f t="shared" si="20"/>
        <v>4956.210000000021</v>
      </c>
      <c r="L87" s="792">
        <f t="shared" si="28"/>
        <v>1.5728451102314352E-2</v>
      </c>
      <c r="M87" s="817">
        <f t="shared" si="22"/>
        <v>-79932.659999999974</v>
      </c>
      <c r="N87" s="802">
        <f t="shared" si="23"/>
        <v>-0.19983164999999994</v>
      </c>
      <c r="O87" s="786">
        <f t="shared" si="30"/>
        <v>-0.60321082778925605</v>
      </c>
      <c r="P87" s="817" t="b">
        <f t="shared" si="21"/>
        <v>1</v>
      </c>
      <c r="Q87" s="802">
        <f>COUNTIF(P$2:P87, TRUE)/(COUNTIF(P$2:P87,FALSE) + COUNTIF(P$2:P87, TRUE))</f>
        <v>0.44186046511627908</v>
      </c>
      <c r="R87" s="803"/>
      <c r="S87" s="803"/>
      <c r="T87" s="803"/>
      <c r="U87" s="803"/>
      <c r="V87" s="802">
        <f>STDEV(D$2:D87)*SQRT(252)</f>
        <v>0.20484383238315154</v>
      </c>
      <c r="W87" s="802">
        <f>STDEV(L$2:L87)*SQRT(252)</f>
        <v>0.30170012255410639</v>
      </c>
      <c r="X87" s="801">
        <f t="shared" si="11"/>
        <v>-0.20585541607427355</v>
      </c>
      <c r="Y87" s="801">
        <f t="shared" si="12"/>
        <v>-1.9993721669141093</v>
      </c>
      <c r="Z87" s="807">
        <f t="shared" si="13"/>
        <v>-0.18586216692319399</v>
      </c>
    </row>
    <row r="88" spans="1:26" ht="20.100000000000001" customHeight="1" x14ac:dyDescent="0.2">
      <c r="A88" s="776">
        <f t="shared" si="29"/>
        <v>122</v>
      </c>
      <c r="B88" s="795">
        <v>42355</v>
      </c>
      <c r="C88" s="818">
        <v>2041.89</v>
      </c>
      <c r="D88" s="792">
        <f t="shared" si="27"/>
        <v>-1.5040495497016531E-2</v>
      </c>
      <c r="E88" s="819">
        <f t="shared" si="31"/>
        <v>-2.8799870626510127E-2</v>
      </c>
      <c r="F88" s="816">
        <v>5002.55</v>
      </c>
      <c r="G88" s="792">
        <f t="shared" si="25"/>
        <v>1.9869287329523865E-3</v>
      </c>
      <c r="H88" s="797">
        <f t="shared" si="32"/>
        <v>-1.7508887012196248E-2</v>
      </c>
      <c r="I88" s="799">
        <v>314862.69</v>
      </c>
      <c r="J88" s="800">
        <v>400000</v>
      </c>
      <c r="K88" s="800">
        <f t="shared" ref="K88:K119" si="33">I88-I87-J88+J87</f>
        <v>-5204.6500000000233</v>
      </c>
      <c r="L88" s="792">
        <f t="shared" si="28"/>
        <v>-1.6261109302811161E-2</v>
      </c>
      <c r="M88" s="817">
        <f t="shared" si="22"/>
        <v>-85137.31</v>
      </c>
      <c r="N88" s="802">
        <f t="shared" si="23"/>
        <v>-0.212843275</v>
      </c>
      <c r="O88" s="786">
        <f t="shared" si="30"/>
        <v>-0.63722136224385251</v>
      </c>
      <c r="P88" s="817" t="b">
        <f t="shared" si="21"/>
        <v>0</v>
      </c>
      <c r="Q88" s="802">
        <f>COUNTIF(P$2:P88, TRUE)/(COUNTIF(P$2:P88,FALSE) + COUNTIF(P$2:P88, TRUE))</f>
        <v>0.43678160919540232</v>
      </c>
      <c r="R88" s="803"/>
      <c r="S88" s="803"/>
      <c r="T88" s="803"/>
      <c r="U88" s="803"/>
      <c r="V88" s="802">
        <f>STDEV(D$2:D88)*SQRT(252)</f>
        <v>0.20523864420055984</v>
      </c>
      <c r="W88" s="802">
        <f>STDEV(L$2:L88)*SQRT(252)</f>
        <v>0.30100381031831397</v>
      </c>
      <c r="X88" s="801">
        <f t="shared" si="11"/>
        <v>-0.42010881445053005</v>
      </c>
      <c r="Y88" s="801">
        <f t="shared" si="12"/>
        <v>-2.1169876938434293</v>
      </c>
      <c r="Z88" s="807">
        <f t="shared" si="13"/>
        <v>-0.18404340437348987</v>
      </c>
    </row>
    <row r="89" spans="1:26" ht="20.100000000000001" customHeight="1" x14ac:dyDescent="0.2">
      <c r="A89" s="776">
        <f t="shared" si="29"/>
        <v>123</v>
      </c>
      <c r="B89" s="795">
        <v>42356</v>
      </c>
      <c r="C89" s="818">
        <v>2005.52</v>
      </c>
      <c r="D89" s="792">
        <f t="shared" si="27"/>
        <v>-1.7811929144077358E-2</v>
      </c>
      <c r="E89" s="819">
        <f t="shared" si="31"/>
        <v>-4.609881851562949E-2</v>
      </c>
      <c r="F89" s="816">
        <v>4923.08</v>
      </c>
      <c r="G89" s="792">
        <f t="shared" si="25"/>
        <v>-1.5885898191922172E-2</v>
      </c>
      <c r="H89" s="797">
        <f t="shared" si="32"/>
        <v>-3.3116640807588804E-2</v>
      </c>
      <c r="I89" s="799">
        <v>315502.05</v>
      </c>
      <c r="J89" s="800">
        <v>400000</v>
      </c>
      <c r="K89" s="800">
        <f t="shared" si="33"/>
        <v>639.35999999998603</v>
      </c>
      <c r="L89" s="792">
        <f t="shared" si="28"/>
        <v>2.0305994336769022E-3</v>
      </c>
      <c r="M89" s="817">
        <f t="shared" si="22"/>
        <v>-84497.950000000012</v>
      </c>
      <c r="N89" s="802">
        <f t="shared" si="23"/>
        <v>-0.21124487500000003</v>
      </c>
      <c r="O89" s="786">
        <f t="shared" si="30"/>
        <v>-0.62729423246951233</v>
      </c>
      <c r="P89" s="817" t="b">
        <f t="shared" si="21"/>
        <v>1</v>
      </c>
      <c r="Q89" s="802">
        <f>COUNTIF(P$2:P89, TRUE)/(COUNTIF(P$2:P89,FALSE) + COUNTIF(P$2:P89, TRUE))</f>
        <v>0.44318181818181818</v>
      </c>
      <c r="R89" s="803"/>
      <c r="S89" s="803"/>
      <c r="T89" s="803"/>
      <c r="U89" s="803"/>
      <c r="V89" s="802">
        <f>STDEV(D$2:D89)*SQRT(252)</f>
        <v>0.20621771492919441</v>
      </c>
      <c r="W89" s="802">
        <f>STDEV(L$2:L89)*SQRT(252)</f>
        <v>0.29930992001467371</v>
      </c>
      <c r="X89" s="801">
        <f t="shared" si="11"/>
        <v>-0.66381786748959659</v>
      </c>
      <c r="Y89" s="801">
        <f t="shared" si="12"/>
        <v>-2.0958016775346406</v>
      </c>
      <c r="Z89" s="807">
        <f t="shared" si="13"/>
        <v>-0.16514605648437053</v>
      </c>
    </row>
    <row r="90" spans="1:26" ht="20.100000000000001" customHeight="1" x14ac:dyDescent="0.2">
      <c r="A90" s="776">
        <f t="shared" si="29"/>
        <v>126</v>
      </c>
      <c r="B90" s="778">
        <v>42359</v>
      </c>
      <c r="C90" s="779">
        <v>2021.15</v>
      </c>
      <c r="D90" s="792">
        <f t="shared" si="27"/>
        <v>7.7934899676892324E-3</v>
      </c>
      <c r="E90" s="780">
        <f t="shared" si="31"/>
        <v>-3.8664599227564142E-2</v>
      </c>
      <c r="F90" s="781">
        <v>4968.92</v>
      </c>
      <c r="G90" s="792">
        <f t="shared" si="25"/>
        <v>9.3112441804724163E-3</v>
      </c>
      <c r="H90" s="793">
        <f t="shared" si="32"/>
        <v>-2.4113753756112841E-2</v>
      </c>
      <c r="I90" s="782">
        <v>320825.06</v>
      </c>
      <c r="J90" s="783">
        <v>400000</v>
      </c>
      <c r="K90" s="783">
        <f t="shared" si="33"/>
        <v>5323.0100000000093</v>
      </c>
      <c r="L90" s="792">
        <f t="shared" si="28"/>
        <v>1.6871554400359711E-2</v>
      </c>
      <c r="M90" s="811">
        <f t="shared" si="22"/>
        <v>-79174.94</v>
      </c>
      <c r="N90" s="786">
        <f t="shared" si="23"/>
        <v>-0.19793735000000001</v>
      </c>
      <c r="O90" s="786">
        <f t="shared" si="30"/>
        <v>-0.57378267529761906</v>
      </c>
      <c r="P90" s="811" t="b">
        <f t="shared" si="21"/>
        <v>1</v>
      </c>
      <c r="Q90" s="786">
        <f>COUNTIF(P$2:P90, TRUE)/(COUNTIF(P$2:P90,FALSE) + COUNTIF(P$2:P90, TRUE))</f>
        <v>0.449438202247191</v>
      </c>
      <c r="R90" s="787"/>
      <c r="S90" s="787"/>
      <c r="T90" s="787"/>
      <c r="U90" s="787"/>
      <c r="V90" s="786">
        <f>STDEV(D$2:D90)*SQRT(252)</f>
        <v>0.20550415563548391</v>
      </c>
      <c r="W90" s="786">
        <f>STDEV(L$2:L90)*SQRT(252)</f>
        <v>0.29920187088435746</v>
      </c>
      <c r="X90" s="801">
        <f t="shared" si="11"/>
        <v>-0.54539679807715036</v>
      </c>
      <c r="Y90" s="801">
        <f t="shared" si="12"/>
        <v>-1.9177108538849612</v>
      </c>
      <c r="Z90" s="807">
        <f t="shared" si="13"/>
        <v>-0.15927275077243586</v>
      </c>
    </row>
    <row r="91" spans="1:26" ht="20.100000000000001" customHeight="1" x14ac:dyDescent="0.2">
      <c r="A91" s="776">
        <f t="shared" si="29"/>
        <v>127</v>
      </c>
      <c r="B91" s="778">
        <v>42360</v>
      </c>
      <c r="C91" s="779">
        <v>2038.97</v>
      </c>
      <c r="D91" s="792">
        <f t="shared" si="27"/>
        <v>8.8167627340869983E-3</v>
      </c>
      <c r="E91" s="780">
        <f t="shared" si="31"/>
        <v>-3.0188733091075143E-2</v>
      </c>
      <c r="F91" s="781">
        <v>5001.1099999999997</v>
      </c>
      <c r="G91" s="792">
        <f t="shared" si="25"/>
        <v>6.4782689196041798E-3</v>
      </c>
      <c r="H91" s="793">
        <f t="shared" si="32"/>
        <v>-1.7791700218001874E-2</v>
      </c>
      <c r="I91" s="782">
        <v>321902.78000000003</v>
      </c>
      <c r="J91" s="783">
        <v>400000</v>
      </c>
      <c r="K91" s="783">
        <f t="shared" si="33"/>
        <v>1077.7200000000303</v>
      </c>
      <c r="L91" s="792">
        <f t="shared" si="28"/>
        <v>3.3592138968197506E-3</v>
      </c>
      <c r="M91" s="811">
        <f t="shared" si="22"/>
        <v>-78097.219999999972</v>
      </c>
      <c r="N91" s="786">
        <f t="shared" si="23"/>
        <v>-0.19524304999999992</v>
      </c>
      <c r="O91" s="786">
        <f t="shared" si="30"/>
        <v>-0.56151593710629899</v>
      </c>
      <c r="P91" s="811" t="b">
        <f t="shared" ref="P91:P122" si="34">L91&gt;D91</f>
        <v>0</v>
      </c>
      <c r="Q91" s="786">
        <f>COUNTIF(P$2:P91, TRUE)/(COUNTIF(P$2:P91,FALSE) + COUNTIF(P$2:P91, TRUE))</f>
        <v>0.44444444444444442</v>
      </c>
      <c r="R91" s="787"/>
      <c r="S91" s="787"/>
      <c r="T91" s="787"/>
      <c r="U91" s="787"/>
      <c r="V91" s="786">
        <f>STDEV(D$2:D91)*SQRT(252)</f>
        <v>0.20491645962952909</v>
      </c>
      <c r="W91" s="786">
        <f>STDEV(L$2:L91)*SQRT(252)</f>
        <v>0.29759929719842121</v>
      </c>
      <c r="X91" s="801">
        <f t="shared" ref="X91:X154" si="35">E91/(A91/365.25)/V91</f>
        <v>-0.42369617898815781</v>
      </c>
      <c r="Y91" s="801">
        <f t="shared" ref="Y91:Y154" si="36">O91/W91</f>
        <v>-1.8868187606367703</v>
      </c>
      <c r="Z91" s="807">
        <f t="shared" ref="Z91:Z154" si="37">-(E91-N91)</f>
        <v>-0.16505431690892478</v>
      </c>
    </row>
    <row r="92" spans="1:26" ht="20.100000000000001" customHeight="1" x14ac:dyDescent="0.2">
      <c r="A92" s="776">
        <f t="shared" si="29"/>
        <v>128</v>
      </c>
      <c r="B92" s="778">
        <v>42361</v>
      </c>
      <c r="C92" s="779">
        <v>2064.29</v>
      </c>
      <c r="D92" s="792">
        <f t="shared" si="27"/>
        <v>1.2418034595898879E-2</v>
      </c>
      <c r="E92" s="780">
        <f t="shared" si="31"/>
        <v>-1.8145583227107593E-2</v>
      </c>
      <c r="F92" s="781">
        <v>5045.93</v>
      </c>
      <c r="G92" s="792">
        <f t="shared" si="25"/>
        <v>8.9620104336838469E-3</v>
      </c>
      <c r="H92" s="793">
        <f t="shared" si="32"/>
        <v>-8.9891391873047361E-3</v>
      </c>
      <c r="I92" s="782">
        <v>330734.09999999998</v>
      </c>
      <c r="J92" s="783">
        <v>400000</v>
      </c>
      <c r="K92" s="783">
        <f t="shared" si="33"/>
        <v>8831.3199999999488</v>
      </c>
      <c r="L92" s="792">
        <f t="shared" si="28"/>
        <v>2.7434742874851679E-2</v>
      </c>
      <c r="M92" s="811">
        <f t="shared" si="22"/>
        <v>-69265.900000000023</v>
      </c>
      <c r="N92" s="786">
        <f t="shared" si="23"/>
        <v>-0.17316475000000006</v>
      </c>
      <c r="O92" s="786">
        <f t="shared" si="30"/>
        <v>-0.49412831982421895</v>
      </c>
      <c r="P92" s="811" t="b">
        <f t="shared" si="34"/>
        <v>1</v>
      </c>
      <c r="Q92" s="786">
        <f>COUNTIF(P$2:P92, TRUE)/(COUNTIF(P$2:P92,FALSE) + COUNTIF(P$2:P92, TRUE))</f>
        <v>0.45054945054945056</v>
      </c>
      <c r="R92" s="787"/>
      <c r="S92" s="787"/>
      <c r="T92" s="787"/>
      <c r="U92" s="787"/>
      <c r="V92" s="786">
        <f>STDEV(D$2:D92)*SQRT(252)</f>
        <v>0.20486368921422393</v>
      </c>
      <c r="W92" s="786">
        <f>STDEV(L$2:L92)*SQRT(252)</f>
        <v>0.29978352577242878</v>
      </c>
      <c r="X92" s="801">
        <f t="shared" si="35"/>
        <v>-0.25274710936765843</v>
      </c>
      <c r="Y92" s="801">
        <f t="shared" si="36"/>
        <v>-1.6482837692666303</v>
      </c>
      <c r="Z92" s="807">
        <f t="shared" si="37"/>
        <v>-0.15501916677289246</v>
      </c>
    </row>
    <row r="93" spans="1:26" ht="20.100000000000001" customHeight="1" x14ac:dyDescent="0.2">
      <c r="A93" s="776">
        <f t="shared" si="29"/>
        <v>129</v>
      </c>
      <c r="B93" s="778">
        <v>42362</v>
      </c>
      <c r="C93" s="812">
        <v>2060.9899999999998</v>
      </c>
      <c r="D93" s="792">
        <f t="shared" si="27"/>
        <v>-1.5986125980362168E-3</v>
      </c>
      <c r="E93" s="780">
        <f t="shared" si="31"/>
        <v>-1.9715188067198242E-2</v>
      </c>
      <c r="F93" s="781">
        <v>5048.49</v>
      </c>
      <c r="G93" s="792">
        <f t="shared" si="25"/>
        <v>5.0733957863059742E-4</v>
      </c>
      <c r="H93" s="793">
        <f t="shared" si="32"/>
        <v>-8.4863601547616793E-3</v>
      </c>
      <c r="I93" s="782">
        <v>331472.32</v>
      </c>
      <c r="J93" s="783">
        <v>400000</v>
      </c>
      <c r="K93" s="783">
        <f t="shared" si="33"/>
        <v>738.22000000003027</v>
      </c>
      <c r="L93" s="792">
        <f t="shared" si="28"/>
        <v>2.2320649730403676E-3</v>
      </c>
      <c r="M93" s="811">
        <f t="shared" si="22"/>
        <v>-68527.679999999993</v>
      </c>
      <c r="N93" s="786">
        <f t="shared" si="23"/>
        <v>-0.17131919999999998</v>
      </c>
      <c r="O93" s="786">
        <f t="shared" si="30"/>
        <v>-0.48507238604651154</v>
      </c>
      <c r="P93" s="811" t="b">
        <f t="shared" si="34"/>
        <v>1</v>
      </c>
      <c r="Q93" s="786">
        <f>COUNTIF(P$2:P93, TRUE)/(COUNTIF(P$2:P93,FALSE) + COUNTIF(P$2:P93, TRUE))</f>
        <v>0.45652173913043476</v>
      </c>
      <c r="R93" s="787"/>
      <c r="S93" s="787"/>
      <c r="T93" s="787"/>
      <c r="U93" s="787"/>
      <c r="V93" s="786">
        <f>STDEV(D$2:D93)*SQRT(252)</f>
        <v>0.20373721805124861</v>
      </c>
      <c r="W93" s="786">
        <f>STDEV(L$2:L93)*SQRT(252)</f>
        <v>0.29815917239051543</v>
      </c>
      <c r="X93" s="801">
        <f t="shared" si="35"/>
        <v>-0.27398770008175166</v>
      </c>
      <c r="Y93" s="801">
        <f t="shared" si="36"/>
        <v>-1.6268907045770358</v>
      </c>
      <c r="Z93" s="807">
        <f t="shared" si="37"/>
        <v>-0.15160401193280174</v>
      </c>
    </row>
    <row r="94" spans="1:26" ht="20.100000000000001" customHeight="1" x14ac:dyDescent="0.2">
      <c r="A94" s="776">
        <f t="shared" si="29"/>
        <v>133</v>
      </c>
      <c r="B94" s="795">
        <v>42366</v>
      </c>
      <c r="C94" s="820">
        <v>2056.5</v>
      </c>
      <c r="D94" s="792">
        <f t="shared" si="27"/>
        <v>-2.178564670376752E-3</v>
      </c>
      <c r="E94" s="819">
        <f t="shared" si="31"/>
        <v>-2.1850801925381962E-2</v>
      </c>
      <c r="F94" s="816">
        <v>5040.99</v>
      </c>
      <c r="G94" s="792">
        <f t="shared" si="25"/>
        <v>-1.4855927217841374E-3</v>
      </c>
      <c r="H94" s="797">
        <f t="shared" si="32"/>
        <v>-9.9593456016654636E-3</v>
      </c>
      <c r="I94" s="799">
        <v>324433.87</v>
      </c>
      <c r="J94" s="800">
        <v>400000</v>
      </c>
      <c r="K94" s="800">
        <f t="shared" si="33"/>
        <v>-7038.4500000000116</v>
      </c>
      <c r="L94" s="792">
        <f t="shared" si="28"/>
        <v>-2.1233899711445021E-2</v>
      </c>
      <c r="M94" s="817">
        <f t="shared" ref="M94:M125" si="38">I94-J94</f>
        <v>-75566.13</v>
      </c>
      <c r="N94" s="802">
        <f t="shared" ref="N94:N125" si="39">M94/J94</f>
        <v>-0.18891532500000002</v>
      </c>
      <c r="O94" s="786">
        <f t="shared" si="30"/>
        <v>-0.51880693576127823</v>
      </c>
      <c r="P94" s="817" t="b">
        <f t="shared" si="34"/>
        <v>0</v>
      </c>
      <c r="Q94" s="802">
        <f>COUNTIF(P$2:P94, TRUE)/(COUNTIF(P$2:P94,FALSE) + COUNTIF(P$2:P94, TRUE))</f>
        <v>0.45161290322580644</v>
      </c>
      <c r="R94" s="803"/>
      <c r="S94" s="803"/>
      <c r="T94" s="803"/>
      <c r="U94" s="803"/>
      <c r="V94" s="802">
        <f>STDEV(D$2:D94)*SQRT(252)</f>
        <v>0.20264285644820698</v>
      </c>
      <c r="W94" s="802">
        <f>STDEV(L$2:L94)*SQRT(252)</f>
        <v>0.29842518034690152</v>
      </c>
      <c r="X94" s="801">
        <f t="shared" si="35"/>
        <v>-0.29612472146649621</v>
      </c>
      <c r="Y94" s="801">
        <f t="shared" si="36"/>
        <v>-1.7384824402491641</v>
      </c>
      <c r="Z94" s="807">
        <f t="shared" si="37"/>
        <v>-0.16706452307461805</v>
      </c>
    </row>
    <row r="95" spans="1:26" ht="20.100000000000001" customHeight="1" x14ac:dyDescent="0.2">
      <c r="A95" s="776">
        <f t="shared" si="29"/>
        <v>134</v>
      </c>
      <c r="B95" s="795">
        <v>42367</v>
      </c>
      <c r="C95" s="818">
        <v>2078.36</v>
      </c>
      <c r="D95" s="792">
        <f t="shared" si="27"/>
        <v>1.0629710673474412E-2</v>
      </c>
      <c r="E95" s="819">
        <f t="shared" si="31"/>
        <v>-1.1453358954357758E-2</v>
      </c>
      <c r="F95" s="816">
        <v>5107.9399999999996</v>
      </c>
      <c r="G95" s="792">
        <f t="shared" si="25"/>
        <v>1.3281121367033027E-2</v>
      </c>
      <c r="H95" s="797">
        <f t="shared" si="32"/>
        <v>3.1895044876956188E-3</v>
      </c>
      <c r="I95" s="799">
        <v>326263</v>
      </c>
      <c r="J95" s="800">
        <v>400000</v>
      </c>
      <c r="K95" s="800">
        <f t="shared" si="33"/>
        <v>1829.1300000000047</v>
      </c>
      <c r="L95" s="792">
        <f t="shared" si="28"/>
        <v>5.6379132055478813E-3</v>
      </c>
      <c r="M95" s="817">
        <f t="shared" si="38"/>
        <v>-73737</v>
      </c>
      <c r="N95" s="802">
        <f t="shared" si="39"/>
        <v>-0.18434249999999999</v>
      </c>
      <c r="O95" s="786">
        <f t="shared" si="30"/>
        <v>-0.50247088152985075</v>
      </c>
      <c r="P95" s="817" t="b">
        <f t="shared" si="34"/>
        <v>0</v>
      </c>
      <c r="Q95" s="802">
        <f>COUNTIF(P$2:P95, TRUE)/(COUNTIF(P$2:P95,FALSE) + COUNTIF(P$2:P95, TRUE))</f>
        <v>0.44680851063829785</v>
      </c>
      <c r="R95" s="803"/>
      <c r="S95" s="803"/>
      <c r="T95" s="803"/>
      <c r="U95" s="803"/>
      <c r="V95" s="802">
        <f>STDEV(D$2:D95)*SQRT(252)</f>
        <v>0.2023195411541808</v>
      </c>
      <c r="W95" s="802">
        <f>STDEV(L$2:L95)*SQRT(252)</f>
        <v>0.29700566198828871</v>
      </c>
      <c r="X95" s="801">
        <f t="shared" si="35"/>
        <v>-0.1543051662500349</v>
      </c>
      <c r="Y95" s="801">
        <f t="shared" si="36"/>
        <v>-1.6917888977808908</v>
      </c>
      <c r="Z95" s="807">
        <f t="shared" si="37"/>
        <v>-0.17288914104564224</v>
      </c>
    </row>
    <row r="96" spans="1:26" ht="20.100000000000001" customHeight="1" x14ac:dyDescent="0.2">
      <c r="A96" s="776">
        <f t="shared" si="29"/>
        <v>135</v>
      </c>
      <c r="B96" s="795">
        <v>42368</v>
      </c>
      <c r="C96" s="818">
        <v>2063.36</v>
      </c>
      <c r="D96" s="792">
        <f t="shared" si="27"/>
        <v>-7.2172289689947837E-3</v>
      </c>
      <c r="E96" s="819">
        <f>(C96-$C$2)/$C$2</f>
        <v>-1.8587926409314857E-2</v>
      </c>
      <c r="F96" s="816">
        <v>5065.84</v>
      </c>
      <c r="G96" s="792">
        <f t="shared" si="25"/>
        <v>-8.242070188764836E-3</v>
      </c>
      <c r="H96" s="797">
        <f t="shared" si="32"/>
        <v>-5.0788538209241849E-3</v>
      </c>
      <c r="I96" s="799">
        <v>318053.19</v>
      </c>
      <c r="J96" s="800">
        <v>400000</v>
      </c>
      <c r="K96" s="800">
        <f t="shared" si="33"/>
        <v>-8209.8099999999977</v>
      </c>
      <c r="L96" s="792">
        <f t="shared" si="28"/>
        <v>-2.5163165912162881E-2</v>
      </c>
      <c r="M96" s="817">
        <f t="shared" si="38"/>
        <v>-81946.81</v>
      </c>
      <c r="N96" s="802">
        <f t="shared" si="39"/>
        <v>-0.20486702499999998</v>
      </c>
      <c r="O96" s="786">
        <f t="shared" si="30"/>
        <v>-0.55427911763888882</v>
      </c>
      <c r="P96" s="817" t="b">
        <f t="shared" si="34"/>
        <v>0</v>
      </c>
      <c r="Q96" s="802">
        <f>COUNTIF(P$2:P96, TRUE)/(COUNTIF(P$2:P96,FALSE) + COUNTIF(P$2:P96, TRUE))</f>
        <v>0.44210526315789472</v>
      </c>
      <c r="R96" s="803"/>
      <c r="S96" s="803"/>
      <c r="T96" s="803"/>
      <c r="U96" s="803"/>
      <c r="V96" s="802">
        <f>STDEV(D$2:D96)*SQRT(252)</f>
        <v>0.20157138397467259</v>
      </c>
      <c r="W96" s="802">
        <f>STDEV(L$2:L96)*SQRT(252)</f>
        <v>0.29803742324397353</v>
      </c>
      <c r="X96" s="801">
        <f t="shared" si="35"/>
        <v>-0.24949309059315017</v>
      </c>
      <c r="Y96" s="801">
        <f t="shared" si="36"/>
        <v>-1.8597634874367968</v>
      </c>
      <c r="Z96" s="807">
        <f t="shared" si="37"/>
        <v>-0.18627909859068512</v>
      </c>
    </row>
    <row r="97" spans="1:26" ht="20.100000000000001" customHeight="1" x14ac:dyDescent="0.2">
      <c r="A97" s="776">
        <f t="shared" si="29"/>
        <v>136</v>
      </c>
      <c r="B97" s="795">
        <v>42369</v>
      </c>
      <c r="C97" s="818">
        <v>2043.94</v>
      </c>
      <c r="D97" s="792">
        <f t="shared" si="27"/>
        <v>-9.4118331265509031E-3</v>
      </c>
      <c r="E97" s="819">
        <f>(C97-$C$2)/$C$2</f>
        <v>-2.7824813074332679E-2</v>
      </c>
      <c r="F97" s="816">
        <v>5007.41</v>
      </c>
      <c r="G97" s="792">
        <f t="shared" si="25"/>
        <v>-1.1534118724634076E-2</v>
      </c>
      <c r="H97" s="797">
        <f t="shared" si="32"/>
        <v>-1.655439244260266E-2</v>
      </c>
      <c r="I97" s="823">
        <v>320884.32</v>
      </c>
      <c r="J97" s="800">
        <v>400000</v>
      </c>
      <c r="K97" s="800">
        <f t="shared" si="33"/>
        <v>2831.1300000000047</v>
      </c>
      <c r="L97" s="792">
        <f t="shared" si="28"/>
        <v>8.9014356372278634E-3</v>
      </c>
      <c r="M97" s="817">
        <f t="shared" si="38"/>
        <v>-79115.679999999993</v>
      </c>
      <c r="N97" s="802">
        <f t="shared" si="39"/>
        <v>-0.19778919999999997</v>
      </c>
      <c r="O97" s="786">
        <f t="shared" si="30"/>
        <v>-0.53119489191176461</v>
      </c>
      <c r="P97" s="817" t="b">
        <f t="shared" si="34"/>
        <v>1</v>
      </c>
      <c r="Q97" s="802">
        <f>COUNTIF(P$2:P97, TRUE)/(COUNTIF(P$2:P97,FALSE) + COUNTIF(P$2:P97, TRUE))</f>
        <v>0.44791666666666669</v>
      </c>
      <c r="R97" s="803"/>
      <c r="S97" s="803"/>
      <c r="T97" s="803"/>
      <c r="U97" s="803"/>
      <c r="V97" s="802">
        <f>STDEV(D$2:D97)*SQRT(252)</f>
        <v>0.20106669704355981</v>
      </c>
      <c r="W97" s="802">
        <f>STDEV(L$2:L97)*SQRT(252)</f>
        <v>0.29691114338787766</v>
      </c>
      <c r="X97" s="801">
        <f t="shared" si="35"/>
        <v>-0.37165795073280716</v>
      </c>
      <c r="Y97" s="801">
        <f t="shared" si="36"/>
        <v>-1.7890702445540221</v>
      </c>
      <c r="Z97" s="807">
        <f t="shared" si="37"/>
        <v>-0.16996438692566729</v>
      </c>
    </row>
    <row r="98" spans="1:26" ht="20.100000000000001" customHeight="1" x14ac:dyDescent="0.2">
      <c r="A98" s="776">
        <f t="shared" si="29"/>
        <v>140</v>
      </c>
      <c r="B98" s="778">
        <v>42373</v>
      </c>
      <c r="C98" s="779">
        <v>2012.66</v>
      </c>
      <c r="D98" s="792">
        <f t="shared" si="27"/>
        <v>-1.5303776040392561E-2</v>
      </c>
      <c r="E98" s="780">
        <f t="shared" ref="E98:E103" si="40">(C98-$C$2)/$C$2</f>
        <v>-4.2702764407069868E-2</v>
      </c>
      <c r="F98" s="781">
        <v>4903.08</v>
      </c>
      <c r="G98" s="792">
        <f t="shared" si="25"/>
        <v>-2.0835122348679243E-2</v>
      </c>
      <c r="H98" s="793">
        <f t="shared" si="32"/>
        <v>-3.7044601999332225E-2</v>
      </c>
      <c r="I98" s="782">
        <v>323756.46999999997</v>
      </c>
      <c r="J98" s="783">
        <v>400000</v>
      </c>
      <c r="K98" s="783">
        <f t="shared" si="33"/>
        <v>2872.1499999999651</v>
      </c>
      <c r="L98" s="792">
        <f t="shared" si="28"/>
        <v>8.950733398253816E-3</v>
      </c>
      <c r="M98" s="811">
        <f t="shared" si="38"/>
        <v>-76243.530000000028</v>
      </c>
      <c r="N98" s="786">
        <f t="shared" si="39"/>
        <v>-0.19060882500000007</v>
      </c>
      <c r="O98" s="786">
        <f t="shared" si="30"/>
        <v>-0.49728480950892878</v>
      </c>
      <c r="P98" s="811" t="b">
        <f t="shared" si="34"/>
        <v>1</v>
      </c>
      <c r="Q98" s="786">
        <f>COUNTIF(P$2:P98, TRUE)/(COUNTIF(P$2:P98,FALSE) + COUNTIF(P$2:P98, TRUE))</f>
        <v>0.45360824742268041</v>
      </c>
      <c r="R98" s="787"/>
      <c r="S98" s="787"/>
      <c r="T98" s="787"/>
      <c r="U98" s="787"/>
      <c r="V98" s="786">
        <f>STDEV(D$2:D98)*SQRT(252)</f>
        <v>0.20149367115092381</v>
      </c>
      <c r="W98" s="786">
        <f>STDEV(L$2:L98)*SQRT(252)</f>
        <v>0.29579926006722401</v>
      </c>
      <c r="X98" s="801">
        <f t="shared" si="35"/>
        <v>-0.55291296001619772</v>
      </c>
      <c r="Y98" s="801">
        <f t="shared" si="36"/>
        <v>-1.6811563673144914</v>
      </c>
      <c r="Z98" s="807">
        <f t="shared" si="37"/>
        <v>-0.14790606059293021</v>
      </c>
    </row>
    <row r="99" spans="1:26" ht="20.100000000000001" customHeight="1" x14ac:dyDescent="0.2">
      <c r="A99" s="776">
        <f t="shared" si="29"/>
        <v>141</v>
      </c>
      <c r="B99" s="778">
        <v>42374</v>
      </c>
      <c r="C99" s="779">
        <v>2016.71</v>
      </c>
      <c r="D99" s="792">
        <f t="shared" si="27"/>
        <v>2.0122623791400209E-3</v>
      </c>
      <c r="E99" s="780">
        <f t="shared" si="40"/>
        <v>-4.0776431194231473E-2</v>
      </c>
      <c r="F99" s="781">
        <v>4891.43</v>
      </c>
      <c r="G99" s="792">
        <f t="shared" si="25"/>
        <v>-2.3760574985518565E-3</v>
      </c>
      <c r="H99" s="793">
        <f t="shared" si="32"/>
        <v>-3.9332639393522703E-2</v>
      </c>
      <c r="I99" s="782">
        <v>326120.51</v>
      </c>
      <c r="J99" s="783">
        <v>400000</v>
      </c>
      <c r="K99" s="783">
        <f t="shared" si="33"/>
        <v>2364.0400000000373</v>
      </c>
      <c r="L99" s="792">
        <f t="shared" si="28"/>
        <v>7.3019081286623787E-3</v>
      </c>
      <c r="M99" s="811">
        <f t="shared" si="38"/>
        <v>-73879.489999999991</v>
      </c>
      <c r="N99" s="786">
        <f t="shared" si="39"/>
        <v>-0.18469872499999998</v>
      </c>
      <c r="O99" s="786">
        <f t="shared" si="30"/>
        <v>-0.4784482929521276</v>
      </c>
      <c r="P99" s="811" t="b">
        <f t="shared" si="34"/>
        <v>1</v>
      </c>
      <c r="Q99" s="786">
        <f>COUNTIF(P$2:P99, TRUE)/(COUNTIF(P$2:P99,FALSE) + COUNTIF(P$2:P99, TRUE))</f>
        <v>0.45918367346938777</v>
      </c>
      <c r="R99" s="787"/>
      <c r="S99" s="787"/>
      <c r="T99" s="787"/>
      <c r="U99" s="787"/>
      <c r="V99" s="786">
        <f>STDEV(D$2:D99)*SQRT(252)</f>
        <v>0.20047839614181759</v>
      </c>
      <c r="W99" s="786">
        <f>STDEV(L$2:L99)*SQRT(252)</f>
        <v>0.29456352660323443</v>
      </c>
      <c r="X99" s="801">
        <f t="shared" si="35"/>
        <v>-0.52688125253749085</v>
      </c>
      <c r="Y99" s="801">
        <f t="shared" si="36"/>
        <v>-1.6242618306121068</v>
      </c>
      <c r="Z99" s="807">
        <f t="shared" si="37"/>
        <v>-0.14392229380576851</v>
      </c>
    </row>
    <row r="100" spans="1:26" ht="20.100000000000001" customHeight="1" x14ac:dyDescent="0.2">
      <c r="A100" s="776">
        <f t="shared" si="29"/>
        <v>142</v>
      </c>
      <c r="B100" s="778">
        <v>42375</v>
      </c>
      <c r="C100" s="779">
        <v>1990.26</v>
      </c>
      <c r="D100" s="792">
        <f t="shared" si="27"/>
        <v>-1.3115420660382527E-2</v>
      </c>
      <c r="E100" s="780">
        <f t="shared" si="40"/>
        <v>-5.3357051806472509E-2</v>
      </c>
      <c r="F100" s="781">
        <v>4835.76</v>
      </c>
      <c r="G100" s="792">
        <f t="shared" si="25"/>
        <v>-1.1381129853641996E-2</v>
      </c>
      <c r="H100" s="793">
        <f t="shared" si="32"/>
        <v>-5.026611937074054E-2</v>
      </c>
      <c r="I100" s="782">
        <v>307215.3</v>
      </c>
      <c r="J100" s="783">
        <v>400000</v>
      </c>
      <c r="K100" s="783">
        <f t="shared" si="33"/>
        <v>-18905.210000000021</v>
      </c>
      <c r="L100" s="792">
        <f t="shared" si="28"/>
        <v>-5.7970012373646844E-2</v>
      </c>
      <c r="M100" s="811">
        <f t="shared" si="38"/>
        <v>-92784.700000000012</v>
      </c>
      <c r="N100" s="786">
        <f t="shared" si="39"/>
        <v>-0.23196175000000002</v>
      </c>
      <c r="O100" s="786">
        <f t="shared" si="30"/>
        <v>-0.59664809286971832</v>
      </c>
      <c r="P100" s="811" t="b">
        <f t="shared" si="34"/>
        <v>0</v>
      </c>
      <c r="Q100" s="786">
        <f>COUNTIF(P$2:P100, TRUE)/(COUNTIF(P$2:P100,FALSE) + COUNTIF(P$2:P100, TRUE))</f>
        <v>0.45454545454545453</v>
      </c>
      <c r="R100" s="787"/>
      <c r="S100" s="787"/>
      <c r="T100" s="787"/>
      <c r="U100" s="787"/>
      <c r="V100" s="786">
        <f>STDEV(D$2:D100)*SQRT(252)</f>
        <v>0.20049006957671658</v>
      </c>
      <c r="W100" s="786">
        <f>STDEV(L$2:L100)*SQRT(252)</f>
        <v>0.30696087260477756</v>
      </c>
      <c r="X100" s="801">
        <f t="shared" si="35"/>
        <v>-0.68454316533999937</v>
      </c>
      <c r="Y100" s="801">
        <f t="shared" si="36"/>
        <v>-1.9437268594096122</v>
      </c>
      <c r="Z100" s="807">
        <f t="shared" si="37"/>
        <v>-0.17860469819352751</v>
      </c>
    </row>
    <row r="101" spans="1:26" ht="20.100000000000001" customHeight="1" x14ac:dyDescent="0.2">
      <c r="A101" s="776">
        <f t="shared" si="29"/>
        <v>143</v>
      </c>
      <c r="B101" s="778">
        <v>42376</v>
      </c>
      <c r="C101" s="812">
        <v>1943.09</v>
      </c>
      <c r="D101" s="792">
        <f t="shared" si="27"/>
        <v>-2.3700421050516049E-2</v>
      </c>
      <c r="E101" s="780">
        <f t="shared" si="40"/>
        <v>-7.5792888263160968E-2</v>
      </c>
      <c r="F101" s="781">
        <v>4689.42</v>
      </c>
      <c r="G101" s="792">
        <f t="shared" si="25"/>
        <v>-3.0262047744304958E-2</v>
      </c>
      <c r="H101" s="793">
        <f t="shared" si="32"/>
        <v>-7.9007011410727218E-2</v>
      </c>
      <c r="I101" s="782">
        <v>296450.84999999998</v>
      </c>
      <c r="J101" s="783">
        <v>400000</v>
      </c>
      <c r="K101" s="783">
        <f t="shared" si="33"/>
        <v>-10764.450000000012</v>
      </c>
      <c r="L101" s="792">
        <f t="shared" si="28"/>
        <v>-3.503878224814979E-2</v>
      </c>
      <c r="M101" s="811">
        <f t="shared" si="38"/>
        <v>-103549.15000000002</v>
      </c>
      <c r="N101" s="786">
        <f t="shared" si="39"/>
        <v>-0.25887287500000006</v>
      </c>
      <c r="O101" s="786">
        <f t="shared" si="30"/>
        <v>-0.66121201114510508</v>
      </c>
      <c r="P101" s="811" t="b">
        <f t="shared" si="34"/>
        <v>0</v>
      </c>
      <c r="Q101" s="786">
        <f>COUNTIF(P$2:P101, TRUE)/(COUNTIF(P$2:P101,FALSE) + COUNTIF(P$2:P101, TRUE))</f>
        <v>0.45</v>
      </c>
      <c r="R101" s="787"/>
      <c r="S101" s="787"/>
      <c r="T101" s="787"/>
      <c r="U101" s="787"/>
      <c r="V101" s="786">
        <f>STDEV(D$2:D101)*SQRT(252)</f>
        <v>0.20287568849216503</v>
      </c>
      <c r="W101" s="786">
        <f>STDEV(L$2:L101)*SQRT(252)</f>
        <v>0.3100263800011836</v>
      </c>
      <c r="X101" s="801">
        <f t="shared" si="35"/>
        <v>-0.95422905833846872</v>
      </c>
      <c r="Y101" s="801">
        <f t="shared" si="36"/>
        <v>-2.132760480390671</v>
      </c>
      <c r="Z101" s="807">
        <f t="shared" si="37"/>
        <v>-0.18307998673683909</v>
      </c>
    </row>
    <row r="102" spans="1:26" ht="20.100000000000001" customHeight="1" x14ac:dyDescent="0.2">
      <c r="A102" s="776">
        <f t="shared" si="29"/>
        <v>144</v>
      </c>
      <c r="B102" s="778">
        <v>42377</v>
      </c>
      <c r="C102" s="812">
        <v>1922.03</v>
      </c>
      <c r="D102" s="792">
        <f t="shared" si="27"/>
        <v>-1.0838406867412187E-2</v>
      </c>
      <c r="E102" s="780">
        <f t="shared" si="40"/>
        <v>-8.5809820969920694E-2</v>
      </c>
      <c r="F102" s="781">
        <v>4643.63</v>
      </c>
      <c r="G102" s="792">
        <f t="shared" si="25"/>
        <v>-9.7645337802969162E-3</v>
      </c>
      <c r="H102" s="793">
        <f t="shared" si="32"/>
        <v>-8.8000078559223788E-2</v>
      </c>
      <c r="I102" s="782">
        <v>291709.24</v>
      </c>
      <c r="J102" s="783">
        <v>400000</v>
      </c>
      <c r="K102" s="783">
        <f t="shared" si="33"/>
        <v>-4741.609999999986</v>
      </c>
      <c r="L102" s="792">
        <f t="shared" si="28"/>
        <v>-1.5994590671607068E-2</v>
      </c>
      <c r="M102" s="811">
        <f t="shared" si="38"/>
        <v>-108290.76000000001</v>
      </c>
      <c r="N102" s="786">
        <f t="shared" si="39"/>
        <v>-0.27072690000000005</v>
      </c>
      <c r="O102" s="786">
        <f t="shared" si="30"/>
        <v>-0.68668750156250014</v>
      </c>
      <c r="P102" s="811" t="b">
        <f t="shared" si="34"/>
        <v>0</v>
      </c>
      <c r="Q102" s="786">
        <f>COUNTIF(P$2:P102, TRUE)/(COUNTIF(P$2:P102,FALSE) + COUNTIF(P$2:P102, TRUE))</f>
        <v>0.44554455445544555</v>
      </c>
      <c r="R102" s="787"/>
      <c r="S102" s="787"/>
      <c r="T102" s="787"/>
      <c r="U102" s="787"/>
      <c r="V102" s="786">
        <f>STDEV(D$2:D102)*SQRT(252)</f>
        <v>0.20248720457618641</v>
      </c>
      <c r="W102" s="786">
        <f>STDEV(L$2:L102)*SQRT(252)</f>
        <v>0.30926714125463156</v>
      </c>
      <c r="X102" s="801">
        <f t="shared" si="35"/>
        <v>-1.0748977247058797</v>
      </c>
      <c r="Y102" s="801">
        <f t="shared" si="36"/>
        <v>-2.2203700618719266</v>
      </c>
      <c r="Z102" s="807">
        <f t="shared" si="37"/>
        <v>-0.18491707903007937</v>
      </c>
    </row>
    <row r="103" spans="1:26" ht="20.100000000000001" customHeight="1" x14ac:dyDescent="0.2">
      <c r="A103" s="776">
        <f t="shared" si="29"/>
        <v>147</v>
      </c>
      <c r="B103" s="795">
        <v>42380</v>
      </c>
      <c r="C103" s="820">
        <v>1923.67</v>
      </c>
      <c r="D103" s="792">
        <f t="shared" si="27"/>
        <v>8.5326451720321749E-4</v>
      </c>
      <c r="E103" s="819">
        <f t="shared" si="40"/>
        <v>-8.5029774928178675E-2</v>
      </c>
      <c r="F103" s="816">
        <v>4637.9799999999996</v>
      </c>
      <c r="G103" s="792">
        <f t="shared" si="25"/>
        <v>-1.2167205397502698E-3</v>
      </c>
      <c r="H103" s="797">
        <f t="shared" si="32"/>
        <v>-8.9109727595891405E-2</v>
      </c>
      <c r="I103" s="799">
        <v>278511.46999999997</v>
      </c>
      <c r="J103" s="800">
        <v>400000</v>
      </c>
      <c r="K103" s="800">
        <f t="shared" si="33"/>
        <v>-13197.770000000019</v>
      </c>
      <c r="L103" s="792">
        <f t="shared" si="28"/>
        <v>-4.5242893231630298E-2</v>
      </c>
      <c r="M103" s="817">
        <f t="shared" si="38"/>
        <v>-121488.53000000003</v>
      </c>
      <c r="N103" s="802">
        <f t="shared" si="39"/>
        <v>-0.3037213250000001</v>
      </c>
      <c r="O103" s="786">
        <f t="shared" si="30"/>
        <v>-0.75465451670918382</v>
      </c>
      <c r="P103" s="817" t="b">
        <f t="shared" si="34"/>
        <v>0</v>
      </c>
      <c r="Q103" s="802">
        <f>COUNTIF(P$2:P103, TRUE)/(COUNTIF(P$2:P103,FALSE) + COUNTIF(P$2:P103, TRUE))</f>
        <v>0.44117647058823528</v>
      </c>
      <c r="R103" s="803"/>
      <c r="S103" s="803"/>
      <c r="T103" s="803"/>
      <c r="U103" s="803"/>
      <c r="V103" s="802">
        <f>STDEV(D$2:D103)*SQRT(252)</f>
        <v>0.20148947946934948</v>
      </c>
      <c r="W103" s="802">
        <f>STDEV(L$2:L103)*SQRT(252)</f>
        <v>0.31519307674971891</v>
      </c>
      <c r="X103" s="801">
        <f t="shared" si="35"/>
        <v>-1.0485557942280832</v>
      </c>
      <c r="Y103" s="801">
        <f t="shared" si="36"/>
        <v>-2.3942610811481182</v>
      </c>
      <c r="Z103" s="807">
        <f t="shared" si="37"/>
        <v>-0.21869155007182142</v>
      </c>
    </row>
    <row r="104" spans="1:26" ht="20.100000000000001" customHeight="1" x14ac:dyDescent="0.2">
      <c r="A104" s="776">
        <f t="shared" si="29"/>
        <v>148</v>
      </c>
      <c r="B104" s="795">
        <v>42381</v>
      </c>
      <c r="C104" s="818">
        <v>1938.68</v>
      </c>
      <c r="D104" s="792">
        <f t="shared" si="27"/>
        <v>7.8027936184480659E-3</v>
      </c>
      <c r="E104" s="819">
        <f>(C104-$C$2)/$C$2</f>
        <v>-7.7890451094918281E-2</v>
      </c>
      <c r="F104" s="816">
        <v>4685.6099999999997</v>
      </c>
      <c r="G104" s="792">
        <f t="shared" si="25"/>
        <v>1.0269557005420487E-2</v>
      </c>
      <c r="H104" s="797">
        <f t="shared" si="32"/>
        <v>-7.9755288017754417E-2</v>
      </c>
      <c r="I104" s="799">
        <v>272280.59000000003</v>
      </c>
      <c r="J104" s="800">
        <v>400000</v>
      </c>
      <c r="K104" s="800">
        <f t="shared" si="33"/>
        <v>-6230.8799999999464</v>
      </c>
      <c r="L104" s="792">
        <f t="shared" si="28"/>
        <v>-2.2372076812491589E-2</v>
      </c>
      <c r="M104" s="817">
        <f t="shared" si="38"/>
        <v>-127719.40999999997</v>
      </c>
      <c r="N104" s="802">
        <f t="shared" si="39"/>
        <v>-0.31929852499999994</v>
      </c>
      <c r="O104" s="786">
        <f t="shared" si="30"/>
        <v>-0.78799855578547284</v>
      </c>
      <c r="P104" s="817" t="b">
        <f t="shared" si="34"/>
        <v>0</v>
      </c>
      <c r="Q104" s="802">
        <f>COUNTIF(P$2:P104, TRUE)/(COUNTIF(P$2:P104,FALSE) + COUNTIF(P$2:P104, TRUE))</f>
        <v>0.43689320388349512</v>
      </c>
      <c r="R104" s="803"/>
      <c r="S104" s="803"/>
      <c r="T104" s="803"/>
      <c r="U104" s="803"/>
      <c r="V104" s="802">
        <f>STDEV(D$2:D104)*SQRT(252)</f>
        <v>0.20094495344626548</v>
      </c>
      <c r="W104" s="802">
        <f>STDEV(L$2:L104)*SQRT(252)</f>
        <v>0.31518540993187888</v>
      </c>
      <c r="X104" s="801">
        <f t="shared" si="35"/>
        <v>-0.95661155948371346</v>
      </c>
      <c r="Y104" s="801">
        <f t="shared" si="36"/>
        <v>-2.5001111439637489</v>
      </c>
      <c r="Z104" s="807">
        <f t="shared" si="37"/>
        <v>-0.24140807390508168</v>
      </c>
    </row>
    <row r="105" spans="1:26" ht="20.100000000000001" customHeight="1" x14ac:dyDescent="0.2">
      <c r="A105" s="776">
        <f t="shared" si="29"/>
        <v>149</v>
      </c>
      <c r="B105" s="795">
        <v>42382</v>
      </c>
      <c r="C105" s="818">
        <v>1890.28</v>
      </c>
      <c r="D105" s="792">
        <f t="shared" si="27"/>
        <v>-2.4965440402748309E-2</v>
      </c>
      <c r="E105" s="819">
        <f>(C105-$C$2)/$C$2</f>
        <v>-0.10091132208291323</v>
      </c>
      <c r="F105" s="816">
        <v>4526.0600000000004</v>
      </c>
      <c r="G105" s="792">
        <f t="shared" si="25"/>
        <v>-3.4051062721822623E-2</v>
      </c>
      <c r="H105" s="797">
        <f t="shared" si="32"/>
        <v>-0.11109059842488746</v>
      </c>
      <c r="I105" s="799">
        <v>259060.64</v>
      </c>
      <c r="J105" s="800">
        <v>400000</v>
      </c>
      <c r="K105" s="800">
        <f t="shared" si="33"/>
        <v>-13219.950000000012</v>
      </c>
      <c r="L105" s="792">
        <f t="shared" si="28"/>
        <v>-4.8552671345394142E-2</v>
      </c>
      <c r="M105" s="817">
        <f t="shared" si="38"/>
        <v>-140939.35999999999</v>
      </c>
      <c r="N105" s="802">
        <f t="shared" si="39"/>
        <v>-0.35234839999999995</v>
      </c>
      <c r="O105" s="786">
        <f t="shared" si="30"/>
        <v>-0.86372653087248308</v>
      </c>
      <c r="P105" s="817" t="b">
        <f t="shared" si="34"/>
        <v>0</v>
      </c>
      <c r="Q105" s="802">
        <f>COUNTIF(P$2:P105, TRUE)/(COUNTIF(P$2:P105,FALSE) + COUNTIF(P$2:P105, TRUE))</f>
        <v>0.43269230769230771</v>
      </c>
      <c r="R105" s="803"/>
      <c r="S105" s="803"/>
      <c r="T105" s="803"/>
      <c r="U105" s="803"/>
      <c r="V105" s="802">
        <f>STDEV(D$2:D105)*SQRT(252)</f>
        <v>0.20352342454405692</v>
      </c>
      <c r="W105" s="802">
        <f>STDEV(L$2:L105)*SQRT(252)</f>
        <v>0.32174542830097441</v>
      </c>
      <c r="X105" s="801">
        <f t="shared" si="35"/>
        <v>-1.2154285979431663</v>
      </c>
      <c r="Y105" s="801">
        <f t="shared" si="36"/>
        <v>-2.6845028861280862</v>
      </c>
      <c r="Z105" s="807">
        <f t="shared" si="37"/>
        <v>-0.25143707791708669</v>
      </c>
    </row>
    <row r="106" spans="1:26" ht="20.100000000000001" customHeight="1" x14ac:dyDescent="0.2">
      <c r="A106" s="776">
        <f t="shared" si="29"/>
        <v>150</v>
      </c>
      <c r="B106" s="795">
        <v>42383</v>
      </c>
      <c r="C106" s="818">
        <v>1921.84</v>
      </c>
      <c r="D106" s="792">
        <f t="shared" si="27"/>
        <v>1.6695939225934753E-2</v>
      </c>
      <c r="E106" s="819">
        <f t="shared" ref="E106:E113" si="41">(C106-$C$2)/$C$2</f>
        <v>-8.5900192157683519E-2</v>
      </c>
      <c r="F106" s="816">
        <v>4615</v>
      </c>
      <c r="G106" s="792">
        <f t="shared" si="25"/>
        <v>1.9650645373680331E-2</v>
      </c>
      <c r="H106" s="797">
        <f t="shared" si="32"/>
        <v>-9.3622955005204511E-2</v>
      </c>
      <c r="I106" s="799">
        <v>267077.40000000002</v>
      </c>
      <c r="J106" s="800">
        <v>400000</v>
      </c>
      <c r="K106" s="800">
        <f t="shared" si="33"/>
        <v>8016.7600000000093</v>
      </c>
      <c r="L106" s="792">
        <f t="shared" si="28"/>
        <v>3.0945496004333228E-2</v>
      </c>
      <c r="M106" s="817">
        <f t="shared" si="38"/>
        <v>-132922.59999999998</v>
      </c>
      <c r="N106" s="802">
        <f t="shared" si="39"/>
        <v>-0.33230649999999995</v>
      </c>
      <c r="O106" s="786">
        <f t="shared" si="30"/>
        <v>-0.80916632749999995</v>
      </c>
      <c r="P106" s="817" t="b">
        <f t="shared" si="34"/>
        <v>1</v>
      </c>
      <c r="Q106" s="802">
        <f>COUNTIF(P$2:P106, TRUE)/(COUNTIF(P$2:P106,FALSE) + COUNTIF(P$2:P106, TRUE))</f>
        <v>0.43809523809523809</v>
      </c>
      <c r="R106" s="803"/>
      <c r="S106" s="803"/>
      <c r="T106" s="803"/>
      <c r="U106" s="803"/>
      <c r="V106" s="802">
        <f>STDEV(D$2:D106)*SQRT(252)</f>
        <v>0.20438733546247476</v>
      </c>
      <c r="W106" s="802">
        <f>STDEV(L$2:L106)*SQRT(252)</f>
        <v>0.32453820781135018</v>
      </c>
      <c r="X106" s="801">
        <f t="shared" si="35"/>
        <v>-1.0233851692947098</v>
      </c>
      <c r="Y106" s="801">
        <f t="shared" si="36"/>
        <v>-2.4932852527809537</v>
      </c>
      <c r="Z106" s="807">
        <f t="shared" si="37"/>
        <v>-0.24640630784231643</v>
      </c>
    </row>
    <row r="107" spans="1:26" ht="20.100000000000001" customHeight="1" x14ac:dyDescent="0.2">
      <c r="A107" s="776">
        <f t="shared" si="29"/>
        <v>151</v>
      </c>
      <c r="B107" s="795">
        <v>42384</v>
      </c>
      <c r="C107" s="818">
        <v>1880.33</v>
      </c>
      <c r="D107" s="792">
        <f t="shared" si="27"/>
        <v>-2.1599092536319357E-2</v>
      </c>
      <c r="E107" s="819">
        <f t="shared" si="41"/>
        <v>-0.10564391849470145</v>
      </c>
      <c r="F107" s="816">
        <v>4488.41</v>
      </c>
      <c r="G107" s="792">
        <f t="shared" si="25"/>
        <v>-2.7430119176598083E-2</v>
      </c>
      <c r="H107" s="797">
        <f t="shared" ref="H107:H121" si="42">(F107-F$2)/F$2</f>
        <v>-0.11848498536834456</v>
      </c>
      <c r="I107" s="799">
        <v>249397.57</v>
      </c>
      <c r="J107" s="800">
        <v>400000</v>
      </c>
      <c r="K107" s="800">
        <f t="shared" si="33"/>
        <v>-17679.830000000016</v>
      </c>
      <c r="L107" s="792">
        <f t="shared" si="28"/>
        <v>-6.619740195164403E-2</v>
      </c>
      <c r="M107" s="817">
        <f t="shared" si="38"/>
        <v>-150602.43</v>
      </c>
      <c r="N107" s="802">
        <f t="shared" si="39"/>
        <v>-0.376506075</v>
      </c>
      <c r="O107" s="786">
        <f t="shared" si="30"/>
        <v>-0.91072082048841063</v>
      </c>
      <c r="P107" s="817" t="b">
        <f t="shared" si="34"/>
        <v>0</v>
      </c>
      <c r="Q107" s="802">
        <f>COUNTIF(P$2:P107, TRUE)/(COUNTIF(P$2:P107,FALSE) + COUNTIF(P$2:P107, TRUE))</f>
        <v>0.43396226415094341</v>
      </c>
      <c r="R107" s="803"/>
      <c r="S107" s="803"/>
      <c r="T107" s="803"/>
      <c r="U107" s="803"/>
      <c r="V107" s="802">
        <f>STDEV(D$2:D107)*SQRT(252)</f>
        <v>0.20594332584152428</v>
      </c>
      <c r="W107" s="802">
        <f>STDEV(L$2:L107)*SQRT(252)</f>
        <v>0.33758588878684614</v>
      </c>
      <c r="X107" s="801">
        <f t="shared" si="35"/>
        <v>-1.2408236336434444</v>
      </c>
      <c r="Y107" s="801">
        <f t="shared" si="36"/>
        <v>-2.6977455241425847</v>
      </c>
      <c r="Z107" s="807">
        <f t="shared" si="37"/>
        <v>-0.27086215650529855</v>
      </c>
    </row>
    <row r="108" spans="1:26" ht="20.100000000000001" customHeight="1" x14ac:dyDescent="0.2">
      <c r="A108" s="776">
        <f t="shared" si="29"/>
        <v>155</v>
      </c>
      <c r="B108" s="778">
        <v>42388</v>
      </c>
      <c r="C108" s="779">
        <v>1881.33</v>
      </c>
      <c r="D108" s="792">
        <f t="shared" si="27"/>
        <v>5.3182154196337883E-4</v>
      </c>
      <c r="E108" s="780">
        <f t="shared" si="41"/>
        <v>-0.10516828066437098</v>
      </c>
      <c r="F108" s="781">
        <v>4476.95</v>
      </c>
      <c r="G108" s="792">
        <f t="shared" si="25"/>
        <v>-2.5532426850488339E-3</v>
      </c>
      <c r="H108" s="793">
        <f t="shared" si="42"/>
        <v>-0.12073570713121355</v>
      </c>
      <c r="I108" s="782">
        <v>241697.04</v>
      </c>
      <c r="J108" s="783">
        <v>400000</v>
      </c>
      <c r="K108" s="783">
        <f t="shared" si="33"/>
        <v>-7700.5300000000279</v>
      </c>
      <c r="L108" s="792">
        <f t="shared" si="28"/>
        <v>-3.0876523776875723E-2</v>
      </c>
      <c r="M108" s="811">
        <f t="shared" si="38"/>
        <v>-158302.96</v>
      </c>
      <c r="N108" s="786">
        <f t="shared" si="39"/>
        <v>-0.39575739999999998</v>
      </c>
      <c r="O108" s="786">
        <f t="shared" si="30"/>
        <v>-0.93258316354838711</v>
      </c>
      <c r="P108" s="811" t="b">
        <f t="shared" si="34"/>
        <v>0</v>
      </c>
      <c r="Q108" s="786">
        <f>COUNTIF(P$2:P108, TRUE)/(COUNTIF(P$2:P108,FALSE) + COUNTIF(P$2:P108, TRUE))</f>
        <v>0.42990654205607476</v>
      </c>
      <c r="R108" s="787"/>
      <c r="S108" s="787"/>
      <c r="T108" s="787"/>
      <c r="U108" s="787"/>
      <c r="V108" s="786">
        <f>STDEV(D$2:D108)*SQRT(252)</f>
        <v>0.20497353903003479</v>
      </c>
      <c r="W108" s="786">
        <f>STDEV(L$2:L108)*SQRT(252)</f>
        <v>0.33863790038958375</v>
      </c>
      <c r="X108" s="801">
        <f t="shared" si="35"/>
        <v>-1.2090534503651345</v>
      </c>
      <c r="Y108" s="801">
        <f t="shared" si="36"/>
        <v>-2.7539243613178055</v>
      </c>
      <c r="Z108" s="807">
        <f t="shared" si="37"/>
        <v>-0.29058911933562903</v>
      </c>
    </row>
    <row r="109" spans="1:26" ht="20.100000000000001" customHeight="1" x14ac:dyDescent="0.2">
      <c r="A109" s="776">
        <f t="shared" si="29"/>
        <v>156</v>
      </c>
      <c r="B109" s="778">
        <v>42389</v>
      </c>
      <c r="C109" s="779">
        <v>1859.33</v>
      </c>
      <c r="D109" s="792">
        <f t="shared" si="27"/>
        <v>-1.1693854879260949E-2</v>
      </c>
      <c r="E109" s="780">
        <f t="shared" si="41"/>
        <v>-0.11563231293164139</v>
      </c>
      <c r="F109" s="781">
        <v>4471.68</v>
      </c>
      <c r="G109" s="792">
        <f t="shared" si="25"/>
        <v>-1.1771406872981666E-3</v>
      </c>
      <c r="H109" s="793">
        <f t="shared" si="42"/>
        <v>-0.12177072490523785</v>
      </c>
      <c r="I109" s="782">
        <v>239001.56</v>
      </c>
      <c r="J109" s="783">
        <v>400000</v>
      </c>
      <c r="K109" s="783">
        <f t="shared" si="33"/>
        <v>-2695.4799999999814</v>
      </c>
      <c r="L109" s="792">
        <f t="shared" si="28"/>
        <v>-1.1152308691906121E-2</v>
      </c>
      <c r="M109" s="811">
        <f t="shared" si="38"/>
        <v>-160998.44</v>
      </c>
      <c r="N109" s="786">
        <f t="shared" si="39"/>
        <v>-0.40249610000000002</v>
      </c>
      <c r="O109" s="786">
        <f t="shared" si="30"/>
        <v>-0.94238269567307698</v>
      </c>
      <c r="P109" s="811" t="b">
        <f t="shared" si="34"/>
        <v>1</v>
      </c>
      <c r="Q109" s="786">
        <f>COUNTIF(P$2:P109, TRUE)/(COUNTIF(P$2:P109,FALSE) + COUNTIF(P$2:P109, TRUE))</f>
        <v>0.43518518518518517</v>
      </c>
      <c r="R109" s="787"/>
      <c r="S109" s="787"/>
      <c r="T109" s="787"/>
      <c r="U109" s="787"/>
      <c r="V109" s="786">
        <f>STDEV(D$2:D109)*SQRT(252)</f>
        <v>0.20466775158586656</v>
      </c>
      <c r="W109" s="786">
        <f>STDEV(L$2:L109)*SQRT(252)</f>
        <v>0.33723365750596535</v>
      </c>
      <c r="X109" s="801">
        <f t="shared" si="35"/>
        <v>-1.3228037589949722</v>
      </c>
      <c r="Y109" s="801">
        <f t="shared" si="36"/>
        <v>-2.794450300846401</v>
      </c>
      <c r="Z109" s="807">
        <f t="shared" si="37"/>
        <v>-0.28686378706835863</v>
      </c>
    </row>
    <row r="110" spans="1:26" ht="20.100000000000001" customHeight="1" x14ac:dyDescent="0.2">
      <c r="A110" s="776">
        <f t="shared" si="29"/>
        <v>157</v>
      </c>
      <c r="B110" s="778">
        <v>42390</v>
      </c>
      <c r="C110" s="779">
        <v>1868.99</v>
      </c>
      <c r="D110" s="792">
        <f t="shared" si="27"/>
        <v>5.1954198555394055E-3</v>
      </c>
      <c r="E110" s="780">
        <f t="shared" si="41"/>
        <v>-0.11103765149064898</v>
      </c>
      <c r="F110" s="781">
        <v>4472.0600000000004</v>
      </c>
      <c r="G110" s="792">
        <f t="shared" si="25"/>
        <v>8.4979247173346285E-5</v>
      </c>
      <c r="H110" s="793">
        <f t="shared" si="42"/>
        <v>-0.1216960936425947</v>
      </c>
      <c r="I110" s="782">
        <v>254991.51</v>
      </c>
      <c r="J110" s="783">
        <v>400000</v>
      </c>
      <c r="K110" s="783">
        <f t="shared" si="33"/>
        <v>15989.950000000012</v>
      </c>
      <c r="L110" s="792">
        <f t="shared" si="28"/>
        <v>6.6903119795536106E-2</v>
      </c>
      <c r="M110" s="811">
        <f t="shared" si="38"/>
        <v>-145008.49</v>
      </c>
      <c r="N110" s="786">
        <f t="shared" si="39"/>
        <v>-0.362521225</v>
      </c>
      <c r="O110" s="786">
        <f t="shared" si="30"/>
        <v>-0.84338138491242032</v>
      </c>
      <c r="P110" s="811" t="b">
        <f t="shared" si="34"/>
        <v>1</v>
      </c>
      <c r="Q110" s="786">
        <f>COUNTIF(P$2:P110, TRUE)/(COUNTIF(P$2:P110,FALSE) + COUNTIF(P$2:P110, TRUE))</f>
        <v>0.44036697247706424</v>
      </c>
      <c r="R110" s="787"/>
      <c r="S110" s="787"/>
      <c r="T110" s="787"/>
      <c r="U110" s="787"/>
      <c r="V110" s="786">
        <f>STDEV(D$2:D110)*SQRT(252)</f>
        <v>0.20393347244728127</v>
      </c>
      <c r="W110" s="786">
        <f>STDEV(L$2:L110)*SQRT(252)</f>
        <v>0.35256157198523613</v>
      </c>
      <c r="X110" s="801">
        <f t="shared" si="35"/>
        <v>-1.2666957856798184</v>
      </c>
      <c r="Y110" s="801">
        <f t="shared" si="36"/>
        <v>-2.3921534617724527</v>
      </c>
      <c r="Z110" s="807">
        <f t="shared" si="37"/>
        <v>-0.25148357350935102</v>
      </c>
    </row>
    <row r="111" spans="1:26" ht="20.100000000000001" customHeight="1" x14ac:dyDescent="0.2">
      <c r="A111" s="776">
        <f t="shared" si="29"/>
        <v>158</v>
      </c>
      <c r="B111" s="778">
        <v>42391</v>
      </c>
      <c r="C111" s="812">
        <v>1906.9</v>
      </c>
      <c r="D111" s="792">
        <f t="shared" si="27"/>
        <v>2.0283682630725729E-2</v>
      </c>
      <c r="E111" s="780">
        <f t="shared" si="41"/>
        <v>-9.3006221342820702E-2</v>
      </c>
      <c r="F111" s="781">
        <v>4591.18</v>
      </c>
      <c r="G111" s="792">
        <f t="shared" si="25"/>
        <v>2.6636494143638476E-2</v>
      </c>
      <c r="H111" s="793">
        <f t="shared" si="42"/>
        <v>-9.8301156784570881E-2</v>
      </c>
      <c r="I111" s="782">
        <v>260098.81</v>
      </c>
      <c r="J111" s="783">
        <v>400000</v>
      </c>
      <c r="K111" s="783">
        <f t="shared" si="33"/>
        <v>5107.2999999999884</v>
      </c>
      <c r="L111" s="792">
        <f t="shared" si="28"/>
        <v>2.0029294308661447E-2</v>
      </c>
      <c r="M111" s="811">
        <f t="shared" si="38"/>
        <v>-139901.19</v>
      </c>
      <c r="N111" s="786">
        <f t="shared" si="39"/>
        <v>-0.34975297500000002</v>
      </c>
      <c r="O111" s="786">
        <f t="shared" si="30"/>
        <v>-0.80852705138449377</v>
      </c>
      <c r="P111" s="811" t="b">
        <f t="shared" si="34"/>
        <v>0</v>
      </c>
      <c r="Q111" s="786">
        <f>COUNTIF(P$2:P111, TRUE)/(COUNTIF(P$2:P111,FALSE) + COUNTIF(P$2:P111, TRUE))</f>
        <v>0.43636363636363634</v>
      </c>
      <c r="R111" s="787"/>
      <c r="S111" s="787"/>
      <c r="T111" s="787"/>
      <c r="U111" s="787"/>
      <c r="V111" s="786">
        <f>STDEV(D$2:D111)*SQRT(252)</f>
        <v>0.20555239783673285</v>
      </c>
      <c r="W111" s="786">
        <f>STDEV(L$2:L111)*SQRT(252)</f>
        <v>0.35267737853182896</v>
      </c>
      <c r="X111" s="801">
        <f t="shared" si="35"/>
        <v>-1.0459780972962973</v>
      </c>
      <c r="Y111" s="801">
        <f t="shared" si="36"/>
        <v>-2.2925401531290008</v>
      </c>
      <c r="Z111" s="807">
        <f t="shared" si="37"/>
        <v>-0.25674675365717931</v>
      </c>
    </row>
    <row r="112" spans="1:26" ht="20.100000000000001" customHeight="1" x14ac:dyDescent="0.2">
      <c r="A112" s="776">
        <f t="shared" si="29"/>
        <v>161</v>
      </c>
      <c r="B112" s="795">
        <v>42394</v>
      </c>
      <c r="C112" s="820">
        <v>1877.08</v>
      </c>
      <c r="D112" s="792">
        <f t="shared" si="27"/>
        <v>-1.5637946405160294E-2</v>
      </c>
      <c r="E112" s="819">
        <f t="shared" si="41"/>
        <v>-0.10718974144327549</v>
      </c>
      <c r="F112" s="816">
        <v>4518.49</v>
      </c>
      <c r="G112" s="792">
        <f t="shared" si="25"/>
        <v>-1.5832531070443873E-2</v>
      </c>
      <c r="H112" s="797">
        <f t="shared" si="42"/>
        <v>-0.11257733173596246</v>
      </c>
      <c r="I112" s="799">
        <v>241845.81</v>
      </c>
      <c r="J112" s="800">
        <v>400000</v>
      </c>
      <c r="K112" s="800">
        <f t="shared" si="33"/>
        <v>-18253</v>
      </c>
      <c r="L112" s="792">
        <f t="shared" si="28"/>
        <v>-7.0177176127795435E-2</v>
      </c>
      <c r="M112" s="817">
        <f t="shared" si="38"/>
        <v>-158154.19</v>
      </c>
      <c r="N112" s="802">
        <f t="shared" si="39"/>
        <v>-0.39538547499999999</v>
      </c>
      <c r="O112" s="786">
        <f t="shared" si="30"/>
        <v>-0.89698474996118005</v>
      </c>
      <c r="P112" s="817" t="b">
        <f t="shared" si="34"/>
        <v>0</v>
      </c>
      <c r="Q112" s="802">
        <f>COUNTIF(P$2:P112, TRUE)/(COUNTIF(P$2:P112,FALSE) + COUNTIF(P$2:P112, TRUE))</f>
        <v>0.43243243243243246</v>
      </c>
      <c r="R112" s="803"/>
      <c r="S112" s="803"/>
      <c r="T112" s="803"/>
      <c r="U112" s="803"/>
      <c r="V112" s="802">
        <f>STDEV(D$2:D112)*SQRT(252)</f>
        <v>0.2058342089719612</v>
      </c>
      <c r="W112" s="802">
        <f>STDEV(L$2:L112)*SQRT(252)</f>
        <v>0.36554774877731538</v>
      </c>
      <c r="X112" s="801">
        <f t="shared" si="35"/>
        <v>-1.1814082986332684</v>
      </c>
      <c r="Y112" s="801">
        <f t="shared" si="36"/>
        <v>-2.4538100780579715</v>
      </c>
      <c r="Z112" s="807">
        <f t="shared" si="37"/>
        <v>-0.28819573355672451</v>
      </c>
    </row>
    <row r="113" spans="1:26" ht="20.100000000000001" customHeight="1" x14ac:dyDescent="0.2">
      <c r="A113" s="776">
        <f t="shared" si="29"/>
        <v>162</v>
      </c>
      <c r="B113" s="795">
        <v>42395</v>
      </c>
      <c r="C113" s="818">
        <v>1903.63</v>
      </c>
      <c r="D113" s="792">
        <f t="shared" si="27"/>
        <v>1.4144309246276229E-2</v>
      </c>
      <c r="E113" s="819">
        <f t="shared" si="41"/>
        <v>-9.4561557048001343E-2</v>
      </c>
      <c r="F113" s="816">
        <v>4567.67</v>
      </c>
      <c r="G113" s="792">
        <f t="shared" si="25"/>
        <v>1.0884167055808532E-2</v>
      </c>
      <c r="H113" s="797">
        <f t="shared" si="42"/>
        <v>-0.10291847516546532</v>
      </c>
      <c r="I113" s="799">
        <v>248055.57</v>
      </c>
      <c r="J113" s="800">
        <v>400000</v>
      </c>
      <c r="K113" s="800">
        <f t="shared" si="33"/>
        <v>6209.7600000000093</v>
      </c>
      <c r="L113" s="792">
        <f t="shared" si="28"/>
        <v>2.5676525055364861E-2</v>
      </c>
      <c r="M113" s="817">
        <f t="shared" si="38"/>
        <v>-151944.43</v>
      </c>
      <c r="N113" s="802">
        <f t="shared" si="39"/>
        <v>-0.37986107499999999</v>
      </c>
      <c r="O113" s="786">
        <f t="shared" si="30"/>
        <v>-0.85644603483796289</v>
      </c>
      <c r="P113" s="817" t="b">
        <f t="shared" si="34"/>
        <v>1</v>
      </c>
      <c r="Q113" s="802">
        <f>COUNTIF(P$2:P113, TRUE)/(COUNTIF(P$2:P113,FALSE) + COUNTIF(P$2:P113, TRUE))</f>
        <v>0.4375</v>
      </c>
      <c r="R113" s="803"/>
      <c r="S113" s="803"/>
      <c r="T113" s="803"/>
      <c r="U113" s="803"/>
      <c r="V113" s="802">
        <f>STDEV(D$2:D113)*SQRT(252)</f>
        <v>0.20615429037873539</v>
      </c>
      <c r="W113" s="802">
        <f>STDEV(L$2:L113)*SQRT(252)</f>
        <v>0.36652123813825849</v>
      </c>
      <c r="X113" s="801">
        <f t="shared" si="35"/>
        <v>-1.034183125428312</v>
      </c>
      <c r="Y113" s="801">
        <f t="shared" si="36"/>
        <v>-2.3366886982819146</v>
      </c>
      <c r="Z113" s="807">
        <f t="shared" si="37"/>
        <v>-0.28529951795199865</v>
      </c>
    </row>
    <row r="114" spans="1:26" ht="20.100000000000001" customHeight="1" x14ac:dyDescent="0.2">
      <c r="A114" s="776">
        <f t="shared" si="29"/>
        <v>163</v>
      </c>
      <c r="B114" s="795">
        <v>42396</v>
      </c>
      <c r="C114" s="818">
        <v>1882.95</v>
      </c>
      <c r="D114" s="792">
        <f t="shared" si="27"/>
        <v>-1.0863455608495382E-2</v>
      </c>
      <c r="E114" s="819">
        <f>(C114-$C$2)/$C$2</f>
        <v>-0.10439774737923556</v>
      </c>
      <c r="F114" s="816">
        <v>4468.16</v>
      </c>
      <c r="G114" s="792">
        <f t="shared" si="25"/>
        <v>-2.1785724450321547E-2</v>
      </c>
      <c r="H114" s="797">
        <f t="shared" si="42"/>
        <v>-0.12246204607498477</v>
      </c>
      <c r="I114" s="799">
        <v>251585.76</v>
      </c>
      <c r="J114" s="800">
        <v>400000</v>
      </c>
      <c r="K114" s="800">
        <f t="shared" si="33"/>
        <v>3530.1900000000023</v>
      </c>
      <c r="L114" s="792">
        <f t="shared" si="28"/>
        <v>1.4231448219445353E-2</v>
      </c>
      <c r="M114" s="817">
        <f t="shared" si="38"/>
        <v>-148414.24</v>
      </c>
      <c r="N114" s="802">
        <f t="shared" si="39"/>
        <v>-0.37103559999999997</v>
      </c>
      <c r="O114" s="786">
        <f t="shared" si="30"/>
        <v>-0.83141566196319017</v>
      </c>
      <c r="P114" s="817" t="b">
        <f t="shared" si="34"/>
        <v>1</v>
      </c>
      <c r="Q114" s="802">
        <f>COUNTIF(P$2:P114, TRUE)/(COUNTIF(P$2:P114,FALSE) + COUNTIF(P$2:P114, TRUE))</f>
        <v>0.44247787610619471</v>
      </c>
      <c r="R114" s="803"/>
      <c r="S114" s="803"/>
      <c r="T114" s="803"/>
      <c r="U114" s="803"/>
      <c r="V114" s="802">
        <f>STDEV(D$2:D114)*SQRT(252)</f>
        <v>0.20577679311518093</v>
      </c>
      <c r="W114" s="802">
        <f>STDEV(L$2:L114)*SQRT(252)</f>
        <v>0.36580201811385399</v>
      </c>
      <c r="X114" s="801">
        <f t="shared" si="35"/>
        <v>-1.136834783918798</v>
      </c>
      <c r="Y114" s="801">
        <f t="shared" si="36"/>
        <v>-2.272856957569918</v>
      </c>
      <c r="Z114" s="807">
        <f t="shared" si="37"/>
        <v>-0.26663785262076439</v>
      </c>
    </row>
    <row r="115" spans="1:26" ht="20.100000000000001" customHeight="1" x14ac:dyDescent="0.2">
      <c r="A115" s="776">
        <f t="shared" si="29"/>
        <v>164</v>
      </c>
      <c r="B115" s="795">
        <v>42397</v>
      </c>
      <c r="C115" s="818">
        <v>1893.36</v>
      </c>
      <c r="D115" s="792">
        <f t="shared" si="27"/>
        <v>5.5285589102205867E-3</v>
      </c>
      <c r="E115" s="819">
        <f t="shared" ref="E115:E124" si="43">(C115-$C$2)/$C$2</f>
        <v>-9.94463575654954E-2</v>
      </c>
      <c r="F115" s="816">
        <v>4506.67</v>
      </c>
      <c r="G115" s="792">
        <f t="shared" si="25"/>
        <v>8.6187602950655792E-3</v>
      </c>
      <c r="H115" s="797">
        <f t="shared" si="42"/>
        <v>-0.11489875680028276</v>
      </c>
      <c r="I115" s="799">
        <v>256687.6</v>
      </c>
      <c r="J115" s="800">
        <v>400000</v>
      </c>
      <c r="K115" s="800">
        <f t="shared" si="33"/>
        <v>5101.8399999999674</v>
      </c>
      <c r="L115" s="792">
        <f t="shared" si="28"/>
        <v>2.027873119686888E-2</v>
      </c>
      <c r="M115" s="817">
        <f t="shared" si="38"/>
        <v>-143312.4</v>
      </c>
      <c r="N115" s="802">
        <f t="shared" si="39"/>
        <v>-0.35828099999999996</v>
      </c>
      <c r="O115" s="786">
        <f t="shared" si="30"/>
        <v>-0.79793984908536575</v>
      </c>
      <c r="P115" s="817" t="b">
        <f t="shared" si="34"/>
        <v>1</v>
      </c>
      <c r="Q115" s="802">
        <f>COUNTIF(P$2:P115, TRUE)/(COUNTIF(P$2:P115,FALSE) + COUNTIF(P$2:P115, TRUE))</f>
        <v>0.44736842105263158</v>
      </c>
      <c r="R115" s="803"/>
      <c r="S115" s="803"/>
      <c r="T115" s="803"/>
      <c r="U115" s="803"/>
      <c r="V115" s="802">
        <f>STDEV(D$2:D115)*SQRT(252)</f>
        <v>0.20508094349641362</v>
      </c>
      <c r="W115" s="802">
        <f>STDEV(L$2:L115)*SQRT(252)</f>
        <v>0.36582687593251006</v>
      </c>
      <c r="X115" s="801">
        <f t="shared" si="35"/>
        <v>-1.079965670565928</v>
      </c>
      <c r="Y115" s="801">
        <f t="shared" si="36"/>
        <v>-2.18119526361036</v>
      </c>
      <c r="Z115" s="807">
        <f t="shared" si="37"/>
        <v>-0.25883464243450455</v>
      </c>
    </row>
    <row r="116" spans="1:26" ht="20.100000000000001" customHeight="1" x14ac:dyDescent="0.2">
      <c r="A116" s="776">
        <f t="shared" si="29"/>
        <v>165</v>
      </c>
      <c r="B116" s="795">
        <v>42398</v>
      </c>
      <c r="C116" s="818">
        <v>1940.24</v>
      </c>
      <c r="D116" s="792">
        <f t="shared" si="27"/>
        <v>2.4760214644864217E-2</v>
      </c>
      <c r="E116" s="819">
        <f t="shared" si="43"/>
        <v>-7.7148456079602773E-2</v>
      </c>
      <c r="F116" s="816">
        <v>4613.95</v>
      </c>
      <c r="G116" s="792">
        <f t="shared" si="25"/>
        <v>2.3804716120772042E-2</v>
      </c>
      <c r="H116" s="797">
        <f t="shared" si="42"/>
        <v>-9.3829172967771088E-2</v>
      </c>
      <c r="I116" s="823">
        <v>272541.61</v>
      </c>
      <c r="J116" s="800">
        <v>400000</v>
      </c>
      <c r="K116" s="800">
        <f t="shared" si="33"/>
        <v>15854.010000000009</v>
      </c>
      <c r="L116" s="792">
        <f t="shared" si="28"/>
        <v>6.1763832767924937E-2</v>
      </c>
      <c r="M116" s="817">
        <f t="shared" si="38"/>
        <v>-127458.39000000001</v>
      </c>
      <c r="N116" s="802">
        <f t="shared" si="39"/>
        <v>-0.31864597500000003</v>
      </c>
      <c r="O116" s="786">
        <f t="shared" si="30"/>
        <v>-0.70536631738636368</v>
      </c>
      <c r="P116" s="817" t="b">
        <f t="shared" si="34"/>
        <v>1</v>
      </c>
      <c r="Q116" s="802">
        <f>COUNTIF(P$2:P116, TRUE)/(COUNTIF(P$2:P116,FALSE) + COUNTIF(P$2:P116, TRUE))</f>
        <v>0.45217391304347826</v>
      </c>
      <c r="R116" s="803"/>
      <c r="S116" s="803"/>
      <c r="T116" s="803"/>
      <c r="U116" s="803"/>
      <c r="V116" s="802">
        <f>STDEV(D$2:D116)*SQRT(252)</f>
        <v>0.2076899725605586</v>
      </c>
      <c r="W116" s="802">
        <f>STDEV(L$2:L116)*SQRT(252)</f>
        <v>0.37665623164224904</v>
      </c>
      <c r="X116" s="801">
        <f t="shared" si="35"/>
        <v>-0.82227671211433029</v>
      </c>
      <c r="Y116" s="801">
        <f t="shared" si="36"/>
        <v>-1.8727058206654761</v>
      </c>
      <c r="Z116" s="807">
        <f t="shared" si="37"/>
        <v>-0.24149751892039725</v>
      </c>
    </row>
    <row r="117" spans="1:26" ht="20.100000000000001" customHeight="1" x14ac:dyDescent="0.2">
      <c r="A117" s="776">
        <f t="shared" si="29"/>
        <v>168</v>
      </c>
      <c r="B117" s="824">
        <v>42401</v>
      </c>
      <c r="C117" s="825">
        <v>1939.38</v>
      </c>
      <c r="D117" s="792">
        <f t="shared" si="27"/>
        <v>-4.4324413474616542E-4</v>
      </c>
      <c r="E117" s="826">
        <f t="shared" si="43"/>
        <v>-7.755750461368692E-2</v>
      </c>
      <c r="F117" s="827">
        <v>4620.3599999999997</v>
      </c>
      <c r="G117" s="792">
        <f t="shared" si="25"/>
        <v>1.3892651632548803E-3</v>
      </c>
      <c r="H117" s="828">
        <f t="shared" si="42"/>
        <v>-9.2570261405817339E-2</v>
      </c>
      <c r="I117" s="829">
        <v>271687.27</v>
      </c>
      <c r="J117" s="830">
        <v>400000</v>
      </c>
      <c r="K117" s="830">
        <f t="shared" si="33"/>
        <v>-854.3399999999674</v>
      </c>
      <c r="L117" s="792">
        <f t="shared" si="28"/>
        <v>-3.1347139983504443E-3</v>
      </c>
      <c r="M117" s="831">
        <f t="shared" si="38"/>
        <v>-128312.72999999998</v>
      </c>
      <c r="N117" s="832">
        <f t="shared" si="39"/>
        <v>-0.32078182499999996</v>
      </c>
      <c r="O117" s="786">
        <f t="shared" si="30"/>
        <v>-0.69741405703124992</v>
      </c>
      <c r="P117" s="831" t="b">
        <f t="shared" si="34"/>
        <v>0</v>
      </c>
      <c r="Q117" s="832">
        <f>COUNTIF(P$2:P117, TRUE)/(COUNTIF(P$2:P117,FALSE) + COUNTIF(P$2:P117, TRUE))</f>
        <v>0.44827586206896552</v>
      </c>
      <c r="R117" s="833"/>
      <c r="S117" s="833"/>
      <c r="T117" s="833"/>
      <c r="U117" s="833"/>
      <c r="V117" s="832">
        <f>STDEV(D$2:D117)*SQRT(252)</f>
        <v>0.20677720896061949</v>
      </c>
      <c r="W117" s="832">
        <f>STDEV(L$2:L117)*SQRT(252)</f>
        <v>0.37500277790793834</v>
      </c>
      <c r="X117" s="801">
        <f t="shared" si="35"/>
        <v>-0.81545894545324737</v>
      </c>
      <c r="Y117" s="801">
        <f t="shared" si="36"/>
        <v>-1.8597570421263978</v>
      </c>
      <c r="Z117" s="807">
        <f t="shared" si="37"/>
        <v>-0.24322432038631303</v>
      </c>
    </row>
    <row r="118" spans="1:26" ht="20.100000000000001" customHeight="1" x14ac:dyDescent="0.2">
      <c r="A118" s="776">
        <f t="shared" si="29"/>
        <v>169</v>
      </c>
      <c r="B118" s="824">
        <v>42402</v>
      </c>
      <c r="C118" s="825">
        <v>1903.03</v>
      </c>
      <c r="D118" s="792">
        <f t="shared" si="27"/>
        <v>-1.8743103466056232E-2</v>
      </c>
      <c r="E118" s="826">
        <f t="shared" si="43"/>
        <v>-9.484693974619969E-2</v>
      </c>
      <c r="F118" s="827">
        <v>4516.9399999999996</v>
      </c>
      <c r="G118" s="792">
        <f t="shared" si="25"/>
        <v>-2.2383537213550478E-2</v>
      </c>
      <c r="H118" s="828">
        <f t="shared" si="42"/>
        <v>-0.11288174872832261</v>
      </c>
      <c r="I118" s="829">
        <v>258167.62</v>
      </c>
      <c r="J118" s="830">
        <v>400000</v>
      </c>
      <c r="K118" s="830">
        <f t="shared" si="33"/>
        <v>-13519.650000000023</v>
      </c>
      <c r="L118" s="792">
        <f t="shared" si="28"/>
        <v>-4.9761808862078899E-2</v>
      </c>
      <c r="M118" s="831">
        <f t="shared" si="38"/>
        <v>-141832.38</v>
      </c>
      <c r="N118" s="832">
        <f t="shared" si="39"/>
        <v>-0.35458095000000001</v>
      </c>
      <c r="O118" s="786">
        <f t="shared" si="30"/>
        <v>-0.76633545554733729</v>
      </c>
      <c r="P118" s="831" t="b">
        <f t="shared" si="34"/>
        <v>0</v>
      </c>
      <c r="Q118" s="832">
        <f>COUNTIF(P$2:P118, TRUE)/(COUNTIF(P$2:P118,FALSE) + COUNTIF(P$2:P118, TRUE))</f>
        <v>0.44444444444444442</v>
      </c>
      <c r="R118" s="833"/>
      <c r="S118" s="833"/>
      <c r="T118" s="833"/>
      <c r="U118" s="833"/>
      <c r="V118" s="832">
        <f>STDEV(D$2:D118)*SQRT(252)</f>
        <v>0.20760234411553996</v>
      </c>
      <c r="W118" s="832">
        <f>STDEV(L$2:L118)*SQRT(252)</f>
        <v>0.37987177172236325</v>
      </c>
      <c r="X118" s="801">
        <f t="shared" si="35"/>
        <v>-0.98740333530034763</v>
      </c>
      <c r="Y118" s="801">
        <f t="shared" si="36"/>
        <v>-2.0173529927552201</v>
      </c>
      <c r="Z118" s="807">
        <f t="shared" si="37"/>
        <v>-0.25973401025380033</v>
      </c>
    </row>
    <row r="119" spans="1:26" ht="20.100000000000001" customHeight="1" x14ac:dyDescent="0.2">
      <c r="A119" s="776">
        <f t="shared" si="29"/>
        <v>170</v>
      </c>
      <c r="B119" s="824">
        <v>42403</v>
      </c>
      <c r="C119" s="825">
        <v>1912.53</v>
      </c>
      <c r="D119" s="792">
        <f t="shared" si="27"/>
        <v>4.9920390114711801E-3</v>
      </c>
      <c r="E119" s="826">
        <f t="shared" si="43"/>
        <v>-9.0328380358060192E-2</v>
      </c>
      <c r="F119" s="827">
        <v>4504.2299999999996</v>
      </c>
      <c r="G119" s="792">
        <f t="shared" si="25"/>
        <v>-2.8138518554596779E-3</v>
      </c>
      <c r="H119" s="828">
        <f t="shared" si="42"/>
        <v>-0.11537796806567556</v>
      </c>
      <c r="I119" s="829">
        <v>270997.09999999998</v>
      </c>
      <c r="J119" s="830">
        <v>400000</v>
      </c>
      <c r="K119" s="830">
        <f t="shared" si="33"/>
        <v>12829.479999999981</v>
      </c>
      <c r="L119" s="792">
        <f t="shared" si="28"/>
        <v>4.9694380728303504E-2</v>
      </c>
      <c r="M119" s="831">
        <f t="shared" si="38"/>
        <v>-129002.90000000002</v>
      </c>
      <c r="N119" s="832">
        <f t="shared" si="39"/>
        <v>-0.32250725000000008</v>
      </c>
      <c r="O119" s="786">
        <f t="shared" si="30"/>
        <v>-0.69291631213235316</v>
      </c>
      <c r="P119" s="831" t="b">
        <f t="shared" si="34"/>
        <v>1</v>
      </c>
      <c r="Q119" s="832">
        <f>COUNTIF(P$2:P119, TRUE)/(COUNTIF(P$2:P119,FALSE) + COUNTIF(P$2:P119, TRUE))</f>
        <v>0.44915254237288138</v>
      </c>
      <c r="R119" s="833"/>
      <c r="S119" s="833"/>
      <c r="T119" s="833"/>
      <c r="U119" s="833"/>
      <c r="V119" s="832">
        <f>STDEV(D$2:D119)*SQRT(252)</f>
        <v>0.20687869960829744</v>
      </c>
      <c r="W119" s="832">
        <f>STDEV(L$2:L119)*SQRT(252)</f>
        <v>0.38596402182857842</v>
      </c>
      <c r="X119" s="801">
        <f t="shared" si="35"/>
        <v>-0.93810132354765563</v>
      </c>
      <c r="Y119" s="801">
        <f t="shared" si="36"/>
        <v>-1.7952873142152721</v>
      </c>
      <c r="Z119" s="807">
        <f t="shared" si="37"/>
        <v>-0.2321788696419399</v>
      </c>
    </row>
    <row r="120" spans="1:26" ht="20.100000000000001" customHeight="1" x14ac:dyDescent="0.2">
      <c r="A120" s="776">
        <f t="shared" si="29"/>
        <v>171</v>
      </c>
      <c r="B120" s="824">
        <v>42404</v>
      </c>
      <c r="C120" s="825">
        <v>1915.45</v>
      </c>
      <c r="D120" s="792">
        <f t="shared" si="27"/>
        <v>1.5267734362337181E-3</v>
      </c>
      <c r="E120" s="826">
        <f t="shared" si="43"/>
        <v>-8.8939517893495176E-2</v>
      </c>
      <c r="F120" s="827">
        <v>4509.55</v>
      </c>
      <c r="G120" s="792">
        <f t="shared" si="25"/>
        <v>1.1811119769640137E-3</v>
      </c>
      <c r="H120" s="828">
        <f t="shared" si="42"/>
        <v>-0.1143331303886717</v>
      </c>
      <c r="I120" s="829">
        <v>272162.3</v>
      </c>
      <c r="J120" s="830">
        <v>400000</v>
      </c>
      <c r="K120" s="830">
        <f t="shared" ref="K120:K151" si="44">I120-I119-J120+J119</f>
        <v>1165.2000000000116</v>
      </c>
      <c r="L120" s="792">
        <f t="shared" si="28"/>
        <v>4.2996770076137777E-3</v>
      </c>
      <c r="M120" s="831">
        <f t="shared" si="38"/>
        <v>-127837.70000000001</v>
      </c>
      <c r="N120" s="832">
        <f t="shared" si="39"/>
        <v>-0.31959425000000002</v>
      </c>
      <c r="O120" s="786">
        <f t="shared" si="30"/>
        <v>-0.68264210416666671</v>
      </c>
      <c r="P120" s="831" t="b">
        <f t="shared" si="34"/>
        <v>1</v>
      </c>
      <c r="Q120" s="832">
        <f>COUNTIF(P$2:P120, TRUE)/(COUNTIF(P$2:P120,FALSE) + COUNTIF(P$2:P120, TRUE))</f>
        <v>0.45378151260504201</v>
      </c>
      <c r="R120" s="833"/>
      <c r="S120" s="833"/>
      <c r="T120" s="833"/>
      <c r="U120" s="833"/>
      <c r="V120" s="832">
        <f>STDEV(D$2:D120)*SQRT(252)</f>
        <v>0.20601897567851155</v>
      </c>
      <c r="W120" s="832">
        <f>STDEV(L$2:L120)*SQRT(252)</f>
        <v>0.38442983265447928</v>
      </c>
      <c r="X120" s="801">
        <f t="shared" si="35"/>
        <v>-0.92210772774695426</v>
      </c>
      <c r="Y120" s="801">
        <f t="shared" si="36"/>
        <v>-1.7757261434499982</v>
      </c>
      <c r="Z120" s="807">
        <f t="shared" si="37"/>
        <v>-0.23065473210650483</v>
      </c>
    </row>
    <row r="121" spans="1:26" ht="20.100000000000001" customHeight="1" x14ac:dyDescent="0.2">
      <c r="A121" s="776">
        <f t="shared" si="29"/>
        <v>172</v>
      </c>
      <c r="B121" s="824">
        <v>42405</v>
      </c>
      <c r="C121" s="825">
        <v>1880.02</v>
      </c>
      <c r="D121" s="792">
        <f t="shared" si="27"/>
        <v>-1.8496958939152711E-2</v>
      </c>
      <c r="E121" s="826">
        <f t="shared" si="43"/>
        <v>-0.10579136622210387</v>
      </c>
      <c r="F121" s="827">
        <v>4363.1400000000003</v>
      </c>
      <c r="G121" s="792">
        <f t="shared" si="25"/>
        <v>-3.2466654100741725E-2</v>
      </c>
      <c r="H121" s="828">
        <f t="shared" si="42"/>
        <v>-0.1430877702928294</v>
      </c>
      <c r="I121" s="829">
        <v>257957.43</v>
      </c>
      <c r="J121" s="830">
        <v>400000</v>
      </c>
      <c r="K121" s="830">
        <f t="shared" si="44"/>
        <v>-14204.869999999995</v>
      </c>
      <c r="L121" s="792">
        <f t="shared" si="28"/>
        <v>-5.2192643874629206E-2</v>
      </c>
      <c r="M121" s="831">
        <f t="shared" si="38"/>
        <v>-142042.57</v>
      </c>
      <c r="N121" s="832">
        <f t="shared" si="39"/>
        <v>-0.355106425</v>
      </c>
      <c r="O121" s="786">
        <f t="shared" si="30"/>
        <v>-0.75408501006540696</v>
      </c>
      <c r="P121" s="831" t="b">
        <f t="shared" si="34"/>
        <v>0</v>
      </c>
      <c r="Q121" s="832">
        <f>COUNTIF(P$2:P121, TRUE)/(COUNTIF(P$2:P121,FALSE) + COUNTIF(P$2:P121, TRUE))</f>
        <v>0.45</v>
      </c>
      <c r="R121" s="833"/>
      <c r="S121" s="833"/>
      <c r="T121" s="833"/>
      <c r="U121" s="833"/>
      <c r="V121" s="832">
        <f>STDEV(D$2:D121)*SQRT(252)</f>
        <v>0.20677147424628983</v>
      </c>
      <c r="W121" s="832">
        <f>STDEV(L$2:L121)*SQRT(252)</f>
        <v>0.38965360022711565</v>
      </c>
      <c r="X121" s="801">
        <f t="shared" si="35"/>
        <v>-1.0864791070440902</v>
      </c>
      <c r="Y121" s="801">
        <f t="shared" si="36"/>
        <v>-1.935270223670144</v>
      </c>
      <c r="Z121" s="807">
        <f t="shared" si="37"/>
        <v>-0.24931505877789611</v>
      </c>
    </row>
    <row r="122" spans="1:26" ht="20.100000000000001" customHeight="1" x14ac:dyDescent="0.2">
      <c r="A122" s="776">
        <f t="shared" si="29"/>
        <v>175</v>
      </c>
      <c r="B122" s="795">
        <v>42408</v>
      </c>
      <c r="C122" s="820">
        <v>1853.44</v>
      </c>
      <c r="D122" s="792">
        <f t="shared" si="27"/>
        <v>-1.4138147466516275E-2</v>
      </c>
      <c r="E122" s="819">
        <f t="shared" si="43"/>
        <v>-0.11843381975228781</v>
      </c>
      <c r="F122" s="816">
        <v>4283.75</v>
      </c>
      <c r="G122" s="792">
        <f t="shared" si="25"/>
        <v>-1.8195611417465476E-2</v>
      </c>
      <c r="H122" s="797">
        <f t="shared" ref="H122:H127" si="45">(F122-F$2)/F$2</f>
        <v>-0.15867981224345501</v>
      </c>
      <c r="I122" s="799">
        <v>244544.61</v>
      </c>
      <c r="J122" s="800">
        <v>400000</v>
      </c>
      <c r="K122" s="800">
        <f t="shared" si="44"/>
        <v>-13412.820000000007</v>
      </c>
      <c r="L122" s="792">
        <f t="shared" si="28"/>
        <v>-5.1996253800481756E-2</v>
      </c>
      <c r="M122" s="817">
        <f t="shared" si="38"/>
        <v>-155455.39000000001</v>
      </c>
      <c r="N122" s="802">
        <f t="shared" si="39"/>
        <v>-0.38863847500000004</v>
      </c>
      <c r="O122" s="786">
        <f t="shared" si="30"/>
        <v>-0.81114401710714301</v>
      </c>
      <c r="P122" s="817" t="b">
        <f t="shared" si="34"/>
        <v>0</v>
      </c>
      <c r="Q122" s="802">
        <f>COUNTIF(P$2:P122, TRUE)/(COUNTIF(P$2:P122,FALSE) + COUNTIF(P$2:P122, TRUE))</f>
        <v>0.4462809917355372</v>
      </c>
      <c r="R122" s="803"/>
      <c r="S122" s="803"/>
      <c r="T122" s="803"/>
      <c r="U122" s="803"/>
      <c r="V122" s="802">
        <f>STDEV(D$2:D122)*SQRT(252)</f>
        <v>0.20679867923754305</v>
      </c>
      <c r="W122" s="802">
        <f>STDEV(L$2:L122)*SQRT(252)</f>
        <v>0.39455956732672759</v>
      </c>
      <c r="X122" s="801">
        <f t="shared" si="35"/>
        <v>-1.1953088958377476</v>
      </c>
      <c r="Y122" s="801">
        <f t="shared" si="36"/>
        <v>-2.0558214380731248</v>
      </c>
      <c r="Z122" s="807">
        <f t="shared" si="37"/>
        <v>-0.2702046552477122</v>
      </c>
    </row>
    <row r="123" spans="1:26" ht="20.100000000000001" customHeight="1" x14ac:dyDescent="0.2">
      <c r="A123" s="776">
        <f t="shared" si="29"/>
        <v>176</v>
      </c>
      <c r="B123" s="795">
        <v>42409</v>
      </c>
      <c r="C123" s="818">
        <v>1852.21</v>
      </c>
      <c r="D123" s="792">
        <f t="shared" si="27"/>
        <v>-6.6363087016575565E-4</v>
      </c>
      <c r="E123" s="819">
        <f t="shared" si="43"/>
        <v>-0.11901885428359431</v>
      </c>
      <c r="F123" s="816">
        <v>4268.76</v>
      </c>
      <c r="G123" s="792">
        <f t="shared" si="25"/>
        <v>-3.4992704989786475E-3</v>
      </c>
      <c r="H123" s="797">
        <f t="shared" si="45"/>
        <v>-0.16162381915666665</v>
      </c>
      <c r="I123" s="799">
        <v>239055.86</v>
      </c>
      <c r="J123" s="800">
        <v>400000</v>
      </c>
      <c r="K123" s="800">
        <f t="shared" si="44"/>
        <v>-5488.75</v>
      </c>
      <c r="L123" s="792">
        <f t="shared" si="28"/>
        <v>-2.2444780115987838E-2</v>
      </c>
      <c r="M123" s="817">
        <f t="shared" si="38"/>
        <v>-160944.14000000001</v>
      </c>
      <c r="N123" s="802">
        <f t="shared" si="39"/>
        <v>-0.40236035000000003</v>
      </c>
      <c r="O123" s="786">
        <f t="shared" si="30"/>
        <v>-0.83501203316761374</v>
      </c>
      <c r="P123" s="817" t="b">
        <f t="shared" ref="P123:P154" si="46">L123&gt;D123</f>
        <v>0</v>
      </c>
      <c r="Q123" s="802">
        <f>COUNTIF(P$2:P123, TRUE)/(COUNTIF(P$2:P123,FALSE) + COUNTIF(P$2:P123, TRUE))</f>
        <v>0.44262295081967212</v>
      </c>
      <c r="R123" s="803"/>
      <c r="S123" s="803"/>
      <c r="T123" s="803"/>
      <c r="U123" s="803"/>
      <c r="V123" s="802">
        <f>STDEV(D$2:D123)*SQRT(252)</f>
        <v>0.20593567657799225</v>
      </c>
      <c r="W123" s="802">
        <f>STDEV(L$2:L123)*SQRT(252)</f>
        <v>0.39391134458203264</v>
      </c>
      <c r="X123" s="801">
        <f t="shared" si="35"/>
        <v>-1.1993936112348516</v>
      </c>
      <c r="Y123" s="801">
        <f t="shared" si="36"/>
        <v>-2.1197968645803273</v>
      </c>
      <c r="Z123" s="807">
        <f t="shared" si="37"/>
        <v>-0.28334149571640571</v>
      </c>
    </row>
    <row r="124" spans="1:26" ht="20.100000000000001" customHeight="1" x14ac:dyDescent="0.2">
      <c r="A124" s="776">
        <f t="shared" si="29"/>
        <v>177</v>
      </c>
      <c r="B124" s="795">
        <v>42410</v>
      </c>
      <c r="C124" s="818">
        <v>1851.86</v>
      </c>
      <c r="D124" s="792">
        <f t="shared" si="27"/>
        <v>-1.8896345446797955E-4</v>
      </c>
      <c r="E124" s="819">
        <f t="shared" si="43"/>
        <v>-0.11918532752421003</v>
      </c>
      <c r="F124" s="816">
        <v>4283.59</v>
      </c>
      <c r="G124" s="792">
        <f t="shared" si="25"/>
        <v>3.4740767810792659E-3</v>
      </c>
      <c r="H124" s="797">
        <f t="shared" si="45"/>
        <v>-0.15871123593298891</v>
      </c>
      <c r="I124" s="799">
        <v>235873.97</v>
      </c>
      <c r="J124" s="800">
        <v>400000</v>
      </c>
      <c r="K124" s="800">
        <f t="shared" si="44"/>
        <v>-3181.890000000014</v>
      </c>
      <c r="L124" s="792">
        <f t="shared" si="28"/>
        <v>-1.3310236360656518E-2</v>
      </c>
      <c r="M124" s="817">
        <f t="shared" si="38"/>
        <v>-164126.03</v>
      </c>
      <c r="N124" s="802">
        <f t="shared" si="39"/>
        <v>-0.41031507499999997</v>
      </c>
      <c r="O124" s="786">
        <f t="shared" si="30"/>
        <v>-0.84670949798728801</v>
      </c>
      <c r="P124" s="817" t="b">
        <f t="shared" si="46"/>
        <v>0</v>
      </c>
      <c r="Q124" s="802">
        <f>COUNTIF(P$2:P124, TRUE)/(COUNTIF(P$2:P124,FALSE) + COUNTIF(P$2:P124, TRUE))</f>
        <v>0.43902439024390244</v>
      </c>
      <c r="R124" s="803"/>
      <c r="S124" s="803"/>
      <c r="T124" s="803"/>
      <c r="U124" s="803"/>
      <c r="V124" s="802">
        <f>STDEV(D$2:D124)*SQRT(252)</f>
        <v>0.20508595535618429</v>
      </c>
      <c r="W124" s="802">
        <f>STDEV(L$2:L124)*SQRT(252)</f>
        <v>0.39255054022656277</v>
      </c>
      <c r="X124" s="801">
        <f t="shared" si="35"/>
        <v>-1.1992337224413965</v>
      </c>
      <c r="Y124" s="801">
        <f t="shared" si="36"/>
        <v>-2.156943912237657</v>
      </c>
      <c r="Z124" s="807">
        <f t="shared" si="37"/>
        <v>-0.29112974747578996</v>
      </c>
    </row>
    <row r="125" spans="1:26" ht="20.100000000000001" customHeight="1" x14ac:dyDescent="0.2">
      <c r="A125" s="776">
        <f t="shared" si="29"/>
        <v>178</v>
      </c>
      <c r="B125" s="795">
        <v>42411</v>
      </c>
      <c r="C125" s="818">
        <v>1829.08</v>
      </c>
      <c r="D125" s="792">
        <f t="shared" si="27"/>
        <v>-1.2301145874958137E-2</v>
      </c>
      <c r="E125" s="819">
        <f>(C125-$C$2)/$C$2</f>
        <v>-0.13002035729913819</v>
      </c>
      <c r="F125" s="816">
        <v>4266.83</v>
      </c>
      <c r="G125" s="792">
        <f t="shared" si="25"/>
        <v>-3.9126060150481761E-3</v>
      </c>
      <c r="H125" s="797">
        <f t="shared" si="45"/>
        <v>-0.16200286741166997</v>
      </c>
      <c r="I125" s="799">
        <v>230609.13</v>
      </c>
      <c r="J125" s="800">
        <v>400000</v>
      </c>
      <c r="K125" s="800">
        <f t="shared" si="44"/>
        <v>-5264.8399999999674</v>
      </c>
      <c r="L125" s="792">
        <f t="shared" si="28"/>
        <v>-2.2320563816346364E-2</v>
      </c>
      <c r="M125" s="817">
        <f t="shared" si="38"/>
        <v>-169390.87</v>
      </c>
      <c r="N125" s="802">
        <f t="shared" si="39"/>
        <v>-0.42347717499999998</v>
      </c>
      <c r="O125" s="786">
        <f t="shared" si="30"/>
        <v>-0.86896088858848308</v>
      </c>
      <c r="P125" s="817" t="b">
        <f t="shared" si="46"/>
        <v>0</v>
      </c>
      <c r="Q125" s="802">
        <f>COUNTIF(P$2:P125, TRUE)/(COUNTIF(P$2:P125,FALSE) + COUNTIF(P$2:P125, TRUE))</f>
        <v>0.43548387096774194</v>
      </c>
      <c r="R125" s="803"/>
      <c r="S125" s="803"/>
      <c r="T125" s="803"/>
      <c r="U125" s="803"/>
      <c r="V125" s="802">
        <f>STDEV(D$2:D125)*SQRT(252)</f>
        <v>0.20488816456150158</v>
      </c>
      <c r="W125" s="802">
        <f>STDEV(L$2:L125)*SQRT(252)</f>
        <v>0.39188934391979374</v>
      </c>
      <c r="X125" s="801">
        <f t="shared" si="35"/>
        <v>-1.3021610645014765</v>
      </c>
      <c r="Y125" s="801">
        <f t="shared" si="36"/>
        <v>-2.2173628910061138</v>
      </c>
      <c r="Z125" s="807">
        <f t="shared" si="37"/>
        <v>-0.29345681770086179</v>
      </c>
    </row>
    <row r="126" spans="1:26" ht="20.100000000000001" customHeight="1" x14ac:dyDescent="0.2">
      <c r="A126" s="776">
        <f t="shared" si="29"/>
        <v>179</v>
      </c>
      <c r="B126" s="795">
        <v>42412</v>
      </c>
      <c r="C126" s="818">
        <v>1864.78</v>
      </c>
      <c r="D126" s="792">
        <f t="shared" si="27"/>
        <v>1.9518009053731956E-2</v>
      </c>
      <c r="E126" s="819">
        <f>(C126-$C$2)/$C$2</f>
        <v>-0.11304008675634029</v>
      </c>
      <c r="F126" s="816">
        <v>4337.51</v>
      </c>
      <c r="G126" s="792">
        <f t="shared" si="25"/>
        <v>1.656499087144327E-2</v>
      </c>
      <c r="H126" s="797">
        <f t="shared" si="45"/>
        <v>-0.14812145256004863</v>
      </c>
      <c r="I126" s="799">
        <v>236989.83</v>
      </c>
      <c r="J126" s="800">
        <v>400000</v>
      </c>
      <c r="K126" s="800">
        <f t="shared" si="44"/>
        <v>6380.6999999999534</v>
      </c>
      <c r="L126" s="792">
        <f t="shared" si="28"/>
        <v>2.7668895849873563E-2</v>
      </c>
      <c r="M126" s="817">
        <f t="shared" ref="M126:M157" si="47">I126-J126</f>
        <v>-163010.17000000001</v>
      </c>
      <c r="N126" s="802">
        <f t="shared" ref="N126:N157" si="48">M126/J126</f>
        <v>-0.40752542500000005</v>
      </c>
      <c r="O126" s="786">
        <f t="shared" si="30"/>
        <v>-0.83155676805167611</v>
      </c>
      <c r="P126" s="817" t="b">
        <f t="shared" si="46"/>
        <v>1</v>
      </c>
      <c r="Q126" s="802">
        <f>COUNTIF(P$2:P126, TRUE)/(COUNTIF(P$2:P126,FALSE) + COUNTIF(P$2:P126, TRUE))</f>
        <v>0.44</v>
      </c>
      <c r="R126" s="803"/>
      <c r="S126" s="803"/>
      <c r="T126" s="803"/>
      <c r="U126" s="803"/>
      <c r="V126" s="802">
        <f>STDEV(D$2:D126)*SQRT(252)</f>
        <v>0.20614925630726783</v>
      </c>
      <c r="W126" s="802">
        <f>STDEV(L$2:L126)*SQRT(252)</f>
        <v>0.39280034902438915</v>
      </c>
      <c r="X126" s="801">
        <f t="shared" si="35"/>
        <v>-1.118891316478704</v>
      </c>
      <c r="Y126" s="801">
        <f t="shared" si="36"/>
        <v>-2.1169960009379838</v>
      </c>
      <c r="Z126" s="807">
        <f t="shared" si="37"/>
        <v>-0.29448533824365974</v>
      </c>
    </row>
    <row r="127" spans="1:26" ht="20.100000000000001" customHeight="1" x14ac:dyDescent="0.2">
      <c r="A127" s="776">
        <f t="shared" si="29"/>
        <v>183</v>
      </c>
      <c r="B127" s="824">
        <v>42416</v>
      </c>
      <c r="C127" s="825">
        <v>1895.58</v>
      </c>
      <c r="D127" s="792">
        <f t="shared" si="27"/>
        <v>1.651669365823312E-2</v>
      </c>
      <c r="E127" s="826">
        <f>(C127-$C$2)/$C$2</f>
        <v>-9.8390441582161731E-2</v>
      </c>
      <c r="F127" s="827">
        <v>4435.96</v>
      </c>
      <c r="G127" s="792">
        <f t="shared" si="25"/>
        <v>2.2697354011863905E-2</v>
      </c>
      <c r="H127" s="828">
        <f t="shared" si="45"/>
        <v>-0.12878606359369166</v>
      </c>
      <c r="I127" s="829">
        <v>243663.46</v>
      </c>
      <c r="J127" s="830">
        <v>400000</v>
      </c>
      <c r="K127" s="830">
        <f t="shared" si="44"/>
        <v>6673.6300000000047</v>
      </c>
      <c r="L127" s="792">
        <f t="shared" si="28"/>
        <v>2.8159984755463999E-2</v>
      </c>
      <c r="M127" s="831">
        <f t="shared" si="47"/>
        <v>-156336.54</v>
      </c>
      <c r="N127" s="832">
        <f t="shared" si="48"/>
        <v>-0.39084135000000003</v>
      </c>
      <c r="O127" s="786">
        <f t="shared" si="30"/>
        <v>-0.78008089118852464</v>
      </c>
      <c r="P127" s="831" t="b">
        <f t="shared" si="46"/>
        <v>1</v>
      </c>
      <c r="Q127" s="832">
        <f>COUNTIF(P$2:P127, TRUE)/(COUNTIF(P$2:P127,FALSE) + COUNTIF(P$2:P127, TRUE))</f>
        <v>0.44444444444444442</v>
      </c>
      <c r="R127" s="833"/>
      <c r="S127" s="833"/>
      <c r="T127" s="833"/>
      <c r="U127" s="833"/>
      <c r="V127" s="832">
        <f>STDEV(D$2:D127)*SQRT(252)</f>
        <v>0.2067973574201509</v>
      </c>
      <c r="W127" s="832">
        <f>STDEV(L$2:L127)*SQRT(252)</f>
        <v>0.39373317711022293</v>
      </c>
      <c r="X127" s="801">
        <f t="shared" si="35"/>
        <v>-0.949613893037624</v>
      </c>
      <c r="Y127" s="801">
        <f t="shared" si="36"/>
        <v>-1.9812424670785269</v>
      </c>
      <c r="Z127" s="807">
        <f t="shared" si="37"/>
        <v>-0.29245090841783827</v>
      </c>
    </row>
    <row r="128" spans="1:26" ht="20.100000000000001" customHeight="1" x14ac:dyDescent="0.2">
      <c r="A128" s="776">
        <f t="shared" si="29"/>
        <v>184</v>
      </c>
      <c r="B128" s="824">
        <v>42417</v>
      </c>
      <c r="C128" s="825">
        <v>1926.82</v>
      </c>
      <c r="D128" s="792">
        <f t="shared" si="27"/>
        <v>1.648044398020659E-2</v>
      </c>
      <c r="E128" s="826">
        <f t="shared" ref="E128:E133" si="49">(C128-$C$2)/$C$2</f>
        <v>-8.3531515762637745E-2</v>
      </c>
      <c r="F128" s="827">
        <v>4534.0600000000004</v>
      </c>
      <c r="G128" s="792">
        <f t="shared" si="25"/>
        <v>2.2114716994743044E-2</v>
      </c>
      <c r="H128" s="828">
        <f t="shared" ref="H128:H141" si="50">(F128-F$2)/F$2</f>
        <v>-0.10951941394819008</v>
      </c>
      <c r="I128" s="829">
        <v>249365.31</v>
      </c>
      <c r="J128" s="830">
        <v>400000</v>
      </c>
      <c r="K128" s="830">
        <f t="shared" si="44"/>
        <v>5701.8499999999767</v>
      </c>
      <c r="L128" s="792">
        <f t="shared" si="28"/>
        <v>2.3400513150391843E-2</v>
      </c>
      <c r="M128" s="831">
        <f t="shared" si="47"/>
        <v>-150634.69</v>
      </c>
      <c r="N128" s="832">
        <f t="shared" si="48"/>
        <v>-0.37658672500000001</v>
      </c>
      <c r="O128" s="786">
        <f t="shared" si="30"/>
        <v>-0.74754511579483707</v>
      </c>
      <c r="P128" s="831" t="b">
        <f t="shared" si="46"/>
        <v>1</v>
      </c>
      <c r="Q128" s="832">
        <f>COUNTIF(P$2:P128, TRUE)/(COUNTIF(P$2:P128,FALSE) + COUNTIF(P$2:P128, TRUE))</f>
        <v>0.44881889763779526</v>
      </c>
      <c r="R128" s="833"/>
      <c r="S128" s="833"/>
      <c r="T128" s="833"/>
      <c r="U128" s="833"/>
      <c r="V128" s="832">
        <f>STDEV(D$2:D128)*SQRT(252)</f>
        <v>0.20740391827467</v>
      </c>
      <c r="W128" s="832">
        <f>STDEV(L$2:L128)*SQRT(252)</f>
        <v>0.39391671411506929</v>
      </c>
      <c r="X128" s="801">
        <f t="shared" si="35"/>
        <v>-0.79947669226545248</v>
      </c>
      <c r="Y128" s="801">
        <f t="shared" si="36"/>
        <v>-1.8977237802010791</v>
      </c>
      <c r="Z128" s="807">
        <f t="shared" si="37"/>
        <v>-0.29305520923736228</v>
      </c>
    </row>
    <row r="129" spans="1:39" ht="20.100000000000001" customHeight="1" x14ac:dyDescent="0.2">
      <c r="A129" s="776">
        <f t="shared" si="29"/>
        <v>185</v>
      </c>
      <c r="B129" s="824">
        <v>42418</v>
      </c>
      <c r="C129" s="825">
        <v>1917.83</v>
      </c>
      <c r="D129" s="792">
        <f t="shared" si="27"/>
        <v>-4.6657186452289312E-3</v>
      </c>
      <c r="E129" s="826">
        <f t="shared" si="49"/>
        <v>-8.7807499857308707E-2</v>
      </c>
      <c r="F129" s="827">
        <v>4487.53</v>
      </c>
      <c r="G129" s="792">
        <f t="shared" si="25"/>
        <v>-1.0262325597808731E-2</v>
      </c>
      <c r="H129" s="828">
        <f t="shared" si="50"/>
        <v>-0.11865781566078129</v>
      </c>
      <c r="I129" s="829">
        <v>241680.12</v>
      </c>
      <c r="J129" s="830">
        <v>400000</v>
      </c>
      <c r="K129" s="830">
        <f t="shared" si="44"/>
        <v>-7685.1900000000023</v>
      </c>
      <c r="L129" s="792">
        <f t="shared" si="28"/>
        <v>-3.0819002049643562E-2</v>
      </c>
      <c r="M129" s="831">
        <f t="shared" si="47"/>
        <v>-158319.88</v>
      </c>
      <c r="N129" s="832">
        <f t="shared" si="48"/>
        <v>-0.39579970000000003</v>
      </c>
      <c r="O129" s="786">
        <f t="shared" si="30"/>
        <v>-0.78143697527027034</v>
      </c>
      <c r="P129" s="831" t="b">
        <f t="shared" si="46"/>
        <v>0</v>
      </c>
      <c r="Q129" s="832">
        <f>COUNTIF(P$2:P129, TRUE)/(COUNTIF(P$2:P129,FALSE) + COUNTIF(P$2:P129, TRUE))</f>
        <v>0.4453125</v>
      </c>
      <c r="R129" s="833"/>
      <c r="S129" s="833"/>
      <c r="T129" s="833"/>
      <c r="U129" s="833"/>
      <c r="V129" s="832">
        <f>STDEV(D$2:D129)*SQRT(252)</f>
        <v>0.20665833739123632</v>
      </c>
      <c r="W129" s="832">
        <f>STDEV(L$2:L129)*SQRT(252)</f>
        <v>0.39434419152440775</v>
      </c>
      <c r="X129" s="801">
        <f t="shared" si="35"/>
        <v>-0.83887485506181592</v>
      </c>
      <c r="Y129" s="801">
        <f t="shared" si="36"/>
        <v>-1.9816114756235828</v>
      </c>
      <c r="Z129" s="807">
        <f t="shared" si="37"/>
        <v>-0.30799220014269135</v>
      </c>
    </row>
    <row r="130" spans="1:39" ht="20.100000000000001" customHeight="1" x14ac:dyDescent="0.2">
      <c r="A130" s="776">
        <f t="shared" si="29"/>
        <v>186</v>
      </c>
      <c r="B130" s="824">
        <v>42419</v>
      </c>
      <c r="C130" s="825">
        <v>1917.78</v>
      </c>
      <c r="D130" s="792">
        <f t="shared" si="27"/>
        <v>-2.6071132477828863E-5</v>
      </c>
      <c r="E130" s="826">
        <f t="shared" si="49"/>
        <v>-8.7831281748825207E-2</v>
      </c>
      <c r="F130" s="827">
        <v>4504.43</v>
      </c>
      <c r="G130" s="792">
        <f t="shared" si="25"/>
        <v>3.7659915365469529E-3</v>
      </c>
      <c r="H130" s="828">
        <f t="shared" si="50"/>
        <v>-0.11533868845375798</v>
      </c>
      <c r="I130" s="829">
        <v>236145.17</v>
      </c>
      <c r="J130" s="830">
        <v>400000</v>
      </c>
      <c r="K130" s="830">
        <f t="shared" si="44"/>
        <v>-5534.9499999999534</v>
      </c>
      <c r="L130" s="792">
        <f t="shared" si="28"/>
        <v>-2.290196645052954E-2</v>
      </c>
      <c r="M130" s="831">
        <f t="shared" si="47"/>
        <v>-163854.82999999999</v>
      </c>
      <c r="N130" s="832">
        <f t="shared" si="48"/>
        <v>-0.40963707499999996</v>
      </c>
      <c r="O130" s="786">
        <f t="shared" si="30"/>
        <v>-0.80440828840725798</v>
      </c>
      <c r="P130" s="831" t="b">
        <f t="shared" si="46"/>
        <v>0</v>
      </c>
      <c r="Q130" s="832">
        <f>COUNTIF(P$2:P130, TRUE)/(COUNTIF(P$2:P130,FALSE) + COUNTIF(P$2:P130, TRUE))</f>
        <v>0.44186046511627908</v>
      </c>
      <c r="R130" s="833"/>
      <c r="S130" s="833"/>
      <c r="T130" s="833"/>
      <c r="U130" s="833"/>
      <c r="V130" s="832">
        <f>STDEV(D$2:D130)*SQRT(252)</f>
        <v>0.20584491170892685</v>
      </c>
      <c r="W130" s="832">
        <f>STDEV(L$2:L130)*SQRT(252)</f>
        <v>0.39378743351445816</v>
      </c>
      <c r="X130" s="801">
        <f t="shared" si="35"/>
        <v>-0.83788876061314033</v>
      </c>
      <c r="Y130" s="801">
        <f t="shared" si="36"/>
        <v>-2.0427474823868996</v>
      </c>
      <c r="Z130" s="807">
        <f t="shared" si="37"/>
        <v>-0.32180579325117475</v>
      </c>
    </row>
    <row r="131" spans="1:39" ht="20.100000000000001" customHeight="1" x14ac:dyDescent="0.2">
      <c r="A131" s="776">
        <f t="shared" si="29"/>
        <v>189</v>
      </c>
      <c r="B131" s="795">
        <v>42422</v>
      </c>
      <c r="C131" s="820">
        <v>1945.5</v>
      </c>
      <c r="D131" s="792">
        <f t="shared" si="27"/>
        <v>1.4454212683415213E-2</v>
      </c>
      <c r="E131" s="819">
        <f t="shared" si="49"/>
        <v>-7.4646601092064488E-2</v>
      </c>
      <c r="F131" s="816">
        <v>4570.6000000000004</v>
      </c>
      <c r="G131" s="792">
        <f t="shared" si="25"/>
        <v>1.4689982972318378E-2</v>
      </c>
      <c r="H131" s="797">
        <f t="shared" si="50"/>
        <v>-0.10234302885087485</v>
      </c>
      <c r="I131" s="799">
        <v>248415.23</v>
      </c>
      <c r="J131" s="800">
        <v>400000</v>
      </c>
      <c r="K131" s="800">
        <f t="shared" si="44"/>
        <v>12270.059999999998</v>
      </c>
      <c r="L131" s="792">
        <f t="shared" si="28"/>
        <v>5.1959817768028022E-2</v>
      </c>
      <c r="M131" s="817">
        <f t="shared" si="47"/>
        <v>-151584.76999999999</v>
      </c>
      <c r="N131" s="802">
        <f t="shared" si="48"/>
        <v>-0.37896192499999998</v>
      </c>
      <c r="O131" s="786">
        <f t="shared" si="30"/>
        <v>-0.73235895823412689</v>
      </c>
      <c r="P131" s="817" t="b">
        <f t="shared" si="46"/>
        <v>1</v>
      </c>
      <c r="Q131" s="802">
        <f>COUNTIF(P$2:P131, TRUE)/(COUNTIF(P$2:P131,FALSE) + COUNTIF(P$2:P131, TRUE))</f>
        <v>0.44615384615384618</v>
      </c>
      <c r="R131" s="803"/>
      <c r="S131" s="803"/>
      <c r="T131" s="803"/>
      <c r="U131" s="803"/>
      <c r="V131" s="802">
        <f>STDEV(D$2:D131)*SQRT(252)</f>
        <v>0.20612093442208271</v>
      </c>
      <c r="W131" s="802">
        <f>STDEV(L$2:L131)*SQRT(252)</f>
        <v>0.39971891584326358</v>
      </c>
      <c r="X131" s="801">
        <f t="shared" si="35"/>
        <v>-0.69986835243877887</v>
      </c>
      <c r="Y131" s="801">
        <f t="shared" si="36"/>
        <v>-1.8321848909479606</v>
      </c>
      <c r="Z131" s="807">
        <f t="shared" si="37"/>
        <v>-0.30431532390793548</v>
      </c>
    </row>
    <row r="132" spans="1:39" ht="20.100000000000001" customHeight="1" x14ac:dyDescent="0.2">
      <c r="A132" s="776">
        <f t="shared" si="29"/>
        <v>190</v>
      </c>
      <c r="B132" s="795">
        <v>42423</v>
      </c>
      <c r="C132" s="818">
        <v>1921.27</v>
      </c>
      <c r="D132" s="792">
        <f t="shared" si="27"/>
        <v>-1.2454381906964801E-2</v>
      </c>
      <c r="E132" s="819">
        <f t="shared" si="49"/>
        <v>-8.6171305720971855E-2</v>
      </c>
      <c r="F132" s="816">
        <v>4503.58</v>
      </c>
      <c r="G132" s="792">
        <f t="shared" ref="G132:G165" si="51">(F132-F131)/F131</f>
        <v>-1.4663282719993093E-2</v>
      </c>
      <c r="H132" s="797">
        <f t="shared" si="50"/>
        <v>-0.11550562680440715</v>
      </c>
      <c r="I132" s="799">
        <v>238794.23</v>
      </c>
      <c r="J132" s="800">
        <v>400000</v>
      </c>
      <c r="K132" s="800">
        <f t="shared" si="44"/>
        <v>-9621</v>
      </c>
      <c r="L132" s="792">
        <f t="shared" ref="L132:L195" si="52">K132/I131</f>
        <v>-3.8729509458820213E-2</v>
      </c>
      <c r="M132" s="817">
        <f t="shared" si="47"/>
        <v>-161205.76999999999</v>
      </c>
      <c r="N132" s="802">
        <f t="shared" si="48"/>
        <v>-0.40301442499999995</v>
      </c>
      <c r="O132" s="786">
        <f t="shared" si="30"/>
        <v>-0.7747422038486842</v>
      </c>
      <c r="P132" s="817" t="b">
        <f t="shared" si="46"/>
        <v>0</v>
      </c>
      <c r="Q132" s="802">
        <f>COUNTIF(P$2:P132, TRUE)/(COUNTIF(P$2:P132,FALSE) + COUNTIF(P$2:P132, TRUE))</f>
        <v>0.44274809160305345</v>
      </c>
      <c r="R132" s="803"/>
      <c r="S132" s="803"/>
      <c r="T132" s="803"/>
      <c r="U132" s="803"/>
      <c r="V132" s="802">
        <f>STDEV(D$2:D132)*SQRT(252)</f>
        <v>0.20599200020691141</v>
      </c>
      <c r="W132" s="802">
        <f>STDEV(L$2:L132)*SQRT(252)</f>
        <v>0.40132200578539856</v>
      </c>
      <c r="X132" s="801">
        <f t="shared" si="35"/>
        <v>-0.8041719909145788</v>
      </c>
      <c r="Y132" s="801">
        <f t="shared" si="36"/>
        <v>-1.9304752609628064</v>
      </c>
      <c r="Z132" s="807">
        <f t="shared" si="37"/>
        <v>-0.31684311927902808</v>
      </c>
    </row>
    <row r="133" spans="1:39" ht="20.100000000000001" customHeight="1" x14ac:dyDescent="0.2">
      <c r="A133" s="776">
        <f t="shared" si="29"/>
        <v>191</v>
      </c>
      <c r="B133" s="795">
        <v>42424</v>
      </c>
      <c r="C133" s="820">
        <v>1929.8</v>
      </c>
      <c r="D133" s="792">
        <f t="shared" ref="D133:D165" si="53">(C133-C132)/C132</f>
        <v>4.439771609404182E-3</v>
      </c>
      <c r="E133" s="819">
        <f t="shared" si="49"/>
        <v>-8.2114115028252929E-2</v>
      </c>
      <c r="F133" s="816">
        <v>4542.6000000000004</v>
      </c>
      <c r="G133" s="792">
        <f t="shared" si="51"/>
        <v>8.6642182441525276E-3</v>
      </c>
      <c r="H133" s="797">
        <f t="shared" si="50"/>
        <v>-0.10784217451931565</v>
      </c>
      <c r="I133" s="799">
        <v>242422.46</v>
      </c>
      <c r="J133" s="800">
        <v>400000</v>
      </c>
      <c r="K133" s="800">
        <f t="shared" si="44"/>
        <v>3628.2299999999814</v>
      </c>
      <c r="L133" s="792">
        <f t="shared" si="52"/>
        <v>1.5193960088566551E-2</v>
      </c>
      <c r="M133" s="817">
        <f t="shared" si="47"/>
        <v>-157577.54</v>
      </c>
      <c r="N133" s="802">
        <f t="shared" si="48"/>
        <v>-0.39394385000000004</v>
      </c>
      <c r="O133" s="786">
        <f t="shared" si="30"/>
        <v>-0.75334026812827226</v>
      </c>
      <c r="P133" s="817" t="b">
        <f t="shared" si="46"/>
        <v>1</v>
      </c>
      <c r="Q133" s="802">
        <f>COUNTIF(P$2:P133, TRUE)/(COUNTIF(P$2:P133,FALSE) + COUNTIF(P$2:P133, TRUE))</f>
        <v>0.44696969696969696</v>
      </c>
      <c r="R133" s="803"/>
      <c r="S133" s="803"/>
      <c r="T133" s="803"/>
      <c r="U133" s="803"/>
      <c r="V133" s="802">
        <f>STDEV(D$2:D133)*SQRT(252)</f>
        <v>0.2053176523633603</v>
      </c>
      <c r="W133" s="802">
        <f>STDEV(L$2:L133)*SQRT(252)</f>
        <v>0.40056518042041067</v>
      </c>
      <c r="X133" s="801">
        <f t="shared" si="35"/>
        <v>-0.76480088926992307</v>
      </c>
      <c r="Y133" s="801">
        <f t="shared" si="36"/>
        <v>-1.8806933426854744</v>
      </c>
      <c r="Z133" s="807">
        <f t="shared" si="37"/>
        <v>-0.3118297349717471</v>
      </c>
    </row>
    <row r="134" spans="1:39" ht="20.100000000000001" customHeight="1" x14ac:dyDescent="0.2">
      <c r="A134" s="776">
        <f t="shared" si="29"/>
        <v>192</v>
      </c>
      <c r="B134" s="795">
        <v>42425</v>
      </c>
      <c r="C134" s="820">
        <v>1951.7</v>
      </c>
      <c r="D134" s="792">
        <f t="shared" si="53"/>
        <v>1.1348326251425065E-2</v>
      </c>
      <c r="E134" s="819">
        <f t="shared" ref="E134:E139" si="54">(C134-$C$2)/$C$2</f>
        <v>-7.1697646544015531E-2</v>
      </c>
      <c r="F134" s="816">
        <v>4582.2</v>
      </c>
      <c r="G134" s="792">
        <f t="shared" si="51"/>
        <v>8.7174745740323713E-3</v>
      </c>
      <c r="H134" s="797">
        <f t="shared" si="50"/>
        <v>-0.10006481135966377</v>
      </c>
      <c r="I134" s="799">
        <v>244524.77</v>
      </c>
      <c r="J134" s="800">
        <v>400000</v>
      </c>
      <c r="K134" s="800">
        <f t="shared" si="44"/>
        <v>2102.3099999999977</v>
      </c>
      <c r="L134" s="792">
        <f t="shared" si="52"/>
        <v>8.6720925115601824E-3</v>
      </c>
      <c r="M134" s="817">
        <f t="shared" si="47"/>
        <v>-155475.23000000001</v>
      </c>
      <c r="N134" s="802">
        <f t="shared" si="48"/>
        <v>-0.38868807500000002</v>
      </c>
      <c r="O134" s="786">
        <f t="shared" si="30"/>
        <v>-0.73941833017578129</v>
      </c>
      <c r="P134" s="817" t="b">
        <f t="shared" si="46"/>
        <v>0</v>
      </c>
      <c r="Q134" s="802">
        <f>COUNTIF(P$2:P134, TRUE)/(COUNTIF(P$2:P134,FALSE) + COUNTIF(P$2:P134, TRUE))</f>
        <v>0.44360902255639095</v>
      </c>
      <c r="R134" s="803"/>
      <c r="S134" s="803"/>
      <c r="T134" s="803"/>
      <c r="U134" s="803"/>
      <c r="V134" s="802">
        <f>STDEV(D$2:D134)*SQRT(252)</f>
        <v>0.2051944315202551</v>
      </c>
      <c r="W134" s="802">
        <f>STDEV(L$2:L134)*SQRT(252)</f>
        <v>0.399347738080158</v>
      </c>
      <c r="X134" s="801">
        <f t="shared" si="35"/>
        <v>-0.66470405060311499</v>
      </c>
      <c r="Y134" s="801">
        <f t="shared" si="36"/>
        <v>-1.8515650889385118</v>
      </c>
      <c r="Z134" s="807">
        <f t="shared" si="37"/>
        <v>-0.31699042845598446</v>
      </c>
    </row>
    <row r="135" spans="1:39" ht="20.100000000000001" customHeight="1" x14ac:dyDescent="0.2">
      <c r="A135" s="776">
        <f t="shared" ref="A135:A198" si="55">B135-$B$2</f>
        <v>193</v>
      </c>
      <c r="B135" s="795">
        <v>42426</v>
      </c>
      <c r="C135" s="820">
        <v>1948.05</v>
      </c>
      <c r="D135" s="792">
        <f t="shared" si="53"/>
        <v>-1.8701644719988169E-3</v>
      </c>
      <c r="E135" s="819">
        <f t="shared" si="54"/>
        <v>-7.3433724624721794E-2</v>
      </c>
      <c r="F135" s="816">
        <v>4590.47</v>
      </c>
      <c r="G135" s="792">
        <f t="shared" si="51"/>
        <v>1.8048099166340266E-3</v>
      </c>
      <c r="H135" s="797">
        <f t="shared" si="50"/>
        <v>-9.8440599406877771E-2</v>
      </c>
      <c r="I135" s="799">
        <v>251916.67</v>
      </c>
      <c r="J135" s="800">
        <v>400000</v>
      </c>
      <c r="K135" s="800">
        <f t="shared" si="44"/>
        <v>7391.9000000000233</v>
      </c>
      <c r="L135" s="792">
        <f t="shared" si="52"/>
        <v>3.0229657306292623E-2</v>
      </c>
      <c r="M135" s="817">
        <f t="shared" si="47"/>
        <v>-148083.32999999999</v>
      </c>
      <c r="N135" s="802">
        <f t="shared" si="48"/>
        <v>-0.37020832499999995</v>
      </c>
      <c r="O135" s="786">
        <f t="shared" ref="O135:O198" si="56">N135/(A135/365.25)</f>
        <v>-0.70061445961787561</v>
      </c>
      <c r="P135" s="817" t="b">
        <f t="shared" si="46"/>
        <v>1</v>
      </c>
      <c r="Q135" s="802">
        <f>COUNTIF(P$2:P135, TRUE)/(COUNTIF(P$2:P135,FALSE) + COUNTIF(P$2:P135, TRUE))</f>
        <v>0.44776119402985076</v>
      </c>
      <c r="R135" s="803"/>
      <c r="S135" s="803"/>
      <c r="T135" s="803"/>
      <c r="U135" s="803"/>
      <c r="V135" s="802">
        <f>STDEV(D$2:D135)*SQRT(252)</f>
        <v>0.20442465292014791</v>
      </c>
      <c r="W135" s="802">
        <f>STDEV(L$2:L135)*SQRT(252)</f>
        <v>0.40040715107254371</v>
      </c>
      <c r="X135" s="801">
        <f t="shared" si="35"/>
        <v>-0.67982198161061158</v>
      </c>
      <c r="Y135" s="801">
        <f t="shared" si="36"/>
        <v>-1.7497551123679653</v>
      </c>
      <c r="Z135" s="807">
        <f t="shared" si="37"/>
        <v>-0.29677460037527814</v>
      </c>
    </row>
    <row r="136" spans="1:39" ht="20.100000000000001" customHeight="1" x14ac:dyDescent="0.2">
      <c r="A136" s="776">
        <f t="shared" si="55"/>
        <v>196</v>
      </c>
      <c r="B136" s="824">
        <v>42429</v>
      </c>
      <c r="C136" s="825">
        <v>1932.23</v>
      </c>
      <c r="D136" s="792">
        <f t="shared" si="53"/>
        <v>-8.1209414542747545E-3</v>
      </c>
      <c r="E136" s="826">
        <f t="shared" si="54"/>
        <v>-8.0958315100549849E-2</v>
      </c>
      <c r="F136" s="827">
        <v>4557.95</v>
      </c>
      <c r="G136" s="792">
        <f t="shared" si="51"/>
        <v>-7.0842419185835953E-3</v>
      </c>
      <c r="H136" s="828">
        <f t="shared" si="50"/>
        <v>-0.10482746430465267</v>
      </c>
      <c r="I136" s="834">
        <v>254134.09</v>
      </c>
      <c r="J136" s="830">
        <v>400000</v>
      </c>
      <c r="K136" s="830">
        <f t="shared" si="44"/>
        <v>2217.4199999999837</v>
      </c>
      <c r="L136" s="792">
        <f t="shared" si="52"/>
        <v>8.8021963770797042E-3</v>
      </c>
      <c r="M136" s="831">
        <f t="shared" si="47"/>
        <v>-145865.91</v>
      </c>
      <c r="N136" s="832">
        <f t="shared" si="48"/>
        <v>-0.364664775</v>
      </c>
      <c r="O136" s="786">
        <f t="shared" si="56"/>
        <v>-0.67956025035076528</v>
      </c>
      <c r="P136" s="831" t="b">
        <f t="shared" si="46"/>
        <v>1</v>
      </c>
      <c r="Q136" s="832">
        <f>COUNTIF(P$2:P136, TRUE)/(COUNTIF(P$2:P136,FALSE) + COUNTIF(P$2:P136, TRUE))</f>
        <v>0.45185185185185184</v>
      </c>
      <c r="R136" s="833"/>
      <c r="S136" s="833"/>
      <c r="T136" s="833"/>
      <c r="U136" s="833"/>
      <c r="V136" s="832">
        <f>STDEV(D$2:D136)*SQRT(252)</f>
        <v>0.20392331073233147</v>
      </c>
      <c r="W136" s="832">
        <f>STDEV(L$2:L136)*SQRT(252)</f>
        <v>0.39919785402030938</v>
      </c>
      <c r="X136" s="801">
        <f t="shared" si="35"/>
        <v>-0.73982455393937108</v>
      </c>
      <c r="Y136" s="801">
        <f t="shared" si="36"/>
        <v>-1.7023143874821338</v>
      </c>
      <c r="Z136" s="807">
        <f t="shared" si="37"/>
        <v>-0.28370645989945015</v>
      </c>
    </row>
    <row r="137" spans="1:39" ht="20.100000000000001" customHeight="1" x14ac:dyDescent="0.2">
      <c r="A137" s="776">
        <f t="shared" si="55"/>
        <v>197</v>
      </c>
      <c r="B137" s="824">
        <v>42430</v>
      </c>
      <c r="C137" s="825">
        <v>1978.35</v>
      </c>
      <c r="D137" s="792">
        <f t="shared" si="53"/>
        <v>2.3868794087660315E-2</v>
      </c>
      <c r="E137" s="826">
        <f t="shared" si="54"/>
        <v>-5.9021898365708481E-2</v>
      </c>
      <c r="F137" s="827">
        <v>4689.59</v>
      </c>
      <c r="G137" s="792">
        <f t="shared" si="51"/>
        <v>2.8881405017606672E-2</v>
      </c>
      <c r="H137" s="828">
        <f t="shared" si="50"/>
        <v>-7.8973623740597382E-2</v>
      </c>
      <c r="I137" s="829">
        <v>256289.63</v>
      </c>
      <c r="J137" s="830">
        <v>400000</v>
      </c>
      <c r="K137" s="830">
        <f t="shared" si="44"/>
        <v>2155.5400000000373</v>
      </c>
      <c r="L137" s="792">
        <f t="shared" si="52"/>
        <v>8.4819002440799547E-3</v>
      </c>
      <c r="M137" s="831">
        <f t="shared" si="47"/>
        <v>-143710.37</v>
      </c>
      <c r="N137" s="832">
        <f t="shared" si="48"/>
        <v>-0.359275925</v>
      </c>
      <c r="O137" s="786">
        <f t="shared" si="56"/>
        <v>-0.66611944977791882</v>
      </c>
      <c r="P137" s="831" t="b">
        <f t="shared" si="46"/>
        <v>0</v>
      </c>
      <c r="Q137" s="832">
        <f>COUNTIF(P$2:P137, TRUE)/(COUNTIF(P$2:P137,FALSE) + COUNTIF(P$2:P137, TRUE))</f>
        <v>0.4485294117647059</v>
      </c>
      <c r="R137" s="833"/>
      <c r="S137" s="833"/>
      <c r="T137" s="833"/>
      <c r="U137" s="833"/>
      <c r="V137" s="832">
        <f>STDEV(D$2:D137)*SQRT(252)</f>
        <v>0.205881606235845</v>
      </c>
      <c r="W137" s="832">
        <f>STDEV(L$2:L137)*SQRT(252)</f>
        <v>0.39798205719407453</v>
      </c>
      <c r="X137" s="801">
        <f t="shared" si="35"/>
        <v>-0.531520016835342</v>
      </c>
      <c r="Y137" s="801">
        <f t="shared" si="36"/>
        <v>-1.6737424156111842</v>
      </c>
      <c r="Z137" s="807">
        <f t="shared" si="37"/>
        <v>-0.30025402663429152</v>
      </c>
    </row>
    <row r="138" spans="1:39" ht="20.100000000000001" customHeight="1" x14ac:dyDescent="0.2">
      <c r="A138" s="776">
        <f t="shared" si="55"/>
        <v>198</v>
      </c>
      <c r="B138" s="824">
        <v>42431</v>
      </c>
      <c r="C138" s="835">
        <v>1986.4749999999999</v>
      </c>
      <c r="D138" s="792">
        <f t="shared" si="53"/>
        <v>4.1069578183840069E-3</v>
      </c>
      <c r="E138" s="826">
        <f t="shared" si="54"/>
        <v>-5.5157340994273385E-2</v>
      </c>
      <c r="F138" s="827">
        <v>4703.42</v>
      </c>
      <c r="G138" s="792">
        <f t="shared" si="51"/>
        <v>2.9490851012561711E-3</v>
      </c>
      <c r="H138" s="828">
        <f t="shared" si="50"/>
        <v>-7.6257438576506811E-2</v>
      </c>
      <c r="I138" s="829">
        <v>273591.05</v>
      </c>
      <c r="J138" s="830">
        <v>400000</v>
      </c>
      <c r="K138" s="830">
        <f t="shared" si="44"/>
        <v>17301.419999999984</v>
      </c>
      <c r="L138" s="792">
        <f t="shared" si="52"/>
        <v>6.7507296335009667E-2</v>
      </c>
      <c r="M138" s="831">
        <f t="shared" si="47"/>
        <v>-126408.95000000001</v>
      </c>
      <c r="N138" s="832">
        <f t="shared" si="48"/>
        <v>-0.31602237500000002</v>
      </c>
      <c r="O138" s="786">
        <f t="shared" si="56"/>
        <v>-0.58296551751893944</v>
      </c>
      <c r="P138" s="831" t="b">
        <f t="shared" si="46"/>
        <v>1</v>
      </c>
      <c r="Q138" s="832">
        <f>COUNTIF(P$2:P138, TRUE)/(COUNTIF(P$2:P138,FALSE) + COUNTIF(P$2:P138, TRUE))</f>
        <v>0.45255474452554745</v>
      </c>
      <c r="R138" s="833"/>
      <c r="S138" s="833"/>
      <c r="T138" s="833"/>
      <c r="U138" s="833"/>
      <c r="V138" s="832">
        <f>STDEV(D$2:D138)*SQRT(252)</f>
        <v>0.20520805198323436</v>
      </c>
      <c r="W138" s="832">
        <f>STDEV(L$2:L138)*SQRT(252)</f>
        <v>0.40773104370834762</v>
      </c>
      <c r="X138" s="801">
        <f t="shared" si="35"/>
        <v>-0.49583132243266692</v>
      </c>
      <c r="Y138" s="801">
        <f t="shared" si="36"/>
        <v>-1.4297795728694578</v>
      </c>
      <c r="Z138" s="807">
        <f t="shared" si="37"/>
        <v>-0.26086503400572664</v>
      </c>
    </row>
    <row r="139" spans="1:39" ht="20.100000000000001" customHeight="1" x14ac:dyDescent="0.2">
      <c r="A139" s="776">
        <f t="shared" si="55"/>
        <v>199</v>
      </c>
      <c r="B139" s="824">
        <v>42432</v>
      </c>
      <c r="C139" s="835">
        <v>1993.4</v>
      </c>
      <c r="D139" s="792">
        <f t="shared" si="53"/>
        <v>3.4860745793428975E-3</v>
      </c>
      <c r="E139" s="826">
        <f t="shared" si="54"/>
        <v>-5.1863549019234775E-2</v>
      </c>
      <c r="F139" s="827">
        <v>4707.42</v>
      </c>
      <c r="G139" s="792">
        <f t="shared" si="51"/>
        <v>8.5044499534381367E-4</v>
      </c>
      <c r="H139" s="828">
        <f t="shared" si="50"/>
        <v>-7.5471846338158136E-2</v>
      </c>
      <c r="I139" s="829">
        <v>284465.09999999998</v>
      </c>
      <c r="J139" s="830">
        <v>400000</v>
      </c>
      <c r="K139" s="830">
        <f t="shared" si="44"/>
        <v>10874.049999999988</v>
      </c>
      <c r="L139" s="792">
        <f t="shared" si="52"/>
        <v>3.9745634954067355E-2</v>
      </c>
      <c r="M139" s="831">
        <f t="shared" si="47"/>
        <v>-115534.90000000002</v>
      </c>
      <c r="N139" s="832">
        <f t="shared" si="48"/>
        <v>-0.28883725000000005</v>
      </c>
      <c r="O139" s="786">
        <f t="shared" si="56"/>
        <v>-0.53013972644472374</v>
      </c>
      <c r="P139" s="831" t="b">
        <f t="shared" si="46"/>
        <v>1</v>
      </c>
      <c r="Q139" s="832">
        <f>COUNTIF(P$2:P139, TRUE)/(COUNTIF(P$2:P139,FALSE) + COUNTIF(P$2:P139, TRUE))</f>
        <v>0.45652173913043476</v>
      </c>
      <c r="R139" s="833"/>
      <c r="S139" s="833"/>
      <c r="T139" s="833"/>
      <c r="U139" s="833"/>
      <c r="V139" s="832">
        <f>STDEV(D$2:D139)*SQRT(252)</f>
        <v>0.20451785527923064</v>
      </c>
      <c r="W139" s="832">
        <f>STDEV(L$2:L139)*SQRT(252)</f>
        <v>0.41011498593156359</v>
      </c>
      <c r="X139" s="801">
        <f t="shared" si="35"/>
        <v>-0.46544476565394993</v>
      </c>
      <c r="Y139" s="801">
        <f t="shared" si="36"/>
        <v>-1.2926611916912221</v>
      </c>
      <c r="Z139" s="807">
        <f t="shared" si="37"/>
        <v>-0.23697370098076526</v>
      </c>
      <c r="AM139" s="857"/>
    </row>
    <row r="140" spans="1:39" ht="20.100000000000001" customHeight="1" x14ac:dyDescent="0.2">
      <c r="A140" s="776">
        <f t="shared" si="55"/>
        <v>200</v>
      </c>
      <c r="B140" s="824">
        <v>42433</v>
      </c>
      <c r="C140" s="825">
        <v>1999.99</v>
      </c>
      <c r="D140" s="792">
        <f t="shared" si="53"/>
        <v>3.3059095013544286E-3</v>
      </c>
      <c r="E140" s="826">
        <f t="shared" ref="E140:E171" si="57">(C140-$C$2)/$C$2</f>
        <v>-4.8729095717356993E-2</v>
      </c>
      <c r="F140" s="827">
        <v>4717.0200000000004</v>
      </c>
      <c r="G140" s="792">
        <f t="shared" si="51"/>
        <v>2.0393336477306811E-3</v>
      </c>
      <c r="H140" s="828">
        <f t="shared" si="50"/>
        <v>-7.3586424966121222E-2</v>
      </c>
      <c r="I140" s="829">
        <v>295168.58</v>
      </c>
      <c r="J140" s="830">
        <v>400000</v>
      </c>
      <c r="K140" s="830">
        <f t="shared" si="44"/>
        <v>10703.48000000004</v>
      </c>
      <c r="L140" s="792">
        <f t="shared" si="52"/>
        <v>3.7626689530631495E-2</v>
      </c>
      <c r="M140" s="831">
        <f t="shared" si="47"/>
        <v>-104831.41999999998</v>
      </c>
      <c r="N140" s="832">
        <f t="shared" si="48"/>
        <v>-0.26207854999999997</v>
      </c>
      <c r="O140" s="786">
        <f t="shared" si="56"/>
        <v>-0.47862095193749998</v>
      </c>
      <c r="P140" s="831" t="b">
        <f t="shared" si="46"/>
        <v>1</v>
      </c>
      <c r="Q140" s="832">
        <f>COUNTIF(P$2:P140, TRUE)/(COUNTIF(P$2:P140,FALSE) + COUNTIF(P$2:P140, TRUE))</f>
        <v>0.46043165467625902</v>
      </c>
      <c r="R140" s="833"/>
      <c r="S140" s="833"/>
      <c r="T140" s="833"/>
      <c r="U140" s="833"/>
      <c r="V140" s="832">
        <f>STDEV(D$2:D140)*SQRT(252)</f>
        <v>0.20382852547723848</v>
      </c>
      <c r="W140" s="832">
        <f>STDEV(L$2:L140)*SQRT(252)</f>
        <v>0.41201829569755161</v>
      </c>
      <c r="X140" s="801">
        <f t="shared" si="35"/>
        <v>-0.4365998863282799</v>
      </c>
      <c r="Y140" s="801">
        <f t="shared" si="36"/>
        <v>-1.1616497542352806</v>
      </c>
      <c r="Z140" s="807">
        <f t="shared" si="37"/>
        <v>-0.21334945428264296</v>
      </c>
    </row>
    <row r="141" spans="1:39" ht="20.100000000000001" customHeight="1" x14ac:dyDescent="0.2">
      <c r="A141" s="776">
        <f t="shared" si="55"/>
        <v>203</v>
      </c>
      <c r="B141" s="795">
        <v>42436</v>
      </c>
      <c r="C141" s="820">
        <v>2001.76</v>
      </c>
      <c r="D141" s="792">
        <f t="shared" si="53"/>
        <v>8.8500442502211603E-4</v>
      </c>
      <c r="E141" s="819">
        <f t="shared" si="57"/>
        <v>-4.7887216757672067E-2</v>
      </c>
      <c r="F141" s="816">
        <v>4708.5200000000004</v>
      </c>
      <c r="G141" s="792">
        <f t="shared" si="51"/>
        <v>-1.8019851516423502E-3</v>
      </c>
      <c r="H141" s="797">
        <f t="shared" si="50"/>
        <v>-7.5255808472612165E-2</v>
      </c>
      <c r="I141" s="799">
        <v>295332.12</v>
      </c>
      <c r="J141" s="800">
        <v>400000</v>
      </c>
      <c r="K141" s="800">
        <f t="shared" si="44"/>
        <v>163.53999999997905</v>
      </c>
      <c r="L141" s="792">
        <f t="shared" si="52"/>
        <v>5.5405626167927171E-4</v>
      </c>
      <c r="M141" s="817">
        <f t="shared" si="47"/>
        <v>-104667.88</v>
      </c>
      <c r="N141" s="802">
        <f t="shared" si="48"/>
        <v>-0.26166970000000001</v>
      </c>
      <c r="O141" s="786">
        <f t="shared" si="56"/>
        <v>-0.47081210800492612</v>
      </c>
      <c r="P141" s="817" t="b">
        <f t="shared" si="46"/>
        <v>0</v>
      </c>
      <c r="Q141" s="802">
        <f>COUNTIF(P$2:P141, TRUE)/(COUNTIF(P$2:P141,FALSE) + COUNTIF(P$2:P141, TRUE))</f>
        <v>0.45714285714285713</v>
      </c>
      <c r="R141" s="803"/>
      <c r="S141" s="803"/>
      <c r="T141" s="803"/>
      <c r="U141" s="803"/>
      <c r="V141" s="802">
        <f>STDEV(D$2:D141)*SQRT(252)</f>
        <v>0.20309473146639889</v>
      </c>
      <c r="W141" s="802">
        <f>STDEV(L$2:L141)*SQRT(252)</f>
        <v>0.41052951691081185</v>
      </c>
      <c r="X141" s="801">
        <f t="shared" si="35"/>
        <v>-0.4242434301410738</v>
      </c>
      <c r="Y141" s="801">
        <f t="shared" si="36"/>
        <v>-1.1468410640670468</v>
      </c>
      <c r="Z141" s="807">
        <f t="shared" si="37"/>
        <v>-0.21378248324232793</v>
      </c>
    </row>
    <row r="142" spans="1:39" ht="20.100000000000001" customHeight="1" x14ac:dyDescent="0.2">
      <c r="A142" s="776">
        <f t="shared" si="55"/>
        <v>204</v>
      </c>
      <c r="B142" s="795">
        <v>42437</v>
      </c>
      <c r="C142" s="820">
        <v>1979.26</v>
      </c>
      <c r="D142" s="792">
        <f t="shared" si="53"/>
        <v>-1.124010870434018E-2</v>
      </c>
      <c r="E142" s="819">
        <f t="shared" si="57"/>
        <v>-5.8589067940107716E-2</v>
      </c>
      <c r="F142" s="816">
        <v>4648.82</v>
      </c>
      <c r="G142" s="792">
        <f t="shared" si="51"/>
        <v>-1.2679143340157994E-2</v>
      </c>
      <c r="H142" s="797">
        <f t="shared" ref="H142:H173" si="58">(F142-F$2)/F$2</f>
        <v>-8.6980772629966438E-2</v>
      </c>
      <c r="I142" s="799">
        <v>279655.23</v>
      </c>
      <c r="J142" s="800">
        <v>400000</v>
      </c>
      <c r="K142" s="800">
        <f t="shared" si="44"/>
        <v>-15676.890000000014</v>
      </c>
      <c r="L142" s="792">
        <f t="shared" si="52"/>
        <v>-5.3082238396555084E-2</v>
      </c>
      <c r="M142" s="817">
        <f t="shared" si="47"/>
        <v>-120344.77000000002</v>
      </c>
      <c r="N142" s="802">
        <f t="shared" si="48"/>
        <v>-0.30086192500000003</v>
      </c>
      <c r="O142" s="786">
        <f t="shared" si="56"/>
        <v>-0.53867557895220597</v>
      </c>
      <c r="P142" s="817" t="b">
        <f t="shared" si="46"/>
        <v>0</v>
      </c>
      <c r="Q142" s="802">
        <f>COUNTIF(P$2:P142, TRUE)/(COUNTIF(P$2:P142,FALSE) + COUNTIF(P$2:P142, TRUE))</f>
        <v>0.45390070921985815</v>
      </c>
      <c r="R142" s="803"/>
      <c r="S142" s="803"/>
      <c r="T142" s="803"/>
      <c r="U142" s="803"/>
      <c r="V142" s="802">
        <f>STDEV(D$2:D142)*SQRT(252)</f>
        <v>0.2028972139328496</v>
      </c>
      <c r="W142" s="802">
        <f>STDEV(L$2:L142)*SQRT(252)</f>
        <v>0.41493428525347442</v>
      </c>
      <c r="X142" s="801">
        <f t="shared" si="35"/>
        <v>-0.51701192785091299</v>
      </c>
      <c r="Y142" s="801">
        <f t="shared" si="36"/>
        <v>-1.2982190146643116</v>
      </c>
      <c r="Z142" s="807">
        <f t="shared" si="37"/>
        <v>-0.24227285705989232</v>
      </c>
    </row>
    <row r="143" spans="1:39" ht="20.100000000000001" customHeight="1" x14ac:dyDescent="0.2">
      <c r="A143" s="776">
        <f t="shared" si="55"/>
        <v>205</v>
      </c>
      <c r="B143" s="795">
        <v>42438</v>
      </c>
      <c r="C143" s="820">
        <v>1989.26</v>
      </c>
      <c r="D143" s="792">
        <f t="shared" si="53"/>
        <v>5.0523933187150757E-3</v>
      </c>
      <c r="E143" s="819">
        <f t="shared" si="57"/>
        <v>-5.3832689636802981E-2</v>
      </c>
      <c r="F143" s="816">
        <v>4674.37</v>
      </c>
      <c r="G143" s="792">
        <f t="shared" si="51"/>
        <v>5.4960183444401336E-3</v>
      </c>
      <c r="H143" s="797">
        <f t="shared" si="58"/>
        <v>-8.1962802207514174E-2</v>
      </c>
      <c r="I143" s="799">
        <v>284441.56</v>
      </c>
      <c r="J143" s="800">
        <v>400000</v>
      </c>
      <c r="K143" s="800">
        <f t="shared" si="44"/>
        <v>4786.3300000000163</v>
      </c>
      <c r="L143" s="792">
        <f t="shared" si="52"/>
        <v>1.7115109915877547E-2</v>
      </c>
      <c r="M143" s="817">
        <f t="shared" si="47"/>
        <v>-115558.44</v>
      </c>
      <c r="N143" s="802">
        <f t="shared" si="48"/>
        <v>-0.28889609999999999</v>
      </c>
      <c r="O143" s="786">
        <f t="shared" si="56"/>
        <v>-0.5147282952439024</v>
      </c>
      <c r="P143" s="817" t="b">
        <f t="shared" si="46"/>
        <v>1</v>
      </c>
      <c r="Q143" s="802">
        <f>COUNTIF(P$2:P143, TRUE)/(COUNTIF(P$2:P143,FALSE) + COUNTIF(P$2:P143, TRUE))</f>
        <v>0.45774647887323944</v>
      </c>
      <c r="R143" s="803"/>
      <c r="S143" s="803"/>
      <c r="T143" s="803"/>
      <c r="U143" s="803"/>
      <c r="V143" s="802">
        <f>STDEV(D$2:D143)*SQRT(252)</f>
        <v>0.20230024410689199</v>
      </c>
      <c r="W143" s="802">
        <f>STDEV(L$2:L143)*SQRT(252)</f>
        <v>0.41420228414527577</v>
      </c>
      <c r="X143" s="801">
        <f t="shared" si="35"/>
        <v>-0.47411755456380739</v>
      </c>
      <c r="Y143" s="801">
        <f t="shared" si="36"/>
        <v>-1.2426978675553815</v>
      </c>
      <c r="Z143" s="807">
        <f t="shared" si="37"/>
        <v>-0.235063410363197</v>
      </c>
    </row>
    <row r="144" spans="1:39" ht="20.100000000000001" customHeight="1" x14ac:dyDescent="0.2">
      <c r="A144" s="776">
        <f t="shared" si="55"/>
        <v>206</v>
      </c>
      <c r="B144" s="795">
        <v>42439</v>
      </c>
      <c r="C144" s="820">
        <v>1989.57</v>
      </c>
      <c r="D144" s="792">
        <f t="shared" si="53"/>
        <v>1.5583684385145504E-4</v>
      </c>
      <c r="E144" s="819">
        <f t="shared" si="57"/>
        <v>-5.3685241909400563E-2</v>
      </c>
      <c r="F144" s="816">
        <v>4662.1499999999996</v>
      </c>
      <c r="G144" s="792">
        <f t="shared" si="51"/>
        <v>-2.6142560387817514E-3</v>
      </c>
      <c r="H144" s="797">
        <f t="shared" si="58"/>
        <v>-8.4362786495669459E-2</v>
      </c>
      <c r="I144" s="799">
        <v>287418.99</v>
      </c>
      <c r="J144" s="800">
        <v>400000</v>
      </c>
      <c r="K144" s="800">
        <f t="shared" si="44"/>
        <v>2977.429999999993</v>
      </c>
      <c r="L144" s="792">
        <f t="shared" si="52"/>
        <v>1.0467633492095856E-2</v>
      </c>
      <c r="M144" s="817">
        <f t="shared" si="47"/>
        <v>-112581.01000000001</v>
      </c>
      <c r="N144" s="802">
        <f t="shared" si="48"/>
        <v>-0.28145252500000001</v>
      </c>
      <c r="O144" s="786">
        <f t="shared" si="56"/>
        <v>-0.49903172211771846</v>
      </c>
      <c r="P144" s="817" t="b">
        <f t="shared" si="46"/>
        <v>1</v>
      </c>
      <c r="Q144" s="802">
        <f>COUNTIF(P$2:P144, TRUE)/(COUNTIF(P$2:P144,FALSE) + COUNTIF(P$2:P144, TRUE))</f>
        <v>0.46153846153846156</v>
      </c>
      <c r="R144" s="803"/>
      <c r="S144" s="803"/>
      <c r="T144" s="803"/>
      <c r="U144" s="803"/>
      <c r="V144" s="802">
        <f>STDEV(D$2:D144)*SQRT(252)</f>
        <v>0.20158255288168328</v>
      </c>
      <c r="W144" s="802">
        <f>STDEV(L$2:L144)*SQRT(252)</f>
        <v>0.41303460915058671</v>
      </c>
      <c r="X144" s="801">
        <f t="shared" si="35"/>
        <v>-0.47219890729770364</v>
      </c>
      <c r="Y144" s="801">
        <f t="shared" si="36"/>
        <v>-1.2082080074209431</v>
      </c>
      <c r="Z144" s="807">
        <f t="shared" si="37"/>
        <v>-0.22776728309059946</v>
      </c>
    </row>
    <row r="145" spans="1:26" ht="20.100000000000001" customHeight="1" x14ac:dyDescent="0.2">
      <c r="A145" s="776">
        <f t="shared" si="55"/>
        <v>207</v>
      </c>
      <c r="B145" s="795">
        <v>42440</v>
      </c>
      <c r="C145" s="820">
        <v>2022.19</v>
      </c>
      <c r="D145" s="792">
        <f t="shared" si="53"/>
        <v>1.6395502545776285E-2</v>
      </c>
      <c r="E145" s="819">
        <f t="shared" si="57"/>
        <v>-3.816993588402047E-2</v>
      </c>
      <c r="F145" s="816">
        <v>4748.47</v>
      </c>
      <c r="G145" s="792">
        <f t="shared" si="51"/>
        <v>1.8515062792917564E-2</v>
      </c>
      <c r="H145" s="797">
        <f t="shared" si="58"/>
        <v>-6.7409705992104718E-2</v>
      </c>
      <c r="I145" s="799">
        <v>297529.25</v>
      </c>
      <c r="J145" s="800">
        <v>400000</v>
      </c>
      <c r="K145" s="800">
        <f t="shared" si="44"/>
        <v>10110.260000000009</v>
      </c>
      <c r="L145" s="792">
        <f t="shared" si="52"/>
        <v>3.5176033427714741E-2</v>
      </c>
      <c r="M145" s="817">
        <f t="shared" si="47"/>
        <v>-102470.75</v>
      </c>
      <c r="N145" s="802">
        <f t="shared" si="48"/>
        <v>-0.25617687500000003</v>
      </c>
      <c r="O145" s="786">
        <f t="shared" si="56"/>
        <v>-0.45202223958333343</v>
      </c>
      <c r="P145" s="817" t="b">
        <f t="shared" si="46"/>
        <v>1</v>
      </c>
      <c r="Q145" s="802">
        <f>COUNTIF(P$2:P145, TRUE)/(COUNTIF(P$2:P145,FALSE) + COUNTIF(P$2:P145, TRUE))</f>
        <v>0.46527777777777779</v>
      </c>
      <c r="R145" s="803"/>
      <c r="S145" s="803"/>
      <c r="T145" s="803"/>
      <c r="U145" s="803"/>
      <c r="V145" s="802">
        <f>STDEV(D$2:D145)*SQRT(252)</f>
        <v>0.20209170666788678</v>
      </c>
      <c r="W145" s="802">
        <f>STDEV(L$2:L145)*SQRT(252)</f>
        <v>0.41442203469244021</v>
      </c>
      <c r="X145" s="801">
        <f t="shared" si="35"/>
        <v>-0.33326738827683977</v>
      </c>
      <c r="Y145" s="801">
        <f t="shared" si="36"/>
        <v>-1.0907292608579511</v>
      </c>
      <c r="Z145" s="807">
        <f t="shared" si="37"/>
        <v>-0.21800693911597957</v>
      </c>
    </row>
    <row r="146" spans="1:26" ht="20.100000000000001" customHeight="1" x14ac:dyDescent="0.2">
      <c r="A146" s="776">
        <f t="shared" si="55"/>
        <v>210</v>
      </c>
      <c r="B146" s="824">
        <v>42443</v>
      </c>
      <c r="C146" s="825">
        <v>2019.64</v>
      </c>
      <c r="D146" s="792">
        <f t="shared" si="53"/>
        <v>-1.261009103991195E-3</v>
      </c>
      <c r="E146" s="826">
        <f t="shared" si="57"/>
        <v>-3.9382812351363157E-2</v>
      </c>
      <c r="F146" s="827">
        <v>4750.28</v>
      </c>
      <c r="G146" s="792">
        <f t="shared" si="51"/>
        <v>3.8117541018464697E-4</v>
      </c>
      <c r="H146" s="828">
        <f t="shared" si="58"/>
        <v>-6.7054225504252038E-2</v>
      </c>
      <c r="I146" s="829">
        <v>295383.49</v>
      </c>
      <c r="J146" s="830">
        <v>400000</v>
      </c>
      <c r="K146" s="830">
        <f t="shared" si="44"/>
        <v>-2145.7600000000093</v>
      </c>
      <c r="L146" s="792">
        <f t="shared" si="52"/>
        <v>-7.2119295833939327E-3</v>
      </c>
      <c r="M146" s="831">
        <f t="shared" si="47"/>
        <v>-104616.51000000001</v>
      </c>
      <c r="N146" s="832">
        <f t="shared" si="48"/>
        <v>-0.26154127500000002</v>
      </c>
      <c r="O146" s="786">
        <f t="shared" si="56"/>
        <v>-0.45489500330357147</v>
      </c>
      <c r="P146" s="831" t="b">
        <f t="shared" si="46"/>
        <v>0</v>
      </c>
      <c r="Q146" s="832">
        <f>COUNTIF(P$2:P146, TRUE)/(COUNTIF(P$2:P146,FALSE) + COUNTIF(P$2:P146, TRUE))</f>
        <v>0.46206896551724136</v>
      </c>
      <c r="R146" s="830"/>
      <c r="S146" s="830"/>
      <c r="T146" s="830"/>
      <c r="U146" s="830"/>
      <c r="V146" s="832">
        <f>STDEV(D$2:D146)*SQRT(252)</f>
        <v>0.20138882204680125</v>
      </c>
      <c r="W146" s="832">
        <f>STDEV(L$2:L146)*SQRT(252)</f>
        <v>0.41305007987980863</v>
      </c>
      <c r="X146" s="801">
        <f t="shared" si="35"/>
        <v>-0.34012792872487485</v>
      </c>
      <c r="Y146" s="801">
        <f t="shared" si="36"/>
        <v>-1.1013071427947407</v>
      </c>
      <c r="Z146" s="807">
        <f t="shared" si="37"/>
        <v>-0.22215846264863687</v>
      </c>
    </row>
    <row r="147" spans="1:26" ht="20.100000000000001" customHeight="1" x14ac:dyDescent="0.2">
      <c r="A147" s="776">
        <f t="shared" si="55"/>
        <v>211</v>
      </c>
      <c r="B147" s="824">
        <v>42444</v>
      </c>
      <c r="C147" s="825">
        <v>2015.93</v>
      </c>
      <c r="D147" s="792">
        <f t="shared" si="53"/>
        <v>-1.8369610425620587E-3</v>
      </c>
      <c r="E147" s="826">
        <f t="shared" si="57"/>
        <v>-4.1147428701889227E-2</v>
      </c>
      <c r="F147" s="827">
        <v>4728.66</v>
      </c>
      <c r="G147" s="792">
        <f t="shared" si="51"/>
        <v>-4.5513106595821496E-3</v>
      </c>
      <c r="H147" s="828">
        <f t="shared" si="58"/>
        <v>-7.1300351552526661E-2</v>
      </c>
      <c r="I147" s="829">
        <v>295669.06</v>
      </c>
      <c r="J147" s="830">
        <v>400000</v>
      </c>
      <c r="K147" s="830">
        <f t="shared" si="44"/>
        <v>285.57000000000698</v>
      </c>
      <c r="L147" s="792">
        <f t="shared" si="52"/>
        <v>9.6677712082014809E-4</v>
      </c>
      <c r="M147" s="831">
        <f t="shared" si="47"/>
        <v>-104330.94</v>
      </c>
      <c r="N147" s="832">
        <f t="shared" si="48"/>
        <v>-0.26082735000000001</v>
      </c>
      <c r="O147" s="786">
        <f t="shared" si="56"/>
        <v>-0.45150326818720377</v>
      </c>
      <c r="P147" s="831" t="b">
        <f t="shared" si="46"/>
        <v>1</v>
      </c>
      <c r="Q147" s="832">
        <f>COUNTIF(P$2:P147, TRUE)/(COUNTIF(P$2:P147,FALSE) + COUNTIF(P$2:P147, TRUE))</f>
        <v>0.46575342465753422</v>
      </c>
      <c r="R147" s="830"/>
      <c r="S147" s="830"/>
      <c r="T147" s="830"/>
      <c r="U147" s="830"/>
      <c r="V147" s="832">
        <f>STDEV(D$2:D147)*SQRT(252)</f>
        <v>0.20069995386729664</v>
      </c>
      <c r="W147" s="832">
        <f>STDEV(L$2:L147)*SQRT(252)</f>
        <v>0.41162261053938765</v>
      </c>
      <c r="X147" s="801">
        <f t="shared" si="35"/>
        <v>-0.35489771080695059</v>
      </c>
      <c r="Y147" s="801">
        <f t="shared" si="36"/>
        <v>-1.0968864601377382</v>
      </c>
      <c r="Z147" s="807">
        <f t="shared" si="37"/>
        <v>-0.21967992129811079</v>
      </c>
    </row>
    <row r="148" spans="1:26" ht="20.100000000000001" customHeight="1" x14ac:dyDescent="0.2">
      <c r="A148" s="776">
        <f t="shared" si="55"/>
        <v>212</v>
      </c>
      <c r="B148" s="824">
        <v>42445</v>
      </c>
      <c r="C148" s="825">
        <v>2027.22</v>
      </c>
      <c r="D148" s="792">
        <f t="shared" si="53"/>
        <v>5.6003928707841853E-3</v>
      </c>
      <c r="E148" s="826">
        <f t="shared" si="57"/>
        <v>-3.5777477597458203E-2</v>
      </c>
      <c r="F148" s="827">
        <v>4763.97</v>
      </c>
      <c r="G148" s="792">
        <f t="shared" si="51"/>
        <v>7.467231731611154E-3</v>
      </c>
      <c r="H148" s="828">
        <f t="shared" si="58"/>
        <v>-6.4365536068503565E-2</v>
      </c>
      <c r="I148" s="829">
        <v>297622.03999999998</v>
      </c>
      <c r="J148" s="830">
        <v>400000</v>
      </c>
      <c r="K148" s="830">
        <f t="shared" si="44"/>
        <v>1952.9799999999814</v>
      </c>
      <c r="L148" s="792">
        <f t="shared" si="52"/>
        <v>6.6052903878409917E-3</v>
      </c>
      <c r="M148" s="831">
        <f t="shared" si="47"/>
        <v>-102377.96000000002</v>
      </c>
      <c r="N148" s="832">
        <f t="shared" si="48"/>
        <v>-0.25594490000000003</v>
      </c>
      <c r="O148" s="786">
        <f t="shared" si="56"/>
        <v>-0.44096167323113211</v>
      </c>
      <c r="P148" s="831" t="b">
        <f t="shared" si="46"/>
        <v>1</v>
      </c>
      <c r="Q148" s="832">
        <f>COUNTIF(P$2:P148, TRUE)/(COUNTIF(P$2:P148,FALSE) + COUNTIF(P$2:P148, TRUE))</f>
        <v>0.46938775510204084</v>
      </c>
      <c r="R148" s="830">
        <v>208116.46</v>
      </c>
      <c r="S148" s="830">
        <f t="shared" ref="S148:S153" si="59">I148-R148</f>
        <v>89505.579999999987</v>
      </c>
      <c r="T148" s="830"/>
      <c r="U148" s="830"/>
      <c r="V148" s="832">
        <f>STDEV(D$2:D148)*SQRT(252)</f>
        <v>0.20015232316185677</v>
      </c>
      <c r="W148" s="832">
        <f>STDEV(L$2:L148)*SQRT(252)</f>
        <v>0.41032597832718526</v>
      </c>
      <c r="X148" s="801">
        <f t="shared" si="35"/>
        <v>-0.30796647834418456</v>
      </c>
      <c r="Y148" s="801">
        <f t="shared" si="36"/>
        <v>-1.0746618457569814</v>
      </c>
      <c r="Z148" s="807">
        <f t="shared" si="37"/>
        <v>-0.22016742240254183</v>
      </c>
    </row>
    <row r="149" spans="1:26" ht="20.100000000000001" customHeight="1" x14ac:dyDescent="0.2">
      <c r="A149" s="776">
        <f t="shared" si="55"/>
        <v>213</v>
      </c>
      <c r="B149" s="824">
        <v>42446</v>
      </c>
      <c r="C149" s="825">
        <v>2040.59</v>
      </c>
      <c r="D149" s="792">
        <f t="shared" si="53"/>
        <v>6.5952387999328593E-3</v>
      </c>
      <c r="E149" s="826">
        <f t="shared" si="57"/>
        <v>-2.9418199805939828E-2</v>
      </c>
      <c r="F149" s="827">
        <v>4774.9799999999996</v>
      </c>
      <c r="G149" s="792">
        <f t="shared" si="51"/>
        <v>2.3110976769373671E-3</v>
      </c>
      <c r="H149" s="828">
        <f t="shared" si="58"/>
        <v>-6.2203193432448942E-2</v>
      </c>
      <c r="I149" s="829">
        <v>298243.74</v>
      </c>
      <c r="J149" s="830">
        <v>400000</v>
      </c>
      <c r="K149" s="830">
        <f t="shared" si="44"/>
        <v>621.70000000001164</v>
      </c>
      <c r="L149" s="792">
        <f t="shared" si="52"/>
        <v>2.0888909974543946E-3</v>
      </c>
      <c r="M149" s="831">
        <f t="shared" si="47"/>
        <v>-101756.26000000001</v>
      </c>
      <c r="N149" s="832">
        <f t="shared" si="48"/>
        <v>-0.25439065</v>
      </c>
      <c r="O149" s="786">
        <f t="shared" si="56"/>
        <v>-0.43622622024647889</v>
      </c>
      <c r="P149" s="831" t="b">
        <f t="shared" si="46"/>
        <v>0</v>
      </c>
      <c r="Q149" s="832">
        <f>COUNTIF(P$2:P149, TRUE)/(COUNTIF(P$2:P149,FALSE) + COUNTIF(P$2:P149, TRUE))</f>
        <v>0.46621621621621623</v>
      </c>
      <c r="R149" s="830">
        <v>201345.75</v>
      </c>
      <c r="S149" s="830">
        <f t="shared" si="59"/>
        <v>96897.989999999991</v>
      </c>
      <c r="T149" s="830"/>
      <c r="U149" s="830"/>
      <c r="V149" s="832">
        <f>STDEV(D$2:D149)*SQRT(252)</f>
        <v>0.19966229894539708</v>
      </c>
      <c r="W149" s="832">
        <f>STDEV(L$2:L149)*SQRT(252)</f>
        <v>0.40893908230401166</v>
      </c>
      <c r="X149" s="801">
        <f t="shared" si="35"/>
        <v>-0.25265659977373867</v>
      </c>
      <c r="Y149" s="801">
        <f t="shared" si="36"/>
        <v>-1.0667266571557021</v>
      </c>
      <c r="Z149" s="807">
        <f t="shared" si="37"/>
        <v>-0.22497245019406018</v>
      </c>
    </row>
    <row r="150" spans="1:26" ht="20.100000000000001" customHeight="1" x14ac:dyDescent="0.2">
      <c r="A150" s="776">
        <f t="shared" si="55"/>
        <v>214</v>
      </c>
      <c r="B150" s="824">
        <v>42447</v>
      </c>
      <c r="C150" s="825">
        <v>2049.56</v>
      </c>
      <c r="D150" s="792">
        <f t="shared" si="53"/>
        <v>4.3957874928329688E-3</v>
      </c>
      <c r="E150" s="826">
        <f t="shared" si="57"/>
        <v>-2.5151728467875473E-2</v>
      </c>
      <c r="F150" s="827">
        <v>4795.6499999999996</v>
      </c>
      <c r="G150" s="792">
        <f t="shared" si="51"/>
        <v>4.3288139426762157E-3</v>
      </c>
      <c r="H150" s="828">
        <f t="shared" si="58"/>
        <v>-5.8143645540782093E-2</v>
      </c>
      <c r="I150" s="829">
        <v>302252.61</v>
      </c>
      <c r="J150" s="830">
        <v>400000</v>
      </c>
      <c r="K150" s="830">
        <f t="shared" si="44"/>
        <v>4008.8699999999953</v>
      </c>
      <c r="L150" s="792">
        <f t="shared" si="52"/>
        <v>1.3441589754742196E-2</v>
      </c>
      <c r="M150" s="831">
        <f t="shared" si="47"/>
        <v>-97747.390000000014</v>
      </c>
      <c r="N150" s="832">
        <f t="shared" si="48"/>
        <v>-0.24436847500000003</v>
      </c>
      <c r="O150" s="786">
        <f t="shared" si="56"/>
        <v>-0.41708217520443935</v>
      </c>
      <c r="P150" s="831" t="b">
        <f t="shared" si="46"/>
        <v>1</v>
      </c>
      <c r="Q150" s="832">
        <f>COUNTIF(P$2:P150, TRUE)/(COUNTIF(P$2:P150,FALSE) + COUNTIF(P$2:P150, TRUE))</f>
        <v>0.46979865771812079</v>
      </c>
      <c r="R150" s="830">
        <v>189023.24</v>
      </c>
      <c r="S150" s="830">
        <f t="shared" si="59"/>
        <v>113229.37</v>
      </c>
      <c r="T150" s="830"/>
      <c r="U150" s="830"/>
      <c r="V150" s="832">
        <f>STDEV(D$2:D150)*SQRT(252)</f>
        <v>0.19906941872329306</v>
      </c>
      <c r="W150" s="832">
        <f>STDEV(L$2:L150)*SQRT(252)</f>
        <v>0.40798335166369004</v>
      </c>
      <c r="X150" s="801">
        <f t="shared" si="35"/>
        <v>-0.21564517172346245</v>
      </c>
      <c r="Y150" s="801">
        <f t="shared" si="36"/>
        <v>-1.0223019481153968</v>
      </c>
      <c r="Z150" s="807">
        <f t="shared" si="37"/>
        <v>-0.21921674653212456</v>
      </c>
    </row>
    <row r="151" spans="1:26" ht="20.100000000000001" customHeight="1" x14ac:dyDescent="0.2">
      <c r="A151" s="776">
        <f t="shared" si="55"/>
        <v>217</v>
      </c>
      <c r="B151" s="795">
        <v>42450</v>
      </c>
      <c r="C151" s="820">
        <v>2051.6</v>
      </c>
      <c r="D151" s="792">
        <f t="shared" si="53"/>
        <v>9.9533558422293736E-4</v>
      </c>
      <c r="E151" s="819">
        <f t="shared" si="57"/>
        <v>-2.4181427294001325E-2</v>
      </c>
      <c r="F151" s="816">
        <v>4808.87</v>
      </c>
      <c r="G151" s="792">
        <f t="shared" si="51"/>
        <v>2.7566648942271132E-3</v>
      </c>
      <c r="H151" s="797">
        <f t="shared" si="58"/>
        <v>-5.5547263193039639E-2</v>
      </c>
      <c r="I151" s="799">
        <v>302397.02</v>
      </c>
      <c r="J151" s="800">
        <v>400000</v>
      </c>
      <c r="K151" s="800">
        <f t="shared" si="44"/>
        <v>144.4100000000326</v>
      </c>
      <c r="L151" s="792">
        <f t="shared" si="52"/>
        <v>4.7777916624121991E-4</v>
      </c>
      <c r="M151" s="817">
        <f t="shared" si="47"/>
        <v>-97602.979999999981</v>
      </c>
      <c r="N151" s="802">
        <f t="shared" si="48"/>
        <v>-0.24400744999999996</v>
      </c>
      <c r="O151" s="786">
        <f t="shared" si="56"/>
        <v>-0.41070839222350225</v>
      </c>
      <c r="P151" s="817" t="b">
        <f t="shared" si="46"/>
        <v>0</v>
      </c>
      <c r="Q151" s="802">
        <f>COUNTIF(P$2:P151, TRUE)/(COUNTIF(P$2:P151,FALSE) + COUNTIF(P$2:P151, TRUE))</f>
        <v>0.46666666666666667</v>
      </c>
      <c r="R151" s="800">
        <v>190702.94</v>
      </c>
      <c r="S151" s="800">
        <f t="shared" si="59"/>
        <v>111694.08000000002</v>
      </c>
      <c r="T151" s="800"/>
      <c r="U151" s="800"/>
      <c r="V151" s="802">
        <f>STDEV(D$2:D151)*SQRT(252)</f>
        <v>0.19840080405595206</v>
      </c>
      <c r="W151" s="802">
        <f>STDEV(L$2:L151)*SQRT(252)</f>
        <v>0.40660686098578552</v>
      </c>
      <c r="X151" s="801">
        <f t="shared" si="35"/>
        <v>-0.2051488062272657</v>
      </c>
      <c r="Y151" s="801">
        <f t="shared" si="36"/>
        <v>-1.0100872160095207</v>
      </c>
      <c r="Z151" s="807">
        <f t="shared" si="37"/>
        <v>-0.21982602270599863</v>
      </c>
    </row>
    <row r="152" spans="1:26" ht="20.100000000000001" customHeight="1" x14ac:dyDescent="0.2">
      <c r="A152" s="776">
        <f t="shared" si="55"/>
        <v>218</v>
      </c>
      <c r="B152" s="795">
        <v>42451</v>
      </c>
      <c r="C152" s="820">
        <v>2052.6</v>
      </c>
      <c r="D152" s="792">
        <f t="shared" si="53"/>
        <v>4.8742444921037243E-4</v>
      </c>
      <c r="E152" s="819">
        <f t="shared" si="57"/>
        <v>-2.370578946367085E-2</v>
      </c>
      <c r="F152" s="816">
        <v>4809.87</v>
      </c>
      <c r="G152" s="792">
        <f t="shared" si="51"/>
        <v>2.0794906079806691E-4</v>
      </c>
      <c r="H152" s="797">
        <f t="shared" si="58"/>
        <v>-5.535086513345247E-2</v>
      </c>
      <c r="I152" s="799">
        <v>300927.05</v>
      </c>
      <c r="J152" s="800">
        <v>400000</v>
      </c>
      <c r="K152" s="800">
        <f t="shared" ref="K152:K183" si="60">I152-I151-J152+J151</f>
        <v>-1469.9700000000303</v>
      </c>
      <c r="L152" s="792">
        <f t="shared" si="52"/>
        <v>-4.8610598080630228E-3</v>
      </c>
      <c r="M152" s="817">
        <f t="shared" si="47"/>
        <v>-99072.950000000012</v>
      </c>
      <c r="N152" s="802">
        <f t="shared" si="48"/>
        <v>-0.24768237500000004</v>
      </c>
      <c r="O152" s="786">
        <f t="shared" si="56"/>
        <v>-0.41498159389334865</v>
      </c>
      <c r="P152" s="817" t="b">
        <f t="shared" si="46"/>
        <v>0</v>
      </c>
      <c r="Q152" s="802">
        <f>COUNTIF(P$2:P152, TRUE)/(COUNTIF(P$2:P152,FALSE) + COUNTIF(P$2:P152, TRUE))</f>
        <v>0.46357615894039733</v>
      </c>
      <c r="R152" s="800">
        <v>208698.82</v>
      </c>
      <c r="S152" s="800">
        <f t="shared" si="59"/>
        <v>92228.229999999981</v>
      </c>
      <c r="T152" s="800"/>
      <c r="U152" s="800"/>
      <c r="V152" s="802">
        <f>STDEV(D$2:D152)*SQRT(252)</f>
        <v>0.19773530847085422</v>
      </c>
      <c r="W152" s="802">
        <f>STDEV(L$2:L152)*SQRT(252)</f>
        <v>0.40527216981287528</v>
      </c>
      <c r="X152" s="801">
        <f t="shared" si="35"/>
        <v>-0.20086484237008859</v>
      </c>
      <c r="Y152" s="801">
        <f t="shared" si="36"/>
        <v>-1.0239577864055074</v>
      </c>
      <c r="Z152" s="807">
        <f t="shared" si="37"/>
        <v>-0.22397658553632918</v>
      </c>
    </row>
    <row r="153" spans="1:26" ht="20.100000000000001" customHeight="1" x14ac:dyDescent="0.2">
      <c r="A153" s="776">
        <f t="shared" si="55"/>
        <v>219</v>
      </c>
      <c r="B153" s="795">
        <v>42452</v>
      </c>
      <c r="C153" s="820">
        <v>2036.71</v>
      </c>
      <c r="D153" s="792">
        <f t="shared" si="53"/>
        <v>-7.7414011497612166E-3</v>
      </c>
      <c r="E153" s="819">
        <f t="shared" si="57"/>
        <v>-3.1263674587622012E-2</v>
      </c>
      <c r="F153" s="816">
        <v>4768.8599999999997</v>
      </c>
      <c r="G153" s="792">
        <f t="shared" si="51"/>
        <v>-8.5262179643109306E-3</v>
      </c>
      <c r="H153" s="797">
        <f t="shared" si="58"/>
        <v>-6.3405149557122412E-2</v>
      </c>
      <c r="I153" s="799">
        <v>283106.53999999998</v>
      </c>
      <c r="J153" s="800">
        <v>400000</v>
      </c>
      <c r="K153" s="800">
        <f t="shared" si="60"/>
        <v>-17820.510000000009</v>
      </c>
      <c r="L153" s="792">
        <f t="shared" si="52"/>
        <v>-5.9218704333824458E-2</v>
      </c>
      <c r="M153" s="817">
        <f t="shared" si="47"/>
        <v>-116893.46000000002</v>
      </c>
      <c r="N153" s="802">
        <f t="shared" si="48"/>
        <v>-0.29223365000000007</v>
      </c>
      <c r="O153" s="786">
        <f t="shared" si="56"/>
        <v>-0.48738968339041105</v>
      </c>
      <c r="P153" s="817" t="b">
        <f t="shared" si="46"/>
        <v>0</v>
      </c>
      <c r="Q153" s="802">
        <f>COUNTIF(P$2:P153, TRUE)/(COUNTIF(P$2:P153,FALSE) + COUNTIF(P$2:P153, TRUE))</f>
        <v>0.46052631578947367</v>
      </c>
      <c r="R153" s="800">
        <v>233281.17</v>
      </c>
      <c r="S153" s="800">
        <f t="shared" si="59"/>
        <v>49825.369999999966</v>
      </c>
      <c r="T153" s="800"/>
      <c r="U153" s="800"/>
      <c r="V153" s="802">
        <f>STDEV(D$2:D153)*SQRT(252)</f>
        <v>0.19732328223466214</v>
      </c>
      <c r="W153" s="802">
        <f>STDEV(L$2:L153)*SQRT(252)</f>
        <v>0.41087213630897762</v>
      </c>
      <c r="X153" s="801">
        <f t="shared" si="35"/>
        <v>-0.26424562194813123</v>
      </c>
      <c r="Y153" s="801">
        <f t="shared" si="36"/>
        <v>-1.1862320179918258</v>
      </c>
      <c r="Z153" s="807">
        <f t="shared" si="37"/>
        <v>-0.26096997541237804</v>
      </c>
    </row>
    <row r="154" spans="1:26" ht="20.100000000000001" customHeight="1" x14ac:dyDescent="0.2">
      <c r="A154" s="776">
        <f t="shared" si="55"/>
        <v>220</v>
      </c>
      <c r="B154" s="795">
        <v>42453</v>
      </c>
      <c r="C154" s="820">
        <v>2035.94</v>
      </c>
      <c r="D154" s="792">
        <f t="shared" si="53"/>
        <v>-3.7806069592626431E-4</v>
      </c>
      <c r="E154" s="819">
        <f t="shared" si="57"/>
        <v>-3.1629915716976466E-2</v>
      </c>
      <c r="F154" s="816">
        <v>4773.5</v>
      </c>
      <c r="G154" s="792">
        <f t="shared" si="51"/>
        <v>9.7297886706683098E-4</v>
      </c>
      <c r="H154" s="797">
        <f t="shared" si="58"/>
        <v>-6.2493862560637867E-2</v>
      </c>
      <c r="I154" s="799">
        <v>283603.99</v>
      </c>
      <c r="J154" s="800">
        <v>400000</v>
      </c>
      <c r="K154" s="800">
        <f t="shared" si="60"/>
        <v>497.45000000001164</v>
      </c>
      <c r="L154" s="792">
        <f t="shared" si="52"/>
        <v>1.7571123577717832E-3</v>
      </c>
      <c r="M154" s="817">
        <f t="shared" si="47"/>
        <v>-116396.01000000001</v>
      </c>
      <c r="N154" s="802">
        <f t="shared" si="48"/>
        <v>-0.29099002500000004</v>
      </c>
      <c r="O154" s="786">
        <f t="shared" si="56"/>
        <v>-0.48310957559659101</v>
      </c>
      <c r="P154" s="817" t="b">
        <f t="shared" si="46"/>
        <v>1</v>
      </c>
      <c r="Q154" s="802">
        <f>COUNTIF(P$2:P154, TRUE)/(COUNTIF(P$2:P154,FALSE) + COUNTIF(P$2:P154, TRUE))</f>
        <v>0.46405228758169936</v>
      </c>
      <c r="R154" s="800">
        <v>233282.17</v>
      </c>
      <c r="S154" s="800">
        <f t="shared" ref="S154:S191" si="61">I154-R154</f>
        <v>50321.819999999978</v>
      </c>
      <c r="T154" s="800"/>
      <c r="U154" s="800"/>
      <c r="V154" s="802">
        <f>STDEV(D$2:D154)*SQRT(252)</f>
        <v>0.19666906063244452</v>
      </c>
      <c r="W154" s="802">
        <f>STDEV(L$2:L154)*SQRT(252)</f>
        <v>0.40952879368350692</v>
      </c>
      <c r="X154" s="801">
        <f t="shared" si="35"/>
        <v>-0.26701123470320931</v>
      </c>
      <c r="Y154" s="801">
        <f t="shared" si="36"/>
        <v>-1.1796718156280581</v>
      </c>
      <c r="Z154" s="807">
        <f t="shared" si="37"/>
        <v>-0.25936010928302355</v>
      </c>
    </row>
    <row r="155" spans="1:26" ht="20.100000000000001" customHeight="1" x14ac:dyDescent="0.2">
      <c r="A155" s="776">
        <f t="shared" si="55"/>
        <v>224</v>
      </c>
      <c r="B155" s="824">
        <v>42457</v>
      </c>
      <c r="C155" s="825">
        <v>2037.05</v>
      </c>
      <c r="D155" s="792">
        <f t="shared" si="53"/>
        <v>5.4520270734889045E-4</v>
      </c>
      <c r="E155" s="826">
        <f t="shared" si="57"/>
        <v>-3.1101957725309687E-2</v>
      </c>
      <c r="F155" s="827">
        <v>4766.78</v>
      </c>
      <c r="G155" s="792">
        <f t="shared" si="51"/>
        <v>-1.4077720749974348E-3</v>
      </c>
      <c r="H155" s="828">
        <f t="shared" si="58"/>
        <v>-6.3813657521063702E-2</v>
      </c>
      <c r="I155" s="829">
        <v>281306.2</v>
      </c>
      <c r="J155" s="830">
        <v>400000</v>
      </c>
      <c r="K155" s="830">
        <f t="shared" si="60"/>
        <v>-2297.789999999979</v>
      </c>
      <c r="L155" s="792">
        <f t="shared" si="52"/>
        <v>-8.1021074491934297E-3</v>
      </c>
      <c r="M155" s="831">
        <f t="shared" si="47"/>
        <v>-118693.79999999999</v>
      </c>
      <c r="N155" s="832">
        <f t="shared" si="48"/>
        <v>-0.29673449999999996</v>
      </c>
      <c r="O155" s="786">
        <f t="shared" si="56"/>
        <v>-0.48384944698660709</v>
      </c>
      <c r="P155" s="831" t="b">
        <f t="shared" ref="P155:P191" si="62">L155&gt;D155</f>
        <v>0</v>
      </c>
      <c r="Q155" s="832">
        <f>COUNTIF(P$2:P155, TRUE)/(COUNTIF(P$2:P155,FALSE) + COUNTIF(P$2:P155, TRUE))</f>
        <v>0.46103896103896103</v>
      </c>
      <c r="R155" s="830">
        <v>231480.83</v>
      </c>
      <c r="S155" s="830">
        <f t="shared" si="61"/>
        <v>49825.370000000024</v>
      </c>
      <c r="T155" s="830"/>
      <c r="U155" s="830"/>
      <c r="V155" s="832">
        <f>STDEV(D$2:D155)*SQRT(252)</f>
        <v>0.19602299974071929</v>
      </c>
      <c r="W155" s="832">
        <f>STDEV(L$2:L155)*SQRT(252)</f>
        <v>0.40827222780986738</v>
      </c>
      <c r="X155" s="801">
        <f t="shared" ref="X155:X218" si="63">E155/(A155/365.25)/V155</f>
        <v>-0.25871577010176117</v>
      </c>
      <c r="Y155" s="801">
        <f t="shared" ref="Y155:Y218" si="64">O155/W155</f>
        <v>-1.185114769089648</v>
      </c>
      <c r="Z155" s="807">
        <f t="shared" ref="Z155:Z218" si="65">-(E155-N155)</f>
        <v>-0.26563254227469024</v>
      </c>
    </row>
    <row r="156" spans="1:26" ht="20.100000000000001" customHeight="1" x14ac:dyDescent="0.2">
      <c r="A156" s="776">
        <f t="shared" si="55"/>
        <v>225</v>
      </c>
      <c r="B156" s="824">
        <v>42458</v>
      </c>
      <c r="C156" s="825">
        <v>2055.0100000000002</v>
      </c>
      <c r="D156" s="792">
        <f t="shared" si="53"/>
        <v>8.8166711666381598E-3</v>
      </c>
      <c r="E156" s="826">
        <f t="shared" si="57"/>
        <v>-2.2559502292574262E-2</v>
      </c>
      <c r="F156" s="827">
        <v>4846.62</v>
      </c>
      <c r="G156" s="792">
        <f t="shared" si="51"/>
        <v>1.6749252115683993E-2</v>
      </c>
      <c r="H156" s="828">
        <f t="shared" si="58"/>
        <v>-4.8133236443623925E-2</v>
      </c>
      <c r="I156" s="829">
        <v>285322.46999999997</v>
      </c>
      <c r="J156" s="830">
        <v>400000</v>
      </c>
      <c r="K156" s="830">
        <f t="shared" si="60"/>
        <v>4016.2699999999604</v>
      </c>
      <c r="L156" s="792">
        <f t="shared" si="52"/>
        <v>1.4277218205641967E-2</v>
      </c>
      <c r="M156" s="831">
        <f t="shared" si="47"/>
        <v>-114677.53000000003</v>
      </c>
      <c r="N156" s="832">
        <f t="shared" si="48"/>
        <v>-0.28669382500000007</v>
      </c>
      <c r="O156" s="786">
        <f t="shared" si="56"/>
        <v>-0.46539964258333344</v>
      </c>
      <c r="P156" s="831" t="b">
        <f t="shared" si="62"/>
        <v>1</v>
      </c>
      <c r="Q156" s="832">
        <f>COUNTIF(P$2:P156, TRUE)/(COUNTIF(P$2:P156,FALSE) + COUNTIF(P$2:P156, TRUE))</f>
        <v>0.46451612903225808</v>
      </c>
      <c r="R156" s="830">
        <v>235497.1</v>
      </c>
      <c r="S156" s="830">
        <f t="shared" si="61"/>
        <v>49825.369999999966</v>
      </c>
      <c r="T156" s="830"/>
      <c r="U156" s="830"/>
      <c r="V156" s="832">
        <f>STDEV(D$2:D156)*SQRT(252)</f>
        <v>0.19571630227727144</v>
      </c>
      <c r="W156" s="832">
        <f>STDEV(L$2:L156)*SQRT(252)</f>
        <v>0.4074274282139313</v>
      </c>
      <c r="X156" s="801">
        <f t="shared" si="63"/>
        <v>-0.18711569567191041</v>
      </c>
      <c r="Y156" s="801">
        <f t="shared" si="64"/>
        <v>-1.1422884429345836</v>
      </c>
      <c r="Z156" s="807">
        <f t="shared" si="65"/>
        <v>-0.26413432270742582</v>
      </c>
    </row>
    <row r="157" spans="1:26" ht="20.100000000000001" customHeight="1" x14ac:dyDescent="0.2">
      <c r="A157" s="776">
        <f t="shared" si="55"/>
        <v>226</v>
      </c>
      <c r="B157" s="824">
        <v>42459</v>
      </c>
      <c r="C157" s="825">
        <v>2063.9499999999998</v>
      </c>
      <c r="D157" s="792">
        <f t="shared" si="53"/>
        <v>4.3503437939472799E-3</v>
      </c>
      <c r="E157" s="826">
        <f t="shared" si="57"/>
        <v>-1.8307300089420026E-2</v>
      </c>
      <c r="F157" s="827">
        <v>4869.29</v>
      </c>
      <c r="G157" s="792">
        <f t="shared" si="51"/>
        <v>4.6774865782751845E-3</v>
      </c>
      <c r="H157" s="828">
        <f t="shared" si="58"/>
        <v>-4.3680892432782739E-2</v>
      </c>
      <c r="I157" s="829">
        <v>288126.49</v>
      </c>
      <c r="J157" s="830">
        <v>400000</v>
      </c>
      <c r="K157" s="830">
        <f t="shared" si="60"/>
        <v>2804.0200000000186</v>
      </c>
      <c r="L157" s="792">
        <f t="shared" si="52"/>
        <v>9.8275470557927635E-3</v>
      </c>
      <c r="M157" s="831">
        <f t="shared" si="47"/>
        <v>-111873.51000000001</v>
      </c>
      <c r="N157" s="832">
        <f t="shared" si="48"/>
        <v>-0.27968377500000002</v>
      </c>
      <c r="O157" s="786">
        <f t="shared" si="56"/>
        <v>-0.45201105672013281</v>
      </c>
      <c r="P157" s="831" t="b">
        <f t="shared" si="62"/>
        <v>1</v>
      </c>
      <c r="Q157" s="832">
        <f>COUNTIF(P$2:P157, TRUE)/(COUNTIF(P$2:P157,FALSE) + COUNTIF(P$2:P157, TRUE))</f>
        <v>0.46794871794871795</v>
      </c>
      <c r="R157" s="830">
        <v>216771.49</v>
      </c>
      <c r="S157" s="830">
        <f t="shared" si="61"/>
        <v>71355</v>
      </c>
      <c r="T157" s="830"/>
      <c r="U157" s="830"/>
      <c r="V157" s="832">
        <f>STDEV(D$2:D157)*SQRT(252)</f>
        <v>0.19516132328288105</v>
      </c>
      <c r="W157" s="832">
        <f>STDEV(L$2:L157)*SQRT(252)</f>
        <v>0.40634858436204313</v>
      </c>
      <c r="X157" s="801">
        <f t="shared" si="63"/>
        <v>-0.1516045835434584</v>
      </c>
      <c r="Y157" s="801">
        <f t="shared" si="64"/>
        <v>-1.1123726625743722</v>
      </c>
      <c r="Z157" s="807">
        <f t="shared" si="65"/>
        <v>-0.26137647491058003</v>
      </c>
    </row>
    <row r="158" spans="1:26" ht="20.100000000000001" customHeight="1" x14ac:dyDescent="0.2">
      <c r="A158" s="776">
        <f t="shared" si="55"/>
        <v>227</v>
      </c>
      <c r="B158" s="824">
        <v>42460</v>
      </c>
      <c r="C158" s="825">
        <v>2059.7399999999998</v>
      </c>
      <c r="D158" s="792">
        <f t="shared" si="53"/>
        <v>-2.0397780953996156E-3</v>
      </c>
      <c r="E158" s="826">
        <f t="shared" si="57"/>
        <v>-2.0309735355111335E-2</v>
      </c>
      <c r="F158" s="827">
        <v>4869.84</v>
      </c>
      <c r="G158" s="792">
        <f t="shared" si="51"/>
        <v>1.129528124223823E-4</v>
      </c>
      <c r="H158" s="828">
        <f t="shared" si="58"/>
        <v>-4.3572873500009754E-2</v>
      </c>
      <c r="I158" s="836">
        <v>295667.37</v>
      </c>
      <c r="J158" s="830">
        <v>400000</v>
      </c>
      <c r="K158" s="830">
        <f t="shared" si="60"/>
        <v>7540.8800000000047</v>
      </c>
      <c r="L158" s="792">
        <f t="shared" si="52"/>
        <v>2.6172116281290222E-2</v>
      </c>
      <c r="M158" s="831">
        <f t="shared" ref="M158:M191" si="66">I158-J158</f>
        <v>-104332.63</v>
      </c>
      <c r="N158" s="832">
        <f t="shared" ref="N158:N189" si="67">M158/J158</f>
        <v>-0.26083157500000004</v>
      </c>
      <c r="O158" s="786">
        <f t="shared" si="56"/>
        <v>-0.41968604743942739</v>
      </c>
      <c r="P158" s="831" t="b">
        <f t="shared" si="62"/>
        <v>1</v>
      </c>
      <c r="Q158" s="832">
        <f>COUNTIF(P$2:P158, TRUE)/(COUNTIF(P$2:P158,FALSE) + COUNTIF(P$2:P158, TRUE))</f>
        <v>0.4713375796178344</v>
      </c>
      <c r="R158" s="830">
        <v>202826.77</v>
      </c>
      <c r="S158" s="830">
        <f t="shared" si="61"/>
        <v>92840.6</v>
      </c>
      <c r="T158" s="830"/>
      <c r="U158" s="830"/>
      <c r="V158" s="832">
        <f>STDEV(D$2:D158)*SQRT(252)</f>
        <v>0.19454728889036682</v>
      </c>
      <c r="W158" s="832">
        <f>STDEV(L$2:L158)*SQRT(252)</f>
        <v>0.40652602523849884</v>
      </c>
      <c r="X158" s="801">
        <f t="shared" si="63"/>
        <v>-0.16797453546725258</v>
      </c>
      <c r="Y158" s="801">
        <f t="shared" si="64"/>
        <v>-1.0323719058163814</v>
      </c>
      <c r="Z158" s="807">
        <f t="shared" si="65"/>
        <v>-0.24052183964488871</v>
      </c>
    </row>
    <row r="159" spans="1:26" ht="20.100000000000001" customHeight="1" x14ac:dyDescent="0.2">
      <c r="A159" s="776">
        <f t="shared" si="55"/>
        <v>228</v>
      </c>
      <c r="B159" s="824">
        <v>42461</v>
      </c>
      <c r="C159" s="825">
        <v>2072.7800000000002</v>
      </c>
      <c r="D159" s="792">
        <f t="shared" si="53"/>
        <v>6.3308961325217843E-3</v>
      </c>
      <c r="E159" s="826">
        <f t="shared" si="57"/>
        <v>-1.4107418047601765E-2</v>
      </c>
      <c r="F159" s="827">
        <v>4914.54</v>
      </c>
      <c r="G159" s="792">
        <f t="shared" si="51"/>
        <v>9.1789463308855762E-3</v>
      </c>
      <c r="H159" s="828">
        <f t="shared" si="58"/>
        <v>-3.4793880236463237E-2</v>
      </c>
      <c r="I159" s="829">
        <v>293885.49</v>
      </c>
      <c r="J159" s="830">
        <v>400000</v>
      </c>
      <c r="K159" s="830">
        <f t="shared" si="60"/>
        <v>-1781.8800000000047</v>
      </c>
      <c r="L159" s="792">
        <f t="shared" si="52"/>
        <v>-6.026637298529103E-3</v>
      </c>
      <c r="M159" s="831">
        <f t="shared" si="66"/>
        <v>-106114.51000000001</v>
      </c>
      <c r="N159" s="832">
        <f t="shared" si="67"/>
        <v>-0.26528627500000002</v>
      </c>
      <c r="O159" s="786">
        <f t="shared" si="56"/>
        <v>-0.42498163133223682</v>
      </c>
      <c r="P159" s="831" t="b">
        <f t="shared" si="62"/>
        <v>0</v>
      </c>
      <c r="Q159" s="832">
        <f>COUNTIF(P$2:P159, TRUE)/(COUNTIF(P$2:P159,FALSE) + COUNTIF(P$2:P159, TRUE))</f>
        <v>0.46835443037974683</v>
      </c>
      <c r="R159" s="830">
        <v>199513.83</v>
      </c>
      <c r="S159" s="830">
        <f t="shared" si="61"/>
        <v>94371.66</v>
      </c>
      <c r="T159" s="830"/>
      <c r="U159" s="830"/>
      <c r="V159" s="832">
        <f>STDEV(D$2:D159)*SQRT(252)</f>
        <v>0.19409152607046717</v>
      </c>
      <c r="W159" s="832">
        <f>STDEV(L$2:L159)*SQRT(252)</f>
        <v>0.40527068703901437</v>
      </c>
      <c r="X159" s="801">
        <f t="shared" si="63"/>
        <v>-0.11643842944595932</v>
      </c>
      <c r="Y159" s="801">
        <f t="shared" si="64"/>
        <v>-1.0486364914206709</v>
      </c>
      <c r="Z159" s="807">
        <f t="shared" si="65"/>
        <v>-0.25117885695239828</v>
      </c>
    </row>
    <row r="160" spans="1:26" ht="20.100000000000001" customHeight="1" x14ac:dyDescent="0.2">
      <c r="A160" s="776">
        <f t="shared" si="55"/>
        <v>231</v>
      </c>
      <c r="B160" s="795">
        <v>42464</v>
      </c>
      <c r="C160" s="820">
        <v>2066.13</v>
      </c>
      <c r="D160" s="792">
        <f t="shared" si="53"/>
        <v>-3.2082517199124318E-3</v>
      </c>
      <c r="E160" s="819">
        <f t="shared" si="57"/>
        <v>-1.7270409619299456E-2</v>
      </c>
      <c r="F160" s="816">
        <v>4891.79</v>
      </c>
      <c r="G160" s="792">
        <f t="shared" si="51"/>
        <v>-4.6291209350213854E-3</v>
      </c>
      <c r="H160" s="797">
        <f t="shared" si="58"/>
        <v>-3.9261936092071383E-2</v>
      </c>
      <c r="I160" s="799">
        <v>291382.05</v>
      </c>
      <c r="J160" s="800">
        <v>400000</v>
      </c>
      <c r="K160" s="800">
        <f t="shared" si="60"/>
        <v>-2503.4400000000023</v>
      </c>
      <c r="L160" s="792">
        <f t="shared" si="52"/>
        <v>-8.5184198784363334E-3</v>
      </c>
      <c r="M160" s="817">
        <f t="shared" si="66"/>
        <v>-108617.95000000001</v>
      </c>
      <c r="N160" s="802">
        <f t="shared" si="67"/>
        <v>-0.27154487500000002</v>
      </c>
      <c r="O160" s="786">
        <f t="shared" si="56"/>
        <v>-0.42935829261363634</v>
      </c>
      <c r="P160" s="817" t="b">
        <f t="shared" si="62"/>
        <v>0</v>
      </c>
      <c r="Q160" s="802">
        <f>COUNTIF(P$2:P160, TRUE)/(COUNTIF(P$2:P160,FALSE) + COUNTIF(P$2:P160, TRUE))</f>
        <v>0.46540880503144655</v>
      </c>
      <c r="R160" s="800">
        <v>199541.39</v>
      </c>
      <c r="S160" s="800">
        <f t="shared" si="61"/>
        <v>91840.659999999974</v>
      </c>
      <c r="T160" s="800"/>
      <c r="U160" s="800"/>
      <c r="V160" s="802">
        <f>STDEV(D$2:D160)*SQRT(252)</f>
        <v>0.19351440870684267</v>
      </c>
      <c r="W160" s="802">
        <f>STDEV(L$2:L160)*SQRT(252)</f>
        <v>0.40408811296561892</v>
      </c>
      <c r="X160" s="801">
        <f t="shared" si="63"/>
        <v>-0.14111317898256878</v>
      </c>
      <c r="Y160" s="801">
        <f t="shared" si="64"/>
        <v>-1.0625363103669607</v>
      </c>
      <c r="Z160" s="807">
        <f t="shared" si="65"/>
        <v>-0.25427446538070059</v>
      </c>
    </row>
    <row r="161" spans="1:26" ht="20.100000000000001" customHeight="1" x14ac:dyDescent="0.2">
      <c r="A161" s="776">
        <f t="shared" si="55"/>
        <v>232</v>
      </c>
      <c r="B161" s="795">
        <v>42465</v>
      </c>
      <c r="C161" s="820">
        <v>2045.17</v>
      </c>
      <c r="D161" s="792">
        <f t="shared" si="53"/>
        <v>-1.0144569799577004E-2</v>
      </c>
      <c r="E161" s="819">
        <f t="shared" si="57"/>
        <v>-2.7239778543026189E-2</v>
      </c>
      <c r="F161" s="816">
        <v>4843.93</v>
      </c>
      <c r="G161" s="792">
        <f t="shared" si="51"/>
        <v>-9.7837396944676028E-3</v>
      </c>
      <c r="H161" s="797">
        <f t="shared" si="58"/>
        <v>-4.8661547223913339E-2</v>
      </c>
      <c r="I161" s="799">
        <v>289909.68</v>
      </c>
      <c r="J161" s="800">
        <v>400000</v>
      </c>
      <c r="K161" s="800">
        <f t="shared" si="60"/>
        <v>-1472.3699999999953</v>
      </c>
      <c r="L161" s="792">
        <f t="shared" si="52"/>
        <v>-5.0530566313195871E-3</v>
      </c>
      <c r="M161" s="817">
        <f t="shared" si="66"/>
        <v>-110090.32</v>
      </c>
      <c r="N161" s="802">
        <f t="shared" si="67"/>
        <v>-0.27522580000000002</v>
      </c>
      <c r="O161" s="786">
        <f t="shared" si="56"/>
        <v>-0.43330268728448279</v>
      </c>
      <c r="P161" s="817" t="b">
        <f t="shared" si="62"/>
        <v>1</v>
      </c>
      <c r="Q161" s="802">
        <f>COUNTIF(P$2:P161, TRUE)/(COUNTIF(P$2:P161,FALSE) + COUNTIF(P$2:P161, TRUE))</f>
        <v>0.46875</v>
      </c>
      <c r="R161" s="800">
        <v>198034.04</v>
      </c>
      <c r="S161" s="800">
        <f t="shared" si="61"/>
        <v>91875.639999999985</v>
      </c>
      <c r="T161" s="800"/>
      <c r="U161" s="800"/>
      <c r="V161" s="802">
        <f>STDEV(D$2:D161)*SQRT(252)</f>
        <v>0.19332034289533651</v>
      </c>
      <c r="W161" s="802">
        <f>STDEV(L$2:L161)*SQRT(252)</f>
        <v>0.40283814257892614</v>
      </c>
      <c r="X161" s="801">
        <f t="shared" si="63"/>
        <v>-0.22183407414449935</v>
      </c>
      <c r="Y161" s="801">
        <f t="shared" si="64"/>
        <v>-1.0756247770147234</v>
      </c>
      <c r="Z161" s="807">
        <f t="shared" si="65"/>
        <v>-0.24798602145697382</v>
      </c>
    </row>
    <row r="162" spans="1:26" ht="20.100000000000001" customHeight="1" x14ac:dyDescent="0.2">
      <c r="A162" s="776">
        <f t="shared" si="55"/>
        <v>233</v>
      </c>
      <c r="B162" s="795">
        <v>42466</v>
      </c>
      <c r="C162" s="820">
        <v>2066.66</v>
      </c>
      <c r="D162" s="792">
        <f t="shared" si="53"/>
        <v>1.0507683957812691E-2</v>
      </c>
      <c r="E162" s="819">
        <f t="shared" si="57"/>
        <v>-1.7018321569224424E-2</v>
      </c>
      <c r="F162" s="816">
        <v>4920.71</v>
      </c>
      <c r="G162" s="792">
        <f t="shared" si="51"/>
        <v>1.5850765803799755E-2</v>
      </c>
      <c r="H162" s="797">
        <f t="shared" si="58"/>
        <v>-3.3582104208810373E-2</v>
      </c>
      <c r="I162" s="799">
        <v>294800.27</v>
      </c>
      <c r="J162" s="800">
        <v>400000</v>
      </c>
      <c r="K162" s="800">
        <f t="shared" si="60"/>
        <v>4890.5900000000256</v>
      </c>
      <c r="L162" s="792">
        <f t="shared" si="52"/>
        <v>1.6869357380547022E-2</v>
      </c>
      <c r="M162" s="817">
        <f t="shared" si="66"/>
        <v>-105199.72999999998</v>
      </c>
      <c r="N162" s="802">
        <f t="shared" si="67"/>
        <v>-0.26299932499999995</v>
      </c>
      <c r="O162" s="786">
        <f t="shared" si="56"/>
        <v>-0.41227683886802569</v>
      </c>
      <c r="P162" s="817" t="b">
        <f t="shared" si="62"/>
        <v>1</v>
      </c>
      <c r="Q162" s="802">
        <f>COUNTIF(P$2:P162, TRUE)/(COUNTIF(P$2:P162,FALSE) + COUNTIF(P$2:P162, TRUE))</f>
        <v>0.47204968944099379</v>
      </c>
      <c r="R162" s="800">
        <v>206520.01</v>
      </c>
      <c r="S162" s="800">
        <f t="shared" si="61"/>
        <v>88280.260000000009</v>
      </c>
      <c r="T162" s="800"/>
      <c r="U162" s="800"/>
      <c r="V162" s="802">
        <f>STDEV(D$2:D162)*SQRT(252)</f>
        <v>0.19317071885367709</v>
      </c>
      <c r="W162" s="802">
        <f>STDEV(L$2:L162)*SQRT(252)</f>
        <v>0.40220348115797722</v>
      </c>
      <c r="X162" s="801">
        <f t="shared" si="63"/>
        <v>-0.1381051052572764</v>
      </c>
      <c r="Y162" s="801">
        <f t="shared" si="64"/>
        <v>-1.0250454264618656</v>
      </c>
      <c r="Z162" s="807">
        <f t="shared" si="65"/>
        <v>-0.24598100343077553</v>
      </c>
    </row>
    <row r="163" spans="1:26" ht="20.100000000000001" customHeight="1" x14ac:dyDescent="0.2">
      <c r="A163" s="776">
        <f t="shared" si="55"/>
        <v>234</v>
      </c>
      <c r="B163" s="795">
        <v>42467</v>
      </c>
      <c r="C163" s="820">
        <v>2041.91</v>
      </c>
      <c r="D163" s="792">
        <f t="shared" si="53"/>
        <v>-1.1975845083371128E-2</v>
      </c>
      <c r="E163" s="819">
        <f t="shared" si="57"/>
        <v>-2.8790357869903527E-2</v>
      </c>
      <c r="F163" s="816">
        <v>4848.3599999999997</v>
      </c>
      <c r="G163" s="792">
        <f t="shared" si="51"/>
        <v>-1.4703162754968361E-2</v>
      </c>
      <c r="H163" s="797">
        <f t="shared" si="58"/>
        <v>-4.7791503819942287E-2</v>
      </c>
      <c r="I163" s="799">
        <v>296412.12</v>
      </c>
      <c r="J163" s="800">
        <v>400000</v>
      </c>
      <c r="K163" s="800">
        <f t="shared" si="60"/>
        <v>1611.8499999999767</v>
      </c>
      <c r="L163" s="792">
        <f t="shared" si="52"/>
        <v>5.4676001483986991E-3</v>
      </c>
      <c r="M163" s="817">
        <f t="shared" si="66"/>
        <v>-103587.88</v>
      </c>
      <c r="N163" s="802">
        <f t="shared" si="67"/>
        <v>-0.25896970000000002</v>
      </c>
      <c r="O163" s="786">
        <f t="shared" si="56"/>
        <v>-0.40422514070512827</v>
      </c>
      <c r="P163" s="817" t="b">
        <f t="shared" si="62"/>
        <v>1</v>
      </c>
      <c r="Q163" s="802">
        <f>COUNTIF(P$2:P163, TRUE)/(COUNTIF(P$2:P163,FALSE) + COUNTIF(P$2:P163, TRUE))</f>
        <v>0.47530864197530864</v>
      </c>
      <c r="R163" s="800">
        <v>210406.8</v>
      </c>
      <c r="S163" s="800">
        <f t="shared" si="61"/>
        <v>86005.32</v>
      </c>
      <c r="T163" s="800"/>
      <c r="U163" s="800"/>
      <c r="V163" s="802">
        <f>STDEV(D$2:D163)*SQRT(252)</f>
        <v>0.19314485515344837</v>
      </c>
      <c r="W163" s="802">
        <f>STDEV(L$2:L163)*SQRT(252)</f>
        <v>0.40102645372059886</v>
      </c>
      <c r="X163" s="801">
        <f t="shared" si="63"/>
        <v>-0.23266887301760808</v>
      </c>
      <c r="Y163" s="801">
        <f t="shared" si="64"/>
        <v>-1.0079762493343094</v>
      </c>
      <c r="Z163" s="807">
        <f t="shared" si="65"/>
        <v>-0.2301793421300965</v>
      </c>
    </row>
    <row r="164" spans="1:26" ht="20.100000000000001" customHeight="1" x14ac:dyDescent="0.2">
      <c r="A164" s="776">
        <f t="shared" si="55"/>
        <v>235</v>
      </c>
      <c r="B164" s="795">
        <v>42468</v>
      </c>
      <c r="C164" s="820">
        <v>2047.6</v>
      </c>
      <c r="D164" s="792">
        <f t="shared" si="53"/>
        <v>2.7866066574921654E-3</v>
      </c>
      <c r="E164" s="819">
        <f t="shared" si="57"/>
        <v>-2.6083978615323217E-2</v>
      </c>
      <c r="F164" s="816">
        <v>4850.6899999999996</v>
      </c>
      <c r="G164" s="792">
        <f t="shared" si="51"/>
        <v>4.8057487480301122E-4</v>
      </c>
      <c r="H164" s="797">
        <f t="shared" si="58"/>
        <v>-4.7333896341104194E-2</v>
      </c>
      <c r="I164" s="799">
        <v>303561.17</v>
      </c>
      <c r="J164" s="800">
        <v>400000</v>
      </c>
      <c r="K164" s="800">
        <f t="shared" si="60"/>
        <v>7149.0499999999884</v>
      </c>
      <c r="L164" s="792">
        <f t="shared" si="52"/>
        <v>2.4118615662544394E-2</v>
      </c>
      <c r="M164" s="817">
        <f t="shared" si="66"/>
        <v>-96438.830000000016</v>
      </c>
      <c r="N164" s="802">
        <f t="shared" si="67"/>
        <v>-0.24109707500000005</v>
      </c>
      <c r="O164" s="786">
        <f t="shared" si="56"/>
        <v>-0.37472641125000006</v>
      </c>
      <c r="P164" s="817" t="b">
        <f t="shared" si="62"/>
        <v>1</v>
      </c>
      <c r="Q164" s="802">
        <f>COUNTIF(P$2:P164, TRUE)/(COUNTIF(P$2:P164,FALSE) + COUNTIF(P$2:P164, TRUE))</f>
        <v>0.4785276073619632</v>
      </c>
      <c r="R164" s="800">
        <v>199980.39</v>
      </c>
      <c r="S164" s="800">
        <f t="shared" si="61"/>
        <v>103580.77999999997</v>
      </c>
      <c r="T164" s="800"/>
      <c r="U164" s="800"/>
      <c r="V164" s="802">
        <f>STDEV(D$2:D164)*SQRT(252)</f>
        <v>0.19257792977422014</v>
      </c>
      <c r="W164" s="802">
        <f>STDEV(L$2:L164)*SQRT(252)</f>
        <v>0.40100153728117882</v>
      </c>
      <c r="X164" s="801">
        <f t="shared" si="63"/>
        <v>-0.21051821750791477</v>
      </c>
      <c r="Y164" s="801">
        <f t="shared" si="64"/>
        <v>-0.93447624612781754</v>
      </c>
      <c r="Z164" s="807">
        <f t="shared" si="65"/>
        <v>-0.21501309638467683</v>
      </c>
    </row>
    <row r="165" spans="1:26" ht="20.100000000000001" customHeight="1" x14ac:dyDescent="0.2">
      <c r="A165" s="776">
        <f t="shared" si="55"/>
        <v>238</v>
      </c>
      <c r="B165" s="824">
        <v>42471</v>
      </c>
      <c r="C165" s="825">
        <v>2041.99</v>
      </c>
      <c r="D165" s="792">
        <f t="shared" si="53"/>
        <v>-2.7397929283062613E-3</v>
      </c>
      <c r="E165" s="826">
        <f t="shared" si="57"/>
        <v>-2.8752306843477123E-2</v>
      </c>
      <c r="F165" s="827">
        <v>4833.3900000000003</v>
      </c>
      <c r="G165" s="792">
        <f t="shared" si="51"/>
        <v>-3.5665029098951436E-3</v>
      </c>
      <c r="H165" s="828">
        <f t="shared" si="58"/>
        <v>-5.0731582771962117E-2</v>
      </c>
      <c r="I165" s="829">
        <v>301374.21999999997</v>
      </c>
      <c r="J165" s="830">
        <v>400000</v>
      </c>
      <c r="K165" s="830">
        <f t="shared" si="60"/>
        <v>-2186.9500000000116</v>
      </c>
      <c r="L165" s="792">
        <f t="shared" si="52"/>
        <v>-7.2043140431960117E-3</v>
      </c>
      <c r="M165" s="831">
        <f t="shared" si="66"/>
        <v>-98625.780000000028</v>
      </c>
      <c r="N165" s="832">
        <f t="shared" si="67"/>
        <v>-0.24656445000000007</v>
      </c>
      <c r="O165" s="786">
        <f t="shared" si="56"/>
        <v>-0.3783935519432774</v>
      </c>
      <c r="P165" s="831" t="b">
        <f t="shared" si="62"/>
        <v>0</v>
      </c>
      <c r="Q165" s="832">
        <f>COUNTIF(P$2:P165, TRUE)/(COUNTIF(P$2:P165,FALSE) + COUNTIF(P$2:P165, TRUE))</f>
        <v>0.47560975609756095</v>
      </c>
      <c r="R165" s="830">
        <v>209823.35</v>
      </c>
      <c r="S165" s="830">
        <f t="shared" si="61"/>
        <v>91550.869999999966</v>
      </c>
      <c r="T165" s="830"/>
      <c r="U165" s="830"/>
      <c r="V165" s="832">
        <f>STDEV(D$2:D165)*SQRT(252)</f>
        <v>0.19201090434466217</v>
      </c>
      <c r="W165" s="832">
        <f>STDEV(L$2:L165)*SQRT(252)</f>
        <v>0.39984095752163645</v>
      </c>
      <c r="X165" s="801">
        <f t="shared" si="63"/>
        <v>-0.22980531503865212</v>
      </c>
      <c r="Y165" s="801">
        <f t="shared" si="64"/>
        <v>-0.9463601585207827</v>
      </c>
      <c r="Z165" s="807">
        <f t="shared" si="65"/>
        <v>-0.21781214315652295</v>
      </c>
    </row>
    <row r="166" spans="1:26" ht="20.100000000000001" customHeight="1" x14ac:dyDescent="0.2">
      <c r="A166" s="776">
        <f t="shared" si="55"/>
        <v>239</v>
      </c>
      <c r="B166" s="824">
        <v>42472</v>
      </c>
      <c r="C166" s="825">
        <v>2061.7199999999998</v>
      </c>
      <c r="D166" s="792">
        <f>(C166-C165)/C165</f>
        <v>9.6621433013872691E-3</v>
      </c>
      <c r="E166" s="826">
        <f t="shared" si="57"/>
        <v>-1.9367972451056988E-2</v>
      </c>
      <c r="F166" s="827">
        <v>4872.09</v>
      </c>
      <c r="G166" s="792">
        <f t="shared" ref="G166:G171" si="68">(F166-F165)/F165</f>
        <v>8.0068026788651069E-3</v>
      </c>
      <c r="H166" s="828">
        <f t="shared" si="58"/>
        <v>-4.313097786593862E-2</v>
      </c>
      <c r="I166" s="829">
        <v>314750.48</v>
      </c>
      <c r="J166" s="830">
        <v>400000</v>
      </c>
      <c r="K166" s="830">
        <f t="shared" si="60"/>
        <v>13376.260000000009</v>
      </c>
      <c r="L166" s="792">
        <f t="shared" si="52"/>
        <v>4.438422105248422E-2</v>
      </c>
      <c r="M166" s="831">
        <f t="shared" si="66"/>
        <v>-85249.520000000019</v>
      </c>
      <c r="N166" s="832">
        <f t="shared" si="67"/>
        <v>-0.21312380000000006</v>
      </c>
      <c r="O166" s="786">
        <f t="shared" si="56"/>
        <v>-0.32570488682008375</v>
      </c>
      <c r="P166" s="831" t="b">
        <f t="shared" si="62"/>
        <v>1</v>
      </c>
      <c r="Q166" s="832">
        <f>COUNTIF(P$2:P166, TRUE)/(COUNTIF(P$2:P166,FALSE) + COUNTIF(P$2:P166, TRUE))</f>
        <v>0.47878787878787876</v>
      </c>
      <c r="R166" s="830">
        <v>212987.96</v>
      </c>
      <c r="S166" s="830">
        <f t="shared" si="61"/>
        <v>101762.51999999999</v>
      </c>
      <c r="T166" s="830"/>
      <c r="U166" s="830"/>
      <c r="V166" s="832">
        <f>STDEV(D$2:D166)*SQRT(252)</f>
        <v>0.19180360559269574</v>
      </c>
      <c r="W166" s="832">
        <f>STDEV(L$2:L166)*SQRT(252)</f>
        <v>0.40253727965834457</v>
      </c>
      <c r="X166" s="801">
        <f t="shared" si="63"/>
        <v>-0.15431911194352002</v>
      </c>
      <c r="Y166" s="801">
        <f t="shared" si="64"/>
        <v>-0.80912974593689146</v>
      </c>
      <c r="Z166" s="807">
        <f t="shared" si="65"/>
        <v>-0.19375582754894308</v>
      </c>
    </row>
    <row r="167" spans="1:26" ht="20.100000000000001" customHeight="1" x14ac:dyDescent="0.2">
      <c r="A167" s="776">
        <f t="shared" si="55"/>
        <v>240</v>
      </c>
      <c r="B167" s="824">
        <v>42473</v>
      </c>
      <c r="C167" s="825">
        <v>2082.42</v>
      </c>
      <c r="D167" s="792">
        <f>(C167-C166)/C166</f>
        <v>1.0040160642570415E-2</v>
      </c>
      <c r="E167" s="826">
        <f t="shared" si="57"/>
        <v>-9.522269363216063E-3</v>
      </c>
      <c r="F167" s="827">
        <v>4947.42</v>
      </c>
      <c r="G167" s="792">
        <f t="shared" si="68"/>
        <v>1.5461537040571896E-2</v>
      </c>
      <c r="H167" s="828">
        <f t="shared" si="58"/>
        <v>-2.8336312037237021E-2</v>
      </c>
      <c r="I167" s="829">
        <v>317683.34999999998</v>
      </c>
      <c r="J167" s="830">
        <v>400000</v>
      </c>
      <c r="K167" s="830">
        <f t="shared" si="60"/>
        <v>2932.8699999999953</v>
      </c>
      <c r="L167" s="792">
        <f t="shared" si="52"/>
        <v>9.3180795149224102E-3</v>
      </c>
      <c r="M167" s="831">
        <f t="shared" si="66"/>
        <v>-82316.650000000023</v>
      </c>
      <c r="N167" s="832">
        <f t="shared" si="67"/>
        <v>-0.20579162500000006</v>
      </c>
      <c r="O167" s="786">
        <f t="shared" si="56"/>
        <v>-0.31318912929687509</v>
      </c>
      <c r="P167" s="831" t="b">
        <f t="shared" si="62"/>
        <v>0</v>
      </c>
      <c r="Q167" s="832">
        <f>COUNTIF(P$2:P167, TRUE)/(COUNTIF(P$2:P167,FALSE) + COUNTIF(P$2:P167, TRUE))</f>
        <v>0.4759036144578313</v>
      </c>
      <c r="R167" s="830">
        <v>219889.91</v>
      </c>
      <c r="S167" s="830">
        <f t="shared" si="61"/>
        <v>97793.439999999973</v>
      </c>
      <c r="T167" s="830"/>
      <c r="U167" s="830"/>
      <c r="V167" s="832">
        <f>STDEV(D$2:D167)*SQRT(252)</f>
        <v>0.19162382789500107</v>
      </c>
      <c r="W167" s="832">
        <f>STDEV(L$2:L167)*SQRT(252)</f>
        <v>0.40149438106382634</v>
      </c>
      <c r="X167" s="801">
        <f t="shared" si="63"/>
        <v>-7.5625791668690989E-2</v>
      </c>
      <c r="Y167" s="801">
        <f t="shared" si="64"/>
        <v>-0.78005856138516372</v>
      </c>
      <c r="Z167" s="807">
        <f t="shared" si="65"/>
        <v>-0.19626935563678399</v>
      </c>
    </row>
    <row r="168" spans="1:26" ht="20.100000000000001" customHeight="1" x14ac:dyDescent="0.2">
      <c r="A168" s="776">
        <f t="shared" si="55"/>
        <v>241</v>
      </c>
      <c r="B168" s="824">
        <v>42474</v>
      </c>
      <c r="C168" s="825">
        <v>2082.7800000000002</v>
      </c>
      <c r="D168" s="792">
        <f>(C168-C167)/C167</f>
        <v>1.728757887458473E-4</v>
      </c>
      <c r="E168" s="826">
        <f t="shared" si="57"/>
        <v>-9.3510397442970322E-3</v>
      </c>
      <c r="F168" s="827">
        <v>4945.88</v>
      </c>
      <c r="G168" s="792">
        <f t="shared" si="68"/>
        <v>-3.1127335055442304E-4</v>
      </c>
      <c r="H168" s="828">
        <f t="shared" si="58"/>
        <v>-2.8638765049001261E-2</v>
      </c>
      <c r="I168" s="829">
        <v>317242.28999999998</v>
      </c>
      <c r="J168" s="830">
        <v>400000</v>
      </c>
      <c r="K168" s="830">
        <f t="shared" si="60"/>
        <v>-441.05999999999767</v>
      </c>
      <c r="L168" s="792">
        <f t="shared" si="52"/>
        <v>-1.3883636016807229E-3</v>
      </c>
      <c r="M168" s="831">
        <f t="shared" si="66"/>
        <v>-82757.710000000021</v>
      </c>
      <c r="N168" s="832">
        <f t="shared" si="67"/>
        <v>-0.20689427500000004</v>
      </c>
      <c r="O168" s="786">
        <f t="shared" si="56"/>
        <v>-0.3135607217582988</v>
      </c>
      <c r="P168" s="831" t="b">
        <f t="shared" si="62"/>
        <v>0</v>
      </c>
      <c r="Q168" s="832">
        <f>COUNTIF(P$2:P168, TRUE)/(COUNTIF(P$2:P168,FALSE) + COUNTIF(P$2:P168, TRUE))</f>
        <v>0.47305389221556887</v>
      </c>
      <c r="R168" s="830">
        <v>220158.43</v>
      </c>
      <c r="S168" s="830">
        <f t="shared" si="61"/>
        <v>97083.859999999986</v>
      </c>
      <c r="T168" s="830"/>
      <c r="U168" s="830"/>
      <c r="V168" s="832">
        <f>STDEV(D$2:D168)*SQRT(252)</f>
        <v>0.19104236676485162</v>
      </c>
      <c r="W168" s="832">
        <f>STDEV(L$2:L168)*SQRT(252)</f>
        <v>0.40027732610236538</v>
      </c>
      <c r="X168" s="801">
        <f t="shared" si="63"/>
        <v>-7.4182829635640837E-2</v>
      </c>
      <c r="Y168" s="801">
        <f t="shared" si="64"/>
        <v>-0.78335868986521107</v>
      </c>
      <c r="Z168" s="807">
        <f t="shared" si="65"/>
        <v>-0.197543235255703</v>
      </c>
    </row>
    <row r="169" spans="1:26" ht="20.100000000000001" customHeight="1" x14ac:dyDescent="0.2">
      <c r="A169" s="776">
        <f t="shared" si="55"/>
        <v>242</v>
      </c>
      <c r="B169" s="824">
        <v>42475</v>
      </c>
      <c r="C169" s="825">
        <v>2080.73</v>
      </c>
      <c r="D169" s="792">
        <f>(C169-C168)/C168</f>
        <v>-9.8426141983319485E-4</v>
      </c>
      <c r="E169" s="826">
        <f t="shared" si="57"/>
        <v>-1.0326097296474589E-2</v>
      </c>
      <c r="F169" s="827">
        <v>4938.21</v>
      </c>
      <c r="G169" s="792">
        <f t="shared" si="68"/>
        <v>-1.5507857044651453E-3</v>
      </c>
      <c r="H169" s="828">
        <f t="shared" si="58"/>
        <v>-3.0145138166034879E-2</v>
      </c>
      <c r="I169" s="829">
        <v>317721.64</v>
      </c>
      <c r="J169" s="830">
        <v>400000</v>
      </c>
      <c r="K169" s="830">
        <f t="shared" si="60"/>
        <v>479.35000000003492</v>
      </c>
      <c r="L169" s="792">
        <f t="shared" si="52"/>
        <v>1.5109902276901196E-3</v>
      </c>
      <c r="M169" s="831">
        <f t="shared" si="66"/>
        <v>-82278.359999999986</v>
      </c>
      <c r="N169" s="832">
        <f t="shared" si="67"/>
        <v>-0.20569589999999996</v>
      </c>
      <c r="O169" s="786">
        <f t="shared" si="56"/>
        <v>-0.3104563118801652</v>
      </c>
      <c r="P169" s="831" t="b">
        <f t="shared" si="62"/>
        <v>1</v>
      </c>
      <c r="Q169" s="832">
        <f>COUNTIF(P$2:P169, TRUE)/(COUNTIF(P$2:P169,FALSE) + COUNTIF(P$2:P169, TRUE))</f>
        <v>0.47619047619047616</v>
      </c>
      <c r="R169" s="830">
        <v>227146.03</v>
      </c>
      <c r="S169" s="830">
        <f t="shared" si="61"/>
        <v>90575.610000000015</v>
      </c>
      <c r="T169" s="830"/>
      <c r="U169" s="830"/>
      <c r="V169" s="832">
        <f>STDEV(D$2:D169)*SQRT(252)</f>
        <v>0.1904700278981748</v>
      </c>
      <c r="W169" s="832">
        <f>STDEV(L$2:L169)*SQRT(252)</f>
        <v>0.39907765714792898</v>
      </c>
      <c r="X169" s="801">
        <f t="shared" si="63"/>
        <v>-8.1824700818581231E-2</v>
      </c>
      <c r="Y169" s="801">
        <f t="shared" si="64"/>
        <v>-0.77793458571168805</v>
      </c>
      <c r="Z169" s="807">
        <f t="shared" si="65"/>
        <v>-0.19536980270352536</v>
      </c>
    </row>
    <row r="170" spans="1:26" ht="20.100000000000001" customHeight="1" x14ac:dyDescent="0.2">
      <c r="A170" s="776">
        <f t="shared" si="55"/>
        <v>245</v>
      </c>
      <c r="B170" s="795">
        <v>42478</v>
      </c>
      <c r="C170" s="820">
        <v>2094.39</v>
      </c>
      <c r="D170" s="792">
        <f>(C170-C169)/C169</f>
        <v>6.5650036285341464E-3</v>
      </c>
      <c r="E170" s="819">
        <f t="shared" si="57"/>
        <v>-3.8288845341603954E-3</v>
      </c>
      <c r="F170" s="816">
        <v>4960.01</v>
      </c>
      <c r="G170" s="792">
        <f t="shared" si="68"/>
        <v>4.414555071574555E-3</v>
      </c>
      <c r="H170" s="797">
        <f t="shared" si="58"/>
        <v>-2.5863660467034508E-2</v>
      </c>
      <c r="I170" s="799">
        <v>322899.31</v>
      </c>
      <c r="J170" s="800">
        <v>400000</v>
      </c>
      <c r="K170" s="800">
        <f t="shared" si="60"/>
        <v>5177.6699999999837</v>
      </c>
      <c r="L170" s="792">
        <f t="shared" si="52"/>
        <v>1.6296245984377972E-2</v>
      </c>
      <c r="M170" s="817">
        <f t="shared" si="66"/>
        <v>-77100.69</v>
      </c>
      <c r="N170" s="802">
        <f t="shared" si="67"/>
        <v>-0.19275172500000001</v>
      </c>
      <c r="O170" s="786">
        <f t="shared" si="56"/>
        <v>-0.28735741859693881</v>
      </c>
      <c r="P170" s="817" t="b">
        <f t="shared" si="62"/>
        <v>1</v>
      </c>
      <c r="Q170" s="802">
        <f>COUNTIF(P$2:P170, TRUE)/(COUNTIF(P$2:P170,FALSE) + COUNTIF(P$2:P170, TRUE))</f>
        <v>0.47928994082840237</v>
      </c>
      <c r="R170" s="800">
        <v>221962.67</v>
      </c>
      <c r="S170" s="800">
        <f t="shared" si="61"/>
        <v>100936.63999999998</v>
      </c>
      <c r="T170" s="800"/>
      <c r="U170" s="800"/>
      <c r="V170" s="802">
        <f>STDEV(D$2:D170)*SQRT(252)</f>
        <v>0.19006855377528359</v>
      </c>
      <c r="W170" s="802">
        <f>STDEV(L$2:L170)*SQRT(252)</f>
        <v>0.39841300907192778</v>
      </c>
      <c r="X170" s="801">
        <f t="shared" si="63"/>
        <v>-3.0032130315862705E-2</v>
      </c>
      <c r="Y170" s="801">
        <f t="shared" si="64"/>
        <v>-0.72125510978247331</v>
      </c>
      <c r="Z170" s="807">
        <f t="shared" si="65"/>
        <v>-0.18892284046583963</v>
      </c>
    </row>
    <row r="171" spans="1:26" ht="20.100000000000001" customHeight="1" x14ac:dyDescent="0.2">
      <c r="A171" s="776">
        <f t="shared" si="55"/>
        <v>246</v>
      </c>
      <c r="B171" s="795">
        <v>42479</v>
      </c>
      <c r="C171" s="820">
        <v>2100.8000000000002</v>
      </c>
      <c r="D171" s="792">
        <f t="shared" ref="D171:D190" si="69">(C171-C170)/C170</f>
        <v>3.0605570118269806E-3</v>
      </c>
      <c r="E171" s="819">
        <f t="shared" si="57"/>
        <v>-7.8004604174191543E-4</v>
      </c>
      <c r="F171" s="816">
        <v>4940.33</v>
      </c>
      <c r="G171" s="792">
        <f t="shared" si="68"/>
        <v>-3.9677339360203491E-3</v>
      </c>
      <c r="H171" s="797">
        <f t="shared" si="58"/>
        <v>-2.9728774279710095E-2</v>
      </c>
      <c r="I171" s="799">
        <v>328320.36</v>
      </c>
      <c r="J171" s="800">
        <v>400000</v>
      </c>
      <c r="K171" s="800">
        <f t="shared" si="60"/>
        <v>5421.0499999999884</v>
      </c>
      <c r="L171" s="792">
        <f t="shared" si="52"/>
        <v>1.6788670127539103E-2</v>
      </c>
      <c r="M171" s="817">
        <f t="shared" si="66"/>
        <v>-71679.640000000014</v>
      </c>
      <c r="N171" s="802">
        <f t="shared" si="67"/>
        <v>-0.17919910000000003</v>
      </c>
      <c r="O171" s="786">
        <f t="shared" si="56"/>
        <v>-0.26606695640243905</v>
      </c>
      <c r="P171" s="817" t="b">
        <f t="shared" si="62"/>
        <v>1</v>
      </c>
      <c r="Q171" s="802">
        <f>COUNTIF(P$2:P171, TRUE)/(COUNTIF(P$2:P171,FALSE) + COUNTIF(P$2:P171, TRUE))</f>
        <v>0.4823529411764706</v>
      </c>
      <c r="R171" s="800">
        <v>219508.9</v>
      </c>
      <c r="S171" s="800">
        <f t="shared" si="61"/>
        <v>108811.45999999999</v>
      </c>
      <c r="T171" s="800"/>
      <c r="U171" s="800"/>
      <c r="V171" s="802">
        <f>STDEV(D$2:D171)*SQRT(252)</f>
        <v>0.18953771970498626</v>
      </c>
      <c r="W171" s="802">
        <f>STDEV(L$2:L171)*SQRT(252)</f>
        <v>0.39778020996769808</v>
      </c>
      <c r="X171" s="801">
        <f t="shared" si="63"/>
        <v>-6.1105415779893627E-3</v>
      </c>
      <c r="Y171" s="801">
        <f t="shared" si="64"/>
        <v>-0.66887932012516438</v>
      </c>
      <c r="Z171" s="807">
        <f t="shared" si="65"/>
        <v>-0.17841905395825811</v>
      </c>
    </row>
    <row r="172" spans="1:26" ht="20.100000000000001" customHeight="1" x14ac:dyDescent="0.2">
      <c r="A172" s="776">
        <f t="shared" si="55"/>
        <v>247</v>
      </c>
      <c r="B172" s="795">
        <v>42480</v>
      </c>
      <c r="C172" s="820">
        <v>2102.4</v>
      </c>
      <c r="D172" s="792">
        <f t="shared" si="69"/>
        <v>7.6161462300071826E-4</v>
      </c>
      <c r="E172" s="819">
        <f t="shared" ref="E172:E191" si="70">(C172-$C$2)/$C$2</f>
        <v>-1.9025513213201623E-5</v>
      </c>
      <c r="F172" s="816">
        <v>4948.13</v>
      </c>
      <c r="G172" s="792">
        <f t="shared" ref="G172:G190" si="71">(F172-F171)/F171</f>
        <v>1.5788418992253922E-3</v>
      </c>
      <c r="H172" s="797">
        <f t="shared" si="58"/>
        <v>-2.8196869414930124E-2</v>
      </c>
      <c r="I172" s="799">
        <v>329335.82</v>
      </c>
      <c r="J172" s="800">
        <v>400000</v>
      </c>
      <c r="K172" s="800">
        <f t="shared" si="60"/>
        <v>1015.460000000021</v>
      </c>
      <c r="L172" s="792">
        <f t="shared" si="52"/>
        <v>3.0928937821584411E-3</v>
      </c>
      <c r="M172" s="817">
        <f t="shared" si="66"/>
        <v>-70664.179999999993</v>
      </c>
      <c r="N172" s="802">
        <f t="shared" si="67"/>
        <v>-0.17666044999999997</v>
      </c>
      <c r="O172" s="786">
        <f t="shared" si="56"/>
        <v>-0.26123574640688257</v>
      </c>
      <c r="P172" s="817" t="b">
        <f t="shared" si="62"/>
        <v>1</v>
      </c>
      <c r="Q172" s="802">
        <f>COUNTIF(P$2:P172, TRUE)/(COUNTIF(P$2:P172,FALSE) + COUNTIF(P$2:P172, TRUE))</f>
        <v>0.4853801169590643</v>
      </c>
      <c r="R172" s="800">
        <v>225120.43</v>
      </c>
      <c r="S172" s="800">
        <f t="shared" si="61"/>
        <v>104215.39000000001</v>
      </c>
      <c r="T172" s="800"/>
      <c r="U172" s="800"/>
      <c r="V172" s="802">
        <f>STDEV(D$2:D172)*SQRT(252)</f>
        <v>0.18897802119908777</v>
      </c>
      <c r="W172" s="802">
        <f>STDEV(L$2:L172)*SQRT(252)</f>
        <v>0.39662320245584515</v>
      </c>
      <c r="X172" s="801">
        <f t="shared" si="63"/>
        <v>-1.4887382777397873E-4</v>
      </c>
      <c r="Y172" s="801">
        <f t="shared" si="64"/>
        <v>-0.65864968259380929</v>
      </c>
      <c r="Z172" s="807">
        <f t="shared" si="65"/>
        <v>-0.17664142448678677</v>
      </c>
    </row>
    <row r="173" spans="1:26" ht="20.100000000000001" customHeight="1" x14ac:dyDescent="0.2">
      <c r="A173" s="776">
        <f t="shared" si="55"/>
        <v>248</v>
      </c>
      <c r="B173" s="795">
        <v>42481</v>
      </c>
      <c r="C173" s="820">
        <v>2091.48</v>
      </c>
      <c r="D173" s="792">
        <f t="shared" si="69"/>
        <v>-5.194063926940674E-3</v>
      </c>
      <c r="E173" s="819">
        <f t="shared" si="70"/>
        <v>-5.2129906204220026E-3</v>
      </c>
      <c r="F173" s="816">
        <v>4945.88</v>
      </c>
      <c r="G173" s="792">
        <f t="shared" si="71"/>
        <v>-4.547172366126193E-4</v>
      </c>
      <c r="H173" s="797">
        <f t="shared" si="58"/>
        <v>-2.8638765049001261E-2</v>
      </c>
      <c r="I173" s="799">
        <v>327169.02</v>
      </c>
      <c r="J173" s="800">
        <v>400000</v>
      </c>
      <c r="K173" s="800">
        <f t="shared" si="60"/>
        <v>-2166.7999999999884</v>
      </c>
      <c r="L173" s="792">
        <f t="shared" si="52"/>
        <v>-6.5793025489908393E-3</v>
      </c>
      <c r="M173" s="817">
        <f t="shared" si="66"/>
        <v>-72830.979999999981</v>
      </c>
      <c r="N173" s="802">
        <f t="shared" si="67"/>
        <v>-0.18207744999999995</v>
      </c>
      <c r="O173" s="786">
        <f t="shared" si="56"/>
        <v>-0.26816043795362893</v>
      </c>
      <c r="P173" s="817" t="b">
        <f t="shared" si="62"/>
        <v>0</v>
      </c>
      <c r="Q173" s="802">
        <f>COUNTIF(P$2:P173, TRUE)/(COUNTIF(P$2:P173,FALSE) + COUNTIF(P$2:P173, TRUE))</f>
        <v>0.48255813953488375</v>
      </c>
      <c r="R173" s="800">
        <v>222953.63</v>
      </c>
      <c r="S173" s="800">
        <f t="shared" si="61"/>
        <v>104215.39000000001</v>
      </c>
      <c r="T173" s="800"/>
      <c r="U173" s="800"/>
      <c r="V173" s="802">
        <f>STDEV(D$2:D173)*SQRT(252)</f>
        <v>0.18852973440522966</v>
      </c>
      <c r="W173" s="802">
        <f>STDEV(L$2:L173)*SQRT(252)</f>
        <v>0.39552870627175002</v>
      </c>
      <c r="X173" s="801">
        <f t="shared" si="63"/>
        <v>-4.0723550168016834E-2</v>
      </c>
      <c r="Y173" s="801">
        <f t="shared" si="64"/>
        <v>-0.67797971095778808</v>
      </c>
      <c r="Z173" s="807">
        <f t="shared" si="65"/>
        <v>-0.17686445937957795</v>
      </c>
    </row>
    <row r="174" spans="1:26" ht="20.100000000000001" customHeight="1" x14ac:dyDescent="0.2">
      <c r="A174" s="776">
        <f t="shared" si="55"/>
        <v>249</v>
      </c>
      <c r="B174" s="795">
        <v>42482</v>
      </c>
      <c r="C174" s="820">
        <v>2091.58</v>
      </c>
      <c r="D174" s="792">
        <f t="shared" si="69"/>
        <v>4.7813031919936622E-5</v>
      </c>
      <c r="E174" s="819">
        <f t="shared" si="70"/>
        <v>-5.1654268373889992E-3</v>
      </c>
      <c r="F174" s="816">
        <v>4906.28</v>
      </c>
      <c r="G174" s="792">
        <f t="shared" si="71"/>
        <v>-8.006664132571022E-3</v>
      </c>
      <c r="H174" s="797">
        <f t="shared" ref="H174:H191" si="72">(F174-F$2)/F$2</f>
        <v>-3.6416128208653316E-2</v>
      </c>
      <c r="I174" s="799">
        <v>331471.71000000002</v>
      </c>
      <c r="J174" s="800">
        <v>400000</v>
      </c>
      <c r="K174" s="800">
        <f t="shared" si="60"/>
        <v>4302.6900000000023</v>
      </c>
      <c r="L174" s="792">
        <f t="shared" si="52"/>
        <v>1.3151275753431673E-2</v>
      </c>
      <c r="M174" s="817">
        <f t="shared" si="66"/>
        <v>-68528.289999999979</v>
      </c>
      <c r="N174" s="802">
        <f t="shared" si="67"/>
        <v>-0.17132072499999995</v>
      </c>
      <c r="O174" s="786">
        <f t="shared" si="56"/>
        <v>-0.25130479841867465</v>
      </c>
      <c r="P174" s="817" t="b">
        <f t="shared" si="62"/>
        <v>1</v>
      </c>
      <c r="Q174" s="802">
        <f>COUNTIF(P$2:P174, TRUE)/(COUNTIF(P$2:P174,FALSE) + COUNTIF(P$2:P174, TRUE))</f>
        <v>0.48554913294797686</v>
      </c>
      <c r="R174" s="800">
        <v>230600.27</v>
      </c>
      <c r="S174" s="800">
        <f t="shared" si="61"/>
        <v>100871.44000000003</v>
      </c>
      <c r="T174" s="800"/>
      <c r="U174" s="800"/>
      <c r="V174" s="802">
        <f>STDEV(D$2:D174)*SQRT(252)</f>
        <v>0.18797766983654679</v>
      </c>
      <c r="W174" s="802">
        <f>STDEV(L$2:L174)*SQRT(252)</f>
        <v>0.39470764282961784</v>
      </c>
      <c r="X174" s="801">
        <f t="shared" si="63"/>
        <v>-4.0307961059401515E-2</v>
      </c>
      <c r="Y174" s="801">
        <f t="shared" si="64"/>
        <v>-0.63668591927203844</v>
      </c>
      <c r="Z174" s="807">
        <f t="shared" si="65"/>
        <v>-0.16615529816261096</v>
      </c>
    </row>
    <row r="175" spans="1:26" ht="20.100000000000001" customHeight="1" x14ac:dyDescent="0.2">
      <c r="A175" s="776">
        <f t="shared" si="55"/>
        <v>252</v>
      </c>
      <c r="B175" s="824">
        <v>42485</v>
      </c>
      <c r="C175" s="825">
        <v>2087.79</v>
      </c>
      <c r="D175" s="792">
        <f t="shared" si="69"/>
        <v>-1.8120272712494688E-3</v>
      </c>
      <c r="E175" s="826">
        <f t="shared" si="70"/>
        <v>-6.9680942143414753E-3</v>
      </c>
      <c r="F175" s="827">
        <v>4895.78</v>
      </c>
      <c r="G175" s="792">
        <f t="shared" si="71"/>
        <v>-2.140114302485794E-3</v>
      </c>
      <c r="H175" s="828">
        <f t="shared" si="72"/>
        <v>-3.8478307834318611E-2</v>
      </c>
      <c r="I175" s="829">
        <v>325541.03000000003</v>
      </c>
      <c r="J175" s="830">
        <v>400000</v>
      </c>
      <c r="K175" s="830">
        <f t="shared" si="60"/>
        <v>-5930.679999999993</v>
      </c>
      <c r="L175" s="792">
        <f t="shared" si="52"/>
        <v>-1.7891964294630129E-2</v>
      </c>
      <c r="M175" s="831">
        <f t="shared" si="66"/>
        <v>-74458.969999999972</v>
      </c>
      <c r="N175" s="832">
        <f t="shared" si="67"/>
        <v>-0.18614742499999992</v>
      </c>
      <c r="O175" s="786">
        <f t="shared" si="56"/>
        <v>-0.26980296421130939</v>
      </c>
      <c r="P175" s="831" t="b">
        <f t="shared" si="62"/>
        <v>0</v>
      </c>
      <c r="Q175" s="832">
        <f>COUNTIF(P$2:P175, TRUE)/(COUNTIF(P$2:P175,FALSE) + COUNTIF(P$2:P175, TRUE))</f>
        <v>0.48275862068965519</v>
      </c>
      <c r="R175" s="830">
        <v>238708.14</v>
      </c>
      <c r="S175" s="830">
        <f t="shared" si="61"/>
        <v>86832.890000000014</v>
      </c>
      <c r="T175" s="830"/>
      <c r="U175" s="830"/>
      <c r="V175" s="832">
        <f>STDEV(D$2:D175)*SQRT(252)</f>
        <v>0.18744374998531149</v>
      </c>
      <c r="W175" s="832">
        <f>STDEV(L$2:L175)*SQRT(252)</f>
        <v>0.39413441432117591</v>
      </c>
      <c r="X175" s="801">
        <f t="shared" si="63"/>
        <v>-5.3880638519337033E-2</v>
      </c>
      <c r="Y175" s="801">
        <f t="shared" si="64"/>
        <v>-0.68454556214279183</v>
      </c>
      <c r="Z175" s="807">
        <f t="shared" si="65"/>
        <v>-0.17917933078565845</v>
      </c>
    </row>
    <row r="176" spans="1:26" ht="20.100000000000001" customHeight="1" x14ac:dyDescent="0.2">
      <c r="A176" s="776">
        <f t="shared" si="55"/>
        <v>253</v>
      </c>
      <c r="B176" s="824">
        <v>42486</v>
      </c>
      <c r="C176" s="835">
        <v>2091.6999999999998</v>
      </c>
      <c r="D176" s="792">
        <f t="shared" si="69"/>
        <v>1.8727937196748019E-3</v>
      </c>
      <c r="E176" s="826">
        <f t="shared" si="70"/>
        <v>-5.1083502977493939E-3</v>
      </c>
      <c r="F176" s="827">
        <v>4888.28</v>
      </c>
      <c r="G176" s="792">
        <f t="shared" si="71"/>
        <v>-1.5319315818929772E-3</v>
      </c>
      <c r="H176" s="828">
        <f t="shared" si="72"/>
        <v>-3.9951293281222398E-2</v>
      </c>
      <c r="I176" s="829">
        <v>336797.26</v>
      </c>
      <c r="J176" s="830">
        <v>400000</v>
      </c>
      <c r="K176" s="830">
        <f t="shared" si="60"/>
        <v>11256.229999999981</v>
      </c>
      <c r="L176" s="792">
        <f t="shared" si="52"/>
        <v>3.4576993259497826E-2</v>
      </c>
      <c r="M176" s="831">
        <f t="shared" si="66"/>
        <v>-63202.739999999991</v>
      </c>
      <c r="N176" s="832">
        <f t="shared" si="67"/>
        <v>-0.15800684999999998</v>
      </c>
      <c r="O176" s="786">
        <f t="shared" si="56"/>
        <v>-0.22811067969367585</v>
      </c>
      <c r="P176" s="831" t="b">
        <f t="shared" si="62"/>
        <v>1</v>
      </c>
      <c r="Q176" s="832">
        <f>COUNTIF(P$2:P176, TRUE)/(COUNTIF(P$2:P176,FALSE) + COUNTIF(P$2:P176, TRUE))</f>
        <v>0.48571428571428571</v>
      </c>
      <c r="R176" s="830">
        <v>231627.32</v>
      </c>
      <c r="S176" s="830">
        <f t="shared" si="61"/>
        <v>105169.94</v>
      </c>
      <c r="T176" s="830"/>
      <c r="U176" s="830"/>
      <c r="V176" s="832">
        <f>STDEV(D$2:D176)*SQRT(252)</f>
        <v>0.18691439115354258</v>
      </c>
      <c r="W176" s="832">
        <f>STDEV(L$2:L176)*SQRT(252)</f>
        <v>0.39523474671048564</v>
      </c>
      <c r="X176" s="801">
        <f t="shared" si="63"/>
        <v>-3.9455507484410512E-2</v>
      </c>
      <c r="Y176" s="801">
        <f t="shared" si="64"/>
        <v>-0.57715239257739082</v>
      </c>
      <c r="Z176" s="807">
        <f t="shared" si="65"/>
        <v>-0.15289849970225058</v>
      </c>
    </row>
    <row r="177" spans="1:26" ht="20.100000000000001" customHeight="1" x14ac:dyDescent="0.2">
      <c r="A177" s="776">
        <f t="shared" si="55"/>
        <v>254</v>
      </c>
      <c r="B177" s="824">
        <v>42487</v>
      </c>
      <c r="C177" s="835">
        <v>2095.15</v>
      </c>
      <c r="D177" s="792">
        <f t="shared" si="69"/>
        <v>1.6493761055602013E-3</v>
      </c>
      <c r="E177" s="826">
        <f t="shared" si="70"/>
        <v>-3.4673997831091321E-3</v>
      </c>
      <c r="F177" s="827">
        <v>4863.1400000000003</v>
      </c>
      <c r="G177" s="792">
        <f t="shared" si="71"/>
        <v>-5.1429132537414834E-3</v>
      </c>
      <c r="H177" s="828">
        <f t="shared" si="72"/>
        <v>-4.4888740499243768E-2</v>
      </c>
      <c r="I177" s="829">
        <v>341540.33</v>
      </c>
      <c r="J177" s="830">
        <v>400000</v>
      </c>
      <c r="K177" s="830">
        <f t="shared" si="60"/>
        <v>4743.070000000007</v>
      </c>
      <c r="L177" s="792">
        <f t="shared" si="52"/>
        <v>1.4082863975793648E-2</v>
      </c>
      <c r="M177" s="831">
        <f t="shared" si="66"/>
        <v>-58459.669999999984</v>
      </c>
      <c r="N177" s="832">
        <f t="shared" si="67"/>
        <v>-0.14614917499999996</v>
      </c>
      <c r="O177" s="786">
        <f t="shared" si="56"/>
        <v>-0.21016136286909445</v>
      </c>
      <c r="P177" s="831" t="b">
        <f t="shared" si="62"/>
        <v>1</v>
      </c>
      <c r="Q177" s="832">
        <f>COUNTIF(P$2:P177, TRUE)/(COUNTIF(P$2:P177,FALSE) + COUNTIF(P$2:P177, TRUE))</f>
        <v>0.48863636363636365</v>
      </c>
      <c r="R177" s="830">
        <v>245489.82</v>
      </c>
      <c r="S177" s="830">
        <f t="shared" si="61"/>
        <v>96050.510000000009</v>
      </c>
      <c r="T177" s="830"/>
      <c r="U177" s="830"/>
      <c r="V177" s="832">
        <f>STDEV(D$2:D177)*SQRT(252)</f>
        <v>0.18638651777551687</v>
      </c>
      <c r="W177" s="832">
        <f>STDEV(L$2:L177)*SQRT(252)</f>
        <v>0.39446713655061666</v>
      </c>
      <c r="X177" s="801">
        <f t="shared" si="63"/>
        <v>-2.6751364021702823E-2</v>
      </c>
      <c r="Y177" s="801">
        <f t="shared" si="64"/>
        <v>-0.53277280512346881</v>
      </c>
      <c r="Z177" s="807">
        <f t="shared" si="65"/>
        <v>-0.14268177521689082</v>
      </c>
    </row>
    <row r="178" spans="1:26" ht="20.100000000000001" customHeight="1" x14ac:dyDescent="0.2">
      <c r="A178" s="776">
        <f t="shared" si="55"/>
        <v>255</v>
      </c>
      <c r="B178" s="824">
        <v>42488</v>
      </c>
      <c r="C178" s="835">
        <v>2075.81</v>
      </c>
      <c r="D178" s="792">
        <f t="shared" si="69"/>
        <v>-9.2308426604301094E-3</v>
      </c>
      <c r="E178" s="826">
        <f t="shared" si="70"/>
        <v>-1.2666235421700553E-2</v>
      </c>
      <c r="F178" s="827">
        <v>4805.29</v>
      </c>
      <c r="G178" s="792">
        <f t="shared" si="71"/>
        <v>-1.1895606542275229E-2</v>
      </c>
      <c r="H178" s="828">
        <f t="shared" si="72"/>
        <v>-5.6250368246361697E-2</v>
      </c>
      <c r="I178" s="829">
        <v>336936.02</v>
      </c>
      <c r="J178" s="830">
        <v>400000</v>
      </c>
      <c r="K178" s="830">
        <f t="shared" si="60"/>
        <v>-4604.3099999999977</v>
      </c>
      <c r="L178" s="792">
        <f t="shared" si="52"/>
        <v>-1.3481014086974729E-2</v>
      </c>
      <c r="M178" s="831">
        <f t="shared" si="66"/>
        <v>-63063.979999999981</v>
      </c>
      <c r="N178" s="832">
        <f t="shared" si="67"/>
        <v>-0.15765994999999997</v>
      </c>
      <c r="O178" s="786">
        <f t="shared" si="56"/>
        <v>-0.22582469308823525</v>
      </c>
      <c r="P178" s="831" t="b">
        <f t="shared" si="62"/>
        <v>0</v>
      </c>
      <c r="Q178" s="832">
        <f>COUNTIF(P$2:P178, TRUE)/(COUNTIF(P$2:P178,FALSE) + COUNTIF(P$2:P178, TRUE))</f>
        <v>0.48587570621468928</v>
      </c>
      <c r="R178" s="830">
        <v>254190.85</v>
      </c>
      <c r="S178" s="830">
        <f t="shared" si="61"/>
        <v>82745.170000000013</v>
      </c>
      <c r="T178" s="830"/>
      <c r="U178" s="830"/>
      <c r="V178" s="832">
        <f>STDEV(D$2:D178)*SQRT(252)</f>
        <v>0.18618462851964468</v>
      </c>
      <c r="W178" s="832">
        <f>STDEV(L$2:L178)*SQRT(252)</f>
        <v>0.39366590594633838</v>
      </c>
      <c r="X178" s="801">
        <f t="shared" si="63"/>
        <v>-9.7443702544929095E-2</v>
      </c>
      <c r="Y178" s="801">
        <f t="shared" si="64"/>
        <v>-0.57364554480625507</v>
      </c>
      <c r="Z178" s="807">
        <f t="shared" si="65"/>
        <v>-0.1449937145782994</v>
      </c>
    </row>
    <row r="179" spans="1:26" ht="20.100000000000001" customHeight="1" x14ac:dyDescent="0.2">
      <c r="A179" s="776">
        <f t="shared" si="55"/>
        <v>256</v>
      </c>
      <c r="B179" s="824">
        <v>42489</v>
      </c>
      <c r="C179" s="835">
        <v>2065.3000000000002</v>
      </c>
      <c r="D179" s="792">
        <f t="shared" si="69"/>
        <v>-5.0630838082482326E-3</v>
      </c>
      <c r="E179" s="826">
        <f t="shared" si="70"/>
        <v>-1.7665189018473713E-2</v>
      </c>
      <c r="F179" s="827">
        <v>4775.3599999999997</v>
      </c>
      <c r="G179" s="792">
        <f t="shared" si="71"/>
        <v>-6.2285522830048323E-3</v>
      </c>
      <c r="H179" s="828">
        <f t="shared" si="72"/>
        <v>-6.2128562169805793E-2</v>
      </c>
      <c r="I179" s="836">
        <v>329545.53999999998</v>
      </c>
      <c r="J179" s="830">
        <v>400000</v>
      </c>
      <c r="K179" s="830">
        <f t="shared" si="60"/>
        <v>-7390.4800000000396</v>
      </c>
      <c r="L179" s="792">
        <f t="shared" si="52"/>
        <v>-2.1934371991454163E-2</v>
      </c>
      <c r="M179" s="831">
        <f t="shared" si="66"/>
        <v>-70454.460000000021</v>
      </c>
      <c r="N179" s="832">
        <f t="shared" si="67"/>
        <v>-0.17613615000000005</v>
      </c>
      <c r="O179" s="786">
        <f t="shared" si="56"/>
        <v>-0.25130362807617196</v>
      </c>
      <c r="P179" s="831" t="b">
        <f t="shared" si="62"/>
        <v>0</v>
      </c>
      <c r="Q179" s="832">
        <f>COUNTIF(P$2:P179, TRUE)/(COUNTIF(P$2:P179,FALSE) + COUNTIF(P$2:P179, TRUE))</f>
        <v>0.48314606741573035</v>
      </c>
      <c r="R179" s="830">
        <v>264639.32</v>
      </c>
      <c r="S179" s="830">
        <f t="shared" si="61"/>
        <v>64906.219999999972</v>
      </c>
      <c r="T179" s="830"/>
      <c r="U179" s="830"/>
      <c r="V179" s="832">
        <f>STDEV(D$2:D179)*SQRT(252)</f>
        <v>0.18575305494733241</v>
      </c>
      <c r="W179" s="832">
        <f>STDEV(L$2:L179)*SQRT(252)</f>
        <v>0.39340624271023572</v>
      </c>
      <c r="X179" s="801">
        <f t="shared" si="63"/>
        <v>-0.13568523246383643</v>
      </c>
      <c r="Y179" s="801">
        <f t="shared" si="64"/>
        <v>-0.6387891212526341</v>
      </c>
      <c r="Z179" s="807">
        <f t="shared" si="65"/>
        <v>-0.15847096098152633</v>
      </c>
    </row>
    <row r="180" spans="1:26" ht="20.100000000000001" customHeight="1" x14ac:dyDescent="0.2">
      <c r="A180" s="776">
        <f t="shared" si="55"/>
        <v>259</v>
      </c>
      <c r="B180" s="795">
        <v>42492</v>
      </c>
      <c r="C180" s="820">
        <v>2081.4299999999998</v>
      </c>
      <c r="D180" s="792">
        <f t="shared" si="69"/>
        <v>7.8100033893379424E-3</v>
      </c>
      <c r="E180" s="819">
        <f t="shared" si="70"/>
        <v>-9.9931508152433443E-3</v>
      </c>
      <c r="F180" s="816">
        <v>4817.59</v>
      </c>
      <c r="G180" s="792">
        <f t="shared" si="71"/>
        <v>8.8433123366616281E-3</v>
      </c>
      <c r="H180" s="797">
        <f t="shared" si="72"/>
        <v>-5.3834672113439459E-2</v>
      </c>
      <c r="I180" s="799">
        <v>323730.93</v>
      </c>
      <c r="J180" s="800">
        <v>400000</v>
      </c>
      <c r="K180" s="800">
        <f t="shared" si="60"/>
        <v>-5814.609999999986</v>
      </c>
      <c r="L180" s="792">
        <f t="shared" si="52"/>
        <v>-1.7644329217746314E-2</v>
      </c>
      <c r="M180" s="817">
        <f t="shared" si="66"/>
        <v>-76269.070000000007</v>
      </c>
      <c r="N180" s="802">
        <f t="shared" si="67"/>
        <v>-0.19067267500000001</v>
      </c>
      <c r="O180" s="786">
        <f t="shared" si="56"/>
        <v>-0.26889264302606181</v>
      </c>
      <c r="P180" s="817" t="b">
        <f t="shared" si="62"/>
        <v>0</v>
      </c>
      <c r="Q180" s="802">
        <f>COUNTIF(P$2:P180, TRUE)/(COUNTIF(P$2:P180,FALSE) + COUNTIF(P$2:P180, TRUE))</f>
        <v>0.48044692737430167</v>
      </c>
      <c r="R180" s="800">
        <v>258410.3</v>
      </c>
      <c r="S180" s="800">
        <f t="shared" si="61"/>
        <v>65320.630000000005</v>
      </c>
      <c r="T180" s="800"/>
      <c r="U180" s="800"/>
      <c r="V180" s="802">
        <f>STDEV(D$2:D180)*SQRT(252)</f>
        <v>0.18546248521467029</v>
      </c>
      <c r="W180" s="802">
        <f>STDEV(L$2:L180)*SQRT(252)</f>
        <v>0.39283799176483652</v>
      </c>
      <c r="X180" s="801">
        <f t="shared" si="63"/>
        <v>-7.5986567573565797E-2</v>
      </c>
      <c r="Y180" s="801">
        <f t="shared" si="64"/>
        <v>-0.68448736798101806</v>
      </c>
      <c r="Z180" s="807">
        <f t="shared" si="65"/>
        <v>-0.18067952418475666</v>
      </c>
    </row>
    <row r="181" spans="1:26" ht="20.100000000000001" customHeight="1" x14ac:dyDescent="0.2">
      <c r="A181" s="776">
        <f t="shared" si="55"/>
        <v>260</v>
      </c>
      <c r="B181" s="795">
        <v>42493</v>
      </c>
      <c r="C181" s="820">
        <v>2063.37</v>
      </c>
      <c r="D181" s="792">
        <f t="shared" si="69"/>
        <v>-8.6767270578400179E-3</v>
      </c>
      <c r="E181" s="819">
        <f t="shared" si="70"/>
        <v>-1.8583170031011665E-2</v>
      </c>
      <c r="F181" s="816">
        <v>4763.22</v>
      </c>
      <c r="G181" s="792">
        <f t="shared" si="71"/>
        <v>-1.1285725850477083E-2</v>
      </c>
      <c r="H181" s="797">
        <f t="shared" si="72"/>
        <v>-6.4512834613193945E-2</v>
      </c>
      <c r="I181" s="799">
        <v>314233.52</v>
      </c>
      <c r="J181" s="800">
        <v>400000</v>
      </c>
      <c r="K181" s="800">
        <f t="shared" si="60"/>
        <v>-9497.4099999999744</v>
      </c>
      <c r="L181" s="792">
        <f t="shared" si="52"/>
        <v>-2.9337357415925549E-2</v>
      </c>
      <c r="M181" s="817">
        <f t="shared" si="66"/>
        <v>-85766.479999999981</v>
      </c>
      <c r="N181" s="802">
        <f t="shared" si="67"/>
        <v>-0.21441619999999995</v>
      </c>
      <c r="O181" s="786">
        <f t="shared" si="56"/>
        <v>-0.30121352711538457</v>
      </c>
      <c r="P181" s="817" t="b">
        <f t="shared" si="62"/>
        <v>0</v>
      </c>
      <c r="Q181" s="802">
        <f>COUNTIF(P$2:P181, TRUE)/(COUNTIF(P$2:P181,FALSE) + COUNTIF(P$2:P181, TRUE))</f>
        <v>0.4777777777777778</v>
      </c>
      <c r="R181" s="800">
        <v>250705.72</v>
      </c>
      <c r="S181" s="800">
        <f t="shared" si="61"/>
        <v>63527.800000000017</v>
      </c>
      <c r="T181" s="800"/>
      <c r="U181" s="800"/>
      <c r="V181" s="802">
        <f>STDEV(D$2:D181)*SQRT(252)</f>
        <v>0.18522787612316166</v>
      </c>
      <c r="W181" s="802">
        <f>STDEV(L$2:L181)*SQRT(252)</f>
        <v>0.3932386492905699</v>
      </c>
      <c r="X181" s="801">
        <f t="shared" si="63"/>
        <v>-0.14093872236416896</v>
      </c>
      <c r="Y181" s="801">
        <f t="shared" si="64"/>
        <v>-0.7659814915415738</v>
      </c>
      <c r="Z181" s="807">
        <f t="shared" si="65"/>
        <v>-0.19583302996898827</v>
      </c>
    </row>
    <row r="182" spans="1:26" ht="20.100000000000001" customHeight="1" x14ac:dyDescent="0.2">
      <c r="A182" s="776">
        <f t="shared" si="55"/>
        <v>261</v>
      </c>
      <c r="B182" s="795">
        <v>42494</v>
      </c>
      <c r="C182" s="820">
        <v>2051.12</v>
      </c>
      <c r="D182" s="792">
        <f t="shared" si="69"/>
        <v>-5.9368896513955329E-3</v>
      </c>
      <c r="E182" s="819">
        <f t="shared" si="70"/>
        <v>-2.4409733452559961E-2</v>
      </c>
      <c r="F182" s="816">
        <v>4725.6400000000003</v>
      </c>
      <c r="G182" s="792">
        <f t="shared" si="71"/>
        <v>-7.8896208867110743E-3</v>
      </c>
      <c r="H182" s="797">
        <f t="shared" si="72"/>
        <v>-7.1893473692479823E-2</v>
      </c>
      <c r="I182" s="799">
        <v>304379.90999999997</v>
      </c>
      <c r="J182" s="800">
        <v>400000</v>
      </c>
      <c r="K182" s="800">
        <f t="shared" si="60"/>
        <v>-9853.6100000000442</v>
      </c>
      <c r="L182" s="792">
        <f t="shared" si="52"/>
        <v>-3.135760309721268E-2</v>
      </c>
      <c r="M182" s="817">
        <f t="shared" si="66"/>
        <v>-95620.090000000026</v>
      </c>
      <c r="N182" s="802">
        <f t="shared" si="67"/>
        <v>-0.23905022500000006</v>
      </c>
      <c r="O182" s="786">
        <f t="shared" si="56"/>
        <v>-0.33453292981321847</v>
      </c>
      <c r="P182" s="817" t="b">
        <f t="shared" si="62"/>
        <v>0</v>
      </c>
      <c r="Q182" s="802">
        <f>COUNTIF(P$2:P182, TRUE)/(COUNTIF(P$2:P182,FALSE) + COUNTIF(P$2:P182, TRUE))</f>
        <v>0.47513812154696133</v>
      </c>
      <c r="R182" s="800">
        <v>275717.40999999997</v>
      </c>
      <c r="S182" s="800">
        <f t="shared" si="61"/>
        <v>28662.5</v>
      </c>
      <c r="T182" s="800"/>
      <c r="U182" s="800"/>
      <c r="V182" s="802">
        <f>STDEV(D$2:D182)*SQRT(252)</f>
        <v>0.18484162325464118</v>
      </c>
      <c r="W182" s="802">
        <f>STDEV(L$2:L182)*SQRT(252)</f>
        <v>0.39383207665570702</v>
      </c>
      <c r="X182" s="801">
        <f t="shared" si="63"/>
        <v>-0.18480468657257493</v>
      </c>
      <c r="Y182" s="801">
        <f t="shared" si="64"/>
        <v>-0.84943037818037204</v>
      </c>
      <c r="Z182" s="807">
        <f t="shared" si="65"/>
        <v>-0.21464049154744011</v>
      </c>
    </row>
    <row r="183" spans="1:26" ht="20.100000000000001" customHeight="1" x14ac:dyDescent="0.2">
      <c r="A183" s="776">
        <f t="shared" si="55"/>
        <v>262</v>
      </c>
      <c r="B183" s="795">
        <v>42495</v>
      </c>
      <c r="C183" s="820">
        <v>2050.63</v>
      </c>
      <c r="D183" s="792">
        <f t="shared" si="69"/>
        <v>-2.3889387261583024E-4</v>
      </c>
      <c r="E183" s="819">
        <f t="shared" si="70"/>
        <v>-2.464279598942179E-2</v>
      </c>
      <c r="F183" s="816">
        <v>4717.09</v>
      </c>
      <c r="G183" s="792">
        <f t="shared" si="71"/>
        <v>-1.8092787431967271E-3</v>
      </c>
      <c r="H183" s="797">
        <f t="shared" si="72"/>
        <v>-7.3572677101950174E-2</v>
      </c>
      <c r="I183" s="799">
        <v>304854.58</v>
      </c>
      <c r="J183" s="800">
        <v>400000</v>
      </c>
      <c r="K183" s="800">
        <f t="shared" si="60"/>
        <v>474.67000000004191</v>
      </c>
      <c r="L183" s="792">
        <f t="shared" si="52"/>
        <v>1.5594656033640392E-3</v>
      </c>
      <c r="M183" s="817">
        <f t="shared" si="66"/>
        <v>-95145.419999999984</v>
      </c>
      <c r="N183" s="802">
        <f t="shared" si="67"/>
        <v>-0.23786354999999995</v>
      </c>
      <c r="O183" s="786">
        <f t="shared" si="56"/>
        <v>-0.33160176197519076</v>
      </c>
      <c r="P183" s="817" t="b">
        <f t="shared" si="62"/>
        <v>1</v>
      </c>
      <c r="Q183" s="802">
        <f>COUNTIF(P$2:P183, TRUE)/(COUNTIF(P$2:P183,FALSE) + COUNTIF(P$2:P183, TRUE))</f>
        <v>0.47802197802197804</v>
      </c>
      <c r="R183" s="800">
        <v>244688.61</v>
      </c>
      <c r="S183" s="800">
        <f t="shared" si="61"/>
        <v>60165.97000000003</v>
      </c>
      <c r="T183" s="800"/>
      <c r="U183" s="800"/>
      <c r="V183" s="802">
        <f>STDEV(D$2:D183)*SQRT(252)</f>
        <v>0.18432756719124724</v>
      </c>
      <c r="W183" s="802">
        <f>STDEV(L$2:L183)*SQRT(252)</f>
        <v>0.39274558948509919</v>
      </c>
      <c r="X183" s="801">
        <f t="shared" si="63"/>
        <v>-0.18637541511097749</v>
      </c>
      <c r="Y183" s="801">
        <f t="shared" si="64"/>
        <v>-0.84431695951043073</v>
      </c>
      <c r="Z183" s="807">
        <f t="shared" si="65"/>
        <v>-0.21322075401057816</v>
      </c>
    </row>
    <row r="184" spans="1:26" ht="20.100000000000001" customHeight="1" x14ac:dyDescent="0.2">
      <c r="A184" s="776">
        <f t="shared" si="55"/>
        <v>263</v>
      </c>
      <c r="B184" s="795">
        <v>42496</v>
      </c>
      <c r="C184" s="820">
        <v>2057.14</v>
      </c>
      <c r="D184" s="792">
        <f t="shared" si="69"/>
        <v>3.1746341368261281E-3</v>
      </c>
      <c r="E184" s="819">
        <f t="shared" si="70"/>
        <v>-2.1546393713970519E-2</v>
      </c>
      <c r="F184" s="816">
        <v>4736.1499999999996</v>
      </c>
      <c r="G184" s="792">
        <f t="shared" si="71"/>
        <v>4.0406267423346784E-3</v>
      </c>
      <c r="H184" s="797">
        <f t="shared" si="72"/>
        <v>-6.9829330086218791E-2</v>
      </c>
      <c r="I184" s="799">
        <v>304553.01</v>
      </c>
      <c r="J184" s="800">
        <v>400000</v>
      </c>
      <c r="K184" s="800">
        <f t="shared" ref="K184:K191" si="73">I184-I183-J184+J183</f>
        <v>-301.57000000000698</v>
      </c>
      <c r="L184" s="792">
        <f t="shared" si="52"/>
        <v>-9.8922574822397935E-4</v>
      </c>
      <c r="M184" s="817">
        <f t="shared" si="66"/>
        <v>-95446.989999999991</v>
      </c>
      <c r="N184" s="802">
        <f t="shared" si="67"/>
        <v>-0.23861747499999997</v>
      </c>
      <c r="O184" s="786">
        <f t="shared" si="56"/>
        <v>-0.33138795720057029</v>
      </c>
      <c r="P184" s="817" t="b">
        <f t="shared" si="62"/>
        <v>0</v>
      </c>
      <c r="Q184" s="802">
        <f>COUNTIF(P$2:P184, TRUE)/(COUNTIF(P$2:P184,FALSE) + COUNTIF(P$2:P184, TRUE))</f>
        <v>0.47540983606557374</v>
      </c>
      <c r="R184" s="800">
        <v>244387.04</v>
      </c>
      <c r="S184" s="800">
        <f t="shared" si="61"/>
        <v>60165.97</v>
      </c>
      <c r="T184" s="800"/>
      <c r="U184" s="800"/>
      <c r="V184" s="802">
        <f>STDEV(D$2:D184)*SQRT(252)</f>
        <v>0.18385733310568392</v>
      </c>
      <c r="W184" s="802">
        <f>STDEV(L$2:L184)*SQRT(252)</f>
        <v>0.39165931974206192</v>
      </c>
      <c r="X184" s="801">
        <f t="shared" si="63"/>
        <v>-0.16275266595309434</v>
      </c>
      <c r="Y184" s="801">
        <f t="shared" si="64"/>
        <v>-0.8461127834742066</v>
      </c>
      <c r="Z184" s="807">
        <f t="shared" si="65"/>
        <v>-0.21707108128602945</v>
      </c>
    </row>
    <row r="185" spans="1:26" ht="20.100000000000001" customHeight="1" x14ac:dyDescent="0.2">
      <c r="A185" s="776">
        <f t="shared" si="55"/>
        <v>266</v>
      </c>
      <c r="B185" s="824">
        <v>42499</v>
      </c>
      <c r="C185" s="825">
        <v>2058.69</v>
      </c>
      <c r="D185" s="792">
        <f t="shared" si="69"/>
        <v>7.5347326871296166E-4</v>
      </c>
      <c r="E185" s="826">
        <f t="shared" si="70"/>
        <v>-2.08091550769582E-2</v>
      </c>
      <c r="F185" s="827">
        <v>4750.2</v>
      </c>
      <c r="G185" s="792">
        <f t="shared" si="71"/>
        <v>2.9665445562324214E-3</v>
      </c>
      <c r="H185" s="828">
        <f t="shared" si="72"/>
        <v>-6.706993734901899E-2</v>
      </c>
      <c r="I185" s="829">
        <v>298140.64</v>
      </c>
      <c r="J185" s="830">
        <v>400000</v>
      </c>
      <c r="K185" s="830">
        <f t="shared" si="73"/>
        <v>-6412.3699999999953</v>
      </c>
      <c r="L185" s="792">
        <f t="shared" si="52"/>
        <v>-2.1055020930510572E-2</v>
      </c>
      <c r="M185" s="831">
        <f t="shared" si="66"/>
        <v>-101859.35999999999</v>
      </c>
      <c r="N185" s="832">
        <f t="shared" si="67"/>
        <v>-0.25464839999999994</v>
      </c>
      <c r="O185" s="786">
        <f t="shared" si="56"/>
        <v>-0.34966288759398489</v>
      </c>
      <c r="P185" s="831" t="b">
        <f t="shared" si="62"/>
        <v>0</v>
      </c>
      <c r="Q185" s="832">
        <f>COUNTIF(P$2:P185, TRUE)/(COUNTIF(P$2:P185,FALSE) + COUNTIF(P$2:P185, TRUE))</f>
        <v>0.47282608695652173</v>
      </c>
      <c r="R185" s="830">
        <v>244388.04</v>
      </c>
      <c r="S185" s="830">
        <f t="shared" si="61"/>
        <v>53752.600000000006</v>
      </c>
      <c r="T185" s="830"/>
      <c r="U185" s="830"/>
      <c r="V185" s="832">
        <f>STDEV(D$2:D185)*SQRT(252)</f>
        <v>0.18335397650588192</v>
      </c>
      <c r="W185" s="832">
        <f>STDEV(L$2:L185)*SQRT(252)</f>
        <v>0.39131263252933984</v>
      </c>
      <c r="X185" s="801">
        <f t="shared" si="63"/>
        <v>-0.15583776159198121</v>
      </c>
      <c r="Y185" s="801">
        <f t="shared" si="64"/>
        <v>-0.89356401640769378</v>
      </c>
      <c r="Z185" s="807">
        <f t="shared" si="65"/>
        <v>-0.23383924492304176</v>
      </c>
    </row>
    <row r="186" spans="1:26" ht="20.100000000000001" customHeight="1" x14ac:dyDescent="0.2">
      <c r="A186" s="776">
        <f t="shared" si="55"/>
        <v>267</v>
      </c>
      <c r="B186" s="824">
        <v>42500</v>
      </c>
      <c r="C186" s="825">
        <v>2084.39</v>
      </c>
      <c r="D186" s="792">
        <f t="shared" si="69"/>
        <v>1.2483666797817941E-2</v>
      </c>
      <c r="E186" s="826">
        <f t="shared" si="70"/>
        <v>-8.5852628374651265E-3</v>
      </c>
      <c r="F186" s="827">
        <v>4809.88</v>
      </c>
      <c r="G186" s="792">
        <f t="shared" si="71"/>
        <v>1.2563681529198832E-2</v>
      </c>
      <c r="H186" s="828">
        <f t="shared" si="72"/>
        <v>-5.5348901152856553E-2</v>
      </c>
      <c r="I186" s="829">
        <v>304800.26</v>
      </c>
      <c r="J186" s="830">
        <v>400000</v>
      </c>
      <c r="K186" s="830">
        <f t="shared" si="73"/>
        <v>6659.6199999999953</v>
      </c>
      <c r="L186" s="792">
        <f t="shared" si="52"/>
        <v>2.2337176172963186E-2</v>
      </c>
      <c r="M186" s="831">
        <f t="shared" si="66"/>
        <v>-95199.739999999991</v>
      </c>
      <c r="N186" s="832">
        <f t="shared" si="67"/>
        <v>-0.23799934999999997</v>
      </c>
      <c r="O186" s="786">
        <f t="shared" si="56"/>
        <v>-0.32557776249999998</v>
      </c>
      <c r="P186" s="831" t="b">
        <f t="shared" si="62"/>
        <v>1</v>
      </c>
      <c r="Q186" s="832">
        <f>COUNTIF(P$2:P186, TRUE)/(COUNTIF(P$2:P186,FALSE) + COUNTIF(P$2:P186, TRUE))</f>
        <v>0.4756756756756757</v>
      </c>
      <c r="R186" s="830">
        <v>245950.62</v>
      </c>
      <c r="S186" s="830">
        <f t="shared" si="61"/>
        <v>58849.640000000014</v>
      </c>
      <c r="T186" s="830"/>
      <c r="U186" s="830"/>
      <c r="V186" s="832">
        <f>STDEV(D$2:D186)*SQRT(252)</f>
        <v>0.1834395508093867</v>
      </c>
      <c r="W186" s="832">
        <f>STDEV(L$2:L186)*SQRT(252)</f>
        <v>0.39117995017069312</v>
      </c>
      <c r="X186" s="801">
        <f t="shared" si="63"/>
        <v>-6.4023524820998143E-2</v>
      </c>
      <c r="Y186" s="801">
        <f t="shared" si="64"/>
        <v>-0.83229665108841255</v>
      </c>
      <c r="Z186" s="807">
        <f t="shared" si="65"/>
        <v>-0.22941408716253484</v>
      </c>
    </row>
    <row r="187" spans="1:26" ht="20.100000000000001" customHeight="1" x14ac:dyDescent="0.2">
      <c r="A187" s="776">
        <f t="shared" si="55"/>
        <v>268</v>
      </c>
      <c r="B187" s="824">
        <v>42501</v>
      </c>
      <c r="C187" s="825">
        <v>2064.46</v>
      </c>
      <c r="D187" s="792">
        <f t="shared" si="69"/>
        <v>-9.5615503816463502E-3</v>
      </c>
      <c r="E187" s="826">
        <f t="shared" si="70"/>
        <v>-1.8064724795951378E-2</v>
      </c>
      <c r="F187" s="827">
        <v>4760.68</v>
      </c>
      <c r="G187" s="792">
        <f t="shared" si="71"/>
        <v>-1.0228945420675737E-2</v>
      </c>
      <c r="H187" s="828">
        <f t="shared" si="72"/>
        <v>-6.5011685684545351E-2</v>
      </c>
      <c r="I187" s="829">
        <v>308835.23</v>
      </c>
      <c r="J187" s="830">
        <v>400000</v>
      </c>
      <c r="K187" s="830">
        <f t="shared" si="73"/>
        <v>4034.9699999999721</v>
      </c>
      <c r="L187" s="792">
        <f t="shared" si="52"/>
        <v>1.3238079258856183E-2</v>
      </c>
      <c r="M187" s="831">
        <f t="shared" si="66"/>
        <v>-91164.770000000019</v>
      </c>
      <c r="N187" s="832">
        <f t="shared" si="67"/>
        <v>-0.22791192500000004</v>
      </c>
      <c r="O187" s="786">
        <f t="shared" si="56"/>
        <v>-0.31061503957555975</v>
      </c>
      <c r="P187" s="831" t="b">
        <f t="shared" si="62"/>
        <v>1</v>
      </c>
      <c r="Q187" s="832">
        <f>COUNTIF(P$2:P187, TRUE)/(COUNTIF(P$2:P187,FALSE) + COUNTIF(P$2:P187, TRUE))</f>
        <v>0.478494623655914</v>
      </c>
      <c r="R187" s="830">
        <v>248232.13</v>
      </c>
      <c r="S187" s="830">
        <f t="shared" si="61"/>
        <v>60603.099999999977</v>
      </c>
      <c r="T187" s="830"/>
      <c r="U187" s="830"/>
      <c r="V187" s="832">
        <f>STDEV(D$2:D187)*SQRT(252)</f>
        <v>0.18328184052807739</v>
      </c>
      <c r="W187" s="832">
        <f>STDEV(L$2:L187)*SQRT(252)</f>
        <v>0.39045309819153251</v>
      </c>
      <c r="X187" s="801">
        <f t="shared" si="63"/>
        <v>-0.13432824568163304</v>
      </c>
      <c r="Y187" s="801">
        <f t="shared" si="64"/>
        <v>-0.7955245867281886</v>
      </c>
      <c r="Z187" s="807">
        <f t="shared" si="65"/>
        <v>-0.20984720020404868</v>
      </c>
    </row>
    <row r="188" spans="1:26" ht="20.100000000000001" customHeight="1" x14ac:dyDescent="0.2">
      <c r="A188" s="776">
        <f t="shared" si="55"/>
        <v>269</v>
      </c>
      <c r="B188" s="824">
        <v>42502</v>
      </c>
      <c r="C188" s="825">
        <v>2064.11</v>
      </c>
      <c r="D188" s="792">
        <f t="shared" si="69"/>
        <v>-1.6953585925612947E-4</v>
      </c>
      <c r="E188" s="826">
        <f t="shared" si="70"/>
        <v>-1.8231198036567E-2</v>
      </c>
      <c r="F188" s="827">
        <v>4737.33</v>
      </c>
      <c r="G188" s="792">
        <f t="shared" si="71"/>
        <v>-4.9047615046590746E-3</v>
      </c>
      <c r="H188" s="828">
        <f t="shared" si="72"/>
        <v>-6.9597580375905868E-2</v>
      </c>
      <c r="I188" s="829">
        <v>304301.34000000003</v>
      </c>
      <c r="J188" s="830">
        <v>400000</v>
      </c>
      <c r="K188" s="830">
        <f t="shared" si="73"/>
        <v>-4533.8899999999558</v>
      </c>
      <c r="L188" s="792">
        <f t="shared" si="52"/>
        <v>-1.4680611405635154E-2</v>
      </c>
      <c r="M188" s="831">
        <f t="shared" si="66"/>
        <v>-95698.659999999974</v>
      </c>
      <c r="N188" s="832">
        <f t="shared" si="67"/>
        <v>-0.23924664999999995</v>
      </c>
      <c r="O188" s="786">
        <f t="shared" si="56"/>
        <v>-0.32485070227695162</v>
      </c>
      <c r="P188" s="831" t="b">
        <f t="shared" si="62"/>
        <v>0</v>
      </c>
      <c r="Q188" s="832">
        <f>COUNTIF(P$2:P188, TRUE)/(COUNTIF(P$2:P188,FALSE) + COUNTIF(P$2:P188, TRUE))</f>
        <v>0.47593582887700536</v>
      </c>
      <c r="R188" s="830">
        <v>280165.89</v>
      </c>
      <c r="S188" s="830">
        <f t="shared" si="61"/>
        <v>24135.450000000012</v>
      </c>
      <c r="T188" s="830"/>
      <c r="U188" s="830"/>
      <c r="V188" s="832">
        <f>STDEV(D$2:D188)*SQRT(252)</f>
        <v>0.1827858829252009</v>
      </c>
      <c r="W188" s="832">
        <f>STDEV(L$2:L188)*SQRT(252)</f>
        <v>0.38974137838139039</v>
      </c>
      <c r="X188" s="801">
        <f t="shared" si="63"/>
        <v>-0.13542863535761854</v>
      </c>
      <c r="Y188" s="801">
        <f t="shared" si="64"/>
        <v>-0.83350324162671152</v>
      </c>
      <c r="Z188" s="807">
        <f t="shared" si="65"/>
        <v>-0.22101545196343295</v>
      </c>
    </row>
    <row r="189" spans="1:26" ht="20.100000000000001" customHeight="1" x14ac:dyDescent="0.2">
      <c r="A189" s="776">
        <f t="shared" si="55"/>
        <v>270</v>
      </c>
      <c r="B189" s="824">
        <v>42503</v>
      </c>
      <c r="C189" s="825">
        <v>2046.61</v>
      </c>
      <c r="D189" s="792">
        <f t="shared" si="69"/>
        <v>-8.4782303268722235E-3</v>
      </c>
      <c r="E189" s="826">
        <f t="shared" si="70"/>
        <v>-2.6554860067350389E-2</v>
      </c>
      <c r="F189" s="827">
        <v>4717.68</v>
      </c>
      <c r="G189" s="792">
        <f t="shared" si="71"/>
        <v>-4.1479060990050592E-3</v>
      </c>
      <c r="H189" s="828">
        <f t="shared" si="72"/>
        <v>-7.3456802246793712E-2</v>
      </c>
      <c r="I189" s="829">
        <v>303736.26</v>
      </c>
      <c r="J189" s="830">
        <v>400000</v>
      </c>
      <c r="K189" s="830">
        <f t="shared" si="73"/>
        <v>-565.0800000000163</v>
      </c>
      <c r="L189" s="792">
        <f t="shared" si="52"/>
        <v>-1.8569750629425959E-3</v>
      </c>
      <c r="M189" s="831">
        <f t="shared" si="66"/>
        <v>-96263.739999999991</v>
      </c>
      <c r="N189" s="832">
        <f t="shared" si="67"/>
        <v>-0.24065934999999997</v>
      </c>
      <c r="O189" s="786">
        <f t="shared" si="56"/>
        <v>-0.32555862069444441</v>
      </c>
      <c r="P189" s="831" t="b">
        <f t="shared" si="62"/>
        <v>1</v>
      </c>
      <c r="Q189" s="832">
        <f>COUNTIF(P$2:P189, TRUE)/(COUNTIF(P$2:P189,FALSE) + COUNTIF(P$2:P189, TRUE))</f>
        <v>0.47872340425531917</v>
      </c>
      <c r="R189" s="830">
        <v>251738</v>
      </c>
      <c r="S189" s="830">
        <f t="shared" si="61"/>
        <v>51998.260000000009</v>
      </c>
      <c r="T189" s="830"/>
      <c r="U189" s="830"/>
      <c r="V189" s="832">
        <f>STDEV(D$2:D189)*SQRT(252)</f>
        <v>0.18255729754579855</v>
      </c>
      <c r="W189" s="832">
        <f>STDEV(L$2:L189)*SQRT(252)</f>
        <v>0.38869471253740751</v>
      </c>
      <c r="X189" s="801">
        <f t="shared" si="63"/>
        <v>-0.19677561551379819</v>
      </c>
      <c r="Y189" s="801">
        <f t="shared" si="64"/>
        <v>-0.83756894599669407</v>
      </c>
      <c r="Z189" s="807">
        <f t="shared" si="65"/>
        <v>-0.21410448993264958</v>
      </c>
    </row>
    <row r="190" spans="1:26" ht="20.100000000000001" customHeight="1" x14ac:dyDescent="0.2">
      <c r="A190" s="776">
        <f t="shared" si="55"/>
        <v>273</v>
      </c>
      <c r="B190" s="795">
        <v>42506</v>
      </c>
      <c r="C190" s="820">
        <v>2066.66</v>
      </c>
      <c r="D190" s="792">
        <f t="shared" si="69"/>
        <v>9.7966881819203239E-3</v>
      </c>
      <c r="E190" s="819">
        <f t="shared" si="70"/>
        <v>-1.7018321569224424E-2</v>
      </c>
      <c r="F190" s="816">
        <v>4775.45</v>
      </c>
      <c r="G190" s="792">
        <f t="shared" si="71"/>
        <v>1.224542571772556E-2</v>
      </c>
      <c r="H190" s="797">
        <f t="shared" si="72"/>
        <v>-6.2110886344442916E-2</v>
      </c>
      <c r="I190" s="799">
        <v>310136.52</v>
      </c>
      <c r="J190" s="800">
        <v>400000</v>
      </c>
      <c r="K190" s="800">
        <f t="shared" si="73"/>
        <v>6400.2600000000093</v>
      </c>
      <c r="L190" s="792">
        <f t="shared" si="52"/>
        <v>2.1071767987134657E-2</v>
      </c>
      <c r="M190" s="817">
        <f t="shared" si="66"/>
        <v>-89863.479999999981</v>
      </c>
      <c r="N190" s="802">
        <f t="shared" ref="N190:N221" si="74">M190/J190</f>
        <v>-0.22465869999999996</v>
      </c>
      <c r="O190" s="786">
        <f t="shared" si="56"/>
        <v>-0.30057359038461534</v>
      </c>
      <c r="P190" s="817" t="b">
        <f t="shared" si="62"/>
        <v>1</v>
      </c>
      <c r="Q190" s="802">
        <f>COUNTIF(P$2:P190, TRUE)/(COUNTIF(P$2:P190,FALSE) + COUNTIF(P$2:P190, TRUE))</f>
        <v>0.48148148148148145</v>
      </c>
      <c r="R190" s="800">
        <v>258123.64</v>
      </c>
      <c r="S190" s="800">
        <f t="shared" si="61"/>
        <v>52012.880000000005</v>
      </c>
      <c r="T190" s="800"/>
      <c r="U190" s="800"/>
      <c r="V190" s="802">
        <f>STDEV(D$2:D190)*SQRT(252)</f>
        <v>0.18242711588099725</v>
      </c>
      <c r="W190" s="802">
        <f>STDEV(L$2:L190)*SQRT(252)</f>
        <v>0.38847097955636578</v>
      </c>
      <c r="X190" s="801">
        <f t="shared" si="63"/>
        <v>-0.124811588636271</v>
      </c>
      <c r="Y190" s="801">
        <f t="shared" si="64"/>
        <v>-0.77373499232264575</v>
      </c>
      <c r="Z190" s="807">
        <f t="shared" si="65"/>
        <v>-0.20764037843077554</v>
      </c>
    </row>
    <row r="191" spans="1:26" ht="20.100000000000001" customHeight="1" x14ac:dyDescent="0.2">
      <c r="A191" s="776">
        <f t="shared" si="55"/>
        <v>274</v>
      </c>
      <c r="B191" s="795">
        <v>42507</v>
      </c>
      <c r="C191" s="820">
        <v>2047.21</v>
      </c>
      <c r="D191" s="792">
        <f>(C191-C190)/C190</f>
        <v>-9.4113206816795313E-3</v>
      </c>
      <c r="E191" s="819">
        <f t="shared" si="70"/>
        <v>-2.6269477369152042E-2</v>
      </c>
      <c r="F191" s="816">
        <v>4715.7299999999996</v>
      </c>
      <c r="G191" s="792">
        <f>(F191-F190)/F190</f>
        <v>-1.2505627741888252E-2</v>
      </c>
      <c r="H191" s="797">
        <f t="shared" si="72"/>
        <v>-7.3839778462988837E-2</v>
      </c>
      <c r="I191" s="799">
        <v>311039.01</v>
      </c>
      <c r="J191" s="800">
        <v>400000</v>
      </c>
      <c r="K191" s="800">
        <f t="shared" si="73"/>
        <v>902.48999999999069</v>
      </c>
      <c r="L191" s="792">
        <f t="shared" si="52"/>
        <v>2.9099765483922711E-3</v>
      </c>
      <c r="M191" s="817">
        <f t="shared" si="66"/>
        <v>-88960.989999999991</v>
      </c>
      <c r="N191" s="802">
        <f t="shared" si="74"/>
        <v>-0.22240247499999999</v>
      </c>
      <c r="O191" s="786">
        <f t="shared" si="56"/>
        <v>-0.29646899267791965</v>
      </c>
      <c r="P191" s="817" t="b">
        <f t="shared" si="62"/>
        <v>1</v>
      </c>
      <c r="Q191" s="802">
        <f>COUNTIF(P$2:P191, TRUE)/(COUNTIF(P$2:P191,FALSE) + COUNTIF(P$2:P191, TRUE))</f>
        <v>0.48421052631578948</v>
      </c>
      <c r="R191" s="800">
        <v>255974.63</v>
      </c>
      <c r="S191" s="800">
        <f t="shared" si="61"/>
        <v>55064.380000000005</v>
      </c>
      <c r="T191" s="800"/>
      <c r="U191" s="800"/>
      <c r="V191" s="802">
        <f>STDEV(D$2:D191)*SQRT(252)</f>
        <v>0.18226379341821147</v>
      </c>
      <c r="W191" s="802">
        <f>STDEV(L$2:L191)*SQRT(252)</f>
        <v>0.38745717293573728</v>
      </c>
      <c r="X191" s="801">
        <f t="shared" si="63"/>
        <v>-0.1921280121980645</v>
      </c>
      <c r="Y191" s="801">
        <f t="shared" si="64"/>
        <v>-0.76516583866958454</v>
      </c>
      <c r="Z191" s="807">
        <f t="shared" si="65"/>
        <v>-0.19613299763084796</v>
      </c>
    </row>
    <row r="192" spans="1:26" ht="20.100000000000001" customHeight="1" x14ac:dyDescent="0.2">
      <c r="A192" s="776">
        <f t="shared" si="55"/>
        <v>275</v>
      </c>
      <c r="B192" s="795">
        <v>42508</v>
      </c>
      <c r="C192" s="820">
        <v>2047.63</v>
      </c>
      <c r="D192" s="792">
        <f>(C192-C191)/C191</f>
        <v>2.051572628113739E-4</v>
      </c>
      <c r="E192" s="819">
        <f t="shared" ref="E192:E223" si="75">(C192-$C$2)/$C$2</f>
        <v>-2.6069709480413209E-2</v>
      </c>
      <c r="F192" s="816">
        <v>4739.1099999999997</v>
      </c>
      <c r="G192" s="792">
        <f t="shared" ref="G192:G255" si="76">(F192-F191)/F191</f>
        <v>4.9578750267721249E-3</v>
      </c>
      <c r="H192" s="797">
        <f t="shared" ref="H192:H223" si="77">(F192-F$2)/F$2</f>
        <v>-6.9247991829840747E-2</v>
      </c>
      <c r="I192" s="799">
        <v>310817.56</v>
      </c>
      <c r="J192" s="800">
        <v>400000</v>
      </c>
      <c r="K192" s="800">
        <f t="shared" ref="K192:K223" si="78">I192-I191-J192+J191</f>
        <v>-221.45000000001164</v>
      </c>
      <c r="L192" s="792">
        <f t="shared" si="52"/>
        <v>-7.1196857268807415E-4</v>
      </c>
      <c r="M192" s="817">
        <f t="shared" ref="M192:M223" si="79">I192-J192</f>
        <v>-89182.44</v>
      </c>
      <c r="N192" s="802">
        <f t="shared" si="74"/>
        <v>-0.22295610000000002</v>
      </c>
      <c r="O192" s="786">
        <f t="shared" si="56"/>
        <v>-0.29612623827272727</v>
      </c>
      <c r="P192" s="817" t="b">
        <f t="shared" ref="P192:P223" si="80">L192&gt;D192</f>
        <v>0</v>
      </c>
      <c r="Q192" s="802">
        <f>COUNTIF(P$2:P192, TRUE)/(COUNTIF(P$2:P192,FALSE) + COUNTIF(P$2:P192, TRUE))</f>
        <v>0.48167539267015708</v>
      </c>
      <c r="R192" s="800">
        <v>257102.48</v>
      </c>
      <c r="S192" s="800">
        <f t="shared" ref="S192:S236" si="81">I192-R192</f>
        <v>53715.079999999987</v>
      </c>
      <c r="T192" s="800"/>
      <c r="U192" s="800"/>
      <c r="V192" s="802">
        <f>STDEV(D$2:D192)*SQRT(252)</f>
        <v>0.18178126131382988</v>
      </c>
      <c r="W192" s="802">
        <f>STDEV(L$2:L192)*SQRT(252)</f>
        <v>0.38643084331736716</v>
      </c>
      <c r="X192" s="801">
        <f t="shared" si="63"/>
        <v>-0.19047790672653184</v>
      </c>
      <c r="Y192" s="801">
        <f t="shared" si="64"/>
        <v>-0.76631108358378452</v>
      </c>
      <c r="Z192" s="807">
        <f t="shared" si="65"/>
        <v>-0.19688639051958681</v>
      </c>
    </row>
    <row r="193" spans="1:26" ht="20.100000000000001" customHeight="1" x14ac:dyDescent="0.2">
      <c r="A193" s="776">
        <f t="shared" si="55"/>
        <v>276</v>
      </c>
      <c r="B193" s="795">
        <v>42509</v>
      </c>
      <c r="C193" s="820">
        <v>2040.04</v>
      </c>
      <c r="D193" s="792">
        <f t="shared" ref="D193:D256" si="82">(C193-C192)/C192</f>
        <v>-3.7067243593814046E-3</v>
      </c>
      <c r="E193" s="819">
        <f t="shared" si="75"/>
        <v>-2.9679800612621567E-2</v>
      </c>
      <c r="F193" s="816">
        <v>4712.53</v>
      </c>
      <c r="G193" s="792">
        <f t="shared" si="76"/>
        <v>-5.6086480372896869E-3</v>
      </c>
      <c r="H193" s="797">
        <f t="shared" si="77"/>
        <v>-7.4468252253667752E-2</v>
      </c>
      <c r="I193" s="799">
        <v>311569.3</v>
      </c>
      <c r="J193" s="800">
        <v>400000</v>
      </c>
      <c r="K193" s="800">
        <f t="shared" si="78"/>
        <v>751.73999999999069</v>
      </c>
      <c r="L193" s="792">
        <f t="shared" si="52"/>
        <v>2.4185892199912731E-3</v>
      </c>
      <c r="M193" s="817">
        <f t="shared" si="79"/>
        <v>-88430.700000000012</v>
      </c>
      <c r="N193" s="802">
        <f t="shared" si="74"/>
        <v>-0.22107675000000002</v>
      </c>
      <c r="O193" s="786">
        <f t="shared" si="56"/>
        <v>-0.29256624252717395</v>
      </c>
      <c r="P193" s="817" t="b">
        <f t="shared" si="80"/>
        <v>1</v>
      </c>
      <c r="Q193" s="802">
        <f>COUNTIF(P$2:P193, TRUE)/(COUNTIF(P$2:P193,FALSE) + COUNTIF(P$2:P193, TRUE))</f>
        <v>0.484375</v>
      </c>
      <c r="R193" s="800">
        <v>263424.27</v>
      </c>
      <c r="S193" s="800">
        <f t="shared" si="81"/>
        <v>48145.02999999997</v>
      </c>
      <c r="T193" s="800"/>
      <c r="U193" s="800"/>
      <c r="V193" s="802">
        <f>STDEV(D$2:D193)*SQRT(252)</f>
        <v>0.18135027686058963</v>
      </c>
      <c r="W193" s="802">
        <f>STDEV(L$2:L193)*SQRT(252)</f>
        <v>0.38542760333105391</v>
      </c>
      <c r="X193" s="801">
        <f t="shared" si="63"/>
        <v>-0.2165827674068441</v>
      </c>
      <c r="Y193" s="801">
        <f t="shared" si="64"/>
        <v>-0.75906925191313057</v>
      </c>
      <c r="Z193" s="807">
        <f t="shared" si="65"/>
        <v>-0.19139694938737845</v>
      </c>
    </row>
    <row r="194" spans="1:26" ht="20.100000000000001" customHeight="1" x14ac:dyDescent="0.2">
      <c r="A194" s="776">
        <f t="shared" si="55"/>
        <v>277</v>
      </c>
      <c r="B194" s="795">
        <v>42510</v>
      </c>
      <c r="C194" s="820">
        <v>2052.3200000000002</v>
      </c>
      <c r="D194" s="792">
        <f t="shared" si="82"/>
        <v>6.0194898139253154E-3</v>
      </c>
      <c r="E194" s="819">
        <f t="shared" si="75"/>
        <v>-2.3838968056163264E-2</v>
      </c>
      <c r="F194" s="816">
        <v>4769.55</v>
      </c>
      <c r="G194" s="792">
        <f t="shared" si="76"/>
        <v>1.209965772101195E-2</v>
      </c>
      <c r="H194" s="797">
        <f t="shared" si="77"/>
        <v>-6.3269634896007163E-2</v>
      </c>
      <c r="I194" s="799">
        <v>320418.83</v>
      </c>
      <c r="J194" s="800">
        <v>400000</v>
      </c>
      <c r="K194" s="800">
        <f t="shared" si="78"/>
        <v>8849.5300000000279</v>
      </c>
      <c r="L194" s="792">
        <f t="shared" si="52"/>
        <v>2.8403087210453752E-2</v>
      </c>
      <c r="M194" s="817">
        <f t="shared" si="79"/>
        <v>-79581.169999999984</v>
      </c>
      <c r="N194" s="802">
        <f t="shared" si="74"/>
        <v>-0.19895292499999995</v>
      </c>
      <c r="O194" s="786">
        <f t="shared" si="56"/>
        <v>-0.26233774677346566</v>
      </c>
      <c r="P194" s="817" t="b">
        <f t="shared" si="80"/>
        <v>1</v>
      </c>
      <c r="Q194" s="802">
        <f>COUNTIF(P$2:P194, TRUE)/(COUNTIF(P$2:P194,FALSE) + COUNTIF(P$2:P194, TRUE))</f>
        <v>0.48704663212435234</v>
      </c>
      <c r="R194" s="800">
        <v>264120.78000000003</v>
      </c>
      <c r="S194" s="800">
        <f t="shared" si="81"/>
        <v>56298.049999999988</v>
      </c>
      <c r="T194" s="800"/>
      <c r="U194" s="800"/>
      <c r="V194" s="802">
        <f>STDEV(D$2:D194)*SQRT(252)</f>
        <v>0.18101041145584279</v>
      </c>
      <c r="W194" s="802">
        <f>STDEV(L$2:L194)*SQRT(252)</f>
        <v>0.38584361102495252</v>
      </c>
      <c r="X194" s="801">
        <f t="shared" si="63"/>
        <v>-0.17365782272563243</v>
      </c>
      <c r="Y194" s="801">
        <f t="shared" si="64"/>
        <v>-0.67990693451316542</v>
      </c>
      <c r="Z194" s="807">
        <f t="shared" si="65"/>
        <v>-0.17511395694383669</v>
      </c>
    </row>
    <row r="195" spans="1:26" ht="20.100000000000001" customHeight="1" x14ac:dyDescent="0.2">
      <c r="A195" s="776">
        <f t="shared" si="55"/>
        <v>280</v>
      </c>
      <c r="B195" s="824">
        <v>42513</v>
      </c>
      <c r="C195" s="825">
        <v>2048.04</v>
      </c>
      <c r="D195" s="792">
        <f t="shared" si="82"/>
        <v>-2.085444764949033E-3</v>
      </c>
      <c r="E195" s="826">
        <f t="shared" si="75"/>
        <v>-2.5874697969977784E-2</v>
      </c>
      <c r="F195" s="827">
        <v>4765.78</v>
      </c>
      <c r="G195" s="792">
        <f t="shared" si="76"/>
        <v>-7.9043096308885254E-4</v>
      </c>
      <c r="H195" s="828">
        <f t="shared" si="77"/>
        <v>-6.4010055580650885E-2</v>
      </c>
      <c r="I195" s="829">
        <v>322945.12</v>
      </c>
      <c r="J195" s="830">
        <v>400000</v>
      </c>
      <c r="K195" s="830">
        <f t="shared" si="78"/>
        <v>2526.289999999979</v>
      </c>
      <c r="L195" s="792">
        <f t="shared" si="52"/>
        <v>7.8843368849451784E-3</v>
      </c>
      <c r="M195" s="831">
        <f t="shared" si="79"/>
        <v>-77054.880000000005</v>
      </c>
      <c r="N195" s="832">
        <f t="shared" si="74"/>
        <v>-0.19263720000000001</v>
      </c>
      <c r="O195" s="786">
        <f t="shared" si="56"/>
        <v>-0.25128834750000001</v>
      </c>
      <c r="P195" s="831" t="b">
        <f t="shared" si="80"/>
        <v>1</v>
      </c>
      <c r="Q195" s="832">
        <f>COUNTIF(P$2:P195, TRUE)/(COUNTIF(P$2:P195,FALSE) + COUNTIF(P$2:P195, TRUE))</f>
        <v>0.48969072164948452</v>
      </c>
      <c r="R195" s="830">
        <v>257529.17</v>
      </c>
      <c r="S195" s="830">
        <f t="shared" si="81"/>
        <v>65415.949999999983</v>
      </c>
      <c r="T195" s="830"/>
      <c r="U195" s="830"/>
      <c r="V195" s="832">
        <f>STDEV(D$2:D195)*SQRT(252)</f>
        <v>0.18055323575964988</v>
      </c>
      <c r="W195" s="832">
        <f>STDEV(L$2:L195)*SQRT(252)</f>
        <v>0.38495329027119468</v>
      </c>
      <c r="X195" s="801">
        <f t="shared" si="63"/>
        <v>-0.18693998622329316</v>
      </c>
      <c r="Y195" s="801">
        <f t="shared" si="64"/>
        <v>-0.65277620389468705</v>
      </c>
      <c r="Z195" s="807">
        <f t="shared" si="65"/>
        <v>-0.16676250203002221</v>
      </c>
    </row>
    <row r="196" spans="1:26" ht="20.100000000000001" customHeight="1" x14ac:dyDescent="0.2">
      <c r="A196" s="776">
        <f t="shared" si="55"/>
        <v>281</v>
      </c>
      <c r="B196" s="824">
        <v>42514</v>
      </c>
      <c r="C196" s="825">
        <v>2076.06</v>
      </c>
      <c r="D196" s="792">
        <f t="shared" si="82"/>
        <v>1.3681373410675565E-2</v>
      </c>
      <c r="E196" s="826">
        <f t="shared" si="75"/>
        <v>-1.2547325964117933E-2</v>
      </c>
      <c r="F196" s="827">
        <v>4861.05</v>
      </c>
      <c r="G196" s="792">
        <f t="shared" si="76"/>
        <v>1.9990431786612146E-2</v>
      </c>
      <c r="H196" s="828">
        <f t="shared" si="77"/>
        <v>-4.5299212443780983E-2</v>
      </c>
      <c r="I196" s="829">
        <v>324441.06</v>
      </c>
      <c r="J196" s="830">
        <v>400000</v>
      </c>
      <c r="K196" s="830">
        <f t="shared" si="78"/>
        <v>1495.9400000000023</v>
      </c>
      <c r="L196" s="792">
        <f t="shared" ref="L196:L219" si="83">K196/I195</f>
        <v>4.6321802292600125E-3</v>
      </c>
      <c r="M196" s="831">
        <f t="shared" si="79"/>
        <v>-75558.94</v>
      </c>
      <c r="N196" s="832">
        <f t="shared" si="74"/>
        <v>-0.18889735000000002</v>
      </c>
      <c r="O196" s="786">
        <f t="shared" si="56"/>
        <v>-0.24553294337188614</v>
      </c>
      <c r="P196" s="831" t="b">
        <f t="shared" si="80"/>
        <v>0</v>
      </c>
      <c r="Q196" s="832">
        <f>COUNTIF(P$2:P196, TRUE)/(COUNTIF(P$2:P196,FALSE) + COUNTIF(P$2:P196, TRUE))</f>
        <v>0.48717948717948717</v>
      </c>
      <c r="R196" s="830">
        <v>256296.81</v>
      </c>
      <c r="S196" s="830">
        <f t="shared" si="81"/>
        <v>68144.25</v>
      </c>
      <c r="T196" s="830"/>
      <c r="U196" s="830"/>
      <c r="V196" s="832">
        <f>STDEV(D$2:D196)*SQRT(252)</f>
        <v>0.18076572452731524</v>
      </c>
      <c r="W196" s="832">
        <f>STDEV(L$2:L196)*SQRT(252)</f>
        <v>0.38399644388523335</v>
      </c>
      <c r="X196" s="801">
        <f t="shared" si="63"/>
        <v>-9.0223360516614573E-2</v>
      </c>
      <c r="Y196" s="801">
        <f t="shared" si="64"/>
        <v>-0.63941462813460226</v>
      </c>
      <c r="Z196" s="807">
        <f t="shared" si="65"/>
        <v>-0.1763500240358821</v>
      </c>
    </row>
    <row r="197" spans="1:26" ht="20.100000000000001" customHeight="1" x14ac:dyDescent="0.2">
      <c r="A197" s="776">
        <f t="shared" si="55"/>
        <v>282</v>
      </c>
      <c r="B197" s="824">
        <v>42515</v>
      </c>
      <c r="C197" s="825">
        <v>2090.54</v>
      </c>
      <c r="D197" s="792">
        <f t="shared" si="82"/>
        <v>6.9747502480660573E-3</v>
      </c>
      <c r="E197" s="826">
        <f t="shared" si="75"/>
        <v>-5.6600901809326738E-3</v>
      </c>
      <c r="F197" s="827">
        <v>4894.8900000000003</v>
      </c>
      <c r="G197" s="792">
        <f t="shared" si="76"/>
        <v>6.9614589440553263E-3</v>
      </c>
      <c r="H197" s="828">
        <f t="shared" si="77"/>
        <v>-3.8653102107351081E-2</v>
      </c>
      <c r="I197" s="829">
        <v>329556.86</v>
      </c>
      <c r="J197" s="830">
        <v>400000</v>
      </c>
      <c r="K197" s="830">
        <f t="shared" si="78"/>
        <v>5115.7999999999884</v>
      </c>
      <c r="L197" s="792">
        <f t="shared" si="83"/>
        <v>1.5768041196758474E-2</v>
      </c>
      <c r="M197" s="831">
        <f t="shared" si="79"/>
        <v>-70443.140000000014</v>
      </c>
      <c r="N197" s="832">
        <f t="shared" si="74"/>
        <v>-0.17610785000000004</v>
      </c>
      <c r="O197" s="786">
        <f t="shared" si="56"/>
        <v>-0.22809713550531921</v>
      </c>
      <c r="P197" s="831" t="b">
        <f t="shared" si="80"/>
        <v>1</v>
      </c>
      <c r="Q197" s="832">
        <f>COUNTIF(P$2:P197, TRUE)/(COUNTIF(P$2:P197,FALSE) + COUNTIF(P$2:P197, TRUE))</f>
        <v>0.48979591836734693</v>
      </c>
      <c r="R197" s="830">
        <v>253103.72</v>
      </c>
      <c r="S197" s="830">
        <f t="shared" si="81"/>
        <v>76453.139999999985</v>
      </c>
      <c r="T197" s="830"/>
      <c r="U197" s="830"/>
      <c r="V197" s="832">
        <f>STDEV(D$2:D197)*SQRT(252)</f>
        <v>0.18047351369657114</v>
      </c>
      <c r="W197" s="832">
        <f>STDEV(L$2:L197)*SQRT(252)</f>
        <v>0.38344132562048239</v>
      </c>
      <c r="X197" s="801">
        <f t="shared" si="63"/>
        <v>-4.0621035788885831E-2</v>
      </c>
      <c r="Y197" s="801">
        <f t="shared" si="64"/>
        <v>-0.59486841992373629</v>
      </c>
      <c r="Z197" s="807">
        <f t="shared" si="65"/>
        <v>-0.17044775981906737</v>
      </c>
    </row>
    <row r="198" spans="1:26" ht="20.100000000000001" customHeight="1" x14ac:dyDescent="0.2">
      <c r="A198" s="776">
        <f t="shared" si="55"/>
        <v>283</v>
      </c>
      <c r="B198" s="824">
        <v>42516</v>
      </c>
      <c r="C198" s="825">
        <v>2090.1</v>
      </c>
      <c r="D198" s="792">
        <f t="shared" si="82"/>
        <v>-2.1047193548081098E-4</v>
      </c>
      <c r="E198" s="826">
        <f t="shared" si="75"/>
        <v>-5.8693708262781081E-3</v>
      </c>
      <c r="F198" s="827">
        <v>4901.76</v>
      </c>
      <c r="G198" s="792">
        <f t="shared" si="76"/>
        <v>1.4035044709891111E-3</v>
      </c>
      <c r="H198" s="828">
        <f t="shared" si="77"/>
        <v>-3.7303847437987238E-2</v>
      </c>
      <c r="I198" s="829">
        <v>327477.31</v>
      </c>
      <c r="J198" s="830">
        <v>400000</v>
      </c>
      <c r="K198" s="830">
        <f t="shared" si="78"/>
        <v>-2079.5499999999884</v>
      </c>
      <c r="L198" s="792">
        <f t="shared" si="83"/>
        <v>-6.3101402289122083E-3</v>
      </c>
      <c r="M198" s="831">
        <f t="shared" si="79"/>
        <v>-72522.69</v>
      </c>
      <c r="N198" s="832">
        <f t="shared" si="74"/>
        <v>-0.181306725</v>
      </c>
      <c r="O198" s="786">
        <f t="shared" si="56"/>
        <v>-0.23400099401501767</v>
      </c>
      <c r="P198" s="831" t="b">
        <f t="shared" si="80"/>
        <v>0</v>
      </c>
      <c r="Q198" s="832">
        <f>COUNTIF(P$2:P198, TRUE)/(COUNTIF(P$2:P198,FALSE) + COUNTIF(P$2:P198, TRUE))</f>
        <v>0.48730964467005078</v>
      </c>
      <c r="R198" s="830">
        <v>253608.16</v>
      </c>
      <c r="S198" s="830">
        <f t="shared" si="81"/>
        <v>73869.149999999994</v>
      </c>
      <c r="T198" s="830"/>
      <c r="U198" s="830"/>
      <c r="V198" s="832">
        <f>STDEV(D$2:D198)*SQRT(252)</f>
        <v>0.18001038194737823</v>
      </c>
      <c r="W198" s="832">
        <f>STDEV(L$2:L198)*SQRT(252)</f>
        <v>0.38251907030209392</v>
      </c>
      <c r="X198" s="801">
        <f t="shared" si="63"/>
        <v>-4.2082136889396882E-2</v>
      </c>
      <c r="Y198" s="801">
        <f t="shared" si="64"/>
        <v>-0.6117368052531752</v>
      </c>
      <c r="Z198" s="807">
        <f t="shared" si="65"/>
        <v>-0.17543735417372189</v>
      </c>
    </row>
    <row r="199" spans="1:26" ht="20.100000000000001" customHeight="1" x14ac:dyDescent="0.2">
      <c r="A199" s="776">
        <f t="shared" ref="A199:A250" si="84">B199-$B$2</f>
        <v>284</v>
      </c>
      <c r="B199" s="824">
        <v>42517</v>
      </c>
      <c r="C199" s="825">
        <v>2099.06</v>
      </c>
      <c r="D199" s="792">
        <f t="shared" si="82"/>
        <v>4.2868762260179112E-3</v>
      </c>
      <c r="E199" s="826">
        <f t="shared" si="75"/>
        <v>-1.6076558665170512E-3</v>
      </c>
      <c r="F199" s="827">
        <v>4933.5</v>
      </c>
      <c r="G199" s="792">
        <f t="shared" si="76"/>
        <v>6.4752252252251808E-3</v>
      </c>
      <c r="H199" s="828">
        <f t="shared" si="77"/>
        <v>-3.1070173026690462E-2</v>
      </c>
      <c r="I199" s="829">
        <v>327126.28999999998</v>
      </c>
      <c r="J199" s="830">
        <v>400000</v>
      </c>
      <c r="K199" s="830">
        <f t="shared" si="78"/>
        <v>-351.02000000001863</v>
      </c>
      <c r="L199" s="792">
        <f t="shared" si="83"/>
        <v>-1.0718910571239841E-3</v>
      </c>
      <c r="M199" s="831">
        <f t="shared" si="79"/>
        <v>-72873.710000000021</v>
      </c>
      <c r="N199" s="832">
        <f t="shared" si="74"/>
        <v>-0.18218427500000006</v>
      </c>
      <c r="O199" s="786">
        <f t="shared" ref="O199:O262" si="85">N199/(A199/365.25)</f>
        <v>-0.23430565649207752</v>
      </c>
      <c r="P199" s="831" t="b">
        <f t="shared" si="80"/>
        <v>0</v>
      </c>
      <c r="Q199" s="832">
        <f>COUNTIF(P$2:P199, TRUE)/(COUNTIF(P$2:P199,FALSE) + COUNTIF(P$2:P199, TRUE))</f>
        <v>0.48484848484848486</v>
      </c>
      <c r="R199" s="830">
        <v>252103.35</v>
      </c>
      <c r="S199" s="830">
        <f t="shared" si="81"/>
        <v>75022.939999999973</v>
      </c>
      <c r="T199" s="830">
        <v>-82653.611999999514</v>
      </c>
      <c r="U199" s="830">
        <f t="shared" ref="U199:U204" si="86">M199-T199</f>
        <v>9779.9019999994925</v>
      </c>
      <c r="V199" s="832">
        <f>STDEV(D$2:D199)*SQRT(252)</f>
        <v>0.17961500199880534</v>
      </c>
      <c r="W199" s="832">
        <f>STDEV(L$2:L199)*SQRT(252)</f>
        <v>0.38154311840719901</v>
      </c>
      <c r="X199" s="801">
        <f t="shared" si="63"/>
        <v>-1.1511246839599219E-2</v>
      </c>
      <c r="Y199" s="801">
        <f t="shared" si="64"/>
        <v>-0.61410007201864025</v>
      </c>
      <c r="Z199" s="807">
        <f t="shared" si="65"/>
        <v>-0.18057661913348302</v>
      </c>
    </row>
    <row r="200" spans="1:26" ht="20.100000000000001" customHeight="1" x14ac:dyDescent="0.2">
      <c r="A200" s="776">
        <f t="shared" si="84"/>
        <v>288</v>
      </c>
      <c r="B200" s="795">
        <v>42521</v>
      </c>
      <c r="C200" s="820">
        <v>2096.9499999999998</v>
      </c>
      <c r="D200" s="792">
        <f t="shared" si="82"/>
        <v>-1.0052118567359328E-3</v>
      </c>
      <c r="E200" s="819">
        <f t="shared" si="75"/>
        <v>-2.6112516885144102E-3</v>
      </c>
      <c r="F200" s="816">
        <v>4948.05</v>
      </c>
      <c r="G200" s="792">
        <f t="shared" si="76"/>
        <v>2.9492246883551601E-3</v>
      </c>
      <c r="H200" s="797">
        <f t="shared" si="77"/>
        <v>-2.8212581259697084E-2</v>
      </c>
      <c r="I200" s="822">
        <v>330773</v>
      </c>
      <c r="J200" s="800">
        <v>400000</v>
      </c>
      <c r="K200" s="800">
        <f t="shared" si="78"/>
        <v>3646.710000000021</v>
      </c>
      <c r="L200" s="792">
        <f t="shared" si="83"/>
        <v>1.1147713013221962E-2</v>
      </c>
      <c r="M200" s="817">
        <f t="shared" si="79"/>
        <v>-69227</v>
      </c>
      <c r="N200" s="802">
        <f t="shared" si="74"/>
        <v>-0.17306750000000001</v>
      </c>
      <c r="O200" s="786">
        <f t="shared" si="85"/>
        <v>-0.21948925130208335</v>
      </c>
      <c r="P200" s="817" t="b">
        <f t="shared" si="80"/>
        <v>1</v>
      </c>
      <c r="Q200" s="802">
        <f>COUNTIF(P$2:P200, TRUE)/(COUNTIF(P$2:P200,FALSE) + COUNTIF(P$2:P200, TRUE))</f>
        <v>0.48743718592964824</v>
      </c>
      <c r="R200" s="800">
        <v>253849.33</v>
      </c>
      <c r="S200" s="800">
        <f t="shared" si="81"/>
        <v>76923.670000000013</v>
      </c>
      <c r="T200" s="800">
        <v>-78775</v>
      </c>
      <c r="U200" s="800">
        <f t="shared" si="86"/>
        <v>9548</v>
      </c>
      <c r="V200" s="802">
        <f>STDEV(D$2:D200)*SQRT(252)</f>
        <v>0.17916254338672621</v>
      </c>
      <c r="W200" s="802">
        <f>STDEV(L$2:L200)*SQRT(252)</f>
        <v>0.38079113185082497</v>
      </c>
      <c r="X200" s="801">
        <f t="shared" si="63"/>
        <v>-1.8484140101389691E-2</v>
      </c>
      <c r="Y200" s="801">
        <f t="shared" si="64"/>
        <v>-0.57640326400266151</v>
      </c>
      <c r="Z200" s="807">
        <f t="shared" si="65"/>
        <v>-0.17045624831148559</v>
      </c>
    </row>
    <row r="201" spans="1:26" ht="20.100000000000001" customHeight="1" x14ac:dyDescent="0.2">
      <c r="A201" s="776">
        <f t="shared" si="84"/>
        <v>289</v>
      </c>
      <c r="B201" s="795">
        <v>42522</v>
      </c>
      <c r="C201" s="820">
        <v>2099.33</v>
      </c>
      <c r="D201" s="792">
        <f t="shared" si="82"/>
        <v>1.1349817592217789E-3</v>
      </c>
      <c r="E201" s="819">
        <f t="shared" si="75"/>
        <v>-1.4792336523278321E-3</v>
      </c>
      <c r="F201" s="816">
        <v>4952.25</v>
      </c>
      <c r="G201" s="792">
        <f t="shared" si="76"/>
        <v>8.4881923181855839E-4</v>
      </c>
      <c r="H201" s="797">
        <f t="shared" si="77"/>
        <v>-2.7387709409430999E-2</v>
      </c>
      <c r="I201" s="799">
        <v>334317.64</v>
      </c>
      <c r="J201" s="800">
        <v>400000</v>
      </c>
      <c r="K201" s="800">
        <f t="shared" si="78"/>
        <v>3544.640000000014</v>
      </c>
      <c r="L201" s="792">
        <f t="shared" si="83"/>
        <v>1.0716231373177417E-2</v>
      </c>
      <c r="M201" s="817">
        <f t="shared" si="79"/>
        <v>-65682.359999999986</v>
      </c>
      <c r="N201" s="802">
        <f t="shared" si="74"/>
        <v>-0.16420589999999996</v>
      </c>
      <c r="O201" s="786">
        <f t="shared" si="85"/>
        <v>-0.20753012102076121</v>
      </c>
      <c r="P201" s="817" t="b">
        <f t="shared" si="80"/>
        <v>1</v>
      </c>
      <c r="Q201" s="802">
        <f>COUNTIF(P$2:P201, TRUE)/(COUNTIF(P$2:P201,FALSE) + COUNTIF(P$2:P201, TRUE))</f>
        <v>0.49</v>
      </c>
      <c r="R201" s="800">
        <v>248634.19</v>
      </c>
      <c r="S201" s="800">
        <f t="shared" si="81"/>
        <v>85683.450000000012</v>
      </c>
      <c r="T201" s="800">
        <v>-75736.72</v>
      </c>
      <c r="U201" s="800">
        <f t="shared" si="86"/>
        <v>10054.360000000015</v>
      </c>
      <c r="V201" s="802">
        <f>STDEV(D$2:D201)*SQRT(252)</f>
        <v>0.17871370889489749</v>
      </c>
      <c r="W201" s="802">
        <f>STDEV(L$2:L201)*SQRT(252)</f>
        <v>0.3800270839694988</v>
      </c>
      <c r="X201" s="801">
        <f t="shared" si="63"/>
        <v>-1.0460953998144656E-2</v>
      </c>
      <c r="Y201" s="801">
        <f t="shared" si="64"/>
        <v>-0.54609297540860979</v>
      </c>
      <c r="Z201" s="807">
        <f t="shared" si="65"/>
        <v>-0.16272666634767213</v>
      </c>
    </row>
    <row r="202" spans="1:26" ht="20.100000000000001" customHeight="1" x14ac:dyDescent="0.2">
      <c r="A202" s="776">
        <f t="shared" si="84"/>
        <v>290</v>
      </c>
      <c r="B202" s="795">
        <v>42523</v>
      </c>
      <c r="C202" s="820">
        <v>2105.2600000000002</v>
      </c>
      <c r="D202" s="792">
        <f t="shared" si="82"/>
        <v>2.8247107410460915E-3</v>
      </c>
      <c r="E202" s="819">
        <f t="shared" si="75"/>
        <v>1.3412986815320121E-3</v>
      </c>
      <c r="F202" s="816">
        <v>4971.3599999999997</v>
      </c>
      <c r="G202" s="792">
        <f t="shared" si="76"/>
        <v>3.8588520369528339E-3</v>
      </c>
      <c r="H202" s="797">
        <f t="shared" si="77"/>
        <v>-2.3634542490720223E-2</v>
      </c>
      <c r="I202" s="799">
        <v>335688.99</v>
      </c>
      <c r="J202" s="800">
        <v>400000</v>
      </c>
      <c r="K202" s="800">
        <f t="shared" si="78"/>
        <v>1371.3499999999767</v>
      </c>
      <c r="L202" s="792">
        <f t="shared" si="83"/>
        <v>4.1019373072864974E-3</v>
      </c>
      <c r="M202" s="817">
        <f t="shared" si="79"/>
        <v>-64311.010000000009</v>
      </c>
      <c r="N202" s="802">
        <f t="shared" si="74"/>
        <v>-0.16077752500000003</v>
      </c>
      <c r="O202" s="786">
        <f t="shared" si="85"/>
        <v>-0.20249652071120694</v>
      </c>
      <c r="P202" s="817" t="b">
        <f t="shared" si="80"/>
        <v>1</v>
      </c>
      <c r="Q202" s="802">
        <f>COUNTIF(P$2:P202, TRUE)/(COUNTIF(P$2:P202,FALSE) + COUNTIF(P$2:P202, TRUE))</f>
        <v>0.4925373134328358</v>
      </c>
      <c r="R202" s="800">
        <v>250005.54</v>
      </c>
      <c r="S202" s="800">
        <f t="shared" si="81"/>
        <v>85683.449999999983</v>
      </c>
      <c r="T202" s="800">
        <v>-74052.52</v>
      </c>
      <c r="U202" s="800">
        <f t="shared" si="86"/>
        <v>9741.5099999999948</v>
      </c>
      <c r="V202" s="802">
        <f>STDEV(D$2:D202)*SQRT(252)</f>
        <v>0.17829120938366202</v>
      </c>
      <c r="W202" s="802">
        <f>STDEV(L$2:L202)*SQRT(252)</f>
        <v>0.37910108221879157</v>
      </c>
      <c r="X202" s="801">
        <f t="shared" si="63"/>
        <v>9.475187079554569E-3</v>
      </c>
      <c r="Y202" s="801">
        <f t="shared" si="64"/>
        <v>-0.53414914968335436</v>
      </c>
      <c r="Z202" s="807">
        <f t="shared" si="65"/>
        <v>-0.16211882368153205</v>
      </c>
    </row>
    <row r="203" spans="1:26" ht="20.100000000000001" customHeight="1" x14ac:dyDescent="0.2">
      <c r="A203" s="776">
        <f t="shared" si="84"/>
        <v>291</v>
      </c>
      <c r="B203" s="795">
        <v>42524</v>
      </c>
      <c r="C203" s="820">
        <v>2099.13</v>
      </c>
      <c r="D203" s="792">
        <f t="shared" si="82"/>
        <v>-2.911754367631603E-3</v>
      </c>
      <c r="E203" s="819">
        <f t="shared" si="75"/>
        <v>-1.5743612183938402E-3</v>
      </c>
      <c r="F203" s="816">
        <v>4942.51</v>
      </c>
      <c r="G203" s="792">
        <f t="shared" si="76"/>
        <v>-5.8032409642430755E-3</v>
      </c>
      <c r="H203" s="797">
        <f t="shared" si="77"/>
        <v>-2.9300626509810006E-2</v>
      </c>
      <c r="I203" s="799">
        <v>333931.11</v>
      </c>
      <c r="J203" s="800">
        <v>400000</v>
      </c>
      <c r="K203" s="800">
        <f t="shared" si="78"/>
        <v>-1757.8800000000047</v>
      </c>
      <c r="L203" s="792">
        <f t="shared" si="83"/>
        <v>-5.2366328725884179E-3</v>
      </c>
      <c r="M203" s="817">
        <f t="shared" si="79"/>
        <v>-66068.890000000014</v>
      </c>
      <c r="N203" s="802">
        <f t="shared" si="74"/>
        <v>-0.16517222500000003</v>
      </c>
      <c r="O203" s="786">
        <f t="shared" si="85"/>
        <v>-0.20731668447164953</v>
      </c>
      <c r="P203" s="817" t="b">
        <f t="shared" si="80"/>
        <v>0</v>
      </c>
      <c r="Q203" s="802">
        <f>COUNTIF(P$2:P203, TRUE)/(COUNTIF(P$2:P203,FALSE) + COUNTIF(P$2:P203, TRUE))</f>
        <v>0.49009900990099009</v>
      </c>
      <c r="R203" s="800">
        <v>260288.76</v>
      </c>
      <c r="S203" s="800">
        <f t="shared" si="81"/>
        <v>73642.349999999977</v>
      </c>
      <c r="T203" s="800">
        <v>-75134.75</v>
      </c>
      <c r="U203" s="800">
        <f t="shared" si="86"/>
        <v>9065.859999999986</v>
      </c>
      <c r="V203" s="802">
        <f>STDEV(D$2:D203)*SQRT(252)</f>
        <v>0.17787624865882645</v>
      </c>
      <c r="W203" s="802">
        <f>STDEV(L$2:L203)*SQRT(252)</f>
        <v>0.37819539294836535</v>
      </c>
      <c r="X203" s="801">
        <f t="shared" si="63"/>
        <v>-1.1109222293049436E-2</v>
      </c>
      <c r="Y203" s="801">
        <f t="shared" si="64"/>
        <v>-0.54817347946899575</v>
      </c>
      <c r="Z203" s="807">
        <f t="shared" si="65"/>
        <v>-0.16359786378160621</v>
      </c>
    </row>
    <row r="204" spans="1:26" ht="20.100000000000001" customHeight="1" x14ac:dyDescent="0.2">
      <c r="A204" s="776">
        <f t="shared" si="84"/>
        <v>294</v>
      </c>
      <c r="B204" s="824">
        <v>42527</v>
      </c>
      <c r="C204" s="825">
        <v>2109.41</v>
      </c>
      <c r="D204" s="792">
        <f t="shared" si="82"/>
        <v>4.8972669629797792E-3</v>
      </c>
      <c r="E204" s="826">
        <f t="shared" si="75"/>
        <v>3.3151956774033027E-3</v>
      </c>
      <c r="F204" s="827">
        <v>4968.71</v>
      </c>
      <c r="G204" s="792">
        <f t="shared" si="76"/>
        <v>5.300950326858179E-3</v>
      </c>
      <c r="H204" s="828">
        <f t="shared" si="77"/>
        <v>-2.4154997348626153E-2</v>
      </c>
      <c r="I204" s="829">
        <v>340934.25</v>
      </c>
      <c r="J204" s="830">
        <v>400000</v>
      </c>
      <c r="K204" s="830">
        <f t="shared" si="78"/>
        <v>7003.140000000014</v>
      </c>
      <c r="L204" s="792">
        <f t="shared" si="83"/>
        <v>2.0971810622855757E-2</v>
      </c>
      <c r="M204" s="831">
        <f t="shared" si="79"/>
        <v>-59065.75</v>
      </c>
      <c r="N204" s="832">
        <f t="shared" si="74"/>
        <v>-0.14766437499999999</v>
      </c>
      <c r="O204" s="786">
        <f t="shared" si="85"/>
        <v>-0.18345038424744894</v>
      </c>
      <c r="P204" s="831" t="b">
        <f t="shared" si="80"/>
        <v>1</v>
      </c>
      <c r="Q204" s="832">
        <f>COUNTIF(P$2:P204, TRUE)/(COUNTIF(P$2:P204,FALSE) + COUNTIF(P$2:P204, TRUE))</f>
        <v>0.49261083743842365</v>
      </c>
      <c r="R204" s="830">
        <v>226096.58</v>
      </c>
      <c r="S204" s="830">
        <f t="shared" si="81"/>
        <v>114837.67000000001</v>
      </c>
      <c r="T204" s="830">
        <v>-68552.800000000003</v>
      </c>
      <c r="U204" s="830">
        <f t="shared" si="86"/>
        <v>9487.0500000000029</v>
      </c>
      <c r="V204" s="832">
        <f>STDEV(D$2:D204)*SQRT(252)</f>
        <v>0.17751563901521938</v>
      </c>
      <c r="W204" s="832">
        <f>STDEV(L$2:L204)*SQRT(252)</f>
        <v>0.3779906391006832</v>
      </c>
      <c r="X204" s="801">
        <f t="shared" si="63"/>
        <v>2.3201466778432319E-2</v>
      </c>
      <c r="Y204" s="801">
        <f t="shared" si="64"/>
        <v>-0.48533049570728737</v>
      </c>
      <c r="Z204" s="807">
        <f t="shared" si="65"/>
        <v>-0.15097957067740328</v>
      </c>
    </row>
    <row r="205" spans="1:26" ht="20.100000000000001" customHeight="1" x14ac:dyDescent="0.2">
      <c r="A205" s="776">
        <f t="shared" si="84"/>
        <v>295</v>
      </c>
      <c r="B205" s="824">
        <v>42528</v>
      </c>
      <c r="C205" s="825">
        <v>2112.13</v>
      </c>
      <c r="D205" s="792">
        <f t="shared" si="82"/>
        <v>1.289460085995731E-3</v>
      </c>
      <c r="E205" s="826">
        <f t="shared" si="75"/>
        <v>4.6089305759023109E-3</v>
      </c>
      <c r="F205" s="827">
        <v>4961.75</v>
      </c>
      <c r="G205" s="792">
        <f t="shared" si="76"/>
        <v>-1.4007659935878802E-3</v>
      </c>
      <c r="H205" s="828">
        <f t="shared" si="77"/>
        <v>-2.5521927843352873E-2</v>
      </c>
      <c r="I205" s="829">
        <v>347691.97</v>
      </c>
      <c r="J205" s="830">
        <v>400000</v>
      </c>
      <c r="K205" s="830">
        <f t="shared" si="78"/>
        <v>6757.7199999999721</v>
      </c>
      <c r="L205" s="792">
        <f t="shared" si="83"/>
        <v>1.9821182530062532E-2</v>
      </c>
      <c r="M205" s="831">
        <f t="shared" si="79"/>
        <v>-52308.030000000028</v>
      </c>
      <c r="N205" s="832">
        <f t="shared" si="74"/>
        <v>-0.13077007500000007</v>
      </c>
      <c r="O205" s="786">
        <f t="shared" si="85"/>
        <v>-0.16191108438559329</v>
      </c>
      <c r="P205" s="831" t="b">
        <f t="shared" si="80"/>
        <v>1</v>
      </c>
      <c r="Q205" s="832">
        <f>COUNTIF(P$2:P205, TRUE)/(COUNTIF(P$2:P205,FALSE) + COUNTIF(P$2:P205, TRUE))</f>
        <v>0.49509803921568629</v>
      </c>
      <c r="R205" s="830">
        <v>221341.46</v>
      </c>
      <c r="S205" s="830">
        <f t="shared" si="81"/>
        <v>126350.50999999998</v>
      </c>
      <c r="T205" s="830">
        <v>-62220.480000000003</v>
      </c>
      <c r="U205" s="830">
        <f t="shared" ref="U205:U236" si="87">M205-T205</f>
        <v>9912.4499999999753</v>
      </c>
      <c r="V205" s="832">
        <f>STDEV(D$2:D205)*SQRT(252)</f>
        <v>0.1770808372915795</v>
      </c>
      <c r="W205" s="832">
        <f>STDEV(L$2:L205)*SQRT(252)</f>
        <v>0.37770326655936998</v>
      </c>
      <c r="X205" s="801">
        <f t="shared" si="63"/>
        <v>3.2225288066093413E-2</v>
      </c>
      <c r="Y205" s="801">
        <f t="shared" si="64"/>
        <v>-0.42867271406068974</v>
      </c>
      <c r="Z205" s="807">
        <f t="shared" si="65"/>
        <v>-0.13537900557590238</v>
      </c>
    </row>
    <row r="206" spans="1:26" ht="20.100000000000001" customHeight="1" x14ac:dyDescent="0.2">
      <c r="A206" s="776">
        <f t="shared" si="84"/>
        <v>296</v>
      </c>
      <c r="B206" s="824">
        <v>42529</v>
      </c>
      <c r="C206" s="825">
        <v>2119.12</v>
      </c>
      <c r="D206" s="792">
        <f t="shared" si="82"/>
        <v>3.3094553839014555E-3</v>
      </c>
      <c r="E206" s="826">
        <f t="shared" si="75"/>
        <v>7.9336390099122144E-3</v>
      </c>
      <c r="F206" s="827">
        <v>4974.6400000000003</v>
      </c>
      <c r="G206" s="792">
        <f t="shared" si="76"/>
        <v>2.5978737340656677E-3</v>
      </c>
      <c r="H206" s="828">
        <f t="shared" si="77"/>
        <v>-2.2990356855274171E-2</v>
      </c>
      <c r="I206" s="829">
        <v>345415.56</v>
      </c>
      <c r="J206" s="830">
        <v>400000</v>
      </c>
      <c r="K206" s="830">
        <f t="shared" si="78"/>
        <v>-2276.4099999999744</v>
      </c>
      <c r="L206" s="792">
        <f t="shared" si="83"/>
        <v>-6.5472032615535372E-3</v>
      </c>
      <c r="M206" s="831">
        <f t="shared" si="79"/>
        <v>-54584.44</v>
      </c>
      <c r="N206" s="832">
        <f t="shared" si="74"/>
        <v>-0.1364611</v>
      </c>
      <c r="O206" s="786">
        <f t="shared" si="85"/>
        <v>-0.16838654315878379</v>
      </c>
      <c r="P206" s="831" t="b">
        <f t="shared" si="80"/>
        <v>0</v>
      </c>
      <c r="Q206" s="832">
        <f>COUNTIF(P$2:P206, TRUE)/(COUNTIF(P$2:P206,FALSE) + COUNTIF(P$2:P206, TRUE))</f>
        <v>0.49268292682926829</v>
      </c>
      <c r="R206" s="830">
        <v>224599.69</v>
      </c>
      <c r="S206" s="830">
        <f t="shared" si="81"/>
        <v>120815.87</v>
      </c>
      <c r="T206" s="830">
        <v>-64591.5</v>
      </c>
      <c r="U206" s="830">
        <f t="shared" si="87"/>
        <v>10007.059999999998</v>
      </c>
      <c r="V206" s="832">
        <f>STDEV(D$2:D206)*SQRT(252)</f>
        <v>0.1766804976423699</v>
      </c>
      <c r="W206" s="832">
        <f>STDEV(L$2:L206)*SQRT(252)</f>
        <v>0.37684312307903423</v>
      </c>
      <c r="X206" s="801">
        <f t="shared" si="63"/>
        <v>5.5409258119505582E-2</v>
      </c>
      <c r="Y206" s="801">
        <f t="shared" si="64"/>
        <v>-0.44683459202589337</v>
      </c>
      <c r="Z206" s="807">
        <f t="shared" si="65"/>
        <v>-0.1443947390099122</v>
      </c>
    </row>
    <row r="207" spans="1:26" ht="20.100000000000001" customHeight="1" x14ac:dyDescent="0.2">
      <c r="A207" s="776">
        <f t="shared" si="84"/>
        <v>297</v>
      </c>
      <c r="B207" s="824">
        <v>42530</v>
      </c>
      <c r="C207" s="825">
        <v>2115.48</v>
      </c>
      <c r="D207" s="792">
        <f t="shared" si="82"/>
        <v>-1.7176941371889619E-3</v>
      </c>
      <c r="E207" s="826">
        <f t="shared" si="75"/>
        <v>6.2023173075093528E-3</v>
      </c>
      <c r="F207" s="827">
        <v>4958.6099999999997</v>
      </c>
      <c r="G207" s="792">
        <f t="shared" si="76"/>
        <v>-3.2223437273854296E-3</v>
      </c>
      <c r="H207" s="828">
        <f t="shared" si="77"/>
        <v>-2.6138617750456655E-2</v>
      </c>
      <c r="I207" s="829">
        <v>343338.01</v>
      </c>
      <c r="J207" s="830">
        <v>400000</v>
      </c>
      <c r="K207" s="830">
        <f t="shared" si="78"/>
        <v>-2077.5499999999884</v>
      </c>
      <c r="L207" s="792">
        <f t="shared" si="83"/>
        <v>-6.0146392941881031E-3</v>
      </c>
      <c r="M207" s="831">
        <f t="shared" si="79"/>
        <v>-56661.989999999991</v>
      </c>
      <c r="N207" s="832">
        <f t="shared" si="74"/>
        <v>-0.14165497499999999</v>
      </c>
      <c r="O207" s="786">
        <f t="shared" si="85"/>
        <v>-0.17420700208333334</v>
      </c>
      <c r="P207" s="831" t="b">
        <f t="shared" si="80"/>
        <v>0</v>
      </c>
      <c r="Q207" s="832">
        <f>COUNTIF(P$2:P207, TRUE)/(COUNTIF(P$2:P207,FALSE) + COUNTIF(P$2:P207, TRUE))</f>
        <v>0.49029126213592233</v>
      </c>
      <c r="R207" s="830">
        <v>224600.69</v>
      </c>
      <c r="S207" s="830">
        <f t="shared" si="81"/>
        <v>118737.32</v>
      </c>
      <c r="T207" s="830">
        <v>-66856.5</v>
      </c>
      <c r="U207" s="830">
        <f t="shared" si="87"/>
        <v>10194.510000000009</v>
      </c>
      <c r="V207" s="832">
        <f>STDEV(D$2:D207)*SQRT(252)</f>
        <v>0.17625845275295093</v>
      </c>
      <c r="W207" s="832">
        <f>STDEV(L$2:L207)*SQRT(252)</f>
        <v>0.37597781518957712</v>
      </c>
      <c r="X207" s="801">
        <f t="shared" si="63"/>
        <v>4.3275072348059891E-2</v>
      </c>
      <c r="Y207" s="801">
        <f t="shared" si="64"/>
        <v>-0.46334383318732236</v>
      </c>
      <c r="Z207" s="807">
        <f t="shared" si="65"/>
        <v>-0.14785729230750935</v>
      </c>
    </row>
    <row r="208" spans="1:26" ht="20.100000000000001" customHeight="1" x14ac:dyDescent="0.2">
      <c r="A208" s="776">
        <f t="shared" si="84"/>
        <v>298</v>
      </c>
      <c r="B208" s="824">
        <v>42531</v>
      </c>
      <c r="C208" s="825">
        <v>2096.0700000000002</v>
      </c>
      <c r="D208" s="792">
        <f t="shared" si="82"/>
        <v>-9.1752226445061431E-3</v>
      </c>
      <c r="E208" s="826">
        <f t="shared" si="75"/>
        <v>-3.0298129792050619E-3</v>
      </c>
      <c r="F208" s="827">
        <v>4894.54</v>
      </c>
      <c r="G208" s="792">
        <f t="shared" si="76"/>
        <v>-1.2920959704433242E-2</v>
      </c>
      <c r="H208" s="828">
        <f t="shared" si="77"/>
        <v>-3.8721841428206664E-2</v>
      </c>
      <c r="I208" s="829">
        <v>332939.06</v>
      </c>
      <c r="J208" s="830">
        <v>400000</v>
      </c>
      <c r="K208" s="830">
        <f t="shared" si="78"/>
        <v>-10398.950000000012</v>
      </c>
      <c r="L208" s="792">
        <f t="shared" si="83"/>
        <v>-3.0287791322609493E-2</v>
      </c>
      <c r="M208" s="831">
        <f t="shared" si="79"/>
        <v>-67060.94</v>
      </c>
      <c r="N208" s="832">
        <f t="shared" si="74"/>
        <v>-0.16765235000000001</v>
      </c>
      <c r="O208" s="786">
        <f t="shared" si="85"/>
        <v>-0.20548664710570469</v>
      </c>
      <c r="P208" s="831" t="b">
        <f t="shared" si="80"/>
        <v>0</v>
      </c>
      <c r="Q208" s="832">
        <f>COUNTIF(P$2:P208, TRUE)/(COUNTIF(P$2:P208,FALSE) + COUNTIF(P$2:P208, TRUE))</f>
        <v>0.48792270531400966</v>
      </c>
      <c r="R208" s="830">
        <v>258667.11</v>
      </c>
      <c r="S208" s="830">
        <f t="shared" si="81"/>
        <v>74271.950000000012</v>
      </c>
      <c r="T208" s="830">
        <v>-76706.92</v>
      </c>
      <c r="U208" s="830">
        <f t="shared" si="87"/>
        <v>9645.9799999999959</v>
      </c>
      <c r="V208" s="832">
        <f>STDEV(D$2:D208)*SQRT(252)</f>
        <v>0.17612650252391751</v>
      </c>
      <c r="W208" s="832">
        <f>STDEV(L$2:L208)*SQRT(252)</f>
        <v>0.37655142178170292</v>
      </c>
      <c r="X208" s="801">
        <f t="shared" si="63"/>
        <v>-2.1084585669051015E-2</v>
      </c>
      <c r="Y208" s="801">
        <f t="shared" si="64"/>
        <v>-0.54570673543979042</v>
      </c>
      <c r="Z208" s="807">
        <f t="shared" si="65"/>
        <v>-0.16462253702079493</v>
      </c>
    </row>
    <row r="209" spans="1:26" ht="20.100000000000001" customHeight="1" x14ac:dyDescent="0.2">
      <c r="A209" s="776">
        <f t="shared" si="84"/>
        <v>301</v>
      </c>
      <c r="B209" s="795">
        <v>42534</v>
      </c>
      <c r="C209" s="820">
        <v>2079.06</v>
      </c>
      <c r="D209" s="792">
        <f t="shared" si="82"/>
        <v>-8.1151869928009161E-3</v>
      </c>
      <c r="E209" s="819">
        <f t="shared" si="75"/>
        <v>-1.1120412473126515E-2</v>
      </c>
      <c r="F209" s="816">
        <v>4848.4399999999996</v>
      </c>
      <c r="G209" s="792">
        <f t="shared" si="76"/>
        <v>-9.4186583417441398E-3</v>
      </c>
      <c r="H209" s="797">
        <f t="shared" si="77"/>
        <v>-4.7775791975175327E-2</v>
      </c>
      <c r="I209" s="799">
        <v>329797.69</v>
      </c>
      <c r="J209" s="800">
        <v>400000</v>
      </c>
      <c r="K209" s="800">
        <f t="shared" si="78"/>
        <v>-3141.3699999999953</v>
      </c>
      <c r="L209" s="792">
        <f t="shared" si="83"/>
        <v>-9.4352702263290934E-3</v>
      </c>
      <c r="M209" s="817">
        <f t="shared" si="79"/>
        <v>-70202.31</v>
      </c>
      <c r="N209" s="802">
        <f t="shared" si="74"/>
        <v>-0.175505775</v>
      </c>
      <c r="O209" s="786">
        <f t="shared" si="85"/>
        <v>-0.21296838644102989</v>
      </c>
      <c r="P209" s="817" t="b">
        <f t="shared" si="80"/>
        <v>0</v>
      </c>
      <c r="Q209" s="802">
        <f>COUNTIF(P$2:P209, TRUE)/(COUNTIF(P$2:P209,FALSE) + COUNTIF(P$2:P209, TRUE))</f>
        <v>0.48557692307692307</v>
      </c>
      <c r="R209" s="800">
        <v>255528.93</v>
      </c>
      <c r="S209" s="800">
        <f t="shared" si="81"/>
        <v>74268.760000000009</v>
      </c>
      <c r="T209" s="800">
        <v>-78829.440000000002</v>
      </c>
      <c r="U209" s="800">
        <f t="shared" si="87"/>
        <v>8627.1300000000047</v>
      </c>
      <c r="V209" s="802">
        <f>STDEV(D$2:D209)*SQRT(252)</f>
        <v>0.17592912166326158</v>
      </c>
      <c r="W209" s="802">
        <f>STDEV(L$2:L209)*SQRT(252)</f>
        <v>0.3757757250288794</v>
      </c>
      <c r="X209" s="801">
        <f t="shared" si="63"/>
        <v>-7.6702035754639838E-2</v>
      </c>
      <c r="Y209" s="801">
        <f t="shared" si="64"/>
        <v>-0.56674333187611492</v>
      </c>
      <c r="Z209" s="807">
        <f t="shared" si="65"/>
        <v>-0.1643853625268735</v>
      </c>
    </row>
    <row r="210" spans="1:26" ht="20.100000000000001" customHeight="1" x14ac:dyDescent="0.2">
      <c r="A210" s="776">
        <f t="shared" si="84"/>
        <v>302</v>
      </c>
      <c r="B210" s="795">
        <v>42535</v>
      </c>
      <c r="C210" s="820">
        <v>2075.3200000000002</v>
      </c>
      <c r="D210" s="792">
        <f t="shared" si="82"/>
        <v>-1.7988898829277566E-3</v>
      </c>
      <c r="E210" s="819">
        <f t="shared" si="75"/>
        <v>-1.2899297958562379E-2</v>
      </c>
      <c r="F210" s="816">
        <v>4843.55</v>
      </c>
      <c r="G210" s="792">
        <f t="shared" si="76"/>
        <v>-1.0085718292893008E-3</v>
      </c>
      <c r="H210" s="797">
        <f t="shared" si="77"/>
        <v>-4.8736178486556481E-2</v>
      </c>
      <c r="I210" s="799">
        <v>327192.19</v>
      </c>
      <c r="J210" s="800">
        <v>400000</v>
      </c>
      <c r="K210" s="800">
        <f t="shared" si="78"/>
        <v>-2605.5</v>
      </c>
      <c r="L210" s="792">
        <f t="shared" si="83"/>
        <v>-7.9002979068773949E-3</v>
      </c>
      <c r="M210" s="817">
        <f t="shared" si="79"/>
        <v>-72807.81</v>
      </c>
      <c r="N210" s="802">
        <f t="shared" si="74"/>
        <v>-0.18201952499999999</v>
      </c>
      <c r="O210" s="786">
        <f t="shared" si="85"/>
        <v>-0.22014116392798011</v>
      </c>
      <c r="P210" s="817" t="b">
        <f t="shared" si="80"/>
        <v>0</v>
      </c>
      <c r="Q210" s="802">
        <f>COUNTIF(P$2:P210, TRUE)/(COUNTIF(P$2:P210,FALSE) + COUNTIF(P$2:P210, TRUE))</f>
        <v>0.48325358851674644</v>
      </c>
      <c r="R210" s="800">
        <v>272585.19</v>
      </c>
      <c r="S210" s="800">
        <f t="shared" si="81"/>
        <v>54607</v>
      </c>
      <c r="T210" s="800">
        <v>-80356</v>
      </c>
      <c r="U210" s="800">
        <f t="shared" si="87"/>
        <v>7548.1900000000023</v>
      </c>
      <c r="V210" s="802">
        <f>STDEV(D$2:D210)*SQRT(252)</f>
        <v>0.17551491583407813</v>
      </c>
      <c r="W210" s="802">
        <f>STDEV(L$2:L210)*SQRT(252)</f>
        <v>0.37496263559037396</v>
      </c>
      <c r="X210" s="801">
        <f t="shared" si="63"/>
        <v>-8.8886401828056558E-2</v>
      </c>
      <c r="Y210" s="801">
        <f t="shared" si="64"/>
        <v>-0.58710160168724712</v>
      </c>
      <c r="Z210" s="807">
        <f t="shared" si="65"/>
        <v>-0.16912022704143762</v>
      </c>
    </row>
    <row r="211" spans="1:26" ht="20.100000000000001" customHeight="1" x14ac:dyDescent="0.2">
      <c r="A211" s="776">
        <f t="shared" si="84"/>
        <v>303</v>
      </c>
      <c r="B211" s="795">
        <v>42536</v>
      </c>
      <c r="C211" s="820">
        <v>2071.5</v>
      </c>
      <c r="D211" s="792">
        <f t="shared" si="82"/>
        <v>-1.8406799915194588E-3</v>
      </c>
      <c r="E211" s="819">
        <f t="shared" si="75"/>
        <v>-1.4716234470424866E-2</v>
      </c>
      <c r="F211" s="816">
        <v>4834.93</v>
      </c>
      <c r="G211" s="792">
        <f t="shared" si="76"/>
        <v>-1.7796863870507976E-3</v>
      </c>
      <c r="H211" s="797">
        <f t="shared" si="77"/>
        <v>-5.042912976019788E-2</v>
      </c>
      <c r="I211" s="799">
        <v>325610.21000000002</v>
      </c>
      <c r="J211" s="800">
        <v>400000</v>
      </c>
      <c r="K211" s="800">
        <f t="shared" si="78"/>
        <v>-1581.9799999999814</v>
      </c>
      <c r="L211" s="792">
        <f t="shared" si="83"/>
        <v>-4.8350176084581403E-3</v>
      </c>
      <c r="M211" s="817">
        <f t="shared" si="79"/>
        <v>-74389.789999999979</v>
      </c>
      <c r="N211" s="802">
        <f t="shared" si="74"/>
        <v>-0.18597447499999994</v>
      </c>
      <c r="O211" s="786">
        <f t="shared" si="85"/>
        <v>-0.22418210228960389</v>
      </c>
      <c r="P211" s="817" t="b">
        <f t="shared" si="80"/>
        <v>0</v>
      </c>
      <c r="Q211" s="802">
        <f>COUNTIF(P$2:P211, TRUE)/(COUNTIF(P$2:P211,FALSE) + COUNTIF(P$2:P211, TRUE))</f>
        <v>0.48095238095238096</v>
      </c>
      <c r="R211" s="800">
        <v>269122.73</v>
      </c>
      <c r="S211" s="800">
        <f t="shared" si="81"/>
        <v>56487.48000000004</v>
      </c>
      <c r="T211" s="800">
        <v>-82018</v>
      </c>
      <c r="U211" s="800">
        <f t="shared" si="87"/>
        <v>7628.210000000021</v>
      </c>
      <c r="V211" s="802">
        <f>STDEV(D$2:D211)*SQRT(252)</f>
        <v>0.17510414280535444</v>
      </c>
      <c r="W211" s="802">
        <f>STDEV(L$2:L211)*SQRT(252)</f>
        <v>0.37409419523712373</v>
      </c>
      <c r="X211" s="801">
        <f t="shared" si="63"/>
        <v>-0.10130896385879168</v>
      </c>
      <c r="Y211" s="801">
        <f t="shared" si="64"/>
        <v>-0.59926645519720934</v>
      </c>
      <c r="Z211" s="807">
        <f t="shared" si="65"/>
        <v>-0.17125824052957508</v>
      </c>
    </row>
    <row r="212" spans="1:26" ht="20.100000000000001" customHeight="1" x14ac:dyDescent="0.2">
      <c r="A212" s="776">
        <f t="shared" si="84"/>
        <v>304</v>
      </c>
      <c r="B212" s="795">
        <v>42537</v>
      </c>
      <c r="C212" s="820">
        <v>2077.9899999999998</v>
      </c>
      <c r="D212" s="792">
        <f t="shared" si="82"/>
        <v>3.1329954139511377E-3</v>
      </c>
      <c r="E212" s="819">
        <f t="shared" si="75"/>
        <v>-1.1629344951580198E-2</v>
      </c>
      <c r="F212" s="816">
        <v>4844.91</v>
      </c>
      <c r="G212" s="792">
        <f t="shared" si="76"/>
        <v>2.0641457063493292E-3</v>
      </c>
      <c r="H212" s="797">
        <f t="shared" si="77"/>
        <v>-4.8469077125517991E-2</v>
      </c>
      <c r="I212" s="799">
        <v>321688.28999999998</v>
      </c>
      <c r="J212" s="800">
        <v>400000</v>
      </c>
      <c r="K212" s="800">
        <f t="shared" si="78"/>
        <v>-3921.9200000000419</v>
      </c>
      <c r="L212" s="792">
        <f t="shared" si="83"/>
        <v>-1.2044831149490188E-2</v>
      </c>
      <c r="M212" s="817">
        <f t="shared" si="79"/>
        <v>-78311.710000000021</v>
      </c>
      <c r="N212" s="802">
        <f t="shared" si="74"/>
        <v>-0.19577927500000006</v>
      </c>
      <c r="O212" s="786">
        <f t="shared" si="85"/>
        <v>-0.23522493484786189</v>
      </c>
      <c r="P212" s="817" t="b">
        <f t="shared" si="80"/>
        <v>0</v>
      </c>
      <c r="Q212" s="802">
        <f>COUNTIF(P$2:P212, TRUE)/(COUNTIF(P$2:P212,FALSE) + COUNTIF(P$2:P212, TRUE))</f>
        <v>0.47867298578199052</v>
      </c>
      <c r="R212" s="800">
        <v>270659.01</v>
      </c>
      <c r="S212" s="800">
        <f t="shared" si="81"/>
        <v>51029.27999999997</v>
      </c>
      <c r="T212" s="800">
        <v>-85365</v>
      </c>
      <c r="U212" s="800">
        <f t="shared" si="87"/>
        <v>7053.289999999979</v>
      </c>
      <c r="V212" s="802">
        <f>STDEV(D$2:D212)*SQRT(252)</f>
        <v>0.17471866463196331</v>
      </c>
      <c r="W212" s="802">
        <f>STDEV(L$2:L212)*SQRT(252)</f>
        <v>0.37342122618774559</v>
      </c>
      <c r="X212" s="801">
        <f t="shared" si="63"/>
        <v>-7.997101203933063E-2</v>
      </c>
      <c r="Y212" s="801">
        <f t="shared" si="64"/>
        <v>-0.62991848976897058</v>
      </c>
      <c r="Z212" s="807">
        <f t="shared" si="65"/>
        <v>-0.18414993004841987</v>
      </c>
    </row>
    <row r="213" spans="1:26" ht="20.100000000000001" customHeight="1" x14ac:dyDescent="0.2">
      <c r="A213" s="776">
        <f t="shared" si="84"/>
        <v>305</v>
      </c>
      <c r="B213" s="795">
        <v>42538</v>
      </c>
      <c r="C213" s="820">
        <v>2071.2199999999998</v>
      </c>
      <c r="D213" s="792">
        <f t="shared" si="82"/>
        <v>-3.2579560055630598E-3</v>
      </c>
      <c r="E213" s="819">
        <f t="shared" si="75"/>
        <v>-1.4849413062917493E-2</v>
      </c>
      <c r="F213" s="816">
        <v>4800.34</v>
      </c>
      <c r="G213" s="792">
        <f t="shared" si="76"/>
        <v>-9.1993452922757516E-3</v>
      </c>
      <c r="H213" s="797">
        <f t="shared" si="77"/>
        <v>-5.7222538641318162E-2</v>
      </c>
      <c r="I213" s="799">
        <v>328584.48</v>
      </c>
      <c r="J213" s="800">
        <v>400000</v>
      </c>
      <c r="K213" s="800">
        <f t="shared" si="78"/>
        <v>6896.1900000000023</v>
      </c>
      <c r="L213" s="792">
        <f t="shared" si="83"/>
        <v>2.1437491554324228E-2</v>
      </c>
      <c r="M213" s="817">
        <f t="shared" si="79"/>
        <v>-71415.520000000019</v>
      </c>
      <c r="N213" s="802">
        <f t="shared" si="74"/>
        <v>-0.17853880000000005</v>
      </c>
      <c r="O213" s="786">
        <f t="shared" si="85"/>
        <v>-0.21380753016393447</v>
      </c>
      <c r="P213" s="817" t="b">
        <f t="shared" si="80"/>
        <v>1</v>
      </c>
      <c r="Q213" s="802">
        <f>COUNTIF(P$2:P213, TRUE)/(COUNTIF(P$2:P213,FALSE) + COUNTIF(P$2:P213, TRUE))</f>
        <v>0.48113207547169812</v>
      </c>
      <c r="R213" s="800">
        <v>269293.38</v>
      </c>
      <c r="S213" s="800">
        <f t="shared" si="81"/>
        <v>59291.099999999977</v>
      </c>
      <c r="T213" s="800">
        <v>-78578</v>
      </c>
      <c r="U213" s="800">
        <f t="shared" si="87"/>
        <v>7162.4799999999814</v>
      </c>
      <c r="V213" s="802">
        <f>STDEV(D$2:D213)*SQRT(252)</f>
        <v>0.1743386358196137</v>
      </c>
      <c r="W213" s="802">
        <f>STDEV(L$2:L213)*SQRT(252)</f>
        <v>0.37328913049687473</v>
      </c>
      <c r="X213" s="801">
        <f t="shared" si="63"/>
        <v>-0.10200137589550677</v>
      </c>
      <c r="Y213" s="801">
        <f t="shared" si="64"/>
        <v>-0.5727665573314209</v>
      </c>
      <c r="Z213" s="807">
        <f t="shared" si="65"/>
        <v>-0.16368938693708257</v>
      </c>
    </row>
    <row r="214" spans="1:26" ht="20.100000000000001" customHeight="1" x14ac:dyDescent="0.2">
      <c r="A214" s="776">
        <f t="shared" si="84"/>
        <v>308</v>
      </c>
      <c r="B214" s="824">
        <v>42541</v>
      </c>
      <c r="C214" s="825">
        <v>2083.25</v>
      </c>
      <c r="D214" s="792">
        <f t="shared" si="82"/>
        <v>5.808171029634805E-3</v>
      </c>
      <c r="E214" s="826">
        <f t="shared" si="75"/>
        <v>-9.1274899640418055E-3</v>
      </c>
      <c r="F214" s="827">
        <v>4837.21</v>
      </c>
      <c r="G214" s="792">
        <f t="shared" si="76"/>
        <v>7.6807059499951853E-3</v>
      </c>
      <c r="H214" s="828">
        <f t="shared" si="77"/>
        <v>-4.9981342184339181E-2</v>
      </c>
      <c r="I214" s="829">
        <v>341742.75</v>
      </c>
      <c r="J214" s="830">
        <v>400000</v>
      </c>
      <c r="K214" s="830">
        <f t="shared" si="78"/>
        <v>13158.270000000019</v>
      </c>
      <c r="L214" s="792">
        <f t="shared" si="83"/>
        <v>4.0045318025976211E-2</v>
      </c>
      <c r="M214" s="831">
        <f t="shared" si="79"/>
        <v>-58257.25</v>
      </c>
      <c r="N214" s="832">
        <f t="shared" si="74"/>
        <v>-0.14564312500000001</v>
      </c>
      <c r="O214" s="786">
        <f t="shared" si="85"/>
        <v>-0.17271477729301948</v>
      </c>
      <c r="P214" s="831" t="b">
        <f t="shared" si="80"/>
        <v>1</v>
      </c>
      <c r="Q214" s="832">
        <f>COUNTIF(P$2:P214, TRUE)/(COUNTIF(P$2:P214,FALSE) + COUNTIF(P$2:P214, TRUE))</f>
        <v>0.48356807511737088</v>
      </c>
      <c r="R214" s="830">
        <v>253651.64</v>
      </c>
      <c r="S214" s="830">
        <f t="shared" si="81"/>
        <v>88091.109999999986</v>
      </c>
      <c r="T214" s="830">
        <v>-65989</v>
      </c>
      <c r="U214" s="830">
        <f t="shared" si="87"/>
        <v>7731.75</v>
      </c>
      <c r="V214" s="832">
        <f>STDEV(D$2:D214)*SQRT(252)</f>
        <v>0.1740406908760673</v>
      </c>
      <c r="W214" s="832">
        <f>STDEV(L$2:L214)*SQRT(252)</f>
        <v>0.37498171296802196</v>
      </c>
      <c r="X214" s="801">
        <f t="shared" si="63"/>
        <v>-6.219279482273278E-2</v>
      </c>
      <c r="Y214" s="801">
        <f t="shared" si="64"/>
        <v>-0.46059520056581643</v>
      </c>
      <c r="Z214" s="807">
        <f t="shared" si="65"/>
        <v>-0.1365156350359582</v>
      </c>
    </row>
    <row r="215" spans="1:26" ht="20.100000000000001" customHeight="1" x14ac:dyDescent="0.2">
      <c r="A215" s="776">
        <f t="shared" si="84"/>
        <v>309</v>
      </c>
      <c r="B215" s="824">
        <v>42542</v>
      </c>
      <c r="C215" s="825">
        <v>2088.9</v>
      </c>
      <c r="D215" s="792">
        <f t="shared" si="82"/>
        <v>2.7121084843394171E-3</v>
      </c>
      <c r="E215" s="826">
        <f t="shared" si="75"/>
        <v>-6.4401362226745888E-3</v>
      </c>
      <c r="F215" s="827">
        <v>4843.76</v>
      </c>
      <c r="G215" s="792">
        <f t="shared" si="76"/>
        <v>1.3540863431606611E-3</v>
      </c>
      <c r="H215" s="828">
        <f t="shared" si="77"/>
        <v>-4.8694934894043168E-2</v>
      </c>
      <c r="I215" s="829">
        <v>348811.35</v>
      </c>
      <c r="J215" s="830">
        <v>400000</v>
      </c>
      <c r="K215" s="830">
        <f t="shared" si="78"/>
        <v>7068.5999999999767</v>
      </c>
      <c r="L215" s="792">
        <f t="shared" si="83"/>
        <v>2.0683979396783039E-2</v>
      </c>
      <c r="M215" s="831">
        <f t="shared" si="79"/>
        <v>-51188.650000000023</v>
      </c>
      <c r="N215" s="832">
        <f t="shared" si="74"/>
        <v>-0.12797162500000006</v>
      </c>
      <c r="O215" s="786">
        <f t="shared" si="85"/>
        <v>-0.15126743052184474</v>
      </c>
      <c r="P215" s="831" t="b">
        <f t="shared" si="80"/>
        <v>1</v>
      </c>
      <c r="Q215" s="832">
        <f>COUNTIF(P$2:P215, TRUE)/(COUNTIF(P$2:P215,FALSE) + COUNTIF(P$2:P215, TRUE))</f>
        <v>0.48598130841121495</v>
      </c>
      <c r="R215" s="830">
        <v>239827.20000000001</v>
      </c>
      <c r="S215" s="830">
        <f t="shared" si="81"/>
        <v>108984.14999999997</v>
      </c>
      <c r="T215" s="830">
        <v>-59378</v>
      </c>
      <c r="U215" s="830">
        <f t="shared" si="87"/>
        <v>8189.3499999999767</v>
      </c>
      <c r="V215" s="832">
        <f>STDEV(D$2:D215)*SQRT(252)</f>
        <v>0.17365448408627729</v>
      </c>
      <c r="W215" s="832">
        <f>STDEV(L$2:L215)*SQRT(252)</f>
        <v>0.37477394701034494</v>
      </c>
      <c r="X215" s="801">
        <f t="shared" si="63"/>
        <v>-4.3836997113168734E-2</v>
      </c>
      <c r="Y215" s="801">
        <f t="shared" si="64"/>
        <v>-0.40362312196068761</v>
      </c>
      <c r="Z215" s="807">
        <f t="shared" si="65"/>
        <v>-0.12153148877732547</v>
      </c>
    </row>
    <row r="216" spans="1:26" ht="20.100000000000001" customHeight="1" x14ac:dyDescent="0.2">
      <c r="A216" s="776">
        <f t="shared" si="84"/>
        <v>310</v>
      </c>
      <c r="B216" s="824">
        <v>42543</v>
      </c>
      <c r="C216" s="825">
        <v>2085.4499999999998</v>
      </c>
      <c r="D216" s="792">
        <f t="shared" si="82"/>
        <v>-1.6515869596439622E-3</v>
      </c>
      <c r="E216" s="826">
        <f t="shared" si="75"/>
        <v>-8.081086737314851E-3</v>
      </c>
      <c r="F216" s="827">
        <v>4833.3100000000004</v>
      </c>
      <c r="G216" s="792">
        <f t="shared" si="76"/>
        <v>-2.1574149008208123E-3</v>
      </c>
      <c r="H216" s="828">
        <f t="shared" si="77"/>
        <v>-5.0747294616729076E-2</v>
      </c>
      <c r="I216" s="829">
        <v>345838.5</v>
      </c>
      <c r="J216" s="830">
        <v>400000</v>
      </c>
      <c r="K216" s="830">
        <f t="shared" si="78"/>
        <v>-2972.8499999999767</v>
      </c>
      <c r="L216" s="792">
        <f t="shared" si="83"/>
        <v>-8.5228017952970192E-3</v>
      </c>
      <c r="M216" s="831">
        <f t="shared" si="79"/>
        <v>-54161.5</v>
      </c>
      <c r="N216" s="832">
        <f t="shared" si="74"/>
        <v>-0.13540374999999999</v>
      </c>
      <c r="O216" s="786">
        <f t="shared" si="85"/>
        <v>-0.15953619254032259</v>
      </c>
      <c r="P216" s="831" t="b">
        <f t="shared" si="80"/>
        <v>0</v>
      </c>
      <c r="Q216" s="832">
        <f>COUNTIF(P$2:P216, TRUE)/(COUNTIF(P$2:P216,FALSE) + COUNTIF(P$2:P216, TRUE))</f>
        <v>0.48372093023255813</v>
      </c>
      <c r="R216" s="830">
        <v>250911.65</v>
      </c>
      <c r="S216" s="830">
        <f t="shared" si="81"/>
        <v>94926.85</v>
      </c>
      <c r="T216" s="830">
        <v>-62340</v>
      </c>
      <c r="U216" s="830">
        <f t="shared" si="87"/>
        <v>8178.5</v>
      </c>
      <c r="V216" s="832">
        <f>STDEV(D$2:D216)*SQRT(252)</f>
        <v>0.17325596668423277</v>
      </c>
      <c r="W216" s="832">
        <f>STDEV(L$2:L216)*SQRT(252)</f>
        <v>0.37400942044017926</v>
      </c>
      <c r="X216" s="801">
        <f t="shared" si="63"/>
        <v>-5.4955365291582292E-2</v>
      </c>
      <c r="Y216" s="801">
        <f t="shared" si="64"/>
        <v>-0.42655661547926044</v>
      </c>
      <c r="Z216" s="807">
        <f t="shared" si="65"/>
        <v>-0.12732266326268513</v>
      </c>
    </row>
    <row r="217" spans="1:26" ht="20.100000000000001" customHeight="1" x14ac:dyDescent="0.2">
      <c r="A217" s="776">
        <f t="shared" si="84"/>
        <v>311</v>
      </c>
      <c r="B217" s="824">
        <v>42544</v>
      </c>
      <c r="C217" s="825">
        <v>2113.3200000000002</v>
      </c>
      <c r="D217" s="792">
        <f t="shared" si="82"/>
        <v>1.3364022153492219E-2</v>
      </c>
      <c r="E217" s="826">
        <f t="shared" si="75"/>
        <v>5.1749395939956E-3</v>
      </c>
      <c r="F217" s="827">
        <v>4910.04</v>
      </c>
      <c r="G217" s="792">
        <f t="shared" si="76"/>
        <v>1.5875249052926369E-2</v>
      </c>
      <c r="H217" s="828">
        <f t="shared" si="77"/>
        <v>-3.5677671504605504E-2</v>
      </c>
      <c r="I217" s="829">
        <v>355595.65</v>
      </c>
      <c r="J217" s="830">
        <v>400000</v>
      </c>
      <c r="K217" s="830">
        <f t="shared" si="78"/>
        <v>9757.1500000000233</v>
      </c>
      <c r="L217" s="792">
        <f t="shared" si="83"/>
        <v>2.8213024287348065E-2</v>
      </c>
      <c r="M217" s="831">
        <f t="shared" si="79"/>
        <v>-44404.349999999977</v>
      </c>
      <c r="N217" s="832">
        <f t="shared" si="74"/>
        <v>-0.11101087499999994</v>
      </c>
      <c r="O217" s="786">
        <f t="shared" si="85"/>
        <v>-0.13037531219855297</v>
      </c>
      <c r="P217" s="831" t="b">
        <f t="shared" si="80"/>
        <v>1</v>
      </c>
      <c r="Q217" s="832">
        <f>COUNTIF(P$2:P217, TRUE)/(COUNTIF(P$2:P217,FALSE) + COUNTIF(P$2:P217, TRUE))</f>
        <v>0.4861111111111111</v>
      </c>
      <c r="R217" s="830">
        <v>222188.6</v>
      </c>
      <c r="S217" s="830">
        <f t="shared" si="81"/>
        <v>133407.05000000002</v>
      </c>
      <c r="T217" s="830">
        <v>-52883</v>
      </c>
      <c r="U217" s="830">
        <f t="shared" si="87"/>
        <v>8478.6500000000233</v>
      </c>
      <c r="V217" s="832">
        <f>STDEV(D$2:D217)*SQRT(252)</f>
        <v>0.17345322733352617</v>
      </c>
      <c r="W217" s="832">
        <f>STDEV(L$2:L217)*SQRT(252)</f>
        <v>0.37437996728891731</v>
      </c>
      <c r="X217" s="801">
        <f t="shared" si="63"/>
        <v>3.5039083289911545E-2</v>
      </c>
      <c r="Y217" s="801">
        <f t="shared" si="64"/>
        <v>-0.34824329181571689</v>
      </c>
      <c r="Z217" s="807">
        <f t="shared" si="65"/>
        <v>-0.11618581459399555</v>
      </c>
    </row>
    <row r="218" spans="1:26" ht="20.100000000000001" customHeight="1" x14ac:dyDescent="0.2">
      <c r="A218" s="776">
        <f t="shared" si="84"/>
        <v>312</v>
      </c>
      <c r="B218" s="824">
        <v>42545</v>
      </c>
      <c r="C218" s="825">
        <v>2037.3</v>
      </c>
      <c r="D218" s="792">
        <f t="shared" si="82"/>
        <v>-3.5971835784452996E-2</v>
      </c>
      <c r="E218" s="826">
        <f t="shared" si="75"/>
        <v>-3.0983048267727069E-2</v>
      </c>
      <c r="F218" s="827">
        <v>4707.9799999999996</v>
      </c>
      <c r="G218" s="792">
        <f t="shared" si="76"/>
        <v>-4.1152414236951311E-2</v>
      </c>
      <c r="H218" s="828">
        <f t="shared" si="77"/>
        <v>-7.5361863424789413E-2</v>
      </c>
      <c r="I218" s="829">
        <v>344597.21</v>
      </c>
      <c r="J218" s="830">
        <v>400000</v>
      </c>
      <c r="K218" s="830">
        <f t="shared" si="78"/>
        <v>-10998.440000000002</v>
      </c>
      <c r="L218" s="792">
        <f t="shared" si="83"/>
        <v>-3.092962470153952E-2</v>
      </c>
      <c r="M218" s="831">
        <f t="shared" si="79"/>
        <v>-55402.789999999979</v>
      </c>
      <c r="N218" s="832">
        <f t="shared" si="74"/>
        <v>-0.13850697499999995</v>
      </c>
      <c r="O218" s="786">
        <f t="shared" si="85"/>
        <v>-0.16214638659855762</v>
      </c>
      <c r="P218" s="831" t="b">
        <f t="shared" si="80"/>
        <v>1</v>
      </c>
      <c r="Q218" s="832">
        <f>COUNTIF(P$2:P218, TRUE)/(COUNTIF(P$2:P218,FALSE) + COUNTIF(P$2:P218, TRUE))</f>
        <v>0.48847926267281105</v>
      </c>
      <c r="R218" s="830">
        <v>292212.87</v>
      </c>
      <c r="S218" s="830">
        <f t="shared" si="81"/>
        <v>52384.340000000026</v>
      </c>
      <c r="T218" s="830">
        <v>-60319</v>
      </c>
      <c r="U218" s="830">
        <f t="shared" si="87"/>
        <v>4916.210000000021</v>
      </c>
      <c r="V218" s="832">
        <f>STDEV(D$2:D218)*SQRT(252)</f>
        <v>0.17737738991567559</v>
      </c>
      <c r="W218" s="832">
        <f>STDEV(L$2:L218)*SQRT(252)</f>
        <v>0.37501491948250398</v>
      </c>
      <c r="X218" s="801">
        <f t="shared" si="63"/>
        <v>-0.2044850274619518</v>
      </c>
      <c r="Y218" s="801">
        <f t="shared" si="64"/>
        <v>-0.43237316217261174</v>
      </c>
      <c r="Z218" s="807">
        <f t="shared" si="65"/>
        <v>-0.10752392673227287</v>
      </c>
    </row>
    <row r="219" spans="1:26" ht="20.100000000000001" customHeight="1" x14ac:dyDescent="0.2">
      <c r="A219" s="776">
        <f t="shared" si="84"/>
        <v>315</v>
      </c>
      <c r="B219" s="795">
        <v>42548</v>
      </c>
      <c r="C219" s="820">
        <v>2000.54</v>
      </c>
      <c r="D219" s="792">
        <f t="shared" si="82"/>
        <v>-1.8043488931428847E-2</v>
      </c>
      <c r="E219" s="819">
        <f t="shared" si="75"/>
        <v>-4.8467494910675257E-2</v>
      </c>
      <c r="F219" s="816">
        <v>4594.4399999999996</v>
      </c>
      <c r="G219" s="792">
        <f t="shared" si="76"/>
        <v>-2.4116500070093749E-2</v>
      </c>
      <c r="H219" s="797">
        <f t="shared" si="77"/>
        <v>-9.7660899110316834E-2</v>
      </c>
      <c r="I219" s="799">
        <v>328090.52</v>
      </c>
      <c r="J219" s="800">
        <v>400000</v>
      </c>
      <c r="K219" s="800">
        <f t="shared" si="78"/>
        <v>-16506.690000000002</v>
      </c>
      <c r="L219" s="792">
        <f t="shared" si="83"/>
        <v>-4.7901403496563424E-2</v>
      </c>
      <c r="M219" s="817">
        <f t="shared" si="79"/>
        <v>-71909.479999999981</v>
      </c>
      <c r="N219" s="802">
        <f t="shared" si="74"/>
        <v>-0.17977369999999995</v>
      </c>
      <c r="O219" s="786">
        <f t="shared" si="85"/>
        <v>-0.20845188547619042</v>
      </c>
      <c r="P219" s="817" t="b">
        <f t="shared" si="80"/>
        <v>0</v>
      </c>
      <c r="Q219" s="802">
        <f>COUNTIF(P$2:P219, TRUE)/(COUNTIF(P$2:P219,FALSE) + COUNTIF(P$2:P219, TRUE))</f>
        <v>0.48623853211009177</v>
      </c>
      <c r="R219" s="800">
        <v>330827.23</v>
      </c>
      <c r="S219" s="800">
        <f t="shared" si="81"/>
        <v>-2736.7099999999627</v>
      </c>
      <c r="T219" s="800">
        <v>-73004</v>
      </c>
      <c r="U219" s="800">
        <f t="shared" si="87"/>
        <v>1094.5200000000186</v>
      </c>
      <c r="V219" s="802">
        <f>STDEV(D$2:D219)*SQRT(252)</f>
        <v>0.17802153758815042</v>
      </c>
      <c r="W219" s="802">
        <f>STDEV(L$2:L219)*SQRT(252)</f>
        <v>0.37769251793384978</v>
      </c>
      <c r="X219" s="801">
        <f t="shared" ref="X219:X282" si="88">E219/(A219/365.25)/V219</f>
        <v>-0.31568772575663223</v>
      </c>
      <c r="Y219" s="801">
        <f t="shared" ref="Y219:Y282" si="89">O219/W219</f>
        <v>-0.55190896186272698</v>
      </c>
      <c r="Z219" s="807">
        <f t="shared" ref="Z219:Z282" si="90">-(E219-N219)</f>
        <v>-0.1313062050893247</v>
      </c>
    </row>
    <row r="220" spans="1:26" ht="20.100000000000001" customHeight="1" x14ac:dyDescent="0.2">
      <c r="A220" s="776">
        <f t="shared" si="84"/>
        <v>316</v>
      </c>
      <c r="B220" s="795">
        <v>42549</v>
      </c>
      <c r="C220" s="820">
        <v>2036.09</v>
      </c>
      <c r="D220" s="792">
        <f t="shared" si="82"/>
        <v>1.7770202045447707E-2</v>
      </c>
      <c r="E220" s="819">
        <f t="shared" si="75"/>
        <v>-3.1558570042426959E-2</v>
      </c>
      <c r="F220" s="816">
        <v>4691.8599999999997</v>
      </c>
      <c r="G220" s="792">
        <f t="shared" si="76"/>
        <v>2.1203889919119649E-2</v>
      </c>
      <c r="H220" s="797">
        <f t="shared" si="77"/>
        <v>-7.85278001453346E-2</v>
      </c>
      <c r="I220" s="799">
        <v>347315.97</v>
      </c>
      <c r="J220" s="800">
        <v>400000</v>
      </c>
      <c r="K220" s="800">
        <f t="shared" si="78"/>
        <v>19225.449999999953</v>
      </c>
      <c r="L220" s="792">
        <f t="shared" ref="L220:L247" si="91">K220/I219</f>
        <v>5.8598005209050091E-2</v>
      </c>
      <c r="M220" s="817">
        <f t="shared" si="79"/>
        <v>-52684.030000000028</v>
      </c>
      <c r="N220" s="802">
        <f t="shared" si="74"/>
        <v>-0.13171007500000007</v>
      </c>
      <c r="O220" s="786">
        <f t="shared" si="85"/>
        <v>-0.15223767371439881</v>
      </c>
      <c r="P220" s="817" t="b">
        <f t="shared" si="80"/>
        <v>1</v>
      </c>
      <c r="Q220" s="802">
        <f>COUNTIF(P$2:P220, TRUE)/(COUNTIF(P$2:P220,FALSE) + COUNTIF(P$2:P220, TRUE))</f>
        <v>0.48858447488584472</v>
      </c>
      <c r="R220" s="800">
        <v>324005.03999999998</v>
      </c>
      <c r="S220" s="800">
        <f t="shared" si="81"/>
        <v>23310.929999999993</v>
      </c>
      <c r="T220" s="800">
        <v>-57120</v>
      </c>
      <c r="U220" s="800">
        <f t="shared" si="87"/>
        <v>4435.9699999999721</v>
      </c>
      <c r="V220" s="802">
        <f>STDEV(D$2:D220)*SQRT(252)</f>
        <v>0.17865473175577545</v>
      </c>
      <c r="W220" s="802">
        <f>STDEV(L$2:L220)*SQRT(252)</f>
        <v>0.38208789279178124</v>
      </c>
      <c r="X220" s="801">
        <f t="shared" si="88"/>
        <v>-0.2041765848656821</v>
      </c>
      <c r="Y220" s="801">
        <f t="shared" si="89"/>
        <v>-0.39843626711658386</v>
      </c>
      <c r="Z220" s="807">
        <f t="shared" si="90"/>
        <v>-0.10015150495757311</v>
      </c>
    </row>
    <row r="221" spans="1:26" ht="20.100000000000001" customHeight="1" x14ac:dyDescent="0.2">
      <c r="A221" s="776">
        <f t="shared" si="84"/>
        <v>317</v>
      </c>
      <c r="B221" s="795">
        <v>42550</v>
      </c>
      <c r="C221" s="820">
        <v>2070.77</v>
      </c>
      <c r="D221" s="792">
        <f t="shared" si="82"/>
        <v>1.7032645904650614E-2</v>
      </c>
      <c r="E221" s="819">
        <f t="shared" si="75"/>
        <v>-1.506345008656612E-2</v>
      </c>
      <c r="F221" s="816">
        <v>4779.24</v>
      </c>
      <c r="G221" s="792">
        <f t="shared" si="76"/>
        <v>1.8623744101486428E-2</v>
      </c>
      <c r="H221" s="797">
        <f t="shared" si="77"/>
        <v>-6.1366537698607546E-2</v>
      </c>
      <c r="I221" s="799">
        <v>354799.59</v>
      </c>
      <c r="J221" s="800">
        <v>400000</v>
      </c>
      <c r="K221" s="800">
        <f t="shared" si="78"/>
        <v>7483.6200000000536</v>
      </c>
      <c r="L221" s="792">
        <f t="shared" si="91"/>
        <v>2.154700804572866E-2</v>
      </c>
      <c r="M221" s="817">
        <f t="shared" si="79"/>
        <v>-45200.409999999974</v>
      </c>
      <c r="N221" s="802">
        <f t="shared" si="74"/>
        <v>-0.11300102499999994</v>
      </c>
      <c r="O221" s="786">
        <f t="shared" si="85"/>
        <v>-0.13020070782728699</v>
      </c>
      <c r="P221" s="817" t="b">
        <f t="shared" si="80"/>
        <v>1</v>
      </c>
      <c r="Q221" s="802">
        <f>COUNTIF(P$2:P221, TRUE)/(COUNTIF(P$2:P221,FALSE) + COUNTIF(P$2:P221, TRUE))</f>
        <v>0.49090909090909091</v>
      </c>
      <c r="R221" s="800">
        <v>321658.87</v>
      </c>
      <c r="S221" s="800">
        <f t="shared" si="81"/>
        <v>33140.72000000003</v>
      </c>
      <c r="T221" s="800">
        <v>-52035</v>
      </c>
      <c r="U221" s="800">
        <f t="shared" si="87"/>
        <v>6834.5900000000256</v>
      </c>
      <c r="V221" s="802">
        <f>STDEV(D$2:D221)*SQRT(252)</f>
        <v>0.17918768492627107</v>
      </c>
      <c r="W221" s="802">
        <f>STDEV(L$2:L221)*SQRT(252)</f>
        <v>0.38190631702856759</v>
      </c>
      <c r="X221" s="801">
        <f t="shared" si="88"/>
        <v>-9.6860622679984312E-2</v>
      </c>
      <c r="Y221" s="801">
        <f t="shared" si="89"/>
        <v>-0.34092315843402937</v>
      </c>
      <c r="Z221" s="807">
        <f t="shared" si="90"/>
        <v>-9.7937574913433814E-2</v>
      </c>
    </row>
    <row r="222" spans="1:26" ht="20.100000000000001" customHeight="1" x14ac:dyDescent="0.2">
      <c r="A222" s="776">
        <f t="shared" si="84"/>
        <v>318</v>
      </c>
      <c r="B222" s="795">
        <v>42551</v>
      </c>
      <c r="C222" s="820">
        <v>2098.86</v>
      </c>
      <c r="D222" s="792">
        <f t="shared" si="82"/>
        <v>1.3565002390415229E-2</v>
      </c>
      <c r="E222" s="819">
        <f t="shared" si="75"/>
        <v>-1.7027834325830592E-3</v>
      </c>
      <c r="F222" s="816">
        <v>4842.67</v>
      </c>
      <c r="G222" s="792">
        <f t="shared" si="76"/>
        <v>1.3271984667018248E-2</v>
      </c>
      <c r="H222" s="797">
        <f t="shared" si="77"/>
        <v>-4.8909008778993214E-2</v>
      </c>
      <c r="I222" s="822">
        <v>358404.16</v>
      </c>
      <c r="J222" s="800">
        <v>400000</v>
      </c>
      <c r="K222" s="800">
        <f t="shared" si="78"/>
        <v>3604.5699999999488</v>
      </c>
      <c r="L222" s="792">
        <f t="shared" si="91"/>
        <v>1.0159453679188154E-2</v>
      </c>
      <c r="M222" s="817">
        <f t="shared" si="79"/>
        <v>-41595.840000000026</v>
      </c>
      <c r="N222" s="802">
        <f t="shared" ref="N222:N253" si="92">M222/J222</f>
        <v>-0.10398960000000007</v>
      </c>
      <c r="O222" s="786">
        <f t="shared" si="85"/>
        <v>-0.11944088490566046</v>
      </c>
      <c r="P222" s="817" t="b">
        <f t="shared" si="80"/>
        <v>0</v>
      </c>
      <c r="Q222" s="802">
        <f>COUNTIF(P$2:P222, TRUE)/(COUNTIF(P$2:P222,FALSE) + COUNTIF(P$2:P222, TRUE))</f>
        <v>0.48868778280542985</v>
      </c>
      <c r="R222" s="800">
        <v>320795.08</v>
      </c>
      <c r="S222" s="800">
        <f t="shared" si="81"/>
        <v>37609.079999999958</v>
      </c>
      <c r="T222" s="800">
        <v>-50056</v>
      </c>
      <c r="U222" s="800">
        <f t="shared" si="87"/>
        <v>8460.1599999999744</v>
      </c>
      <c r="V222" s="802">
        <f>STDEV(D$2:D222)*SQRT(252)</f>
        <v>0.17936712847918884</v>
      </c>
      <c r="W222" s="802">
        <f>STDEV(L$2:L222)*SQRT(252)</f>
        <v>0.38118352520471832</v>
      </c>
      <c r="X222" s="801">
        <f t="shared" si="88"/>
        <v>-1.0903844895417325E-2</v>
      </c>
      <c r="Y222" s="801">
        <f t="shared" si="89"/>
        <v>-0.31334220134911017</v>
      </c>
      <c r="Z222" s="807">
        <f t="shared" si="90"/>
        <v>-0.102286816567417</v>
      </c>
    </row>
    <row r="223" spans="1:26" ht="20.100000000000001" customHeight="1" x14ac:dyDescent="0.2">
      <c r="A223" s="776">
        <f t="shared" si="84"/>
        <v>319</v>
      </c>
      <c r="B223" s="795">
        <v>42552</v>
      </c>
      <c r="C223" s="820">
        <v>2102.9499999999998</v>
      </c>
      <c r="D223" s="792">
        <f t="shared" si="82"/>
        <v>1.9486769007936169E-3</v>
      </c>
      <c r="E223" s="819">
        <f t="shared" si="75"/>
        <v>2.4257529346842884E-4</v>
      </c>
      <c r="F223" s="816">
        <v>4862.59</v>
      </c>
      <c r="G223" s="792">
        <f t="shared" si="76"/>
        <v>4.1134332919649848E-3</v>
      </c>
      <c r="H223" s="797">
        <f t="shared" si="77"/>
        <v>-4.4996759432016746E-2</v>
      </c>
      <c r="I223" s="799">
        <v>358860.97</v>
      </c>
      <c r="J223" s="800">
        <v>400000</v>
      </c>
      <c r="K223" s="800">
        <f t="shared" si="78"/>
        <v>456.80999999999767</v>
      </c>
      <c r="L223" s="792">
        <f t="shared" si="91"/>
        <v>1.2745666791367535E-3</v>
      </c>
      <c r="M223" s="817">
        <f t="shared" si="79"/>
        <v>-41139.030000000028</v>
      </c>
      <c r="N223" s="802">
        <f t="shared" si="92"/>
        <v>-0.10284757500000007</v>
      </c>
      <c r="O223" s="786">
        <f t="shared" si="85"/>
        <v>-0.11775886134404397</v>
      </c>
      <c r="P223" s="817" t="b">
        <f t="shared" si="80"/>
        <v>0</v>
      </c>
      <c r="Q223" s="802">
        <f>COUNTIF(P$2:P223, TRUE)/(COUNTIF(P$2:P223,FALSE) + COUNTIF(P$2:P223, TRUE))</f>
        <v>0.48648648648648651</v>
      </c>
      <c r="R223" s="800">
        <v>272845.65000000002</v>
      </c>
      <c r="S223" s="800">
        <f t="shared" si="81"/>
        <v>86015.319999999949</v>
      </c>
      <c r="T223" s="800">
        <v>-51775</v>
      </c>
      <c r="U223" s="800">
        <f t="shared" si="87"/>
        <v>10635.969999999972</v>
      </c>
      <c r="V223" s="802">
        <f>STDEV(D$2:D223)*SQRT(252)</f>
        <v>0.17897042454940121</v>
      </c>
      <c r="W223" s="802">
        <f>STDEV(L$2:L223)*SQRT(252)</f>
        <v>0.3803179125579893</v>
      </c>
      <c r="X223" s="801">
        <f t="shared" si="88"/>
        <v>1.5519039506111125E-3</v>
      </c>
      <c r="Y223" s="801">
        <f t="shared" si="89"/>
        <v>-0.30963269795000409</v>
      </c>
      <c r="Z223" s="807">
        <f t="shared" si="90"/>
        <v>-0.10309015029346849</v>
      </c>
    </row>
    <row r="224" spans="1:26" ht="20.100000000000001" customHeight="1" x14ac:dyDescent="0.2">
      <c r="A224" s="776">
        <f t="shared" si="84"/>
        <v>323</v>
      </c>
      <c r="B224" s="824">
        <v>42556</v>
      </c>
      <c r="C224" s="825">
        <v>2088.5500000000002</v>
      </c>
      <c r="D224" s="792">
        <f t="shared" si="82"/>
        <v>-6.847523716683534E-3</v>
      </c>
      <c r="E224" s="826">
        <f t="shared" ref="E224:E255" si="93">(C224-$C$2)/$C$2</f>
        <v>-6.6066094632902111E-3</v>
      </c>
      <c r="F224" s="827">
        <v>4822.8999999999996</v>
      </c>
      <c r="G224" s="792">
        <f t="shared" si="76"/>
        <v>-8.1623167900235286E-3</v>
      </c>
      <c r="H224" s="828">
        <f t="shared" ref="H224:H255" si="94">(F224-F$2)/F$2</f>
        <v>-5.2791798417031674E-2</v>
      </c>
      <c r="I224" s="829">
        <v>346939.19</v>
      </c>
      <c r="J224" s="830">
        <v>400000</v>
      </c>
      <c r="K224" s="830">
        <f t="shared" ref="K224:K255" si="95">I224-I223-J224+J223</f>
        <v>-11921.77999999997</v>
      </c>
      <c r="L224" s="792">
        <f t="shared" si="91"/>
        <v>-3.3221166403245163E-2</v>
      </c>
      <c r="M224" s="831">
        <f t="shared" ref="M224:M253" si="96">I224-J224</f>
        <v>-53060.81</v>
      </c>
      <c r="N224" s="832">
        <f t="shared" si="92"/>
        <v>-0.13265202500000001</v>
      </c>
      <c r="O224" s="786">
        <f t="shared" si="85"/>
        <v>-0.15000356696981426</v>
      </c>
      <c r="P224" s="831" t="b">
        <f t="shared" ref="P224:P255" si="97">L224&gt;D224</f>
        <v>0</v>
      </c>
      <c r="Q224" s="832">
        <f>COUNTIF(P$2:P224, TRUE)/(COUNTIF(P$2:P224,FALSE) + COUNTIF(P$2:P224, TRUE))</f>
        <v>0.48430493273542602</v>
      </c>
      <c r="R224" s="830">
        <v>313798.31</v>
      </c>
      <c r="S224" s="830">
        <f t="shared" si="81"/>
        <v>33140.880000000005</v>
      </c>
      <c r="T224" s="830">
        <v>-60102</v>
      </c>
      <c r="U224" s="830">
        <f t="shared" si="87"/>
        <v>7041.1900000000023</v>
      </c>
      <c r="V224" s="832">
        <f>STDEV(D$2:D224)*SQRT(252)</f>
        <v>0.1787168459746149</v>
      </c>
      <c r="W224" s="832">
        <f>STDEV(L$2:L224)*SQRT(252)</f>
        <v>0.38112496311245453</v>
      </c>
      <c r="X224" s="801">
        <f t="shared" si="88"/>
        <v>-4.1802364329933145E-2</v>
      </c>
      <c r="Y224" s="801">
        <f t="shared" si="89"/>
        <v>-0.39358105998833326</v>
      </c>
      <c r="Z224" s="807">
        <f t="shared" si="90"/>
        <v>-0.12604541553670978</v>
      </c>
    </row>
    <row r="225" spans="1:26" ht="20.100000000000001" customHeight="1" x14ac:dyDescent="0.2">
      <c r="A225" s="776">
        <f t="shared" si="84"/>
        <v>324</v>
      </c>
      <c r="B225" s="824">
        <v>42557</v>
      </c>
      <c r="C225" s="825">
        <v>2088.5500000000002</v>
      </c>
      <c r="D225" s="792">
        <f t="shared" si="82"/>
        <v>0</v>
      </c>
      <c r="E225" s="826">
        <f t="shared" si="93"/>
        <v>-6.6066094632902111E-3</v>
      </c>
      <c r="F225" s="827">
        <v>4859.16</v>
      </c>
      <c r="G225" s="792">
        <f t="shared" si="76"/>
        <v>7.5182981193887954E-3</v>
      </c>
      <c r="H225" s="828">
        <f t="shared" si="94"/>
        <v>-4.5670404776400803E-2</v>
      </c>
      <c r="I225" s="829">
        <v>347494.51</v>
      </c>
      <c r="J225" s="830">
        <v>400000</v>
      </c>
      <c r="K225" s="830">
        <f t="shared" si="95"/>
        <v>555.32000000000698</v>
      </c>
      <c r="L225" s="792">
        <f t="shared" si="91"/>
        <v>1.6006263230164543E-3</v>
      </c>
      <c r="M225" s="831">
        <f t="shared" si="96"/>
        <v>-52505.489999999991</v>
      </c>
      <c r="N225" s="832">
        <f t="shared" si="92"/>
        <v>-0.13126372499999997</v>
      </c>
      <c r="O225" s="786">
        <f t="shared" si="85"/>
        <v>-0.14797554184027772</v>
      </c>
      <c r="P225" s="831" t="b">
        <f t="shared" si="97"/>
        <v>1</v>
      </c>
      <c r="Q225" s="832">
        <f>COUNTIF(P$2:P225, TRUE)/(COUNTIF(P$2:P225,FALSE) + COUNTIF(P$2:P225, TRUE))</f>
        <v>0.48660714285714285</v>
      </c>
      <c r="R225" s="830">
        <v>315793.82</v>
      </c>
      <c r="S225" s="830">
        <f t="shared" si="81"/>
        <v>31700.690000000002</v>
      </c>
      <c r="T225" s="830">
        <v>-60101</v>
      </c>
      <c r="U225" s="830">
        <f t="shared" si="87"/>
        <v>7595.5100000000093</v>
      </c>
      <c r="V225" s="832">
        <f>STDEV(D$2:D225)*SQRT(252)</f>
        <v>0.17831387977448732</v>
      </c>
      <c r="W225" s="832">
        <f>STDEV(L$2:L225)*SQRT(252)</f>
        <v>0.38026911407606601</v>
      </c>
      <c r="X225" s="801">
        <f t="shared" si="88"/>
        <v>-4.1767521031351645E-2</v>
      </c>
      <c r="Y225" s="801">
        <f t="shared" si="89"/>
        <v>-0.38913373808917301</v>
      </c>
      <c r="Z225" s="807">
        <f t="shared" si="90"/>
        <v>-0.12465711553670976</v>
      </c>
    </row>
    <row r="226" spans="1:26" ht="20.100000000000001" customHeight="1" x14ac:dyDescent="0.2">
      <c r="A226" s="776">
        <f t="shared" si="84"/>
        <v>325</v>
      </c>
      <c r="B226" s="824">
        <v>42558</v>
      </c>
      <c r="C226" s="825">
        <v>2088.5500000000002</v>
      </c>
      <c r="D226" s="792">
        <f t="shared" si="82"/>
        <v>0</v>
      </c>
      <c r="E226" s="826">
        <f t="shared" si="93"/>
        <v>-6.6066094632902111E-3</v>
      </c>
      <c r="F226" s="827">
        <v>4876.8</v>
      </c>
      <c r="G226" s="792">
        <f t="shared" si="76"/>
        <v>3.630257081470939E-3</v>
      </c>
      <c r="H226" s="828">
        <f t="shared" si="94"/>
        <v>-4.2205943005283041E-2</v>
      </c>
      <c r="I226" s="829">
        <v>350011.84</v>
      </c>
      <c r="J226" s="830">
        <v>400000</v>
      </c>
      <c r="K226" s="830">
        <f t="shared" si="95"/>
        <v>2517.3300000000163</v>
      </c>
      <c r="L226" s="792">
        <f t="shared" si="91"/>
        <v>7.2442295563173538E-3</v>
      </c>
      <c r="M226" s="831">
        <f t="shared" si="96"/>
        <v>-49988.159999999974</v>
      </c>
      <c r="N226" s="832">
        <f t="shared" si="92"/>
        <v>-0.12497039999999994</v>
      </c>
      <c r="O226" s="786">
        <f t="shared" si="85"/>
        <v>-0.14044750338461531</v>
      </c>
      <c r="P226" s="831" t="b">
        <f t="shared" si="97"/>
        <v>1</v>
      </c>
      <c r="Q226" s="832">
        <f>COUNTIF(P$2:P226, TRUE)/(COUNTIF(P$2:P226,FALSE) + COUNTIF(P$2:P226, TRUE))</f>
        <v>0.48888888888888887</v>
      </c>
      <c r="R226" s="830">
        <v>315794.82</v>
      </c>
      <c r="S226" s="830">
        <f t="shared" si="81"/>
        <v>34217.020000000019</v>
      </c>
      <c r="T226" s="830">
        <v>-60100</v>
      </c>
      <c r="U226" s="830">
        <f t="shared" si="87"/>
        <v>10111.840000000026</v>
      </c>
      <c r="V226" s="832">
        <f>STDEV(D$2:D226)*SQRT(252)</f>
        <v>0.17791362713368658</v>
      </c>
      <c r="W226" s="832">
        <f>STDEV(L$2:L226)*SQRT(252)</f>
        <v>0.3794918182893931</v>
      </c>
      <c r="X226" s="801">
        <f t="shared" si="88"/>
        <v>-4.1732680935694752E-2</v>
      </c>
      <c r="Y226" s="801">
        <f t="shared" si="89"/>
        <v>-0.37009362683417002</v>
      </c>
      <c r="Z226" s="807">
        <f t="shared" si="90"/>
        <v>-0.11836379053670973</v>
      </c>
    </row>
    <row r="227" spans="1:26" ht="20.100000000000001" customHeight="1" x14ac:dyDescent="0.2">
      <c r="A227" s="776">
        <f t="shared" si="84"/>
        <v>326</v>
      </c>
      <c r="B227" s="824">
        <v>42559</v>
      </c>
      <c r="C227" s="825">
        <v>2088.5500000000002</v>
      </c>
      <c r="D227" s="792">
        <f t="shared" si="82"/>
        <v>0</v>
      </c>
      <c r="E227" s="826">
        <f t="shared" si="93"/>
        <v>-6.6066094632902111E-3</v>
      </c>
      <c r="F227" s="827">
        <v>4956.75</v>
      </c>
      <c r="G227" s="792">
        <f t="shared" si="76"/>
        <v>1.6393946850393661E-2</v>
      </c>
      <c r="H227" s="828">
        <f t="shared" si="94"/>
        <v>-2.6503918141288729E-2</v>
      </c>
      <c r="I227" s="829">
        <f>356591.17-44.77</f>
        <v>356546.39999999997</v>
      </c>
      <c r="J227" s="830">
        <v>400000</v>
      </c>
      <c r="K227" s="830">
        <f t="shared" si="95"/>
        <v>6534.5599999999395</v>
      </c>
      <c r="L227" s="792">
        <f t="shared" si="91"/>
        <v>1.8669539864708401E-2</v>
      </c>
      <c r="M227" s="831">
        <f t="shared" si="96"/>
        <v>-43453.600000000035</v>
      </c>
      <c r="N227" s="832">
        <f t="shared" si="92"/>
        <v>-0.10863400000000009</v>
      </c>
      <c r="O227" s="786">
        <f t="shared" si="85"/>
        <v>-0.12171340030674857</v>
      </c>
      <c r="P227" s="831" t="b">
        <f t="shared" si="97"/>
        <v>1</v>
      </c>
      <c r="Q227" s="832">
        <f>COUNTIF(P$2:P227, TRUE)/(COUNTIF(P$2:P227,FALSE) + COUNTIF(P$2:P227, TRUE))</f>
        <v>0.49115044247787609</v>
      </c>
      <c r="R227" s="830">
        <v>317292.78000000003</v>
      </c>
      <c r="S227" s="830">
        <f t="shared" si="81"/>
        <v>39253.619999999937</v>
      </c>
      <c r="T227" s="830">
        <v>-54317</v>
      </c>
      <c r="U227" s="830">
        <f t="shared" si="87"/>
        <v>10863.399999999965</v>
      </c>
      <c r="V227" s="832">
        <f>STDEV(D$2:D227)*SQRT(252)</f>
        <v>0.17751605773328505</v>
      </c>
      <c r="W227" s="832">
        <f>STDEV(L$2:L227)*SQRT(252)</f>
        <v>0.37915328642285256</v>
      </c>
      <c r="X227" s="801">
        <f t="shared" si="88"/>
        <v>-4.169784542828521E-2</v>
      </c>
      <c r="Y227" s="801">
        <f t="shared" si="89"/>
        <v>-0.32101370254511552</v>
      </c>
      <c r="Z227" s="807">
        <f t="shared" si="90"/>
        <v>-0.10202739053670988</v>
      </c>
    </row>
    <row r="228" spans="1:26" ht="20.100000000000001" customHeight="1" x14ac:dyDescent="0.2">
      <c r="A228" s="776">
        <f t="shared" si="84"/>
        <v>329</v>
      </c>
      <c r="B228" s="795">
        <v>42562</v>
      </c>
      <c r="C228" s="820">
        <v>2137.16</v>
      </c>
      <c r="D228" s="792">
        <f t="shared" si="82"/>
        <v>2.3274520600416397E-2</v>
      </c>
      <c r="E228" s="819">
        <f t="shared" si="93"/>
        <v>1.6514145469073933E-2</v>
      </c>
      <c r="F228" s="816">
        <v>4988.63</v>
      </c>
      <c r="G228" s="792">
        <f t="shared" si="76"/>
        <v>6.4316336309073706E-3</v>
      </c>
      <c r="H228" s="797">
        <f t="shared" si="94"/>
        <v>-2.0242748001649689E-2</v>
      </c>
      <c r="I228" s="799">
        <v>356544.06</v>
      </c>
      <c r="J228" s="800">
        <v>400000</v>
      </c>
      <c r="K228" s="800">
        <f t="shared" si="95"/>
        <v>-2.3399999999674037</v>
      </c>
      <c r="L228" s="792">
        <f t="shared" si="91"/>
        <v>-6.5629606692632545E-6</v>
      </c>
      <c r="M228" s="817">
        <f t="shared" si="96"/>
        <v>-43455.94</v>
      </c>
      <c r="N228" s="802">
        <f t="shared" si="92"/>
        <v>-0.10863985000000001</v>
      </c>
      <c r="O228" s="786">
        <f t="shared" si="85"/>
        <v>-0.12061004623860183</v>
      </c>
      <c r="P228" s="817" t="b">
        <f t="shared" si="97"/>
        <v>0</v>
      </c>
      <c r="Q228" s="802">
        <f>COUNTIF(P$2:P228, TRUE)/(COUNTIF(P$2:P228,FALSE) + COUNTIF(P$2:P228, TRUE))</f>
        <v>0.48898678414096919</v>
      </c>
      <c r="R228" s="800">
        <v>315114.71999999997</v>
      </c>
      <c r="S228" s="800">
        <f t="shared" si="81"/>
        <v>41429.340000000026</v>
      </c>
      <c r="T228" s="800">
        <v>-55783</v>
      </c>
      <c r="U228" s="800">
        <f t="shared" si="87"/>
        <v>12327.059999999998</v>
      </c>
      <c r="V228" s="802">
        <f>STDEV(D$2:D228)*SQRT(252)</f>
        <v>0.17881334891320599</v>
      </c>
      <c r="W228" s="802">
        <f>STDEV(L$2:L228)*SQRT(252)</f>
        <v>0.37830983950867753</v>
      </c>
      <c r="X228" s="801">
        <f t="shared" si="88"/>
        <v>0.10252989097493433</v>
      </c>
      <c r="Y228" s="801">
        <f t="shared" si="89"/>
        <v>-0.31881287146864001</v>
      </c>
      <c r="Z228" s="807">
        <f t="shared" si="90"/>
        <v>-0.12515399546907394</v>
      </c>
    </row>
    <row r="229" spans="1:26" ht="20.100000000000001" customHeight="1" x14ac:dyDescent="0.2">
      <c r="A229" s="776">
        <f t="shared" si="84"/>
        <v>330</v>
      </c>
      <c r="B229" s="795">
        <v>42563</v>
      </c>
      <c r="C229" s="820">
        <v>2152.14</v>
      </c>
      <c r="D229" s="792">
        <f t="shared" si="82"/>
        <v>7.0093020644219524E-3</v>
      </c>
      <c r="E229" s="819">
        <f t="shared" si="93"/>
        <v>2.3639200167424428E-2</v>
      </c>
      <c r="F229" s="816">
        <v>5022.82</v>
      </c>
      <c r="G229" s="792">
        <f t="shared" si="76"/>
        <v>6.8535850524090985E-3</v>
      </c>
      <c r="H229" s="797">
        <f t="shared" si="94"/>
        <v>-1.3527898344364379E-2</v>
      </c>
      <c r="I229" s="799">
        <v>371135.11</v>
      </c>
      <c r="J229" s="800">
        <v>400000</v>
      </c>
      <c r="K229" s="800">
        <f t="shared" si="95"/>
        <v>14591.049999999988</v>
      </c>
      <c r="L229" s="792">
        <f t="shared" si="91"/>
        <v>4.092355373975376E-2</v>
      </c>
      <c r="M229" s="817">
        <f t="shared" si="96"/>
        <v>-28864.890000000014</v>
      </c>
      <c r="N229" s="802">
        <f t="shared" si="92"/>
        <v>-7.2162225000000038E-2</v>
      </c>
      <c r="O229" s="786">
        <f t="shared" si="85"/>
        <v>-7.9870462670454598E-2</v>
      </c>
      <c r="P229" s="817" t="b">
        <f t="shared" si="97"/>
        <v>1</v>
      </c>
      <c r="Q229" s="802">
        <f>COUNTIF(P$2:P229, TRUE)/(COUNTIF(P$2:P229,FALSE) + COUNTIF(P$2:P229, TRUE))</f>
        <v>0.49122807017543857</v>
      </c>
      <c r="R229" s="800">
        <v>321724.34999999998</v>
      </c>
      <c r="S229" s="800">
        <f t="shared" si="81"/>
        <v>49410.760000000009</v>
      </c>
      <c r="T229" s="800">
        <v>-44731</v>
      </c>
      <c r="U229" s="800">
        <f t="shared" si="87"/>
        <v>15866.109999999986</v>
      </c>
      <c r="V229" s="802">
        <f>STDEV(D$2:D229)*SQRT(252)</f>
        <v>0.17856422908432967</v>
      </c>
      <c r="W229" s="802">
        <f>STDEV(L$2:L229)*SQRT(252)</f>
        <v>0.37990463509326544</v>
      </c>
      <c r="X229" s="801">
        <f t="shared" si="88"/>
        <v>0.14652596818026906</v>
      </c>
      <c r="Y229" s="801">
        <f t="shared" si="89"/>
        <v>-0.21023818951523621</v>
      </c>
      <c r="Z229" s="807">
        <f t="shared" si="90"/>
        <v>-9.5801425167424459E-2</v>
      </c>
    </row>
    <row r="230" spans="1:26" ht="20.100000000000001" customHeight="1" x14ac:dyDescent="0.2">
      <c r="A230" s="776">
        <f t="shared" si="84"/>
        <v>331</v>
      </c>
      <c r="B230" s="795">
        <v>42564</v>
      </c>
      <c r="C230" s="820">
        <v>2152.4299999999998</v>
      </c>
      <c r="D230" s="792">
        <f t="shared" si="82"/>
        <v>1.347495980744578E-4</v>
      </c>
      <c r="E230" s="819">
        <f t="shared" si="93"/>
        <v>2.3777135138220249E-2</v>
      </c>
      <c r="F230" s="816">
        <v>5005.72</v>
      </c>
      <c r="G230" s="792">
        <f t="shared" si="76"/>
        <v>-3.4044620352709147E-3</v>
      </c>
      <c r="H230" s="797">
        <f t="shared" si="94"/>
        <v>-1.6886305163304902E-2</v>
      </c>
      <c r="I230" s="799">
        <v>368490.23999999999</v>
      </c>
      <c r="J230" s="800">
        <v>400000</v>
      </c>
      <c r="K230" s="800">
        <f t="shared" si="95"/>
        <v>-2644.8699999999953</v>
      </c>
      <c r="L230" s="792">
        <f t="shared" si="91"/>
        <v>-7.1264343597133547E-3</v>
      </c>
      <c r="M230" s="817">
        <f t="shared" si="96"/>
        <v>-31509.760000000009</v>
      </c>
      <c r="N230" s="802">
        <f t="shared" si="92"/>
        <v>-7.8774400000000022E-2</v>
      </c>
      <c r="O230" s="786">
        <f t="shared" si="85"/>
        <v>-8.6925527492447155E-2</v>
      </c>
      <c r="P230" s="817" t="b">
        <f t="shared" si="97"/>
        <v>0</v>
      </c>
      <c r="Q230" s="802">
        <f>COUNTIF(P$2:P230, TRUE)/(COUNTIF(P$2:P230,FALSE) + COUNTIF(P$2:P230, TRUE))</f>
        <v>0.48908296943231439</v>
      </c>
      <c r="R230" s="800">
        <v>319923.32</v>
      </c>
      <c r="S230" s="800">
        <f t="shared" si="81"/>
        <v>48566.919999999984</v>
      </c>
      <c r="T230" s="800">
        <v>-47124</v>
      </c>
      <c r="U230" s="800">
        <f t="shared" si="87"/>
        <v>15614.239999999991</v>
      </c>
      <c r="V230" s="802">
        <f>STDEV(D$2:D230)*SQRT(252)</f>
        <v>0.17817048471828337</v>
      </c>
      <c r="W230" s="802">
        <f>STDEV(L$2:L230)*SQRT(252)</f>
        <v>0.3791487014021947</v>
      </c>
      <c r="X230" s="801">
        <f t="shared" si="88"/>
        <v>0.1472604066572987</v>
      </c>
      <c r="Y230" s="801">
        <f t="shared" si="89"/>
        <v>-0.22926500122767923</v>
      </c>
      <c r="Z230" s="807">
        <f t="shared" si="90"/>
        <v>-0.10255153513822027</v>
      </c>
    </row>
    <row r="231" spans="1:26" ht="20.100000000000001" customHeight="1" x14ac:dyDescent="0.2">
      <c r="A231" s="776">
        <f t="shared" si="84"/>
        <v>332</v>
      </c>
      <c r="B231" s="795">
        <v>42565</v>
      </c>
      <c r="C231" s="820">
        <v>2163.75</v>
      </c>
      <c r="D231" s="792">
        <f t="shared" si="82"/>
        <v>5.2591721914302279E-3</v>
      </c>
      <c r="E231" s="819">
        <f t="shared" si="93"/>
        <v>2.9161355377561284E-2</v>
      </c>
      <c r="F231" s="816">
        <v>5034.05</v>
      </c>
      <c r="G231" s="792">
        <f t="shared" si="76"/>
        <v>5.6595255028247535E-3</v>
      </c>
      <c r="H231" s="797">
        <f t="shared" si="94"/>
        <v>-1.1322348135200354E-2</v>
      </c>
      <c r="I231" s="799">
        <v>370497.23</v>
      </c>
      <c r="J231" s="800">
        <v>400000</v>
      </c>
      <c r="K231" s="800">
        <f t="shared" si="95"/>
        <v>2006.9899999999907</v>
      </c>
      <c r="L231" s="792">
        <f t="shared" si="91"/>
        <v>5.4465214601070325E-3</v>
      </c>
      <c r="M231" s="817">
        <f t="shared" si="96"/>
        <v>-29502.770000000019</v>
      </c>
      <c r="N231" s="802">
        <f t="shared" si="92"/>
        <v>-7.3756925000000043E-2</v>
      </c>
      <c r="O231" s="786">
        <f t="shared" si="85"/>
        <v>-8.1143725470632574E-2</v>
      </c>
      <c r="P231" s="817" t="b">
        <f t="shared" si="97"/>
        <v>1</v>
      </c>
      <c r="Q231" s="802">
        <f>COUNTIF(P$2:P231, TRUE)/(COUNTIF(P$2:P231,FALSE) + COUNTIF(P$2:P231, TRUE))</f>
        <v>0.49130434782608695</v>
      </c>
      <c r="R231" s="800">
        <v>321931.40999999997</v>
      </c>
      <c r="S231" s="800">
        <f t="shared" si="81"/>
        <v>48565.820000000007</v>
      </c>
      <c r="T231" s="800">
        <v>-47213</v>
      </c>
      <c r="U231" s="800">
        <f t="shared" si="87"/>
        <v>17710.229999999981</v>
      </c>
      <c r="V231" s="802">
        <f>STDEV(D$2:D231)*SQRT(252)</f>
        <v>0.17785960012092625</v>
      </c>
      <c r="W231" s="802">
        <f>STDEV(L$2:L231)*SQRT(252)</f>
        <v>0.378354378552888</v>
      </c>
      <c r="X231" s="801">
        <f t="shared" si="88"/>
        <v>0.18037757120725123</v>
      </c>
      <c r="Y231" s="801">
        <f t="shared" si="89"/>
        <v>-0.21446487755999355</v>
      </c>
      <c r="Z231" s="807">
        <f t="shared" si="90"/>
        <v>-0.10291828037756133</v>
      </c>
    </row>
    <row r="232" spans="1:26" ht="20.100000000000001" customHeight="1" x14ac:dyDescent="0.2">
      <c r="A232" s="776">
        <f t="shared" si="84"/>
        <v>333</v>
      </c>
      <c r="B232" s="795">
        <v>42566</v>
      </c>
      <c r="C232" s="820">
        <v>2161.7399999999998</v>
      </c>
      <c r="D232" s="792">
        <f t="shared" si="82"/>
        <v>-9.2894280762575077E-4</v>
      </c>
      <c r="E232" s="819">
        <f t="shared" si="93"/>
        <v>2.8205323338596929E-2</v>
      </c>
      <c r="F232" s="816">
        <v>5029.58</v>
      </c>
      <c r="G232" s="792">
        <f t="shared" si="76"/>
        <v>-8.8795303979901958E-4</v>
      </c>
      <c r="H232" s="797">
        <f t="shared" si="94"/>
        <v>-1.2200247461555059E-2</v>
      </c>
      <c r="I232" s="799">
        <v>368347.44</v>
      </c>
      <c r="J232" s="800">
        <v>400000</v>
      </c>
      <c r="K232" s="800">
        <f t="shared" si="95"/>
        <v>-2149.789999999979</v>
      </c>
      <c r="L232" s="792">
        <f t="shared" si="91"/>
        <v>-5.8024455405509484E-3</v>
      </c>
      <c r="M232" s="817">
        <f t="shared" si="96"/>
        <v>-31652.559999999998</v>
      </c>
      <c r="N232" s="802">
        <f t="shared" si="92"/>
        <v>-7.9131399999999991E-2</v>
      </c>
      <c r="O232" s="786">
        <f t="shared" si="85"/>
        <v>-8.6795026576576575E-2</v>
      </c>
      <c r="P232" s="817" t="b">
        <f t="shared" si="97"/>
        <v>0</v>
      </c>
      <c r="Q232" s="802">
        <f>COUNTIF(P$2:P232, TRUE)/(COUNTIF(P$2:P232,FALSE) + COUNTIF(P$2:P232, TRUE))</f>
        <v>0.48917748917748916</v>
      </c>
      <c r="R232" s="800">
        <v>315227.08</v>
      </c>
      <c r="S232" s="800">
        <f t="shared" si="81"/>
        <v>53120.359999999986</v>
      </c>
      <c r="T232" s="800">
        <v>-48618</v>
      </c>
      <c r="U232" s="800">
        <f t="shared" si="87"/>
        <v>16965.440000000002</v>
      </c>
      <c r="V232" s="802">
        <f>STDEV(D$2:D232)*SQRT(252)</f>
        <v>0.17747468742677538</v>
      </c>
      <c r="W232" s="802">
        <f>STDEV(L$2:L232)*SQRT(252)</f>
        <v>0.37758235657631534</v>
      </c>
      <c r="X232" s="801">
        <f t="shared" si="88"/>
        <v>0.17431736557361255</v>
      </c>
      <c r="Y232" s="801">
        <f t="shared" si="89"/>
        <v>-0.22987045094898106</v>
      </c>
      <c r="Z232" s="807">
        <f t="shared" si="90"/>
        <v>-0.10733672333859692</v>
      </c>
    </row>
    <row r="233" spans="1:26" ht="20.100000000000001" customHeight="1" x14ac:dyDescent="0.2">
      <c r="A233" s="776">
        <f t="shared" si="84"/>
        <v>336</v>
      </c>
      <c r="B233" s="824">
        <v>42569</v>
      </c>
      <c r="C233" s="825">
        <v>2166.89</v>
      </c>
      <c r="D233" s="792">
        <f t="shared" si="82"/>
        <v>2.3823401519147036E-3</v>
      </c>
      <c r="E233" s="826">
        <f t="shared" si="93"/>
        <v>3.0654858164798907E-2</v>
      </c>
      <c r="F233" s="827">
        <v>5055.78</v>
      </c>
      <c r="G233" s="792">
        <f t="shared" si="76"/>
        <v>5.209182476469172E-3</v>
      </c>
      <c r="H233" s="828">
        <f t="shared" si="94"/>
        <v>-7.0546183003712066E-3</v>
      </c>
      <c r="I233" s="829">
        <f>369683.39+2.9</f>
        <v>369686.29000000004</v>
      </c>
      <c r="J233" s="830">
        <v>400000</v>
      </c>
      <c r="K233" s="830">
        <f t="shared" si="95"/>
        <v>1338.8500000000349</v>
      </c>
      <c r="L233" s="792">
        <f t="shared" si="91"/>
        <v>3.6347476719263611E-3</v>
      </c>
      <c r="M233" s="831">
        <f t="shared" si="96"/>
        <v>-30313.709999999963</v>
      </c>
      <c r="N233" s="832">
        <f t="shared" si="92"/>
        <v>-7.5784274999999901E-2</v>
      </c>
      <c r="O233" s="786">
        <f t="shared" si="85"/>
        <v>-8.2381566796874889E-2</v>
      </c>
      <c r="P233" s="831" t="b">
        <f t="shared" si="97"/>
        <v>1</v>
      </c>
      <c r="Q233" s="832">
        <f>COUNTIF(P$2:P233, TRUE)/(COUNTIF(P$2:P233,FALSE) + COUNTIF(P$2:P233, TRUE))</f>
        <v>0.49137931034482757</v>
      </c>
      <c r="R233" s="830">
        <v>316103.03999999998</v>
      </c>
      <c r="S233" s="830">
        <f t="shared" si="81"/>
        <v>53583.250000000058</v>
      </c>
      <c r="T233" s="830">
        <v>-47875</v>
      </c>
      <c r="U233" s="830">
        <f t="shared" si="87"/>
        <v>17561.290000000037</v>
      </c>
      <c r="V233" s="832">
        <f>STDEV(D$2:D233)*SQRT(252)</f>
        <v>0.17710334708213829</v>
      </c>
      <c r="W233" s="832">
        <f>STDEV(L$2:L233)*SQRT(252)</f>
        <v>0.37677647505559991</v>
      </c>
      <c r="X233" s="801">
        <f t="shared" si="88"/>
        <v>0.1881583470820907</v>
      </c>
      <c r="Y233" s="801">
        <f t="shared" si="89"/>
        <v>-0.21864838239892248</v>
      </c>
      <c r="Z233" s="807">
        <f t="shared" si="90"/>
        <v>-0.1064391331647988</v>
      </c>
    </row>
    <row r="234" spans="1:26" ht="20.100000000000001" customHeight="1" x14ac:dyDescent="0.2">
      <c r="A234" s="776">
        <f t="shared" si="84"/>
        <v>337</v>
      </c>
      <c r="B234" s="824">
        <v>42570</v>
      </c>
      <c r="C234" s="825">
        <v>2163.7800000000002</v>
      </c>
      <c r="D234" s="792">
        <f t="shared" si="82"/>
        <v>-1.4352366756040559E-3</v>
      </c>
      <c r="E234" s="826">
        <f t="shared" si="93"/>
        <v>2.9175624512471292E-2</v>
      </c>
      <c r="F234" s="827">
        <v>5036.37</v>
      </c>
      <c r="G234" s="792">
        <f t="shared" si="76"/>
        <v>-3.8391702170584669E-3</v>
      </c>
      <c r="H234" s="828">
        <f t="shared" si="94"/>
        <v>-1.0866704636958173E-2</v>
      </c>
      <c r="I234" s="829">
        <v>364028.85</v>
      </c>
      <c r="J234" s="830">
        <v>400000</v>
      </c>
      <c r="K234" s="830">
        <f t="shared" si="95"/>
        <v>-5657.4400000000605</v>
      </c>
      <c r="L234" s="792">
        <f t="shared" si="91"/>
        <v>-1.5303353554171728E-2</v>
      </c>
      <c r="M234" s="831">
        <f t="shared" si="96"/>
        <v>-35971.150000000023</v>
      </c>
      <c r="N234" s="832">
        <f t="shared" si="92"/>
        <v>-8.992787500000006E-2</v>
      </c>
      <c r="O234" s="786">
        <f t="shared" si="85"/>
        <v>-9.7466339298961494E-2</v>
      </c>
      <c r="P234" s="831" t="b">
        <f t="shared" si="97"/>
        <v>0</v>
      </c>
      <c r="Q234" s="832">
        <f>COUNTIF(P$2:P234, TRUE)/(COUNTIF(P$2:P234,FALSE) + COUNTIF(P$2:P234, TRUE))</f>
        <v>0.48927038626609443</v>
      </c>
      <c r="R234" s="830">
        <v>316420.40000000002</v>
      </c>
      <c r="S234" s="830">
        <f t="shared" si="81"/>
        <v>47608.449999999953</v>
      </c>
      <c r="T234" s="830">
        <v>-53164</v>
      </c>
      <c r="U234" s="830">
        <f t="shared" si="87"/>
        <v>17192.849999999977</v>
      </c>
      <c r="V234" s="832">
        <f>STDEV(D$2:D234)*SQRT(252)</f>
        <v>0.17672773618130258</v>
      </c>
      <c r="W234" s="832">
        <f>STDEV(L$2:L234)*SQRT(252)</f>
        <v>0.37631344049170978</v>
      </c>
      <c r="X234" s="801">
        <f t="shared" si="88"/>
        <v>0.17892695470833672</v>
      </c>
      <c r="Y234" s="801">
        <f t="shared" si="89"/>
        <v>-0.25900307778432563</v>
      </c>
      <c r="Z234" s="807">
        <f t="shared" si="90"/>
        <v>-0.11910349951247134</v>
      </c>
    </row>
    <row r="235" spans="1:26" ht="20.100000000000001" customHeight="1" x14ac:dyDescent="0.2">
      <c r="A235" s="776">
        <f t="shared" si="84"/>
        <v>338</v>
      </c>
      <c r="B235" s="824">
        <v>42571</v>
      </c>
      <c r="C235" s="825">
        <v>2173.02</v>
      </c>
      <c r="D235" s="792">
        <f t="shared" si="82"/>
        <v>4.2703047444748454E-3</v>
      </c>
      <c r="E235" s="826">
        <f t="shared" si="93"/>
        <v>3.3570518064724761E-2</v>
      </c>
      <c r="F235" s="827">
        <v>5089.93</v>
      </c>
      <c r="G235" s="792">
        <f t="shared" si="76"/>
        <v>1.0634643602435961E-2</v>
      </c>
      <c r="H235" s="828">
        <f t="shared" si="94"/>
        <v>-3.4762456546920032E-4</v>
      </c>
      <c r="I235" s="829">
        <v>366983.12</v>
      </c>
      <c r="J235" s="830">
        <v>400000</v>
      </c>
      <c r="K235" s="830">
        <f t="shared" si="95"/>
        <v>2954.2700000000186</v>
      </c>
      <c r="L235" s="792">
        <f t="shared" si="91"/>
        <v>8.1154831547005646E-3</v>
      </c>
      <c r="M235" s="831">
        <f t="shared" si="96"/>
        <v>-33016.880000000005</v>
      </c>
      <c r="N235" s="832">
        <f t="shared" si="92"/>
        <v>-8.254220000000001E-2</v>
      </c>
      <c r="O235" s="786">
        <f t="shared" si="85"/>
        <v>-8.9196859615384622E-2</v>
      </c>
      <c r="P235" s="831" t="b">
        <f t="shared" si="97"/>
        <v>1</v>
      </c>
      <c r="Q235" s="832">
        <f>COUNTIF(P$2:P235, TRUE)/(COUNTIF(P$2:P235,FALSE) + COUNTIF(P$2:P235, TRUE))</f>
        <v>0.49145299145299143</v>
      </c>
      <c r="R235" s="830">
        <v>315168.17</v>
      </c>
      <c r="S235" s="830">
        <f t="shared" si="81"/>
        <v>51814.950000000012</v>
      </c>
      <c r="T235" s="830">
        <v>-50698</v>
      </c>
      <c r="U235" s="830">
        <f t="shared" si="87"/>
        <v>17681.119999999995</v>
      </c>
      <c r="V235" s="832">
        <f>STDEV(D$2:D235)*SQRT(252)</f>
        <v>0.17639759874782845</v>
      </c>
      <c r="W235" s="832">
        <f>STDEV(L$2:L235)*SQRT(252)</f>
        <v>0.37559009819227351</v>
      </c>
      <c r="X235" s="801">
        <f t="shared" si="88"/>
        <v>0.20565482291076584</v>
      </c>
      <c r="Y235" s="801">
        <f t="shared" si="89"/>
        <v>-0.2374845877052984</v>
      </c>
      <c r="Z235" s="807">
        <f t="shared" si="90"/>
        <v>-0.11611271806472477</v>
      </c>
    </row>
    <row r="236" spans="1:26" ht="20.100000000000001" customHeight="1" x14ac:dyDescent="0.2">
      <c r="A236" s="776">
        <f t="shared" si="84"/>
        <v>339</v>
      </c>
      <c r="B236" s="824">
        <v>42572</v>
      </c>
      <c r="C236" s="825">
        <v>2165.17</v>
      </c>
      <c r="D236" s="792">
        <f t="shared" si="82"/>
        <v>-3.6124840084306217E-3</v>
      </c>
      <c r="E236" s="826">
        <f t="shared" si="93"/>
        <v>2.9836761096630589E-2</v>
      </c>
      <c r="F236" s="827">
        <v>5073.8999999999996</v>
      </c>
      <c r="G236" s="792">
        <f t="shared" si="76"/>
        <v>-3.1493556885852365E-3</v>
      </c>
      <c r="H236" s="828">
        <f t="shared" si="94"/>
        <v>-3.4958854606516846E-3</v>
      </c>
      <c r="I236" s="829">
        <f>360276.2+45</f>
        <v>360321.2</v>
      </c>
      <c r="J236" s="830">
        <v>400000</v>
      </c>
      <c r="K236" s="830">
        <f t="shared" si="95"/>
        <v>-6661.9199999999837</v>
      </c>
      <c r="L236" s="792">
        <f t="shared" si="91"/>
        <v>-1.8153205520733445E-2</v>
      </c>
      <c r="M236" s="831">
        <f t="shared" si="96"/>
        <v>-39678.799999999988</v>
      </c>
      <c r="N236" s="832">
        <f t="shared" si="92"/>
        <v>-9.9196999999999966E-2</v>
      </c>
      <c r="O236" s="786">
        <f t="shared" si="85"/>
        <v>-0.10687818362831855</v>
      </c>
      <c r="P236" s="831" t="b">
        <f t="shared" si="97"/>
        <v>0</v>
      </c>
      <c r="Q236" s="832">
        <f>COUNTIF(P$2:P236, TRUE)/(COUNTIF(P$2:P236,FALSE) + COUNTIF(P$2:P236, TRUE))</f>
        <v>0.48936170212765956</v>
      </c>
      <c r="R236" s="830">
        <v>315749.06</v>
      </c>
      <c r="S236" s="830">
        <f t="shared" si="81"/>
        <v>44572.140000000014</v>
      </c>
      <c r="T236" s="830">
        <v>-55981</v>
      </c>
      <c r="U236" s="830">
        <f t="shared" si="87"/>
        <v>16302.200000000012</v>
      </c>
      <c r="V236" s="832">
        <f>STDEV(D$2:D236)*SQRT(252)</f>
        <v>0.17606319207854554</v>
      </c>
      <c r="W236" s="832">
        <f>STDEV(L$2:L236)*SQRT(252)</f>
        <v>0.37527253812431671</v>
      </c>
      <c r="X236" s="801">
        <f t="shared" si="88"/>
        <v>0.18258858871123926</v>
      </c>
      <c r="Y236" s="801">
        <f t="shared" si="89"/>
        <v>-0.28480150496094381</v>
      </c>
      <c r="Z236" s="807">
        <f t="shared" si="90"/>
        <v>-0.12903376109663056</v>
      </c>
    </row>
    <row r="237" spans="1:26" ht="20.100000000000001" customHeight="1" x14ac:dyDescent="0.2">
      <c r="A237" s="776">
        <f t="shared" si="84"/>
        <v>340</v>
      </c>
      <c r="B237" s="824">
        <v>42573</v>
      </c>
      <c r="C237" s="825">
        <v>2175.0300000000002</v>
      </c>
      <c r="D237" s="792">
        <f t="shared" si="82"/>
        <v>4.553914935085987E-3</v>
      </c>
      <c r="E237" s="826">
        <f t="shared" si="93"/>
        <v>3.4526550103689116E-2</v>
      </c>
      <c r="F237" s="827">
        <v>5100.16</v>
      </c>
      <c r="G237" s="792">
        <f t="shared" si="76"/>
        <v>5.175506021009523E-3</v>
      </c>
      <c r="H237" s="828">
        <f t="shared" si="94"/>
        <v>1.6615275841074762E-3</v>
      </c>
      <c r="I237" s="829">
        <v>357414.17</v>
      </c>
      <c r="J237" s="830">
        <v>400000</v>
      </c>
      <c r="K237" s="830">
        <f t="shared" si="95"/>
        <v>-2907.0300000000279</v>
      </c>
      <c r="L237" s="792">
        <f t="shared" si="91"/>
        <v>-8.0678849870616208E-3</v>
      </c>
      <c r="M237" s="831">
        <f t="shared" si="96"/>
        <v>-42585.830000000016</v>
      </c>
      <c r="N237" s="832">
        <f t="shared" si="92"/>
        <v>-0.10646457500000005</v>
      </c>
      <c r="O237" s="786">
        <f t="shared" si="85"/>
        <v>-0.11437113534926477</v>
      </c>
      <c r="P237" s="831" t="b">
        <f t="shared" si="97"/>
        <v>0</v>
      </c>
      <c r="Q237" s="832">
        <f>COUNTIF(P$2:P237, TRUE)/(COUNTIF(P$2:P237,FALSE) + COUNTIF(P$2:P237, TRUE))</f>
        <v>0.48728813559322032</v>
      </c>
      <c r="R237" s="830">
        <v>316131.83</v>
      </c>
      <c r="S237" s="830">
        <f t="shared" ref="S237:S242" si="98">I237-R237</f>
        <v>41282.339999999967</v>
      </c>
      <c r="T237" s="830">
        <v>-58740</v>
      </c>
      <c r="U237" s="830">
        <f t="shared" ref="U237:U242" si="99">M237-T237</f>
        <v>16154.169999999984</v>
      </c>
      <c r="V237" s="832">
        <f>STDEV(D$2:D237)*SQRT(252)</f>
        <v>0.17574477489002999</v>
      </c>
      <c r="W237" s="832">
        <f>STDEV(L$2:L237)*SQRT(252)</f>
        <v>0.37456834740512818</v>
      </c>
      <c r="X237" s="801">
        <f t="shared" si="88"/>
        <v>0.21104840366082525</v>
      </c>
      <c r="Y237" s="801">
        <f t="shared" si="89"/>
        <v>-0.30534116441388054</v>
      </c>
      <c r="Z237" s="807">
        <f t="shared" si="90"/>
        <v>-0.14099112510368916</v>
      </c>
    </row>
    <row r="238" spans="1:26" ht="20.100000000000001" customHeight="1" x14ac:dyDescent="0.2">
      <c r="A238" s="776">
        <f t="shared" si="84"/>
        <v>343</v>
      </c>
      <c r="B238" s="795">
        <v>42576</v>
      </c>
      <c r="C238" s="820">
        <v>2168.48</v>
      </c>
      <c r="D238" s="792">
        <f t="shared" si="82"/>
        <v>-3.0114527155948108E-3</v>
      </c>
      <c r="E238" s="819">
        <f t="shared" si="93"/>
        <v>3.141112231502443E-2</v>
      </c>
      <c r="F238" s="816">
        <v>5097.62</v>
      </c>
      <c r="G238" s="792">
        <f t="shared" si="76"/>
        <v>-4.9802359141673275E-4</v>
      </c>
      <c r="H238" s="797">
        <f t="shared" si="94"/>
        <v>1.1626765127560684E-3</v>
      </c>
      <c r="I238" s="799">
        <v>355693.78</v>
      </c>
      <c r="J238" s="800">
        <v>400000</v>
      </c>
      <c r="K238" s="800">
        <f t="shared" si="95"/>
        <v>-1720.3899999999558</v>
      </c>
      <c r="L238" s="792">
        <f t="shared" si="91"/>
        <v>-4.8134353486879262E-3</v>
      </c>
      <c r="M238" s="817">
        <f t="shared" si="96"/>
        <v>-44306.219999999972</v>
      </c>
      <c r="N238" s="802">
        <f t="shared" si="92"/>
        <v>-0.11076554999999993</v>
      </c>
      <c r="O238" s="786">
        <f t="shared" si="85"/>
        <v>-0.11795077882653054</v>
      </c>
      <c r="P238" s="817" t="b">
        <f t="shared" si="97"/>
        <v>0</v>
      </c>
      <c r="Q238" s="802">
        <f>COUNTIF(P$2:P238, TRUE)/(COUNTIF(P$2:P238,FALSE) + COUNTIF(P$2:P238, TRUE))</f>
        <v>0.48523206751054854</v>
      </c>
      <c r="R238" s="800">
        <v>311346.09000000003</v>
      </c>
      <c r="S238" s="800">
        <f t="shared" si="98"/>
        <v>44347.69</v>
      </c>
      <c r="T238" s="800">
        <v>-60287</v>
      </c>
      <c r="U238" s="800">
        <f t="shared" si="99"/>
        <v>15980.780000000028</v>
      </c>
      <c r="V238" s="802">
        <f>STDEV(D$2:D238)*SQRT(252)</f>
        <v>0.17540195592552774</v>
      </c>
      <c r="W238" s="802">
        <f>STDEV(L$2:L238)*SQRT(252)</f>
        <v>0.37380634336339558</v>
      </c>
      <c r="X238" s="801">
        <f t="shared" si="88"/>
        <v>0.19069755577286238</v>
      </c>
      <c r="Y238" s="801">
        <f t="shared" si="89"/>
        <v>-0.3155398000077938</v>
      </c>
      <c r="Z238" s="807">
        <f t="shared" si="90"/>
        <v>-0.14217667231502437</v>
      </c>
    </row>
    <row r="239" spans="1:26" ht="20.100000000000001" customHeight="1" x14ac:dyDescent="0.2">
      <c r="A239" s="776">
        <f t="shared" si="84"/>
        <v>344</v>
      </c>
      <c r="B239" s="795">
        <v>42577</v>
      </c>
      <c r="C239" s="820">
        <v>2169.1799999999998</v>
      </c>
      <c r="D239" s="792">
        <f t="shared" si="82"/>
        <v>3.2280675865113727E-4</v>
      </c>
      <c r="E239" s="819">
        <f t="shared" si="93"/>
        <v>3.1744068796255673E-2</v>
      </c>
      <c r="F239" s="816">
        <v>5110.04</v>
      </c>
      <c r="G239" s="792">
        <f t="shared" si="76"/>
        <v>2.4364311188358632E-3</v>
      </c>
      <c r="H239" s="797">
        <f t="shared" si="94"/>
        <v>3.60194041282875E-3</v>
      </c>
      <c r="I239" s="799">
        <v>360934.05</v>
      </c>
      <c r="J239" s="800">
        <v>400000</v>
      </c>
      <c r="K239" s="800">
        <f t="shared" si="95"/>
        <v>5240.2699999999604</v>
      </c>
      <c r="L239" s="792">
        <f t="shared" si="91"/>
        <v>1.4732532011102247E-2</v>
      </c>
      <c r="M239" s="817">
        <f t="shared" si="96"/>
        <v>-39065.950000000012</v>
      </c>
      <c r="N239" s="802">
        <f t="shared" si="92"/>
        <v>-9.7664875000000026E-2</v>
      </c>
      <c r="O239" s="786">
        <f t="shared" si="85"/>
        <v>-0.10369795230741281</v>
      </c>
      <c r="P239" s="817" t="b">
        <f t="shared" si="97"/>
        <v>1</v>
      </c>
      <c r="Q239" s="802">
        <f>COUNTIF(P$2:P239, TRUE)/(COUNTIF(P$2:P239,FALSE) + COUNTIF(P$2:P239, TRUE))</f>
        <v>0.48739495798319327</v>
      </c>
      <c r="R239" s="800">
        <v>295609.99</v>
      </c>
      <c r="S239" s="800">
        <f t="shared" si="98"/>
        <v>65324.06</v>
      </c>
      <c r="T239" s="800">
        <v>-55468</v>
      </c>
      <c r="U239" s="800">
        <f t="shared" si="99"/>
        <v>16402.049999999988</v>
      </c>
      <c r="V239" s="802">
        <f>STDEV(D$2:D239)*SQRT(252)</f>
        <v>0.17502999912472075</v>
      </c>
      <c r="W239" s="802">
        <f>STDEV(L$2:L239)*SQRT(252)</f>
        <v>0.37331560015373266</v>
      </c>
      <c r="X239" s="801">
        <f t="shared" si="88"/>
        <v>0.19256700821077766</v>
      </c>
      <c r="Y239" s="801">
        <f t="shared" si="89"/>
        <v>-0.27777556647702273</v>
      </c>
      <c r="Z239" s="807">
        <f t="shared" si="90"/>
        <v>-0.1294089437962557</v>
      </c>
    </row>
    <row r="240" spans="1:26" ht="20.100000000000001" customHeight="1" x14ac:dyDescent="0.2">
      <c r="A240" s="776">
        <f t="shared" si="84"/>
        <v>345</v>
      </c>
      <c r="B240" s="795">
        <v>42578</v>
      </c>
      <c r="C240" s="820">
        <v>2166.58</v>
      </c>
      <c r="D240" s="792">
        <f t="shared" si="82"/>
        <v>-1.1986096128490532E-3</v>
      </c>
      <c r="E240" s="819">
        <f t="shared" si="93"/>
        <v>3.0507410437396486E-2</v>
      </c>
      <c r="F240" s="816">
        <v>5139.8100000000004</v>
      </c>
      <c r="G240" s="792">
        <f t="shared" si="76"/>
        <v>5.8257860995218113E-3</v>
      </c>
      <c r="H240" s="797">
        <f t="shared" si="94"/>
        <v>9.4487106467389254E-3</v>
      </c>
      <c r="I240" s="799">
        <f>351218.55-2.4</f>
        <v>351216.14999999997</v>
      </c>
      <c r="J240" s="800">
        <v>400000</v>
      </c>
      <c r="K240" s="800">
        <f t="shared" si="95"/>
        <v>-9717.9000000000233</v>
      </c>
      <c r="L240" s="792">
        <f t="shared" si="91"/>
        <v>-2.6924309302488982E-2</v>
      </c>
      <c r="M240" s="817">
        <f t="shared" si="96"/>
        <v>-48783.850000000035</v>
      </c>
      <c r="N240" s="802">
        <f t="shared" si="92"/>
        <v>-0.12195962500000009</v>
      </c>
      <c r="O240" s="786">
        <f t="shared" si="85"/>
        <v>-0.12911812472826095</v>
      </c>
      <c r="P240" s="817" t="b">
        <f t="shared" si="97"/>
        <v>0</v>
      </c>
      <c r="Q240" s="802">
        <f>COUNTIF(P$2:P240, TRUE)/(COUNTIF(P$2:P240,FALSE) + COUNTIF(P$2:P240, TRUE))</f>
        <v>0.48535564853556484</v>
      </c>
      <c r="R240" s="800">
        <v>295103.78999999998</v>
      </c>
      <c r="S240" s="800">
        <f t="shared" si="98"/>
        <v>56112.359999999986</v>
      </c>
      <c r="T240" s="800">
        <v>-64415</v>
      </c>
      <c r="U240" s="800">
        <f t="shared" si="99"/>
        <v>15631.149999999965</v>
      </c>
      <c r="V240" s="802">
        <f>STDEV(D$2:D240)*SQRT(252)</f>
        <v>0.17466621287076281</v>
      </c>
      <c r="W240" s="802">
        <f>STDEV(L$2:L240)*SQRT(252)</f>
        <v>0.37357383869513988</v>
      </c>
      <c r="X240" s="801">
        <f t="shared" si="88"/>
        <v>0.18491305363707838</v>
      </c>
      <c r="Y240" s="801">
        <f t="shared" si="89"/>
        <v>-0.34562946157915941</v>
      </c>
      <c r="Z240" s="807">
        <f t="shared" si="90"/>
        <v>-0.15246703543739656</v>
      </c>
    </row>
    <row r="241" spans="1:26" ht="20.100000000000001" customHeight="1" x14ac:dyDescent="0.2">
      <c r="A241" s="776">
        <f t="shared" si="84"/>
        <v>346</v>
      </c>
      <c r="B241" s="795">
        <v>42579</v>
      </c>
      <c r="C241" s="820">
        <v>2170.06</v>
      </c>
      <c r="D241" s="792">
        <f t="shared" si="82"/>
        <v>1.6062180948776498E-3</v>
      </c>
      <c r="E241" s="819">
        <f t="shared" si="93"/>
        <v>3.2162630086946545E-2</v>
      </c>
      <c r="F241" s="816">
        <v>5154.9799999999996</v>
      </c>
      <c r="G241" s="792">
        <f t="shared" si="76"/>
        <v>2.9514709687710563E-3</v>
      </c>
      <c r="H241" s="797">
        <f t="shared" si="94"/>
        <v>1.2428069210676148E-2</v>
      </c>
      <c r="I241" s="799">
        <v>351887.73</v>
      </c>
      <c r="J241" s="800">
        <v>400000</v>
      </c>
      <c r="K241" s="800">
        <f t="shared" si="95"/>
        <v>671.5800000000163</v>
      </c>
      <c r="L241" s="792">
        <f t="shared" si="91"/>
        <v>1.9121558049082206E-3</v>
      </c>
      <c r="M241" s="817">
        <f t="shared" si="96"/>
        <v>-48112.270000000019</v>
      </c>
      <c r="N241" s="802">
        <f t="shared" si="92"/>
        <v>-0.12028067500000005</v>
      </c>
      <c r="O241" s="786">
        <f t="shared" si="85"/>
        <v>-0.12697259116690757</v>
      </c>
      <c r="P241" s="817" t="b">
        <f t="shared" si="97"/>
        <v>1</v>
      </c>
      <c r="Q241" s="802">
        <f>COUNTIF(P$2:P241, TRUE)/(COUNTIF(P$2:P241,FALSE) + COUNTIF(P$2:P241, TRUE))</f>
        <v>0.48749999999999999</v>
      </c>
      <c r="R241" s="800">
        <v>306491.34999999998</v>
      </c>
      <c r="S241" s="800">
        <f t="shared" si="98"/>
        <v>45396.380000000005</v>
      </c>
      <c r="T241" s="800">
        <v>-63248</v>
      </c>
      <c r="U241" s="800">
        <f t="shared" si="99"/>
        <v>15135.729999999981</v>
      </c>
      <c r="V241" s="802">
        <f>STDEV(D$2:D241)*SQRT(252)</f>
        <v>0.17430497581384302</v>
      </c>
      <c r="W241" s="802">
        <f>STDEV(L$2:L241)*SQRT(252)</f>
        <v>0.37279274055236694</v>
      </c>
      <c r="X241" s="801">
        <f t="shared" si="88"/>
        <v>0.19478517357537825</v>
      </c>
      <c r="Y241" s="801">
        <f t="shared" si="89"/>
        <v>-0.34059834689584434</v>
      </c>
      <c r="Z241" s="807">
        <f t="shared" si="90"/>
        <v>-0.15244330508694659</v>
      </c>
    </row>
    <row r="242" spans="1:26" ht="20.100000000000001" customHeight="1" x14ac:dyDescent="0.2">
      <c r="A242" s="776">
        <f t="shared" si="84"/>
        <v>347</v>
      </c>
      <c r="B242" s="795">
        <v>42580</v>
      </c>
      <c r="C242" s="820">
        <v>2173.6</v>
      </c>
      <c r="D242" s="792">
        <f t="shared" si="82"/>
        <v>1.6312913007013464E-3</v>
      </c>
      <c r="E242" s="819">
        <f t="shared" si="93"/>
        <v>3.3846388006316397E-2</v>
      </c>
      <c r="F242" s="816">
        <v>5162.13</v>
      </c>
      <c r="G242" s="792">
        <f t="shared" si="76"/>
        <v>1.3870082910119044E-3</v>
      </c>
      <c r="H242" s="797">
        <f t="shared" si="94"/>
        <v>1.3832315336724531E-2</v>
      </c>
      <c r="I242" s="823">
        <v>352850.19</v>
      </c>
      <c r="J242" s="800">
        <v>400000</v>
      </c>
      <c r="K242" s="800">
        <f t="shared" si="95"/>
        <v>962.46000000002095</v>
      </c>
      <c r="L242" s="792">
        <f t="shared" si="91"/>
        <v>2.7351337314319569E-3</v>
      </c>
      <c r="M242" s="817">
        <f t="shared" si="96"/>
        <v>-47149.81</v>
      </c>
      <c r="N242" s="802">
        <f t="shared" si="92"/>
        <v>-0.11787452499999999</v>
      </c>
      <c r="O242" s="786">
        <f t="shared" si="85"/>
        <v>-0.12407397768371757</v>
      </c>
      <c r="P242" s="817" t="b">
        <f t="shared" si="97"/>
        <v>1</v>
      </c>
      <c r="Q242" s="802">
        <f>COUNTIF(P$2:P242, TRUE)/(COUNTIF(P$2:P242,FALSE) + COUNTIF(P$2:P242, TRUE))</f>
        <v>0.48962655601659749</v>
      </c>
      <c r="R242" s="800">
        <v>298371.77</v>
      </c>
      <c r="S242" s="800">
        <f t="shared" si="98"/>
        <v>54478.419999999984</v>
      </c>
      <c r="T242" s="800">
        <v>-61571</v>
      </c>
      <c r="U242" s="800">
        <f t="shared" si="99"/>
        <v>14421.190000000002</v>
      </c>
      <c r="V242" s="802">
        <f>STDEV(D$2:D242)*SQRT(252)</f>
        <v>0.173946186031568</v>
      </c>
      <c r="W242" s="802">
        <f>STDEV(L$2:L242)*SQRT(252)</f>
        <v>0.37202162492103208</v>
      </c>
      <c r="X242" s="801">
        <f t="shared" si="88"/>
        <v>0.20481330600104292</v>
      </c>
      <c r="Y242" s="801">
        <f t="shared" si="89"/>
        <v>-0.33351281047184927</v>
      </c>
      <c r="Z242" s="807">
        <f t="shared" si="90"/>
        <v>-0.1517209130063164</v>
      </c>
    </row>
    <row r="243" spans="1:26" ht="20.100000000000001" customHeight="1" x14ac:dyDescent="0.2">
      <c r="A243" s="776">
        <f t="shared" si="84"/>
        <v>350</v>
      </c>
      <c r="B243" s="824">
        <v>42583</v>
      </c>
      <c r="C243" s="825">
        <v>2170.84</v>
      </c>
      <c r="D243" s="792">
        <f t="shared" si="82"/>
        <v>-1.2697828487301084E-3</v>
      </c>
      <c r="E243" s="826">
        <f t="shared" si="93"/>
        <v>3.253362759460441E-2</v>
      </c>
      <c r="F243" s="827">
        <v>5184.1899999999996</v>
      </c>
      <c r="G243" s="792">
        <f t="shared" si="76"/>
        <v>4.2734297663947806E-3</v>
      </c>
      <c r="H243" s="828">
        <f t="shared" si="94"/>
        <v>1.8164856531217428E-2</v>
      </c>
      <c r="I243" s="829">
        <v>345131.68</v>
      </c>
      <c r="J243" s="830">
        <v>400000</v>
      </c>
      <c r="K243" s="830">
        <f t="shared" si="95"/>
        <v>-7718.5100000000093</v>
      </c>
      <c r="L243" s="792">
        <f t="shared" si="91"/>
        <v>-2.1874750868066725E-2</v>
      </c>
      <c r="M243" s="831">
        <f t="shared" si="96"/>
        <v>-54868.320000000007</v>
      </c>
      <c r="N243" s="832">
        <f t="shared" si="92"/>
        <v>-0.13717080000000001</v>
      </c>
      <c r="O243" s="786">
        <f t="shared" si="85"/>
        <v>-0.14314752771428574</v>
      </c>
      <c r="P243" s="831" t="b">
        <f t="shared" si="97"/>
        <v>0</v>
      </c>
      <c r="Q243" s="832">
        <f>COUNTIF(P$2:P243, TRUE)/(COUNTIF(P$2:P243,FALSE) + COUNTIF(P$2:P243, TRUE))</f>
        <v>0.48760330578512395</v>
      </c>
      <c r="R243" s="830">
        <v>293278.65999999997</v>
      </c>
      <c r="S243" s="830">
        <f t="shared" ref="S243:S251" si="100">I243-R243</f>
        <v>51853.020000000019</v>
      </c>
      <c r="T243" s="830">
        <v>-69701</v>
      </c>
      <c r="U243" s="830">
        <f t="shared" ref="U243:U251" si="101">M243-T243</f>
        <v>14832.679999999993</v>
      </c>
      <c r="V243" s="832">
        <f>STDEV(D$2:D243)*SQRT(252)</f>
        <v>0.17358991388387063</v>
      </c>
      <c r="W243" s="832">
        <f>STDEV(L$2:L243)*SQRT(252)</f>
        <v>0.37192751121581696</v>
      </c>
      <c r="X243" s="801">
        <f t="shared" si="88"/>
        <v>0.19558258579599885</v>
      </c>
      <c r="Y243" s="801">
        <f t="shared" si="89"/>
        <v>-0.38488018067376056</v>
      </c>
      <c r="Z243" s="807">
        <f t="shared" si="90"/>
        <v>-0.16970442759460441</v>
      </c>
    </row>
    <row r="244" spans="1:26" ht="20.100000000000001" customHeight="1" x14ac:dyDescent="0.2">
      <c r="A244" s="776">
        <f t="shared" si="84"/>
        <v>351</v>
      </c>
      <c r="B244" s="824">
        <v>42584</v>
      </c>
      <c r="C244" s="825">
        <v>2157.0300000000002</v>
      </c>
      <c r="D244" s="792">
        <f t="shared" si="82"/>
        <v>-6.3615927475078517E-3</v>
      </c>
      <c r="E244" s="826">
        <f t="shared" si="93"/>
        <v>2.5965069157740599E-2</v>
      </c>
      <c r="F244" s="827">
        <v>5137.7299999999996</v>
      </c>
      <c r="G244" s="792">
        <f t="shared" si="76"/>
        <v>-8.9618628946855801E-3</v>
      </c>
      <c r="H244" s="828">
        <f t="shared" si="94"/>
        <v>9.0402026827974442E-3</v>
      </c>
      <c r="I244" s="829">
        <v>341216.81</v>
      </c>
      <c r="J244" s="830">
        <v>400000</v>
      </c>
      <c r="K244" s="830">
        <f t="shared" si="95"/>
        <v>-3914.8699999999953</v>
      </c>
      <c r="L244" s="792">
        <f t="shared" si="91"/>
        <v>-1.1343119820237875E-2</v>
      </c>
      <c r="M244" s="831">
        <f t="shared" si="96"/>
        <v>-58783.19</v>
      </c>
      <c r="N244" s="832">
        <f t="shared" si="92"/>
        <v>-0.14695797500000002</v>
      </c>
      <c r="O244" s="786">
        <f t="shared" si="85"/>
        <v>-0.15292421757478633</v>
      </c>
      <c r="P244" s="831" t="b">
        <f t="shared" si="97"/>
        <v>0</v>
      </c>
      <c r="Q244" s="832">
        <f>COUNTIF(P$2:P244, TRUE)/(COUNTIF(P$2:P244,FALSE) + COUNTIF(P$2:P244, TRUE))</f>
        <v>0.48559670781893005</v>
      </c>
      <c r="R244" s="830">
        <v>294933.84999999998</v>
      </c>
      <c r="S244" s="830">
        <f t="shared" si="100"/>
        <v>46282.960000000021</v>
      </c>
      <c r="T244" s="830">
        <v>-70463</v>
      </c>
      <c r="U244" s="830">
        <f t="shared" si="101"/>
        <v>11679.809999999998</v>
      </c>
      <c r="V244" s="832">
        <f>STDEV(D$2:D244)*SQRT(252)</f>
        <v>0.17335845617207907</v>
      </c>
      <c r="W244" s="832">
        <f>STDEV(L$2:L244)*SQRT(252)</f>
        <v>0.37133699496327655</v>
      </c>
      <c r="X244" s="801">
        <f t="shared" si="88"/>
        <v>0.15585744807274621</v>
      </c>
      <c r="Y244" s="801">
        <f t="shared" si="89"/>
        <v>-0.41182058251403098</v>
      </c>
      <c r="Z244" s="807">
        <f t="shared" si="90"/>
        <v>-0.17292304415774062</v>
      </c>
    </row>
    <row r="245" spans="1:26" ht="20.100000000000001" customHeight="1" x14ac:dyDescent="0.2">
      <c r="A245" s="776">
        <f t="shared" si="84"/>
        <v>352</v>
      </c>
      <c r="B245" s="824">
        <v>42585</v>
      </c>
      <c r="C245" s="825">
        <v>2163.79</v>
      </c>
      <c r="D245" s="792">
        <f t="shared" si="82"/>
        <v>3.1339387954732955E-3</v>
      </c>
      <c r="E245" s="826">
        <f t="shared" si="93"/>
        <v>2.9180380890774484E-2</v>
      </c>
      <c r="F245" s="827">
        <v>5159.7299999999996</v>
      </c>
      <c r="G245" s="792">
        <f t="shared" si="76"/>
        <v>4.2820467404865578E-3</v>
      </c>
      <c r="H245" s="828">
        <f t="shared" si="94"/>
        <v>1.3360959993715213E-2</v>
      </c>
      <c r="I245" s="829">
        <v>347416.57</v>
      </c>
      <c r="J245" s="830">
        <v>400000</v>
      </c>
      <c r="K245" s="830">
        <f t="shared" si="95"/>
        <v>6199.7600000000093</v>
      </c>
      <c r="L245" s="792">
        <f t="shared" si="91"/>
        <v>1.8169562044730473E-2</v>
      </c>
      <c r="M245" s="831">
        <f t="shared" si="96"/>
        <v>-52583.429999999993</v>
      </c>
      <c r="N245" s="832">
        <f t="shared" si="92"/>
        <v>-0.13145857499999999</v>
      </c>
      <c r="O245" s="786">
        <f t="shared" si="85"/>
        <v>-0.13640694465553976</v>
      </c>
      <c r="P245" s="831" t="b">
        <f t="shared" si="97"/>
        <v>1</v>
      </c>
      <c r="Q245" s="832">
        <f>COUNTIF(P$2:P245, TRUE)/(COUNTIF(P$2:P245,FALSE) + COUNTIF(P$2:P245, TRUE))</f>
        <v>0.48770491803278687</v>
      </c>
      <c r="R245" s="830">
        <v>306485.61</v>
      </c>
      <c r="S245" s="830">
        <f t="shared" si="100"/>
        <v>40930.960000000021</v>
      </c>
      <c r="T245" s="830">
        <v>-64757</v>
      </c>
      <c r="U245" s="830">
        <f t="shared" si="101"/>
        <v>12173.570000000007</v>
      </c>
      <c r="V245" s="832">
        <f>STDEV(D$2:D245)*SQRT(252)</f>
        <v>0.17302631654204345</v>
      </c>
      <c r="W245" s="832">
        <f>STDEV(L$2:L245)*SQRT(252)</f>
        <v>0.37103067638911486</v>
      </c>
      <c r="X245" s="801">
        <f t="shared" si="88"/>
        <v>0.17499528811438669</v>
      </c>
      <c r="Y245" s="801">
        <f t="shared" si="89"/>
        <v>-0.36764330643238863</v>
      </c>
      <c r="Z245" s="807">
        <f t="shared" si="90"/>
        <v>-0.16063895589077448</v>
      </c>
    </row>
    <row r="246" spans="1:26" ht="20.100000000000001" customHeight="1" x14ac:dyDescent="0.2">
      <c r="A246" s="776">
        <f t="shared" si="84"/>
        <v>353</v>
      </c>
      <c r="B246" s="824">
        <v>42586</v>
      </c>
      <c r="C246" s="825">
        <v>2164.25</v>
      </c>
      <c r="D246" s="792">
        <f t="shared" si="82"/>
        <v>2.1258994634416298E-4</v>
      </c>
      <c r="E246" s="826">
        <f t="shared" si="93"/>
        <v>2.939917429272652E-2</v>
      </c>
      <c r="F246" s="827">
        <v>5166.24</v>
      </c>
      <c r="G246" s="792">
        <f t="shared" si="76"/>
        <v>1.2616939258449993E-3</v>
      </c>
      <c r="H246" s="828">
        <f t="shared" si="94"/>
        <v>1.4639511361627741E-2</v>
      </c>
      <c r="I246" s="829">
        <v>348668.66</v>
      </c>
      <c r="J246" s="830">
        <v>400000</v>
      </c>
      <c r="K246" s="830">
        <f t="shared" si="95"/>
        <v>1252.0899999999674</v>
      </c>
      <c r="L246" s="792">
        <f t="shared" si="91"/>
        <v>3.6040019622551895E-3</v>
      </c>
      <c r="M246" s="831">
        <f t="shared" si="96"/>
        <v>-51331.340000000026</v>
      </c>
      <c r="N246" s="832">
        <f t="shared" si="92"/>
        <v>-0.12832835000000006</v>
      </c>
      <c r="O246" s="786">
        <f t="shared" si="85"/>
        <v>-0.13278167092776211</v>
      </c>
      <c r="P246" s="831" t="b">
        <f t="shared" si="97"/>
        <v>1</v>
      </c>
      <c r="Q246" s="832">
        <f>COUNTIF(P$2:P246, TRUE)/(COUNTIF(P$2:P246,FALSE) + COUNTIF(P$2:P246, TRUE))</f>
        <v>0.48979591836734693</v>
      </c>
      <c r="R246" s="830">
        <v>306486.61</v>
      </c>
      <c r="S246" s="830">
        <f t="shared" si="100"/>
        <v>42182.049999999988</v>
      </c>
      <c r="T246" s="830">
        <v>-64756</v>
      </c>
      <c r="U246" s="830">
        <f t="shared" si="101"/>
        <v>13424.659999999974</v>
      </c>
      <c r="V246" s="832">
        <f>STDEV(D$2:D246)*SQRT(252)</f>
        <v>0.1726699319358726</v>
      </c>
      <c r="W246" s="832">
        <f>STDEV(L$2:L246)*SQRT(252)</f>
        <v>0.37028383202660053</v>
      </c>
      <c r="X246" s="801">
        <f t="shared" si="88"/>
        <v>0.17617080319104653</v>
      </c>
      <c r="Y246" s="801">
        <f t="shared" si="89"/>
        <v>-0.3585942983279467</v>
      </c>
      <c r="Z246" s="807">
        <f t="shared" si="90"/>
        <v>-0.15772752429272657</v>
      </c>
    </row>
    <row r="247" spans="1:26" ht="20.100000000000001" customHeight="1" x14ac:dyDescent="0.2">
      <c r="A247" s="776">
        <f t="shared" si="84"/>
        <v>354</v>
      </c>
      <c r="B247" s="824">
        <v>42587</v>
      </c>
      <c r="C247" s="825">
        <v>2182.87</v>
      </c>
      <c r="D247" s="792">
        <f t="shared" si="82"/>
        <v>8.6034423010280196E-3</v>
      </c>
      <c r="E247" s="826">
        <f t="shared" si="93"/>
        <v>3.8255550693479877E-2</v>
      </c>
      <c r="F247" s="827">
        <v>5221.12</v>
      </c>
      <c r="G247" s="792">
        <f t="shared" si="76"/>
        <v>1.0622812722599049E-2</v>
      </c>
      <c r="H247" s="828">
        <f t="shared" si="94"/>
        <v>2.5417836871771723E-2</v>
      </c>
      <c r="I247" s="829">
        <v>357514.04</v>
      </c>
      <c r="J247" s="830">
        <v>400000</v>
      </c>
      <c r="K247" s="830">
        <f t="shared" si="95"/>
        <v>8845.3800000000047</v>
      </c>
      <c r="L247" s="792">
        <f t="shared" si="91"/>
        <v>2.5369013664721128E-2</v>
      </c>
      <c r="M247" s="831">
        <f t="shared" si="96"/>
        <v>-42485.960000000021</v>
      </c>
      <c r="N247" s="832">
        <f t="shared" si="92"/>
        <v>-0.10621490000000006</v>
      </c>
      <c r="O247" s="786">
        <f t="shared" si="85"/>
        <v>-0.10959037351694921</v>
      </c>
      <c r="P247" s="831" t="b">
        <f t="shared" si="97"/>
        <v>1</v>
      </c>
      <c r="Q247" s="832">
        <f>COUNTIF(P$2:P247, TRUE)/(COUNTIF(P$2:P247,FALSE) + COUNTIF(P$2:P247, TRUE))</f>
        <v>0.491869918699187</v>
      </c>
      <c r="R247" s="830">
        <v>296324.56</v>
      </c>
      <c r="S247" s="830">
        <f t="shared" si="100"/>
        <v>61189.479999999981</v>
      </c>
      <c r="T247" s="830">
        <v>-56695</v>
      </c>
      <c r="U247" s="830">
        <f t="shared" si="101"/>
        <v>14209.039999999979</v>
      </c>
      <c r="V247" s="832">
        <f>STDEV(D$2:D247)*SQRT(252)</f>
        <v>0.17252748561218473</v>
      </c>
      <c r="W247" s="832">
        <f>STDEV(L$2:L247)*SQRT(252)</f>
        <v>0.37041269754030803</v>
      </c>
      <c r="X247" s="801">
        <f t="shared" si="88"/>
        <v>0.22878267185357812</v>
      </c>
      <c r="Y247" s="801">
        <f t="shared" si="89"/>
        <v>-0.29586019659875096</v>
      </c>
      <c r="Z247" s="807">
        <f t="shared" si="90"/>
        <v>-0.14447045069347994</v>
      </c>
    </row>
    <row r="248" spans="1:26" ht="20.100000000000001" customHeight="1" x14ac:dyDescent="0.2">
      <c r="A248" s="776">
        <f t="shared" si="84"/>
        <v>357</v>
      </c>
      <c r="B248" s="795">
        <v>42590</v>
      </c>
      <c r="C248" s="820">
        <v>2180.89</v>
      </c>
      <c r="D248" s="792">
        <f t="shared" si="82"/>
        <v>-9.0706272018032145E-4</v>
      </c>
      <c r="E248" s="819">
        <f t="shared" si="93"/>
        <v>3.7313787789425533E-2</v>
      </c>
      <c r="F248" s="816">
        <v>5213.1400000000003</v>
      </c>
      <c r="G248" s="792">
        <f t="shared" si="76"/>
        <v>-1.528407697965104E-3</v>
      </c>
      <c r="H248" s="797">
        <f t="shared" si="94"/>
        <v>2.3850580356266179E-2</v>
      </c>
      <c r="I248" s="799">
        <v>360717.48</v>
      </c>
      <c r="J248" s="800">
        <v>400000</v>
      </c>
      <c r="K248" s="800">
        <f t="shared" si="95"/>
        <v>3203.4400000000023</v>
      </c>
      <c r="L248" s="792">
        <f>K248/I247</f>
        <v>8.9603194324899878E-3</v>
      </c>
      <c r="M248" s="817">
        <f t="shared" si="96"/>
        <v>-39282.520000000019</v>
      </c>
      <c r="N248" s="802">
        <f t="shared" si="92"/>
        <v>-9.8206300000000052E-2</v>
      </c>
      <c r="O248" s="786">
        <f t="shared" si="85"/>
        <v>-0.10047577331932778</v>
      </c>
      <c r="P248" s="817" t="b">
        <f t="shared" si="97"/>
        <v>1</v>
      </c>
      <c r="Q248" s="802">
        <f>COUNTIF(P$2:P248, TRUE)/(COUNTIF(P$2:P248,FALSE) + COUNTIF(P$2:P248, TRUE))</f>
        <v>0.49392712550607287</v>
      </c>
      <c r="R248" s="800">
        <v>306053.2</v>
      </c>
      <c r="S248" s="800">
        <f t="shared" si="100"/>
        <v>54664.27999999997</v>
      </c>
      <c r="T248" s="800">
        <v>-53403</v>
      </c>
      <c r="U248" s="800">
        <f t="shared" si="101"/>
        <v>14120.479999999981</v>
      </c>
      <c r="V248" s="802">
        <f>STDEV(D$2:D248)*SQRT(252)</f>
        <v>0.17217875518634856</v>
      </c>
      <c r="W248" s="802">
        <f>STDEV(L$2:L248)*SQRT(252)</f>
        <v>0.36976250802064314</v>
      </c>
      <c r="X248" s="801">
        <f t="shared" si="88"/>
        <v>0.22172352891859115</v>
      </c>
      <c r="Y248" s="801">
        <f t="shared" si="89"/>
        <v>-0.27173055985902822</v>
      </c>
      <c r="Z248" s="807">
        <f t="shared" si="90"/>
        <v>-0.13552008778942559</v>
      </c>
    </row>
    <row r="249" spans="1:26" ht="20.100000000000001" customHeight="1" x14ac:dyDescent="0.2">
      <c r="A249" s="776">
        <f t="shared" si="84"/>
        <v>358</v>
      </c>
      <c r="B249" s="795">
        <v>42591</v>
      </c>
      <c r="C249" s="820">
        <v>2181.89</v>
      </c>
      <c r="D249" s="792">
        <f t="shared" si="82"/>
        <v>4.5852839895638939E-4</v>
      </c>
      <c r="E249" s="819">
        <f t="shared" si="93"/>
        <v>3.7789425619756005E-2</v>
      </c>
      <c r="F249" s="816">
        <v>5214.1400000000003</v>
      </c>
      <c r="G249" s="792">
        <f t="shared" si="76"/>
        <v>1.9182297041706148E-4</v>
      </c>
      <c r="H249" s="797">
        <f t="shared" si="94"/>
        <v>2.4046978415853352E-2</v>
      </c>
      <c r="I249" s="799">
        <v>360792.14</v>
      </c>
      <c r="J249" s="800">
        <v>400000</v>
      </c>
      <c r="K249" s="800">
        <f t="shared" si="95"/>
        <v>74.660000000032596</v>
      </c>
      <c r="L249" s="792">
        <f t="shared" ref="L249:L260" si="102">K249/I248</f>
        <v>2.0697638495376658E-4</v>
      </c>
      <c r="M249" s="817">
        <f t="shared" si="96"/>
        <v>-39207.859999999986</v>
      </c>
      <c r="N249" s="802">
        <f t="shared" si="92"/>
        <v>-9.8019649999999958E-2</v>
      </c>
      <c r="O249" s="786">
        <f t="shared" si="85"/>
        <v>-0.10000468481145247</v>
      </c>
      <c r="P249" s="817" t="b">
        <f t="shared" si="97"/>
        <v>0</v>
      </c>
      <c r="Q249" s="802">
        <f>COUNTIF(P$2:P249, TRUE)/(COUNTIF(P$2:P249,FALSE) + COUNTIF(P$2:P249, TRUE))</f>
        <v>0.49193548387096775</v>
      </c>
      <c r="R249" s="800">
        <v>312485.65999999997</v>
      </c>
      <c r="S249" s="800">
        <f t="shared" si="100"/>
        <v>48306.48000000004</v>
      </c>
      <c r="T249" s="800">
        <v>-52872</v>
      </c>
      <c r="U249" s="800">
        <f t="shared" si="101"/>
        <v>13664.140000000014</v>
      </c>
      <c r="V249" s="802">
        <f>STDEV(D$2:D249)*SQRT(252)</f>
        <v>0.17182862889451342</v>
      </c>
      <c r="W249" s="802">
        <f>STDEV(L$2:L249)*SQRT(252)</f>
        <v>0.36901019344056429</v>
      </c>
      <c r="X249" s="801">
        <f t="shared" si="88"/>
        <v>0.224378873969555</v>
      </c>
      <c r="Y249" s="801">
        <f t="shared" si="89"/>
        <v>-0.27100791953477571</v>
      </c>
      <c r="Z249" s="807">
        <f t="shared" si="90"/>
        <v>-0.13580907561975597</v>
      </c>
    </row>
    <row r="250" spans="1:26" ht="20.100000000000001" customHeight="1" x14ac:dyDescent="0.2">
      <c r="A250" s="776">
        <f t="shared" si="84"/>
        <v>359</v>
      </c>
      <c r="B250" s="795">
        <v>42592</v>
      </c>
      <c r="C250" s="820">
        <v>2175.4899999999998</v>
      </c>
      <c r="D250" s="792">
        <f t="shared" si="82"/>
        <v>-2.9332367809560022E-3</v>
      </c>
      <c r="E250" s="819">
        <f t="shared" si="93"/>
        <v>3.4745343505640937E-2</v>
      </c>
      <c r="F250" s="816">
        <v>5204.58</v>
      </c>
      <c r="G250" s="792">
        <f t="shared" si="76"/>
        <v>-1.8334758943949338E-3</v>
      </c>
      <c r="H250" s="797">
        <f t="shared" si="94"/>
        <v>2.2169412966199915E-2</v>
      </c>
      <c r="I250" s="799">
        <v>354430.79</v>
      </c>
      <c r="J250" s="800">
        <v>400000</v>
      </c>
      <c r="K250" s="800">
        <f t="shared" si="95"/>
        <v>-6361.3500000000349</v>
      </c>
      <c r="L250" s="792">
        <f t="shared" si="102"/>
        <v>-1.7631620245385709E-2</v>
      </c>
      <c r="M250" s="817">
        <f t="shared" si="96"/>
        <v>-45569.210000000021</v>
      </c>
      <c r="N250" s="802">
        <f t="shared" si="92"/>
        <v>-0.11392302500000005</v>
      </c>
      <c r="O250" s="786">
        <f t="shared" si="85"/>
        <v>-0.11590636457172708</v>
      </c>
      <c r="P250" s="817" t="b">
        <f t="shared" si="97"/>
        <v>0</v>
      </c>
      <c r="Q250" s="802">
        <f>COUNTIF(P$2:P250, TRUE)/(COUNTIF(P$2:P250,FALSE) + COUNTIF(P$2:P250, TRUE))</f>
        <v>0.48995983935742971</v>
      </c>
      <c r="R250" s="800">
        <v>304644.53999999998</v>
      </c>
      <c r="S250" s="800">
        <f t="shared" si="100"/>
        <v>49786.25</v>
      </c>
      <c r="T250" s="800">
        <v>-58573</v>
      </c>
      <c r="U250" s="800">
        <f t="shared" si="101"/>
        <v>13003.789999999979</v>
      </c>
      <c r="V250" s="802">
        <f>STDEV(D$2:D250)*SQRT(252)</f>
        <v>0.17150968940597233</v>
      </c>
      <c r="W250" s="802">
        <f>STDEV(L$2:L250)*SQRT(252)</f>
        <v>0.36870219429475543</v>
      </c>
      <c r="X250" s="801">
        <f t="shared" si="88"/>
        <v>0.2061122124913761</v>
      </c>
      <c r="Y250" s="801">
        <f t="shared" si="89"/>
        <v>-0.31436309944786184</v>
      </c>
      <c r="Z250" s="807">
        <f t="shared" si="90"/>
        <v>-0.148668368505641</v>
      </c>
    </row>
    <row r="251" spans="1:26" ht="20.100000000000001" customHeight="1" x14ac:dyDescent="0.2">
      <c r="A251" s="776">
        <f>B251-$B$2</f>
        <v>364</v>
      </c>
      <c r="B251" s="824">
        <v>42597</v>
      </c>
      <c r="C251" s="825">
        <v>2190.15</v>
      </c>
      <c r="D251" s="792">
        <f t="shared" si="82"/>
        <v>6.7387117385050311E-3</v>
      </c>
      <c r="E251" s="826">
        <f t="shared" si="93"/>
        <v>4.1718194098285817E-2</v>
      </c>
      <c r="F251" s="827">
        <v>5262.01</v>
      </c>
      <c r="G251" s="792">
        <f t="shared" si="76"/>
        <v>1.1034511910663356E-2</v>
      </c>
      <c r="H251" s="828">
        <f t="shared" si="94"/>
        <v>3.3448553528291222E-2</v>
      </c>
      <c r="I251" s="829">
        <v>368660.8</v>
      </c>
      <c r="J251" s="830">
        <v>400000</v>
      </c>
      <c r="K251" s="830">
        <f t="shared" si="95"/>
        <v>14230.010000000009</v>
      </c>
      <c r="L251" s="792">
        <f t="shared" si="102"/>
        <v>4.0148910313350626E-2</v>
      </c>
      <c r="M251" s="831">
        <f t="shared" si="96"/>
        <v>-31339.200000000012</v>
      </c>
      <c r="N251" s="832">
        <f t="shared" si="92"/>
        <v>-7.8348000000000029E-2</v>
      </c>
      <c r="O251" s="786">
        <f t="shared" si="85"/>
        <v>-7.8617052197802226E-2</v>
      </c>
      <c r="P251" s="831" t="b">
        <f t="shared" si="97"/>
        <v>1</v>
      </c>
      <c r="Q251" s="832">
        <f>COUNTIF(P$2:P251, TRUE)/(COUNTIF(P$2:P251,FALSE) + COUNTIF(P$2:P251, TRUE))</f>
        <v>0.49199999999999999</v>
      </c>
      <c r="R251" s="830">
        <v>269504.8</v>
      </c>
      <c r="S251" s="830">
        <f t="shared" si="100"/>
        <v>99156</v>
      </c>
      <c r="T251" s="830">
        <v>-45515</v>
      </c>
      <c r="U251" s="830">
        <f t="shared" si="101"/>
        <v>14175.799999999988</v>
      </c>
      <c r="V251" s="832">
        <f>STDEV(D$2:D251)*SQRT(252)</f>
        <v>0.17129006286582368</v>
      </c>
      <c r="W251" s="832">
        <f>STDEV(L$2:L251)*SQRT(252)</f>
        <v>0.37015124159076757</v>
      </c>
      <c r="X251" s="801">
        <f t="shared" si="88"/>
        <v>0.24438929163252596</v>
      </c>
      <c r="Y251" s="801">
        <f t="shared" si="89"/>
        <v>-0.21239170199709825</v>
      </c>
      <c r="Z251" s="807">
        <f t="shared" si="90"/>
        <v>-0.12006619409828584</v>
      </c>
    </row>
    <row r="252" spans="1:26" ht="20.100000000000001" customHeight="1" x14ac:dyDescent="0.2">
      <c r="A252" s="776">
        <f t="shared" ref="A252:A276" si="103">B252-$B$2</f>
        <v>365</v>
      </c>
      <c r="B252" s="824">
        <v>42598</v>
      </c>
      <c r="C252" s="825">
        <v>2178.15</v>
      </c>
      <c r="D252" s="792">
        <f t="shared" si="82"/>
        <v>-5.479076775563317E-3</v>
      </c>
      <c r="E252" s="826">
        <f t="shared" si="93"/>
        <v>3.6010540134320139E-2</v>
      </c>
      <c r="F252" s="827">
        <v>5227.1099999999997</v>
      </c>
      <c r="G252" s="792">
        <f t="shared" si="76"/>
        <v>-6.6324465365897338E-3</v>
      </c>
      <c r="H252" s="828">
        <f t="shared" si="94"/>
        <v>2.6594261248698837E-2</v>
      </c>
      <c r="I252" s="829">
        <f>368660.8+2262.39</f>
        <v>370923.19</v>
      </c>
      <c r="J252" s="830">
        <v>400000</v>
      </c>
      <c r="K252" s="830">
        <f t="shared" si="95"/>
        <v>2262.390000000014</v>
      </c>
      <c r="L252" s="792">
        <f t="shared" si="102"/>
        <v>6.1367793917878281E-3</v>
      </c>
      <c r="M252" s="831">
        <f t="shared" si="96"/>
        <v>-29076.809999999998</v>
      </c>
      <c r="N252" s="832">
        <f t="shared" si="92"/>
        <v>-7.2692024999999993E-2</v>
      </c>
      <c r="O252" s="786">
        <f t="shared" si="85"/>
        <v>-7.2741814058219167E-2</v>
      </c>
      <c r="P252" s="831" t="b">
        <f t="shared" si="97"/>
        <v>1</v>
      </c>
      <c r="Q252" s="832">
        <f>COUNTIF(P$2:P252, TRUE)/(COUNTIF(P$2:P252,FALSE) + COUNTIF(P$2:P252, TRUE))</f>
        <v>0.49402390438247012</v>
      </c>
      <c r="R252" s="830"/>
      <c r="S252" s="830"/>
      <c r="T252" s="830"/>
      <c r="U252" s="830"/>
      <c r="V252" s="832">
        <f>STDEV(D$2:D252)*SQRT(252)</f>
        <v>0.17104156878989371</v>
      </c>
      <c r="W252" s="832">
        <f>STDEV(L$2:L252)*SQRT(252)</f>
        <v>0.36945344751699344</v>
      </c>
      <c r="X252" s="801">
        <f t="shared" si="88"/>
        <v>0.21068097739504599</v>
      </c>
      <c r="Y252" s="801">
        <f t="shared" si="89"/>
        <v>-0.19689033773293813</v>
      </c>
      <c r="Z252" s="807">
        <f t="shared" si="90"/>
        <v>-0.10870256513432014</v>
      </c>
    </row>
    <row r="253" spans="1:26" ht="20.100000000000001" customHeight="1" x14ac:dyDescent="0.2">
      <c r="A253" s="776">
        <f t="shared" si="103"/>
        <v>366</v>
      </c>
      <c r="B253" s="824">
        <v>42599</v>
      </c>
      <c r="C253" s="825">
        <v>2182.2199999999998</v>
      </c>
      <c r="D253" s="792">
        <f t="shared" si="82"/>
        <v>1.8685581801068378E-3</v>
      </c>
      <c r="E253" s="826">
        <f t="shared" si="93"/>
        <v>3.794638610376503E-2</v>
      </c>
      <c r="F253" s="827">
        <v>5228.6499999999996</v>
      </c>
      <c r="G253" s="792">
        <f t="shared" si="76"/>
        <v>2.946178672344687E-4</v>
      </c>
      <c r="H253" s="828">
        <f t="shared" si="94"/>
        <v>2.6896714260463073E-2</v>
      </c>
      <c r="I253" s="829">
        <v>375295.13</v>
      </c>
      <c r="J253" s="830">
        <v>400000</v>
      </c>
      <c r="K253" s="830">
        <f t="shared" si="95"/>
        <v>4371.9400000000023</v>
      </c>
      <c r="L253" s="792">
        <f t="shared" si="102"/>
        <v>1.1786645100296917E-2</v>
      </c>
      <c r="M253" s="831">
        <f t="shared" si="96"/>
        <v>-24704.869999999995</v>
      </c>
      <c r="N253" s="832">
        <f t="shared" si="92"/>
        <v>-6.1762174999999989E-2</v>
      </c>
      <c r="O253" s="786">
        <f t="shared" si="85"/>
        <v>-6.1635613165983594E-2</v>
      </c>
      <c r="P253" s="831" t="b">
        <f t="shared" si="97"/>
        <v>1</v>
      </c>
      <c r="Q253" s="832">
        <f>COUNTIF(P$2:P253, TRUE)/(COUNTIF(P$2:P253,FALSE) + COUNTIF(P$2:P253, TRUE))</f>
        <v>0.49603174603174605</v>
      </c>
      <c r="R253" s="830">
        <v>255293.6</v>
      </c>
      <c r="S253" s="830">
        <f t="shared" ref="S253:S284" si="104">I253-R253</f>
        <v>120001.53</v>
      </c>
      <c r="T253" s="830">
        <v>-39008</v>
      </c>
      <c r="U253" s="830">
        <f t="shared" ref="U253:U284" si="105">M253-T253</f>
        <v>14303.130000000005</v>
      </c>
      <c r="V253" s="832">
        <f>STDEV(D$2:D253)*SQRT(252)</f>
        <v>0.17070733564482474</v>
      </c>
      <c r="W253" s="832">
        <f>STDEV(L$2:L253)*SQRT(252)</f>
        <v>0.36889217852396583</v>
      </c>
      <c r="X253" s="801">
        <f t="shared" si="88"/>
        <v>0.22183362520892069</v>
      </c>
      <c r="Y253" s="801">
        <f t="shared" si="89"/>
        <v>-0.16708300352857525</v>
      </c>
      <c r="Z253" s="807">
        <f t="shared" si="90"/>
        <v>-9.9708561103765025E-2</v>
      </c>
    </row>
    <row r="254" spans="1:26" ht="20.100000000000001" customHeight="1" x14ac:dyDescent="0.2">
      <c r="A254" s="776">
        <f t="shared" si="103"/>
        <v>367</v>
      </c>
      <c r="B254" s="824">
        <v>42600</v>
      </c>
      <c r="C254" s="825">
        <v>2187.02</v>
      </c>
      <c r="D254" s="792">
        <f t="shared" si="82"/>
        <v>2.1995949079378716E-3</v>
      </c>
      <c r="E254" s="826">
        <f t="shared" si="93"/>
        <v>4.0229447689351383E-2</v>
      </c>
      <c r="F254" s="827">
        <v>5240.1400000000003</v>
      </c>
      <c r="G254" s="792">
        <f t="shared" si="76"/>
        <v>2.1975079609460745E-3</v>
      </c>
      <c r="H254" s="828">
        <f t="shared" si="94"/>
        <v>2.9153327965119807E-2</v>
      </c>
      <c r="I254" s="829">
        <v>382262.83</v>
      </c>
      <c r="J254" s="830">
        <v>400000</v>
      </c>
      <c r="K254" s="830">
        <f t="shared" si="95"/>
        <v>6967.7000000000116</v>
      </c>
      <c r="L254" s="792">
        <f t="shared" si="102"/>
        <v>1.8565921705405587E-2</v>
      </c>
      <c r="M254" s="831">
        <f t="shared" ref="M254:M259" si="106">I254-J254</f>
        <v>-17737.169999999984</v>
      </c>
      <c r="N254" s="832">
        <f t="shared" ref="N254:N285" si="107">M254/J254</f>
        <v>-4.4342924999999957E-2</v>
      </c>
      <c r="O254" s="786">
        <f t="shared" si="85"/>
        <v>-4.4131480534741106E-2</v>
      </c>
      <c r="P254" s="831" t="b">
        <f t="shared" si="97"/>
        <v>1</v>
      </c>
      <c r="Q254" s="832">
        <f>COUNTIF(P$2:P254, TRUE)/(COUNTIF(P$2:P254,FALSE) + COUNTIF(P$2:P254, TRUE))</f>
        <v>0.49802371541501977</v>
      </c>
      <c r="R254" s="830">
        <v>234684.9</v>
      </c>
      <c r="S254" s="830">
        <f t="shared" si="104"/>
        <v>147577.93000000002</v>
      </c>
      <c r="T254" s="830">
        <v>-32026</v>
      </c>
      <c r="U254" s="830">
        <f t="shared" si="105"/>
        <v>14288.830000000016</v>
      </c>
      <c r="V254" s="832">
        <f>STDEV(D$2:D254)*SQRT(252)</f>
        <v>0.17037860468394234</v>
      </c>
      <c r="W254" s="832">
        <f>STDEV(L$2:L254)*SQRT(252)</f>
        <v>0.36860527111095059</v>
      </c>
      <c r="X254" s="801">
        <f t="shared" si="88"/>
        <v>0.23499205180244426</v>
      </c>
      <c r="Y254" s="801">
        <f t="shared" si="89"/>
        <v>-0.11972558179033062</v>
      </c>
      <c r="Z254" s="807">
        <f t="shared" si="90"/>
        <v>-8.4572372689351333E-2</v>
      </c>
    </row>
    <row r="255" spans="1:26" ht="20.100000000000001" customHeight="1" x14ac:dyDescent="0.2">
      <c r="A255" s="776">
        <f t="shared" si="103"/>
        <v>368</v>
      </c>
      <c r="B255" s="824">
        <v>42601</v>
      </c>
      <c r="C255" s="825">
        <v>2183.87</v>
      </c>
      <c r="D255" s="792">
        <f t="shared" si="82"/>
        <v>-1.4403160464925291E-3</v>
      </c>
      <c r="E255" s="826">
        <f t="shared" si="93"/>
        <v>3.8731188523810349E-2</v>
      </c>
      <c r="F255" s="827">
        <v>5238.37</v>
      </c>
      <c r="G255" s="792">
        <f t="shared" si="76"/>
        <v>-3.377772349594546E-4</v>
      </c>
      <c r="H255" s="828">
        <f t="shared" si="94"/>
        <v>2.8805703399650426E-2</v>
      </c>
      <c r="I255" s="829">
        <v>382810.75</v>
      </c>
      <c r="J255" s="830">
        <v>400000</v>
      </c>
      <c r="K255" s="830">
        <f t="shared" si="95"/>
        <v>547.9199999999837</v>
      </c>
      <c r="L255" s="792">
        <f t="shared" si="102"/>
        <v>1.4333593459766509E-3</v>
      </c>
      <c r="M255" s="831">
        <f t="shared" si="106"/>
        <v>-17189.25</v>
      </c>
      <c r="N255" s="832">
        <f t="shared" si="107"/>
        <v>-4.2973125000000001E-2</v>
      </c>
      <c r="O255" s="786">
        <f t="shared" si="85"/>
        <v>-4.265199431046196E-2</v>
      </c>
      <c r="P255" s="831" t="b">
        <f t="shared" si="97"/>
        <v>1</v>
      </c>
      <c r="Q255" s="832">
        <f>COUNTIF(P$2:P255, TRUE)/(COUNTIF(P$2:P255,FALSE) + COUNTIF(P$2:P255, TRUE))</f>
        <v>0.5</v>
      </c>
      <c r="R255" s="830">
        <v>232963</v>
      </c>
      <c r="S255" s="830">
        <f t="shared" si="104"/>
        <v>149847.75</v>
      </c>
      <c r="T255" s="830">
        <v>-31491</v>
      </c>
      <c r="U255" s="830">
        <f t="shared" si="105"/>
        <v>14301.75</v>
      </c>
      <c r="V255" s="832">
        <f>STDEV(D$2:D255)*SQRT(252)</f>
        <v>0.17004823124419763</v>
      </c>
      <c r="W255" s="832">
        <f>STDEV(L$2:L255)*SQRT(252)</f>
        <v>0.36787447588145594</v>
      </c>
      <c r="X255" s="801">
        <f t="shared" si="88"/>
        <v>0.22606384557229847</v>
      </c>
      <c r="Y255" s="801">
        <f t="shared" si="89"/>
        <v>-0.11594170595354422</v>
      </c>
      <c r="Z255" s="807">
        <f t="shared" si="90"/>
        <v>-8.1704313523810357E-2</v>
      </c>
    </row>
    <row r="256" spans="1:26" ht="20.100000000000001" customHeight="1" x14ac:dyDescent="0.2">
      <c r="A256" s="776">
        <f t="shared" si="103"/>
        <v>371</v>
      </c>
      <c r="B256" s="795">
        <v>42604</v>
      </c>
      <c r="C256" s="820">
        <v>2182.64</v>
      </c>
      <c r="D256" s="792">
        <f t="shared" si="82"/>
        <v>-5.6322033820695291E-4</v>
      </c>
      <c r="E256" s="819">
        <f t="shared" ref="E256:E287" si="108">(C256-$C$2)/$C$2</f>
        <v>3.8146153992503859E-2</v>
      </c>
      <c r="F256" s="816">
        <v>5244.6</v>
      </c>
      <c r="G256" s="792">
        <f t="shared" ref="G256:G261" si="109">(F256-F255)/F255</f>
        <v>1.1893012521071388E-3</v>
      </c>
      <c r="H256" s="797">
        <f t="shared" ref="H256:H287" si="110">(F256-F$2)/F$2</f>
        <v>3.0029263310878598E-2</v>
      </c>
      <c r="I256" s="799">
        <v>377083.42</v>
      </c>
      <c r="J256" s="800">
        <v>400000</v>
      </c>
      <c r="K256" s="800">
        <f t="shared" ref="K256:K287" si="111">I256-I255-J256+J255</f>
        <v>-5727.3300000000163</v>
      </c>
      <c r="L256" s="792">
        <f t="shared" si="102"/>
        <v>-1.4961256965746171E-2</v>
      </c>
      <c r="M256" s="817">
        <f t="shared" si="106"/>
        <v>-22916.580000000016</v>
      </c>
      <c r="N256" s="802">
        <f t="shared" si="107"/>
        <v>-5.7291450000000042E-2</v>
      </c>
      <c r="O256" s="786">
        <f t="shared" si="85"/>
        <v>-5.6403509737196808E-2</v>
      </c>
      <c r="P256" s="817" t="b">
        <f t="shared" ref="P256:P287" si="112">L256&gt;D256</f>
        <v>0</v>
      </c>
      <c r="Q256" s="802">
        <f>COUNTIF(P$2:P256, TRUE)/(COUNTIF(P$2:P256,FALSE) + COUNTIF(P$2:P256, TRUE))</f>
        <v>0.49803921568627452</v>
      </c>
      <c r="R256" s="800">
        <v>255242.1</v>
      </c>
      <c r="S256" s="800">
        <f t="shared" si="104"/>
        <v>121841.31999999998</v>
      </c>
      <c r="T256" s="800">
        <v>-37372</v>
      </c>
      <c r="U256" s="800">
        <f t="shared" si="105"/>
        <v>14455.419999999984</v>
      </c>
      <c r="V256" s="802">
        <f>STDEV(D$2:D256)*SQRT(252)</f>
        <v>0.1697135708935549</v>
      </c>
      <c r="W256" s="802">
        <f>STDEV(L$2:L256)*SQRT(252)</f>
        <v>0.36746793184663218</v>
      </c>
      <c r="X256" s="801">
        <f t="shared" si="88"/>
        <v>0.22128424861843085</v>
      </c>
      <c r="Y256" s="801">
        <f t="shared" si="89"/>
        <v>-0.15349233184444946</v>
      </c>
      <c r="Z256" s="807">
        <f t="shared" si="90"/>
        <v>-9.5437603992503894E-2</v>
      </c>
    </row>
    <row r="257" spans="1:26" ht="20.100000000000001" customHeight="1" x14ac:dyDescent="0.2">
      <c r="A257" s="776">
        <f t="shared" si="103"/>
        <v>372</v>
      </c>
      <c r="B257" s="795">
        <v>42605</v>
      </c>
      <c r="C257" s="820">
        <v>2186.9</v>
      </c>
      <c r="D257" s="792">
        <f t="shared" ref="D257:D263" si="113">(C257-C256)/C256</f>
        <v>1.951764835245491E-3</v>
      </c>
      <c r="E257" s="819">
        <f t="shared" si="108"/>
        <v>4.0172371149711783E-2</v>
      </c>
      <c r="F257" s="816">
        <v>5260.07</v>
      </c>
      <c r="G257" s="792">
        <f t="shared" si="109"/>
        <v>2.9497006444722845E-3</v>
      </c>
      <c r="H257" s="797">
        <f t="shared" si="110"/>
        <v>3.3067541292692008E-2</v>
      </c>
      <c r="I257" s="799">
        <v>383610.05</v>
      </c>
      <c r="J257" s="800">
        <v>400000</v>
      </c>
      <c r="K257" s="800">
        <f t="shared" si="111"/>
        <v>6526.6300000000047</v>
      </c>
      <c r="L257" s="792">
        <f t="shared" si="102"/>
        <v>1.7308186077234593E-2</v>
      </c>
      <c r="M257" s="817">
        <f t="shared" si="106"/>
        <v>-16389.950000000012</v>
      </c>
      <c r="N257" s="802">
        <f t="shared" si="107"/>
        <v>-4.0974875000000029E-2</v>
      </c>
      <c r="O257" s="786">
        <f t="shared" si="85"/>
        <v>-4.023137928427422E-2</v>
      </c>
      <c r="P257" s="817" t="b">
        <f t="shared" si="112"/>
        <v>1</v>
      </c>
      <c r="Q257" s="802">
        <f>COUNTIF(P$2:P257, TRUE)/(COUNTIF(P$2:P257,FALSE) + COUNTIF(P$2:P257, TRUE))</f>
        <v>0.5</v>
      </c>
      <c r="R257" s="800">
        <v>237329.4</v>
      </c>
      <c r="S257" s="800">
        <f t="shared" si="104"/>
        <v>146280.65</v>
      </c>
      <c r="T257" s="800">
        <v>-30977</v>
      </c>
      <c r="U257" s="800">
        <f t="shared" si="105"/>
        <v>14587.049999999988</v>
      </c>
      <c r="V257" s="802">
        <f>STDEV(D$2:D257)*SQRT(252)</f>
        <v>0.16938806622202984</v>
      </c>
      <c r="W257" s="802">
        <f>STDEV(L$2:L257)*SQRT(252)</f>
        <v>0.36712884125938189</v>
      </c>
      <c r="X257" s="801">
        <f t="shared" si="88"/>
        <v>0.23285841721626391</v>
      </c>
      <c r="Y257" s="801">
        <f t="shared" si="89"/>
        <v>-0.10958381571512156</v>
      </c>
      <c r="Z257" s="807">
        <f t="shared" si="90"/>
        <v>-8.1147246149711805E-2</v>
      </c>
    </row>
    <row r="258" spans="1:26" ht="20.100000000000001" customHeight="1" x14ac:dyDescent="0.2">
      <c r="A258" s="776">
        <f t="shared" si="103"/>
        <v>373</v>
      </c>
      <c r="B258" s="795">
        <v>42606</v>
      </c>
      <c r="C258" s="820">
        <v>2175.44</v>
      </c>
      <c r="D258" s="792">
        <f t="shared" si="113"/>
        <v>-5.2402944807718854E-3</v>
      </c>
      <c r="E258" s="819">
        <f t="shared" si="108"/>
        <v>3.4721561614124541E-2</v>
      </c>
      <c r="F258" s="816">
        <v>5217.6899999999996</v>
      </c>
      <c r="G258" s="792">
        <f t="shared" si="109"/>
        <v>-8.0569269990703758E-3</v>
      </c>
      <c r="H258" s="797">
        <f t="shared" si="110"/>
        <v>2.4744191527387667E-2</v>
      </c>
      <c r="I258" s="799">
        <f>379998.45+9.8</f>
        <v>380008.25</v>
      </c>
      <c r="J258" s="800">
        <v>400000</v>
      </c>
      <c r="K258" s="800">
        <f t="shared" si="111"/>
        <v>-3601.7999999999884</v>
      </c>
      <c r="L258" s="792">
        <f t="shared" si="102"/>
        <v>-9.3892222062482156E-3</v>
      </c>
      <c r="M258" s="817">
        <f t="shared" si="106"/>
        <v>-19991.75</v>
      </c>
      <c r="N258" s="802">
        <f t="shared" si="107"/>
        <v>-4.9979374999999999E-2</v>
      </c>
      <c r="O258" s="786">
        <f t="shared" si="85"/>
        <v>-4.894092954088472E-2</v>
      </c>
      <c r="P258" s="817" t="b">
        <f t="shared" si="112"/>
        <v>0</v>
      </c>
      <c r="Q258" s="802">
        <f>COUNTIF(P$2:P258, TRUE)/(COUNTIF(P$2:P258,FALSE) + COUNTIF(P$2:P258, TRUE))</f>
        <v>0.49805447470817121</v>
      </c>
      <c r="R258" s="800">
        <v>233717.8</v>
      </c>
      <c r="S258" s="800">
        <f t="shared" si="104"/>
        <v>146290.45000000001</v>
      </c>
      <c r="T258" s="800">
        <v>-34657</v>
      </c>
      <c r="U258" s="800">
        <f t="shared" si="105"/>
        <v>14665.25</v>
      </c>
      <c r="V258" s="802">
        <f>STDEV(D$2:D258)*SQRT(252)</f>
        <v>0.1691421099558785</v>
      </c>
      <c r="W258" s="802">
        <f>STDEV(L$2:L258)*SQRT(252)</f>
        <v>0.36653871966751894</v>
      </c>
      <c r="X258" s="801">
        <f t="shared" si="88"/>
        <v>0.20101520002742596</v>
      </c>
      <c r="Y258" s="801">
        <f t="shared" si="89"/>
        <v>-0.13352185434946193</v>
      </c>
      <c r="Z258" s="807">
        <f t="shared" si="90"/>
        <v>-8.4700936614124533E-2</v>
      </c>
    </row>
    <row r="259" spans="1:26" ht="20.100000000000001" customHeight="1" x14ac:dyDescent="0.2">
      <c r="A259" s="776">
        <f t="shared" si="103"/>
        <v>374</v>
      </c>
      <c r="B259" s="795">
        <v>42607</v>
      </c>
      <c r="C259" s="820">
        <v>2172.4699999999998</v>
      </c>
      <c r="D259" s="792">
        <f t="shared" si="113"/>
        <v>-1.3652410546833075E-3</v>
      </c>
      <c r="E259" s="819">
        <f t="shared" si="108"/>
        <v>3.3308917258042914E-2</v>
      </c>
      <c r="F259" s="816">
        <v>5212.2</v>
      </c>
      <c r="G259" s="792">
        <f t="shared" si="109"/>
        <v>-1.0521897621360759E-3</v>
      </c>
      <c r="H259" s="797">
        <f t="shared" si="110"/>
        <v>2.3665966180254142E-2</v>
      </c>
      <c r="I259" s="799">
        <v>380752.59</v>
      </c>
      <c r="J259" s="800">
        <v>400000</v>
      </c>
      <c r="K259" s="800">
        <f t="shared" si="111"/>
        <v>744.34000000002561</v>
      </c>
      <c r="L259" s="792">
        <f t="shared" si="102"/>
        <v>1.9587469482571116E-3</v>
      </c>
      <c r="M259" s="817">
        <f t="shared" si="106"/>
        <v>-19247.409999999974</v>
      </c>
      <c r="N259" s="802">
        <f t="shared" si="107"/>
        <v>-4.8118524999999933E-2</v>
      </c>
      <c r="O259" s="786">
        <f t="shared" si="85"/>
        <v>-4.6992757369652347E-2</v>
      </c>
      <c r="P259" s="817" t="b">
        <f t="shared" si="112"/>
        <v>1</v>
      </c>
      <c r="Q259" s="802">
        <f>COUNTIF(P$2:P259, TRUE)/(COUNTIF(P$2:P259,FALSE) + COUNTIF(P$2:P259, TRUE))</f>
        <v>0.5</v>
      </c>
      <c r="R259" s="800">
        <v>237299.38</v>
      </c>
      <c r="S259" s="800">
        <f t="shared" si="104"/>
        <v>143453.21000000002</v>
      </c>
      <c r="T259" s="800">
        <v>-33721</v>
      </c>
      <c r="U259" s="800">
        <f t="shared" si="105"/>
        <v>14473.590000000026</v>
      </c>
      <c r="V259" s="802">
        <f>STDEV(D$2:D259)*SQRT(252)</f>
        <v>0.16881845547722549</v>
      </c>
      <c r="W259" s="802">
        <f>STDEV(L$2:L259)*SQRT(252)</f>
        <v>0.36582526513101316</v>
      </c>
      <c r="X259" s="801">
        <f t="shared" si="88"/>
        <v>0.19269001721577103</v>
      </c>
      <c r="Y259" s="801">
        <f t="shared" si="89"/>
        <v>-0.12845683950457279</v>
      </c>
      <c r="Z259" s="807">
        <f t="shared" si="90"/>
        <v>-8.1427442258042854E-2</v>
      </c>
    </row>
    <row r="260" spans="1:26" ht="20.100000000000001" customHeight="1" x14ac:dyDescent="0.2">
      <c r="A260" s="776">
        <f t="shared" si="103"/>
        <v>375</v>
      </c>
      <c r="B260" s="795">
        <v>42608</v>
      </c>
      <c r="C260" s="820">
        <v>2169.04</v>
      </c>
      <c r="D260" s="792">
        <f t="shared" si="113"/>
        <v>-1.578848039328431E-3</v>
      </c>
      <c r="E260" s="819">
        <f t="shared" si="108"/>
        <v>3.1677479500009466E-2</v>
      </c>
      <c r="F260" s="816">
        <v>5218.91</v>
      </c>
      <c r="G260" s="792">
        <f t="shared" si="109"/>
        <v>1.2873642607728092E-3</v>
      </c>
      <c r="H260" s="797">
        <f t="shared" si="110"/>
        <v>2.4983797160084066E-2</v>
      </c>
      <c r="I260" s="799">
        <v>381100.52</v>
      </c>
      <c r="J260" s="800">
        <v>400000</v>
      </c>
      <c r="K260" s="800">
        <f t="shared" si="111"/>
        <v>347.92999999999302</v>
      </c>
      <c r="L260" s="792">
        <f t="shared" si="102"/>
        <v>9.1379549118757934E-4</v>
      </c>
      <c r="M260" s="817">
        <f t="shared" ref="M260:M273" si="114">I260-J260</f>
        <v>-18899.479999999981</v>
      </c>
      <c r="N260" s="802">
        <f t="shared" si="107"/>
        <v>-4.7248699999999956E-2</v>
      </c>
      <c r="O260" s="786">
        <f t="shared" si="85"/>
        <v>-4.6020233799999963E-2</v>
      </c>
      <c r="P260" s="817" t="b">
        <f t="shared" si="112"/>
        <v>1</v>
      </c>
      <c r="Q260" s="802">
        <f>COUNTIF(P$2:P260, TRUE)/(COUNTIF(P$2:P260,FALSE) + COUNTIF(P$2:P260, TRUE))</f>
        <v>0.50193050193050193</v>
      </c>
      <c r="R260" s="800">
        <v>258954.3</v>
      </c>
      <c r="S260" s="800">
        <f t="shared" si="104"/>
        <v>122146.22000000003</v>
      </c>
      <c r="T260" s="800">
        <v>-33067</v>
      </c>
      <c r="U260" s="800">
        <f t="shared" si="105"/>
        <v>14167.520000000019</v>
      </c>
      <c r="V260" s="802">
        <f>STDEV(D$2:D260)*SQRT(252)</f>
        <v>0.16849870140291789</v>
      </c>
      <c r="W260" s="802">
        <f>STDEV(L$2:L260)*SQRT(252)</f>
        <v>0.36511315760461099</v>
      </c>
      <c r="X260" s="801">
        <f t="shared" si="88"/>
        <v>0.18311040249046645</v>
      </c>
      <c r="Y260" s="801">
        <f t="shared" si="89"/>
        <v>-0.12604375613829913</v>
      </c>
      <c r="Z260" s="807">
        <f t="shared" si="90"/>
        <v>-7.8926179500009422E-2</v>
      </c>
    </row>
    <row r="261" spans="1:26" ht="20.100000000000001" customHeight="1" x14ac:dyDescent="0.2">
      <c r="A261" s="776">
        <f t="shared" si="103"/>
        <v>378</v>
      </c>
      <c r="B261" s="824">
        <v>42611</v>
      </c>
      <c r="C261" s="825">
        <v>2180.38</v>
      </c>
      <c r="D261" s="792">
        <f t="shared" si="113"/>
        <v>5.2281193523402731E-3</v>
      </c>
      <c r="E261" s="826">
        <f t="shared" si="108"/>
        <v>3.7071212495957101E-2</v>
      </c>
      <c r="F261" s="827">
        <v>5232.32</v>
      </c>
      <c r="G261" s="792">
        <f t="shared" si="109"/>
        <v>2.569502060775115E-3</v>
      </c>
      <c r="H261" s="828">
        <f t="shared" si="110"/>
        <v>2.7617495139148004E-2</v>
      </c>
      <c r="I261" s="829">
        <v>382828.93</v>
      </c>
      <c r="J261" s="830">
        <v>400000</v>
      </c>
      <c r="K261" s="830">
        <f t="shared" si="111"/>
        <v>1728.4099999999744</v>
      </c>
      <c r="L261" s="792">
        <f>K261/I260</f>
        <v>4.5353126256557569E-3</v>
      </c>
      <c r="M261" s="831">
        <f t="shared" si="114"/>
        <v>-17171.070000000007</v>
      </c>
      <c r="N261" s="832">
        <f t="shared" si="107"/>
        <v>-4.2927675000000019E-2</v>
      </c>
      <c r="O261" s="786">
        <f t="shared" si="85"/>
        <v>-4.147971770833335E-2</v>
      </c>
      <c r="P261" s="831" t="b">
        <f t="shared" si="112"/>
        <v>0</v>
      </c>
      <c r="Q261" s="832">
        <f>COUNTIF(P$2:P261, TRUE)/(COUNTIF(P$2:P261,FALSE) + COUNTIF(P$2:P261, TRUE))</f>
        <v>0.5</v>
      </c>
      <c r="R261" s="830">
        <v>260300.32</v>
      </c>
      <c r="S261" s="830">
        <f t="shared" si="104"/>
        <v>122528.60999999999</v>
      </c>
      <c r="T261" s="830">
        <v>-31777</v>
      </c>
      <c r="U261" s="830">
        <f t="shared" si="105"/>
        <v>14605.929999999993</v>
      </c>
      <c r="V261" s="832">
        <f>STDEV(D$2:D261)*SQRT(252)</f>
        <v>0.16824562360938053</v>
      </c>
      <c r="W261" s="832">
        <f>STDEV(L$2:L261)*SQRT(252)</f>
        <v>0.36442732658879068</v>
      </c>
      <c r="X261" s="801">
        <f t="shared" si="88"/>
        <v>0.21290773480869216</v>
      </c>
      <c r="Y261" s="801">
        <f t="shared" si="89"/>
        <v>-0.11382164476139263</v>
      </c>
      <c r="Z261" s="807">
        <f t="shared" si="90"/>
        <v>-7.9998887495957127E-2</v>
      </c>
    </row>
    <row r="262" spans="1:26" ht="20.100000000000001" customHeight="1" x14ac:dyDescent="0.2">
      <c r="A262" s="776">
        <f t="shared" si="103"/>
        <v>379</v>
      </c>
      <c r="B262" s="824">
        <v>42612</v>
      </c>
      <c r="C262" s="825">
        <v>2176.12</v>
      </c>
      <c r="D262" s="792">
        <f t="shared" si="113"/>
        <v>-1.9537878718389537E-3</v>
      </c>
      <c r="E262" s="826">
        <f t="shared" si="108"/>
        <v>3.5044995338749184E-2</v>
      </c>
      <c r="F262" s="827">
        <v>5222.9799999999996</v>
      </c>
      <c r="G262" s="792">
        <f>(F262-F261)/F261</f>
        <v>-1.7850590177971046E-3</v>
      </c>
      <c r="H262" s="828">
        <f t="shared" si="110"/>
        <v>2.5783137262603797E-2</v>
      </c>
      <c r="I262" s="829">
        <v>379406.56</v>
      </c>
      <c r="J262" s="830">
        <v>400000</v>
      </c>
      <c r="K262" s="830">
        <f t="shared" si="111"/>
        <v>-3422.3699999999953</v>
      </c>
      <c r="L262" s="792">
        <f>K262/I261</f>
        <v>-8.9396848874508921E-3</v>
      </c>
      <c r="M262" s="831">
        <f t="shared" si="114"/>
        <v>-20593.440000000002</v>
      </c>
      <c r="N262" s="832">
        <f t="shared" si="107"/>
        <v>-5.1483600000000004E-2</v>
      </c>
      <c r="O262" s="786">
        <f t="shared" si="85"/>
        <v>-4.9615791292875994E-2</v>
      </c>
      <c r="P262" s="831" t="b">
        <f t="shared" si="112"/>
        <v>0</v>
      </c>
      <c r="Q262" s="832">
        <f>COUNTIF(P$2:P262, TRUE)/(COUNTIF(P$2:P262,FALSE) + COUNTIF(P$2:P262, TRUE))</f>
        <v>0.49808429118773945</v>
      </c>
      <c r="R262" s="830">
        <v>274968.95</v>
      </c>
      <c r="S262" s="830">
        <f t="shared" si="104"/>
        <v>104437.60999999999</v>
      </c>
      <c r="T262" s="830">
        <v>-35414</v>
      </c>
      <c r="U262" s="830">
        <f t="shared" si="105"/>
        <v>14820.559999999998</v>
      </c>
      <c r="V262" s="832">
        <f>STDEV(D$2:D262)*SQRT(252)</f>
        <v>0.16793385572919492</v>
      </c>
      <c r="W262" s="832">
        <f>STDEV(L$2:L262)*SQRT(252)</f>
        <v>0.36384060156715331</v>
      </c>
      <c r="X262" s="801">
        <f t="shared" si="88"/>
        <v>0.20111235972788211</v>
      </c>
      <c r="Y262" s="801">
        <f t="shared" si="89"/>
        <v>-0.13636683503481539</v>
      </c>
      <c r="Z262" s="807">
        <f t="shared" si="90"/>
        <v>-8.6528595338749181E-2</v>
      </c>
    </row>
    <row r="263" spans="1:26" ht="20.100000000000001" customHeight="1" x14ac:dyDescent="0.2">
      <c r="A263" s="776">
        <f t="shared" si="103"/>
        <v>380</v>
      </c>
      <c r="B263" s="824">
        <v>42613</v>
      </c>
      <c r="C263" s="825">
        <v>2170.94</v>
      </c>
      <c r="D263" s="792">
        <f t="shared" si="113"/>
        <v>-2.3803834347369797E-3</v>
      </c>
      <c r="E263" s="826">
        <f t="shared" si="108"/>
        <v>3.258119137763741E-2</v>
      </c>
      <c r="F263" s="827">
        <v>5213.22</v>
      </c>
      <c r="G263" s="792">
        <f t="shared" ref="G263:G270" si="115">(F263-F262)/F262</f>
        <v>-1.8686650149913094E-3</v>
      </c>
      <c r="H263" s="828">
        <f t="shared" si="110"/>
        <v>2.3866292201033139E-2</v>
      </c>
      <c r="I263" s="836">
        <v>375078.22</v>
      </c>
      <c r="J263" s="830">
        <v>400000</v>
      </c>
      <c r="K263" s="830">
        <f t="shared" si="111"/>
        <v>-4328.3400000000256</v>
      </c>
      <c r="L263" s="792">
        <f>K263/I262</f>
        <v>-1.1408184402504863E-2</v>
      </c>
      <c r="M263" s="831">
        <f t="shared" si="114"/>
        <v>-24921.780000000028</v>
      </c>
      <c r="N263" s="832">
        <f t="shared" si="107"/>
        <v>-6.2304450000000067E-2</v>
      </c>
      <c r="O263" s="786">
        <f t="shared" ref="O263:O326" si="116">N263/(A263/365.25)</f>
        <v>-5.9886053585526386E-2</v>
      </c>
      <c r="P263" s="831" t="b">
        <f t="shared" si="112"/>
        <v>0</v>
      </c>
      <c r="Q263" s="832">
        <f>COUNTIF(P$2:P263, TRUE)/(COUNTIF(P$2:P263,FALSE) + COUNTIF(P$2:P263, TRUE))</f>
        <v>0.49618320610687022</v>
      </c>
      <c r="R263" s="830">
        <v>285803.11</v>
      </c>
      <c r="S263" s="830">
        <f t="shared" si="104"/>
        <v>89275.109999999986</v>
      </c>
      <c r="T263" s="830">
        <v>-39480</v>
      </c>
      <c r="U263" s="830">
        <f t="shared" si="105"/>
        <v>14558.219999999972</v>
      </c>
      <c r="V263" s="832">
        <f>STDEV(D$2:D263)*SQRT(252)</f>
        <v>0.16762959845319877</v>
      </c>
      <c r="W263" s="832">
        <f>STDEV(L$2:L263)*SQRT(252)</f>
        <v>0.36332602481523973</v>
      </c>
      <c r="X263" s="801">
        <f t="shared" si="88"/>
        <v>0.18681979197763582</v>
      </c>
      <c r="Y263" s="801">
        <f t="shared" si="89"/>
        <v>-0.1648273162264661</v>
      </c>
      <c r="Z263" s="807">
        <f t="shared" si="90"/>
        <v>-9.488564137763747E-2</v>
      </c>
    </row>
    <row r="264" spans="1:26" ht="20.100000000000001" customHeight="1" x14ac:dyDescent="0.2">
      <c r="A264" s="776">
        <f t="shared" si="103"/>
        <v>381</v>
      </c>
      <c r="B264" s="824">
        <v>42614</v>
      </c>
      <c r="C264" s="825">
        <v>2170.86</v>
      </c>
      <c r="D264" s="792">
        <f t="shared" ref="D264:D270" si="117">(C264-C263)/C263</f>
        <v>-3.6850396602359916E-5</v>
      </c>
      <c r="E264" s="826">
        <f t="shared" si="108"/>
        <v>3.254314035121101E-2</v>
      </c>
      <c r="F264" s="827">
        <v>5227.2</v>
      </c>
      <c r="G264" s="792">
        <f t="shared" si="115"/>
        <v>2.6816439743574151E-3</v>
      </c>
      <c r="H264" s="828">
        <f t="shared" si="110"/>
        <v>2.661193707406171E-2</v>
      </c>
      <c r="I264" s="829">
        <v>374158.47</v>
      </c>
      <c r="J264" s="830">
        <v>400000</v>
      </c>
      <c r="K264" s="830">
        <f t="shared" si="111"/>
        <v>-919.75</v>
      </c>
      <c r="L264" s="792">
        <f t="shared" ref="L264:L269" si="118">K264/I263</f>
        <v>-2.4521551797915646E-3</v>
      </c>
      <c r="M264" s="831">
        <f t="shared" si="114"/>
        <v>-25841.530000000028</v>
      </c>
      <c r="N264" s="832">
        <f t="shared" si="107"/>
        <v>-6.4603825000000073E-2</v>
      </c>
      <c r="O264" s="786">
        <f t="shared" si="116"/>
        <v>-6.1933194438976449E-2</v>
      </c>
      <c r="P264" s="831" t="b">
        <f t="shared" si="112"/>
        <v>0</v>
      </c>
      <c r="Q264" s="832">
        <f>COUNTIF(P$2:P264, TRUE)/(COUNTIF(P$2:P264,FALSE) + COUNTIF(P$2:P264, TRUE))</f>
        <v>0.49429657794676807</v>
      </c>
      <c r="R264" s="830">
        <v>284793.13</v>
      </c>
      <c r="S264" s="830">
        <f t="shared" si="104"/>
        <v>89365.339999999967</v>
      </c>
      <c r="T264" s="830">
        <v>-40089</v>
      </c>
      <c r="U264" s="830">
        <f t="shared" si="105"/>
        <v>14247.469999999972</v>
      </c>
      <c r="V264" s="832">
        <f>STDEV(D$2:D264)*SQRT(252)</f>
        <v>0.16730829405773207</v>
      </c>
      <c r="W264" s="832">
        <f>STDEV(L$2:L264)*SQRT(252)</f>
        <v>0.36263989119612255</v>
      </c>
      <c r="X264" s="801">
        <f t="shared" si="88"/>
        <v>0.18646925562735478</v>
      </c>
      <c r="Y264" s="801">
        <f t="shared" si="89"/>
        <v>-0.17078428474787347</v>
      </c>
      <c r="Z264" s="807">
        <f t="shared" si="90"/>
        <v>-9.714696535121109E-2</v>
      </c>
    </row>
    <row r="265" spans="1:26" ht="20.100000000000001" customHeight="1" x14ac:dyDescent="0.2">
      <c r="A265" s="776">
        <f t="shared" si="103"/>
        <v>382</v>
      </c>
      <c r="B265" s="824">
        <v>42615</v>
      </c>
      <c r="C265" s="825">
        <v>2179.98</v>
      </c>
      <c r="D265" s="792">
        <f t="shared" si="117"/>
        <v>4.2011000248748835E-3</v>
      </c>
      <c r="E265" s="826">
        <f t="shared" si="108"/>
        <v>3.6880957363824872E-2</v>
      </c>
      <c r="F265" s="827">
        <v>5249.89</v>
      </c>
      <c r="G265" s="792">
        <f t="shared" si="115"/>
        <v>4.3407560453015978E-3</v>
      </c>
      <c r="H265" s="828">
        <f t="shared" si="110"/>
        <v>3.1068209046094725E-2</v>
      </c>
      <c r="I265" s="829">
        <v>379833.49</v>
      </c>
      <c r="J265" s="830">
        <v>400000</v>
      </c>
      <c r="K265" s="830">
        <f t="shared" si="111"/>
        <v>5675.0200000000186</v>
      </c>
      <c r="L265" s="792">
        <f t="shared" si="118"/>
        <v>1.5167423578570916E-2</v>
      </c>
      <c r="M265" s="831">
        <f t="shared" si="114"/>
        <v>-20166.510000000009</v>
      </c>
      <c r="N265" s="832">
        <f t="shared" si="107"/>
        <v>-5.0416275000000024E-2</v>
      </c>
      <c r="O265" s="786">
        <f t="shared" si="116"/>
        <v>-4.8205613727094261E-2</v>
      </c>
      <c r="P265" s="831" t="b">
        <f t="shared" si="112"/>
        <v>1</v>
      </c>
      <c r="Q265" s="832">
        <f>COUNTIF(P$2:P265, TRUE)/(COUNTIF(P$2:P265,FALSE) + COUNTIF(P$2:P265, TRUE))</f>
        <v>0.49621212121212122</v>
      </c>
      <c r="R265" s="830">
        <v>279915.57</v>
      </c>
      <c r="S265" s="830">
        <f t="shared" si="104"/>
        <v>99917.919999999984</v>
      </c>
      <c r="T265" s="830">
        <v>-35299</v>
      </c>
      <c r="U265" s="830">
        <f t="shared" si="105"/>
        <v>15132.489999999991</v>
      </c>
      <c r="V265" s="832">
        <f>STDEV(D$2:D265)*SQRT(252)</f>
        <v>0.16703513483712773</v>
      </c>
      <c r="W265" s="832">
        <f>STDEV(L$2:L265)*SQRT(252)</f>
        <v>0.3622373095628969</v>
      </c>
      <c r="X265" s="801">
        <f t="shared" si="88"/>
        <v>0.21111603256831121</v>
      </c>
      <c r="Y265" s="801">
        <f t="shared" si="89"/>
        <v>-0.13307743971835154</v>
      </c>
      <c r="Z265" s="807">
        <f t="shared" si="90"/>
        <v>-8.7297232363824889E-2</v>
      </c>
    </row>
    <row r="266" spans="1:26" ht="20.100000000000001" customHeight="1" x14ac:dyDescent="0.2">
      <c r="A266" s="776">
        <f t="shared" si="103"/>
        <v>386</v>
      </c>
      <c r="B266" s="795">
        <v>42619</v>
      </c>
      <c r="C266" s="820">
        <v>2186.48</v>
      </c>
      <c r="D266" s="792">
        <f t="shared" si="117"/>
        <v>2.9816787309975322E-3</v>
      </c>
      <c r="E266" s="819">
        <f t="shared" si="108"/>
        <v>3.9972603260972947E-2</v>
      </c>
      <c r="F266" s="816">
        <v>5275.9</v>
      </c>
      <c r="G266" s="792">
        <f t="shared" si="115"/>
        <v>4.9543895205422031E-3</v>
      </c>
      <c r="H266" s="797">
        <f t="shared" si="110"/>
        <v>3.6176522575956917E-2</v>
      </c>
      <c r="I266" s="799">
        <v>382927.8</v>
      </c>
      <c r="J266" s="800">
        <v>400000</v>
      </c>
      <c r="K266" s="800">
        <f t="shared" si="111"/>
        <v>3094.3099999999977</v>
      </c>
      <c r="L266" s="792">
        <f t="shared" si="118"/>
        <v>8.1464907162346265E-3</v>
      </c>
      <c r="M266" s="817">
        <f t="shared" si="114"/>
        <v>-17072.200000000012</v>
      </c>
      <c r="N266" s="802">
        <f t="shared" si="107"/>
        <v>-4.2680500000000031E-2</v>
      </c>
      <c r="O266" s="786">
        <f t="shared" si="116"/>
        <v>-4.0386146696891223E-2</v>
      </c>
      <c r="P266" s="817" t="b">
        <f t="shared" si="112"/>
        <v>1</v>
      </c>
      <c r="Q266" s="802">
        <f>COUNTIF(P$2:P266, TRUE)/(COUNTIF(P$2:P266,FALSE) + COUNTIF(P$2:P266, TRUE))</f>
        <v>0.49811320754716981</v>
      </c>
      <c r="R266" s="800">
        <v>288323.67</v>
      </c>
      <c r="S266" s="800">
        <f t="shared" si="104"/>
        <v>94604.13</v>
      </c>
      <c r="T266" s="800">
        <v>-32869</v>
      </c>
      <c r="U266" s="800">
        <f t="shared" si="105"/>
        <v>15796.799999999988</v>
      </c>
      <c r="V266" s="802">
        <f>STDEV(D$2:D266)*SQRT(252)</f>
        <v>0.16673953715434717</v>
      </c>
      <c r="W266" s="802">
        <f>STDEV(L$2:L266)*SQRT(252)</f>
        <v>0.36162688235726198</v>
      </c>
      <c r="X266" s="801">
        <f t="shared" si="88"/>
        <v>0.22684372039947234</v>
      </c>
      <c r="Y266" s="801">
        <f t="shared" si="89"/>
        <v>-0.11167905005743611</v>
      </c>
      <c r="Z266" s="807">
        <f t="shared" si="90"/>
        <v>-8.2653103260972971E-2</v>
      </c>
    </row>
    <row r="267" spans="1:26" ht="20.100000000000001" customHeight="1" x14ac:dyDescent="0.2">
      <c r="A267" s="776">
        <f t="shared" si="103"/>
        <v>387</v>
      </c>
      <c r="B267" s="795">
        <v>42620</v>
      </c>
      <c r="C267" s="820">
        <v>2186.16</v>
      </c>
      <c r="D267" s="792">
        <f t="shared" si="117"/>
        <v>-1.4635395704518849E-4</v>
      </c>
      <c r="E267" s="819">
        <f t="shared" si="108"/>
        <v>3.9820399155267118E-2</v>
      </c>
      <c r="F267" s="816">
        <v>5283.92</v>
      </c>
      <c r="G267" s="792">
        <f t="shared" si="115"/>
        <v>1.5201197899885209E-3</v>
      </c>
      <c r="H267" s="797">
        <f t="shared" si="110"/>
        <v>3.7751635013846117E-2</v>
      </c>
      <c r="I267" s="799">
        <v>386953.84</v>
      </c>
      <c r="J267" s="800">
        <v>400000</v>
      </c>
      <c r="K267" s="800">
        <f t="shared" si="111"/>
        <v>4026.0400000000373</v>
      </c>
      <c r="L267" s="792">
        <f t="shared" si="118"/>
        <v>1.0513835767473757E-2</v>
      </c>
      <c r="M267" s="817">
        <f t="shared" si="114"/>
        <v>-13046.159999999974</v>
      </c>
      <c r="N267" s="802">
        <f t="shared" si="107"/>
        <v>-3.2615399999999933E-2</v>
      </c>
      <c r="O267" s="786">
        <f t="shared" si="116"/>
        <v>-3.0782363953488309E-2</v>
      </c>
      <c r="P267" s="817" t="b">
        <f t="shared" si="112"/>
        <v>1</v>
      </c>
      <c r="Q267" s="802">
        <f>COUNTIF(P$2:P267, TRUE)/(COUNTIF(P$2:P267,FALSE) + COUNTIF(P$2:P267, TRUE))</f>
        <v>0.5</v>
      </c>
      <c r="R267" s="800">
        <v>270597.37</v>
      </c>
      <c r="S267" s="800">
        <f t="shared" si="104"/>
        <v>116356.47000000003</v>
      </c>
      <c r="T267" s="800">
        <v>-29682</v>
      </c>
      <c r="U267" s="800">
        <f t="shared" si="105"/>
        <v>16635.840000000026</v>
      </c>
      <c r="V267" s="802">
        <f>STDEV(D$2:D267)*SQRT(252)</f>
        <v>0.16642379270655777</v>
      </c>
      <c r="W267" s="802">
        <f>STDEV(L$2:L267)*SQRT(252)</f>
        <v>0.3610748681776339</v>
      </c>
      <c r="X267" s="801">
        <f t="shared" si="88"/>
        <v>0.22582366604247719</v>
      </c>
      <c r="Y267" s="801">
        <f t="shared" si="89"/>
        <v>-8.5252025733191322E-2</v>
      </c>
      <c r="Z267" s="807">
        <f t="shared" si="90"/>
        <v>-7.2435799155267044E-2</v>
      </c>
    </row>
    <row r="268" spans="1:26" ht="20.100000000000001" customHeight="1" x14ac:dyDescent="0.2">
      <c r="A268" s="776">
        <f t="shared" si="103"/>
        <v>388</v>
      </c>
      <c r="B268" s="795">
        <v>42621</v>
      </c>
      <c r="C268" s="820">
        <v>2181.3000000000002</v>
      </c>
      <c r="D268" s="792">
        <f t="shared" si="117"/>
        <v>-2.2230760786034294E-3</v>
      </c>
      <c r="E268" s="819">
        <f t="shared" si="108"/>
        <v>3.7508799299861173E-2</v>
      </c>
      <c r="F268" s="816">
        <v>5259.48</v>
      </c>
      <c r="G268" s="792">
        <f t="shared" si="115"/>
        <v>-4.6253539039199133E-3</v>
      </c>
      <c r="H268" s="797">
        <f t="shared" si="110"/>
        <v>3.2951666437535547E-2</v>
      </c>
      <c r="I268" s="799">
        <v>397118.13</v>
      </c>
      <c r="J268" s="800">
        <v>400000</v>
      </c>
      <c r="K268" s="800">
        <f t="shared" si="111"/>
        <v>10164.289999999979</v>
      </c>
      <c r="L268" s="792">
        <f t="shared" si="118"/>
        <v>2.6267448334405929E-2</v>
      </c>
      <c r="M268" s="817">
        <f t="shared" si="114"/>
        <v>-2881.8699999999953</v>
      </c>
      <c r="N268" s="802">
        <f t="shared" si="107"/>
        <v>-7.2046749999999885E-3</v>
      </c>
      <c r="O268" s="786">
        <f t="shared" si="116"/>
        <v>-6.7822359374999901E-3</v>
      </c>
      <c r="P268" s="817" t="b">
        <f t="shared" si="112"/>
        <v>1</v>
      </c>
      <c r="Q268" s="802">
        <f>COUNTIF(P$2:P268, TRUE)/(COUNTIF(P$2:P268,FALSE) + COUNTIF(P$2:P268, TRUE))</f>
        <v>0.50187265917602997</v>
      </c>
      <c r="R268" s="800">
        <v>251179.7</v>
      </c>
      <c r="S268" s="800">
        <f t="shared" si="104"/>
        <v>145938.43</v>
      </c>
      <c r="T268" s="800">
        <v>-22549</v>
      </c>
      <c r="U268" s="800">
        <f t="shared" si="105"/>
        <v>19667.130000000005</v>
      </c>
      <c r="V268" s="802">
        <f>STDEV(D$2:D268)*SQRT(252)</f>
        <v>0.16612626124990684</v>
      </c>
      <c r="W268" s="802">
        <f>STDEV(L$2:L268)*SQRT(252)</f>
        <v>0.36126574974857484</v>
      </c>
      <c r="X268" s="801">
        <f t="shared" si="88"/>
        <v>0.21254621227657111</v>
      </c>
      <c r="Y268" s="801">
        <f t="shared" si="89"/>
        <v>-1.8773537049167073E-2</v>
      </c>
      <c r="Z268" s="807">
        <f t="shared" si="90"/>
        <v>-4.471347429986116E-2</v>
      </c>
    </row>
    <row r="269" spans="1:26" ht="20.100000000000001" customHeight="1" x14ac:dyDescent="0.2">
      <c r="A269" s="776">
        <f t="shared" si="103"/>
        <v>389</v>
      </c>
      <c r="B269" s="795">
        <v>42622</v>
      </c>
      <c r="C269" s="820">
        <v>2127.81</v>
      </c>
      <c r="D269" s="792">
        <f t="shared" si="117"/>
        <v>-2.4522073992573341E-2</v>
      </c>
      <c r="E269" s="819">
        <f t="shared" si="108"/>
        <v>1.2066931755484052E-2</v>
      </c>
      <c r="F269" s="816">
        <v>5125.8999999999996</v>
      </c>
      <c r="G269" s="792">
        <f t="shared" si="115"/>
        <v>-2.5397948086122571E-2</v>
      </c>
      <c r="H269" s="797">
        <f t="shared" si="110"/>
        <v>6.7168136378812221E-3</v>
      </c>
      <c r="I269" s="799">
        <v>386211.32</v>
      </c>
      <c r="J269" s="800">
        <v>400000</v>
      </c>
      <c r="K269" s="800">
        <f t="shared" si="111"/>
        <v>-10906.809999999998</v>
      </c>
      <c r="L269" s="792">
        <f t="shared" si="118"/>
        <v>-2.746490068333067E-2</v>
      </c>
      <c r="M269" s="817">
        <f t="shared" si="114"/>
        <v>-13788.679999999993</v>
      </c>
      <c r="N269" s="802">
        <f t="shared" si="107"/>
        <v>-3.447169999999998E-2</v>
      </c>
      <c r="O269" s="786">
        <f t="shared" si="116"/>
        <v>-3.2367065359897154E-2</v>
      </c>
      <c r="P269" s="817" t="b">
        <f t="shared" si="112"/>
        <v>0</v>
      </c>
      <c r="Q269" s="802">
        <f>COUNTIF(P$2:P269, TRUE)/(COUNTIF(P$2:P269,FALSE) + COUNTIF(P$2:P269, TRUE))</f>
        <v>0.5</v>
      </c>
      <c r="R269" s="800">
        <v>276342.96000000002</v>
      </c>
      <c r="S269" s="800">
        <f t="shared" si="104"/>
        <v>109868.35999999999</v>
      </c>
      <c r="T269" s="800">
        <v>-29111</v>
      </c>
      <c r="U269" s="800">
        <f t="shared" si="105"/>
        <v>15322.320000000007</v>
      </c>
      <c r="V269" s="802">
        <f>STDEV(D$2:D269)*SQRT(252)</f>
        <v>0.1675431453543596</v>
      </c>
      <c r="W269" s="802">
        <f>STDEV(L$2:L269)*SQRT(252)</f>
        <v>0.36161388324136196</v>
      </c>
      <c r="X269" s="801">
        <f t="shared" si="88"/>
        <v>6.7625550817034655E-2</v>
      </c>
      <c r="Y269" s="801">
        <f t="shared" si="89"/>
        <v>-8.9507253067199047E-2</v>
      </c>
      <c r="Z269" s="807">
        <f t="shared" si="90"/>
        <v>-4.6538631755484033E-2</v>
      </c>
    </row>
    <row r="270" spans="1:26" ht="20.100000000000001" customHeight="1" x14ac:dyDescent="0.2">
      <c r="A270" s="776">
        <f t="shared" si="103"/>
        <v>392</v>
      </c>
      <c r="B270" s="824">
        <v>42625</v>
      </c>
      <c r="C270" s="825">
        <v>2159.04</v>
      </c>
      <c r="D270" s="792">
        <f t="shared" si="117"/>
        <v>1.4677062331693158E-2</v>
      </c>
      <c r="E270" s="826">
        <f t="shared" si="108"/>
        <v>2.6921101196704739E-2</v>
      </c>
      <c r="F270" s="827">
        <v>5211.88</v>
      </c>
      <c r="G270" s="792">
        <f t="shared" si="115"/>
        <v>1.6773639751068197E-2</v>
      </c>
      <c r="H270" s="828">
        <f t="shared" si="110"/>
        <v>2.3603118801186301E-2</v>
      </c>
      <c r="I270" s="829">
        <v>387052.15</v>
      </c>
      <c r="J270" s="830">
        <v>400000</v>
      </c>
      <c r="K270" s="830">
        <f t="shared" si="111"/>
        <v>840.8300000000163</v>
      </c>
      <c r="L270" s="792">
        <f t="shared" ref="L270:L285" si="119">K270/I269</f>
        <v>2.1771241712956945E-3</v>
      </c>
      <c r="M270" s="831">
        <f t="shared" si="114"/>
        <v>-12947.849999999977</v>
      </c>
      <c r="N270" s="832">
        <f t="shared" si="107"/>
        <v>-3.2369624999999944E-2</v>
      </c>
      <c r="O270" s="786">
        <f t="shared" si="116"/>
        <v>-3.0160728396045867E-2</v>
      </c>
      <c r="P270" s="831" t="b">
        <f t="shared" si="112"/>
        <v>0</v>
      </c>
      <c r="Q270" s="832">
        <f>COUNTIF(P$2:P270, TRUE)/(COUNTIF(P$2:P270,FALSE) + COUNTIF(P$2:P270, TRUE))</f>
        <v>0.49814126394052044</v>
      </c>
      <c r="R270" s="830">
        <v>279690.06</v>
      </c>
      <c r="S270" s="830">
        <f t="shared" si="104"/>
        <v>107362.09000000003</v>
      </c>
      <c r="T270" s="830">
        <v>-29688</v>
      </c>
      <c r="U270" s="830">
        <f t="shared" si="105"/>
        <v>16740.150000000023</v>
      </c>
      <c r="V270" s="832">
        <f>STDEV(D$2:D270)*SQRT(252)</f>
        <v>0.16782539199806834</v>
      </c>
      <c r="W270" s="832">
        <f>STDEV(L$2:L270)*SQRT(252)</f>
        <v>0.36093984423813291</v>
      </c>
      <c r="X270" s="801">
        <f t="shared" si="88"/>
        <v>0.14946493165606672</v>
      </c>
      <c r="Y270" s="801">
        <f t="shared" si="89"/>
        <v>-8.3561648506023864E-2</v>
      </c>
      <c r="Z270" s="807">
        <f t="shared" si="90"/>
        <v>-5.9290726196704682E-2</v>
      </c>
    </row>
    <row r="271" spans="1:26" ht="20.100000000000001" customHeight="1" x14ac:dyDescent="0.2">
      <c r="A271" s="776">
        <f t="shared" si="103"/>
        <v>393</v>
      </c>
      <c r="B271" s="824">
        <v>42626</v>
      </c>
      <c r="C271" s="825">
        <v>2127.02</v>
      </c>
      <c r="D271" s="792">
        <f t="shared" ref="D271:D285" si="120">(C271-C270)/C270</f>
        <v>-1.483066548095449E-2</v>
      </c>
      <c r="E271" s="826">
        <f t="shared" si="108"/>
        <v>1.1691177869522996E-2</v>
      </c>
      <c r="F271" s="827">
        <v>5155.25</v>
      </c>
      <c r="G271" s="792">
        <f t="shared" ref="G271:G285" si="121">(F271-F270)/F270</f>
        <v>-1.0865560987589911E-2</v>
      </c>
      <c r="H271" s="828">
        <f t="shared" si="110"/>
        <v>1.2481096686764771E-2</v>
      </c>
      <c r="I271" s="829">
        <v>374259.41</v>
      </c>
      <c r="J271" s="830">
        <v>400000</v>
      </c>
      <c r="K271" s="830">
        <f t="shared" si="111"/>
        <v>-12792.740000000049</v>
      </c>
      <c r="L271" s="792">
        <f t="shared" si="119"/>
        <v>-3.3051721841617594E-2</v>
      </c>
      <c r="M271" s="831">
        <f t="shared" si="114"/>
        <v>-25740.590000000026</v>
      </c>
      <c r="N271" s="832">
        <f t="shared" si="107"/>
        <v>-6.4351475000000061E-2</v>
      </c>
      <c r="O271" s="786">
        <f t="shared" si="116"/>
        <v>-5.9807573139313036E-2</v>
      </c>
      <c r="P271" s="831" t="b">
        <f t="shared" si="112"/>
        <v>0</v>
      </c>
      <c r="Q271" s="832">
        <f>COUNTIF(P$2:P271, TRUE)/(COUNTIF(P$2:P271,FALSE) + COUNTIF(P$2:P271, TRUE))</f>
        <v>0.49629629629629629</v>
      </c>
      <c r="R271" s="830">
        <v>294807.52</v>
      </c>
      <c r="S271" s="830">
        <f t="shared" si="104"/>
        <v>79451.889999999956</v>
      </c>
      <c r="T271" s="830">
        <v>-40449</v>
      </c>
      <c r="U271" s="830">
        <f t="shared" si="105"/>
        <v>14708.409999999974</v>
      </c>
      <c r="V271" s="832">
        <f>STDEV(D$2:D271)*SQRT(252)</f>
        <v>0.16813876158922561</v>
      </c>
      <c r="W271" s="832">
        <f>STDEV(L$2:L271)*SQRT(252)</f>
        <v>0.36172480886226521</v>
      </c>
      <c r="X271" s="801">
        <f t="shared" si="88"/>
        <v>6.4623146176100529E-2</v>
      </c>
      <c r="Y271" s="801">
        <f t="shared" si="89"/>
        <v>-0.16533998131736136</v>
      </c>
      <c r="Z271" s="807">
        <f t="shared" si="90"/>
        <v>-7.6042652869523053E-2</v>
      </c>
    </row>
    <row r="272" spans="1:26" ht="20.100000000000001" customHeight="1" x14ac:dyDescent="0.2">
      <c r="A272" s="776">
        <f t="shared" si="103"/>
        <v>394</v>
      </c>
      <c r="B272" s="824">
        <v>42627</v>
      </c>
      <c r="C272" s="825">
        <v>2125.77</v>
      </c>
      <c r="D272" s="792">
        <f t="shared" si="120"/>
        <v>-5.8767665560267412E-4</v>
      </c>
      <c r="E272" s="826">
        <f t="shared" si="108"/>
        <v>1.1096630581609904E-2</v>
      </c>
      <c r="F272" s="827">
        <v>5173.7700000000004</v>
      </c>
      <c r="G272" s="792">
        <f t="shared" si="121"/>
        <v>3.5924542941662258E-3</v>
      </c>
      <c r="H272" s="828">
        <f t="shared" si="110"/>
        <v>1.6118388750319269E-2</v>
      </c>
      <c r="I272" s="829">
        <v>370693.02</v>
      </c>
      <c r="J272" s="830">
        <v>400000</v>
      </c>
      <c r="K272" s="830">
        <f t="shared" si="111"/>
        <v>-3566.3899999999558</v>
      </c>
      <c r="L272" s="792">
        <f t="shared" si="119"/>
        <v>-9.5291925993255741E-3</v>
      </c>
      <c r="M272" s="831">
        <f t="shared" si="114"/>
        <v>-29306.979999999981</v>
      </c>
      <c r="N272" s="832">
        <f t="shared" si="107"/>
        <v>-7.3267449999999956E-2</v>
      </c>
      <c r="O272" s="786">
        <f t="shared" si="116"/>
        <v>-6.7921157645939048E-2</v>
      </c>
      <c r="P272" s="831" t="b">
        <f t="shared" si="112"/>
        <v>0</v>
      </c>
      <c r="Q272" s="832">
        <f>COUNTIF(P$2:P272, TRUE)/(COUNTIF(P$2:P272,FALSE) + COUNTIF(P$2:P272, TRUE))</f>
        <v>0.49446494464944651</v>
      </c>
      <c r="R272" s="830">
        <v>304166.43</v>
      </c>
      <c r="S272" s="830">
        <f t="shared" si="104"/>
        <v>66526.590000000026</v>
      </c>
      <c r="T272" s="830">
        <v>-43966</v>
      </c>
      <c r="U272" s="830">
        <f t="shared" si="105"/>
        <v>14659.020000000019</v>
      </c>
      <c r="V272" s="832">
        <f>STDEV(D$2:D272)*SQRT(252)</f>
        <v>0.16782725694658282</v>
      </c>
      <c r="W272" s="832">
        <f>STDEV(L$2:L272)*SQRT(252)</f>
        <v>0.36117811757925894</v>
      </c>
      <c r="X272" s="801">
        <f t="shared" si="88"/>
        <v>6.1294659191567902E-2</v>
      </c>
      <c r="Y272" s="801">
        <f t="shared" si="89"/>
        <v>-0.18805446493040667</v>
      </c>
      <c r="Z272" s="807">
        <f t="shared" si="90"/>
        <v>-8.4364080581609865E-2</v>
      </c>
    </row>
    <row r="273" spans="1:26" ht="20.100000000000001" customHeight="1" x14ac:dyDescent="0.2">
      <c r="A273" s="776">
        <f t="shared" si="103"/>
        <v>395</v>
      </c>
      <c r="B273" s="824">
        <v>42628</v>
      </c>
      <c r="C273" s="825">
        <v>2147.2600000000002</v>
      </c>
      <c r="D273" s="792">
        <f t="shared" si="120"/>
        <v>1.0109278049836171E-2</v>
      </c>
      <c r="E273" s="826">
        <f t="shared" si="108"/>
        <v>2.1318087555411886E-2</v>
      </c>
      <c r="F273" s="827">
        <v>5249.68</v>
      </c>
      <c r="G273" s="792">
        <f t="shared" si="121"/>
        <v>1.4672086312302218E-2</v>
      </c>
      <c r="H273" s="828">
        <f t="shared" si="110"/>
        <v>3.1026965453581412E-2</v>
      </c>
      <c r="I273" s="829">
        <v>375852.08</v>
      </c>
      <c r="J273" s="830">
        <v>400000</v>
      </c>
      <c r="K273" s="830">
        <f t="shared" si="111"/>
        <v>5159.0599999999977</v>
      </c>
      <c r="L273" s="792">
        <f t="shared" si="119"/>
        <v>1.3917337855457859E-2</v>
      </c>
      <c r="M273" s="831">
        <f t="shared" si="114"/>
        <v>-24147.919999999984</v>
      </c>
      <c r="N273" s="832">
        <f t="shared" si="107"/>
        <v>-6.036979999999996E-2</v>
      </c>
      <c r="O273" s="786">
        <f t="shared" si="116"/>
        <v>-5.582296063291136E-2</v>
      </c>
      <c r="P273" s="831" t="b">
        <f t="shared" si="112"/>
        <v>1</v>
      </c>
      <c r="Q273" s="832">
        <f>COUNTIF(P$2:P273, TRUE)/(COUNTIF(P$2:P273,FALSE) + COUNTIF(P$2:P273, TRUE))</f>
        <v>0.49632352941176472</v>
      </c>
      <c r="R273" s="830">
        <v>309277.58</v>
      </c>
      <c r="S273" s="830">
        <f t="shared" si="104"/>
        <v>66574.5</v>
      </c>
      <c r="T273" s="830">
        <v>-40569</v>
      </c>
      <c r="U273" s="830">
        <f t="shared" si="105"/>
        <v>16421.080000000016</v>
      </c>
      <c r="V273" s="832">
        <f>STDEV(D$2:D273)*SQRT(252)</f>
        <v>0.16779419960031708</v>
      </c>
      <c r="W273" s="832">
        <f>STDEV(L$2:L273)*SQRT(252)</f>
        <v>0.36074703023734866</v>
      </c>
      <c r="X273" s="801">
        <f t="shared" si="88"/>
        <v>0.11748013224218563</v>
      </c>
      <c r="Y273" s="801">
        <f t="shared" si="89"/>
        <v>-0.15474267548698431</v>
      </c>
      <c r="Z273" s="807">
        <f t="shared" si="90"/>
        <v>-8.1687887555411842E-2</v>
      </c>
    </row>
    <row r="274" spans="1:26" ht="20.100000000000001" customHeight="1" x14ac:dyDescent="0.2">
      <c r="A274" s="776">
        <f t="shared" si="103"/>
        <v>396</v>
      </c>
      <c r="B274" s="824">
        <v>42629</v>
      </c>
      <c r="C274" s="825">
        <v>2139.16</v>
      </c>
      <c r="D274" s="792">
        <f t="shared" si="120"/>
        <v>-3.7722492851356439E-3</v>
      </c>
      <c r="E274" s="826">
        <f t="shared" si="108"/>
        <v>1.7465421129734877E-2</v>
      </c>
      <c r="F274" s="827">
        <v>5244.56</v>
      </c>
      <c r="G274" s="792">
        <f t="shared" si="121"/>
        <v>-9.7529754194539294E-4</v>
      </c>
      <c r="H274" s="828">
        <f t="shared" si="110"/>
        <v>3.0021407388495118E-2</v>
      </c>
      <c r="I274" s="829">
        <v>375872.83</v>
      </c>
      <c r="J274" s="830">
        <v>400000</v>
      </c>
      <c r="K274" s="830">
        <f t="shared" si="111"/>
        <v>20.75</v>
      </c>
      <c r="L274" s="792">
        <f t="shared" si="119"/>
        <v>5.5207889231316743E-5</v>
      </c>
      <c r="M274" s="831">
        <f t="shared" ref="M274:M279" si="122">I274-J274</f>
        <v>-24127.169999999984</v>
      </c>
      <c r="N274" s="832">
        <f t="shared" si="107"/>
        <v>-6.031792499999996E-2</v>
      </c>
      <c r="O274" s="786">
        <f t="shared" si="116"/>
        <v>-5.5634146732954505E-2</v>
      </c>
      <c r="P274" s="831" t="b">
        <f t="shared" si="112"/>
        <v>1</v>
      </c>
      <c r="Q274" s="832">
        <f>COUNTIF(P$2:P274, TRUE)/(COUNTIF(P$2:P274,FALSE) + COUNTIF(P$2:P274, TRUE))</f>
        <v>0.49816849816849818</v>
      </c>
      <c r="R274" s="830">
        <v>307021.42</v>
      </c>
      <c r="S274" s="830">
        <f t="shared" si="104"/>
        <v>68851.410000000033</v>
      </c>
      <c r="T274" s="830">
        <v>-40175</v>
      </c>
      <c r="U274" s="830">
        <f t="shared" si="105"/>
        <v>16047.830000000016</v>
      </c>
      <c r="V274" s="832">
        <f>STDEV(D$2:D274)*SQRT(252)</f>
        <v>0.16752651970065091</v>
      </c>
      <c r="W274" s="832">
        <f>STDEV(L$2:L274)*SQRT(252)</f>
        <v>0.36008095750354496</v>
      </c>
      <c r="X274" s="801">
        <f t="shared" si="88"/>
        <v>9.61591319692955E-2</v>
      </c>
      <c r="Y274" s="801">
        <f t="shared" si="89"/>
        <v>-0.1545045511950095</v>
      </c>
      <c r="Z274" s="807">
        <f t="shared" si="90"/>
        <v>-7.7783346129734837E-2</v>
      </c>
    </row>
    <row r="275" spans="1:26" ht="20.100000000000001" customHeight="1" x14ac:dyDescent="0.2">
      <c r="A275" s="776">
        <f t="shared" si="103"/>
        <v>399</v>
      </c>
      <c r="B275" s="795">
        <v>42632</v>
      </c>
      <c r="C275" s="820">
        <v>2139.12</v>
      </c>
      <c r="D275" s="792">
        <f t="shared" si="120"/>
        <v>-1.8698928551377E-5</v>
      </c>
      <c r="E275" s="819">
        <f t="shared" si="108"/>
        <v>1.7446395616521677E-2</v>
      </c>
      <c r="F275" s="816">
        <v>5235.0200000000004</v>
      </c>
      <c r="G275" s="792">
        <f t="shared" si="121"/>
        <v>-1.8190277163384464E-3</v>
      </c>
      <c r="H275" s="797">
        <f t="shared" si="110"/>
        <v>2.8147769900033509E-2</v>
      </c>
      <c r="I275" s="799">
        <v>373123.48</v>
      </c>
      <c r="J275" s="800">
        <v>400000</v>
      </c>
      <c r="K275" s="800">
        <f t="shared" si="111"/>
        <v>-2749.3500000000349</v>
      </c>
      <c r="L275" s="792">
        <f t="shared" si="119"/>
        <v>-7.3145749853747999E-3</v>
      </c>
      <c r="M275" s="817">
        <f t="shared" si="122"/>
        <v>-26876.520000000019</v>
      </c>
      <c r="N275" s="802">
        <f t="shared" si="107"/>
        <v>-6.7191300000000051E-2</v>
      </c>
      <c r="O275" s="786">
        <f t="shared" si="116"/>
        <v>-6.1507825375939899E-2</v>
      </c>
      <c r="P275" s="817" t="b">
        <f t="shared" si="112"/>
        <v>0</v>
      </c>
      <c r="Q275" s="802">
        <f>COUNTIF(P$2:P275, TRUE)/(COUNTIF(P$2:P275,FALSE) + COUNTIF(P$2:P275, TRUE))</f>
        <v>0.49635036496350365</v>
      </c>
      <c r="R275" s="800">
        <v>307089.07</v>
      </c>
      <c r="S275" s="800">
        <f t="shared" si="104"/>
        <v>66034.409999999974</v>
      </c>
      <c r="T275" s="800">
        <v>-41834</v>
      </c>
      <c r="U275" s="800">
        <f t="shared" si="105"/>
        <v>14957.479999999981</v>
      </c>
      <c r="V275" s="802">
        <f>STDEV(D$2:D275)*SQRT(252)</f>
        <v>0.16721833549598966</v>
      </c>
      <c r="W275" s="802">
        <f>STDEV(L$2:L275)*SQRT(252)</f>
        <v>0.35949423119806312</v>
      </c>
      <c r="X275" s="801">
        <f t="shared" si="88"/>
        <v>9.5507867702578395E-2</v>
      </c>
      <c r="Y275" s="801">
        <f t="shared" si="89"/>
        <v>-0.17109544476126018</v>
      </c>
      <c r="Z275" s="807">
        <f t="shared" si="90"/>
        <v>-8.4637695616521735E-2</v>
      </c>
    </row>
    <row r="276" spans="1:26" ht="20.100000000000001" customHeight="1" x14ac:dyDescent="0.2">
      <c r="A276" s="776">
        <f t="shared" si="103"/>
        <v>400</v>
      </c>
      <c r="B276" s="795">
        <v>42633</v>
      </c>
      <c r="C276" s="820">
        <v>2139.7600000000002</v>
      </c>
      <c r="D276" s="792">
        <f t="shared" si="120"/>
        <v>2.991884513259319E-4</v>
      </c>
      <c r="E276" s="819">
        <f t="shared" si="108"/>
        <v>1.7750803827933335E-2</v>
      </c>
      <c r="F276" s="816">
        <v>5241.3500000000004</v>
      </c>
      <c r="G276" s="792">
        <f t="shared" si="121"/>
        <v>1.2091644349018584E-3</v>
      </c>
      <c r="H276" s="797">
        <f t="shared" si="110"/>
        <v>2.9390969617220292E-2</v>
      </c>
      <c r="I276" s="799">
        <v>372718.71</v>
      </c>
      <c r="J276" s="800">
        <v>400000</v>
      </c>
      <c r="K276" s="800">
        <f t="shared" si="111"/>
        <v>-404.76999999996042</v>
      </c>
      <c r="L276" s="792">
        <f t="shared" si="119"/>
        <v>-1.0848151394813332E-3</v>
      </c>
      <c r="M276" s="817">
        <f t="shared" si="122"/>
        <v>-27281.289999999979</v>
      </c>
      <c r="N276" s="802">
        <f t="shared" si="107"/>
        <v>-6.8203224999999951E-2</v>
      </c>
      <c r="O276" s="786">
        <f t="shared" si="116"/>
        <v>-6.2278069828124956E-2</v>
      </c>
      <c r="P276" s="817" t="b">
        <f t="shared" si="112"/>
        <v>0</v>
      </c>
      <c r="Q276" s="802">
        <f>COUNTIF(P$2:P276, TRUE)/(COUNTIF(P$2:P276,FALSE) + COUNTIF(P$2:P276, TRUE))</f>
        <v>0.49454545454545457</v>
      </c>
      <c r="R276" s="800">
        <v>311226.5</v>
      </c>
      <c r="S276" s="800">
        <f t="shared" si="104"/>
        <v>61492.210000000021</v>
      </c>
      <c r="T276" s="800">
        <v>-42647</v>
      </c>
      <c r="U276" s="800">
        <f t="shared" si="105"/>
        <v>15365.710000000021</v>
      </c>
      <c r="V276" s="802">
        <f>STDEV(D$2:D276)*SQRT(252)</f>
        <v>0.16691188354135808</v>
      </c>
      <c r="W276" s="802">
        <f>STDEV(L$2:L276)*SQRT(252)</f>
        <v>0.35883781630276246</v>
      </c>
      <c r="X276" s="801">
        <f t="shared" si="88"/>
        <v>9.7109339380053006E-2</v>
      </c>
      <c r="Y276" s="801">
        <f t="shared" si="89"/>
        <v>-0.17355492369728123</v>
      </c>
      <c r="Z276" s="807">
        <f t="shared" si="90"/>
        <v>-8.5954028827933293E-2</v>
      </c>
    </row>
    <row r="277" spans="1:26" ht="20.100000000000001" customHeight="1" x14ac:dyDescent="0.2">
      <c r="A277" s="776">
        <f>B277-$B$2</f>
        <v>401</v>
      </c>
      <c r="B277" s="795">
        <v>42634</v>
      </c>
      <c r="C277" s="820">
        <v>2163.12</v>
      </c>
      <c r="D277" s="792">
        <f t="shared" si="120"/>
        <v>1.0917112199498855E-2</v>
      </c>
      <c r="E277" s="819">
        <f t="shared" si="108"/>
        <v>2.8861703544453034E-2</v>
      </c>
      <c r="F277" s="816">
        <v>5295.18</v>
      </c>
      <c r="G277" s="792">
        <f t="shared" si="121"/>
        <v>1.0270254800766963E-2</v>
      </c>
      <c r="H277" s="797">
        <f t="shared" si="110"/>
        <v>3.9963077164797703E-2</v>
      </c>
      <c r="I277" s="799">
        <v>382463.62</v>
      </c>
      <c r="J277" s="800">
        <v>400000</v>
      </c>
      <c r="K277" s="800">
        <f t="shared" si="111"/>
        <v>9744.9099999999744</v>
      </c>
      <c r="L277" s="792">
        <f t="shared" si="119"/>
        <v>2.6145481132406726E-2</v>
      </c>
      <c r="M277" s="817">
        <f t="shared" si="122"/>
        <v>-17536.380000000005</v>
      </c>
      <c r="N277" s="802">
        <f t="shared" si="107"/>
        <v>-4.384095000000001E-2</v>
      </c>
      <c r="O277" s="786">
        <f t="shared" si="116"/>
        <v>-3.9932436377805497E-2</v>
      </c>
      <c r="P277" s="817" t="b">
        <f t="shared" si="112"/>
        <v>1</v>
      </c>
      <c r="Q277" s="802">
        <f>COUNTIF(P$2:P277, TRUE)/(COUNTIF(P$2:P277,FALSE) + COUNTIF(P$2:P277, TRUE))</f>
        <v>0.49637681159420288</v>
      </c>
      <c r="R277" s="800">
        <v>306380.55</v>
      </c>
      <c r="S277" s="800">
        <f t="shared" si="104"/>
        <v>76083.070000000007</v>
      </c>
      <c r="T277" s="800">
        <v>-34503</v>
      </c>
      <c r="U277" s="800">
        <f t="shared" si="105"/>
        <v>16966.619999999995</v>
      </c>
      <c r="V277" s="802">
        <f>STDEV(D$2:D277)*SQRT(252)</f>
        <v>0.16692734623146724</v>
      </c>
      <c r="W277" s="802">
        <f>STDEV(L$2:L277)*SQRT(252)</f>
        <v>0.35903354110809649</v>
      </c>
      <c r="X277" s="801">
        <f t="shared" si="88"/>
        <v>0.1574854096035154</v>
      </c>
      <c r="Y277" s="801">
        <f t="shared" si="89"/>
        <v>-0.11122202191628326</v>
      </c>
      <c r="Z277" s="807">
        <f t="shared" si="90"/>
        <v>-7.2702653544453044E-2</v>
      </c>
    </row>
    <row r="278" spans="1:26" ht="20.100000000000001" customHeight="1" x14ac:dyDescent="0.2">
      <c r="A278" s="776">
        <f t="shared" ref="A278:A300" si="123">B278-$B$2</f>
        <v>402</v>
      </c>
      <c r="B278" s="795">
        <v>42635</v>
      </c>
      <c r="C278" s="820">
        <v>2177.1799999999998</v>
      </c>
      <c r="D278" s="792">
        <f t="shared" si="120"/>
        <v>6.4998705573430723E-3</v>
      </c>
      <c r="E278" s="819">
        <f t="shared" si="108"/>
        <v>3.5549171438899463E-2</v>
      </c>
      <c r="F278" s="816">
        <v>5339.52</v>
      </c>
      <c r="G278" s="792">
        <f t="shared" si="121"/>
        <v>8.373653020293954E-3</v>
      </c>
      <c r="H278" s="797">
        <f t="shared" si="110"/>
        <v>4.8671367126892913E-2</v>
      </c>
      <c r="I278" s="799">
        <v>385198.84</v>
      </c>
      <c r="J278" s="800">
        <v>400000</v>
      </c>
      <c r="K278" s="800">
        <f t="shared" si="111"/>
        <v>2735.2200000000303</v>
      </c>
      <c r="L278" s="792">
        <f t="shared" si="119"/>
        <v>7.1515821557094246E-3</v>
      </c>
      <c r="M278" s="817">
        <f t="shared" si="122"/>
        <v>-14801.159999999974</v>
      </c>
      <c r="N278" s="802">
        <f t="shared" si="107"/>
        <v>-3.7002899999999936E-2</v>
      </c>
      <c r="O278" s="786">
        <f t="shared" si="116"/>
        <v>-3.3620172201492479E-2</v>
      </c>
      <c r="P278" s="817" t="b">
        <f t="shared" si="112"/>
        <v>1</v>
      </c>
      <c r="Q278" s="802">
        <f>COUNTIF(P$2:P278, TRUE)/(COUNTIF(P$2:P278,FALSE) + COUNTIF(P$2:P278, TRUE))</f>
        <v>0.49819494584837543</v>
      </c>
      <c r="R278" s="800">
        <v>301575.81</v>
      </c>
      <c r="S278" s="800">
        <f t="shared" si="104"/>
        <v>83623.030000000028</v>
      </c>
      <c r="T278" s="800">
        <v>-32239</v>
      </c>
      <c r="U278" s="800">
        <f t="shared" si="105"/>
        <v>17437.840000000026</v>
      </c>
      <c r="V278" s="802">
        <f>STDEV(D$2:D278)*SQRT(252)</f>
        <v>0.16673370046778063</v>
      </c>
      <c r="W278" s="802">
        <f>STDEV(L$2:L278)*SQRT(252)</f>
        <v>0.35843771988043882</v>
      </c>
      <c r="X278" s="801">
        <f t="shared" si="88"/>
        <v>0.1937181288317146</v>
      </c>
      <c r="Y278" s="801">
        <f t="shared" si="89"/>
        <v>-9.379641242195963E-2</v>
      </c>
      <c r="Z278" s="807">
        <f t="shared" si="90"/>
        <v>-7.2552071438899399E-2</v>
      </c>
    </row>
    <row r="279" spans="1:26" ht="20.100000000000001" customHeight="1" x14ac:dyDescent="0.2">
      <c r="A279" s="776">
        <f t="shared" si="123"/>
        <v>403</v>
      </c>
      <c r="B279" s="795">
        <v>42636</v>
      </c>
      <c r="C279" s="820">
        <v>2164.69</v>
      </c>
      <c r="D279" s="792">
        <f t="shared" si="120"/>
        <v>-5.7367787688660478E-3</v>
      </c>
      <c r="E279" s="819">
        <f t="shared" si="108"/>
        <v>2.9608454938071953E-2</v>
      </c>
      <c r="F279" s="816">
        <v>5305.74</v>
      </c>
      <c r="G279" s="792">
        <f t="shared" si="121"/>
        <v>-6.3264113628192517E-3</v>
      </c>
      <c r="H279" s="797">
        <f t="shared" si="110"/>
        <v>4.2037040674038136E-2</v>
      </c>
      <c r="I279" s="799">
        <v>381118.05</v>
      </c>
      <c r="J279" s="800">
        <v>400000</v>
      </c>
      <c r="K279" s="800">
        <f t="shared" si="111"/>
        <v>-4080.7900000000373</v>
      </c>
      <c r="L279" s="792">
        <f t="shared" si="119"/>
        <v>-1.0593983097145456E-2</v>
      </c>
      <c r="M279" s="817">
        <f t="shared" si="122"/>
        <v>-18881.950000000012</v>
      </c>
      <c r="N279" s="802">
        <f t="shared" si="107"/>
        <v>-4.7204875000000028E-2</v>
      </c>
      <c r="O279" s="786">
        <f t="shared" si="116"/>
        <v>-4.2783078396402011E-2</v>
      </c>
      <c r="P279" s="817" t="b">
        <f t="shared" si="112"/>
        <v>0</v>
      </c>
      <c r="Q279" s="802">
        <f>COUNTIF(P$2:P279, TRUE)/(COUNTIF(P$2:P279,FALSE) + COUNTIF(P$2:P279, TRUE))</f>
        <v>0.49640287769784175</v>
      </c>
      <c r="R279" s="800">
        <v>300371.02</v>
      </c>
      <c r="S279" s="800">
        <f t="shared" si="104"/>
        <v>80747.02999999997</v>
      </c>
      <c r="T279" s="800">
        <v>-36012</v>
      </c>
      <c r="U279" s="800">
        <f t="shared" si="105"/>
        <v>17130.049999999988</v>
      </c>
      <c r="V279" s="802">
        <f>STDEV(D$2:D279)*SQRT(252)</f>
        <v>0.16652707926624533</v>
      </c>
      <c r="W279" s="802">
        <f>STDEV(L$2:L279)*SQRT(252)</f>
        <v>0.35794291849606197</v>
      </c>
      <c r="X279" s="801">
        <f t="shared" si="88"/>
        <v>0.16114471200031277</v>
      </c>
      <c r="Y279" s="801">
        <f t="shared" si="89"/>
        <v>-0.11952486328311787</v>
      </c>
      <c r="Z279" s="807">
        <f t="shared" si="90"/>
        <v>-7.6813329938071981E-2</v>
      </c>
    </row>
    <row r="280" spans="1:26" ht="20.100000000000001" customHeight="1" x14ac:dyDescent="0.2">
      <c r="A280" s="776">
        <f t="shared" si="123"/>
        <v>406</v>
      </c>
      <c r="B280" s="824">
        <v>42639</v>
      </c>
      <c r="C280" s="835">
        <v>2146.1</v>
      </c>
      <c r="D280" s="792">
        <f t="shared" si="120"/>
        <v>-8.5878347477006609E-3</v>
      </c>
      <c r="E280" s="826">
        <f t="shared" si="108"/>
        <v>2.0766347672228389E-2</v>
      </c>
      <c r="F280" s="827">
        <v>5257.49</v>
      </c>
      <c r="G280" s="792">
        <f t="shared" si="121"/>
        <v>-9.093924692879788E-3</v>
      </c>
      <c r="H280" s="828">
        <f t="shared" si="110"/>
        <v>3.256083429895712E-2</v>
      </c>
      <c r="I280" s="829">
        <v>378419.42</v>
      </c>
      <c r="J280" s="830">
        <v>400000</v>
      </c>
      <c r="K280" s="830">
        <f t="shared" si="111"/>
        <v>-2698.6300000000047</v>
      </c>
      <c r="L280" s="792">
        <f t="shared" si="119"/>
        <v>-7.0808244322198982E-3</v>
      </c>
      <c r="M280" s="831">
        <f t="shared" ref="M280:M311" si="124">I280-J280</f>
        <v>-21580.580000000016</v>
      </c>
      <c r="N280" s="832">
        <f t="shared" si="107"/>
        <v>-5.395145000000004E-2</v>
      </c>
      <c r="O280" s="786">
        <f t="shared" si="116"/>
        <v>-4.8536372198275897E-2</v>
      </c>
      <c r="P280" s="831" t="b">
        <f t="shared" si="112"/>
        <v>1</v>
      </c>
      <c r="Q280" s="832">
        <f>COUNTIF(P$2:P280, TRUE)/(COUNTIF(P$2:P280,FALSE) + COUNTIF(P$2:P280, TRUE))</f>
        <v>0.49820788530465948</v>
      </c>
      <c r="R280" s="830">
        <v>310812.53000000003</v>
      </c>
      <c r="S280" s="830">
        <f t="shared" si="104"/>
        <v>67606.889999999956</v>
      </c>
      <c r="T280" s="830">
        <v>-37706</v>
      </c>
      <c r="U280" s="830">
        <f t="shared" si="105"/>
        <v>16125.419999999984</v>
      </c>
      <c r="V280" s="832">
        <f>STDEV(D$2:D280)*SQRT(252)</f>
        <v>0.1664347537339865</v>
      </c>
      <c r="W280" s="832">
        <f>STDEV(L$2:L280)*SQRT(252)</f>
        <v>0.35736746994840918</v>
      </c>
      <c r="X280" s="801">
        <f t="shared" si="88"/>
        <v>0.11224843483667561</v>
      </c>
      <c r="Y280" s="801">
        <f t="shared" si="89"/>
        <v>-0.13581642505201377</v>
      </c>
      <c r="Z280" s="807">
        <f t="shared" si="90"/>
        <v>-7.4717797672228428E-2</v>
      </c>
    </row>
    <row r="281" spans="1:26" ht="20.100000000000001" customHeight="1" x14ac:dyDescent="0.2">
      <c r="A281" s="776">
        <f t="shared" si="123"/>
        <v>407</v>
      </c>
      <c r="B281" s="824">
        <v>42640</v>
      </c>
      <c r="C281" s="835">
        <v>2159.9299999999998</v>
      </c>
      <c r="D281" s="792">
        <f t="shared" si="120"/>
        <v>6.4442477051395216E-3</v>
      </c>
      <c r="E281" s="826">
        <f t="shared" si="108"/>
        <v>2.7344418865698796E-2</v>
      </c>
      <c r="F281" s="827">
        <v>5305.71</v>
      </c>
      <c r="G281" s="792">
        <f t="shared" si="121"/>
        <v>9.1716769789386681E-3</v>
      </c>
      <c r="H281" s="828">
        <f t="shared" si="110"/>
        <v>4.203114873225057E-2</v>
      </c>
      <c r="I281" s="829">
        <v>375834.82</v>
      </c>
      <c r="J281" s="830">
        <v>400000</v>
      </c>
      <c r="K281" s="830">
        <f t="shared" si="111"/>
        <v>-2584.5999999999767</v>
      </c>
      <c r="L281" s="792">
        <f t="shared" si="119"/>
        <v>-6.8299877421723679E-3</v>
      </c>
      <c r="M281" s="831">
        <f t="shared" si="124"/>
        <v>-24165.179999999993</v>
      </c>
      <c r="N281" s="832">
        <f t="shared" si="107"/>
        <v>-6.0412949999999979E-2</v>
      </c>
      <c r="O281" s="786">
        <f t="shared" si="116"/>
        <v>-5.4215798495085982E-2</v>
      </c>
      <c r="P281" s="831" t="b">
        <f t="shared" si="112"/>
        <v>0</v>
      </c>
      <c r="Q281" s="832">
        <f>COUNTIF(P$2:P281, TRUE)/(COUNTIF(P$2:P281,FALSE) + COUNTIF(P$2:P281, TRUE))</f>
        <v>0.49642857142857144</v>
      </c>
      <c r="R281" s="830">
        <v>313206.95</v>
      </c>
      <c r="S281" s="830">
        <f t="shared" si="104"/>
        <v>62627.869999999995</v>
      </c>
      <c r="T281" s="830">
        <v>-41827</v>
      </c>
      <c r="U281" s="830">
        <f t="shared" si="105"/>
        <v>17661.820000000007</v>
      </c>
      <c r="V281" s="832">
        <f>STDEV(D$2:D281)*SQRT(252)</f>
        <v>0.16624352629269787</v>
      </c>
      <c r="W281" s="832">
        <f>STDEV(L$2:L281)*SQRT(252)</f>
        <v>0.35679007137958157</v>
      </c>
      <c r="X281" s="801">
        <f t="shared" si="88"/>
        <v>0.14761135640474896</v>
      </c>
      <c r="Y281" s="801">
        <f t="shared" si="89"/>
        <v>-0.15195433630048219</v>
      </c>
      <c r="Z281" s="807">
        <f t="shared" si="90"/>
        <v>-8.7757368865698779E-2</v>
      </c>
    </row>
    <row r="282" spans="1:26" ht="20.100000000000001" customHeight="1" x14ac:dyDescent="0.2">
      <c r="A282" s="776">
        <f t="shared" si="123"/>
        <v>408</v>
      </c>
      <c r="B282" s="824">
        <v>42641</v>
      </c>
      <c r="C282" s="825">
        <v>2171.37</v>
      </c>
      <c r="D282" s="792">
        <f t="shared" si="120"/>
        <v>5.2964679410907088E-3</v>
      </c>
      <c r="E282" s="826">
        <f t="shared" si="108"/>
        <v>3.2785715644679435E-2</v>
      </c>
      <c r="F282" s="827">
        <v>5318.54</v>
      </c>
      <c r="G282" s="792">
        <f t="shared" si="121"/>
        <v>2.4181495030825145E-3</v>
      </c>
      <c r="H282" s="828">
        <f t="shared" si="110"/>
        <v>4.4550935836753965E-2</v>
      </c>
      <c r="I282" s="829">
        <v>385764.92</v>
      </c>
      <c r="J282" s="830">
        <v>400000</v>
      </c>
      <c r="K282" s="830">
        <f t="shared" si="111"/>
        <v>9930.0999999999767</v>
      </c>
      <c r="L282" s="792">
        <f t="shared" si="119"/>
        <v>2.6421447592322542E-2</v>
      </c>
      <c r="M282" s="831">
        <f t="shared" si="124"/>
        <v>-14235.080000000016</v>
      </c>
      <c r="N282" s="832">
        <f t="shared" si="107"/>
        <v>-3.5587700000000042E-2</v>
      </c>
      <c r="O282" s="786">
        <f t="shared" si="116"/>
        <v>-3.1858841727941213E-2</v>
      </c>
      <c r="P282" s="831" t="b">
        <f t="shared" si="112"/>
        <v>1</v>
      </c>
      <c r="Q282" s="832">
        <f>COUNTIF(P$2:P282, TRUE)/(COUNTIF(P$2:P282,FALSE) + COUNTIF(P$2:P282, TRUE))</f>
        <v>0.49822064056939502</v>
      </c>
      <c r="R282" s="830">
        <v>304000.24</v>
      </c>
      <c r="S282" s="830">
        <f t="shared" si="104"/>
        <v>81764.679999999993</v>
      </c>
      <c r="T282" s="830">
        <v>-31374</v>
      </c>
      <c r="U282" s="830">
        <f t="shared" si="105"/>
        <v>17138.919999999984</v>
      </c>
      <c r="V282" s="832">
        <f>STDEV(D$2:D282)*SQRT(252)</f>
        <v>0.16601709899528619</v>
      </c>
      <c r="W282" s="832">
        <f>STDEV(L$2:L282)*SQRT(252)</f>
        <v>0.35700717953973932</v>
      </c>
      <c r="X282" s="801">
        <f t="shared" si="88"/>
        <v>0.17679171496653109</v>
      </c>
      <c r="Y282" s="801">
        <f t="shared" si="89"/>
        <v>-8.9238658362597242E-2</v>
      </c>
      <c r="Z282" s="807">
        <f t="shared" si="90"/>
        <v>-6.8373415644679469E-2</v>
      </c>
    </row>
    <row r="283" spans="1:26" ht="20.100000000000001" customHeight="1" x14ac:dyDescent="0.2">
      <c r="A283" s="776">
        <f t="shared" si="123"/>
        <v>409</v>
      </c>
      <c r="B283" s="824">
        <v>42642</v>
      </c>
      <c r="C283" s="825">
        <v>2151.13</v>
      </c>
      <c r="D283" s="792">
        <f t="shared" si="120"/>
        <v>-9.3213040614910318E-3</v>
      </c>
      <c r="E283" s="826">
        <f t="shared" si="108"/>
        <v>2.3158805958790763E-2</v>
      </c>
      <c r="F283" s="827">
        <v>5269.15</v>
      </c>
      <c r="G283" s="792">
        <f t="shared" si="121"/>
        <v>-9.286383105137937E-3</v>
      </c>
      <c r="H283" s="828">
        <f t="shared" si="110"/>
        <v>3.4850835673743509E-2</v>
      </c>
      <c r="I283" s="829">
        <v>389483.35</v>
      </c>
      <c r="J283" s="830">
        <v>400000</v>
      </c>
      <c r="K283" s="830">
        <f t="shared" si="111"/>
        <v>3718.429999999993</v>
      </c>
      <c r="L283" s="792">
        <f t="shared" si="119"/>
        <v>9.6391087090033824E-3</v>
      </c>
      <c r="M283" s="831">
        <f t="shared" si="124"/>
        <v>-10516.650000000023</v>
      </c>
      <c r="N283" s="832">
        <f t="shared" si="107"/>
        <v>-2.6291625000000058E-2</v>
      </c>
      <c r="O283" s="786">
        <f t="shared" si="116"/>
        <v>-2.3479256800122299E-2</v>
      </c>
      <c r="P283" s="831" t="b">
        <f t="shared" si="112"/>
        <v>1</v>
      </c>
      <c r="Q283" s="832">
        <f>COUNTIF(P$2:P283, TRUE)/(COUNTIF(P$2:P283,FALSE) + COUNTIF(P$2:P283, TRUE))</f>
        <v>0.5</v>
      </c>
      <c r="R283" s="830">
        <v>298931.3</v>
      </c>
      <c r="S283" s="830">
        <f t="shared" si="104"/>
        <v>90552.049999999988</v>
      </c>
      <c r="T283" s="830">
        <v>-27372</v>
      </c>
      <c r="U283" s="830">
        <f t="shared" si="105"/>
        <v>16855.349999999977</v>
      </c>
      <c r="V283" s="832">
        <f>STDEV(D$2:D283)*SQRT(252)</f>
        <v>0.16596393387436578</v>
      </c>
      <c r="W283" s="832">
        <f>STDEV(L$2:L283)*SQRT(252)</f>
        <v>0.35647523622237404</v>
      </c>
      <c r="X283" s="801">
        <f t="shared" ref="X283:X346" si="125">E283/(A283/365.25)/V283</f>
        <v>0.12461472403891637</v>
      </c>
      <c r="Y283" s="801">
        <f t="shared" ref="Y283:Y346" si="126">O283/W283</f>
        <v>-6.5865043106320076E-2</v>
      </c>
      <c r="Z283" s="807">
        <f t="shared" ref="Z283:Z346" si="127">-(E283-N283)</f>
        <v>-4.9450430958790821E-2</v>
      </c>
    </row>
    <row r="284" spans="1:26" ht="20.100000000000001" customHeight="1" x14ac:dyDescent="0.2">
      <c r="A284" s="776">
        <f t="shared" si="123"/>
        <v>410</v>
      </c>
      <c r="B284" s="824">
        <v>42643</v>
      </c>
      <c r="C284" s="825">
        <v>2168.27</v>
      </c>
      <c r="D284" s="792">
        <f t="shared" si="120"/>
        <v>7.9679052405014442E-3</v>
      </c>
      <c r="E284" s="826">
        <f t="shared" si="108"/>
        <v>3.1311238370655012E-2</v>
      </c>
      <c r="F284" s="827">
        <v>5312</v>
      </c>
      <c r="G284" s="792">
        <f t="shared" si="121"/>
        <v>8.1322414431170813E-3</v>
      </c>
      <c r="H284" s="828">
        <f t="shared" si="110"/>
        <v>4.3266492527053869E-2</v>
      </c>
      <c r="I284" s="836">
        <v>389657.79</v>
      </c>
      <c r="J284" s="830">
        <v>400000</v>
      </c>
      <c r="K284" s="830">
        <f t="shared" si="111"/>
        <v>174.44000000000233</v>
      </c>
      <c r="L284" s="792">
        <f t="shared" si="119"/>
        <v>4.478753713092032E-4</v>
      </c>
      <c r="M284" s="831">
        <f t="shared" si="124"/>
        <v>-10342.210000000021</v>
      </c>
      <c r="N284" s="832">
        <f t="shared" si="107"/>
        <v>-2.5855525000000053E-2</v>
      </c>
      <c r="O284" s="786">
        <f t="shared" si="116"/>
        <v>-2.3033489039634193E-2</v>
      </c>
      <c r="P284" s="831" t="b">
        <f t="shared" si="112"/>
        <v>0</v>
      </c>
      <c r="Q284" s="832">
        <f>COUNTIF(P$2:P284, TRUE)/(COUNTIF(P$2:P284,FALSE) + COUNTIF(P$2:P284, TRUE))</f>
        <v>0.49823321554770317</v>
      </c>
      <c r="R284" s="830">
        <v>303944.73</v>
      </c>
      <c r="S284" s="830">
        <f t="shared" si="104"/>
        <v>85713.06</v>
      </c>
      <c r="T284" s="830">
        <v>-28150</v>
      </c>
      <c r="U284" s="830">
        <f t="shared" si="105"/>
        <v>17807.789999999979</v>
      </c>
      <c r="V284" s="832">
        <f>STDEV(D$2:D284)*SQRT(252)</f>
        <v>0.16583370781569123</v>
      </c>
      <c r="W284" s="832">
        <f>STDEV(L$2:L284)*SQRT(252)</f>
        <v>0.35584037520231043</v>
      </c>
      <c r="X284" s="801">
        <f t="shared" si="125"/>
        <v>0.16820302472408336</v>
      </c>
      <c r="Y284" s="801">
        <f t="shared" si="126"/>
        <v>-6.4729835748792333E-2</v>
      </c>
      <c r="Z284" s="807">
        <f t="shared" si="127"/>
        <v>-5.7166763370655065E-2</v>
      </c>
    </row>
    <row r="285" spans="1:26" ht="20.100000000000001" customHeight="1" x14ac:dyDescent="0.2">
      <c r="A285" s="776">
        <f t="shared" si="123"/>
        <v>413</v>
      </c>
      <c r="B285" s="795">
        <v>42646</v>
      </c>
      <c r="C285" s="820">
        <v>2161.1999999999998</v>
      </c>
      <c r="D285" s="792">
        <f t="shared" si="120"/>
        <v>-3.2606640316935453E-3</v>
      </c>
      <c r="E285" s="819">
        <f t="shared" si="108"/>
        <v>2.794847891021849E-2</v>
      </c>
      <c r="F285" s="816">
        <v>5300.87</v>
      </c>
      <c r="G285" s="792">
        <f t="shared" si="121"/>
        <v>-2.0952560240964061E-3</v>
      </c>
      <c r="H285" s="797">
        <f t="shared" si="110"/>
        <v>4.108058212384863E-2</v>
      </c>
      <c r="I285" s="799">
        <v>389787.58</v>
      </c>
      <c r="J285" s="800">
        <v>400000</v>
      </c>
      <c r="K285" s="800">
        <f t="shared" si="111"/>
        <v>129.79000000003725</v>
      </c>
      <c r="L285" s="792">
        <f t="shared" si="119"/>
        <v>3.3308714295186365E-4</v>
      </c>
      <c r="M285" s="817">
        <f t="shared" si="124"/>
        <v>-10212.419999999984</v>
      </c>
      <c r="N285" s="802">
        <f t="shared" si="107"/>
        <v>-2.5531049999999958E-2</v>
      </c>
      <c r="O285" s="786">
        <f t="shared" si="116"/>
        <v>-2.2579215526634347E-2</v>
      </c>
      <c r="P285" s="817" t="b">
        <f t="shared" si="112"/>
        <v>1</v>
      </c>
      <c r="Q285" s="802">
        <f>COUNTIF(P$2:P285, TRUE)/(COUNTIF(P$2:P285,FALSE) + COUNTIF(P$2:P285, TRUE))</f>
        <v>0.5</v>
      </c>
      <c r="R285" s="800">
        <v>316431.14</v>
      </c>
      <c r="S285" s="800">
        <f t="shared" ref="S285:S316" si="128">I285-R285</f>
        <v>73356.44</v>
      </c>
      <c r="T285" s="800">
        <v>-28447</v>
      </c>
      <c r="U285" s="800">
        <f t="shared" ref="U285:U316" si="129">M285-T285</f>
        <v>18234.580000000016</v>
      </c>
      <c r="V285" s="802">
        <f>STDEV(D$2:D285)*SQRT(252)</f>
        <v>0.16557095301003413</v>
      </c>
      <c r="W285" s="802">
        <f>STDEV(L$2:L285)*SQRT(252)</f>
        <v>0.35520892170812252</v>
      </c>
      <c r="X285" s="801">
        <f t="shared" si="125"/>
        <v>0.149284322288672</v>
      </c>
      <c r="Y285" s="801">
        <f t="shared" si="126"/>
        <v>-6.3566014665554588E-2</v>
      </c>
      <c r="Z285" s="807">
        <f t="shared" si="127"/>
        <v>-5.3479528910218448E-2</v>
      </c>
    </row>
    <row r="286" spans="1:26" ht="20.100000000000001" customHeight="1" x14ac:dyDescent="0.2">
      <c r="A286" s="776">
        <f t="shared" si="123"/>
        <v>414</v>
      </c>
      <c r="B286" s="795">
        <v>42647</v>
      </c>
      <c r="C286" s="820">
        <v>2150.4899999999998</v>
      </c>
      <c r="D286" s="792">
        <f t="shared" ref="D286:D295" si="130">(C286-C285)/C285</f>
        <v>-4.9555802332037933E-3</v>
      </c>
      <c r="E286" s="819">
        <f t="shared" si="108"/>
        <v>2.2854397747379105E-2</v>
      </c>
      <c r="F286" s="816">
        <v>5289.65</v>
      </c>
      <c r="G286" s="792">
        <f t="shared" ref="G286:G292" si="131">(F286-F285)/F285</f>
        <v>-2.1166336846593589E-3</v>
      </c>
      <c r="H286" s="797">
        <f t="shared" si="110"/>
        <v>3.8876995895280521E-2</v>
      </c>
      <c r="I286" s="799">
        <v>385233.03</v>
      </c>
      <c r="J286" s="800">
        <v>400000</v>
      </c>
      <c r="K286" s="800">
        <f t="shared" si="111"/>
        <v>-4554.5499999999884</v>
      </c>
      <c r="L286" s="792">
        <f t="shared" ref="L286:L295" si="132">K286/I285</f>
        <v>-1.1684697598625355E-2</v>
      </c>
      <c r="M286" s="817">
        <f t="shared" si="124"/>
        <v>-14766.969999999972</v>
      </c>
      <c r="N286" s="802">
        <f t="shared" ref="N286:N317" si="133">M286/J286</f>
        <v>-3.6917424999999927E-2</v>
      </c>
      <c r="O286" s="786">
        <f t="shared" si="116"/>
        <v>-3.2570264447463707E-2</v>
      </c>
      <c r="P286" s="817" t="b">
        <f t="shared" si="112"/>
        <v>0</v>
      </c>
      <c r="Q286" s="802">
        <f>COUNTIF(P$2:P286, TRUE)/(COUNTIF(P$2:P286,FALSE) + COUNTIF(P$2:P286, TRUE))</f>
        <v>0.49824561403508771</v>
      </c>
      <c r="R286" s="800">
        <v>337102.39</v>
      </c>
      <c r="S286" s="800">
        <f t="shared" si="128"/>
        <v>48130.640000000014</v>
      </c>
      <c r="T286" s="800">
        <v>-32163</v>
      </c>
      <c r="U286" s="800">
        <f t="shared" si="129"/>
        <v>17396.030000000028</v>
      </c>
      <c r="V286" s="802">
        <f>STDEV(D$2:D286)*SQRT(252)</f>
        <v>0.16534817054416481</v>
      </c>
      <c r="W286" s="802">
        <f>STDEV(L$2:L286)*SQRT(252)</f>
        <v>0.35476607688224249</v>
      </c>
      <c r="X286" s="801">
        <f t="shared" si="125"/>
        <v>0.12194395341949456</v>
      </c>
      <c r="Y286" s="801">
        <f t="shared" si="126"/>
        <v>-9.1807719423733836E-2</v>
      </c>
      <c r="Z286" s="807">
        <f t="shared" si="127"/>
        <v>-5.9771822747379036E-2</v>
      </c>
    </row>
    <row r="287" spans="1:26" ht="20.100000000000001" customHeight="1" x14ac:dyDescent="0.2">
      <c r="A287" s="776">
        <f t="shared" si="123"/>
        <v>415</v>
      </c>
      <c r="B287" s="795">
        <v>42648</v>
      </c>
      <c r="C287" s="820">
        <v>2159.73</v>
      </c>
      <c r="D287" s="792">
        <f t="shared" si="130"/>
        <v>4.2966951717981657E-3</v>
      </c>
      <c r="E287" s="819">
        <f t="shared" si="108"/>
        <v>2.7249291299632789E-2</v>
      </c>
      <c r="F287" s="816">
        <v>5316.02</v>
      </c>
      <c r="G287" s="792">
        <f t="shared" si="131"/>
        <v>4.9852069607631512E-3</v>
      </c>
      <c r="H287" s="797">
        <f t="shared" si="110"/>
        <v>4.4056012726594387E-2</v>
      </c>
      <c r="I287" s="799">
        <v>390592.54</v>
      </c>
      <c r="J287" s="800">
        <v>400000</v>
      </c>
      <c r="K287" s="800">
        <f t="shared" si="111"/>
        <v>5359.5099999999511</v>
      </c>
      <c r="L287" s="792">
        <f t="shared" si="132"/>
        <v>1.3912384407951599E-2</v>
      </c>
      <c r="M287" s="817">
        <f t="shared" si="124"/>
        <v>-9407.460000000021</v>
      </c>
      <c r="N287" s="802">
        <f t="shared" si="133"/>
        <v>-2.3518650000000054E-2</v>
      </c>
      <c r="O287" s="786">
        <f t="shared" si="116"/>
        <v>-2.0699245572289207E-2</v>
      </c>
      <c r="P287" s="817" t="b">
        <f t="shared" si="112"/>
        <v>1</v>
      </c>
      <c r="Q287" s="802">
        <f>COUNTIF(P$2:P287, TRUE)/(COUNTIF(P$2:P287,FALSE) + COUNTIF(P$2:P287, TRUE))</f>
        <v>0.5</v>
      </c>
      <c r="R287" s="800">
        <v>313332.61</v>
      </c>
      <c r="S287" s="800">
        <f t="shared" si="128"/>
        <v>77259.929999999993</v>
      </c>
      <c r="T287" s="800">
        <v>-29624</v>
      </c>
      <c r="U287" s="800">
        <f t="shared" si="129"/>
        <v>20216.539999999979</v>
      </c>
      <c r="V287" s="802">
        <f>STDEV(D$2:D287)*SQRT(252)</f>
        <v>0.16510322057626589</v>
      </c>
      <c r="W287" s="802">
        <f>STDEV(L$2:L287)*SQRT(252)</f>
        <v>0.35436735180004281</v>
      </c>
      <c r="X287" s="801">
        <f t="shared" si="125"/>
        <v>0.14525858009985407</v>
      </c>
      <c r="Y287" s="801">
        <f t="shared" si="126"/>
        <v>-5.8411830173252167E-2</v>
      </c>
      <c r="Z287" s="807">
        <f t="shared" si="127"/>
        <v>-5.0767941299632843E-2</v>
      </c>
    </row>
    <row r="288" spans="1:26" ht="20.100000000000001" customHeight="1" x14ac:dyDescent="0.2">
      <c r="A288" s="776">
        <f t="shared" si="123"/>
        <v>416</v>
      </c>
      <c r="B288" s="795">
        <v>42649</v>
      </c>
      <c r="C288" s="820">
        <v>2160.77</v>
      </c>
      <c r="D288" s="792">
        <f t="shared" si="130"/>
        <v>4.8154167419073849E-4</v>
      </c>
      <c r="E288" s="819">
        <f t="shared" ref="E288:E319" si="134">(C288-$C$2)/$C$2</f>
        <v>2.7743954643176465E-2</v>
      </c>
      <c r="F288" s="816">
        <v>5306.85</v>
      </c>
      <c r="G288" s="792">
        <f t="shared" si="131"/>
        <v>-1.7249746991170221E-3</v>
      </c>
      <c r="H288" s="797">
        <f t="shared" ref="H288:H319" si="135">(F288-F$2)/F$2</f>
        <v>4.225504252018001E-2</v>
      </c>
      <c r="I288" s="799">
        <v>390871.84</v>
      </c>
      <c r="J288" s="800">
        <v>400000</v>
      </c>
      <c r="K288" s="800">
        <f t="shared" ref="K288:K319" si="136">I288-I287-J288+J287</f>
        <v>279.30000000004657</v>
      </c>
      <c r="L288" s="792">
        <f t="shared" si="132"/>
        <v>7.1506742038659153E-4</v>
      </c>
      <c r="M288" s="817">
        <f t="shared" si="124"/>
        <v>-9128.1599999999744</v>
      </c>
      <c r="N288" s="802">
        <f t="shared" si="133"/>
        <v>-2.2820399999999935E-2</v>
      </c>
      <c r="O288" s="786">
        <f t="shared" si="116"/>
        <v>-2.0036420913461479E-2</v>
      </c>
      <c r="P288" s="817" t="b">
        <f t="shared" ref="P288:P319" si="137">L288&gt;D288</f>
        <v>1</v>
      </c>
      <c r="Q288" s="802">
        <f>COUNTIF(P$2:P288, TRUE)/(COUNTIF(P$2:P288,FALSE) + COUNTIF(P$2:P288, TRUE))</f>
        <v>0.50174216027874563</v>
      </c>
      <c r="R288" s="800">
        <v>335247.19</v>
      </c>
      <c r="S288" s="800">
        <f t="shared" si="128"/>
        <v>55624.650000000023</v>
      </c>
      <c r="T288" s="800">
        <v>-29330</v>
      </c>
      <c r="U288" s="800">
        <f t="shared" si="129"/>
        <v>20201.840000000026</v>
      </c>
      <c r="V288" s="802">
        <f>STDEV(D$2:D288)*SQRT(252)</f>
        <v>0.16481360805187978</v>
      </c>
      <c r="W288" s="802">
        <f>STDEV(L$2:L288)*SQRT(252)</f>
        <v>0.35374517129723698</v>
      </c>
      <c r="X288" s="801">
        <f t="shared" si="125"/>
        <v>0.1477992372658844</v>
      </c>
      <c r="Y288" s="801">
        <f t="shared" si="126"/>
        <v>-5.6640832269130054E-2</v>
      </c>
      <c r="Z288" s="807">
        <f t="shared" si="127"/>
        <v>-5.05643546431764E-2</v>
      </c>
    </row>
    <row r="289" spans="1:26" ht="20.100000000000001" customHeight="1" x14ac:dyDescent="0.2">
      <c r="A289" s="776">
        <f t="shared" si="123"/>
        <v>417</v>
      </c>
      <c r="B289" s="795">
        <v>42650</v>
      </c>
      <c r="C289" s="820">
        <v>2153.7399999999998</v>
      </c>
      <c r="D289" s="792">
        <f t="shared" si="130"/>
        <v>-3.2534698278855224E-3</v>
      </c>
      <c r="E289" s="819">
        <f t="shared" si="134"/>
        <v>2.4400220695953143E-2</v>
      </c>
      <c r="F289" s="816">
        <v>5292.4</v>
      </c>
      <c r="G289" s="792">
        <f t="shared" si="131"/>
        <v>-2.7228958798535341E-3</v>
      </c>
      <c r="H289" s="797">
        <f t="shared" si="135"/>
        <v>3.9417090559145239E-2</v>
      </c>
      <c r="I289" s="799">
        <v>386326.18</v>
      </c>
      <c r="J289" s="800">
        <v>400000</v>
      </c>
      <c r="K289" s="800">
        <f t="shared" si="136"/>
        <v>-4545.6600000000326</v>
      </c>
      <c r="L289" s="792">
        <f t="shared" si="132"/>
        <v>-1.1629540772238881E-2</v>
      </c>
      <c r="M289" s="817">
        <f t="shared" si="124"/>
        <v>-13673.820000000007</v>
      </c>
      <c r="N289" s="802">
        <f t="shared" si="133"/>
        <v>-3.4184550000000015E-2</v>
      </c>
      <c r="O289" s="786">
        <f t="shared" si="116"/>
        <v>-2.9942222751798572E-2</v>
      </c>
      <c r="P289" s="817" t="b">
        <f t="shared" si="137"/>
        <v>0</v>
      </c>
      <c r="Q289" s="802">
        <f>COUNTIF(P$2:P289, TRUE)/(COUNTIF(P$2:P289,FALSE) + COUNTIF(P$2:P289, TRUE))</f>
        <v>0.5</v>
      </c>
      <c r="R289" s="800">
        <v>340123.03</v>
      </c>
      <c r="S289" s="800">
        <f t="shared" si="128"/>
        <v>46203.149999999965</v>
      </c>
      <c r="T289" s="800">
        <v>-30659</v>
      </c>
      <c r="U289" s="800">
        <f t="shared" si="129"/>
        <v>16985.179999999993</v>
      </c>
      <c r="V289" s="802">
        <f>STDEV(D$2:D289)*SQRT(252)</f>
        <v>0.16455611820081531</v>
      </c>
      <c r="W289" s="802">
        <f>STDEV(L$2:L289)*SQRT(252)</f>
        <v>0.35330879271171961</v>
      </c>
      <c r="X289" s="801">
        <f t="shared" si="125"/>
        <v>0.12987749095654019</v>
      </c>
      <c r="Y289" s="801">
        <f t="shared" si="126"/>
        <v>-8.4748026002935531E-2</v>
      </c>
      <c r="Z289" s="807">
        <f t="shared" si="127"/>
        <v>-5.8584770695953158E-2</v>
      </c>
    </row>
    <row r="290" spans="1:26" ht="20.100000000000001" customHeight="1" x14ac:dyDescent="0.2">
      <c r="A290" s="776">
        <f t="shared" si="123"/>
        <v>420</v>
      </c>
      <c r="B290" s="824">
        <v>42653</v>
      </c>
      <c r="C290" s="825">
        <v>2163.66</v>
      </c>
      <c r="D290" s="792">
        <f t="shared" si="130"/>
        <v>4.6059412928208948E-3</v>
      </c>
      <c r="E290" s="826">
        <f t="shared" si="134"/>
        <v>2.911854797283147E-2</v>
      </c>
      <c r="F290" s="827">
        <v>5328.67</v>
      </c>
      <c r="G290" s="792">
        <f t="shared" si="131"/>
        <v>6.8532234902880431E-3</v>
      </c>
      <c r="H290" s="828">
        <f t="shared" si="135"/>
        <v>4.6540448180372028E-2</v>
      </c>
      <c r="I290" s="829">
        <v>390200.44</v>
      </c>
      <c r="J290" s="830">
        <v>400000</v>
      </c>
      <c r="K290" s="830">
        <f t="shared" si="136"/>
        <v>3874.2600000000093</v>
      </c>
      <c r="L290" s="792">
        <f t="shared" si="132"/>
        <v>1.0028468689333997E-2</v>
      </c>
      <c r="M290" s="831">
        <f t="shared" si="124"/>
        <v>-9799.5599999999977</v>
      </c>
      <c r="N290" s="832">
        <f t="shared" si="133"/>
        <v>-2.4498899999999994E-2</v>
      </c>
      <c r="O290" s="786">
        <f t="shared" si="116"/>
        <v>-2.1305293392857139E-2</v>
      </c>
      <c r="P290" s="831" t="b">
        <f t="shared" si="137"/>
        <v>1</v>
      </c>
      <c r="Q290" s="832">
        <f>COUNTIF(P$2:P290, TRUE)/(COUNTIF(P$2:P290,FALSE) + COUNTIF(P$2:P290, TRUE))</f>
        <v>0.5017301038062284</v>
      </c>
      <c r="R290" s="830">
        <v>340124.03</v>
      </c>
      <c r="S290" s="830">
        <f t="shared" si="128"/>
        <v>50076.409999999974</v>
      </c>
      <c r="T290" s="830">
        <v>-26735</v>
      </c>
      <c r="U290" s="830">
        <f t="shared" si="129"/>
        <v>16935.440000000002</v>
      </c>
      <c r="V290" s="832">
        <f>STDEV(D$2:D290)*SQRT(252)</f>
        <v>0.16432235109111573</v>
      </c>
      <c r="W290" s="832">
        <f>STDEV(L$2:L290)*SQRT(252)</f>
        <v>0.35280655192521093</v>
      </c>
      <c r="X290" s="801">
        <f t="shared" si="125"/>
        <v>0.15410403445909321</v>
      </c>
      <c r="Y290" s="801">
        <f t="shared" si="126"/>
        <v>-6.0388032128647948E-2</v>
      </c>
      <c r="Z290" s="807">
        <f t="shared" si="127"/>
        <v>-5.3617447972831467E-2</v>
      </c>
    </row>
    <row r="291" spans="1:26" ht="20.100000000000001" customHeight="1" x14ac:dyDescent="0.2">
      <c r="A291" s="776">
        <f t="shared" si="123"/>
        <v>428</v>
      </c>
      <c r="B291" s="795">
        <v>42661</v>
      </c>
      <c r="C291" s="820">
        <v>2139.6</v>
      </c>
      <c r="D291" s="792">
        <f t="shared" si="130"/>
        <v>-1.1120046587726327E-2</v>
      </c>
      <c r="E291" s="819">
        <f t="shared" si="134"/>
        <v>1.7674701775080313E-2</v>
      </c>
      <c r="F291" s="816">
        <v>5243.83</v>
      </c>
      <c r="G291" s="792">
        <f t="shared" si="131"/>
        <v>-1.592142129274287E-2</v>
      </c>
      <c r="H291" s="797">
        <f t="shared" si="135"/>
        <v>2.9878036804996389E-2</v>
      </c>
      <c r="I291" s="799">
        <v>374649.22</v>
      </c>
      <c r="J291" s="800">
        <v>400000</v>
      </c>
      <c r="K291" s="800">
        <f t="shared" si="136"/>
        <v>-15551.22000000003</v>
      </c>
      <c r="L291" s="792">
        <f t="shared" si="132"/>
        <v>-3.9854439938612138E-2</v>
      </c>
      <c r="M291" s="817">
        <f t="shared" si="124"/>
        <v>-25350.780000000028</v>
      </c>
      <c r="N291" s="802">
        <f t="shared" si="133"/>
        <v>-6.3376950000000071E-2</v>
      </c>
      <c r="O291" s="786">
        <f t="shared" si="116"/>
        <v>-5.4085119129672961E-2</v>
      </c>
      <c r="P291" s="817" t="b">
        <f t="shared" si="137"/>
        <v>0</v>
      </c>
      <c r="Q291" s="802">
        <f>COUNTIF(P$2:P291, TRUE)/(COUNTIF(P$2:P291,FALSE) + COUNTIF(P$2:P291, TRUE))</f>
        <v>0.5</v>
      </c>
      <c r="R291" s="800">
        <v>325873.59999999998</v>
      </c>
      <c r="S291" s="800">
        <f t="shared" si="128"/>
        <v>48775.619999999995</v>
      </c>
      <c r="T291" s="800">
        <v>-42252</v>
      </c>
      <c r="U291" s="800">
        <f t="shared" si="129"/>
        <v>16901.219999999972</v>
      </c>
      <c r="V291" s="802">
        <f>STDEV(D$2:D291)*SQRT(252)</f>
        <v>0.16437424820296684</v>
      </c>
      <c r="W291" s="802">
        <f>STDEV(L$2:L291)*SQRT(252)</f>
        <v>0.35420191935581979</v>
      </c>
      <c r="X291" s="801">
        <f t="shared" si="125"/>
        <v>9.1762401473383201E-2</v>
      </c>
      <c r="Y291" s="801">
        <f t="shared" si="126"/>
        <v>-0.15269572572626519</v>
      </c>
      <c r="Z291" s="807">
        <f t="shared" si="127"/>
        <v>-8.1051651775080391E-2</v>
      </c>
    </row>
    <row r="292" spans="1:26" ht="20.100000000000001" customHeight="1" x14ac:dyDescent="0.2">
      <c r="A292" s="776">
        <f t="shared" si="123"/>
        <v>429</v>
      </c>
      <c r="B292" s="795">
        <v>42662</v>
      </c>
      <c r="C292" s="820">
        <v>2144.29</v>
      </c>
      <c r="D292" s="792">
        <f t="shared" si="130"/>
        <v>2.1919985043933701E-3</v>
      </c>
      <c r="E292" s="819">
        <f t="shared" si="134"/>
        <v>1.9905443199330259E-2</v>
      </c>
      <c r="F292" s="816">
        <v>5246.41</v>
      </c>
      <c r="G292" s="792">
        <f t="shared" si="131"/>
        <v>4.9200679655898979E-4</v>
      </c>
      <c r="H292" s="797">
        <f t="shared" si="135"/>
        <v>3.0384743798731278E-2</v>
      </c>
      <c r="I292" s="799">
        <v>380216.65</v>
      </c>
      <c r="J292" s="800">
        <v>400000</v>
      </c>
      <c r="K292" s="800">
        <f t="shared" si="136"/>
        <v>5567.4300000000512</v>
      </c>
      <c r="L292" s="792">
        <f t="shared" si="132"/>
        <v>1.4860380598150055E-2</v>
      </c>
      <c r="M292" s="817">
        <f t="shared" si="124"/>
        <v>-19783.349999999977</v>
      </c>
      <c r="N292" s="802">
        <f t="shared" si="133"/>
        <v>-4.9458374999999943E-2</v>
      </c>
      <c r="O292" s="786">
        <f t="shared" si="116"/>
        <v>-4.2108791302447504E-2</v>
      </c>
      <c r="P292" s="817" t="b">
        <f t="shared" si="137"/>
        <v>1</v>
      </c>
      <c r="Q292" s="802">
        <f>COUNTIF(P$2:P292, TRUE)/(COUNTIF(P$2:P292,FALSE) + COUNTIF(P$2:P292, TRUE))</f>
        <v>0.50171821305841924</v>
      </c>
      <c r="R292" s="800">
        <v>324057.2</v>
      </c>
      <c r="S292" s="800">
        <f t="shared" si="128"/>
        <v>56159.450000000012</v>
      </c>
      <c r="T292" s="800">
        <v>-37035</v>
      </c>
      <c r="U292" s="800">
        <f t="shared" si="129"/>
        <v>17251.650000000023</v>
      </c>
      <c r="V292" s="802">
        <f>STDEV(D$2:D292)*SQRT(252)</f>
        <v>0.16410104874699943</v>
      </c>
      <c r="W292" s="802">
        <f>STDEV(L$2:L292)*SQRT(252)</f>
        <v>0.3538474741949057</v>
      </c>
      <c r="X292" s="801">
        <f t="shared" si="125"/>
        <v>0.10327457764305704</v>
      </c>
      <c r="Y292" s="801">
        <f t="shared" si="126"/>
        <v>-0.11900266180578474</v>
      </c>
      <c r="Z292" s="807">
        <f t="shared" si="127"/>
        <v>-6.9363818199330199E-2</v>
      </c>
    </row>
    <row r="293" spans="1:26" ht="20.100000000000001" customHeight="1" x14ac:dyDescent="0.2">
      <c r="A293" s="776">
        <f t="shared" si="123"/>
        <v>430</v>
      </c>
      <c r="B293" s="795">
        <v>42663</v>
      </c>
      <c r="C293" s="820">
        <v>2141.34</v>
      </c>
      <c r="D293" s="792">
        <f t="shared" si="130"/>
        <v>-1.3757467506726321E-3</v>
      </c>
      <c r="E293" s="819">
        <f t="shared" si="134"/>
        <v>1.850231159985545E-2</v>
      </c>
      <c r="F293" s="816">
        <v>5241.83</v>
      </c>
      <c r="G293" s="792">
        <f t="shared" ref="G293:G306" si="138">(F293-F292)/F292</f>
        <v>-8.7297790298507499E-4</v>
      </c>
      <c r="H293" s="797">
        <f t="shared" si="135"/>
        <v>2.9485240685822048E-2</v>
      </c>
      <c r="I293" s="799">
        <v>381021.44</v>
      </c>
      <c r="J293" s="800">
        <v>400000</v>
      </c>
      <c r="K293" s="800">
        <f t="shared" si="136"/>
        <v>804.78999999997905</v>
      </c>
      <c r="L293" s="792">
        <f t="shared" si="132"/>
        <v>2.1166616454065834E-3</v>
      </c>
      <c r="M293" s="817">
        <f t="shared" si="124"/>
        <v>-18978.559999999998</v>
      </c>
      <c r="N293" s="802">
        <f t="shared" si="133"/>
        <v>-4.7446399999999993E-2</v>
      </c>
      <c r="O293" s="786">
        <f t="shared" si="116"/>
        <v>-4.0301854883720921E-2</v>
      </c>
      <c r="P293" s="817" t="b">
        <f t="shared" si="137"/>
        <v>1</v>
      </c>
      <c r="Q293" s="802">
        <f>COUNTIF(P$2:P293, TRUE)/(COUNTIF(P$2:P293,FALSE) + COUNTIF(P$2:P293, TRUE))</f>
        <v>0.50342465753424659</v>
      </c>
      <c r="R293" s="800">
        <v>320933.90000000002</v>
      </c>
      <c r="S293" s="800">
        <f t="shared" si="128"/>
        <v>60087.539999999979</v>
      </c>
      <c r="T293" s="800">
        <v>-36535</v>
      </c>
      <c r="U293" s="800">
        <f t="shared" si="129"/>
        <v>17556.440000000002</v>
      </c>
      <c r="V293" s="802">
        <f>STDEV(D$2:D293)*SQRT(252)</f>
        <v>0.16382379522732679</v>
      </c>
      <c r="W293" s="802">
        <f>STDEV(L$2:L293)*SQRT(252)</f>
        <v>0.35324050890305325</v>
      </c>
      <c r="X293" s="801">
        <f t="shared" si="125"/>
        <v>9.5933607692105766E-2</v>
      </c>
      <c r="Y293" s="801">
        <f t="shared" si="126"/>
        <v>-0.11409182658261245</v>
      </c>
      <c r="Z293" s="807">
        <f t="shared" si="127"/>
        <v>-6.5948711599855436E-2</v>
      </c>
    </row>
    <row r="294" spans="1:26" ht="20.100000000000001" customHeight="1" x14ac:dyDescent="0.2">
      <c r="A294" s="776">
        <f t="shared" si="123"/>
        <v>431</v>
      </c>
      <c r="B294" s="795">
        <v>42664</v>
      </c>
      <c r="C294" s="820">
        <v>2141.16</v>
      </c>
      <c r="D294" s="792">
        <f t="shared" si="130"/>
        <v>-8.4059514136144197E-5</v>
      </c>
      <c r="E294" s="819">
        <f t="shared" si="134"/>
        <v>1.8416696790395825E-2</v>
      </c>
      <c r="F294" s="816">
        <v>5257.4</v>
      </c>
      <c r="G294" s="792">
        <f t="shared" si="138"/>
        <v>2.9703366953906765E-3</v>
      </c>
      <c r="H294" s="797">
        <f t="shared" si="135"/>
        <v>3.254315847359425E-2</v>
      </c>
      <c r="I294" s="799">
        <v>378995.29</v>
      </c>
      <c r="J294" s="800">
        <v>400000</v>
      </c>
      <c r="K294" s="800">
        <f t="shared" si="136"/>
        <v>-2026.1500000000233</v>
      </c>
      <c r="L294" s="792">
        <f t="shared" si="132"/>
        <v>-5.3176797610129849E-3</v>
      </c>
      <c r="M294" s="817">
        <f t="shared" si="124"/>
        <v>-21004.710000000021</v>
      </c>
      <c r="N294" s="802">
        <f t="shared" si="133"/>
        <v>-5.2511775000000052E-2</v>
      </c>
      <c r="O294" s="786">
        <f t="shared" si="116"/>
        <v>-4.4500987978538326E-2</v>
      </c>
      <c r="P294" s="817" t="b">
        <f t="shared" si="137"/>
        <v>0</v>
      </c>
      <c r="Q294" s="802">
        <f>COUNTIF(P$2:P294, TRUE)/(COUNTIF(P$2:P294,FALSE) + COUNTIF(P$2:P294, TRUE))</f>
        <v>0.50170648464163825</v>
      </c>
      <c r="R294" s="800">
        <v>320934.90000000002</v>
      </c>
      <c r="S294" s="800">
        <f t="shared" si="128"/>
        <v>58060.389999999956</v>
      </c>
      <c r="T294" s="800">
        <v>-36534</v>
      </c>
      <c r="U294" s="800">
        <f t="shared" si="129"/>
        <v>15529.289999999979</v>
      </c>
      <c r="V294" s="802">
        <f>STDEV(D$2:D294)*SQRT(252)</f>
        <v>0.16354217458793488</v>
      </c>
      <c r="W294" s="802">
        <f>STDEV(L$2:L294)*SQRT(252)</f>
        <v>0.35267302551448443</v>
      </c>
      <c r="X294" s="801">
        <f t="shared" si="125"/>
        <v>9.5432197478711553E-2</v>
      </c>
      <c r="Y294" s="801">
        <f t="shared" si="126"/>
        <v>-0.12618200077428562</v>
      </c>
      <c r="Z294" s="807">
        <f t="shared" si="127"/>
        <v>-7.0928471790395881E-2</v>
      </c>
    </row>
    <row r="295" spans="1:26" ht="20.100000000000001" customHeight="1" x14ac:dyDescent="0.2">
      <c r="A295" s="776">
        <f t="shared" si="123"/>
        <v>434</v>
      </c>
      <c r="B295" s="824">
        <v>42667</v>
      </c>
      <c r="C295" s="825">
        <v>2151.33</v>
      </c>
      <c r="D295" s="792">
        <f t="shared" si="130"/>
        <v>4.7497618113546275E-3</v>
      </c>
      <c r="E295" s="826">
        <f t="shared" si="134"/>
        <v>2.3253933524856774E-2</v>
      </c>
      <c r="F295" s="827">
        <v>5309.82</v>
      </c>
      <c r="G295" s="792">
        <f t="shared" si="138"/>
        <v>9.9707079545022399E-3</v>
      </c>
      <c r="H295" s="828">
        <f t="shared" si="135"/>
        <v>4.2838344757153778E-2</v>
      </c>
      <c r="I295" s="829">
        <v>378540.69</v>
      </c>
      <c r="J295" s="830">
        <v>400000</v>
      </c>
      <c r="K295" s="830">
        <f t="shared" si="136"/>
        <v>-454.59999999997672</v>
      </c>
      <c r="L295" s="792">
        <f t="shared" si="132"/>
        <v>-1.1994872020704445E-3</v>
      </c>
      <c r="M295" s="831">
        <f t="shared" si="124"/>
        <v>-21459.309999999998</v>
      </c>
      <c r="N295" s="832">
        <f t="shared" si="133"/>
        <v>-5.3648274999999995E-2</v>
      </c>
      <c r="O295" s="786">
        <f t="shared" si="116"/>
        <v>-4.5149844340437784E-2</v>
      </c>
      <c r="P295" s="831" t="b">
        <f t="shared" si="137"/>
        <v>0</v>
      </c>
      <c r="Q295" s="832">
        <f>COUNTIF(P$2:P295, TRUE)/(COUNTIF(P$2:P295,FALSE) + COUNTIF(P$2:P295, TRUE))</f>
        <v>0.5</v>
      </c>
      <c r="R295" s="830">
        <v>324753.15000000002</v>
      </c>
      <c r="S295" s="830">
        <f t="shared" si="128"/>
        <v>53787.539999999979</v>
      </c>
      <c r="T295" s="830">
        <v>-39269</v>
      </c>
      <c r="U295" s="830">
        <f t="shared" si="129"/>
        <v>17809.690000000002</v>
      </c>
      <c r="V295" s="832">
        <f>STDEV(D$2:D295)*SQRT(252)</f>
        <v>0.16331845604618789</v>
      </c>
      <c r="W295" s="832">
        <f>STDEV(L$2:L295)*SQRT(252)</f>
        <v>0.35207165866831386</v>
      </c>
      <c r="X295" s="801">
        <f t="shared" si="125"/>
        <v>0.11982892303868001</v>
      </c>
      <c r="Y295" s="801">
        <f t="shared" si="126"/>
        <v>-0.12824049658303618</v>
      </c>
      <c r="Z295" s="807">
        <f t="shared" si="127"/>
        <v>-7.6902208524856769E-2</v>
      </c>
    </row>
    <row r="296" spans="1:26" ht="20.100000000000001" customHeight="1" x14ac:dyDescent="0.2">
      <c r="A296" s="776">
        <f t="shared" si="123"/>
        <v>435</v>
      </c>
      <c r="B296" s="824">
        <v>42668</v>
      </c>
      <c r="C296" s="825">
        <v>2143.16</v>
      </c>
      <c r="D296" s="792">
        <f t="shared" ref="D296:D306" si="139">(C296-C295)/C295</f>
        <v>-3.797650755579141E-3</v>
      </c>
      <c r="E296" s="826">
        <f t="shared" si="134"/>
        <v>1.9367972451056772E-2</v>
      </c>
      <c r="F296" s="827">
        <v>5283.39</v>
      </c>
      <c r="G296" s="792">
        <f t="shared" si="138"/>
        <v>-4.9775698611251194E-3</v>
      </c>
      <c r="H296" s="828">
        <f t="shared" si="135"/>
        <v>3.764754404226496E-2</v>
      </c>
      <c r="I296" s="829">
        <v>374243.66</v>
      </c>
      <c r="J296" s="830">
        <v>400000</v>
      </c>
      <c r="K296" s="830">
        <f t="shared" si="136"/>
        <v>-4297.0300000000279</v>
      </c>
      <c r="L296" s="792">
        <f>K296/I295</f>
        <v>-1.1351566987422219E-2</v>
      </c>
      <c r="M296" s="831">
        <f t="shared" si="124"/>
        <v>-25756.340000000026</v>
      </c>
      <c r="N296" s="832">
        <f t="shared" si="133"/>
        <v>-6.4390850000000069E-2</v>
      </c>
      <c r="O296" s="786">
        <f t="shared" si="116"/>
        <v>-5.4066110258620743E-2</v>
      </c>
      <c r="P296" s="831" t="b">
        <f t="shared" si="137"/>
        <v>0</v>
      </c>
      <c r="Q296" s="832">
        <f>COUNTIF(P$2:P296, TRUE)/(COUNTIF(P$2:P296,FALSE) + COUNTIF(P$2:P296, TRUE))</f>
        <v>0.49830508474576274</v>
      </c>
      <c r="R296" s="830">
        <v>324754.15000000002</v>
      </c>
      <c r="S296" s="830">
        <f t="shared" si="128"/>
        <v>49489.509999999951</v>
      </c>
      <c r="T296" s="830">
        <v>-44170</v>
      </c>
      <c r="U296" s="830">
        <f t="shared" si="129"/>
        <v>18413.659999999974</v>
      </c>
      <c r="V296" s="832">
        <f>STDEV(D$2:D296)*SQRT(252)</f>
        <v>0.16308008977690622</v>
      </c>
      <c r="W296" s="832">
        <f>STDEV(L$2:L296)*SQRT(252)</f>
        <v>0.35163793771094465</v>
      </c>
      <c r="X296" s="801">
        <f t="shared" si="125"/>
        <v>9.9720439631500568E-2</v>
      </c>
      <c r="Y296" s="801">
        <f t="shared" si="126"/>
        <v>-0.15375505444769291</v>
      </c>
      <c r="Z296" s="807">
        <f t="shared" si="127"/>
        <v>-8.3758822451056841E-2</v>
      </c>
    </row>
    <row r="297" spans="1:26" ht="20.100000000000001" customHeight="1" x14ac:dyDescent="0.2">
      <c r="A297" s="776">
        <f t="shared" si="123"/>
        <v>436</v>
      </c>
      <c r="B297" s="824">
        <v>42669</v>
      </c>
      <c r="C297" s="825">
        <v>2139.4299999999998</v>
      </c>
      <c r="D297" s="792">
        <f t="shared" si="139"/>
        <v>-1.7404206872095496E-3</v>
      </c>
      <c r="E297" s="826">
        <f t="shared" si="134"/>
        <v>1.7593843343924099E-2</v>
      </c>
      <c r="F297" s="827">
        <v>5250.26</v>
      </c>
      <c r="G297" s="792">
        <f t="shared" si="138"/>
        <v>-6.2705952049725852E-3</v>
      </c>
      <c r="H297" s="828">
        <f t="shared" si="135"/>
        <v>3.1140876328141956E-2</v>
      </c>
      <c r="I297" s="829">
        <v>374681.1</v>
      </c>
      <c r="J297" s="830">
        <v>400000</v>
      </c>
      <c r="K297" s="830">
        <f t="shared" si="136"/>
        <v>437.44000000000233</v>
      </c>
      <c r="L297" s="792">
        <f>K297/I296</f>
        <v>1.1688641565764997E-3</v>
      </c>
      <c r="M297" s="831">
        <f t="shared" si="124"/>
        <v>-25318.900000000023</v>
      </c>
      <c r="N297" s="832">
        <f t="shared" si="133"/>
        <v>-6.3297250000000055E-2</v>
      </c>
      <c r="O297" s="786">
        <f t="shared" si="116"/>
        <v>-5.3025964592889954E-2</v>
      </c>
      <c r="P297" s="831" t="b">
        <f t="shared" si="137"/>
        <v>1</v>
      </c>
      <c r="Q297" s="832">
        <f>COUNTIF(P$2:P297, TRUE)/(COUNTIF(P$2:P297,FALSE) + COUNTIF(P$2:P297, TRUE))</f>
        <v>0.5</v>
      </c>
      <c r="R297" s="830">
        <v>325355.95</v>
      </c>
      <c r="S297" s="830">
        <f t="shared" si="128"/>
        <v>49325.149999999965</v>
      </c>
      <c r="T297" s="830">
        <v>-44067</v>
      </c>
      <c r="U297" s="830">
        <f t="shared" si="129"/>
        <v>18748.099999999977</v>
      </c>
      <c r="V297" s="832">
        <f>STDEV(D$2:D297)*SQRT(252)</f>
        <v>0.16281156659849447</v>
      </c>
      <c r="W297" s="832">
        <f>STDEV(L$2:L297)*SQRT(252)</f>
        <v>0.3510402532906407</v>
      </c>
      <c r="X297" s="801">
        <f t="shared" si="125"/>
        <v>9.0527223548276747E-2</v>
      </c>
      <c r="Y297" s="801">
        <f t="shared" si="126"/>
        <v>-0.15105380108356853</v>
      </c>
      <c r="Z297" s="807">
        <f t="shared" si="127"/>
        <v>-8.089109334392415E-2</v>
      </c>
    </row>
    <row r="298" spans="1:26" ht="20.100000000000001" customHeight="1" x14ac:dyDescent="0.2">
      <c r="A298" s="776">
        <f t="shared" si="123"/>
        <v>437</v>
      </c>
      <c r="B298" s="824">
        <v>42670</v>
      </c>
      <c r="C298" s="825">
        <v>2133.04</v>
      </c>
      <c r="D298" s="792">
        <f t="shared" si="139"/>
        <v>-2.9867768517782183E-3</v>
      </c>
      <c r="E298" s="826">
        <f t="shared" si="134"/>
        <v>1.4554517608112435E-2</v>
      </c>
      <c r="F298" s="827">
        <v>5215.97</v>
      </c>
      <c r="G298" s="792">
        <f t="shared" si="138"/>
        <v>-6.5311051262223136E-3</v>
      </c>
      <c r="H298" s="828">
        <f t="shared" si="135"/>
        <v>2.440638686489786E-2</v>
      </c>
      <c r="I298" s="829">
        <v>371125.09</v>
      </c>
      <c r="J298" s="830">
        <v>400000</v>
      </c>
      <c r="K298" s="830">
        <f t="shared" si="136"/>
        <v>-3556.0099999999511</v>
      </c>
      <c r="L298" s="792">
        <f>K298/I297</f>
        <v>-9.4907642792763005E-3</v>
      </c>
      <c r="M298" s="831">
        <f t="shared" si="124"/>
        <v>-28874.909999999974</v>
      </c>
      <c r="N298" s="832">
        <f t="shared" si="133"/>
        <v>-7.218727499999994E-2</v>
      </c>
      <c r="O298" s="786">
        <f t="shared" si="116"/>
        <v>-6.0335016461670429E-2</v>
      </c>
      <c r="P298" s="831" t="b">
        <f t="shared" si="137"/>
        <v>0</v>
      </c>
      <c r="Q298" s="832">
        <f>COUNTIF(P$2:P298, TRUE)/(COUNTIF(P$2:P298,FALSE) + COUNTIF(P$2:P298, TRUE))</f>
        <v>0.49831649831649832</v>
      </c>
      <c r="R298" s="830">
        <v>360946.85</v>
      </c>
      <c r="S298" s="830">
        <f t="shared" si="128"/>
        <v>10178.240000000049</v>
      </c>
      <c r="T298" s="830">
        <v>-47280</v>
      </c>
      <c r="U298" s="830">
        <f t="shared" si="129"/>
        <v>18405.090000000026</v>
      </c>
      <c r="V298" s="832">
        <f>STDEV(D$2:D298)*SQRT(252)</f>
        <v>0.16256052123167744</v>
      </c>
      <c r="W298" s="832">
        <f>STDEV(L$2:L298)*SQRT(252)</f>
        <v>0.3505620528969402</v>
      </c>
      <c r="X298" s="801">
        <f t="shared" si="125"/>
        <v>7.483271814438669E-2</v>
      </c>
      <c r="Y298" s="801">
        <f t="shared" si="126"/>
        <v>-0.17210937682239094</v>
      </c>
      <c r="Z298" s="807">
        <f t="shared" si="127"/>
        <v>-8.6741792608112378E-2</v>
      </c>
    </row>
    <row r="299" spans="1:26" ht="20.100000000000001" customHeight="1" x14ac:dyDescent="0.2">
      <c r="A299" s="776">
        <f t="shared" si="123"/>
        <v>438</v>
      </c>
      <c r="B299" s="824">
        <v>42671</v>
      </c>
      <c r="C299" s="825">
        <v>2126.41</v>
      </c>
      <c r="D299" s="792">
        <f t="shared" si="139"/>
        <v>-3.1082398829839616E-3</v>
      </c>
      <c r="E299" s="826">
        <f t="shared" si="134"/>
        <v>1.1401038793021347E-2</v>
      </c>
      <c r="F299" s="827">
        <v>5190.1000000000004</v>
      </c>
      <c r="G299" s="792">
        <f t="shared" si="138"/>
        <v>-4.9597677900754585E-3</v>
      </c>
      <c r="H299" s="828">
        <f t="shared" si="135"/>
        <v>1.9325569063377762E-2</v>
      </c>
      <c r="I299" s="829">
        <v>366496.83</v>
      </c>
      <c r="J299" s="830">
        <v>400000</v>
      </c>
      <c r="K299" s="830">
        <f t="shared" si="136"/>
        <v>-4628.2600000000093</v>
      </c>
      <c r="L299" s="792">
        <f>K299/I298</f>
        <v>-1.2470889532152108E-2</v>
      </c>
      <c r="M299" s="831">
        <f t="shared" si="124"/>
        <v>-33503.169999999984</v>
      </c>
      <c r="N299" s="832">
        <f t="shared" si="133"/>
        <v>-8.3757924999999955E-2</v>
      </c>
      <c r="O299" s="786">
        <f t="shared" si="116"/>
        <v>-6.9846077868150641E-2</v>
      </c>
      <c r="P299" s="831" t="b">
        <f t="shared" si="137"/>
        <v>0</v>
      </c>
      <c r="Q299" s="832">
        <f>COUNTIF(P$2:P299, TRUE)/(COUNTIF(P$2:P299,FALSE) + COUNTIF(P$2:P299, TRUE))</f>
        <v>0.49664429530201343</v>
      </c>
      <c r="R299" s="830">
        <v>352107.26</v>
      </c>
      <c r="S299" s="830">
        <f t="shared" si="128"/>
        <v>14389.570000000007</v>
      </c>
      <c r="T299" s="830">
        <v>-51134</v>
      </c>
      <c r="U299" s="830">
        <f t="shared" si="129"/>
        <v>17630.830000000016</v>
      </c>
      <c r="V299" s="832">
        <f>STDEV(D$2:D299)*SQRT(252)</f>
        <v>0.16231261803243649</v>
      </c>
      <c r="W299" s="832">
        <f>STDEV(L$2:L299)*SQRT(252)</f>
        <v>0.35016714235962632</v>
      </c>
      <c r="X299" s="801">
        <f t="shared" si="125"/>
        <v>5.8574454767186569E-2</v>
      </c>
      <c r="Y299" s="801">
        <f t="shared" si="126"/>
        <v>-0.19946496806492994</v>
      </c>
      <c r="Z299" s="807">
        <f t="shared" si="127"/>
        <v>-9.5158963793021301E-2</v>
      </c>
    </row>
    <row r="300" spans="1:26" ht="20.100000000000001" customHeight="1" x14ac:dyDescent="0.2">
      <c r="A300" s="776">
        <f t="shared" si="123"/>
        <v>441</v>
      </c>
      <c r="B300" s="795">
        <v>42674</v>
      </c>
      <c r="C300" s="820">
        <v>2126.15</v>
      </c>
      <c r="D300" s="792">
        <f t="shared" si="139"/>
        <v>-1.2227181023403931E-4</v>
      </c>
      <c r="E300" s="819">
        <f t="shared" si="134"/>
        <v>1.1277372957135537E-2</v>
      </c>
      <c r="F300" s="816">
        <v>5189.13</v>
      </c>
      <c r="G300" s="792">
        <f t="shared" si="138"/>
        <v>-1.8689427949370043E-4</v>
      </c>
      <c r="H300" s="797">
        <f t="shared" si="135"/>
        <v>1.9135062945578155E-2</v>
      </c>
      <c r="I300" s="823">
        <v>359986.87</v>
      </c>
      <c r="J300" s="800">
        <v>400000</v>
      </c>
      <c r="K300" s="800">
        <f t="shared" si="136"/>
        <v>-6509.960000000021</v>
      </c>
      <c r="L300" s="792">
        <f>K300/I299</f>
        <v>-1.7762663868061343E-2</v>
      </c>
      <c r="M300" s="817">
        <f t="shared" si="124"/>
        <v>-40013.130000000005</v>
      </c>
      <c r="N300" s="802">
        <f t="shared" si="133"/>
        <v>-0.10003282500000001</v>
      </c>
      <c r="O300" s="786">
        <f t="shared" si="116"/>
        <v>-8.2850315943877567E-2</v>
      </c>
      <c r="P300" s="817" t="b">
        <f t="shared" si="137"/>
        <v>0</v>
      </c>
      <c r="Q300" s="802">
        <f>COUNTIF(P$2:P300, TRUE)/(COUNTIF(P$2:P300,FALSE) + COUNTIF(P$2:P300, TRUE))</f>
        <v>0.49498327759197325</v>
      </c>
      <c r="R300" s="800">
        <v>351183.05</v>
      </c>
      <c r="S300" s="800">
        <f t="shared" si="128"/>
        <v>8803.820000000007</v>
      </c>
      <c r="T300" s="800">
        <v>-57393</v>
      </c>
      <c r="U300" s="800">
        <f t="shared" si="129"/>
        <v>17379.869999999995</v>
      </c>
      <c r="V300" s="802">
        <f>STDEV(D$2:D300)*SQRT(252)</f>
        <v>0.16203925205045192</v>
      </c>
      <c r="W300" s="802">
        <f>STDEV(L$2:L300)*SQRT(252)</f>
        <v>0.34996980187049981</v>
      </c>
      <c r="X300" s="801">
        <f t="shared" si="125"/>
        <v>5.7642040815990399E-2</v>
      </c>
      <c r="Y300" s="801">
        <f t="shared" si="126"/>
        <v>-0.23673561404745108</v>
      </c>
      <c r="Z300" s="807">
        <f t="shared" si="127"/>
        <v>-0.11131019795713554</v>
      </c>
    </row>
    <row r="301" spans="1:26" ht="20.100000000000001" customHeight="1" x14ac:dyDescent="0.2">
      <c r="A301" s="776">
        <f>B301-$B$2</f>
        <v>442</v>
      </c>
      <c r="B301" s="795">
        <v>42675</v>
      </c>
      <c r="C301" s="820">
        <v>2111.7199999999998</v>
      </c>
      <c r="D301" s="792">
        <f t="shared" si="139"/>
        <v>-6.7869153164171348E-3</v>
      </c>
      <c r="E301" s="819">
        <f t="shared" si="134"/>
        <v>4.4139190654666699E-3</v>
      </c>
      <c r="F301" s="816">
        <v>5153.57</v>
      </c>
      <c r="G301" s="792">
        <f t="shared" si="138"/>
        <v>-6.8527864979294022E-3</v>
      </c>
      <c r="H301" s="797">
        <f t="shared" si="135"/>
        <v>1.2151147946658267E-2</v>
      </c>
      <c r="I301" s="799">
        <v>360227.22</v>
      </c>
      <c r="J301" s="800">
        <v>400000</v>
      </c>
      <c r="K301" s="800">
        <f t="shared" si="136"/>
        <v>240.34999999997672</v>
      </c>
      <c r="L301" s="792">
        <f t="shared" ref="L301:L306" si="140">K301/I300</f>
        <v>6.6766324005088497E-4</v>
      </c>
      <c r="M301" s="817">
        <f t="shared" si="124"/>
        <v>-39772.780000000028</v>
      </c>
      <c r="N301" s="802">
        <f t="shared" si="133"/>
        <v>-9.9431950000000074E-2</v>
      </c>
      <c r="O301" s="786">
        <f t="shared" si="116"/>
        <v>-8.2166334247737616E-2</v>
      </c>
      <c r="P301" s="817" t="b">
        <f t="shared" si="137"/>
        <v>1</v>
      </c>
      <c r="Q301" s="802">
        <f>COUNTIF(P$2:P301, TRUE)/(COUNTIF(P$2:P301,FALSE) + COUNTIF(P$2:P301, TRUE))</f>
        <v>0.49666666666666665</v>
      </c>
      <c r="R301" s="800">
        <v>351313.75</v>
      </c>
      <c r="S301" s="800">
        <f t="shared" si="128"/>
        <v>8913.4699999999721</v>
      </c>
      <c r="T301" s="800">
        <v>-56508</v>
      </c>
      <c r="U301" s="800">
        <f t="shared" si="129"/>
        <v>16735.219999999972</v>
      </c>
      <c r="V301" s="802">
        <f>STDEV(D$2:D301)*SQRT(252)</f>
        <v>0.16189028230482433</v>
      </c>
      <c r="W301" s="802">
        <f>STDEV(L$2:L301)*SQRT(252)</f>
        <v>0.34938237475224687</v>
      </c>
      <c r="X301" s="801">
        <f t="shared" si="125"/>
        <v>2.2530536869902321E-2</v>
      </c>
      <c r="Y301" s="801">
        <f t="shared" si="126"/>
        <v>-0.23517595673222838</v>
      </c>
      <c r="Z301" s="807">
        <f t="shared" si="127"/>
        <v>-0.10384586906546675</v>
      </c>
    </row>
    <row r="302" spans="1:26" ht="20.100000000000001" customHeight="1" x14ac:dyDescent="0.2">
      <c r="A302" s="776">
        <f t="shared" ref="A302:A319" si="141">B302-$B$2</f>
        <v>443</v>
      </c>
      <c r="B302" s="795">
        <v>42676</v>
      </c>
      <c r="C302" s="820">
        <v>2097.94</v>
      </c>
      <c r="D302" s="792">
        <f t="shared" si="139"/>
        <v>-6.525486333415295E-3</v>
      </c>
      <c r="E302" s="819">
        <f t="shared" si="134"/>
        <v>-2.1403702364871293E-3</v>
      </c>
      <c r="F302" s="816">
        <v>5105.5600000000004</v>
      </c>
      <c r="G302" s="792">
        <f t="shared" si="138"/>
        <v>-9.3158722982319662E-3</v>
      </c>
      <c r="H302" s="797">
        <f t="shared" si="135"/>
        <v>2.7220771058783086E-3</v>
      </c>
      <c r="I302" s="799">
        <v>350822.36</v>
      </c>
      <c r="J302" s="800">
        <v>400000</v>
      </c>
      <c r="K302" s="800">
        <f t="shared" si="136"/>
        <v>-9404.859999999986</v>
      </c>
      <c r="L302" s="792">
        <f t="shared" si="140"/>
        <v>-2.6108132528130403E-2</v>
      </c>
      <c r="M302" s="817">
        <f t="shared" si="124"/>
        <v>-49177.640000000014</v>
      </c>
      <c r="N302" s="802">
        <f t="shared" si="133"/>
        <v>-0.12294410000000003</v>
      </c>
      <c r="O302" s="786">
        <f t="shared" si="116"/>
        <v>-0.10136643910835216</v>
      </c>
      <c r="P302" s="817" t="b">
        <f t="shared" si="137"/>
        <v>0</v>
      </c>
      <c r="Q302" s="802">
        <f>COUNTIF(P$2:P302, TRUE)/(COUNTIF(P$2:P302,FALSE) + COUNTIF(P$2:P302, TRUE))</f>
        <v>0.49501661129568109</v>
      </c>
      <c r="R302" s="800">
        <v>330288.3</v>
      </c>
      <c r="S302" s="800">
        <f t="shared" si="128"/>
        <v>20534.059999999998</v>
      </c>
      <c r="T302" s="800">
        <v>-66283</v>
      </c>
      <c r="U302" s="800">
        <f t="shared" si="129"/>
        <v>17105.359999999986</v>
      </c>
      <c r="V302" s="802">
        <f>STDEV(D$2:D302)*SQRT(252)</f>
        <v>0.16173222652481728</v>
      </c>
      <c r="W302" s="802">
        <f>STDEV(L$2:L302)*SQRT(252)</f>
        <v>0.34963013361097944</v>
      </c>
      <c r="X302" s="801">
        <f t="shared" si="125"/>
        <v>-1.0911358778199463E-2</v>
      </c>
      <c r="Y302" s="801">
        <f t="shared" si="126"/>
        <v>-0.28992477868380434</v>
      </c>
      <c r="Z302" s="807">
        <f t="shared" si="127"/>
        <v>-0.1208037297635129</v>
      </c>
    </row>
    <row r="303" spans="1:26" ht="20.100000000000001" customHeight="1" x14ac:dyDescent="0.2">
      <c r="A303" s="776">
        <f t="shared" si="141"/>
        <v>444</v>
      </c>
      <c r="B303" s="795">
        <v>42677</v>
      </c>
      <c r="C303" s="820">
        <v>2088.66</v>
      </c>
      <c r="D303" s="792">
        <f t="shared" si="139"/>
        <v>-4.423386750812797E-3</v>
      </c>
      <c r="E303" s="819">
        <f t="shared" si="134"/>
        <v>-6.5542893019540152E-3</v>
      </c>
      <c r="F303" s="816">
        <v>5058.3999999999996</v>
      </c>
      <c r="G303" s="792">
        <f t="shared" si="138"/>
        <v>-9.2369886946781082E-3</v>
      </c>
      <c r="H303" s="797">
        <f t="shared" si="135"/>
        <v>-6.54005538425284E-3</v>
      </c>
      <c r="I303" s="799">
        <v>366923.87</v>
      </c>
      <c r="J303" s="800">
        <v>400000</v>
      </c>
      <c r="K303" s="800">
        <f t="shared" si="136"/>
        <v>16101.510000000009</v>
      </c>
      <c r="L303" s="792">
        <f t="shared" si="140"/>
        <v>4.5896475925878866E-2</v>
      </c>
      <c r="M303" s="817">
        <f t="shared" si="124"/>
        <v>-33076.130000000005</v>
      </c>
      <c r="N303" s="802">
        <f t="shared" si="133"/>
        <v>-8.2690325000000009E-2</v>
      </c>
      <c r="O303" s="786">
        <f t="shared" si="116"/>
        <v>-6.8023966680743245E-2</v>
      </c>
      <c r="P303" s="817" t="b">
        <f t="shared" si="137"/>
        <v>1</v>
      </c>
      <c r="Q303" s="802">
        <f>COUNTIF(P$2:P303, TRUE)/(COUNTIF(P$2:P303,FALSE) + COUNTIF(P$2:P303, TRUE))</f>
        <v>0.49668874172185429</v>
      </c>
      <c r="R303" s="800">
        <v>317968.34999999998</v>
      </c>
      <c r="S303" s="800">
        <f t="shared" si="128"/>
        <v>48955.520000000019</v>
      </c>
      <c r="T303" s="800">
        <v>-47877</v>
      </c>
      <c r="U303" s="800">
        <f t="shared" si="129"/>
        <v>14800.869999999995</v>
      </c>
      <c r="V303" s="802">
        <f>STDEV(D$2:D303)*SQRT(252)</f>
        <v>0.16151419687276639</v>
      </c>
      <c r="W303" s="802">
        <f>STDEV(L$2:L303)*SQRT(252)</f>
        <v>0.35155170674162023</v>
      </c>
      <c r="X303" s="801">
        <f t="shared" si="125"/>
        <v>-3.3382753776592902E-2</v>
      </c>
      <c r="Y303" s="801">
        <f t="shared" si="126"/>
        <v>-0.19349633461099588</v>
      </c>
      <c r="Z303" s="807">
        <f t="shared" si="127"/>
        <v>-7.6136035698046001E-2</v>
      </c>
    </row>
    <row r="304" spans="1:26" ht="20.100000000000001" customHeight="1" x14ac:dyDescent="0.2">
      <c r="A304" s="776">
        <f t="shared" si="141"/>
        <v>445</v>
      </c>
      <c r="B304" s="795">
        <v>42678</v>
      </c>
      <c r="C304" s="820">
        <v>2085.1799999999998</v>
      </c>
      <c r="D304" s="792">
        <f t="shared" si="139"/>
        <v>-1.6661400132142227E-3</v>
      </c>
      <c r="E304" s="819">
        <f t="shared" si="134"/>
        <v>-8.2095089515040708E-3</v>
      </c>
      <c r="F304" s="816">
        <v>5046.37</v>
      </c>
      <c r="G304" s="792">
        <f t="shared" si="138"/>
        <v>-2.3782223628024172E-3</v>
      </c>
      <c r="H304" s="797">
        <f t="shared" si="135"/>
        <v>-8.9027240410864596E-3</v>
      </c>
      <c r="I304" s="799">
        <v>362921.09</v>
      </c>
      <c r="J304" s="800">
        <v>400000</v>
      </c>
      <c r="K304" s="800">
        <f t="shared" si="136"/>
        <v>-4002.7799999999697</v>
      </c>
      <c r="L304" s="792">
        <f t="shared" si="140"/>
        <v>-1.0909020446121343E-2</v>
      </c>
      <c r="M304" s="817">
        <f t="shared" si="124"/>
        <v>-37078.909999999974</v>
      </c>
      <c r="N304" s="802">
        <f t="shared" si="133"/>
        <v>-9.269727499999994E-2</v>
      </c>
      <c r="O304" s="786">
        <f t="shared" si="116"/>
        <v>-7.6084673469101069E-2</v>
      </c>
      <c r="P304" s="817" t="b">
        <f t="shared" si="137"/>
        <v>0</v>
      </c>
      <c r="Q304" s="802">
        <f>COUNTIF(P$2:P304, TRUE)/(COUNTIF(P$2:P304,FALSE) + COUNTIF(P$2:P304, TRUE))</f>
        <v>0.49504950495049505</v>
      </c>
      <c r="R304" s="800">
        <v>329130.11</v>
      </c>
      <c r="S304" s="800">
        <f t="shared" si="128"/>
        <v>33790.98000000004</v>
      </c>
      <c r="T304" s="800">
        <v>-52170</v>
      </c>
      <c r="U304" s="800">
        <f t="shared" si="129"/>
        <v>15091.090000000026</v>
      </c>
      <c r="V304" s="802">
        <f>STDEV(D$2:D304)*SQRT(252)</f>
        <v>0.16125311992836353</v>
      </c>
      <c r="W304" s="802">
        <f>STDEV(L$2:L304)*SQRT(252)</f>
        <v>0.35111566598352262</v>
      </c>
      <c r="X304" s="801">
        <f t="shared" si="125"/>
        <v>-4.1786814793907036E-2</v>
      </c>
      <c r="Y304" s="801">
        <f t="shared" si="126"/>
        <v>-0.21669404370203071</v>
      </c>
      <c r="Z304" s="807">
        <f t="shared" si="127"/>
        <v>-8.4487766048495866E-2</v>
      </c>
    </row>
    <row r="305" spans="1:26" ht="20.100000000000001" customHeight="1" x14ac:dyDescent="0.2">
      <c r="A305" s="776">
        <f t="shared" si="141"/>
        <v>468</v>
      </c>
      <c r="B305" s="824">
        <v>42701</v>
      </c>
      <c r="C305" s="825">
        <v>2213.35</v>
      </c>
      <c r="D305" s="792">
        <f t="shared" si="139"/>
        <v>6.1467115548777602E-2</v>
      </c>
      <c r="E305" s="826">
        <f t="shared" si="134"/>
        <v>5.2752991761952708E-2</v>
      </c>
      <c r="F305" s="827">
        <v>5398.92</v>
      </c>
      <c r="G305" s="792">
        <f t="shared" si="138"/>
        <v>6.9862098894849206E-2</v>
      </c>
      <c r="H305" s="828">
        <f t="shared" si="135"/>
        <v>6.0337411866370816E-2</v>
      </c>
      <c r="I305" s="837">
        <v>407026.88</v>
      </c>
      <c r="J305" s="830">
        <v>400000</v>
      </c>
      <c r="K305" s="830">
        <f t="shared" si="136"/>
        <v>44105.789999999979</v>
      </c>
      <c r="L305" s="792">
        <f t="shared" si="140"/>
        <v>0.12152997225925882</v>
      </c>
      <c r="M305" s="831">
        <f t="shared" si="124"/>
        <v>7026.8800000000047</v>
      </c>
      <c r="N305" s="832">
        <f t="shared" si="133"/>
        <v>1.7567200000000012E-2</v>
      </c>
      <c r="O305" s="786">
        <f t="shared" si="116"/>
        <v>1.3710298717948729E-2</v>
      </c>
      <c r="P305" s="831" t="b">
        <f t="shared" si="137"/>
        <v>1</v>
      </c>
      <c r="Q305" s="832">
        <f>COUNTIF(P$2:P305, TRUE)/(COUNTIF(P$2:P305,FALSE) + COUNTIF(P$2:P305, TRUE))</f>
        <v>0.49671052631578949</v>
      </c>
      <c r="R305" s="830">
        <v>282065.34000000003</v>
      </c>
      <c r="S305" s="830">
        <f t="shared" si="128"/>
        <v>124961.53999999998</v>
      </c>
      <c r="T305" s="830">
        <v>-28519</v>
      </c>
      <c r="U305" s="830">
        <f t="shared" si="129"/>
        <v>35545.880000000005</v>
      </c>
      <c r="V305" s="832">
        <f>STDEV(D$2:D305)*SQRT(252)</f>
        <v>0.17045897478056438</v>
      </c>
      <c r="W305" s="832">
        <f>STDEV(L$2:L305)*SQRT(252)</f>
        <v>0.36757496684562585</v>
      </c>
      <c r="X305" s="801">
        <f t="shared" si="125"/>
        <v>0.24153028517023301</v>
      </c>
      <c r="Y305" s="801">
        <f t="shared" si="126"/>
        <v>3.7299326544472711E-2</v>
      </c>
      <c r="Z305" s="807">
        <f t="shared" si="127"/>
        <v>-3.5185791761952696E-2</v>
      </c>
    </row>
    <row r="306" spans="1:26" ht="20.100000000000001" customHeight="1" x14ac:dyDescent="0.2">
      <c r="A306" s="776">
        <f t="shared" si="141"/>
        <v>469</v>
      </c>
      <c r="B306" s="795">
        <v>42702</v>
      </c>
      <c r="C306" s="820">
        <v>2201.7199999999998</v>
      </c>
      <c r="D306" s="792">
        <f t="shared" si="139"/>
        <v>-5.2544785054329905E-3</v>
      </c>
      <c r="E306" s="819">
        <f t="shared" si="134"/>
        <v>4.7221323795209255E-2</v>
      </c>
      <c r="F306" s="816">
        <v>5368.81</v>
      </c>
      <c r="G306" s="792">
        <f t="shared" si="138"/>
        <v>-5.5770413341927035E-3</v>
      </c>
      <c r="H306" s="797">
        <f t="shared" si="135"/>
        <v>5.4423866292201147E-2</v>
      </c>
      <c r="I306" s="799">
        <v>401105.48</v>
      </c>
      <c r="J306" s="800">
        <v>400000</v>
      </c>
      <c r="K306" s="800">
        <f t="shared" si="136"/>
        <v>-5921.4000000000233</v>
      </c>
      <c r="L306" s="792">
        <f t="shared" si="140"/>
        <v>-1.4547933541883089E-2</v>
      </c>
      <c r="M306" s="817">
        <f t="shared" si="124"/>
        <v>1105.4799999999814</v>
      </c>
      <c r="N306" s="802">
        <f t="shared" si="133"/>
        <v>2.7636999999999536E-3</v>
      </c>
      <c r="O306" s="786">
        <f t="shared" si="116"/>
        <v>2.1523271321961259E-3</v>
      </c>
      <c r="P306" s="817" t="b">
        <f t="shared" si="137"/>
        <v>0</v>
      </c>
      <c r="Q306" s="802">
        <f>COUNTIF(P$2:P306, TRUE)/(COUNTIF(P$2:P306,FALSE) + COUNTIF(P$2:P306, TRUE))</f>
        <v>0.49508196721311476</v>
      </c>
      <c r="R306" s="800">
        <v>286740.21999999997</v>
      </c>
      <c r="S306" s="800">
        <f t="shared" si="128"/>
        <v>114365.26000000001</v>
      </c>
      <c r="T306" s="800">
        <v>-27948</v>
      </c>
      <c r="U306" s="800">
        <f t="shared" si="129"/>
        <v>29053.479999999981</v>
      </c>
      <c r="V306" s="802">
        <f>STDEV(D$2:D306)*SQRT(252)</f>
        <v>0.17025062089045567</v>
      </c>
      <c r="W306" s="802">
        <f>STDEV(L$2:L306)*SQRT(252)</f>
        <v>0.36722797653623318</v>
      </c>
      <c r="X306" s="801">
        <f t="shared" si="125"/>
        <v>0.21600650762071899</v>
      </c>
      <c r="Y306" s="801">
        <f t="shared" si="126"/>
        <v>5.8610107881684305E-3</v>
      </c>
      <c r="Z306" s="807">
        <f t="shared" si="127"/>
        <v>-4.4457623795209303E-2</v>
      </c>
    </row>
    <row r="307" spans="1:26" ht="20.100000000000001" customHeight="1" x14ac:dyDescent="0.2">
      <c r="A307" s="776">
        <f t="shared" si="141"/>
        <v>470</v>
      </c>
      <c r="B307" s="795">
        <v>42703</v>
      </c>
      <c r="C307" s="820">
        <v>2204.66</v>
      </c>
      <c r="D307" s="792">
        <f t="shared" ref="D307:D316" si="142">(C307-C306)/C306</f>
        <v>1.3353196591755787E-3</v>
      </c>
      <c r="E307" s="819">
        <f t="shared" si="134"/>
        <v>4.8619699016380871E-2</v>
      </c>
      <c r="F307" s="816">
        <v>5379.91</v>
      </c>
      <c r="G307" s="792">
        <f t="shared" ref="G307:G321" si="143">(F307-F306)/F306</f>
        <v>2.0674972666195031E-3</v>
      </c>
      <c r="H307" s="797">
        <f t="shared" si="135"/>
        <v>5.6603884753618647E-2</v>
      </c>
      <c r="I307" s="799">
        <v>393567.36</v>
      </c>
      <c r="J307" s="800">
        <v>400000</v>
      </c>
      <c r="K307" s="800">
        <f t="shared" si="136"/>
        <v>-7538.1199999999953</v>
      </c>
      <c r="L307" s="792">
        <f t="shared" ref="L307:L321" si="144">K307/I306</f>
        <v>-1.8793360788788016E-2</v>
      </c>
      <c r="M307" s="817">
        <f t="shared" si="124"/>
        <v>-6432.640000000014</v>
      </c>
      <c r="N307" s="802">
        <f t="shared" si="133"/>
        <v>-1.6081600000000036E-2</v>
      </c>
      <c r="O307" s="786">
        <f t="shared" si="116"/>
        <v>-1.2497456170212794E-2</v>
      </c>
      <c r="P307" s="817" t="b">
        <f t="shared" si="137"/>
        <v>0</v>
      </c>
      <c r="Q307" s="802">
        <f>COUNTIF(P$2:P307, TRUE)/(COUNTIF(P$2:P307,FALSE) + COUNTIF(P$2:P307, TRUE))</f>
        <v>0.49346405228758172</v>
      </c>
      <c r="R307" s="800">
        <v>283628.3</v>
      </c>
      <c r="S307" s="800">
        <f t="shared" si="128"/>
        <v>109939.06</v>
      </c>
      <c r="T307" s="800">
        <v>-33267</v>
      </c>
      <c r="U307" s="800">
        <f t="shared" si="129"/>
        <v>26834.359999999986</v>
      </c>
      <c r="V307" s="802">
        <f>STDEV(D$2:D307)*SQRT(252)</f>
        <v>0.16997345622567742</v>
      </c>
      <c r="W307" s="802">
        <f>STDEV(L$2:L307)*SQRT(252)</f>
        <v>0.36704612962809202</v>
      </c>
      <c r="X307" s="801">
        <f t="shared" si="125"/>
        <v>0.22229184335493471</v>
      </c>
      <c r="Y307" s="801">
        <f t="shared" si="126"/>
        <v>-3.4048734372640818E-2</v>
      </c>
      <c r="Z307" s="807">
        <f t="shared" si="127"/>
        <v>-6.4701299016380914E-2</v>
      </c>
    </row>
    <row r="308" spans="1:26" ht="20.100000000000001" customHeight="1" x14ac:dyDescent="0.2">
      <c r="A308" s="776">
        <f t="shared" si="141"/>
        <v>471</v>
      </c>
      <c r="B308" s="795">
        <v>42704</v>
      </c>
      <c r="C308" s="820">
        <v>2198.81</v>
      </c>
      <c r="D308" s="792">
        <f t="shared" si="142"/>
        <v>-2.6534703763845262E-3</v>
      </c>
      <c r="E308" s="819">
        <f t="shared" si="134"/>
        <v>4.5837217708947643E-2</v>
      </c>
      <c r="F308" s="816">
        <v>5323.68</v>
      </c>
      <c r="G308" s="792">
        <f t="shared" si="143"/>
        <v>-1.0451847707489449E-2</v>
      </c>
      <c r="H308" s="797">
        <f t="shared" si="135"/>
        <v>4.5560421863032087E-2</v>
      </c>
      <c r="I308" s="822">
        <v>366163.6</v>
      </c>
      <c r="J308" s="800">
        <v>350000</v>
      </c>
      <c r="K308" s="800">
        <f t="shared" si="136"/>
        <v>22596.239999999991</v>
      </c>
      <c r="L308" s="792">
        <f t="shared" si="144"/>
        <v>5.7413907494767838E-2</v>
      </c>
      <c r="M308" s="822">
        <f t="shared" si="124"/>
        <v>16163.599999999977</v>
      </c>
      <c r="N308" s="802">
        <f t="shared" si="133"/>
        <v>4.6181714285714222E-2</v>
      </c>
      <c r="O308" s="786">
        <f t="shared" si="116"/>
        <v>3.581288989990896E-2</v>
      </c>
      <c r="P308" s="817" t="b">
        <f t="shared" si="137"/>
        <v>1</v>
      </c>
      <c r="Q308" s="802">
        <f>COUNTIF(P$2:P308, TRUE)/(COUNTIF(P$2:P308,FALSE) + COUNTIF(P$2:P308, TRUE))</f>
        <v>0.49511400651465798</v>
      </c>
      <c r="R308" s="800">
        <v>248009.28</v>
      </c>
      <c r="S308" s="800">
        <f t="shared" si="128"/>
        <v>118154.31999999998</v>
      </c>
      <c r="T308" s="800">
        <v>-30474</v>
      </c>
      <c r="U308" s="800">
        <f t="shared" si="129"/>
        <v>46637.599999999977</v>
      </c>
      <c r="V308" s="802">
        <f>STDEV(D$2:D308)*SQRT(252)</f>
        <v>0.16971451435778193</v>
      </c>
      <c r="W308" s="802">
        <f>STDEV(L$2:L308)*SQRT(252)</f>
        <v>0.37006384127225039</v>
      </c>
      <c r="X308" s="801">
        <f t="shared" si="125"/>
        <v>0.20944431664548785</v>
      </c>
      <c r="Y308" s="801">
        <f t="shared" si="126"/>
        <v>9.677489639838105E-2</v>
      </c>
      <c r="Z308" s="807">
        <f t="shared" si="127"/>
        <v>3.4449657676657863E-4</v>
      </c>
    </row>
    <row r="309" spans="1:26" ht="20.100000000000001" customHeight="1" x14ac:dyDescent="0.2">
      <c r="A309" s="776">
        <f t="shared" si="141"/>
        <v>472</v>
      </c>
      <c r="B309" s="795">
        <v>42705</v>
      </c>
      <c r="C309" s="820">
        <v>2191.08</v>
      </c>
      <c r="D309" s="792">
        <f t="shared" si="142"/>
        <v>-3.5155379500730025E-3</v>
      </c>
      <c r="E309" s="819">
        <f t="shared" si="134"/>
        <v>4.2160537280493078E-2</v>
      </c>
      <c r="F309" s="816">
        <v>5251.1</v>
      </c>
      <c r="G309" s="792">
        <f t="shared" si="143"/>
        <v>-1.3633426501968549E-2</v>
      </c>
      <c r="H309" s="797">
        <f t="shared" si="135"/>
        <v>3.1305850698195213E-2</v>
      </c>
      <c r="I309" s="799">
        <v>361692.5</v>
      </c>
      <c r="J309" s="800">
        <v>350000</v>
      </c>
      <c r="K309" s="800">
        <f t="shared" si="136"/>
        <v>-4471.0999999999767</v>
      </c>
      <c r="L309" s="792">
        <f t="shared" si="144"/>
        <v>-1.2210662119336758E-2</v>
      </c>
      <c r="M309" s="817">
        <f t="shared" si="124"/>
        <v>11692.5</v>
      </c>
      <c r="N309" s="802">
        <f t="shared" si="133"/>
        <v>3.3407142857142857E-2</v>
      </c>
      <c r="O309" s="786">
        <f t="shared" si="116"/>
        <v>2.5851607899515738E-2</v>
      </c>
      <c r="P309" s="817" t="b">
        <f t="shared" si="137"/>
        <v>0</v>
      </c>
      <c r="Q309" s="802">
        <f>COUNTIF(P$2:P309, TRUE)/(COUNTIF(P$2:P309,FALSE) + COUNTIF(P$2:P309, TRUE))</f>
        <v>0.4935064935064935</v>
      </c>
      <c r="R309" s="800">
        <v>254063.2</v>
      </c>
      <c r="S309" s="800">
        <f t="shared" si="128"/>
        <v>107629.29999999999</v>
      </c>
      <c r="T309" s="800">
        <v>-33426</v>
      </c>
      <c r="U309" s="800">
        <f t="shared" si="129"/>
        <v>45118.5</v>
      </c>
      <c r="V309" s="802">
        <f>STDEV(D$2:D309)*SQRT(252)</f>
        <v>0.16947047230211157</v>
      </c>
      <c r="W309" s="802">
        <f>STDEV(L$2:L309)*SQRT(252)</f>
        <v>0.36964383438211174</v>
      </c>
      <c r="X309" s="801">
        <f t="shared" si="125"/>
        <v>0.19251311573327806</v>
      </c>
      <c r="Y309" s="801">
        <f t="shared" si="126"/>
        <v>6.9936532128903758E-2</v>
      </c>
      <c r="Z309" s="807">
        <f t="shared" si="127"/>
        <v>-8.7533944233502206E-3</v>
      </c>
    </row>
    <row r="310" spans="1:26" ht="20.100000000000001" customHeight="1" x14ac:dyDescent="0.2">
      <c r="A310" s="776">
        <f t="shared" si="141"/>
        <v>473</v>
      </c>
      <c r="B310" s="795">
        <v>42706</v>
      </c>
      <c r="C310" s="820">
        <v>2191.9499999999998</v>
      </c>
      <c r="D310" s="792">
        <f t="shared" si="142"/>
        <v>3.9706446136147054E-4</v>
      </c>
      <c r="E310" s="819">
        <f t="shared" si="134"/>
        <v>4.2574342192880539E-2</v>
      </c>
      <c r="F310" s="816">
        <v>5255.65</v>
      </c>
      <c r="G310" s="792">
        <f t="shared" si="143"/>
        <v>8.664851174038339E-4</v>
      </c>
      <c r="H310" s="797">
        <f t="shared" si="135"/>
        <v>3.2199461869316694E-2</v>
      </c>
      <c r="I310" s="799">
        <v>313669.12</v>
      </c>
      <c r="J310" s="800">
        <v>300000</v>
      </c>
      <c r="K310" s="800">
        <f t="shared" si="136"/>
        <v>1976.6199999999953</v>
      </c>
      <c r="L310" s="792">
        <f t="shared" si="144"/>
        <v>5.4649184044457521E-3</v>
      </c>
      <c r="M310" s="817">
        <f t="shared" si="124"/>
        <v>13669.119999999995</v>
      </c>
      <c r="N310" s="802">
        <f t="shared" si="133"/>
        <v>4.5563733333333314E-2</v>
      </c>
      <c r="O310" s="786">
        <f t="shared" si="116"/>
        <v>3.5184257082452416E-2</v>
      </c>
      <c r="P310" s="817" t="b">
        <f t="shared" si="137"/>
        <v>1</v>
      </c>
      <c r="Q310" s="802">
        <f>COUNTIF(P$2:P310, TRUE)/(COUNTIF(P$2:P310,FALSE) + COUNTIF(P$2:P310, TRUE))</f>
        <v>0.49514563106796117</v>
      </c>
      <c r="R310" s="800">
        <v>254064.2</v>
      </c>
      <c r="S310" s="800">
        <f t="shared" si="128"/>
        <v>59604.919999999984</v>
      </c>
      <c r="T310" s="800">
        <v>-33097</v>
      </c>
      <c r="U310" s="800">
        <f t="shared" si="129"/>
        <v>46766.119999999995</v>
      </c>
      <c r="V310" s="802">
        <f>STDEV(D$2:D310)*SQRT(252)</f>
        <v>0.16919433911473156</v>
      </c>
      <c r="W310" s="802">
        <f>STDEV(L$2:L310)*SQRT(252)</f>
        <v>0.36906691391637653</v>
      </c>
      <c r="X310" s="801">
        <f t="shared" si="125"/>
        <v>0.19430823281588042</v>
      </c>
      <c r="Y310" s="801">
        <f t="shared" si="126"/>
        <v>9.5333002650095297E-2</v>
      </c>
      <c r="Z310" s="807">
        <f t="shared" si="127"/>
        <v>2.9893911404527754E-3</v>
      </c>
    </row>
    <row r="311" spans="1:26" ht="20.100000000000001" customHeight="1" x14ac:dyDescent="0.2">
      <c r="A311" s="776">
        <f t="shared" si="141"/>
        <v>476</v>
      </c>
      <c r="B311" s="824">
        <v>42709</v>
      </c>
      <c r="C311" s="825">
        <v>2204.71</v>
      </c>
      <c r="D311" s="792">
        <f t="shared" si="142"/>
        <v>5.821300668354761E-3</v>
      </c>
      <c r="E311" s="826">
        <f t="shared" si="134"/>
        <v>4.8643480907897482E-2</v>
      </c>
      <c r="F311" s="827">
        <v>5308.89</v>
      </c>
      <c r="G311" s="792">
        <f t="shared" si="143"/>
        <v>1.0130050517062722E-2</v>
      </c>
      <c r="H311" s="828">
        <f t="shared" si="135"/>
        <v>4.2655694561737831E-2</v>
      </c>
      <c r="I311" s="837">
        <v>315749.27</v>
      </c>
      <c r="J311" s="830">
        <v>300000</v>
      </c>
      <c r="K311" s="830">
        <f t="shared" si="136"/>
        <v>2080.1500000000233</v>
      </c>
      <c r="L311" s="792">
        <f t="shared" si="144"/>
        <v>6.6316697034123837E-3</v>
      </c>
      <c r="M311" s="831">
        <f t="shared" si="124"/>
        <v>15749.270000000019</v>
      </c>
      <c r="N311" s="832">
        <f t="shared" si="133"/>
        <v>5.2497566666666731E-2</v>
      </c>
      <c r="O311" s="786">
        <f t="shared" si="116"/>
        <v>4.0283059296218532E-2</v>
      </c>
      <c r="P311" s="831" t="b">
        <f t="shared" si="137"/>
        <v>1</v>
      </c>
      <c r="Q311" s="832">
        <f>COUNTIF(P$2:P311, TRUE)/(COUNTIF(P$2:P311,FALSE) + COUNTIF(P$2:P311, TRUE))</f>
        <v>0.49677419354838709</v>
      </c>
      <c r="R311" s="830">
        <v>256362.35</v>
      </c>
      <c r="S311" s="830">
        <f t="shared" si="128"/>
        <v>59386.920000000013</v>
      </c>
      <c r="T311" s="830">
        <v>-31763</v>
      </c>
      <c r="U311" s="830">
        <f t="shared" si="129"/>
        <v>47512.270000000019</v>
      </c>
      <c r="V311" s="832">
        <f>STDEV(D$2:D311)*SQRT(252)</f>
        <v>0.16899593279406544</v>
      </c>
      <c r="W311" s="832">
        <f>STDEV(L$2:L311)*SQRT(252)</f>
        <v>0.3685065540926854</v>
      </c>
      <c r="X311" s="801">
        <f t="shared" si="125"/>
        <v>0.22086742328499143</v>
      </c>
      <c r="Y311" s="801">
        <f t="shared" si="126"/>
        <v>0.10931436320149325</v>
      </c>
      <c r="Z311" s="807">
        <f t="shared" si="127"/>
        <v>3.854085758769249E-3</v>
      </c>
    </row>
    <row r="312" spans="1:26" ht="20.100000000000001" customHeight="1" x14ac:dyDescent="0.2">
      <c r="A312" s="776">
        <f t="shared" si="141"/>
        <v>477</v>
      </c>
      <c r="B312" s="824">
        <v>42710</v>
      </c>
      <c r="C312" s="825">
        <v>2212.23</v>
      </c>
      <c r="D312" s="792">
        <f t="shared" si="142"/>
        <v>3.4108794353905872E-3</v>
      </c>
      <c r="E312" s="826">
        <f t="shared" si="134"/>
        <v>5.2220277391982629E-2</v>
      </c>
      <c r="F312" s="827">
        <v>5333</v>
      </c>
      <c r="G312" s="792">
        <f t="shared" si="143"/>
        <v>4.5414389825367768E-3</v>
      </c>
      <c r="H312" s="828">
        <f t="shared" si="135"/>
        <v>4.7390851778384466E-2</v>
      </c>
      <c r="I312" s="837">
        <v>317812.25</v>
      </c>
      <c r="J312" s="830">
        <v>300000</v>
      </c>
      <c r="K312" s="830">
        <f t="shared" si="136"/>
        <v>2062.9799999999814</v>
      </c>
      <c r="L312" s="792">
        <f t="shared" si="144"/>
        <v>6.5336018037349102E-3</v>
      </c>
      <c r="M312" s="831">
        <f t="shared" ref="M312:M343" si="145">I312-J312</f>
        <v>17812.25</v>
      </c>
      <c r="N312" s="832">
        <f t="shared" si="133"/>
        <v>5.9374166666666665E-2</v>
      </c>
      <c r="O312" s="786">
        <f t="shared" si="116"/>
        <v>4.5464181079664566E-2</v>
      </c>
      <c r="P312" s="831" t="b">
        <f t="shared" si="137"/>
        <v>1</v>
      </c>
      <c r="Q312" s="832">
        <f>COUNTIF(P$2:P312, TRUE)/(COUNTIF(P$2:P312,FALSE) + COUNTIF(P$2:P312, TRUE))</f>
        <v>0.49839228295819937</v>
      </c>
      <c r="R312" s="830">
        <v>247476.7</v>
      </c>
      <c r="S312" s="830">
        <f t="shared" si="128"/>
        <v>70335.549999999988</v>
      </c>
      <c r="T312" s="830">
        <v>-30573</v>
      </c>
      <c r="U312" s="830">
        <f t="shared" si="129"/>
        <v>48385.25</v>
      </c>
      <c r="V312" s="832">
        <f>STDEV(D$2:D312)*SQRT(252)</f>
        <v>0.1687469337814691</v>
      </c>
      <c r="W312" s="832">
        <f>STDEV(L$2:L312)*SQRT(252)</f>
        <v>0.36794744748761488</v>
      </c>
      <c r="X312" s="801">
        <f t="shared" si="125"/>
        <v>0.23696004835068094</v>
      </c>
      <c r="Y312" s="801">
        <f t="shared" si="126"/>
        <v>0.1235616156331534</v>
      </c>
      <c r="Z312" s="807">
        <f t="shared" si="127"/>
        <v>7.153889274684036E-3</v>
      </c>
    </row>
    <row r="313" spans="1:26" ht="20.100000000000001" customHeight="1" x14ac:dyDescent="0.2">
      <c r="A313" s="776">
        <f t="shared" si="141"/>
        <v>478</v>
      </c>
      <c r="B313" s="824">
        <v>42711</v>
      </c>
      <c r="C313" s="825">
        <v>2241.35</v>
      </c>
      <c r="D313" s="792">
        <f t="shared" si="142"/>
        <v>1.316318827608336E-2</v>
      </c>
      <c r="E313" s="826">
        <f t="shared" si="134"/>
        <v>6.6070851011205953E-2</v>
      </c>
      <c r="F313" s="827">
        <v>5393.76</v>
      </c>
      <c r="G313" s="792">
        <f t="shared" si="143"/>
        <v>1.1393212075754776E-2</v>
      </c>
      <c r="H313" s="828">
        <f t="shared" si="135"/>
        <v>5.9323997878901039E-2</v>
      </c>
      <c r="I313" s="837">
        <v>321172.03999999998</v>
      </c>
      <c r="J313" s="830">
        <v>300000</v>
      </c>
      <c r="K313" s="830">
        <f t="shared" si="136"/>
        <v>3359.789999999979</v>
      </c>
      <c r="L313" s="792">
        <f t="shared" si="144"/>
        <v>1.0571618935393394E-2</v>
      </c>
      <c r="M313" s="831">
        <f t="shared" si="145"/>
        <v>21172.039999999979</v>
      </c>
      <c r="N313" s="832">
        <f t="shared" si="133"/>
        <v>7.0573466666666598E-2</v>
      </c>
      <c r="O313" s="786">
        <f t="shared" si="116"/>
        <v>5.3926691841004133E-2</v>
      </c>
      <c r="P313" s="831" t="b">
        <f t="shared" si="137"/>
        <v>0</v>
      </c>
      <c r="Q313" s="832">
        <f>COUNTIF(P$2:P313, TRUE)/(COUNTIF(P$2:P313,FALSE) + COUNTIF(P$2:P313, TRUE))</f>
        <v>0.49679487179487181</v>
      </c>
      <c r="R313" s="830">
        <v>220777.60000000001</v>
      </c>
      <c r="S313" s="830">
        <f t="shared" si="128"/>
        <v>100394.43999999997</v>
      </c>
      <c r="T313" s="830">
        <v>-30508</v>
      </c>
      <c r="U313" s="830">
        <f t="shared" si="129"/>
        <v>51680.039999999979</v>
      </c>
      <c r="V313" s="832">
        <f>STDEV(D$2:D313)*SQRT(252)</f>
        <v>0.16887690023643279</v>
      </c>
      <c r="W313" s="832">
        <f>STDEV(L$2:L313)*SQRT(252)</f>
        <v>0.36746067349044381</v>
      </c>
      <c r="X313" s="801">
        <f t="shared" si="125"/>
        <v>0.29895235563339134</v>
      </c>
      <c r="Y313" s="801">
        <f t="shared" si="126"/>
        <v>0.146755001912896</v>
      </c>
      <c r="Z313" s="807">
        <f t="shared" si="127"/>
        <v>4.5026156554606456E-3</v>
      </c>
    </row>
    <row r="314" spans="1:26" ht="20.100000000000001" customHeight="1" x14ac:dyDescent="0.2">
      <c r="A314" s="776">
        <f t="shared" si="141"/>
        <v>479</v>
      </c>
      <c r="B314" s="824">
        <v>42712</v>
      </c>
      <c r="C314" s="825">
        <v>2246.19</v>
      </c>
      <c r="D314" s="792">
        <f t="shared" si="142"/>
        <v>2.1594128538604618E-3</v>
      </c>
      <c r="E314" s="826">
        <f t="shared" si="134"/>
        <v>6.8372938110005513E-2</v>
      </c>
      <c r="F314" s="827">
        <v>5417.35</v>
      </c>
      <c r="G314" s="792">
        <f t="shared" si="143"/>
        <v>4.3735724244312211E-3</v>
      </c>
      <c r="H314" s="828">
        <f t="shared" si="135"/>
        <v>6.3957028104562441E-2</v>
      </c>
      <c r="I314" s="837">
        <v>322327.21999999997</v>
      </c>
      <c r="J314" s="830">
        <v>300000</v>
      </c>
      <c r="K314" s="830">
        <f t="shared" si="136"/>
        <v>1155.179999999993</v>
      </c>
      <c r="L314" s="792">
        <f t="shared" si="144"/>
        <v>3.596763902611177E-3</v>
      </c>
      <c r="M314" s="831">
        <f t="shared" si="145"/>
        <v>22327.219999999972</v>
      </c>
      <c r="N314" s="832">
        <f t="shared" si="133"/>
        <v>7.442406666666658E-2</v>
      </c>
      <c r="O314" s="786">
        <f t="shared" si="116"/>
        <v>5.6750293006262983E-2</v>
      </c>
      <c r="P314" s="831" t="b">
        <f t="shared" si="137"/>
        <v>1</v>
      </c>
      <c r="Q314" s="832">
        <f>COUNTIF(P$2:P314, TRUE)/(COUNTIF(P$2:P314,FALSE) + COUNTIF(P$2:P314, TRUE))</f>
        <v>0.49840255591054311</v>
      </c>
      <c r="R314" s="830">
        <v>216214.39999999999</v>
      </c>
      <c r="S314" s="830">
        <f t="shared" si="128"/>
        <v>106112.81999999998</v>
      </c>
      <c r="T314" s="830">
        <v>-30163</v>
      </c>
      <c r="U314" s="830">
        <f t="shared" si="129"/>
        <v>52490.219999999972</v>
      </c>
      <c r="V314" s="832">
        <f>STDEV(D$2:D314)*SQRT(252)</f>
        <v>0.16861379822258454</v>
      </c>
      <c r="W314" s="832">
        <f>STDEV(L$2:L314)*SQRT(252)</f>
        <v>0.36687837723498989</v>
      </c>
      <c r="X314" s="801">
        <f t="shared" si="125"/>
        <v>0.30920452608826132</v>
      </c>
      <c r="Y314" s="801">
        <f t="shared" si="126"/>
        <v>0.15468421288266263</v>
      </c>
      <c r="Z314" s="807">
        <f t="shared" si="127"/>
        <v>6.0511285566610673E-3</v>
      </c>
    </row>
    <row r="315" spans="1:26" ht="20.100000000000001" customHeight="1" x14ac:dyDescent="0.2">
      <c r="A315" s="776">
        <f t="shared" si="141"/>
        <v>480</v>
      </c>
      <c r="B315" s="824">
        <v>42713</v>
      </c>
      <c r="C315" s="825">
        <v>2259.5300000000002</v>
      </c>
      <c r="D315" s="792">
        <f t="shared" si="142"/>
        <v>5.9389455032744986E-3</v>
      </c>
      <c r="E315" s="826">
        <f t="shared" si="134"/>
        <v>7.4717946766614099E-2</v>
      </c>
      <c r="F315" s="827">
        <v>5444.49</v>
      </c>
      <c r="G315" s="792">
        <f t="shared" si="143"/>
        <v>5.0098295291977476E-3</v>
      </c>
      <c r="H315" s="828">
        <f t="shared" si="135"/>
        <v>6.9287271441758155E-2</v>
      </c>
      <c r="I315" s="837">
        <v>323626.28000000003</v>
      </c>
      <c r="J315" s="830">
        <v>300000</v>
      </c>
      <c r="K315" s="830">
        <f t="shared" si="136"/>
        <v>1299.0600000000559</v>
      </c>
      <c r="L315" s="792">
        <f t="shared" si="144"/>
        <v>4.0302522387034396E-3</v>
      </c>
      <c r="M315" s="831">
        <f t="shared" si="145"/>
        <v>23626.280000000028</v>
      </c>
      <c r="N315" s="832">
        <f t="shared" si="133"/>
        <v>7.8754266666666753E-2</v>
      </c>
      <c r="O315" s="786">
        <f t="shared" si="116"/>
        <v>5.9927074791666736E-2</v>
      </c>
      <c r="P315" s="831" t="b">
        <f t="shared" si="137"/>
        <v>0</v>
      </c>
      <c r="Q315" s="832">
        <f>COUNTIF(P$2:P315, TRUE)/(COUNTIF(P$2:P315,FALSE) + COUNTIF(P$2:P315, TRUE))</f>
        <v>0.49681528662420382</v>
      </c>
      <c r="R315" s="830">
        <v>204478.8</v>
      </c>
      <c r="S315" s="830">
        <f t="shared" si="128"/>
        <v>119147.48000000004</v>
      </c>
      <c r="T315" s="830">
        <v>-28680</v>
      </c>
      <c r="U315" s="830">
        <f t="shared" si="129"/>
        <v>52306.280000000028</v>
      </c>
      <c r="V315" s="832">
        <f>STDEV(D$2:D315)*SQRT(252)</f>
        <v>0.16842024942459102</v>
      </c>
      <c r="W315" s="832">
        <f>STDEV(L$2:L315)*SQRT(252)</f>
        <v>0.36630175469945664</v>
      </c>
      <c r="X315" s="801">
        <f t="shared" si="125"/>
        <v>0.33758225517399648</v>
      </c>
      <c r="Y315" s="801">
        <f t="shared" si="126"/>
        <v>0.16360029408222659</v>
      </c>
      <c r="Z315" s="807">
        <f t="shared" si="127"/>
        <v>4.036319900052654E-3</v>
      </c>
    </row>
    <row r="316" spans="1:26" ht="20.100000000000001" customHeight="1" x14ac:dyDescent="0.2">
      <c r="A316" s="776">
        <f t="shared" si="141"/>
        <v>483</v>
      </c>
      <c r="B316" s="795">
        <v>42716</v>
      </c>
      <c r="C316" s="820">
        <v>2256.96</v>
      </c>
      <c r="D316" s="792">
        <f t="shared" si="142"/>
        <v>-1.137404681504633E-3</v>
      </c>
      <c r="E316" s="819">
        <f t="shared" si="134"/>
        <v>7.3495557542664708E-2</v>
      </c>
      <c r="F316" s="816">
        <v>5412.54</v>
      </c>
      <c r="G316" s="792">
        <f t="shared" si="143"/>
        <v>-5.8683182446840421E-3</v>
      </c>
      <c r="H316" s="797">
        <f t="shared" si="135"/>
        <v>6.301235343794806E-2</v>
      </c>
      <c r="I316" s="799">
        <v>324351.42</v>
      </c>
      <c r="J316" s="800">
        <v>300000</v>
      </c>
      <c r="K316" s="800">
        <f t="shared" si="136"/>
        <v>725.13999999995576</v>
      </c>
      <c r="L316" s="792">
        <f t="shared" si="144"/>
        <v>2.2406709368595025E-3</v>
      </c>
      <c r="M316" s="817">
        <f t="shared" si="145"/>
        <v>24351.419999999984</v>
      </c>
      <c r="N316" s="802">
        <f t="shared" si="133"/>
        <v>8.1171399999999949E-2</v>
      </c>
      <c r="O316" s="786">
        <f t="shared" si="116"/>
        <v>6.1382720186335366E-2</v>
      </c>
      <c r="P316" s="817" t="b">
        <f t="shared" si="137"/>
        <v>1</v>
      </c>
      <c r="Q316" s="802">
        <f>COUNTIF(P$2:P316, TRUE)/(COUNTIF(P$2:P316,FALSE) + COUNTIF(P$2:P316, TRUE))</f>
        <v>0.49841269841269842</v>
      </c>
      <c r="R316" s="800">
        <v>230456.1</v>
      </c>
      <c r="S316" s="800">
        <f t="shared" si="128"/>
        <v>93895.319999999978</v>
      </c>
      <c r="T316" s="800">
        <v>-29165</v>
      </c>
      <c r="U316" s="800">
        <f t="shared" si="129"/>
        <v>53516.419999999984</v>
      </c>
      <c r="V316" s="802">
        <f>STDEV(D$2:D316)*SQRT(252)</f>
        <v>0.16815582865464937</v>
      </c>
      <c r="W316" s="802">
        <f>STDEV(L$2:L316)*SQRT(252)</f>
        <v>0.36571853063602927</v>
      </c>
      <c r="X316" s="801">
        <f t="shared" si="125"/>
        <v>0.33051582420833064</v>
      </c>
      <c r="Y316" s="801">
        <f t="shared" si="126"/>
        <v>0.16784142733917065</v>
      </c>
      <c r="Z316" s="807">
        <f t="shared" si="127"/>
        <v>7.6758424573352413E-3</v>
      </c>
    </row>
    <row r="317" spans="1:26" ht="20.100000000000001" customHeight="1" x14ac:dyDescent="0.2">
      <c r="A317" s="776">
        <f t="shared" si="141"/>
        <v>484</v>
      </c>
      <c r="B317" s="795">
        <v>42717</v>
      </c>
      <c r="C317" s="820">
        <v>2271.7199999999998</v>
      </c>
      <c r="D317" s="792">
        <f t="shared" ref="D317:D324" si="146">(C317-C316)/C316</f>
        <v>6.539770310506063E-3</v>
      </c>
      <c r="E317" s="819">
        <f t="shared" si="134"/>
        <v>8.051597191834238E-2</v>
      </c>
      <c r="F317" s="816">
        <v>5463.82</v>
      </c>
      <c r="G317" s="792">
        <f t="shared" si="143"/>
        <v>9.47429487819023E-3</v>
      </c>
      <c r="H317" s="797">
        <f t="shared" si="135"/>
        <v>7.3083645933578162E-2</v>
      </c>
      <c r="I317" s="799">
        <v>326932.27</v>
      </c>
      <c r="J317" s="800">
        <v>300000</v>
      </c>
      <c r="K317" s="800">
        <f t="shared" si="136"/>
        <v>2580.8500000000349</v>
      </c>
      <c r="L317" s="792">
        <f t="shared" si="144"/>
        <v>7.9569560694386209E-3</v>
      </c>
      <c r="M317" s="817">
        <f t="shared" si="145"/>
        <v>26932.270000000019</v>
      </c>
      <c r="N317" s="802">
        <f t="shared" si="133"/>
        <v>8.9774233333333397E-2</v>
      </c>
      <c r="O317" s="786">
        <f t="shared" si="116"/>
        <v>6.7748013894628145E-2</v>
      </c>
      <c r="P317" s="817" t="b">
        <f t="shared" si="137"/>
        <v>1</v>
      </c>
      <c r="Q317" s="802">
        <f>COUNTIF(P$2:P317, TRUE)/(COUNTIF(P$2:P317,FALSE) + COUNTIF(P$2:P317, TRUE))</f>
        <v>0.5</v>
      </c>
      <c r="R317" s="800">
        <v>227241.15</v>
      </c>
      <c r="S317" s="800">
        <f t="shared" ref="S317:S325" si="147">I317-R317</f>
        <v>99691.120000000024</v>
      </c>
      <c r="T317" s="800">
        <v>-28375</v>
      </c>
      <c r="U317" s="800">
        <f t="shared" ref="U317:U348" si="148">M317-T317</f>
        <v>55307.270000000019</v>
      </c>
      <c r="V317" s="802">
        <f>STDEV(D$2:D317)*SQRT(252)</f>
        <v>0.16798113436370918</v>
      </c>
      <c r="W317" s="802">
        <f>STDEV(L$2:L317)*SQRT(252)</f>
        <v>0.36519230283112208</v>
      </c>
      <c r="X317" s="801">
        <f t="shared" si="125"/>
        <v>0.36171489509905153</v>
      </c>
      <c r="Y317" s="801">
        <f t="shared" si="126"/>
        <v>0.18551325799973731</v>
      </c>
      <c r="Z317" s="807">
        <f t="shared" si="127"/>
        <v>9.2582614149910175E-3</v>
      </c>
    </row>
    <row r="318" spans="1:26" ht="20.100000000000001" customHeight="1" x14ac:dyDescent="0.2">
      <c r="A318" s="776">
        <f t="shared" si="141"/>
        <v>485</v>
      </c>
      <c r="B318" s="795">
        <v>42718</v>
      </c>
      <c r="C318" s="820">
        <v>2253.2800000000002</v>
      </c>
      <c r="D318" s="792">
        <f t="shared" si="146"/>
        <v>-8.1171975419504164E-3</v>
      </c>
      <c r="E318" s="819">
        <f t="shared" si="134"/>
        <v>7.1745210327048642E-2</v>
      </c>
      <c r="F318" s="816">
        <v>5436.67</v>
      </c>
      <c r="G318" s="792">
        <f t="shared" si="143"/>
        <v>-4.9690509570226764E-3</v>
      </c>
      <c r="H318" s="797">
        <f t="shared" si="135"/>
        <v>6.775143861578653E-2</v>
      </c>
      <c r="I318" s="799">
        <v>323187.58</v>
      </c>
      <c r="J318" s="800">
        <v>300000</v>
      </c>
      <c r="K318" s="800">
        <f t="shared" si="136"/>
        <v>-3744.6900000000023</v>
      </c>
      <c r="L318" s="792">
        <f t="shared" si="144"/>
        <v>-1.1454023795203827E-2</v>
      </c>
      <c r="M318" s="817">
        <f t="shared" si="145"/>
        <v>23187.580000000016</v>
      </c>
      <c r="N318" s="802">
        <f t="shared" ref="N318:N349" si="149">M318/J318</f>
        <v>7.7291933333333382E-2</v>
      </c>
      <c r="O318" s="786">
        <f t="shared" si="116"/>
        <v>5.8207997216494882E-2</v>
      </c>
      <c r="P318" s="817" t="b">
        <f t="shared" si="137"/>
        <v>0</v>
      </c>
      <c r="Q318" s="802">
        <f>COUNTIF(P$2:P318, TRUE)/(COUNTIF(P$2:P318,FALSE) + COUNTIF(P$2:P318, TRUE))</f>
        <v>0.49842271293375395</v>
      </c>
      <c r="R318" s="800">
        <v>227414.39999999999</v>
      </c>
      <c r="S318" s="800">
        <f t="shared" si="147"/>
        <v>95773.180000000022</v>
      </c>
      <c r="T318" s="800">
        <v>-28896</v>
      </c>
      <c r="U318" s="800">
        <f t="shared" si="148"/>
        <v>52083.580000000016</v>
      </c>
      <c r="V318" s="802">
        <f>STDEV(D$2:D318)*SQRT(252)</f>
        <v>0.1678827042507858</v>
      </c>
      <c r="W318" s="802">
        <f>STDEV(L$2:L318)*SQRT(252)</f>
        <v>0.36477613743457138</v>
      </c>
      <c r="X318" s="801">
        <f t="shared" si="125"/>
        <v>0.32183660841945799</v>
      </c>
      <c r="Y318" s="801">
        <f t="shared" si="126"/>
        <v>0.15957183390850352</v>
      </c>
      <c r="Z318" s="807">
        <f t="shared" si="127"/>
        <v>5.54672300628474E-3</v>
      </c>
    </row>
    <row r="319" spans="1:26" ht="20.100000000000001" customHeight="1" x14ac:dyDescent="0.2">
      <c r="A319" s="776">
        <f t="shared" si="141"/>
        <v>486</v>
      </c>
      <c r="B319" s="795">
        <v>42719</v>
      </c>
      <c r="C319" s="820">
        <v>2262.0300000000002</v>
      </c>
      <c r="D319" s="792">
        <f t="shared" si="146"/>
        <v>3.8832280053965771E-3</v>
      </c>
      <c r="E319" s="819">
        <f t="shared" si="134"/>
        <v>7.5907041342440279E-2</v>
      </c>
      <c r="F319" s="816">
        <v>5456.85</v>
      </c>
      <c r="G319" s="792">
        <f t="shared" si="143"/>
        <v>3.7118309553458811E-3</v>
      </c>
      <c r="H319" s="797">
        <f t="shared" si="135"/>
        <v>7.1714751458255704E-2</v>
      </c>
      <c r="I319" s="799">
        <v>324820.98</v>
      </c>
      <c r="J319" s="800">
        <v>300000</v>
      </c>
      <c r="K319" s="800">
        <f t="shared" si="136"/>
        <v>1633.3999999999651</v>
      </c>
      <c r="L319" s="792">
        <f t="shared" si="144"/>
        <v>5.0540308510616805E-3</v>
      </c>
      <c r="M319" s="817">
        <f t="shared" si="145"/>
        <v>24820.979999999981</v>
      </c>
      <c r="N319" s="802">
        <f t="shared" si="149"/>
        <v>8.2736599999999938E-2</v>
      </c>
      <c r="O319" s="786">
        <f t="shared" si="116"/>
        <v>6.2180129938271558E-2</v>
      </c>
      <c r="P319" s="817" t="b">
        <f t="shared" si="137"/>
        <v>1</v>
      </c>
      <c r="Q319" s="802">
        <f>COUNTIF(P$2:P319, TRUE)/(COUNTIF(P$2:P319,FALSE) + COUNTIF(P$2:P319, TRUE))</f>
        <v>0.5</v>
      </c>
      <c r="R319" s="800">
        <v>232165.8</v>
      </c>
      <c r="S319" s="800">
        <f t="shared" si="147"/>
        <v>92655.18</v>
      </c>
      <c r="T319" s="800">
        <v>-28562</v>
      </c>
      <c r="U319" s="800">
        <f t="shared" si="148"/>
        <v>53382.979999999981</v>
      </c>
      <c r="V319" s="802">
        <f>STDEV(D$2:D319)*SQRT(252)</f>
        <v>0.16764772855773447</v>
      </c>
      <c r="W319" s="802">
        <f>STDEV(L$2:L319)*SQRT(252)</f>
        <v>0.36421868785433931</v>
      </c>
      <c r="X319" s="801">
        <f t="shared" si="125"/>
        <v>0.34028150571144222</v>
      </c>
      <c r="Y319" s="801">
        <f t="shared" si="126"/>
        <v>0.17072196461028116</v>
      </c>
      <c r="Z319" s="807">
        <f t="shared" si="127"/>
        <v>6.829558657559659E-3</v>
      </c>
    </row>
    <row r="320" spans="1:26" ht="20.100000000000001" customHeight="1" x14ac:dyDescent="0.2">
      <c r="A320" s="776">
        <f>B320-$B$2</f>
        <v>487</v>
      </c>
      <c r="B320" s="795">
        <v>42720</v>
      </c>
      <c r="C320" s="820">
        <v>2258.0700000000002</v>
      </c>
      <c r="D320" s="792">
        <f t="shared" si="146"/>
        <v>-1.7506399119375233E-3</v>
      </c>
      <c r="E320" s="819">
        <f t="shared" ref="E320:E351" si="150">(C320-$C$2)/$C$2</f>
        <v>7.4023515534331591E-2</v>
      </c>
      <c r="F320" s="816">
        <v>5437.16</v>
      </c>
      <c r="G320" s="792">
        <f t="shared" si="143"/>
        <v>-3.6083088228557698E-3</v>
      </c>
      <c r="H320" s="797">
        <f t="shared" ref="H320:H351" si="151">(F320-F$2)/F$2</f>
        <v>6.7847673664984204E-2</v>
      </c>
      <c r="I320" s="799">
        <v>327045.52</v>
      </c>
      <c r="J320" s="800">
        <v>300000</v>
      </c>
      <c r="K320" s="800">
        <f t="shared" ref="K320:K351" si="152">I320-I319-J320+J319</f>
        <v>2224.5400000000373</v>
      </c>
      <c r="L320" s="792">
        <f t="shared" si="144"/>
        <v>6.8485108320282678E-3</v>
      </c>
      <c r="M320" s="817">
        <f t="shared" si="145"/>
        <v>27045.520000000019</v>
      </c>
      <c r="N320" s="802">
        <f t="shared" si="149"/>
        <v>9.01517333333334E-2</v>
      </c>
      <c r="O320" s="786">
        <f t="shared" si="116"/>
        <v>6.7613800000000057E-2</v>
      </c>
      <c r="P320" s="817" t="b">
        <f t="shared" ref="P320:P351" si="153">L320&gt;D320</f>
        <v>1</v>
      </c>
      <c r="Q320" s="802">
        <f>COUNTIF(P$2:P320, TRUE)/(COUNTIF(P$2:P320,FALSE) + COUNTIF(P$2:P320, TRUE))</f>
        <v>0.50156739811912221</v>
      </c>
      <c r="R320" s="800">
        <v>231412.84</v>
      </c>
      <c r="S320" s="800">
        <f t="shared" si="147"/>
        <v>95632.680000000022</v>
      </c>
      <c r="T320" s="800">
        <v>-28561</v>
      </c>
      <c r="U320" s="800">
        <f t="shared" si="148"/>
        <v>55606.520000000019</v>
      </c>
      <c r="V320" s="802">
        <f>STDEV(D$2:D320)*SQRT(252)</f>
        <v>0.16739291241779608</v>
      </c>
      <c r="W320" s="802">
        <f>STDEV(L$2:L320)*SQRT(252)</f>
        <v>0.36368405399671344</v>
      </c>
      <c r="X320" s="801">
        <f t="shared" si="125"/>
        <v>0.33166061722005402</v>
      </c>
      <c r="Y320" s="801">
        <f t="shared" si="126"/>
        <v>0.18591356771614484</v>
      </c>
      <c r="Z320" s="807">
        <f t="shared" si="127"/>
        <v>1.6128217799001809E-2</v>
      </c>
    </row>
    <row r="321" spans="1:26" ht="20.100000000000001" customHeight="1" x14ac:dyDescent="0.2">
      <c r="A321" s="776">
        <f t="shared" ref="A321:A384" si="154">B321-$B$2</f>
        <v>490</v>
      </c>
      <c r="B321" s="824">
        <v>42723</v>
      </c>
      <c r="C321" s="825">
        <v>2262.5300000000002</v>
      </c>
      <c r="D321" s="792">
        <f t="shared" si="146"/>
        <v>1.9751380603790121E-3</v>
      </c>
      <c r="E321" s="826">
        <f t="shared" si="150"/>
        <v>7.6144860257605515E-2</v>
      </c>
      <c r="F321" s="827">
        <v>5457.44</v>
      </c>
      <c r="G321" s="792">
        <f t="shared" si="143"/>
        <v>3.7298883976192988E-3</v>
      </c>
      <c r="H321" s="828">
        <f t="shared" si="151"/>
        <v>7.1830626313411985E-2</v>
      </c>
      <c r="I321" s="837">
        <v>327054.27</v>
      </c>
      <c r="J321" s="830">
        <v>300000</v>
      </c>
      <c r="K321" s="830">
        <f t="shared" si="152"/>
        <v>8.75</v>
      </c>
      <c r="L321" s="792">
        <f t="shared" si="144"/>
        <v>2.6754685402814872E-5</v>
      </c>
      <c r="M321" s="831">
        <f t="shared" si="145"/>
        <v>27054.270000000019</v>
      </c>
      <c r="N321" s="832">
        <f t="shared" si="149"/>
        <v>9.0180900000000064E-2</v>
      </c>
      <c r="O321" s="786">
        <f t="shared" si="116"/>
        <v>6.7221579030612294E-2</v>
      </c>
      <c r="P321" s="831" t="b">
        <f t="shared" si="153"/>
        <v>0</v>
      </c>
      <c r="Q321" s="832">
        <f>COUNTIF(P$2:P321, TRUE)/(COUNTIF(P$2:P321,FALSE) + COUNTIF(P$2:P321, TRUE))</f>
        <v>0.5</v>
      </c>
      <c r="R321" s="830">
        <v>231413.84</v>
      </c>
      <c r="S321" s="830">
        <f t="shared" si="147"/>
        <v>95640.430000000022</v>
      </c>
      <c r="T321" s="830">
        <v>-28148</v>
      </c>
      <c r="U321" s="830">
        <f t="shared" si="148"/>
        <v>55202.270000000019</v>
      </c>
      <c r="V321" s="832">
        <f>STDEV(D$2:D321)*SQRT(252)</f>
        <v>0.16713630063292181</v>
      </c>
      <c r="W321" s="832">
        <f>STDEV(L$2:L321)*SQRT(252)</f>
        <v>0.36311240060215538</v>
      </c>
      <c r="X321" s="801">
        <f t="shared" si="125"/>
        <v>0.33959708460565857</v>
      </c>
      <c r="Y321" s="801">
        <f t="shared" si="126"/>
        <v>0.18512609021101351</v>
      </c>
      <c r="Z321" s="807">
        <f t="shared" si="127"/>
        <v>1.4036039742394549E-2</v>
      </c>
    </row>
    <row r="322" spans="1:26" ht="20.100000000000001" customHeight="1" x14ac:dyDescent="0.2">
      <c r="A322" s="776">
        <f t="shared" si="154"/>
        <v>491</v>
      </c>
      <c r="B322" s="824">
        <v>42724</v>
      </c>
      <c r="C322" s="825">
        <v>2270.7600000000002</v>
      </c>
      <c r="D322" s="792">
        <f t="shared" si="146"/>
        <v>3.6375208284531112E-3</v>
      </c>
      <c r="E322" s="826">
        <f t="shared" si="150"/>
        <v>8.0059359601225316E-2</v>
      </c>
      <c r="F322" s="827">
        <v>5483.94</v>
      </c>
      <c r="G322" s="792">
        <f>(F322-F321)/F321</f>
        <v>4.8557565451933507E-3</v>
      </c>
      <c r="H322" s="828">
        <f t="shared" si="151"/>
        <v>7.7035174892472025E-2</v>
      </c>
      <c r="I322" s="837">
        <v>325810.98</v>
      </c>
      <c r="J322" s="830">
        <v>300000</v>
      </c>
      <c r="K322" s="830">
        <f t="shared" si="152"/>
        <v>-1243.2900000000373</v>
      </c>
      <c r="L322" s="792">
        <f>K322/I321</f>
        <v>-3.8014791857022296E-3</v>
      </c>
      <c r="M322" s="831">
        <f t="shared" si="145"/>
        <v>25810.979999999981</v>
      </c>
      <c r="N322" s="832">
        <f t="shared" si="149"/>
        <v>8.6036599999999935E-2</v>
      </c>
      <c r="O322" s="786">
        <f t="shared" si="116"/>
        <v>6.4001768126272868E-2</v>
      </c>
      <c r="P322" s="831" t="b">
        <f t="shared" si="153"/>
        <v>0</v>
      </c>
      <c r="Q322" s="832">
        <f>COUNTIF(P$2:P322, TRUE)/(COUNTIF(P$2:P322,FALSE) + COUNTIF(P$2:P322, TRUE))</f>
        <v>0.49844236760124611</v>
      </c>
      <c r="R322" s="830">
        <v>230633.3</v>
      </c>
      <c r="S322" s="830">
        <f t="shared" si="147"/>
        <v>95177.68</v>
      </c>
      <c r="T322" s="830">
        <v>-28828</v>
      </c>
      <c r="U322" s="830">
        <f t="shared" si="148"/>
        <v>54638.979999999981</v>
      </c>
      <c r="V322" s="832">
        <f>STDEV(D$2:D322)*SQRT(252)</f>
        <v>0.16690064073830019</v>
      </c>
      <c r="W322" s="832">
        <f>STDEV(L$2:L322)*SQRT(252)</f>
        <v>0.36256564475592484</v>
      </c>
      <c r="X322" s="801">
        <f t="shared" si="125"/>
        <v>0.35683121635030163</v>
      </c>
      <c r="Y322" s="801">
        <f t="shared" si="126"/>
        <v>0.17652463506121255</v>
      </c>
      <c r="Z322" s="807">
        <f t="shared" si="127"/>
        <v>5.9772403987746192E-3</v>
      </c>
    </row>
    <row r="323" spans="1:26" ht="20.100000000000001" customHeight="1" x14ac:dyDescent="0.2">
      <c r="A323" s="776">
        <f t="shared" si="154"/>
        <v>492</v>
      </c>
      <c r="B323" s="824">
        <v>42725</v>
      </c>
      <c r="C323" s="825">
        <v>2265.1799999999998</v>
      </c>
      <c r="D323" s="792">
        <f t="shared" si="146"/>
        <v>-2.4573270623052994E-3</v>
      </c>
      <c r="E323" s="826">
        <f t="shared" si="150"/>
        <v>7.7405300507981098E-2</v>
      </c>
      <c r="F323" s="827">
        <v>5471.43</v>
      </c>
      <c r="G323" s="792">
        <f>(F323-F322)/F322</f>
        <v>-2.2812065777523659E-3</v>
      </c>
      <c r="H323" s="828">
        <f t="shared" si="151"/>
        <v>7.4578235167036641E-2</v>
      </c>
      <c r="I323" s="837">
        <v>324443.28000000003</v>
      </c>
      <c r="J323" s="830">
        <v>300000</v>
      </c>
      <c r="K323" s="830">
        <f t="shared" si="152"/>
        <v>-1367.6999999999534</v>
      </c>
      <c r="L323" s="792">
        <f t="shared" ref="L323:L386" si="155">K323/I322</f>
        <v>-4.1978327433899055E-3</v>
      </c>
      <c r="M323" s="831">
        <f t="shared" si="145"/>
        <v>24443.280000000028</v>
      </c>
      <c r="N323" s="832">
        <f t="shared" si="149"/>
        <v>8.1477600000000094E-2</v>
      </c>
      <c r="O323" s="786">
        <f t="shared" si="116"/>
        <v>6.0487181707317143E-2</v>
      </c>
      <c r="P323" s="831" t="b">
        <f t="shared" si="153"/>
        <v>0</v>
      </c>
      <c r="Q323" s="832">
        <f>COUNTIF(P$2:P323, TRUE)/(COUNTIF(P$2:P323,FALSE) + COUNTIF(P$2:P323, TRUE))</f>
        <v>0.49689440993788819</v>
      </c>
      <c r="R323" s="830">
        <v>231596.6</v>
      </c>
      <c r="S323" s="830">
        <f t="shared" si="147"/>
        <v>92846.680000000022</v>
      </c>
      <c r="T323" s="830">
        <v>-28725</v>
      </c>
      <c r="U323" s="830">
        <f t="shared" si="148"/>
        <v>53168.280000000028</v>
      </c>
      <c r="V323" s="832">
        <f>STDEV(D$2:D323)*SQRT(252)</f>
        <v>0.16665750598477963</v>
      </c>
      <c r="W323" s="832">
        <f>STDEV(L$2:L323)*SQRT(252)</f>
        <v>0.36202544499478717</v>
      </c>
      <c r="X323" s="801">
        <f t="shared" si="125"/>
        <v>0.3448029275178901</v>
      </c>
      <c r="Y323" s="801">
        <f t="shared" si="126"/>
        <v>0.16707991812063958</v>
      </c>
      <c r="Z323" s="807">
        <f t="shared" si="127"/>
        <v>4.0722994920189964E-3</v>
      </c>
    </row>
    <row r="324" spans="1:26" ht="20.100000000000001" customHeight="1" x14ac:dyDescent="0.2">
      <c r="A324" s="776">
        <f t="shared" si="154"/>
        <v>493</v>
      </c>
      <c r="B324" s="824">
        <v>42726</v>
      </c>
      <c r="C324" s="825">
        <v>2260.96</v>
      </c>
      <c r="D324" s="792">
        <f t="shared" si="146"/>
        <v>-1.8629866059208541E-3</v>
      </c>
      <c r="E324" s="826">
        <f t="shared" si="150"/>
        <v>7.5398108863986596E-2</v>
      </c>
      <c r="F324" s="827">
        <v>5447.42</v>
      </c>
      <c r="G324" s="792">
        <f t="shared" ref="G324:G334" si="156">(F324-F323)/F323</f>
        <v>-4.3882495069845024E-3</v>
      </c>
      <c r="H324" s="828">
        <f t="shared" si="151"/>
        <v>6.9862717756348613E-2</v>
      </c>
      <c r="I324" s="837">
        <v>328249.78000000003</v>
      </c>
      <c r="J324" s="830">
        <v>300000</v>
      </c>
      <c r="K324" s="830">
        <f t="shared" si="152"/>
        <v>3806.5</v>
      </c>
      <c r="L324" s="792">
        <f t="shared" si="155"/>
        <v>1.1732405121782764E-2</v>
      </c>
      <c r="M324" s="831">
        <f t="shared" si="145"/>
        <v>28249.780000000028</v>
      </c>
      <c r="N324" s="832">
        <f t="shared" si="149"/>
        <v>9.4165933333333424E-2</v>
      </c>
      <c r="O324" s="786">
        <f t="shared" si="116"/>
        <v>6.9764923225152195E-2</v>
      </c>
      <c r="P324" s="831" t="b">
        <f t="shared" si="153"/>
        <v>1</v>
      </c>
      <c r="Q324" s="832">
        <f>COUNTIF(P$2:P324, TRUE)/(COUNTIF(P$2:P324,FALSE) + COUNTIF(P$2:P324, TRUE))</f>
        <v>0.49845201238390091</v>
      </c>
      <c r="R324" s="830">
        <v>235403.1</v>
      </c>
      <c r="S324" s="830">
        <f t="shared" si="147"/>
        <v>92846.680000000022</v>
      </c>
      <c r="T324" s="830">
        <v>-28852</v>
      </c>
      <c r="U324" s="830">
        <f t="shared" si="148"/>
        <v>57101.780000000028</v>
      </c>
      <c r="V324" s="832">
        <f>STDEV(D$2:D324)*SQRT(252)</f>
        <v>0.16640858320872839</v>
      </c>
      <c r="W324" s="832">
        <f>STDEV(L$2:L324)*SQRT(252)</f>
        <v>0.36159155840983148</v>
      </c>
      <c r="X324" s="801">
        <f t="shared" si="125"/>
        <v>0.33568198550009004</v>
      </c>
      <c r="Y324" s="801">
        <f t="shared" si="126"/>
        <v>0.19293847326513064</v>
      </c>
      <c r="Z324" s="807">
        <f t="shared" si="127"/>
        <v>1.8767824469346828E-2</v>
      </c>
    </row>
    <row r="325" spans="1:26" ht="20.100000000000001" customHeight="1" x14ac:dyDescent="0.2">
      <c r="A325" s="776">
        <f t="shared" si="154"/>
        <v>494</v>
      </c>
      <c r="B325" s="824">
        <v>42727</v>
      </c>
      <c r="C325" s="825">
        <v>2263.79</v>
      </c>
      <c r="D325" s="792">
        <f t="shared" ref="D325:D334" si="157">(C325-C324)/C324</f>
        <v>1.251680702002657E-3</v>
      </c>
      <c r="E325" s="826">
        <f t="shared" si="150"/>
        <v>7.6744163923821801E-2</v>
      </c>
      <c r="F325" s="827">
        <v>5462.68</v>
      </c>
      <c r="G325" s="792">
        <f t="shared" si="156"/>
        <v>2.8013261323709604E-3</v>
      </c>
      <c r="H325" s="828">
        <f t="shared" si="151"/>
        <v>7.2859752145648896E-2</v>
      </c>
      <c r="I325" s="837">
        <v>329298.48</v>
      </c>
      <c r="J325" s="830">
        <v>300000</v>
      </c>
      <c r="K325" s="830">
        <f t="shared" si="152"/>
        <v>1048.6999999999534</v>
      </c>
      <c r="L325" s="792">
        <f t="shared" si="155"/>
        <v>3.1948231618006062E-3</v>
      </c>
      <c r="M325" s="831">
        <f t="shared" si="145"/>
        <v>29298.479999999981</v>
      </c>
      <c r="N325" s="832">
        <f t="shared" si="149"/>
        <v>9.7661599999999932E-2</v>
      </c>
      <c r="O325" s="786">
        <f t="shared" si="116"/>
        <v>7.2208298380566749E-2</v>
      </c>
      <c r="P325" s="831" t="b">
        <f t="shared" si="153"/>
        <v>1</v>
      </c>
      <c r="Q325" s="832">
        <f>COUNTIF(P$2:P325, TRUE)/(COUNTIF(P$2:P325,FALSE) + COUNTIF(P$2:P325, TRUE))</f>
        <v>0.5</v>
      </c>
      <c r="R325" s="830">
        <v>236451.8</v>
      </c>
      <c r="S325" s="830">
        <f t="shared" si="147"/>
        <v>92846.68</v>
      </c>
      <c r="T325" s="830">
        <v>-28456</v>
      </c>
      <c r="U325" s="830">
        <f t="shared" si="148"/>
        <v>57754.479999999981</v>
      </c>
      <c r="V325" s="832">
        <f>STDEV(D$2:D325)*SQRT(252)</f>
        <v>0.16615219867312236</v>
      </c>
      <c r="W325" s="832">
        <f>STDEV(L$2:L325)*SQRT(252)</f>
        <v>0.36103590347828884</v>
      </c>
      <c r="X325" s="801">
        <f t="shared" si="125"/>
        <v>0.34150930570656673</v>
      </c>
      <c r="Y325" s="801">
        <f t="shared" si="126"/>
        <v>0.20000309577218833</v>
      </c>
      <c r="Z325" s="807">
        <f t="shared" si="127"/>
        <v>2.0917436076178131E-2</v>
      </c>
    </row>
    <row r="326" spans="1:26" ht="20.100000000000001" customHeight="1" x14ac:dyDescent="0.2">
      <c r="A326" s="776">
        <f t="shared" si="154"/>
        <v>498</v>
      </c>
      <c r="B326" s="795">
        <v>42731</v>
      </c>
      <c r="C326" s="820">
        <v>2268.88</v>
      </c>
      <c r="D326" s="792">
        <f t="shared" si="157"/>
        <v>2.2484417724259521E-3</v>
      </c>
      <c r="E326" s="819">
        <f t="shared" si="150"/>
        <v>7.9165160480203972E-2</v>
      </c>
      <c r="F326" s="816">
        <v>5487.44</v>
      </c>
      <c r="G326" s="792">
        <f t="shared" si="156"/>
        <v>4.5325737550065736E-3</v>
      </c>
      <c r="H326" s="797">
        <f t="shared" si="151"/>
        <v>7.7722568101027123E-2</v>
      </c>
      <c r="I326" s="799">
        <v>330109.08</v>
      </c>
      <c r="J326" s="800">
        <v>300000</v>
      </c>
      <c r="K326" s="800">
        <f t="shared" si="152"/>
        <v>810.60000000003492</v>
      </c>
      <c r="L326" s="792">
        <f t="shared" si="155"/>
        <v>2.4615965430512614E-3</v>
      </c>
      <c r="M326" s="817">
        <f t="shared" si="145"/>
        <v>30109.080000000016</v>
      </c>
      <c r="N326" s="802">
        <f t="shared" si="149"/>
        <v>0.10036360000000005</v>
      </c>
      <c r="O326" s="786">
        <f t="shared" si="116"/>
        <v>7.3610050000000038E-2</v>
      </c>
      <c r="P326" s="817" t="b">
        <f t="shared" si="153"/>
        <v>1</v>
      </c>
      <c r="Q326" s="802">
        <f>COUNTIF(P$2:P326, TRUE)/(COUNTIF(P$2:P326,FALSE) + COUNTIF(P$2:P326, TRUE))</f>
        <v>0.50153846153846149</v>
      </c>
      <c r="R326" s="800">
        <v>237262.4</v>
      </c>
      <c r="S326" s="800">
        <f t="shared" ref="S326:S331" si="158">I326-R326</f>
        <v>92846.680000000022</v>
      </c>
      <c r="T326" s="800">
        <v>-28216</v>
      </c>
      <c r="U326" s="800">
        <f t="shared" si="148"/>
        <v>58325.080000000016</v>
      </c>
      <c r="V326" s="802">
        <f>STDEV(D$2:D326)*SQRT(252)</f>
        <v>0.16590384909473915</v>
      </c>
      <c r="W326" s="802">
        <f>STDEV(L$2:L326)*SQRT(252)</f>
        <v>0.36047958608732461</v>
      </c>
      <c r="X326" s="801">
        <f t="shared" si="125"/>
        <v>0.34997620395741968</v>
      </c>
      <c r="Y326" s="801">
        <f t="shared" si="126"/>
        <v>0.20420032878690758</v>
      </c>
      <c r="Z326" s="807">
        <f t="shared" si="127"/>
        <v>2.1198439519796081E-2</v>
      </c>
    </row>
    <row r="327" spans="1:26" ht="20.100000000000001" customHeight="1" x14ac:dyDescent="0.2">
      <c r="A327" s="776">
        <f t="shared" si="154"/>
        <v>499</v>
      </c>
      <c r="B327" s="795">
        <v>42732</v>
      </c>
      <c r="C327" s="820">
        <v>2249.92</v>
      </c>
      <c r="D327" s="792">
        <f t="shared" si="157"/>
        <v>-8.3565459610028016E-3</v>
      </c>
      <c r="E327" s="819">
        <f t="shared" si="150"/>
        <v>7.014706721713819E-2</v>
      </c>
      <c r="F327" s="816">
        <v>5438.55</v>
      </c>
      <c r="G327" s="792">
        <f t="shared" si="156"/>
        <v>-8.9094368229993264E-3</v>
      </c>
      <c r="H327" s="797">
        <f t="shared" si="151"/>
        <v>6.8120666967810425E-2</v>
      </c>
      <c r="I327" s="799">
        <v>326202.98</v>
      </c>
      <c r="J327" s="800">
        <v>300000</v>
      </c>
      <c r="K327" s="800">
        <f t="shared" si="152"/>
        <v>-3906.1000000000349</v>
      </c>
      <c r="L327" s="792">
        <f t="shared" si="155"/>
        <v>-1.1832755403153511E-2</v>
      </c>
      <c r="M327" s="817">
        <f t="shared" si="145"/>
        <v>26202.979999999981</v>
      </c>
      <c r="N327" s="802">
        <f t="shared" si="149"/>
        <v>8.73432666666666E-2</v>
      </c>
      <c r="O327" s="786">
        <f t="shared" ref="O327:O390" si="159">N327/(A327/365.25)</f>
        <v>6.3932120541082119E-2</v>
      </c>
      <c r="P327" s="817" t="b">
        <f t="shared" si="153"/>
        <v>0</v>
      </c>
      <c r="Q327" s="802">
        <f>COUNTIF(P$2:P327, TRUE)/(COUNTIF(P$2:P327,FALSE) + COUNTIF(P$2:P327, TRUE))</f>
        <v>0.5</v>
      </c>
      <c r="R327" s="800">
        <v>235463.51</v>
      </c>
      <c r="S327" s="800">
        <f t="shared" si="158"/>
        <v>90739.469999999972</v>
      </c>
      <c r="T327" s="800">
        <v>-29179</v>
      </c>
      <c r="U327" s="800">
        <f t="shared" si="148"/>
        <v>55381.979999999981</v>
      </c>
      <c r="V327" s="802">
        <f>STDEV(D$2:D327)*SQRT(252)</f>
        <v>0.16582249339031452</v>
      </c>
      <c r="W327" s="802">
        <f>STDEV(L$2:L327)*SQRT(252)</f>
        <v>0.36009473393131058</v>
      </c>
      <c r="X327" s="801">
        <f t="shared" si="125"/>
        <v>0.30963907126253648</v>
      </c>
      <c r="Y327" s="801">
        <f t="shared" si="126"/>
        <v>0.17754250344932124</v>
      </c>
      <c r="Z327" s="807">
        <f t="shared" si="127"/>
        <v>1.719619944952841E-2</v>
      </c>
    </row>
    <row r="328" spans="1:26" ht="20.100000000000001" customHeight="1" x14ac:dyDescent="0.2">
      <c r="A328" s="776">
        <f t="shared" si="154"/>
        <v>500</v>
      </c>
      <c r="B328" s="795">
        <v>42733</v>
      </c>
      <c r="C328" s="820">
        <v>2249.2600000000002</v>
      </c>
      <c r="D328" s="792">
        <f t="shared" si="157"/>
        <v>-2.9334376333374273E-4</v>
      </c>
      <c r="E328" s="819">
        <f t="shared" si="150"/>
        <v>6.983314624912014E-2</v>
      </c>
      <c r="F328" s="816">
        <v>5432.09</v>
      </c>
      <c r="G328" s="792">
        <f t="shared" si="156"/>
        <v>-1.1878166055290539E-3</v>
      </c>
      <c r="H328" s="797">
        <f t="shared" si="151"/>
        <v>6.6851935502877297E-2</v>
      </c>
      <c r="I328" s="799">
        <v>324645.53000000003</v>
      </c>
      <c r="J328" s="800">
        <v>300000</v>
      </c>
      <c r="K328" s="800">
        <f t="shared" si="152"/>
        <v>-1557.4499999999534</v>
      </c>
      <c r="L328" s="792">
        <f t="shared" si="155"/>
        <v>-4.774481214119974E-3</v>
      </c>
      <c r="M328" s="817">
        <f t="shared" si="145"/>
        <v>24645.530000000028</v>
      </c>
      <c r="N328" s="802">
        <f t="shared" si="149"/>
        <v>8.2151766666666765E-2</v>
      </c>
      <c r="O328" s="786">
        <f t="shared" si="159"/>
        <v>6.0011865550000078E-2</v>
      </c>
      <c r="P328" s="817" t="b">
        <f t="shared" si="153"/>
        <v>0</v>
      </c>
      <c r="Q328" s="802">
        <f>COUNTIF(P$2:P328, TRUE)/(COUNTIF(P$2:P328,FALSE) + COUNTIF(P$2:P328, TRUE))</f>
        <v>0.49847094801223241</v>
      </c>
      <c r="R328" s="800">
        <v>245575.8</v>
      </c>
      <c r="S328" s="800">
        <f t="shared" si="158"/>
        <v>79069.73000000004</v>
      </c>
      <c r="T328" s="800">
        <v>-28777</v>
      </c>
      <c r="U328" s="800">
        <f t="shared" si="148"/>
        <v>53422.530000000028</v>
      </c>
      <c r="V328" s="802">
        <f>STDEV(D$2:D328)*SQRT(252)</f>
        <v>0.16556790757023543</v>
      </c>
      <c r="W328" s="802">
        <f>STDEV(L$2:L328)*SQRT(252)</f>
        <v>0.35957326133174794</v>
      </c>
      <c r="X328" s="801">
        <f t="shared" si="125"/>
        <v>0.30810991141711463</v>
      </c>
      <c r="Y328" s="801">
        <f t="shared" si="126"/>
        <v>0.16689746431015121</v>
      </c>
      <c r="Z328" s="807">
        <f t="shared" si="127"/>
        <v>1.2318620417546625E-2</v>
      </c>
    </row>
    <row r="329" spans="1:26" ht="20.100000000000001" customHeight="1" x14ac:dyDescent="0.2">
      <c r="A329" s="776">
        <f t="shared" si="154"/>
        <v>501</v>
      </c>
      <c r="B329" s="795">
        <v>42734</v>
      </c>
      <c r="C329" s="820">
        <v>2238.83</v>
      </c>
      <c r="D329" s="792">
        <f t="shared" si="157"/>
        <v>-4.6370806398550145E-3</v>
      </c>
      <c r="E329" s="819">
        <f t="shared" si="150"/>
        <v>6.4872243678773173E-2</v>
      </c>
      <c r="F329" s="816">
        <v>5383.11</v>
      </c>
      <c r="G329" s="792">
        <f t="shared" si="156"/>
        <v>-9.0167872770886472E-3</v>
      </c>
      <c r="H329" s="797">
        <f t="shared" si="151"/>
        <v>5.7232358544297555E-2</v>
      </c>
      <c r="I329" s="822">
        <v>322309.38</v>
      </c>
      <c r="J329" s="800">
        <v>300000</v>
      </c>
      <c r="K329" s="800">
        <f t="shared" si="152"/>
        <v>-2336.1500000000233</v>
      </c>
      <c r="L329" s="792">
        <f t="shared" si="155"/>
        <v>-7.1960023598662305E-3</v>
      </c>
      <c r="M329" s="822">
        <f t="shared" si="145"/>
        <v>22309.380000000005</v>
      </c>
      <c r="N329" s="802">
        <f t="shared" si="149"/>
        <v>7.4364600000000017E-2</v>
      </c>
      <c r="O329" s="786">
        <f t="shared" si="159"/>
        <v>5.4214910479041929E-2</v>
      </c>
      <c r="P329" s="817" t="b">
        <f t="shared" si="153"/>
        <v>0</v>
      </c>
      <c r="Q329" s="802">
        <f>COUNTIF(P$2:P329, TRUE)/(COUNTIF(P$2:P329,FALSE) + COUNTIF(P$2:P329, TRUE))</f>
        <v>0.49695121951219512</v>
      </c>
      <c r="R329" s="800">
        <v>244515.65</v>
      </c>
      <c r="S329" s="800">
        <f t="shared" si="158"/>
        <v>77793.73000000001</v>
      </c>
      <c r="T329" s="800">
        <v>-29211</v>
      </c>
      <c r="U329" s="800">
        <f t="shared" si="148"/>
        <v>51520.380000000005</v>
      </c>
      <c r="V329" s="802">
        <f>STDEV(D$2:D329)*SQRT(252)</f>
        <v>0.16536968849667288</v>
      </c>
      <c r="W329" s="802">
        <f>STDEV(L$2:L329)*SQRT(252)</f>
        <v>0.35908901250550984</v>
      </c>
      <c r="X329" s="801">
        <f t="shared" si="125"/>
        <v>0.28599306963452376</v>
      </c>
      <c r="Y329" s="801">
        <f t="shared" si="126"/>
        <v>0.15097902912919137</v>
      </c>
      <c r="Z329" s="807">
        <f t="shared" si="127"/>
        <v>9.4923563212268441E-3</v>
      </c>
    </row>
    <row r="330" spans="1:26" ht="20.100000000000001" customHeight="1" x14ac:dyDescent="0.2">
      <c r="A330" s="776">
        <f t="shared" si="154"/>
        <v>505</v>
      </c>
      <c r="B330" s="824">
        <v>42738</v>
      </c>
      <c r="C330" s="825">
        <v>2257.83</v>
      </c>
      <c r="D330" s="792">
        <f t="shared" si="157"/>
        <v>8.4865755774221358E-3</v>
      </c>
      <c r="E330" s="826">
        <f t="shared" si="150"/>
        <v>7.3909362455052169E-2</v>
      </c>
      <c r="F330" s="827">
        <v>5429.08</v>
      </c>
      <c r="G330" s="792">
        <f t="shared" si="156"/>
        <v>8.5396731629114511E-3</v>
      </c>
      <c r="H330" s="828">
        <f t="shared" si="151"/>
        <v>6.6260777343519872E-2</v>
      </c>
      <c r="I330" s="837">
        <v>327489.65000000002</v>
      </c>
      <c r="J330" s="830">
        <v>300000</v>
      </c>
      <c r="K330" s="830">
        <f t="shared" si="152"/>
        <v>5180.2700000000186</v>
      </c>
      <c r="L330" s="792">
        <f t="shared" si="155"/>
        <v>1.6072352594888855E-2</v>
      </c>
      <c r="M330" s="831">
        <f t="shared" si="145"/>
        <v>27489.650000000023</v>
      </c>
      <c r="N330" s="832">
        <f t="shared" si="149"/>
        <v>9.1632166666666751E-2</v>
      </c>
      <c r="O330" s="786">
        <f t="shared" si="159"/>
        <v>6.6274552227722827E-2</v>
      </c>
      <c r="P330" s="831" t="b">
        <f t="shared" si="153"/>
        <v>1</v>
      </c>
      <c r="Q330" s="832">
        <f>COUNTIF(P$2:P330, TRUE)/(COUNTIF(P$2:P330,FALSE) + COUNTIF(P$2:P330, TRUE))</f>
        <v>0.49848024316109424</v>
      </c>
      <c r="R330" s="830">
        <v>246849.1</v>
      </c>
      <c r="S330" s="830">
        <f t="shared" si="158"/>
        <v>80640.550000000017</v>
      </c>
      <c r="T330" s="830">
        <v>-28453</v>
      </c>
      <c r="U330" s="830">
        <f t="shared" si="148"/>
        <v>55942.650000000023</v>
      </c>
      <c r="V330" s="832">
        <f>STDEV(D$2:D330)*SQRT(252)</f>
        <v>0.16527453966612005</v>
      </c>
      <c r="W330" s="832">
        <f>STDEV(L$2:L330)*SQRT(252)</f>
        <v>0.35879195158503097</v>
      </c>
      <c r="X330" s="801">
        <f t="shared" si="125"/>
        <v>0.32343897076568223</v>
      </c>
      <c r="Y330" s="801">
        <f t="shared" si="126"/>
        <v>0.18471582747311505</v>
      </c>
      <c r="Z330" s="807">
        <f t="shared" si="127"/>
        <v>1.7722804211614582E-2</v>
      </c>
    </row>
    <row r="331" spans="1:26" ht="20.100000000000001" customHeight="1" x14ac:dyDescent="0.2">
      <c r="A331" s="776">
        <f t="shared" si="154"/>
        <v>506</v>
      </c>
      <c r="B331" s="824">
        <v>42739</v>
      </c>
      <c r="C331" s="825">
        <v>2270.75</v>
      </c>
      <c r="D331" s="792">
        <f t="shared" si="157"/>
        <v>5.7223085883348493E-3</v>
      </c>
      <c r="E331" s="826">
        <f t="shared" si="150"/>
        <v>8.0054603222921905E-2</v>
      </c>
      <c r="F331" s="827">
        <v>5477</v>
      </c>
      <c r="G331" s="792">
        <f t="shared" si="156"/>
        <v>8.8265415134792767E-3</v>
      </c>
      <c r="H331" s="828">
        <f t="shared" si="151"/>
        <v>7.5672172358937126E-2</v>
      </c>
      <c r="I331" s="837">
        <v>330177.02</v>
      </c>
      <c r="J331" s="830">
        <v>300000</v>
      </c>
      <c r="K331" s="830">
        <f t="shared" si="152"/>
        <v>2687.3699999999953</v>
      </c>
      <c r="L331" s="792">
        <f t="shared" si="155"/>
        <v>8.2059692573490349E-3</v>
      </c>
      <c r="M331" s="831">
        <f t="shared" si="145"/>
        <v>30177.020000000019</v>
      </c>
      <c r="N331" s="832">
        <f t="shared" si="149"/>
        <v>0.10059006666666673</v>
      </c>
      <c r="O331" s="786">
        <f t="shared" si="159"/>
        <v>7.2609726976284636E-2</v>
      </c>
      <c r="P331" s="831" t="b">
        <f t="shared" si="153"/>
        <v>1</v>
      </c>
      <c r="Q331" s="832">
        <f>COUNTIF(P$2:P331, TRUE)/(COUNTIF(P$2:P331,FALSE) + COUNTIF(P$2:P331, TRUE))</f>
        <v>0.5</v>
      </c>
      <c r="R331" s="830">
        <v>236646.05</v>
      </c>
      <c r="S331" s="830">
        <f t="shared" si="158"/>
        <v>93530.97000000003</v>
      </c>
      <c r="T331" s="830">
        <v>-27557</v>
      </c>
      <c r="U331" s="830">
        <f t="shared" si="148"/>
        <v>57734.020000000019</v>
      </c>
      <c r="V331" s="832">
        <f>STDEV(D$2:D331)*SQRT(252)</f>
        <v>0.1650913475554088</v>
      </c>
      <c r="W331" s="832">
        <f>STDEV(L$2:L331)*SQRT(252)</f>
        <v>0.3583037455998867</v>
      </c>
      <c r="X331" s="801">
        <f t="shared" si="125"/>
        <v>0.35002712805366087</v>
      </c>
      <c r="Y331" s="801">
        <f t="shared" si="126"/>
        <v>0.20264852898681948</v>
      </c>
      <c r="Z331" s="807">
        <f t="shared" si="127"/>
        <v>2.0535463443744822E-2</v>
      </c>
    </row>
    <row r="332" spans="1:26" ht="20.100000000000001" customHeight="1" x14ac:dyDescent="0.2">
      <c r="A332" s="776">
        <f t="shared" si="154"/>
        <v>507</v>
      </c>
      <c r="B332" s="824">
        <v>42740</v>
      </c>
      <c r="C332" s="835">
        <v>2269</v>
      </c>
      <c r="D332" s="792">
        <f t="shared" si="157"/>
        <v>-7.7067048332048887E-4</v>
      </c>
      <c r="E332" s="826">
        <f t="shared" si="150"/>
        <v>7.9222237019843586E-2</v>
      </c>
      <c r="F332" s="827">
        <v>5487.93</v>
      </c>
      <c r="G332" s="792">
        <f t="shared" si="156"/>
        <v>1.995618039072538E-3</v>
      </c>
      <c r="H332" s="828">
        <f t="shared" si="151"/>
        <v>7.7818803150224977E-2</v>
      </c>
      <c r="I332" s="837">
        <v>330571.57</v>
      </c>
      <c r="J332" s="830">
        <v>300000</v>
      </c>
      <c r="K332" s="830">
        <f t="shared" si="152"/>
        <v>394.54999999998836</v>
      </c>
      <c r="L332" s="792">
        <f t="shared" si="155"/>
        <v>1.1949650523830771E-3</v>
      </c>
      <c r="M332" s="831">
        <f t="shared" si="145"/>
        <v>30571.570000000007</v>
      </c>
      <c r="N332" s="832">
        <f t="shared" si="149"/>
        <v>0.10190523333333336</v>
      </c>
      <c r="O332" s="786">
        <f t="shared" si="159"/>
        <v>7.3413977268244598E-2</v>
      </c>
      <c r="P332" s="831" t="b">
        <f t="shared" si="153"/>
        <v>1</v>
      </c>
      <c r="Q332" s="832">
        <f>COUNTIF(P$2:P332, TRUE)/(COUNTIF(P$2:P332,FALSE) + COUNTIF(P$2:P332, TRUE))</f>
        <v>0.50151057401812693</v>
      </c>
      <c r="R332" s="830">
        <v>239220.1</v>
      </c>
      <c r="S332" s="830">
        <f t="shared" ref="S332:S361" si="160">I332-R332</f>
        <v>91351.47</v>
      </c>
      <c r="T332" s="830">
        <v>-27577</v>
      </c>
      <c r="U332" s="830">
        <f t="shared" si="148"/>
        <v>58148.570000000007</v>
      </c>
      <c r="V332" s="832">
        <f>STDEV(D$2:D332)*SQRT(252)</f>
        <v>0.16484285342326518</v>
      </c>
      <c r="W332" s="832">
        <f>STDEV(L$2:L332)*SQRT(252)</f>
        <v>0.35775897178882049</v>
      </c>
      <c r="X332" s="801">
        <f t="shared" si="125"/>
        <v>0.34622565318054682</v>
      </c>
      <c r="Y332" s="801">
        <f t="shared" si="126"/>
        <v>0.20520513266563087</v>
      </c>
      <c r="Z332" s="807">
        <f t="shared" si="127"/>
        <v>2.2682996313489773E-2</v>
      </c>
    </row>
    <row r="333" spans="1:26" ht="20.100000000000001" customHeight="1" x14ac:dyDescent="0.2">
      <c r="A333" s="776">
        <f t="shared" si="154"/>
        <v>508</v>
      </c>
      <c r="B333" s="824">
        <v>42741</v>
      </c>
      <c r="C333" s="835">
        <v>2276.98</v>
      </c>
      <c r="D333" s="792">
        <f t="shared" si="157"/>
        <v>3.516967827236676E-3</v>
      </c>
      <c r="E333" s="826">
        <f t="shared" si="150"/>
        <v>8.3017826905880762E-2</v>
      </c>
      <c r="F333" s="827">
        <v>5521.05</v>
      </c>
      <c r="G333" s="792">
        <f t="shared" si="156"/>
        <v>6.0350624005772466E-3</v>
      </c>
      <c r="H333" s="828">
        <f t="shared" si="151"/>
        <v>8.4323506883752064E-2</v>
      </c>
      <c r="I333" s="837">
        <v>329655.77</v>
      </c>
      <c r="J333" s="830">
        <v>300000</v>
      </c>
      <c r="K333" s="830">
        <f t="shared" si="152"/>
        <v>-915.79999999998836</v>
      </c>
      <c r="L333" s="792">
        <f t="shared" si="155"/>
        <v>-2.7703531794944988E-3</v>
      </c>
      <c r="M333" s="831">
        <f t="shared" si="145"/>
        <v>29655.770000000019</v>
      </c>
      <c r="N333" s="832">
        <f t="shared" si="149"/>
        <v>9.8852566666666725E-2</v>
      </c>
      <c r="O333" s="786">
        <f t="shared" si="159"/>
        <v>7.1074606250000047E-2</v>
      </c>
      <c r="P333" s="831" t="b">
        <f t="shared" si="153"/>
        <v>0</v>
      </c>
      <c r="Q333" s="832">
        <f>COUNTIF(P$2:P333, TRUE)/(COUNTIF(P$2:P333,FALSE) + COUNTIF(P$2:P333, TRUE))</f>
        <v>0.5</v>
      </c>
      <c r="R333" s="830">
        <v>244584.65</v>
      </c>
      <c r="S333" s="830">
        <f t="shared" si="160"/>
        <v>85071.120000000024</v>
      </c>
      <c r="T333" s="830">
        <v>-26799</v>
      </c>
      <c r="U333" s="830">
        <f t="shared" si="148"/>
        <v>56454.770000000019</v>
      </c>
      <c r="V333" s="832">
        <f>STDEV(D$2:D333)*SQRT(252)</f>
        <v>0.16461706321052907</v>
      </c>
      <c r="W333" s="832">
        <f>STDEV(L$2:L333)*SQRT(252)</f>
        <v>0.35723001747832872</v>
      </c>
      <c r="X333" s="801">
        <f t="shared" si="125"/>
        <v>0.3625960124628943</v>
      </c>
      <c r="Y333" s="801">
        <f t="shared" si="126"/>
        <v>0.19896034143970495</v>
      </c>
      <c r="Z333" s="807">
        <f t="shared" si="127"/>
        <v>1.5834739760785962E-2</v>
      </c>
    </row>
    <row r="334" spans="1:26" ht="20.100000000000001" customHeight="1" x14ac:dyDescent="0.2">
      <c r="A334" s="776">
        <f t="shared" si="154"/>
        <v>511</v>
      </c>
      <c r="B334" s="795">
        <v>42744</v>
      </c>
      <c r="C334" s="820">
        <v>2268.9</v>
      </c>
      <c r="D334" s="792">
        <f t="shared" si="157"/>
        <v>-3.5485599346502506E-3</v>
      </c>
      <c r="E334" s="819">
        <f t="shared" si="150"/>
        <v>7.9174673236810572E-2</v>
      </c>
      <c r="F334" s="816">
        <v>5531.81</v>
      </c>
      <c r="G334" s="792">
        <f t="shared" si="156"/>
        <v>1.9489046467610722E-3</v>
      </c>
      <c r="H334" s="797">
        <f t="shared" si="151"/>
        <v>8.6436750004910065E-2</v>
      </c>
      <c r="I334" s="799">
        <v>326473.82</v>
      </c>
      <c r="J334" s="800">
        <v>300000</v>
      </c>
      <c r="K334" s="800">
        <f t="shared" si="152"/>
        <v>-3181.9500000000116</v>
      </c>
      <c r="L334" s="792">
        <f t="shared" si="155"/>
        <v>-9.652341289218179E-3</v>
      </c>
      <c r="M334" s="817">
        <f t="shared" si="145"/>
        <v>26473.820000000007</v>
      </c>
      <c r="N334" s="802">
        <f t="shared" si="149"/>
        <v>8.8246066666666692E-2</v>
      </c>
      <c r="O334" s="786">
        <f t="shared" si="159"/>
        <v>6.3076077984344434E-2</v>
      </c>
      <c r="P334" s="817" t="b">
        <f t="shared" si="153"/>
        <v>0</v>
      </c>
      <c r="Q334" s="802">
        <f>COUNTIF(P$2:P334, TRUE)/(COUNTIF(P$2:P334,FALSE) + COUNTIF(P$2:P334, TRUE))</f>
        <v>0.49849849849849848</v>
      </c>
      <c r="R334" s="800">
        <v>241402.7</v>
      </c>
      <c r="S334" s="800">
        <f t="shared" si="160"/>
        <v>85071.12</v>
      </c>
      <c r="T334" s="800">
        <v>-27249</v>
      </c>
      <c r="U334" s="800">
        <f t="shared" si="148"/>
        <v>53722.820000000007</v>
      </c>
      <c r="V334" s="802">
        <f>STDEV(D$2:D334)*SQRT(252)</f>
        <v>0.1644023055783676</v>
      </c>
      <c r="W334" s="802">
        <f>STDEV(L$2:L334)*SQRT(252)</f>
        <v>0.35680577395997881</v>
      </c>
      <c r="X334" s="801">
        <f t="shared" si="125"/>
        <v>0.34422919429404569</v>
      </c>
      <c r="Y334" s="801">
        <f t="shared" si="126"/>
        <v>0.17677986901473006</v>
      </c>
      <c r="Z334" s="807">
        <f t="shared" si="127"/>
        <v>9.07139342985612E-3</v>
      </c>
    </row>
    <row r="335" spans="1:26" ht="20.100000000000001" customHeight="1" x14ac:dyDescent="0.2">
      <c r="A335" s="776">
        <f t="shared" si="154"/>
        <v>512</v>
      </c>
      <c r="B335" s="795">
        <v>42745</v>
      </c>
      <c r="C335" s="820">
        <v>2268.9</v>
      </c>
      <c r="D335" s="792">
        <f>(C335-C334)/C334</f>
        <v>0</v>
      </c>
      <c r="E335" s="819">
        <f t="shared" si="150"/>
        <v>7.9174673236810572E-2</v>
      </c>
      <c r="F335" s="816">
        <v>5551.81</v>
      </c>
      <c r="G335" s="792">
        <f t="shared" ref="G335:G358" si="161">(F335-F334)/F334</f>
        <v>3.6154531699389529E-3</v>
      </c>
      <c r="H335" s="797">
        <f t="shared" si="151"/>
        <v>9.0364711196653499E-2</v>
      </c>
      <c r="I335" s="799">
        <v>326978.32</v>
      </c>
      <c r="J335" s="800">
        <v>300000</v>
      </c>
      <c r="K335" s="800">
        <f t="shared" si="152"/>
        <v>504.5</v>
      </c>
      <c r="L335" s="792">
        <f t="shared" si="155"/>
        <v>1.545300018237297E-3</v>
      </c>
      <c r="M335" s="817">
        <f t="shared" si="145"/>
        <v>26978.320000000007</v>
      </c>
      <c r="N335" s="802">
        <f t="shared" si="149"/>
        <v>8.9927733333333357E-2</v>
      </c>
      <c r="O335" s="786">
        <f t="shared" si="159"/>
        <v>6.4152548046875021E-2</v>
      </c>
      <c r="P335" s="817" t="b">
        <f t="shared" si="153"/>
        <v>1</v>
      </c>
      <c r="Q335" s="802">
        <f>COUNTIF(P$2:P335, TRUE)/(COUNTIF(P$2:P335,FALSE) + COUNTIF(P$2:P335, TRUE))</f>
        <v>0.5</v>
      </c>
      <c r="R335" s="800">
        <v>241907.20000000001</v>
      </c>
      <c r="S335" s="800">
        <f t="shared" si="160"/>
        <v>85071.12</v>
      </c>
      <c r="T335" s="800">
        <v>-27297</v>
      </c>
      <c r="U335" s="800">
        <f t="shared" si="148"/>
        <v>54275.320000000007</v>
      </c>
      <c r="V335" s="802">
        <f>STDEV(D$2:D335)*SQRT(252)</f>
        <v>0.16415470946518282</v>
      </c>
      <c r="W335" s="802">
        <f>STDEV(L$2:L335)*SQRT(252)</f>
        <v>0.35626868426595099</v>
      </c>
      <c r="X335" s="801">
        <f t="shared" si="125"/>
        <v>0.34407506175360014</v>
      </c>
      <c r="Y335" s="801">
        <f t="shared" si="126"/>
        <v>0.18006788381935301</v>
      </c>
      <c r="Z335" s="807">
        <f t="shared" si="127"/>
        <v>1.0753060096522785E-2</v>
      </c>
    </row>
    <row r="336" spans="1:26" ht="20.100000000000001" customHeight="1" x14ac:dyDescent="0.2">
      <c r="A336" s="776">
        <f t="shared" si="154"/>
        <v>513</v>
      </c>
      <c r="B336" s="795">
        <v>42746</v>
      </c>
      <c r="C336" s="820">
        <v>2275.3200000000002</v>
      </c>
      <c r="D336" s="792">
        <f>(C336-C335)/C335</f>
        <v>2.8295649874388791E-3</v>
      </c>
      <c r="E336" s="819">
        <f t="shared" si="150"/>
        <v>8.2228268107532254E-2</v>
      </c>
      <c r="F336" s="816">
        <v>5563.64</v>
      </c>
      <c r="G336" s="792">
        <f t="shared" si="161"/>
        <v>2.1308366100424776E-3</v>
      </c>
      <c r="H336" s="797">
        <f t="shared" si="151"/>
        <v>9.2688100241569718E-2</v>
      </c>
      <c r="I336" s="799">
        <v>329085.82</v>
      </c>
      <c r="J336" s="800">
        <v>300000</v>
      </c>
      <c r="K336" s="800">
        <f t="shared" si="152"/>
        <v>2107.5</v>
      </c>
      <c r="L336" s="792">
        <f t="shared" si="155"/>
        <v>6.4453814552597856E-3</v>
      </c>
      <c r="M336" s="817">
        <f t="shared" si="145"/>
        <v>29085.820000000007</v>
      </c>
      <c r="N336" s="802">
        <f t="shared" si="149"/>
        <v>9.695273333333336E-2</v>
      </c>
      <c r="O336" s="786">
        <f t="shared" si="159"/>
        <v>6.9029212183235891E-2</v>
      </c>
      <c r="P336" s="817" t="b">
        <f t="shared" si="153"/>
        <v>1</v>
      </c>
      <c r="Q336" s="802">
        <f>COUNTIF(P$2:P336, TRUE)/(COUNTIF(P$2:P336,FALSE) + COUNTIF(P$2:P336, TRUE))</f>
        <v>0.5014925373134328</v>
      </c>
      <c r="R336" s="800">
        <v>251208.6</v>
      </c>
      <c r="S336" s="800">
        <f t="shared" si="160"/>
        <v>77877.22</v>
      </c>
      <c r="T336" s="800">
        <v>-26997</v>
      </c>
      <c r="U336" s="800">
        <f t="shared" si="148"/>
        <v>56082.820000000007</v>
      </c>
      <c r="V336" s="802">
        <f>STDEV(D$2:D336)*SQRT(252)</f>
        <v>0.16392298199837227</v>
      </c>
      <c r="W336" s="802">
        <f>STDEV(L$2:L336)*SQRT(252)</f>
        <v>0.35576772600589157</v>
      </c>
      <c r="X336" s="801">
        <f t="shared" si="125"/>
        <v>0.3571528802411269</v>
      </c>
      <c r="Y336" s="801">
        <f t="shared" si="126"/>
        <v>0.19402887653191103</v>
      </c>
      <c r="Z336" s="807">
        <f t="shared" si="127"/>
        <v>1.4724465225801106E-2</v>
      </c>
    </row>
    <row r="337" spans="1:26" ht="20.100000000000001" customHeight="1" x14ac:dyDescent="0.2">
      <c r="A337" s="776">
        <f t="shared" si="154"/>
        <v>514</v>
      </c>
      <c r="B337" s="795">
        <v>42747</v>
      </c>
      <c r="C337" s="820">
        <v>2270.44</v>
      </c>
      <c r="D337" s="792">
        <f>(C337-C336)/C336</f>
        <v>-2.1447532654747942E-3</v>
      </c>
      <c r="E337" s="819">
        <f t="shared" si="150"/>
        <v>7.9907155495519494E-2</v>
      </c>
      <c r="F337" s="816">
        <v>5547.48</v>
      </c>
      <c r="G337" s="792">
        <f t="shared" si="161"/>
        <v>-2.9045732649849313E-3</v>
      </c>
      <c r="H337" s="797">
        <f t="shared" si="151"/>
        <v>8.9514307598640874E-2</v>
      </c>
      <c r="I337" s="799">
        <v>326943.46999999997</v>
      </c>
      <c r="J337" s="800">
        <v>300000</v>
      </c>
      <c r="K337" s="800">
        <f t="shared" si="152"/>
        <v>-2142.3500000000349</v>
      </c>
      <c r="L337" s="792">
        <f t="shared" si="155"/>
        <v>-6.5100039861943453E-3</v>
      </c>
      <c r="M337" s="817">
        <f t="shared" si="145"/>
        <v>26943.469999999972</v>
      </c>
      <c r="N337" s="802">
        <f t="shared" si="149"/>
        <v>8.9811566666666579E-2</v>
      </c>
      <c r="O337" s="786">
        <f t="shared" si="159"/>
        <v>6.3820378842412387E-2</v>
      </c>
      <c r="P337" s="817" t="b">
        <f t="shared" si="153"/>
        <v>0</v>
      </c>
      <c r="Q337" s="802">
        <f>COUNTIF(P$2:P337, TRUE)/(COUNTIF(P$2:P337,FALSE) + COUNTIF(P$2:P337, TRUE))</f>
        <v>0.5</v>
      </c>
      <c r="R337" s="800">
        <v>249037.25</v>
      </c>
      <c r="S337" s="800">
        <f t="shared" si="160"/>
        <v>77906.219999999972</v>
      </c>
      <c r="T337" s="800">
        <v>-27073</v>
      </c>
      <c r="U337" s="800">
        <f t="shared" si="148"/>
        <v>54016.469999999972</v>
      </c>
      <c r="V337" s="802">
        <f>STDEV(D$2:D337)*SQRT(252)</f>
        <v>0.1636910220978732</v>
      </c>
      <c r="W337" s="802">
        <f>STDEV(L$2:L337)*SQRT(252)</f>
        <v>0.35529082433819081</v>
      </c>
      <c r="X337" s="801">
        <f t="shared" si="125"/>
        <v>0.34688691356201834</v>
      </c>
      <c r="Y337" s="801">
        <f t="shared" si="126"/>
        <v>0.17962855911433181</v>
      </c>
      <c r="Z337" s="807">
        <f t="shared" si="127"/>
        <v>9.9044111711470845E-3</v>
      </c>
    </row>
    <row r="338" spans="1:26" ht="20.100000000000001" customHeight="1" x14ac:dyDescent="0.2">
      <c r="A338" s="776">
        <f t="shared" si="154"/>
        <v>515</v>
      </c>
      <c r="B338" s="795">
        <v>42748</v>
      </c>
      <c r="C338" s="820">
        <v>2274.64</v>
      </c>
      <c r="D338" s="792">
        <f>(C338-C337)/C337</f>
        <v>1.8498617008156208E-3</v>
      </c>
      <c r="E338" s="819">
        <f t="shared" si="150"/>
        <v>8.1904834382907396E-2</v>
      </c>
      <c r="F338" s="816">
        <v>5574.12</v>
      </c>
      <c r="G338" s="792">
        <f t="shared" si="161"/>
        <v>4.8021804495014548E-3</v>
      </c>
      <c r="H338" s="797">
        <f t="shared" si="151"/>
        <v>9.4746351906043191E-2</v>
      </c>
      <c r="I338" s="799">
        <v>327247.34999999998</v>
      </c>
      <c r="J338" s="800">
        <v>300000</v>
      </c>
      <c r="K338" s="800">
        <f t="shared" si="152"/>
        <v>303.88000000000466</v>
      </c>
      <c r="L338" s="792">
        <f t="shared" si="155"/>
        <v>9.2945731566378945E-4</v>
      </c>
      <c r="M338" s="817">
        <f t="shared" si="145"/>
        <v>27247.349999999977</v>
      </c>
      <c r="N338" s="802">
        <f t="shared" si="149"/>
        <v>9.0824499999999919E-2</v>
      </c>
      <c r="O338" s="786">
        <f t="shared" si="159"/>
        <v>6.4414851699029066E-2</v>
      </c>
      <c r="P338" s="817" t="b">
        <f t="shared" si="153"/>
        <v>0</v>
      </c>
      <c r="Q338" s="802">
        <f>COUNTIF(P$2:P338, TRUE)/(COUNTIF(P$2:P338,FALSE) + COUNTIF(P$2:P338, TRUE))</f>
        <v>0.49851632047477745</v>
      </c>
      <c r="R338" s="800">
        <v>250832.3</v>
      </c>
      <c r="S338" s="800">
        <f t="shared" si="160"/>
        <v>76415.049999999988</v>
      </c>
      <c r="T338" s="800">
        <v>-26980</v>
      </c>
      <c r="U338" s="800">
        <f t="shared" si="148"/>
        <v>54227.349999999977</v>
      </c>
      <c r="V338" s="802">
        <f>STDEV(D$2:D338)*SQRT(252)</f>
        <v>0.1634521615646928</v>
      </c>
      <c r="W338" s="802">
        <f>STDEV(L$2:L338)*SQRT(252)</f>
        <v>0.35476017854562014</v>
      </c>
      <c r="X338" s="801">
        <f t="shared" si="125"/>
        <v>0.35538726713948843</v>
      </c>
      <c r="Y338" s="801">
        <f t="shared" si="126"/>
        <v>0.18157294869763879</v>
      </c>
      <c r="Z338" s="807">
        <f t="shared" si="127"/>
        <v>8.9196656170925231E-3</v>
      </c>
    </row>
    <row r="339" spans="1:26" ht="20.100000000000001" customHeight="1" x14ac:dyDescent="0.2">
      <c r="A339" s="776">
        <f t="shared" si="154"/>
        <v>519</v>
      </c>
      <c r="B339" s="824">
        <v>42752</v>
      </c>
      <c r="C339" s="835">
        <v>2267.89</v>
      </c>
      <c r="D339" s="792">
        <f>(C339-C338)/C338</f>
        <v>-2.9675025498540428E-3</v>
      </c>
      <c r="E339" s="826">
        <f t="shared" si="150"/>
        <v>7.8694279028176703E-2</v>
      </c>
      <c r="F339" s="827">
        <v>5538.72</v>
      </c>
      <c r="G339" s="792">
        <f t="shared" si="161"/>
        <v>-6.3507782394350383E-3</v>
      </c>
      <c r="H339" s="828">
        <f t="shared" si="151"/>
        <v>8.7793860596657392E-2</v>
      </c>
      <c r="I339" s="837">
        <v>326901.49</v>
      </c>
      <c r="J339" s="830">
        <v>300000</v>
      </c>
      <c r="K339" s="830">
        <f t="shared" si="152"/>
        <v>-345.85999999998603</v>
      </c>
      <c r="L339" s="792">
        <f t="shared" si="155"/>
        <v>-1.0568763964016394E-3</v>
      </c>
      <c r="M339" s="831">
        <f t="shared" si="145"/>
        <v>26901.489999999991</v>
      </c>
      <c r="N339" s="832">
        <f t="shared" si="149"/>
        <v>8.9671633333333306E-2</v>
      </c>
      <c r="O339" s="786">
        <f t="shared" si="159"/>
        <v>6.3107059874759133E-2</v>
      </c>
      <c r="P339" s="831" t="b">
        <f t="shared" si="153"/>
        <v>1</v>
      </c>
      <c r="Q339" s="832">
        <f>COUNTIF(P$2:P339, TRUE)/(COUNTIF(P$2:P339,FALSE) + COUNTIF(P$2:P339, TRUE))</f>
        <v>0.5</v>
      </c>
      <c r="R339" s="830">
        <v>246815.4</v>
      </c>
      <c r="S339" s="830">
        <f t="shared" si="160"/>
        <v>80086.09</v>
      </c>
      <c r="T339" s="830">
        <v>-26747</v>
      </c>
      <c r="U339" s="830">
        <f t="shared" si="148"/>
        <v>53648.489999999991</v>
      </c>
      <c r="V339" s="832">
        <f>STDEV(D$2:D339)*SQRT(252)</f>
        <v>0.16323301111868488</v>
      </c>
      <c r="W339" s="832">
        <f>STDEV(L$2:L339)*SQRT(252)</f>
        <v>0.35423530326809799</v>
      </c>
      <c r="X339" s="801">
        <f t="shared" si="125"/>
        <v>0.33927982512124322</v>
      </c>
      <c r="Y339" s="801">
        <f t="shared" si="126"/>
        <v>0.17815011460615895</v>
      </c>
      <c r="Z339" s="807">
        <f t="shared" si="127"/>
        <v>1.0977354305156603E-2</v>
      </c>
    </row>
    <row r="340" spans="1:26" ht="20.100000000000001" customHeight="1" x14ac:dyDescent="0.2">
      <c r="A340" s="776">
        <f t="shared" si="154"/>
        <v>520</v>
      </c>
      <c r="B340" s="824">
        <v>42753</v>
      </c>
      <c r="C340" s="835">
        <v>2271.89</v>
      </c>
      <c r="D340" s="792">
        <f t="shared" ref="D340:D348" si="162">(C340-C339)/C339</f>
        <v>1.7637539739581726E-3</v>
      </c>
      <c r="E340" s="826">
        <f t="shared" si="150"/>
        <v>8.0596830349498591E-2</v>
      </c>
      <c r="F340" s="827">
        <v>5555.65</v>
      </c>
      <c r="G340" s="792">
        <f t="shared" si="161"/>
        <v>3.0566629112862504E-3</v>
      </c>
      <c r="H340" s="828">
        <f t="shared" si="151"/>
        <v>9.1118879745468076E-2</v>
      </c>
      <c r="I340" s="837">
        <v>326777.7</v>
      </c>
      <c r="J340" s="830">
        <v>300000</v>
      </c>
      <c r="K340" s="830">
        <f t="shared" si="152"/>
        <v>-123.78999999997905</v>
      </c>
      <c r="L340" s="792">
        <f t="shared" si="155"/>
        <v>-3.7867676895562345E-4</v>
      </c>
      <c r="M340" s="831">
        <f t="shared" si="145"/>
        <v>26777.700000000012</v>
      </c>
      <c r="N340" s="832">
        <f t="shared" si="149"/>
        <v>8.9259000000000033E-2</v>
      </c>
      <c r="O340" s="786">
        <f t="shared" si="159"/>
        <v>6.2695864903846182E-2</v>
      </c>
      <c r="P340" s="831" t="b">
        <f t="shared" si="153"/>
        <v>0</v>
      </c>
      <c r="Q340" s="832">
        <f>COUNTIF(P$2:P340, TRUE)/(COUNTIF(P$2:P340,FALSE) + COUNTIF(P$2:P340, TRUE))</f>
        <v>0.49852507374631266</v>
      </c>
      <c r="R340" s="830">
        <v>244625.7</v>
      </c>
      <c r="S340" s="830">
        <f t="shared" si="160"/>
        <v>82152</v>
      </c>
      <c r="T340" s="830">
        <v>-26746</v>
      </c>
      <c r="U340" s="830">
        <f t="shared" si="148"/>
        <v>53523.700000000012</v>
      </c>
      <c r="V340" s="832">
        <f>STDEV(D$2:D340)*SQRT(252)</f>
        <v>0.16299569851885642</v>
      </c>
      <c r="W340" s="832">
        <f>STDEV(L$2:L340)*SQRT(252)</f>
        <v>0.35371066425752529</v>
      </c>
      <c r="X340" s="801">
        <f t="shared" si="125"/>
        <v>0.34731912645380425</v>
      </c>
      <c r="Y340" s="801">
        <f t="shared" si="126"/>
        <v>0.17725183671080766</v>
      </c>
      <c r="Z340" s="807">
        <f t="shared" si="127"/>
        <v>8.6621696505014417E-3</v>
      </c>
    </row>
    <row r="341" spans="1:26" ht="20.100000000000001" customHeight="1" x14ac:dyDescent="0.2">
      <c r="A341" s="776">
        <f t="shared" si="154"/>
        <v>521</v>
      </c>
      <c r="B341" s="824">
        <v>42754</v>
      </c>
      <c r="C341" s="835">
        <v>2263.69</v>
      </c>
      <c r="D341" s="792">
        <f t="shared" si="162"/>
        <v>-3.6093296770529464E-3</v>
      </c>
      <c r="E341" s="826">
        <f t="shared" si="150"/>
        <v>7.6696600140788801E-2</v>
      </c>
      <c r="F341" s="827">
        <v>5540.08</v>
      </c>
      <c r="G341" s="792">
        <f t="shared" si="161"/>
        <v>-2.8025523566098855E-3</v>
      </c>
      <c r="H341" s="828">
        <f t="shared" si="151"/>
        <v>8.8060961957695888E-2</v>
      </c>
      <c r="I341" s="837">
        <v>324862.34999999998</v>
      </c>
      <c r="J341" s="830">
        <v>300000</v>
      </c>
      <c r="K341" s="830">
        <f t="shared" si="152"/>
        <v>-1915.3500000000349</v>
      </c>
      <c r="L341" s="792">
        <f t="shared" si="155"/>
        <v>-5.8613240744397029E-3</v>
      </c>
      <c r="M341" s="831">
        <f t="shared" si="145"/>
        <v>24862.349999999977</v>
      </c>
      <c r="N341" s="832">
        <f t="shared" si="149"/>
        <v>8.287449999999992E-2</v>
      </c>
      <c r="O341" s="786">
        <f t="shared" si="159"/>
        <v>5.8099637476007625E-2</v>
      </c>
      <c r="P341" s="831" t="b">
        <f t="shared" si="153"/>
        <v>0</v>
      </c>
      <c r="Q341" s="832">
        <f>COUNTIF(P$2:P341, TRUE)/(COUNTIF(P$2:P341,FALSE) + COUNTIF(P$2:P341, TRUE))</f>
        <v>0.49705882352941178</v>
      </c>
      <c r="R341" s="830">
        <v>251939.75</v>
      </c>
      <c r="S341" s="830">
        <f t="shared" si="160"/>
        <v>72922.599999999977</v>
      </c>
      <c r="T341" s="830">
        <v>-27278</v>
      </c>
      <c r="U341" s="830">
        <f t="shared" si="148"/>
        <v>52140.349999999977</v>
      </c>
      <c r="V341" s="832">
        <f>STDEV(D$2:D341)*SQRT(252)</f>
        <v>0.16278897536112508</v>
      </c>
      <c r="W341" s="832">
        <f>STDEV(L$2:L341)*SQRT(252)</f>
        <v>0.35323287120524727</v>
      </c>
      <c r="X341" s="801">
        <f t="shared" si="125"/>
        <v>0.33029623584765705</v>
      </c>
      <c r="Y341" s="801">
        <f t="shared" si="126"/>
        <v>0.16447970223656963</v>
      </c>
      <c r="Z341" s="807">
        <f t="shared" si="127"/>
        <v>6.1778998592111195E-3</v>
      </c>
    </row>
    <row r="342" spans="1:26" ht="20.100000000000001" customHeight="1" x14ac:dyDescent="0.2">
      <c r="A342" s="776">
        <f t="shared" si="154"/>
        <v>522</v>
      </c>
      <c r="B342" s="824">
        <v>42755</v>
      </c>
      <c r="C342" s="835">
        <v>2271.31</v>
      </c>
      <c r="D342" s="792">
        <f t="shared" si="162"/>
        <v>3.3661852992237853E-3</v>
      </c>
      <c r="E342" s="826">
        <f t="shared" si="150"/>
        <v>8.0320960407906955E-2</v>
      </c>
      <c r="F342" s="827">
        <v>5555.33</v>
      </c>
      <c r="G342" s="792">
        <f t="shared" si="161"/>
        <v>2.7526678315114585E-3</v>
      </c>
      <c r="H342" s="828">
        <f t="shared" si="151"/>
        <v>9.1056032366400239E-2</v>
      </c>
      <c r="I342" s="837">
        <v>326822.08</v>
      </c>
      <c r="J342" s="830">
        <v>300000</v>
      </c>
      <c r="K342" s="830">
        <f t="shared" si="152"/>
        <v>1959.7300000000396</v>
      </c>
      <c r="L342" s="792">
        <f t="shared" si="155"/>
        <v>6.0324934545355584E-3</v>
      </c>
      <c r="M342" s="831">
        <f t="shared" si="145"/>
        <v>26822.080000000016</v>
      </c>
      <c r="N342" s="832">
        <f t="shared" si="149"/>
        <v>8.9406933333333383E-2</v>
      </c>
      <c r="O342" s="786">
        <f t="shared" si="159"/>
        <v>6.2559161685823789E-2</v>
      </c>
      <c r="P342" s="831" t="b">
        <f t="shared" si="153"/>
        <v>1</v>
      </c>
      <c r="Q342" s="832">
        <f>COUNTIF(P$2:P342, TRUE)/(COUNTIF(P$2:P342,FALSE) + COUNTIF(P$2:P342, TRUE))</f>
        <v>0.49853372434017595</v>
      </c>
      <c r="R342" s="830">
        <v>263368.55</v>
      </c>
      <c r="S342" s="830">
        <f t="shared" si="160"/>
        <v>63453.530000000028</v>
      </c>
      <c r="T342" s="830">
        <v>-27778</v>
      </c>
      <c r="U342" s="830">
        <f t="shared" si="148"/>
        <v>54600.080000000016</v>
      </c>
      <c r="V342" s="832">
        <f>STDEV(D$2:D342)*SQRT(252)</f>
        <v>0.16257054597852011</v>
      </c>
      <c r="W342" s="832">
        <f>STDEV(L$2:L342)*SQRT(252)</f>
        <v>0.35274115689547414</v>
      </c>
      <c r="X342" s="801">
        <f t="shared" si="125"/>
        <v>0.34570586702225381</v>
      </c>
      <c r="Y342" s="801">
        <f t="shared" si="126"/>
        <v>0.17735146711094335</v>
      </c>
      <c r="Z342" s="807">
        <f t="shared" si="127"/>
        <v>9.0859729254264276E-3</v>
      </c>
    </row>
    <row r="343" spans="1:26" ht="20.100000000000001" customHeight="1" x14ac:dyDescent="0.2">
      <c r="A343" s="776">
        <f t="shared" si="154"/>
        <v>525</v>
      </c>
      <c r="B343" s="795">
        <v>42758</v>
      </c>
      <c r="C343" s="820">
        <v>2265.1999999999998</v>
      </c>
      <c r="D343" s="792">
        <f t="shared" si="162"/>
        <v>-2.6900775323492289E-3</v>
      </c>
      <c r="E343" s="819">
        <f t="shared" si="150"/>
        <v>7.7414813264587698E-2</v>
      </c>
      <c r="F343" s="816">
        <v>5552.94</v>
      </c>
      <c r="G343" s="792">
        <f t="shared" si="161"/>
        <v>-4.3021746682921221E-4</v>
      </c>
      <c r="H343" s="797">
        <f t="shared" si="151"/>
        <v>9.0586641003986834E-2</v>
      </c>
      <c r="I343" s="799">
        <v>324687.64</v>
      </c>
      <c r="J343" s="800">
        <v>300000</v>
      </c>
      <c r="K343" s="800">
        <f t="shared" si="152"/>
        <v>-2134.4400000000023</v>
      </c>
      <c r="L343" s="792">
        <f t="shared" si="155"/>
        <v>-6.530892894384621E-3</v>
      </c>
      <c r="M343" s="817">
        <f t="shared" si="145"/>
        <v>24687.640000000014</v>
      </c>
      <c r="N343" s="802">
        <f t="shared" si="149"/>
        <v>8.2292133333333378E-2</v>
      </c>
      <c r="O343" s="786">
        <f t="shared" si="159"/>
        <v>5.7251812761904795E-2</v>
      </c>
      <c r="P343" s="817" t="b">
        <f t="shared" si="153"/>
        <v>0</v>
      </c>
      <c r="Q343" s="802">
        <f>COUNTIF(P$2:P343, TRUE)/(COUNTIF(P$2:P343,FALSE) + COUNTIF(P$2:P343, TRUE))</f>
        <v>0.49707602339181284</v>
      </c>
      <c r="R343" s="800">
        <v>262468.09999999998</v>
      </c>
      <c r="S343" s="800">
        <f t="shared" si="160"/>
        <v>62219.540000000037</v>
      </c>
      <c r="T343" s="800">
        <v>-28619</v>
      </c>
      <c r="U343" s="800">
        <f t="shared" si="148"/>
        <v>53306.640000000014</v>
      </c>
      <c r="V343" s="802">
        <f>STDEV(D$2:D343)*SQRT(252)</f>
        <v>0.16235136583576509</v>
      </c>
      <c r="W343" s="802">
        <f>STDEV(L$2:L343)*SQRT(252)</f>
        <v>0.3522774110686045</v>
      </c>
      <c r="X343" s="801">
        <f t="shared" si="125"/>
        <v>0.33174092029851404</v>
      </c>
      <c r="Y343" s="801">
        <f t="shared" si="126"/>
        <v>0.16251911409316919</v>
      </c>
      <c r="Z343" s="807">
        <f t="shared" si="127"/>
        <v>4.8773200687456802E-3</v>
      </c>
    </row>
    <row r="344" spans="1:26" ht="20.100000000000001" customHeight="1" x14ac:dyDescent="0.2">
      <c r="A344" s="776">
        <f t="shared" si="154"/>
        <v>526</v>
      </c>
      <c r="B344" s="795">
        <v>42759</v>
      </c>
      <c r="C344" s="820">
        <v>2280.0700000000002</v>
      </c>
      <c r="D344" s="792">
        <f t="shared" si="162"/>
        <v>6.5645417623169467E-3</v>
      </c>
      <c r="E344" s="819">
        <f t="shared" si="150"/>
        <v>8.4487547801602003E-2</v>
      </c>
      <c r="F344" s="816">
        <v>5600.95</v>
      </c>
      <c r="G344" s="792">
        <f t="shared" si="161"/>
        <v>8.6458704758200552E-3</v>
      </c>
      <c r="H344" s="797">
        <f t="shared" si="151"/>
        <v>0.10001571184476697</v>
      </c>
      <c r="I344" s="799">
        <v>328611.7</v>
      </c>
      <c r="J344" s="800">
        <v>300000</v>
      </c>
      <c r="K344" s="800">
        <f t="shared" si="152"/>
        <v>3924.0599999999977</v>
      </c>
      <c r="L344" s="792">
        <f t="shared" si="155"/>
        <v>1.208564637693014E-2</v>
      </c>
      <c r="M344" s="817">
        <f t="shared" ref="M344:M361" si="163">I344-J344</f>
        <v>28611.700000000012</v>
      </c>
      <c r="N344" s="802">
        <f t="shared" si="149"/>
        <v>9.5372333333333378E-2</v>
      </c>
      <c r="O344" s="786">
        <f t="shared" si="159"/>
        <v>6.62257504752852E-2</v>
      </c>
      <c r="P344" s="817" t="b">
        <f t="shared" si="153"/>
        <v>1</v>
      </c>
      <c r="Q344" s="802">
        <f>COUNTIF(P$2:P344, TRUE)/(COUNTIF(P$2:P344,FALSE) + COUNTIF(P$2:P344, TRUE))</f>
        <v>0.49854227405247814</v>
      </c>
      <c r="R344" s="800">
        <v>264117.25</v>
      </c>
      <c r="S344" s="800">
        <f t="shared" si="160"/>
        <v>64494.450000000012</v>
      </c>
      <c r="T344" s="800">
        <v>-28448</v>
      </c>
      <c r="U344" s="800">
        <f t="shared" si="148"/>
        <v>57059.700000000012</v>
      </c>
      <c r="V344" s="802">
        <f>STDEV(D$2:D344)*SQRT(252)</f>
        <v>0.16220313783315865</v>
      </c>
      <c r="W344" s="802">
        <f>STDEV(L$2:L344)*SQRT(252)</f>
        <v>0.35189592517189633</v>
      </c>
      <c r="X344" s="801">
        <f t="shared" si="125"/>
        <v>0.36169119313729858</v>
      </c>
      <c r="Y344" s="801">
        <f t="shared" si="126"/>
        <v>0.18819698023765075</v>
      </c>
      <c r="Z344" s="807">
        <f t="shared" si="127"/>
        <v>1.0884785531731375E-2</v>
      </c>
    </row>
    <row r="345" spans="1:26" ht="20.100000000000001" customHeight="1" x14ac:dyDescent="0.2">
      <c r="A345" s="776">
        <f t="shared" si="154"/>
        <v>527</v>
      </c>
      <c r="B345" s="795">
        <v>42760</v>
      </c>
      <c r="C345" s="820">
        <v>2298.37</v>
      </c>
      <c r="D345" s="792">
        <f t="shared" si="162"/>
        <v>8.0260693750629254E-3</v>
      </c>
      <c r="E345" s="819">
        <f t="shared" si="150"/>
        <v>9.3191720096649527E-2</v>
      </c>
      <c r="F345" s="816">
        <v>5656.33</v>
      </c>
      <c r="G345" s="792">
        <f t="shared" si="161"/>
        <v>9.887608352154565E-3</v>
      </c>
      <c r="H345" s="797">
        <f t="shared" si="151"/>
        <v>0.11089223638470455</v>
      </c>
      <c r="I345" s="799">
        <v>331080.08</v>
      </c>
      <c r="J345" s="800">
        <v>300000</v>
      </c>
      <c r="K345" s="800">
        <f t="shared" si="152"/>
        <v>2468.3800000000047</v>
      </c>
      <c r="L345" s="792">
        <f t="shared" si="155"/>
        <v>7.511540216005713E-3</v>
      </c>
      <c r="M345" s="817">
        <f t="shared" si="163"/>
        <v>31080.080000000016</v>
      </c>
      <c r="N345" s="802">
        <f t="shared" si="149"/>
        <v>0.10360026666666672</v>
      </c>
      <c r="O345" s="786">
        <f t="shared" si="159"/>
        <v>7.1802651612903265E-2</v>
      </c>
      <c r="P345" s="817" t="b">
        <f t="shared" si="153"/>
        <v>0</v>
      </c>
      <c r="Q345" s="802">
        <f>COUNTIF(P$2:P345, TRUE)/(COUNTIF(P$2:P345,FALSE) + COUNTIF(P$2:P345, TRUE))</f>
        <v>0.49709302325581395</v>
      </c>
      <c r="R345" s="800">
        <v>259620.35</v>
      </c>
      <c r="S345" s="800">
        <f t="shared" si="160"/>
        <v>71459.73000000001</v>
      </c>
      <c r="T345" s="800">
        <v>-28211</v>
      </c>
      <c r="U345" s="800">
        <f t="shared" si="148"/>
        <v>59291.080000000016</v>
      </c>
      <c r="V345" s="802">
        <f>STDEV(D$2:D345)*SQRT(252)</f>
        <v>0.16210153500122582</v>
      </c>
      <c r="W345" s="802">
        <f>STDEV(L$2:L345)*SQRT(252)</f>
        <v>0.35142892173835949</v>
      </c>
      <c r="X345" s="801">
        <f t="shared" si="125"/>
        <v>0.39844631062528568</v>
      </c>
      <c r="Y345" s="801">
        <f t="shared" si="126"/>
        <v>0.20431628466356189</v>
      </c>
      <c r="Z345" s="807">
        <f t="shared" si="127"/>
        <v>1.0408546570017191E-2</v>
      </c>
    </row>
    <row r="346" spans="1:26" ht="20.100000000000001" customHeight="1" x14ac:dyDescent="0.2">
      <c r="A346" s="776">
        <f t="shared" si="154"/>
        <v>528</v>
      </c>
      <c r="B346" s="795">
        <v>42761</v>
      </c>
      <c r="C346" s="820">
        <v>2296.6799999999998</v>
      </c>
      <c r="D346" s="792">
        <f t="shared" si="162"/>
        <v>-7.3530371524169506E-4</v>
      </c>
      <c r="E346" s="819">
        <f t="shared" si="150"/>
        <v>9.2387892163390994E-2</v>
      </c>
      <c r="F346" s="816">
        <v>5655.17</v>
      </c>
      <c r="G346" s="792">
        <f t="shared" si="161"/>
        <v>-2.0507997234953663E-4</v>
      </c>
      <c r="H346" s="797">
        <f t="shared" si="151"/>
        <v>0.11066441463558345</v>
      </c>
      <c r="I346" s="799">
        <v>330371.86</v>
      </c>
      <c r="J346" s="800">
        <v>300000</v>
      </c>
      <c r="K346" s="800">
        <f t="shared" si="152"/>
        <v>-708.22000000003027</v>
      </c>
      <c r="L346" s="792">
        <f t="shared" si="155"/>
        <v>-2.1391199373880488E-3</v>
      </c>
      <c r="M346" s="817">
        <f t="shared" si="163"/>
        <v>30371.859999999986</v>
      </c>
      <c r="N346" s="802">
        <f t="shared" si="149"/>
        <v>0.10123953333333328</v>
      </c>
      <c r="O346" s="786">
        <f t="shared" si="159"/>
        <v>7.0033597632575717E-2</v>
      </c>
      <c r="P346" s="817" t="b">
        <f t="shared" si="153"/>
        <v>0</v>
      </c>
      <c r="Q346" s="802">
        <f>COUNTIF(P$2:P346, TRUE)/(COUNTIF(P$2:P346,FALSE) + COUNTIF(P$2:P346, TRUE))</f>
        <v>0.4956521739130435</v>
      </c>
      <c r="R346" s="800">
        <v>261550.96</v>
      </c>
      <c r="S346" s="800">
        <f t="shared" si="160"/>
        <v>68820.899999999994</v>
      </c>
      <c r="T346" s="800">
        <v>-28489</v>
      </c>
      <c r="U346" s="800">
        <f t="shared" si="148"/>
        <v>58860.859999999986</v>
      </c>
      <c r="V346" s="802">
        <f>STDEV(D$2:D346)*SQRT(252)</f>
        <v>0.16186754333702152</v>
      </c>
      <c r="W346" s="802">
        <f>STDEV(L$2:L346)*SQRT(252)</f>
        <v>0.35092507165589804</v>
      </c>
      <c r="X346" s="801">
        <f t="shared" si="125"/>
        <v>0.39483131052017023</v>
      </c>
      <c r="Y346" s="801">
        <f t="shared" si="126"/>
        <v>0.19956852128606997</v>
      </c>
      <c r="Z346" s="807">
        <f t="shared" si="127"/>
        <v>8.8516411699422898E-3</v>
      </c>
    </row>
    <row r="347" spans="1:26" ht="20.100000000000001" customHeight="1" x14ac:dyDescent="0.2">
      <c r="A347" s="776">
        <f t="shared" si="154"/>
        <v>529</v>
      </c>
      <c r="B347" s="795">
        <v>42762</v>
      </c>
      <c r="C347" s="820">
        <v>2294.69</v>
      </c>
      <c r="D347" s="792">
        <f t="shared" si="162"/>
        <v>-8.6646811919805194E-4</v>
      </c>
      <c r="E347" s="819">
        <f t="shared" si="150"/>
        <v>9.1441372881033461E-2</v>
      </c>
      <c r="F347" s="816">
        <v>5660.78</v>
      </c>
      <c r="G347" s="792">
        <f t="shared" si="161"/>
        <v>9.9201261854191345E-4</v>
      </c>
      <c r="H347" s="797">
        <f t="shared" si="151"/>
        <v>0.11176620774986742</v>
      </c>
      <c r="I347" s="799">
        <v>328778.71999999997</v>
      </c>
      <c r="J347" s="800">
        <v>300000</v>
      </c>
      <c r="K347" s="800">
        <f t="shared" si="152"/>
        <v>-1593.140000000014</v>
      </c>
      <c r="L347" s="792">
        <f t="shared" si="155"/>
        <v>-4.822263009930731E-3</v>
      </c>
      <c r="M347" s="817">
        <f t="shared" si="163"/>
        <v>28778.719999999972</v>
      </c>
      <c r="N347" s="802">
        <f t="shared" si="149"/>
        <v>9.5929066666666576E-2</v>
      </c>
      <c r="O347" s="786">
        <f t="shared" si="159"/>
        <v>6.6234577693761745E-2</v>
      </c>
      <c r="P347" s="817" t="b">
        <f t="shared" si="153"/>
        <v>0</v>
      </c>
      <c r="Q347" s="802">
        <f>COUNTIF(P$2:P347, TRUE)/(COUNTIF(P$2:P347,FALSE) + COUNTIF(P$2:P347, TRUE))</f>
        <v>0.49421965317919075</v>
      </c>
      <c r="R347" s="800">
        <v>258478.8</v>
      </c>
      <c r="S347" s="800">
        <f t="shared" si="160"/>
        <v>70299.919999999984</v>
      </c>
      <c r="T347" s="800">
        <v>-28586</v>
      </c>
      <c r="U347" s="800">
        <f t="shared" si="148"/>
        <v>57364.719999999972</v>
      </c>
      <c r="V347" s="802">
        <f>STDEV(D$2:D347)*SQRT(252)</f>
        <v>0.16163521958957874</v>
      </c>
      <c r="W347" s="802">
        <f>STDEV(L$2:L347)*SQRT(252)</f>
        <v>0.35044708647568024</v>
      </c>
      <c r="X347" s="801">
        <f t="shared" ref="X347:X410" si="164">E347/(A347/365.25)/V347</f>
        <v>0.39060814305970393</v>
      </c>
      <c r="Y347" s="801">
        <f t="shared" ref="Y347:Y410" si="165">O347/W347</f>
        <v>0.18900022357115012</v>
      </c>
      <c r="Z347" s="807">
        <f t="shared" ref="Z347:Z410" si="166">-(E347-N347)</f>
        <v>4.4876937856331151E-3</v>
      </c>
    </row>
    <row r="348" spans="1:26" ht="20.100000000000001" customHeight="1" x14ac:dyDescent="0.2">
      <c r="A348" s="776">
        <f t="shared" si="154"/>
        <v>532</v>
      </c>
      <c r="B348" s="824">
        <v>42765</v>
      </c>
      <c r="C348" s="835">
        <v>2280.9</v>
      </c>
      <c r="D348" s="792">
        <f t="shared" si="162"/>
        <v>-6.0095263412486928E-3</v>
      </c>
      <c r="E348" s="826">
        <f t="shared" si="150"/>
        <v>8.488232720077625E-2</v>
      </c>
      <c r="F348" s="827">
        <v>5613.71</v>
      </c>
      <c r="G348" s="792">
        <f t="shared" si="161"/>
        <v>-8.3151085186139919E-3</v>
      </c>
      <c r="H348" s="828">
        <f t="shared" si="151"/>
        <v>0.10252175108509932</v>
      </c>
      <c r="I348" s="837">
        <v>323091.52</v>
      </c>
      <c r="J348" s="830">
        <v>300000</v>
      </c>
      <c r="K348" s="830">
        <f t="shared" si="152"/>
        <v>-5687.1999999999534</v>
      </c>
      <c r="L348" s="792">
        <f t="shared" si="155"/>
        <v>-1.7297956510080561E-2</v>
      </c>
      <c r="M348" s="831">
        <f t="shared" si="163"/>
        <v>23091.520000000019</v>
      </c>
      <c r="N348" s="832">
        <f t="shared" si="149"/>
        <v>7.6971733333333389E-2</v>
      </c>
      <c r="O348" s="786">
        <f t="shared" si="159"/>
        <v>5.2845724812030113E-2</v>
      </c>
      <c r="P348" s="831" t="b">
        <f t="shared" si="153"/>
        <v>0</v>
      </c>
      <c r="Q348" s="832">
        <f>COUNTIF(P$2:P348, TRUE)/(COUNTIF(P$2:P348,FALSE) + COUNTIF(P$2:P348, TRUE))</f>
        <v>0.49279538904899134</v>
      </c>
      <c r="R348" s="830">
        <v>273132.59999999998</v>
      </c>
      <c r="S348" s="830">
        <f t="shared" si="160"/>
        <v>49958.920000000042</v>
      </c>
      <c r="T348" s="830">
        <v>-28819</v>
      </c>
      <c r="U348" s="830">
        <f t="shared" si="148"/>
        <v>51910.520000000019</v>
      </c>
      <c r="V348" s="832">
        <f>STDEV(D$2:D348)*SQRT(252)</f>
        <v>0.16149074119515683</v>
      </c>
      <c r="W348" s="832">
        <f>STDEV(L$2:L348)*SQRT(252)</f>
        <v>0.35027731512032595</v>
      </c>
      <c r="X348" s="801">
        <f t="shared" si="164"/>
        <v>0.36086789184278273</v>
      </c>
      <c r="Y348" s="801">
        <f t="shared" si="165"/>
        <v>0.15086824790202799</v>
      </c>
      <c r="Z348" s="807">
        <f t="shared" si="166"/>
        <v>-7.9105938674428611E-3</v>
      </c>
    </row>
    <row r="349" spans="1:26" ht="20.100000000000001" customHeight="1" x14ac:dyDescent="0.2">
      <c r="A349" s="776">
        <f t="shared" si="154"/>
        <v>533</v>
      </c>
      <c r="B349" s="824">
        <v>42766</v>
      </c>
      <c r="C349" s="835">
        <v>2278.87</v>
      </c>
      <c r="D349" s="792">
        <f t="shared" ref="D349:D363" si="167">(C349-C348)/C348</f>
        <v>-8.8999956157665837E-4</v>
      </c>
      <c r="E349" s="826">
        <f t="shared" si="150"/>
        <v>8.3916782405205295E-2</v>
      </c>
      <c r="F349" s="827">
        <v>5614.78</v>
      </c>
      <c r="G349" s="792">
        <f t="shared" si="161"/>
        <v>1.9060478720840743E-4</v>
      </c>
      <c r="H349" s="828">
        <f t="shared" si="151"/>
        <v>0.10273189700885754</v>
      </c>
      <c r="I349" s="838">
        <v>326440.17</v>
      </c>
      <c r="J349" s="830">
        <v>300000</v>
      </c>
      <c r="K349" s="830">
        <f t="shared" si="152"/>
        <v>3348.6499999999651</v>
      </c>
      <c r="L349" s="792">
        <f t="shared" si="155"/>
        <v>1.0364400774121107E-2</v>
      </c>
      <c r="M349" s="836">
        <f t="shared" si="163"/>
        <v>26440.169999999984</v>
      </c>
      <c r="N349" s="832">
        <f t="shared" si="149"/>
        <v>8.8133899999999946E-2</v>
      </c>
      <c r="O349" s="786">
        <f t="shared" si="159"/>
        <v>6.039569788930578E-2</v>
      </c>
      <c r="P349" s="831" t="b">
        <f t="shared" si="153"/>
        <v>1</v>
      </c>
      <c r="Q349" s="832">
        <f>COUNTIF(P$2:P349, TRUE)/(COUNTIF(P$2:P349,FALSE) + COUNTIF(P$2:P349, TRUE))</f>
        <v>0.4942528735632184</v>
      </c>
      <c r="R349" s="830">
        <v>269996.05</v>
      </c>
      <c r="S349" s="830">
        <f t="shared" si="160"/>
        <v>56444.119999999995</v>
      </c>
      <c r="T349" s="830">
        <v>-28046</v>
      </c>
      <c r="U349" s="830">
        <f t="shared" ref="U349:U361" si="168">M349-T349</f>
        <v>54486.169999999984</v>
      </c>
      <c r="V349" s="832">
        <f>STDEV(D$2:D349)*SQRT(252)</f>
        <v>0.16126032344317026</v>
      </c>
      <c r="W349" s="832">
        <f>STDEV(L$2:L349)*SQRT(252)</f>
        <v>0.34986792755966306</v>
      </c>
      <c r="X349" s="801">
        <f t="shared" si="164"/>
        <v>0.35660244171135069</v>
      </c>
      <c r="Y349" s="801">
        <f t="shared" si="165"/>
        <v>0.17262427656792431</v>
      </c>
      <c r="Z349" s="807">
        <f t="shared" si="166"/>
        <v>4.2171175947946504E-3</v>
      </c>
    </row>
    <row r="350" spans="1:26" ht="20.100000000000001" customHeight="1" x14ac:dyDescent="0.2">
      <c r="A350" s="776">
        <f t="shared" si="154"/>
        <v>534</v>
      </c>
      <c r="B350" s="824">
        <v>42767</v>
      </c>
      <c r="C350" s="835">
        <v>2279.5500000000002</v>
      </c>
      <c r="D350" s="792">
        <f t="shared" si="167"/>
        <v>2.9839350204280678E-4</v>
      </c>
      <c r="E350" s="826">
        <f t="shared" si="150"/>
        <v>8.4240216129830167E-2</v>
      </c>
      <c r="F350" s="827">
        <v>5642.65</v>
      </c>
      <c r="G350" s="792">
        <f t="shared" si="161"/>
        <v>4.9636851310291569E-3</v>
      </c>
      <c r="H350" s="828">
        <f t="shared" si="151"/>
        <v>0.10820551092955198</v>
      </c>
      <c r="I350" s="837">
        <v>325798.71999999997</v>
      </c>
      <c r="J350" s="830">
        <v>300000</v>
      </c>
      <c r="K350" s="830">
        <f t="shared" si="152"/>
        <v>-641.45000000001164</v>
      </c>
      <c r="L350" s="792">
        <f t="shared" si="155"/>
        <v>-1.9649848852854464E-3</v>
      </c>
      <c r="M350" s="839">
        <f t="shared" si="163"/>
        <v>25798.719999999972</v>
      </c>
      <c r="N350" s="832">
        <f t="shared" ref="N350:N361" si="169">M350/J350</f>
        <v>8.5995733333333241E-2</v>
      </c>
      <c r="O350" s="786">
        <f t="shared" si="159"/>
        <v>5.8820115355805183E-2</v>
      </c>
      <c r="P350" s="831" t="b">
        <f t="shared" si="153"/>
        <v>0</v>
      </c>
      <c r="Q350" s="832">
        <f>COUNTIF(P$2:P350, TRUE)/(COUNTIF(P$2:P350,FALSE) + COUNTIF(P$2:P350, TRUE))</f>
        <v>0.49283667621776506</v>
      </c>
      <c r="R350" s="830">
        <v>267944.34999999998</v>
      </c>
      <c r="S350" s="830">
        <f t="shared" si="160"/>
        <v>57854.369999999995</v>
      </c>
      <c r="T350" s="830">
        <v>-28725</v>
      </c>
      <c r="U350" s="830">
        <f t="shared" si="168"/>
        <v>54523.719999999972</v>
      </c>
      <c r="V350" s="832">
        <f>STDEV(D$2:D350)*SQRT(252)</f>
        <v>0.1610277927077004</v>
      </c>
      <c r="W350" s="832">
        <f>STDEV(L$2:L350)*SQRT(252)</f>
        <v>0.34937088827322704</v>
      </c>
      <c r="X350" s="801">
        <f t="shared" si="164"/>
        <v>0.35782246247461669</v>
      </c>
      <c r="Y350" s="801">
        <f t="shared" si="165"/>
        <v>0.16836009332810997</v>
      </c>
      <c r="Z350" s="807">
        <f t="shared" si="166"/>
        <v>1.7555172035030736E-3</v>
      </c>
    </row>
    <row r="351" spans="1:26" ht="20.100000000000001" customHeight="1" x14ac:dyDescent="0.2">
      <c r="A351" s="776">
        <f t="shared" si="154"/>
        <v>535</v>
      </c>
      <c r="B351" s="824">
        <v>42768</v>
      </c>
      <c r="C351" s="835">
        <v>2280.85</v>
      </c>
      <c r="D351" s="792">
        <f t="shared" si="167"/>
        <v>5.7028799543757628E-4</v>
      </c>
      <c r="E351" s="826">
        <f t="shared" si="150"/>
        <v>8.4858545309259639E-2</v>
      </c>
      <c r="F351" s="827">
        <v>5636.19</v>
      </c>
      <c r="G351" s="792">
        <f t="shared" si="161"/>
        <v>-1.1448521528005524E-3</v>
      </c>
      <c r="H351" s="828">
        <f t="shared" si="151"/>
        <v>0.10693677946461885</v>
      </c>
      <c r="I351" s="837">
        <v>326587.24</v>
      </c>
      <c r="J351" s="830">
        <v>300000</v>
      </c>
      <c r="K351" s="830">
        <f t="shared" si="152"/>
        <v>788.52000000001863</v>
      </c>
      <c r="L351" s="792">
        <f t="shared" si="155"/>
        <v>2.4202673356114434E-3</v>
      </c>
      <c r="M351" s="839">
        <f t="shared" si="163"/>
        <v>26587.239999999991</v>
      </c>
      <c r="N351" s="832">
        <f t="shared" si="169"/>
        <v>8.8624133333333299E-2</v>
      </c>
      <c r="O351" s="786">
        <f t="shared" si="159"/>
        <v>6.0504606915887826E-2</v>
      </c>
      <c r="P351" s="831" t="b">
        <f t="shared" si="153"/>
        <v>1</v>
      </c>
      <c r="Q351" s="832">
        <f>COUNTIF(P$2:P351, TRUE)/(COUNTIF(P$2:P351,FALSE) + COUNTIF(P$2:P351, TRUE))</f>
        <v>0.49428571428571427</v>
      </c>
      <c r="R351" s="830">
        <v>272398.15000000002</v>
      </c>
      <c r="S351" s="830">
        <f t="shared" si="160"/>
        <v>54189.089999999967</v>
      </c>
      <c r="T351" s="830">
        <v>-29233</v>
      </c>
      <c r="U351" s="830">
        <f t="shared" si="168"/>
        <v>55820.239999999991</v>
      </c>
      <c r="V351" s="832">
        <f>STDEV(D$2:D351)*SQRT(252)</f>
        <v>0.16079644900185747</v>
      </c>
      <c r="W351" s="832">
        <f>STDEV(L$2:L351)*SQRT(252)</f>
        <v>0.34887158546682562</v>
      </c>
      <c r="X351" s="801">
        <f t="shared" si="164"/>
        <v>0.36029279016933341</v>
      </c>
      <c r="Y351" s="801">
        <f t="shared" si="165"/>
        <v>0.17342944921962195</v>
      </c>
      <c r="Z351" s="807">
        <f t="shared" si="166"/>
        <v>3.76558802407366E-3</v>
      </c>
    </row>
    <row r="352" spans="1:26" ht="20.100000000000001" customHeight="1" x14ac:dyDescent="0.2">
      <c r="A352" s="776">
        <f t="shared" si="154"/>
        <v>536</v>
      </c>
      <c r="B352" s="824">
        <v>42769</v>
      </c>
      <c r="C352" s="835">
        <v>2297.42</v>
      </c>
      <c r="D352" s="792">
        <f t="shared" si="167"/>
        <v>7.2648354780016945E-3</v>
      </c>
      <c r="E352" s="826">
        <f t="shared" ref="E352:E361" si="170">(C352-$C$2)/$C$2</f>
        <v>9.2739864157835666E-2</v>
      </c>
      <c r="F352" s="827">
        <v>5666.76</v>
      </c>
      <c r="G352" s="792">
        <f t="shared" si="161"/>
        <v>5.4238767678166672E-3</v>
      </c>
      <c r="H352" s="828">
        <f t="shared" ref="H352:H361" si="171">(F352-F$2)/F$2</f>
        <v>0.1129406681461988</v>
      </c>
      <c r="I352" s="837">
        <v>330217.57</v>
      </c>
      <c r="J352" s="830">
        <v>300000</v>
      </c>
      <c r="K352" s="830">
        <f t="shared" ref="K352:K361" si="172">I352-I351-J352+J351</f>
        <v>3630.3300000000163</v>
      </c>
      <c r="L352" s="792">
        <f t="shared" si="155"/>
        <v>1.1115957867796723E-2</v>
      </c>
      <c r="M352" s="839">
        <f t="shared" si="163"/>
        <v>30217.570000000007</v>
      </c>
      <c r="N352" s="832">
        <f t="shared" si="169"/>
        <v>0.10072523333333336</v>
      </c>
      <c r="O352" s="786">
        <f t="shared" si="159"/>
        <v>6.8637857229477628E-2</v>
      </c>
      <c r="P352" s="831" t="b">
        <f t="shared" ref="P352:P361" si="173">L352&gt;D352</f>
        <v>1</v>
      </c>
      <c r="Q352" s="832">
        <f>COUNTIF(P$2:P352, TRUE)/(COUNTIF(P$2:P352,FALSE) + COUNTIF(P$2:P352, TRUE))</f>
        <v>0.49572649572649574</v>
      </c>
      <c r="R352" s="830">
        <v>260496.3</v>
      </c>
      <c r="S352" s="830">
        <f t="shared" si="160"/>
        <v>69721.270000000019</v>
      </c>
      <c r="T352" s="830">
        <v>-28712</v>
      </c>
      <c r="U352" s="830">
        <f t="shared" si="168"/>
        <v>58929.570000000007</v>
      </c>
      <c r="V352" s="832">
        <f>STDEV(D$2:D352)*SQRT(252)</f>
        <v>0.16067512606366424</v>
      </c>
      <c r="W352" s="832">
        <f>STDEV(L$2:L352)*SQRT(252)</f>
        <v>0.34848319217701207</v>
      </c>
      <c r="X352" s="801">
        <f t="shared" si="164"/>
        <v>0.3933174737074584</v>
      </c>
      <c r="Y352" s="801">
        <f t="shared" si="165"/>
        <v>0.19696174383817347</v>
      </c>
      <c r="Z352" s="807">
        <f t="shared" si="166"/>
        <v>7.9853691754976919E-3</v>
      </c>
    </row>
    <row r="353" spans="1:26" ht="20.100000000000001" customHeight="1" x14ac:dyDescent="0.2">
      <c r="A353" s="776">
        <f t="shared" si="154"/>
        <v>539</v>
      </c>
      <c r="B353" s="795">
        <v>42772</v>
      </c>
      <c r="C353" s="820">
        <v>2292.56</v>
      </c>
      <c r="D353" s="792">
        <f t="shared" si="167"/>
        <v>-2.115416423640487E-3</v>
      </c>
      <c r="E353" s="819">
        <f t="shared" si="170"/>
        <v>9.0428264302429506E-2</v>
      </c>
      <c r="F353" s="816">
        <v>5663.55</v>
      </c>
      <c r="G353" s="792">
        <f t="shared" si="161"/>
        <v>-5.6646125828516407E-4</v>
      </c>
      <c r="H353" s="797">
        <f t="shared" si="171"/>
        <v>0.11231023037492398</v>
      </c>
      <c r="I353" s="799">
        <v>324431.87</v>
      </c>
      <c r="J353" s="800">
        <v>300000</v>
      </c>
      <c r="K353" s="800">
        <f t="shared" si="172"/>
        <v>-5785.7000000000116</v>
      </c>
      <c r="L353" s="792">
        <f t="shared" si="155"/>
        <v>-1.7520872677974135E-2</v>
      </c>
      <c r="M353" s="817">
        <f t="shared" si="163"/>
        <v>24431.869999999995</v>
      </c>
      <c r="N353" s="802">
        <f t="shared" si="169"/>
        <v>8.1439566666666657E-2</v>
      </c>
      <c r="O353" s="786">
        <f t="shared" si="159"/>
        <v>5.5187016187384037E-2</v>
      </c>
      <c r="P353" s="817" t="b">
        <f t="shared" si="173"/>
        <v>0</v>
      </c>
      <c r="Q353" s="802">
        <f>COUNTIF(P$2:P353, TRUE)/(COUNTIF(P$2:P353,FALSE) + COUNTIF(P$2:P353, TRUE))</f>
        <v>0.49431818181818182</v>
      </c>
      <c r="R353" s="800">
        <v>275813.84999999998</v>
      </c>
      <c r="S353" s="800">
        <f t="shared" si="160"/>
        <v>48618.020000000019</v>
      </c>
      <c r="T353" s="800">
        <v>-29700</v>
      </c>
      <c r="U353" s="800">
        <f t="shared" si="168"/>
        <v>54131.869999999995</v>
      </c>
      <c r="V353" s="802">
        <f>STDEV(D$2:D353)*SQRT(252)</f>
        <v>0.16045852618505879</v>
      </c>
      <c r="W353" s="802">
        <f>STDEV(L$2:L353)*SQRT(252)</f>
        <v>0.34832898633424447</v>
      </c>
      <c r="X353" s="801">
        <f t="shared" si="164"/>
        <v>0.38189401791533517</v>
      </c>
      <c r="Y353" s="801">
        <f t="shared" si="165"/>
        <v>0.15843360257830646</v>
      </c>
      <c r="Z353" s="807">
        <f t="shared" si="166"/>
        <v>-8.988697635762849E-3</v>
      </c>
    </row>
    <row r="354" spans="1:26" ht="20.100000000000001" customHeight="1" x14ac:dyDescent="0.2">
      <c r="A354" s="776">
        <f t="shared" si="154"/>
        <v>540</v>
      </c>
      <c r="B354" s="795">
        <v>42773</v>
      </c>
      <c r="C354" s="820">
        <v>2293.08</v>
      </c>
      <c r="D354" s="792">
        <f t="shared" si="167"/>
        <v>2.2682067208709122E-4</v>
      </c>
      <c r="E354" s="819">
        <f t="shared" si="170"/>
        <v>9.0675595974201342E-2</v>
      </c>
      <c r="F354" s="816">
        <v>5674.21</v>
      </c>
      <c r="G354" s="792">
        <f t="shared" si="161"/>
        <v>1.8822116870160683E-3</v>
      </c>
      <c r="H354" s="797">
        <f t="shared" si="171"/>
        <v>0.11440383369012319</v>
      </c>
      <c r="I354" s="799">
        <v>321983.64</v>
      </c>
      <c r="J354" s="800">
        <v>300000</v>
      </c>
      <c r="K354" s="800">
        <f t="shared" si="172"/>
        <v>-2448.2299999999814</v>
      </c>
      <c r="L354" s="792">
        <f t="shared" si="155"/>
        <v>-7.5462068507634022E-3</v>
      </c>
      <c r="M354" s="817">
        <f t="shared" si="163"/>
        <v>21983.640000000014</v>
      </c>
      <c r="N354" s="802">
        <f t="shared" si="169"/>
        <v>7.3278800000000047E-2</v>
      </c>
      <c r="O354" s="786">
        <f t="shared" si="159"/>
        <v>4.9564966111111143E-2</v>
      </c>
      <c r="P354" s="817" t="b">
        <f t="shared" si="173"/>
        <v>0</v>
      </c>
      <c r="Q354" s="802">
        <f>COUNTIF(P$2:P354, TRUE)/(COUNTIF(P$2:P354,FALSE) + COUNTIF(P$2:P354, TRUE))</f>
        <v>0.49291784702549574</v>
      </c>
      <c r="R354" s="800">
        <v>303519</v>
      </c>
      <c r="S354" s="800">
        <f t="shared" si="160"/>
        <v>18464.640000000014</v>
      </c>
      <c r="T354" s="800">
        <v>-29290</v>
      </c>
      <c r="U354" s="800">
        <f t="shared" si="168"/>
        <v>51273.640000000014</v>
      </c>
      <c r="V354" s="802">
        <f>STDEV(D$2:D354)*SQRT(252)</f>
        <v>0.16022980090956176</v>
      </c>
      <c r="W354" s="802">
        <f>STDEV(L$2:L354)*SQRT(252)</f>
        <v>0.34790227833602405</v>
      </c>
      <c r="X354" s="801">
        <f t="shared" si="164"/>
        <v>0.38277502226283955</v>
      </c>
      <c r="Y354" s="801">
        <f t="shared" si="165"/>
        <v>0.14246806990794825</v>
      </c>
      <c r="Z354" s="807">
        <f t="shared" si="166"/>
        <v>-1.7396795974201296E-2</v>
      </c>
    </row>
    <row r="355" spans="1:26" ht="20.100000000000001" customHeight="1" x14ac:dyDescent="0.2">
      <c r="A355" s="776">
        <f t="shared" si="154"/>
        <v>541</v>
      </c>
      <c r="B355" s="795">
        <v>42774</v>
      </c>
      <c r="C355" s="820">
        <v>2294.67</v>
      </c>
      <c r="D355" s="792">
        <f t="shared" si="167"/>
        <v>6.9339054895605282E-4</v>
      </c>
      <c r="E355" s="819">
        <f t="shared" si="170"/>
        <v>9.1431860124426861E-2</v>
      </c>
      <c r="F355" s="816">
        <v>5682.45</v>
      </c>
      <c r="G355" s="792">
        <f t="shared" si="161"/>
        <v>1.4521845331772673E-3</v>
      </c>
      <c r="H355" s="797">
        <f t="shared" si="171"/>
        <v>0.11602215370112144</v>
      </c>
      <c r="I355" s="799">
        <v>320220.33</v>
      </c>
      <c r="J355" s="800">
        <v>300000</v>
      </c>
      <c r="K355" s="800">
        <f t="shared" si="172"/>
        <v>-1763.3099999999977</v>
      </c>
      <c r="L355" s="792">
        <f t="shared" si="155"/>
        <v>-5.4763962541699253E-3</v>
      </c>
      <c r="M355" s="817">
        <f t="shared" si="163"/>
        <v>20220.330000000016</v>
      </c>
      <c r="N355" s="802">
        <f t="shared" si="169"/>
        <v>6.7401100000000061E-2</v>
      </c>
      <c r="O355" s="786">
        <f t="shared" si="159"/>
        <v>4.5505086460258824E-2</v>
      </c>
      <c r="P355" s="817" t="b">
        <f t="shared" si="173"/>
        <v>0</v>
      </c>
      <c r="Q355" s="802">
        <f>COUNTIF(P$2:P355, TRUE)/(COUNTIF(P$2:P355,FALSE) + COUNTIF(P$2:P355, TRUE))</f>
        <v>0.49152542372881358</v>
      </c>
      <c r="R355" s="800">
        <v>292567</v>
      </c>
      <c r="S355" s="800">
        <f t="shared" si="160"/>
        <v>27653.330000000016</v>
      </c>
      <c r="T355" s="800">
        <v>-30165</v>
      </c>
      <c r="U355" s="800">
        <f t="shared" si="168"/>
        <v>50385.330000000016</v>
      </c>
      <c r="V355" s="802">
        <f>STDEV(D$2:D355)*SQRT(252)</f>
        <v>0.16000238989195567</v>
      </c>
      <c r="W355" s="802">
        <f>STDEV(L$2:L355)*SQRT(252)</f>
        <v>0.34744654612529025</v>
      </c>
      <c r="X355" s="801">
        <f t="shared" si="164"/>
        <v>0.38580161847693056</v>
      </c>
      <c r="Y355" s="801">
        <f t="shared" si="165"/>
        <v>0.13097003544208369</v>
      </c>
      <c r="Z355" s="807">
        <f t="shared" si="166"/>
        <v>-2.40307601244268E-2</v>
      </c>
    </row>
    <row r="356" spans="1:26" ht="20.100000000000001" customHeight="1" x14ac:dyDescent="0.2">
      <c r="A356" s="776">
        <f t="shared" si="154"/>
        <v>542</v>
      </c>
      <c r="B356" s="795">
        <v>42775</v>
      </c>
      <c r="C356" s="820">
        <v>2307.87</v>
      </c>
      <c r="D356" s="792">
        <f t="shared" si="167"/>
        <v>5.7524611382027994E-3</v>
      </c>
      <c r="E356" s="819">
        <f t="shared" si="170"/>
        <v>9.7710279484789025E-2</v>
      </c>
      <c r="F356" s="816">
        <v>5715.18</v>
      </c>
      <c r="G356" s="792">
        <f t="shared" si="161"/>
        <v>5.7598395058470336E-3</v>
      </c>
      <c r="H356" s="797">
        <f t="shared" si="171"/>
        <v>0.12245026219140964</v>
      </c>
      <c r="I356" s="799">
        <v>320817.13</v>
      </c>
      <c r="J356" s="800">
        <v>300000</v>
      </c>
      <c r="K356" s="800">
        <f t="shared" si="172"/>
        <v>596.79999999998836</v>
      </c>
      <c r="L356" s="792">
        <f t="shared" si="155"/>
        <v>1.8637167727607686E-3</v>
      </c>
      <c r="M356" s="817">
        <f t="shared" si="163"/>
        <v>20817.130000000005</v>
      </c>
      <c r="N356" s="802">
        <f t="shared" si="169"/>
        <v>6.9390433333333348E-2</v>
      </c>
      <c r="O356" s="786">
        <f t="shared" si="159"/>
        <v>4.676172652214023E-2</v>
      </c>
      <c r="P356" s="817" t="b">
        <f t="shared" si="173"/>
        <v>0</v>
      </c>
      <c r="Q356" s="802">
        <f>COUNTIF(P$2:P356, TRUE)/(COUNTIF(P$2:P356,FALSE) + COUNTIF(P$2:P356, TRUE))</f>
        <v>0.49014084507042255</v>
      </c>
      <c r="R356" s="800">
        <v>304352.8</v>
      </c>
      <c r="S356" s="800">
        <f t="shared" si="160"/>
        <v>16464.330000000016</v>
      </c>
      <c r="T356" s="800">
        <v>-31263</v>
      </c>
      <c r="U356" s="800">
        <f t="shared" si="168"/>
        <v>52080.130000000005</v>
      </c>
      <c r="V356" s="802">
        <f>STDEV(D$2:D356)*SQRT(252)</f>
        <v>0.15984184975435473</v>
      </c>
      <c r="W356" s="802">
        <f>STDEV(L$2:L356)*SQRT(252)</f>
        <v>0.34695557071098138</v>
      </c>
      <c r="X356" s="801">
        <f t="shared" si="164"/>
        <v>0.41194638570794817</v>
      </c>
      <c r="Y356" s="801">
        <f t="shared" si="165"/>
        <v>0.13477727544860021</v>
      </c>
      <c r="Z356" s="807">
        <f t="shared" si="166"/>
        <v>-2.8319846151455677E-2</v>
      </c>
    </row>
    <row r="357" spans="1:26" ht="20.100000000000001" customHeight="1" x14ac:dyDescent="0.2">
      <c r="A357" s="776">
        <f t="shared" si="154"/>
        <v>543</v>
      </c>
      <c r="B357" s="795">
        <v>42776</v>
      </c>
      <c r="C357" s="820">
        <v>2316.1</v>
      </c>
      <c r="D357" s="792">
        <f t="shared" si="167"/>
        <v>3.566058746809837E-3</v>
      </c>
      <c r="E357" s="819">
        <f t="shared" si="170"/>
        <v>0.10162477882840883</v>
      </c>
      <c r="F357" s="816">
        <v>5734.12</v>
      </c>
      <c r="G357" s="792">
        <f t="shared" si="161"/>
        <v>3.3139813619167896E-3</v>
      </c>
      <c r="H357" s="797">
        <f t="shared" si="171"/>
        <v>0.12617004143999058</v>
      </c>
      <c r="I357" s="799">
        <v>324003.01</v>
      </c>
      <c r="J357" s="800">
        <v>300000</v>
      </c>
      <c r="K357" s="800">
        <f t="shared" si="172"/>
        <v>3185.8800000000047</v>
      </c>
      <c r="L357" s="792">
        <f t="shared" si="155"/>
        <v>9.9305171142201939E-3</v>
      </c>
      <c r="M357" s="817">
        <f t="shared" si="163"/>
        <v>24003.010000000009</v>
      </c>
      <c r="N357" s="802">
        <f t="shared" si="169"/>
        <v>8.0010033333333369E-2</v>
      </c>
      <c r="O357" s="786">
        <f t="shared" si="159"/>
        <v>5.3818903637200759E-2</v>
      </c>
      <c r="P357" s="817" t="b">
        <f t="shared" si="173"/>
        <v>1</v>
      </c>
      <c r="Q357" s="802">
        <f>COUNTIF(P$2:P357, TRUE)/(COUNTIF(P$2:P357,FALSE) + COUNTIF(P$2:P357, TRUE))</f>
        <v>0.49157303370786515</v>
      </c>
      <c r="R357" s="800">
        <v>304805.15000000002</v>
      </c>
      <c r="S357" s="800">
        <f t="shared" si="160"/>
        <v>19197.859999999986</v>
      </c>
      <c r="T357" s="800">
        <v>-29099</v>
      </c>
      <c r="U357" s="800">
        <f t="shared" si="168"/>
        <v>53102.010000000009</v>
      </c>
      <c r="V357" s="802">
        <f>STDEV(D$2:D357)*SQRT(252)</f>
        <v>0.15963944268127239</v>
      </c>
      <c r="W357" s="802">
        <f>STDEV(L$2:L357)*SQRT(252)</f>
        <v>0.34655330158164083</v>
      </c>
      <c r="X357" s="801">
        <f t="shared" si="164"/>
        <v>0.42820309844987747</v>
      </c>
      <c r="Y357" s="801">
        <f t="shared" si="165"/>
        <v>0.15529762201536013</v>
      </c>
      <c r="Z357" s="807">
        <f t="shared" si="166"/>
        <v>-2.1614745495075458E-2</v>
      </c>
    </row>
    <row r="358" spans="1:26" ht="20.100000000000001" customHeight="1" x14ac:dyDescent="0.2">
      <c r="A358" s="776">
        <f t="shared" si="154"/>
        <v>546</v>
      </c>
      <c r="B358" s="824">
        <v>42779</v>
      </c>
      <c r="C358" s="835">
        <v>2328.25</v>
      </c>
      <c r="D358" s="792">
        <f t="shared" si="167"/>
        <v>5.2458874832693285E-3</v>
      </c>
      <c r="E358" s="826">
        <f t="shared" si="170"/>
        <v>0.10740377846692412</v>
      </c>
      <c r="F358" s="827">
        <v>5763.95</v>
      </c>
      <c r="G358" s="792">
        <f t="shared" si="161"/>
        <v>5.2021931874463613E-3</v>
      </c>
      <c r="H358" s="828">
        <f t="shared" si="171"/>
        <v>0.1320285955574759</v>
      </c>
      <c r="I358" s="837">
        <v>323021.71000000002</v>
      </c>
      <c r="J358" s="830">
        <v>300000</v>
      </c>
      <c r="K358" s="830">
        <f t="shared" si="172"/>
        <v>-981.29999999998836</v>
      </c>
      <c r="L358" s="792">
        <f t="shared" si="155"/>
        <v>-3.0286755669337402E-3</v>
      </c>
      <c r="M358" s="839">
        <f t="shared" si="163"/>
        <v>23021.710000000021</v>
      </c>
      <c r="N358" s="832">
        <f t="shared" si="169"/>
        <v>7.6739033333333401E-2</v>
      </c>
      <c r="O358" s="786">
        <f t="shared" si="159"/>
        <v>5.1335040155677705E-2</v>
      </c>
      <c r="P358" s="831" t="b">
        <f t="shared" si="173"/>
        <v>0</v>
      </c>
      <c r="Q358" s="832">
        <f>COUNTIF(P$2:P358, TRUE)/(COUNTIF(P$2:P358,FALSE) + COUNTIF(P$2:P358, TRUE))</f>
        <v>0.49019607843137253</v>
      </c>
      <c r="R358" s="830">
        <v>303829.84999999998</v>
      </c>
      <c r="S358" s="830">
        <f t="shared" si="160"/>
        <v>19191.860000000044</v>
      </c>
      <c r="T358" s="830">
        <v>-28482</v>
      </c>
      <c r="U358" s="830">
        <f t="shared" si="168"/>
        <v>51503.710000000021</v>
      </c>
      <c r="V358" s="832">
        <f>STDEV(D$2:D358)*SQRT(252)</f>
        <v>0.15946823741298166</v>
      </c>
      <c r="W358" s="832">
        <f>STDEV(L$2:L358)*SQRT(252)</f>
        <v>0.34607892866590223</v>
      </c>
      <c r="X358" s="801">
        <f t="shared" si="164"/>
        <v>0.45054995223340955</v>
      </c>
      <c r="Y358" s="801">
        <f t="shared" si="165"/>
        <v>0.14833333064676568</v>
      </c>
      <c r="Z358" s="807">
        <f t="shared" si="166"/>
        <v>-3.0664745133590715E-2</v>
      </c>
    </row>
    <row r="359" spans="1:26" ht="20.100000000000001" customHeight="1" x14ac:dyDescent="0.2">
      <c r="A359" s="776">
        <f t="shared" si="154"/>
        <v>547</v>
      </c>
      <c r="B359" s="824">
        <v>42780</v>
      </c>
      <c r="C359" s="835">
        <v>2337.58</v>
      </c>
      <c r="D359" s="792">
        <f t="shared" si="167"/>
        <v>4.0073016213894247E-3</v>
      </c>
      <c r="E359" s="826">
        <f t="shared" si="170"/>
        <v>0.1118414794239074</v>
      </c>
      <c r="F359" s="827">
        <v>5782.57</v>
      </c>
      <c r="G359" s="792">
        <f>(F359-F358)/F358</f>
        <v>3.2304235810511699E-3</v>
      </c>
      <c r="H359" s="828">
        <f t="shared" si="171"/>
        <v>0.135685527426989</v>
      </c>
      <c r="I359" s="837">
        <v>323822.24</v>
      </c>
      <c r="J359" s="830">
        <v>300000</v>
      </c>
      <c r="K359" s="830">
        <f t="shared" si="172"/>
        <v>800.52999999996973</v>
      </c>
      <c r="L359" s="792">
        <f t="shared" si="155"/>
        <v>2.4782544801709139E-3</v>
      </c>
      <c r="M359" s="839">
        <f t="shared" si="163"/>
        <v>23822.239999999991</v>
      </c>
      <c r="N359" s="832">
        <f t="shared" si="169"/>
        <v>7.9407466666666635E-2</v>
      </c>
      <c r="O359" s="786">
        <f t="shared" si="159"/>
        <v>5.3022993053016436E-2</v>
      </c>
      <c r="P359" s="831" t="b">
        <f t="shared" si="173"/>
        <v>0</v>
      </c>
      <c r="Q359" s="832">
        <f>COUNTIF(P$2:P359, TRUE)/(COUNTIF(P$2:P359,FALSE) + COUNTIF(P$2:P359, TRUE))</f>
        <v>0.48882681564245811</v>
      </c>
      <c r="R359" s="830">
        <v>305870.8</v>
      </c>
      <c r="S359" s="830">
        <f t="shared" si="160"/>
        <v>17951.440000000002</v>
      </c>
      <c r="T359" s="830">
        <v>-29398</v>
      </c>
      <c r="U359" s="830">
        <f t="shared" si="168"/>
        <v>53220.239999999991</v>
      </c>
      <c r="V359" s="832">
        <f>STDEV(D$2:D359)*SQRT(252)</f>
        <v>0.15927396470902513</v>
      </c>
      <c r="W359" s="832">
        <f>STDEV(L$2:L359)*SQRT(252)</f>
        <v>0.34559585796203202</v>
      </c>
      <c r="X359" s="801">
        <f t="shared" si="164"/>
        <v>0.46887924674508236</v>
      </c>
      <c r="Y359" s="801">
        <f t="shared" si="165"/>
        <v>0.15342485111277482</v>
      </c>
      <c r="Z359" s="807">
        <f t="shared" si="166"/>
        <v>-3.2434012757240768E-2</v>
      </c>
    </row>
    <row r="360" spans="1:26" ht="20.100000000000001" customHeight="1" x14ac:dyDescent="0.2">
      <c r="A360" s="776">
        <f t="shared" si="154"/>
        <v>548</v>
      </c>
      <c r="B360" s="824">
        <v>42781</v>
      </c>
      <c r="C360" s="835">
        <v>2349.25</v>
      </c>
      <c r="D360" s="792">
        <f t="shared" si="167"/>
        <v>4.9923425080639263E-3</v>
      </c>
      <c r="E360" s="826">
        <f t="shared" si="170"/>
        <v>0.11739217290386406</v>
      </c>
      <c r="F360" s="827">
        <v>5819.44</v>
      </c>
      <c r="G360" s="792">
        <f t="shared" ref="G360:G367" si="174">(F360-F359)/F359</f>
        <v>6.376057704446274E-3</v>
      </c>
      <c r="H360" s="828">
        <f t="shared" si="171"/>
        <v>0.14292672388396799</v>
      </c>
      <c r="I360" s="837">
        <v>324896.15000000002</v>
      </c>
      <c r="J360" s="830">
        <v>300000</v>
      </c>
      <c r="K360" s="830">
        <f t="shared" si="172"/>
        <v>1073.9100000000326</v>
      </c>
      <c r="L360" s="792">
        <f t="shared" si="155"/>
        <v>3.3163565294342741E-3</v>
      </c>
      <c r="M360" s="839">
        <f t="shared" si="163"/>
        <v>24896.150000000023</v>
      </c>
      <c r="N360" s="832">
        <f t="shared" si="169"/>
        <v>8.2987166666666751E-2</v>
      </c>
      <c r="O360" s="786">
        <f t="shared" si="159"/>
        <v>5.5312158074817569E-2</v>
      </c>
      <c r="P360" s="831" t="b">
        <f t="shared" si="173"/>
        <v>0</v>
      </c>
      <c r="Q360" s="832">
        <f>COUNTIF(P$2:P360, TRUE)/(COUNTIF(P$2:P360,FALSE) + COUNTIF(P$2:P360, TRUE))</f>
        <v>0.48746518105849584</v>
      </c>
      <c r="R360" s="830">
        <v>284558.05</v>
      </c>
      <c r="S360" s="830">
        <f t="shared" si="160"/>
        <v>40338.100000000035</v>
      </c>
      <c r="T360" s="830">
        <v>-27681</v>
      </c>
      <c r="U360" s="830">
        <f t="shared" si="168"/>
        <v>52577.150000000023</v>
      </c>
      <c r="V360" s="832">
        <f>STDEV(D$2:D360)*SQRT(252)</f>
        <v>0.15909847799191273</v>
      </c>
      <c r="W360" s="832">
        <f>STDEV(L$2:L360)*SQRT(252)</f>
        <v>0.34511860211054446</v>
      </c>
      <c r="X360" s="801">
        <f t="shared" si="164"/>
        <v>0.49179349785327053</v>
      </c>
      <c r="Y360" s="801">
        <f t="shared" si="165"/>
        <v>0.16026999917292378</v>
      </c>
      <c r="Z360" s="807">
        <f t="shared" si="166"/>
        <v>-3.4405006237197305E-2</v>
      </c>
    </row>
    <row r="361" spans="1:26" ht="20.100000000000001" customHeight="1" x14ac:dyDescent="0.2">
      <c r="A361" s="776">
        <f t="shared" si="154"/>
        <v>549</v>
      </c>
      <c r="B361" s="824">
        <v>42782</v>
      </c>
      <c r="C361" s="835">
        <v>2347.2199999999998</v>
      </c>
      <c r="D361" s="792">
        <f t="shared" si="167"/>
        <v>-8.6410556560612964E-4</v>
      </c>
      <c r="E361" s="826">
        <f t="shared" si="170"/>
        <v>0.1164266281082931</v>
      </c>
      <c r="F361" s="827">
        <v>5814.9</v>
      </c>
      <c r="G361" s="792">
        <f t="shared" si="174"/>
        <v>-7.8014379390456195E-4</v>
      </c>
      <c r="H361" s="828">
        <f t="shared" si="171"/>
        <v>0.14203507669344223</v>
      </c>
      <c r="I361" s="837">
        <v>324092.39</v>
      </c>
      <c r="J361" s="830">
        <v>300000</v>
      </c>
      <c r="K361" s="830">
        <f t="shared" si="172"/>
        <v>-803.76000000000931</v>
      </c>
      <c r="L361" s="792">
        <f t="shared" si="155"/>
        <v>-2.4738981979318909E-3</v>
      </c>
      <c r="M361" s="839">
        <f t="shared" si="163"/>
        <v>24092.390000000014</v>
      </c>
      <c r="N361" s="832">
        <f t="shared" si="169"/>
        <v>8.0307966666666716E-2</v>
      </c>
      <c r="O361" s="786">
        <f t="shared" si="159"/>
        <v>5.3428934107468157E-2</v>
      </c>
      <c r="P361" s="831" t="b">
        <f t="shared" si="173"/>
        <v>0</v>
      </c>
      <c r="Q361" s="832">
        <f>COUNTIF(P$2:P361, TRUE)/(COUNTIF(P$2:P361,FALSE) + COUNTIF(P$2:P361, TRUE))</f>
        <v>0.4861111111111111</v>
      </c>
      <c r="R361" s="830">
        <v>276682.59999999998</v>
      </c>
      <c r="S361" s="830">
        <f t="shared" si="160"/>
        <v>47409.790000000037</v>
      </c>
      <c r="T361" s="830">
        <v>-27918</v>
      </c>
      <c r="U361" s="830">
        <f t="shared" si="168"/>
        <v>52010.390000000014</v>
      </c>
      <c r="V361" s="832">
        <f>STDEV(D$2:D361)*SQRT(252)</f>
        <v>0.15887942855924012</v>
      </c>
      <c r="W361" s="832">
        <f>STDEV(L$2:L361)*SQRT(252)</f>
        <v>0.34464640532598995</v>
      </c>
      <c r="X361" s="801">
        <f t="shared" si="164"/>
        <v>0.48753133117340131</v>
      </c>
      <c r="Y361" s="801">
        <f t="shared" si="165"/>
        <v>0.15502536304399125</v>
      </c>
      <c r="Z361" s="807">
        <f t="shared" si="166"/>
        <v>-3.6118661441626385E-2</v>
      </c>
    </row>
    <row r="362" spans="1:26" ht="20.100000000000001" customHeight="1" x14ac:dyDescent="0.2">
      <c r="A362" s="776">
        <f t="shared" si="154"/>
        <v>550</v>
      </c>
      <c r="B362" s="824">
        <v>42783</v>
      </c>
      <c r="C362" s="835">
        <v>2351.16</v>
      </c>
      <c r="D362" s="792">
        <f t="shared" si="167"/>
        <v>1.6785814708463864E-3</v>
      </c>
      <c r="E362" s="826">
        <f t="shared" ref="E362:E425" si="175">(C362-$C$2)/$C$2</f>
        <v>0.11830064115979519</v>
      </c>
      <c r="F362" s="827">
        <v>5838.57</v>
      </c>
      <c r="G362" s="792">
        <f t="shared" si="174"/>
        <v>4.0705773100139422E-3</v>
      </c>
      <c r="H362" s="828">
        <f t="shared" ref="H362:H393" si="176">(F362-F$2)/F$2</f>
        <v>0.1466838187638706</v>
      </c>
      <c r="I362" s="837">
        <v>324795.14</v>
      </c>
      <c r="J362" s="830">
        <v>300000</v>
      </c>
      <c r="K362" s="830">
        <f t="shared" ref="K362:K393" si="177">I362-I361-J362+J361</f>
        <v>702.75</v>
      </c>
      <c r="L362" s="792">
        <f t="shared" si="155"/>
        <v>2.1683631633559798E-3</v>
      </c>
      <c r="M362" s="839">
        <f t="shared" ref="M362:M425" si="178">I362-J362</f>
        <v>24795.140000000014</v>
      </c>
      <c r="N362" s="832">
        <f t="shared" ref="N362:N378" si="179">M362/J362</f>
        <v>8.2650466666666714E-2</v>
      </c>
      <c r="O362" s="786">
        <f t="shared" si="159"/>
        <v>5.4887423545454575E-2</v>
      </c>
      <c r="P362" s="831" t="b">
        <f t="shared" ref="P362:P425" si="180">L362&gt;D362</f>
        <v>1</v>
      </c>
      <c r="Q362" s="832">
        <f>COUNTIF(P$2:P362, TRUE)/(COUNTIF(P$2:P362,FALSE) + COUNTIF(P$2:P362, TRUE))</f>
        <v>0.48753462603878117</v>
      </c>
      <c r="R362" s="830">
        <v>278866.34999999998</v>
      </c>
      <c r="S362" s="830">
        <f t="shared" ref="S362:S393" si="181">I362-R362</f>
        <v>45928.790000000037</v>
      </c>
      <c r="T362" s="830">
        <v>-28366</v>
      </c>
      <c r="U362" s="830">
        <f t="shared" ref="U362:U393" si="182">M362-T362</f>
        <v>53161.140000000014</v>
      </c>
      <c r="V362" s="832">
        <f>STDEV(D$2:D362)*SQRT(252)</f>
        <v>0.15866184861852722</v>
      </c>
      <c r="W362" s="832">
        <f>STDEV(L$2:L362)*SQRT(252)</f>
        <v>0.34416833184520351</v>
      </c>
      <c r="X362" s="801">
        <f t="shared" si="164"/>
        <v>0.49515608835955494</v>
      </c>
      <c r="Y362" s="801">
        <f t="shared" si="165"/>
        <v>0.15947842513918822</v>
      </c>
      <c r="Z362" s="807">
        <f t="shared" si="166"/>
        <v>-3.5650174493128475E-2</v>
      </c>
    </row>
    <row r="363" spans="1:26" ht="20.100000000000001" customHeight="1" x14ac:dyDescent="0.2">
      <c r="A363" s="776">
        <f t="shared" si="154"/>
        <v>554</v>
      </c>
      <c r="B363" s="795">
        <v>42787</v>
      </c>
      <c r="C363" s="820">
        <v>2365.38</v>
      </c>
      <c r="D363" s="792">
        <f t="shared" si="167"/>
        <v>6.048078395345385E-3</v>
      </c>
      <c r="E363" s="819">
        <f t="shared" si="175"/>
        <v>0.12506421110709465</v>
      </c>
      <c r="F363" s="816">
        <v>5865.94</v>
      </c>
      <c r="G363" s="792">
        <f t="shared" si="174"/>
        <v>4.6877917024202662E-3</v>
      </c>
      <c r="H363" s="797">
        <f t="shared" si="176"/>
        <v>0.15205923365477145</v>
      </c>
      <c r="I363" s="799">
        <v>327591.99</v>
      </c>
      <c r="J363" s="800">
        <v>300000</v>
      </c>
      <c r="K363" s="800">
        <f t="shared" si="177"/>
        <v>2796.8499999999767</v>
      </c>
      <c r="L363" s="792">
        <f t="shared" si="155"/>
        <v>8.6111202279688555E-3</v>
      </c>
      <c r="M363" s="817">
        <f t="shared" si="178"/>
        <v>27591.989999999991</v>
      </c>
      <c r="N363" s="802">
        <f t="shared" si="179"/>
        <v>9.1973299999999966E-2</v>
      </c>
      <c r="O363" s="786">
        <f t="shared" si="159"/>
        <v>6.0637631453068573E-2</v>
      </c>
      <c r="P363" s="817" t="b">
        <f t="shared" si="180"/>
        <v>1</v>
      </c>
      <c r="Q363" s="802">
        <f>COUNTIF(P$2:P363, TRUE)/(COUNTIF(P$2:P363,FALSE) + COUNTIF(P$2:P363, TRUE))</f>
        <v>0.4889502762430939</v>
      </c>
      <c r="R363" s="800">
        <v>277216.90000000002</v>
      </c>
      <c r="S363" s="800">
        <f t="shared" si="181"/>
        <v>50375.089999999967</v>
      </c>
      <c r="T363" s="800">
        <v>-27825</v>
      </c>
      <c r="U363" s="800">
        <f t="shared" si="182"/>
        <v>55416.989999999991</v>
      </c>
      <c r="V363" s="802">
        <f>STDEV(D$2:D363)*SQRT(252)</f>
        <v>0.15851258059839493</v>
      </c>
      <c r="W363" s="802">
        <f>STDEV(L$2:L363)*SQRT(252)</f>
        <v>0.34375388760818432</v>
      </c>
      <c r="X363" s="801">
        <f t="shared" si="164"/>
        <v>0.52017535407445614</v>
      </c>
      <c r="Y363" s="801">
        <f t="shared" si="165"/>
        <v>0.17639838744801115</v>
      </c>
      <c r="Z363" s="807">
        <f t="shared" si="166"/>
        <v>-3.3090911107094681E-2</v>
      </c>
    </row>
    <row r="364" spans="1:26" ht="20.100000000000001" customHeight="1" x14ac:dyDescent="0.2">
      <c r="A364" s="776">
        <f t="shared" si="154"/>
        <v>555</v>
      </c>
      <c r="B364" s="795">
        <v>42788</v>
      </c>
      <c r="C364" s="820">
        <v>2362.8200000000002</v>
      </c>
      <c r="D364" s="792">
        <f>(C364-C363)/C363</f>
        <v>-1.0822785345271986E-3</v>
      </c>
      <c r="E364" s="819">
        <f t="shared" si="175"/>
        <v>0.12384657826144865</v>
      </c>
      <c r="F364" s="816">
        <v>5860.62</v>
      </c>
      <c r="G364" s="792">
        <f t="shared" si="174"/>
        <v>-9.069305175299627E-4</v>
      </c>
      <c r="H364" s="797">
        <f t="shared" si="176"/>
        <v>0.15101439597776775</v>
      </c>
      <c r="I364" s="799">
        <v>323529.21999999997</v>
      </c>
      <c r="J364" s="800">
        <v>300000</v>
      </c>
      <c r="K364" s="800">
        <f t="shared" si="177"/>
        <v>-4062.7700000000186</v>
      </c>
      <c r="L364" s="792">
        <f t="shared" si="155"/>
        <v>-1.2401921060402053E-2</v>
      </c>
      <c r="M364" s="817">
        <f t="shared" si="178"/>
        <v>23529.219999999972</v>
      </c>
      <c r="N364" s="802">
        <f t="shared" si="179"/>
        <v>7.8430733333333238E-2</v>
      </c>
      <c r="O364" s="786">
        <f t="shared" si="159"/>
        <v>5.1615901531531463E-2</v>
      </c>
      <c r="P364" s="817" t="b">
        <f t="shared" si="180"/>
        <v>0</v>
      </c>
      <c r="Q364" s="802">
        <f>COUNTIF(P$2:P364, TRUE)/(COUNTIF(P$2:P364,FALSE) + COUNTIF(P$2:P364, TRUE))</f>
        <v>0.48760330578512395</v>
      </c>
      <c r="R364" s="800">
        <v>282939</v>
      </c>
      <c r="S364" s="800">
        <f t="shared" si="181"/>
        <v>40590.219999999972</v>
      </c>
      <c r="T364" s="800">
        <v>-27755</v>
      </c>
      <c r="U364" s="800">
        <f t="shared" si="182"/>
        <v>51284.219999999972</v>
      </c>
      <c r="V364" s="802">
        <f>STDEV(D$2:D364)*SQRT(252)</f>
        <v>0.15829755838348511</v>
      </c>
      <c r="W364" s="802">
        <f>STDEV(L$2:L364)*SQRT(252)</f>
        <v>0.34345146520795911</v>
      </c>
      <c r="X364" s="801">
        <f t="shared" si="164"/>
        <v>0.51488120314436836</v>
      </c>
      <c r="Y364" s="801">
        <f t="shared" si="165"/>
        <v>0.15028586790357162</v>
      </c>
      <c r="Z364" s="807">
        <f t="shared" si="166"/>
        <v>-4.5415844928115415E-2</v>
      </c>
    </row>
    <row r="365" spans="1:26" ht="20.100000000000001" customHeight="1" x14ac:dyDescent="0.2">
      <c r="A365" s="776">
        <f t="shared" si="154"/>
        <v>556</v>
      </c>
      <c r="B365" s="795">
        <v>42789</v>
      </c>
      <c r="C365" s="820">
        <v>2363.81</v>
      </c>
      <c r="D365" s="792">
        <f>(C365-C364)/C364</f>
        <v>4.1899086684545658E-4</v>
      </c>
      <c r="E365" s="819">
        <f t="shared" si="175"/>
        <v>0.12431745971347571</v>
      </c>
      <c r="F365" s="816">
        <v>5835.5</v>
      </c>
      <c r="G365" s="792">
        <f t="shared" si="174"/>
        <v>-4.2862359272568245E-3</v>
      </c>
      <c r="H365" s="797">
        <f t="shared" si="176"/>
        <v>0.14608087672093803</v>
      </c>
      <c r="I365" s="799">
        <v>324343.32</v>
      </c>
      <c r="J365" s="800">
        <v>300000</v>
      </c>
      <c r="K365" s="800">
        <f t="shared" si="177"/>
        <v>814.10000000003492</v>
      </c>
      <c r="L365" s="792">
        <f t="shared" si="155"/>
        <v>2.5163105823951077E-3</v>
      </c>
      <c r="M365" s="817">
        <f t="shared" si="178"/>
        <v>24343.320000000007</v>
      </c>
      <c r="N365" s="802">
        <f t="shared" si="179"/>
        <v>8.1144400000000019E-2</v>
      </c>
      <c r="O365" s="786">
        <f t="shared" si="159"/>
        <v>5.3305741187050372E-2</v>
      </c>
      <c r="P365" s="817" t="b">
        <f t="shared" si="180"/>
        <v>1</v>
      </c>
      <c r="Q365" s="802">
        <f>COUNTIF(P$2:P365, TRUE)/(COUNTIF(P$2:P365,FALSE) + COUNTIF(P$2:P365, TRUE))</f>
        <v>0.48901098901098899</v>
      </c>
      <c r="R365" s="800">
        <v>285337.09999999998</v>
      </c>
      <c r="S365" s="800">
        <f t="shared" si="181"/>
        <v>39006.22000000003</v>
      </c>
      <c r="T365" s="800">
        <v>-27553</v>
      </c>
      <c r="U365" s="800">
        <f t="shared" si="182"/>
        <v>51896.320000000007</v>
      </c>
      <c r="V365" s="802">
        <f>STDEV(D$2:D365)*SQRT(252)</f>
        <v>0.15807876897869375</v>
      </c>
      <c r="W365" s="802">
        <f>STDEV(L$2:L365)*SQRT(252)</f>
        <v>0.34298022830974206</v>
      </c>
      <c r="X365" s="801">
        <f t="shared" si="164"/>
        <v>0.51662333071126265</v>
      </c>
      <c r="Y365" s="801">
        <f t="shared" si="165"/>
        <v>0.15541928305823646</v>
      </c>
      <c r="Z365" s="807">
        <f t="shared" si="166"/>
        <v>-4.3173059713475695E-2</v>
      </c>
    </row>
    <row r="366" spans="1:26" ht="20.100000000000001" customHeight="1" x14ac:dyDescent="0.2">
      <c r="A366" s="776">
        <f t="shared" si="154"/>
        <v>557</v>
      </c>
      <c r="B366" s="795">
        <v>42790</v>
      </c>
      <c r="C366" s="820">
        <v>2367.34</v>
      </c>
      <c r="D366" s="792">
        <f>(C366-C365)/C365</f>
        <v>1.4933518345383937E-3</v>
      </c>
      <c r="E366" s="819">
        <f t="shared" si="175"/>
        <v>0.12599646125454239</v>
      </c>
      <c r="F366" s="816">
        <v>5845.3</v>
      </c>
      <c r="G366" s="792">
        <f t="shared" si="174"/>
        <v>1.6793762316854052E-3</v>
      </c>
      <c r="H366" s="797">
        <f t="shared" si="176"/>
        <v>0.14800557770489237</v>
      </c>
      <c r="I366" s="799">
        <v>322787.92</v>
      </c>
      <c r="J366" s="800">
        <v>300000</v>
      </c>
      <c r="K366" s="800">
        <f t="shared" si="177"/>
        <v>-1555.4000000000233</v>
      </c>
      <c r="L366" s="792">
        <f t="shared" si="155"/>
        <v>-4.7955357921353929E-3</v>
      </c>
      <c r="M366" s="817">
        <f t="shared" si="178"/>
        <v>22787.919999999984</v>
      </c>
      <c r="N366" s="802">
        <f t="shared" si="179"/>
        <v>7.5959733333333279E-2</v>
      </c>
      <c r="O366" s="786">
        <f t="shared" si="159"/>
        <v>4.9810220107719891E-2</v>
      </c>
      <c r="P366" s="817" t="b">
        <f t="shared" si="180"/>
        <v>0</v>
      </c>
      <c r="Q366" s="802">
        <f>COUNTIF(P$2:P366, TRUE)/(COUNTIF(P$2:P366,FALSE) + COUNTIF(P$2:P366, TRUE))</f>
        <v>0.48767123287671232</v>
      </c>
      <c r="R366" s="800">
        <v>281387.75</v>
      </c>
      <c r="S366" s="800">
        <f t="shared" si="181"/>
        <v>41400.169999999984</v>
      </c>
      <c r="T366" s="800">
        <v>-27481</v>
      </c>
      <c r="U366" s="800">
        <f t="shared" si="182"/>
        <v>50268.919999999984</v>
      </c>
      <c r="V366" s="802">
        <f>STDEV(D$2:D366)*SQRT(252)</f>
        <v>0.1578636357935907</v>
      </c>
      <c r="W366" s="802">
        <f>STDEV(L$2:L366)*SQRT(252)</f>
        <v>0.34253765890970073</v>
      </c>
      <c r="X366" s="801">
        <f t="shared" si="164"/>
        <v>0.52337295405118689</v>
      </c>
      <c r="Y366" s="801">
        <f t="shared" si="165"/>
        <v>0.1454153107318655</v>
      </c>
      <c r="Z366" s="807">
        <f t="shared" si="166"/>
        <v>-5.0036727921209112E-2</v>
      </c>
    </row>
    <row r="367" spans="1:26" ht="20.100000000000001" customHeight="1" x14ac:dyDescent="0.2">
      <c r="A367" s="776">
        <f t="shared" si="154"/>
        <v>560</v>
      </c>
      <c r="B367" s="824">
        <v>42793</v>
      </c>
      <c r="C367" s="835">
        <v>2369.75</v>
      </c>
      <c r="D367" s="792">
        <f>(C367-C366)/C366</f>
        <v>1.0180202252316332E-3</v>
      </c>
      <c r="E367" s="826">
        <f t="shared" si="175"/>
        <v>0.12714274842563875</v>
      </c>
      <c r="F367" s="827">
        <v>5861.89</v>
      </c>
      <c r="G367" s="792">
        <f t="shared" si="174"/>
        <v>2.8381776812139918E-3</v>
      </c>
      <c r="H367" s="828">
        <f t="shared" si="176"/>
        <v>0.15126382151344356</v>
      </c>
      <c r="I367" s="837">
        <v>323797.27</v>
      </c>
      <c r="J367" s="830">
        <v>300000</v>
      </c>
      <c r="K367" s="830">
        <f t="shared" si="177"/>
        <v>1009.3500000000349</v>
      </c>
      <c r="L367" s="792">
        <f t="shared" si="155"/>
        <v>3.126975755474477E-3</v>
      </c>
      <c r="M367" s="839">
        <f t="shared" si="178"/>
        <v>23797.270000000019</v>
      </c>
      <c r="N367" s="832">
        <f t="shared" si="179"/>
        <v>7.9324233333333397E-2</v>
      </c>
      <c r="O367" s="786">
        <f t="shared" si="159"/>
        <v>5.1737814687500043E-2</v>
      </c>
      <c r="P367" s="831" t="b">
        <f t="shared" si="180"/>
        <v>1</v>
      </c>
      <c r="Q367" s="832">
        <f>COUNTIF(P$2:P367, TRUE)/(COUNTIF(P$2:P367,FALSE) + COUNTIF(P$2:P367, TRUE))</f>
        <v>0.48907103825136611</v>
      </c>
      <c r="R367" s="830">
        <v>291059.09999999998</v>
      </c>
      <c r="S367" s="830">
        <f t="shared" si="181"/>
        <v>32738.170000000042</v>
      </c>
      <c r="T367" s="830">
        <v>-27481</v>
      </c>
      <c r="U367" s="830">
        <f t="shared" si="182"/>
        <v>51278.270000000019</v>
      </c>
      <c r="V367" s="832">
        <f>STDEV(D$2:D367)*SQRT(252)</f>
        <v>0.15764754565745331</v>
      </c>
      <c r="W367" s="832">
        <f>STDEV(L$2:L367)*SQRT(252)</f>
        <v>0.34207298681396164</v>
      </c>
      <c r="X367" s="801">
        <f t="shared" si="164"/>
        <v>0.52602523501754472</v>
      </c>
      <c r="Y367" s="801">
        <f t="shared" si="165"/>
        <v>0.15124788183183244</v>
      </c>
      <c r="Z367" s="807">
        <f t="shared" si="166"/>
        <v>-4.781851509230535E-2</v>
      </c>
    </row>
    <row r="368" spans="1:26" ht="20.100000000000001" customHeight="1" x14ac:dyDescent="0.2">
      <c r="A368" s="776">
        <f t="shared" si="154"/>
        <v>561</v>
      </c>
      <c r="B368" s="824">
        <v>42794</v>
      </c>
      <c r="C368" s="835">
        <v>2363.64</v>
      </c>
      <c r="D368" s="792">
        <f>(C368-C367)/C367</f>
        <v>-2.5783310475789123E-3</v>
      </c>
      <c r="E368" s="826">
        <f t="shared" si="175"/>
        <v>0.1242366012823195</v>
      </c>
      <c r="F368" s="827">
        <v>5825.43</v>
      </c>
      <c r="G368" s="792">
        <f>(F368-F367)/F367</f>
        <v>-6.2198369467867934E-3</v>
      </c>
      <c r="H368" s="828">
        <f t="shared" si="176"/>
        <v>0.14410314826089529</v>
      </c>
      <c r="I368" s="840">
        <v>320573.07</v>
      </c>
      <c r="J368" s="830">
        <v>300000</v>
      </c>
      <c r="K368" s="830">
        <f t="shared" si="177"/>
        <v>-3224.2000000000116</v>
      </c>
      <c r="L368" s="792">
        <f t="shared" si="155"/>
        <v>-9.9574650521297211E-3</v>
      </c>
      <c r="M368" s="834">
        <f t="shared" si="178"/>
        <v>20573.070000000007</v>
      </c>
      <c r="N368" s="832">
        <f t="shared" si="179"/>
        <v>6.8576900000000024E-2</v>
      </c>
      <c r="O368" s="786">
        <f t="shared" si="159"/>
        <v>4.4648329278074883E-2</v>
      </c>
      <c r="P368" s="831" t="b">
        <f t="shared" si="180"/>
        <v>0</v>
      </c>
      <c r="Q368" s="832">
        <f>COUNTIF(P$2:P368, TRUE)/(COUNTIF(P$2:P368,FALSE) + COUNTIF(P$2:P368, TRUE))</f>
        <v>0.4877384196185286</v>
      </c>
      <c r="R368" s="830">
        <v>291060.09999999998</v>
      </c>
      <c r="S368" s="830">
        <f t="shared" si="181"/>
        <v>29512.97000000003</v>
      </c>
      <c r="T368" s="830">
        <v>-28947</v>
      </c>
      <c r="U368" s="830">
        <f t="shared" si="182"/>
        <v>49520.070000000007</v>
      </c>
      <c r="V368" s="832">
        <f>STDEV(D$2:D368)*SQRT(252)</f>
        <v>0.15745054015923535</v>
      </c>
      <c r="W368" s="832">
        <f>STDEV(L$2:L368)*SQRT(252)</f>
        <v>0.34171768375155076</v>
      </c>
      <c r="X368" s="801">
        <f t="shared" si="164"/>
        <v>0.51372744813742488</v>
      </c>
      <c r="Y368" s="801">
        <f t="shared" si="165"/>
        <v>0.13065852720263929</v>
      </c>
      <c r="Z368" s="807">
        <f t="shared" si="166"/>
        <v>-5.5659701282319479E-2</v>
      </c>
    </row>
    <row r="369" spans="1:26" ht="20.100000000000001" customHeight="1" x14ac:dyDescent="0.2">
      <c r="A369" s="776">
        <f t="shared" si="154"/>
        <v>562</v>
      </c>
      <c r="B369" s="824">
        <v>42795</v>
      </c>
      <c r="C369" s="835">
        <v>2395.96</v>
      </c>
      <c r="D369" s="792">
        <f t="shared" ref="D369:D377" si="183">(C369-C368)/C368</f>
        <v>1.3673825117192197E-2</v>
      </c>
      <c r="E369" s="826">
        <f t="shared" si="175"/>
        <v>0.13960921595860046</v>
      </c>
      <c r="F369" s="827">
        <v>5904.02</v>
      </c>
      <c r="G369" s="792">
        <f t="shared" ref="G369:G382" si="184">(F369-F368)/F368</f>
        <v>1.3490849602518637E-2</v>
      </c>
      <c r="H369" s="828">
        <f t="shared" si="176"/>
        <v>0.1595380717638511</v>
      </c>
      <c r="I369" s="837">
        <v>325744.14</v>
      </c>
      <c r="J369" s="830">
        <v>300000</v>
      </c>
      <c r="K369" s="830">
        <f t="shared" si="177"/>
        <v>5171.070000000007</v>
      </c>
      <c r="L369" s="792">
        <f t="shared" si="155"/>
        <v>1.613070617566225E-2</v>
      </c>
      <c r="M369" s="839">
        <f t="shared" si="178"/>
        <v>25744.140000000014</v>
      </c>
      <c r="N369" s="832">
        <f t="shared" si="179"/>
        <v>8.5813800000000051E-2</v>
      </c>
      <c r="O369" s="786">
        <f t="shared" si="159"/>
        <v>5.5771335320284728E-2</v>
      </c>
      <c r="P369" s="831" t="b">
        <f t="shared" si="180"/>
        <v>1</v>
      </c>
      <c r="Q369" s="832">
        <f>COUNTIF(P$2:P369, TRUE)/(COUNTIF(P$2:P369,FALSE) + COUNTIF(P$2:P369, TRUE))</f>
        <v>0.4891304347826087</v>
      </c>
      <c r="R369" s="830">
        <v>291563.05</v>
      </c>
      <c r="S369" s="830">
        <f t="shared" si="181"/>
        <v>34181.090000000026</v>
      </c>
      <c r="T369" s="830">
        <v>-28845</v>
      </c>
      <c r="U369" s="830">
        <f t="shared" si="182"/>
        <v>54589.140000000014</v>
      </c>
      <c r="V369" s="832">
        <f>STDEV(D$2:D369)*SQRT(252)</f>
        <v>0.15762134629623176</v>
      </c>
      <c r="W369" s="832">
        <f>STDEV(L$2:L369)*SQRT(252)</f>
        <v>0.34149211977878058</v>
      </c>
      <c r="X369" s="801">
        <f t="shared" si="164"/>
        <v>0.57564265092505862</v>
      </c>
      <c r="Y369" s="801">
        <f t="shared" si="165"/>
        <v>0.16331660993059965</v>
      </c>
      <c r="Z369" s="807">
        <f t="shared" si="166"/>
        <v>-5.3795415958600407E-2</v>
      </c>
    </row>
    <row r="370" spans="1:26" ht="20.100000000000001" customHeight="1" x14ac:dyDescent="0.2">
      <c r="A370" s="776">
        <f t="shared" si="154"/>
        <v>563</v>
      </c>
      <c r="B370" s="824">
        <v>42796</v>
      </c>
      <c r="C370" s="835">
        <v>2381.92</v>
      </c>
      <c r="D370" s="792">
        <f t="shared" si="183"/>
        <v>-5.8598641045760208E-3</v>
      </c>
      <c r="E370" s="826">
        <f t="shared" si="175"/>
        <v>0.13293126082076065</v>
      </c>
      <c r="F370" s="827">
        <v>5861.22</v>
      </c>
      <c r="G370" s="792">
        <f t="shared" si="184"/>
        <v>-7.2492979359826317E-3</v>
      </c>
      <c r="H370" s="828">
        <f t="shared" si="176"/>
        <v>0.15113223481352014</v>
      </c>
      <c r="I370" s="837">
        <v>374005.77</v>
      </c>
      <c r="J370" s="830">
        <v>350000</v>
      </c>
      <c r="K370" s="830">
        <f t="shared" si="177"/>
        <v>-1738.3699999999953</v>
      </c>
      <c r="L370" s="792">
        <f t="shared" si="155"/>
        <v>-5.3366117345963471E-3</v>
      </c>
      <c r="M370" s="839">
        <f t="shared" si="178"/>
        <v>24005.770000000019</v>
      </c>
      <c r="N370" s="832">
        <f t="shared" si="179"/>
        <v>6.8587914285714341E-2</v>
      </c>
      <c r="O370" s="786">
        <f t="shared" si="159"/>
        <v>4.4496866239533146E-2</v>
      </c>
      <c r="P370" s="831" t="b">
        <f t="shared" si="180"/>
        <v>1</v>
      </c>
      <c r="Q370" s="832">
        <f>COUNTIF(P$2:P370, TRUE)/(COUNTIF(P$2:P370,FALSE) + COUNTIF(P$2:P370, TRUE))</f>
        <v>0.49051490514905149</v>
      </c>
      <c r="R370" s="830">
        <v>304393.15000000002</v>
      </c>
      <c r="S370" s="830">
        <f t="shared" si="181"/>
        <v>69612.62</v>
      </c>
      <c r="T370" s="830">
        <v>-27836</v>
      </c>
      <c r="U370" s="830">
        <f t="shared" si="182"/>
        <v>51841.770000000019</v>
      </c>
      <c r="V370" s="832">
        <f>STDEV(D$2:D370)*SQRT(252)</f>
        <v>0.15749181284138711</v>
      </c>
      <c r="W370" s="832">
        <f>STDEV(L$2:L370)*SQRT(252)</f>
        <v>0.34106282769709534</v>
      </c>
      <c r="X370" s="801">
        <f t="shared" si="164"/>
        <v>0.54758427960751621</v>
      </c>
      <c r="Y370" s="801">
        <f t="shared" si="165"/>
        <v>0.1304653061724208</v>
      </c>
      <c r="Z370" s="807">
        <f t="shared" si="166"/>
        <v>-6.4343346535046309E-2</v>
      </c>
    </row>
    <row r="371" spans="1:26" ht="20.100000000000001" customHeight="1" x14ac:dyDescent="0.2">
      <c r="A371" s="776">
        <f t="shared" si="154"/>
        <v>564</v>
      </c>
      <c r="B371" s="824">
        <v>42797</v>
      </c>
      <c r="C371" s="835">
        <v>2383.12</v>
      </c>
      <c r="D371" s="792">
        <f t="shared" si="183"/>
        <v>5.0379525760723201E-4</v>
      </c>
      <c r="E371" s="826">
        <f t="shared" si="175"/>
        <v>0.13350202621715712</v>
      </c>
      <c r="F371" s="827">
        <v>5870.75</v>
      </c>
      <c r="G371" s="792">
        <f t="shared" si="184"/>
        <v>1.6259413569188232E-3</v>
      </c>
      <c r="H371" s="828">
        <f t="shared" si="176"/>
        <v>0.15300390832138583</v>
      </c>
      <c r="I371" s="837">
        <v>372756.96</v>
      </c>
      <c r="J371" s="830">
        <v>350000</v>
      </c>
      <c r="K371" s="830">
        <f t="shared" si="177"/>
        <v>-1248.8099999999977</v>
      </c>
      <c r="L371" s="792">
        <f t="shared" si="155"/>
        <v>-3.3390126574785132E-3</v>
      </c>
      <c r="M371" s="839">
        <f t="shared" si="178"/>
        <v>22756.960000000021</v>
      </c>
      <c r="N371" s="832">
        <f t="shared" si="179"/>
        <v>6.5019885714285769E-2</v>
      </c>
      <c r="O371" s="786">
        <f t="shared" si="159"/>
        <v>4.2107293009118578E-2</v>
      </c>
      <c r="P371" s="831" t="b">
        <f t="shared" si="180"/>
        <v>0</v>
      </c>
      <c r="Q371" s="832">
        <f>COUNTIF(P$2:P371, TRUE)/(COUNTIF(P$2:P371,FALSE) + COUNTIF(P$2:P371, TRUE))</f>
        <v>0.48918918918918919</v>
      </c>
      <c r="R371" s="830">
        <v>303942.95</v>
      </c>
      <c r="S371" s="830">
        <f t="shared" si="181"/>
        <v>68814.010000000009</v>
      </c>
      <c r="T371" s="830">
        <v>-28592</v>
      </c>
      <c r="U371" s="830">
        <f t="shared" si="182"/>
        <v>51348.960000000021</v>
      </c>
      <c r="V371" s="832">
        <f>STDEV(D$2:D371)*SQRT(252)</f>
        <v>0.15727771285381495</v>
      </c>
      <c r="W371" s="832">
        <f>STDEV(L$2:L371)*SQRT(252)</f>
        <v>0.34061512766334867</v>
      </c>
      <c r="X371" s="801">
        <f t="shared" si="164"/>
        <v>0.54970766518701131</v>
      </c>
      <c r="Y371" s="801">
        <f t="shared" si="165"/>
        <v>0.12362132386185695</v>
      </c>
      <c r="Z371" s="807">
        <f t="shared" si="166"/>
        <v>-6.8482140502871353E-2</v>
      </c>
    </row>
    <row r="372" spans="1:26" ht="20.100000000000001" customHeight="1" x14ac:dyDescent="0.2">
      <c r="A372" s="776">
        <f t="shared" si="154"/>
        <v>567</v>
      </c>
      <c r="B372" s="795">
        <v>42800</v>
      </c>
      <c r="C372" s="820">
        <v>2375.31</v>
      </c>
      <c r="D372" s="792">
        <f t="shared" si="183"/>
        <v>-3.2772164221692344E-3</v>
      </c>
      <c r="E372" s="819">
        <f t="shared" si="175"/>
        <v>0.12978729476227616</v>
      </c>
      <c r="F372" s="816">
        <v>5849.17</v>
      </c>
      <c r="G372" s="792">
        <f t="shared" si="184"/>
        <v>-3.6758506153387431E-3</v>
      </c>
      <c r="H372" s="797">
        <f t="shared" si="176"/>
        <v>0.14876563819549468</v>
      </c>
      <c r="I372" s="799">
        <v>373390.96</v>
      </c>
      <c r="J372" s="800">
        <v>350000</v>
      </c>
      <c r="K372" s="800">
        <f t="shared" si="177"/>
        <v>634</v>
      </c>
      <c r="L372" s="792">
        <f t="shared" si="155"/>
        <v>1.7008401399131487E-3</v>
      </c>
      <c r="M372" s="817">
        <f t="shared" si="178"/>
        <v>23390.960000000021</v>
      </c>
      <c r="N372" s="802">
        <f t="shared" si="179"/>
        <v>6.6831314285714344E-2</v>
      </c>
      <c r="O372" s="786">
        <f t="shared" si="159"/>
        <v>4.3051388964474718E-2</v>
      </c>
      <c r="P372" s="817" t="b">
        <f t="shared" si="180"/>
        <v>1</v>
      </c>
      <c r="Q372" s="802">
        <f>COUNTIF(P$2:P372, TRUE)/(COUNTIF(P$2:P372,FALSE) + COUNTIF(P$2:P372, TRUE))</f>
        <v>0.49056603773584906</v>
      </c>
      <c r="R372" s="800">
        <v>304576.95</v>
      </c>
      <c r="S372" s="800">
        <f t="shared" si="181"/>
        <v>68814.010000000009</v>
      </c>
      <c r="T372" s="800">
        <v>-29562</v>
      </c>
      <c r="U372" s="800">
        <f t="shared" si="182"/>
        <v>52952.960000000021</v>
      </c>
      <c r="V372" s="802">
        <f>STDEV(D$2:D372)*SQRT(252)</f>
        <v>0.15709358659899947</v>
      </c>
      <c r="W372" s="802">
        <f>STDEV(L$2:L372)*SQRT(252)</f>
        <v>0.34015438804580067</v>
      </c>
      <c r="X372" s="801">
        <f t="shared" si="164"/>
        <v>0.53220737788152506</v>
      </c>
      <c r="Y372" s="801">
        <f t="shared" si="165"/>
        <v>0.12656426163368498</v>
      </c>
      <c r="Z372" s="807">
        <f t="shared" si="166"/>
        <v>-6.2955980476561813E-2</v>
      </c>
    </row>
    <row r="373" spans="1:26" ht="20.100000000000001" customHeight="1" x14ac:dyDescent="0.2">
      <c r="A373" s="776">
        <f t="shared" si="154"/>
        <v>568</v>
      </c>
      <c r="B373" s="795">
        <v>42801</v>
      </c>
      <c r="C373" s="820">
        <v>2368.39</v>
      </c>
      <c r="D373" s="792">
        <f t="shared" si="183"/>
        <v>-2.9133039476952789E-3</v>
      </c>
      <c r="E373" s="819">
        <f t="shared" si="175"/>
        <v>0.12649588097638925</v>
      </c>
      <c r="F373" s="816">
        <v>5833.92</v>
      </c>
      <c r="G373" s="792">
        <f t="shared" si="184"/>
        <v>-2.6072075183316609E-3</v>
      </c>
      <c r="H373" s="797">
        <f t="shared" si="176"/>
        <v>0.14577056778679032</v>
      </c>
      <c r="I373" s="799">
        <v>368594.91</v>
      </c>
      <c r="J373" s="800">
        <v>350000</v>
      </c>
      <c r="K373" s="800">
        <f t="shared" si="177"/>
        <v>-4796.0500000000466</v>
      </c>
      <c r="L373" s="792">
        <f t="shared" si="155"/>
        <v>-1.2844579847353686E-2</v>
      </c>
      <c r="M373" s="817">
        <f t="shared" si="178"/>
        <v>18594.909999999974</v>
      </c>
      <c r="N373" s="802">
        <f t="shared" si="179"/>
        <v>5.3128314285714212E-2</v>
      </c>
      <c r="O373" s="786">
        <f t="shared" si="159"/>
        <v>3.416393801559351E-2</v>
      </c>
      <c r="P373" s="817" t="b">
        <f t="shared" si="180"/>
        <v>0</v>
      </c>
      <c r="Q373" s="802">
        <f>COUNTIF(P$2:P373, TRUE)/(COUNTIF(P$2:P373,FALSE) + COUNTIF(P$2:P373, TRUE))</f>
        <v>0.489247311827957</v>
      </c>
      <c r="R373" s="800">
        <v>299780.90000000002</v>
      </c>
      <c r="S373" s="800">
        <f t="shared" si="181"/>
        <v>68814.009999999951</v>
      </c>
      <c r="T373" s="800">
        <v>-31802</v>
      </c>
      <c r="U373" s="800">
        <f t="shared" si="182"/>
        <v>50396.909999999974</v>
      </c>
      <c r="V373" s="802">
        <f>STDEV(D$2:D373)*SQRT(252)</f>
        <v>0.15690461195475305</v>
      </c>
      <c r="W373" s="802">
        <f>STDEV(L$2:L373)*SQRT(252)</f>
        <v>0.3398764241842348</v>
      </c>
      <c r="X373" s="801">
        <f t="shared" si="164"/>
        <v>0.51842097411187726</v>
      </c>
      <c r="Y373" s="801">
        <f t="shared" si="165"/>
        <v>0.10051870498988912</v>
      </c>
      <c r="Z373" s="807">
        <f t="shared" si="166"/>
        <v>-7.336756669067504E-2</v>
      </c>
    </row>
    <row r="374" spans="1:26" ht="20.100000000000001" customHeight="1" x14ac:dyDescent="0.2">
      <c r="A374" s="776">
        <f t="shared" si="154"/>
        <v>569</v>
      </c>
      <c r="B374" s="795">
        <v>42802</v>
      </c>
      <c r="C374" s="820">
        <v>2369.39</v>
      </c>
      <c r="D374" s="792">
        <f t="shared" si="183"/>
        <v>4.2222775809727285E-4</v>
      </c>
      <c r="E374" s="819">
        <f t="shared" si="175"/>
        <v>0.12697151880671972</v>
      </c>
      <c r="F374" s="816">
        <v>5834.92</v>
      </c>
      <c r="G374" s="792">
        <f t="shared" si="184"/>
        <v>1.7141133234600405E-4</v>
      </c>
      <c r="H374" s="797">
        <f t="shared" si="176"/>
        <v>0.1459669658463775</v>
      </c>
      <c r="I374" s="799">
        <v>359694.56</v>
      </c>
      <c r="J374" s="800">
        <v>350000</v>
      </c>
      <c r="K374" s="800">
        <f t="shared" si="177"/>
        <v>-8900.3499999999767</v>
      </c>
      <c r="L374" s="792">
        <f t="shared" si="155"/>
        <v>-2.4146698064821288E-2</v>
      </c>
      <c r="M374" s="817">
        <f t="shared" si="178"/>
        <v>9694.5599999999977</v>
      </c>
      <c r="N374" s="802">
        <f t="shared" si="179"/>
        <v>2.7698742857142852E-2</v>
      </c>
      <c r="O374" s="786">
        <f t="shared" si="159"/>
        <v>1.7780256289229218E-2</v>
      </c>
      <c r="P374" s="817" t="b">
        <f t="shared" si="180"/>
        <v>0</v>
      </c>
      <c r="Q374" s="802">
        <f>COUNTIF(P$2:P374, TRUE)/(COUNTIF(P$2:P374,FALSE) + COUNTIF(P$2:P374, TRUE))</f>
        <v>0.48793565683646112</v>
      </c>
      <c r="R374" s="800">
        <v>301406.55</v>
      </c>
      <c r="S374" s="800">
        <f t="shared" si="181"/>
        <v>58288.010000000009</v>
      </c>
      <c r="T374" s="800">
        <v>-32022</v>
      </c>
      <c r="U374" s="800">
        <f t="shared" si="182"/>
        <v>41716.559999999998</v>
      </c>
      <c r="V374" s="802">
        <f>STDEV(D$2:D374)*SQRT(252)</f>
        <v>0.1566930134881471</v>
      </c>
      <c r="W374" s="802">
        <f>STDEV(L$2:L374)*SQRT(252)</f>
        <v>0.34002930219024635</v>
      </c>
      <c r="X374" s="801">
        <f t="shared" si="164"/>
        <v>0.52015723055959784</v>
      </c>
      <c r="Y374" s="801">
        <f t="shared" si="165"/>
        <v>5.2290364902966999E-2</v>
      </c>
      <c r="Z374" s="807">
        <f t="shared" si="166"/>
        <v>-9.9272775949576869E-2</v>
      </c>
    </row>
    <row r="375" spans="1:26" ht="20.100000000000001" customHeight="1" x14ac:dyDescent="0.2">
      <c r="A375" s="776">
        <f t="shared" si="154"/>
        <v>570</v>
      </c>
      <c r="B375" s="795">
        <v>42803</v>
      </c>
      <c r="C375" s="820">
        <v>2364.87</v>
      </c>
      <c r="D375" s="792">
        <f t="shared" si="183"/>
        <v>-1.9076639979066267E-3</v>
      </c>
      <c r="E375" s="819">
        <f t="shared" si="175"/>
        <v>0.12482163581362599</v>
      </c>
      <c r="F375" s="816">
        <v>5838.8</v>
      </c>
      <c r="G375" s="792">
        <f t="shared" si="184"/>
        <v>6.6496198748228067E-4</v>
      </c>
      <c r="H375" s="797">
        <f t="shared" si="176"/>
        <v>0.14672899031757575</v>
      </c>
      <c r="I375" s="799">
        <v>368952.54</v>
      </c>
      <c r="J375" s="800">
        <v>350000</v>
      </c>
      <c r="K375" s="800">
        <f t="shared" si="177"/>
        <v>9257.9799999999814</v>
      </c>
      <c r="L375" s="792">
        <f t="shared" si="155"/>
        <v>2.573844875496583E-2</v>
      </c>
      <c r="M375" s="817">
        <f t="shared" si="178"/>
        <v>18952.539999999979</v>
      </c>
      <c r="N375" s="802">
        <f t="shared" si="179"/>
        <v>5.4150114285714229E-2</v>
      </c>
      <c r="O375" s="786">
        <f t="shared" si="159"/>
        <v>3.4698823233082668E-2</v>
      </c>
      <c r="P375" s="817" t="b">
        <f t="shared" si="180"/>
        <v>1</v>
      </c>
      <c r="Q375" s="802">
        <f>COUNTIF(P$2:P375, TRUE)/(COUNTIF(P$2:P375,FALSE) + COUNTIF(P$2:P375, TRUE))</f>
        <v>0.48930481283422461</v>
      </c>
      <c r="R375" s="800">
        <v>279646.25</v>
      </c>
      <c r="S375" s="800">
        <f t="shared" si="181"/>
        <v>89306.289999999979</v>
      </c>
      <c r="T375" s="800">
        <v>-32329</v>
      </c>
      <c r="U375" s="800">
        <f t="shared" si="182"/>
        <v>51281.539999999979</v>
      </c>
      <c r="V375" s="802">
        <f>STDEV(D$2:D375)*SQRT(252)</f>
        <v>0.15649345994634845</v>
      </c>
      <c r="W375" s="802">
        <f>STDEV(L$2:L375)*SQRT(252)</f>
        <v>0.34020267972894408</v>
      </c>
      <c r="X375" s="801">
        <f t="shared" si="164"/>
        <v>0.5111037250044641</v>
      </c>
      <c r="Y375" s="801">
        <f t="shared" si="165"/>
        <v>0.10199456177337844</v>
      </c>
      <c r="Z375" s="807">
        <f t="shared" si="166"/>
        <v>-7.0671521527911757E-2</v>
      </c>
    </row>
    <row r="376" spans="1:26" ht="20.100000000000001" customHeight="1" x14ac:dyDescent="0.2">
      <c r="A376" s="776">
        <f t="shared" si="154"/>
        <v>571</v>
      </c>
      <c r="B376" s="795">
        <v>42804</v>
      </c>
      <c r="C376" s="820">
        <v>2372.6</v>
      </c>
      <c r="D376" s="792">
        <f t="shared" si="183"/>
        <v>3.2686786165835834E-3</v>
      </c>
      <c r="E376" s="819">
        <f t="shared" si="175"/>
        <v>0.12849831624208055</v>
      </c>
      <c r="F376" s="816">
        <v>5861.72</v>
      </c>
      <c r="G376" s="792">
        <f t="shared" si="184"/>
        <v>3.9254641364664094E-3</v>
      </c>
      <c r="H376" s="797">
        <f t="shared" si="176"/>
        <v>0.15123043384331372</v>
      </c>
      <c r="I376" s="799">
        <v>320075.84000000003</v>
      </c>
      <c r="J376" s="800">
        <v>300000</v>
      </c>
      <c r="K376" s="800">
        <f t="shared" si="177"/>
        <v>1123.3000000000466</v>
      </c>
      <c r="L376" s="792">
        <f t="shared" si="155"/>
        <v>3.0445650272526831E-3</v>
      </c>
      <c r="M376" s="817">
        <f t="shared" si="178"/>
        <v>20075.840000000026</v>
      </c>
      <c r="N376" s="802">
        <f t="shared" si="179"/>
        <v>6.6919466666666746E-2</v>
      </c>
      <c r="O376" s="786">
        <f t="shared" si="159"/>
        <v>4.2806191243432629E-2</v>
      </c>
      <c r="P376" s="817" t="b">
        <f t="shared" si="180"/>
        <v>0</v>
      </c>
      <c r="Q376" s="802">
        <f>COUNTIF(P$2:P376, TRUE)/(COUNTIF(P$2:P376,FALSE) + COUNTIF(P$2:P376, TRUE))</f>
        <v>0.48799999999999999</v>
      </c>
      <c r="R376" s="800">
        <v>269279.3</v>
      </c>
      <c r="S376" s="800">
        <f t="shared" si="181"/>
        <v>50796.540000000037</v>
      </c>
      <c r="T376" s="800">
        <v>-32569</v>
      </c>
      <c r="U376" s="800">
        <f t="shared" si="182"/>
        <v>52644.840000000026</v>
      </c>
      <c r="V376" s="802">
        <f>STDEV(D$2:D376)*SQRT(252)</f>
        <v>0.15630173237062933</v>
      </c>
      <c r="W376" s="802">
        <f>STDEV(L$2:L376)*SQRT(252)</f>
        <v>0.33975219328051109</v>
      </c>
      <c r="X376" s="801">
        <f t="shared" si="164"/>
        <v>0.52588134110730878</v>
      </c>
      <c r="Y376" s="801">
        <f t="shared" si="165"/>
        <v>0.12599239118992342</v>
      </c>
      <c r="Z376" s="807">
        <f t="shared" si="166"/>
        <v>-6.1578849575413805E-2</v>
      </c>
    </row>
    <row r="377" spans="1:26" ht="20.100000000000001" customHeight="1" x14ac:dyDescent="0.2">
      <c r="A377" s="776">
        <f t="shared" si="154"/>
        <v>574</v>
      </c>
      <c r="B377" s="824">
        <v>42807</v>
      </c>
      <c r="C377" s="835">
        <v>2373.4699999999998</v>
      </c>
      <c r="D377" s="792">
        <f t="shared" si="183"/>
        <v>3.6668633566546864E-4</v>
      </c>
      <c r="E377" s="826">
        <f t="shared" si="175"/>
        <v>0.12891212115446801</v>
      </c>
      <c r="F377" s="827">
        <v>5875.78</v>
      </c>
      <c r="G377" s="792">
        <f t="shared" si="184"/>
        <v>2.3986133762785478E-3</v>
      </c>
      <c r="H377" s="828">
        <f t="shared" si="176"/>
        <v>0.15399179056110926</v>
      </c>
      <c r="I377" s="837">
        <v>317453.64</v>
      </c>
      <c r="J377" s="830">
        <v>300000</v>
      </c>
      <c r="K377" s="830">
        <f t="shared" si="177"/>
        <v>-2622.2000000000116</v>
      </c>
      <c r="L377" s="792">
        <f t="shared" si="155"/>
        <v>-8.1924333932858265E-3</v>
      </c>
      <c r="M377" s="839">
        <f t="shared" si="178"/>
        <v>17453.640000000014</v>
      </c>
      <c r="N377" s="832">
        <f t="shared" si="179"/>
        <v>5.8178800000000044E-2</v>
      </c>
      <c r="O377" s="786">
        <f t="shared" si="159"/>
        <v>3.7020569163763097E-2</v>
      </c>
      <c r="P377" s="831" t="b">
        <f t="shared" si="180"/>
        <v>0</v>
      </c>
      <c r="Q377" s="832">
        <f>COUNTIF(P$2:P377, TRUE)/(COUNTIF(P$2:P377,FALSE) + COUNTIF(P$2:P377, TRUE))</f>
        <v>0.48670212765957449</v>
      </c>
      <c r="R377" s="830">
        <v>266657.09999999998</v>
      </c>
      <c r="S377" s="830">
        <f t="shared" si="181"/>
        <v>50796.540000000037</v>
      </c>
      <c r="T377" s="830">
        <v>-33037</v>
      </c>
      <c r="U377" s="830">
        <f t="shared" si="182"/>
        <v>50490.640000000014</v>
      </c>
      <c r="V377" s="832">
        <f>STDEV(D$2:D377)*SQRT(252)</f>
        <v>0.15609263301968265</v>
      </c>
      <c r="W377" s="832">
        <f>STDEV(L$2:L377)*SQRT(252)</f>
        <v>0.33937458902110801</v>
      </c>
      <c r="X377" s="801">
        <f t="shared" si="164"/>
        <v>0.52552052191473964</v>
      </c>
      <c r="Y377" s="801">
        <f t="shared" si="165"/>
        <v>0.10908468212232748</v>
      </c>
      <c r="Z377" s="807">
        <f t="shared" si="166"/>
        <v>-7.0733321154467968E-2</v>
      </c>
    </row>
    <row r="378" spans="1:26" ht="20.100000000000001" customHeight="1" x14ac:dyDescent="0.2">
      <c r="A378" s="776">
        <f t="shared" si="154"/>
        <v>575</v>
      </c>
      <c r="B378" s="824">
        <v>42808</v>
      </c>
      <c r="C378" s="835">
        <v>2365.4499999999998</v>
      </c>
      <c r="D378" s="792">
        <f t="shared" ref="D378:D413" si="185">(C378-C377)/C377</f>
        <v>-3.3790189048102494E-3</v>
      </c>
      <c r="E378" s="826">
        <f t="shared" si="175"/>
        <v>0.12509750575521764</v>
      </c>
      <c r="F378" s="827">
        <v>5856.81</v>
      </c>
      <c r="G378" s="792">
        <f t="shared" si="184"/>
        <v>-3.2285075343187366E-3</v>
      </c>
      <c r="H378" s="828">
        <f t="shared" si="176"/>
        <v>0.15026611937074075</v>
      </c>
      <c r="I378" s="837">
        <v>413367.17</v>
      </c>
      <c r="J378" s="830">
        <v>400000</v>
      </c>
      <c r="K378" s="830">
        <f t="shared" si="177"/>
        <v>-4086.4700000000303</v>
      </c>
      <c r="L378" s="792">
        <f t="shared" si="155"/>
        <v>-1.2872651263346769E-2</v>
      </c>
      <c r="M378" s="839">
        <f t="shared" si="178"/>
        <v>13367.169999999984</v>
      </c>
      <c r="N378" s="832">
        <f t="shared" si="179"/>
        <v>3.3417924999999959E-2</v>
      </c>
      <c r="O378" s="786">
        <f t="shared" si="159"/>
        <v>2.1227647141304321E-2</v>
      </c>
      <c r="P378" s="831" t="b">
        <f t="shared" si="180"/>
        <v>0</v>
      </c>
      <c r="Q378" s="832">
        <f>COUNTIF(P$2:P378, TRUE)/(COUNTIF(P$2:P378,FALSE) + COUNTIF(P$2:P378, TRUE))</f>
        <v>0.48541114058355439</v>
      </c>
      <c r="R378" s="830">
        <v>277189.8</v>
      </c>
      <c r="S378" s="830">
        <f t="shared" si="181"/>
        <v>136177.37</v>
      </c>
      <c r="T378" s="830">
        <v>-33401</v>
      </c>
      <c r="U378" s="830">
        <f t="shared" si="182"/>
        <v>46768.169999999984</v>
      </c>
      <c r="V378" s="832">
        <f>STDEV(D$2:D378)*SQRT(252)</f>
        <v>0.15591460635897464</v>
      </c>
      <c r="W378" s="832">
        <f>STDEV(L$2:L378)*SQRT(252)</f>
        <v>0.33910114383939616</v>
      </c>
      <c r="X378" s="801">
        <f t="shared" si="164"/>
        <v>0.50966431638581333</v>
      </c>
      <c r="Y378" s="801">
        <f t="shared" si="165"/>
        <v>6.2599750920799252E-2</v>
      </c>
      <c r="Z378" s="807">
        <f t="shared" si="166"/>
        <v>-9.1679580755217677E-2</v>
      </c>
    </row>
    <row r="379" spans="1:26" ht="20.100000000000001" customHeight="1" x14ac:dyDescent="0.2">
      <c r="A379" s="776">
        <f t="shared" si="154"/>
        <v>576</v>
      </c>
      <c r="B379" s="824">
        <v>42809</v>
      </c>
      <c r="C379" s="835">
        <v>2385.2600000000002</v>
      </c>
      <c r="D379" s="792">
        <f t="shared" si="185"/>
        <v>8.3747278530513867E-3</v>
      </c>
      <c r="E379" s="826">
        <f t="shared" si="175"/>
        <v>0.13451989117406449</v>
      </c>
      <c r="F379" s="827">
        <v>5900.04</v>
      </c>
      <c r="G379" s="792">
        <f t="shared" si="184"/>
        <v>7.3811511727373026E-3</v>
      </c>
      <c r="H379" s="828">
        <f t="shared" si="176"/>
        <v>0.15875640748669406</v>
      </c>
      <c r="I379" s="837">
        <v>417096.77</v>
      </c>
      <c r="J379" s="830">
        <v>400000</v>
      </c>
      <c r="K379" s="830">
        <f t="shared" si="177"/>
        <v>3729.6000000000349</v>
      </c>
      <c r="L379" s="792">
        <f t="shared" si="155"/>
        <v>9.0224871994552328E-3</v>
      </c>
      <c r="M379" s="839">
        <f t="shared" si="178"/>
        <v>17096.770000000019</v>
      </c>
      <c r="N379" s="832">
        <f t="shared" ref="N379:N384" si="186">M379/J379</f>
        <v>4.2741925000000049E-2</v>
      </c>
      <c r="O379" s="786">
        <f t="shared" si="159"/>
        <v>2.7103277962239613E-2</v>
      </c>
      <c r="P379" s="831" t="b">
        <f t="shared" si="180"/>
        <v>1</v>
      </c>
      <c r="Q379" s="832">
        <f>COUNTIF(P$2:P379, TRUE)/(COUNTIF(P$2:P379,FALSE) + COUNTIF(P$2:P379, TRUE))</f>
        <v>0.48677248677248675</v>
      </c>
      <c r="R379" s="830">
        <v>272622.8</v>
      </c>
      <c r="S379" s="830">
        <f t="shared" si="181"/>
        <v>144473.97000000003</v>
      </c>
      <c r="T379" s="830">
        <v>-33400</v>
      </c>
      <c r="U379" s="830">
        <f t="shared" si="182"/>
        <v>50496.770000000019</v>
      </c>
      <c r="V379" s="832">
        <f>STDEV(D$2:D379)*SQRT(252)</f>
        <v>0.15584490061103998</v>
      </c>
      <c r="W379" s="832">
        <f>STDEV(L$2:L379)*SQRT(252)</f>
        <v>0.33872055138052226</v>
      </c>
      <c r="X379" s="801">
        <f t="shared" si="164"/>
        <v>0.54734562637235606</v>
      </c>
      <c r="Y379" s="801">
        <f t="shared" si="165"/>
        <v>8.0016632742757623E-2</v>
      </c>
      <c r="Z379" s="807">
        <f t="shared" si="166"/>
        <v>-9.1777966174064446E-2</v>
      </c>
    </row>
    <row r="380" spans="1:26" ht="20.100000000000001" customHeight="1" x14ac:dyDescent="0.2">
      <c r="A380" s="776">
        <f t="shared" si="154"/>
        <v>577</v>
      </c>
      <c r="B380" s="824">
        <v>42810</v>
      </c>
      <c r="C380" s="835">
        <v>2381.38</v>
      </c>
      <c r="D380" s="792">
        <f t="shared" si="185"/>
        <v>-1.6266570520614562E-3</v>
      </c>
      <c r="E380" s="826">
        <f t="shared" si="175"/>
        <v>0.1326744163923822</v>
      </c>
      <c r="F380" s="827">
        <v>5900.76</v>
      </c>
      <c r="G380" s="792">
        <f t="shared" si="184"/>
        <v>1.2203307096227393E-4</v>
      </c>
      <c r="H380" s="828">
        <f t="shared" si="176"/>
        <v>0.15889781408959688</v>
      </c>
      <c r="I380" s="837">
        <v>418538.3</v>
      </c>
      <c r="J380" s="830">
        <v>400000</v>
      </c>
      <c r="K380" s="830">
        <f t="shared" si="177"/>
        <v>1441.5299999999697</v>
      </c>
      <c r="L380" s="792">
        <f t="shared" si="155"/>
        <v>3.4561044431007455E-3</v>
      </c>
      <c r="M380" s="839">
        <f t="shared" si="178"/>
        <v>18538.299999999988</v>
      </c>
      <c r="N380" s="832">
        <f t="shared" si="186"/>
        <v>4.634574999999997E-2</v>
      </c>
      <c r="O380" s="786">
        <f t="shared" si="159"/>
        <v>2.9337582647313672E-2</v>
      </c>
      <c r="P380" s="831" t="b">
        <f t="shared" si="180"/>
        <v>1</v>
      </c>
      <c r="Q380" s="832">
        <f>COUNTIF(P$2:P380, TRUE)/(COUNTIF(P$2:P380,FALSE) + COUNTIF(P$2:P380, TRUE))</f>
        <v>0.48812664907651715</v>
      </c>
      <c r="R380" s="830">
        <v>275894.34999999998</v>
      </c>
      <c r="S380" s="830">
        <f t="shared" si="181"/>
        <v>142643.95000000001</v>
      </c>
      <c r="T380" s="830">
        <v>-31087</v>
      </c>
      <c r="U380" s="830">
        <f t="shared" si="182"/>
        <v>49625.299999999988</v>
      </c>
      <c r="V380" s="832">
        <f>STDEV(D$2:D380)*SQRT(252)</f>
        <v>0.15564672021947359</v>
      </c>
      <c r="W380" s="832">
        <f>STDEV(L$2:L380)*SQRT(252)</f>
        <v>0.33827914909370027</v>
      </c>
      <c r="X380" s="801">
        <f t="shared" si="164"/>
        <v>0.53958718116849824</v>
      </c>
      <c r="Y380" s="801">
        <f t="shared" si="165"/>
        <v>8.6725956139813473E-2</v>
      </c>
      <c r="Z380" s="807">
        <f t="shared" si="166"/>
        <v>-8.6328666392382236E-2</v>
      </c>
    </row>
    <row r="381" spans="1:26" ht="20.100000000000001" customHeight="1" x14ac:dyDescent="0.2">
      <c r="A381" s="776">
        <f t="shared" si="154"/>
        <v>578</v>
      </c>
      <c r="B381" s="824">
        <v>42811</v>
      </c>
      <c r="C381" s="835">
        <v>2378.25</v>
      </c>
      <c r="D381" s="792">
        <f t="shared" si="185"/>
        <v>-1.3143639402363792E-3</v>
      </c>
      <c r="E381" s="826">
        <f t="shared" si="175"/>
        <v>0.13118566998344777</v>
      </c>
      <c r="F381" s="827">
        <v>5900.99</v>
      </c>
      <c r="G381" s="792">
        <f t="shared" si="184"/>
        <v>3.8978029948610593E-5</v>
      </c>
      <c r="H381" s="828">
        <f t="shared" si="176"/>
        <v>0.15894298564330184</v>
      </c>
      <c r="I381" s="837">
        <v>417260.19</v>
      </c>
      <c r="J381" s="830">
        <v>400000</v>
      </c>
      <c r="K381" s="830">
        <f t="shared" si="177"/>
        <v>-1278.109999999986</v>
      </c>
      <c r="L381" s="792">
        <f t="shared" si="155"/>
        <v>-3.0537468136129621E-3</v>
      </c>
      <c r="M381" s="839">
        <f t="shared" si="178"/>
        <v>17260.190000000002</v>
      </c>
      <c r="N381" s="832">
        <f t="shared" si="186"/>
        <v>4.3150475000000008E-2</v>
      </c>
      <c r="O381" s="786">
        <f t="shared" si="159"/>
        <v>2.7267666079152254E-2</v>
      </c>
      <c r="P381" s="831" t="b">
        <f t="shared" si="180"/>
        <v>0</v>
      </c>
      <c r="Q381" s="832">
        <f>COUNTIF(P$2:P381, TRUE)/(COUNTIF(P$2:P381,FALSE) + COUNTIF(P$2:P381, TRUE))</f>
        <v>0.48684210526315791</v>
      </c>
      <c r="R381" s="830">
        <v>272622.8</v>
      </c>
      <c r="S381" s="830">
        <f t="shared" si="181"/>
        <v>144637.39000000001</v>
      </c>
      <c r="T381" s="830">
        <v>-31412</v>
      </c>
      <c r="U381" s="830">
        <f t="shared" si="182"/>
        <v>48672.19</v>
      </c>
      <c r="V381" s="832">
        <f>STDEV(D$2:D381)*SQRT(252)</f>
        <v>0.15544682366475293</v>
      </c>
      <c r="W381" s="832">
        <f>STDEV(L$2:L381)*SQRT(252)</f>
        <v>0.33784447155709396</v>
      </c>
      <c r="X381" s="801">
        <f t="shared" si="164"/>
        <v>0.53329428735246553</v>
      </c>
      <c r="Y381" s="801">
        <f t="shared" si="165"/>
        <v>8.0710706774268351E-2</v>
      </c>
      <c r="Z381" s="807">
        <f t="shared" si="166"/>
        <v>-8.8035194983447765E-2</v>
      </c>
    </row>
    <row r="382" spans="1:26" ht="20.100000000000001" customHeight="1" x14ac:dyDescent="0.2">
      <c r="A382" s="776">
        <f t="shared" si="154"/>
        <v>581</v>
      </c>
      <c r="B382" s="795">
        <v>42814</v>
      </c>
      <c r="C382" s="820">
        <v>2373.4699999999998</v>
      </c>
      <c r="D382" s="792">
        <f t="shared" si="185"/>
        <v>-2.0098812151793126E-3</v>
      </c>
      <c r="E382" s="819">
        <f t="shared" si="175"/>
        <v>0.12891212115446801</v>
      </c>
      <c r="F382" s="816">
        <v>5901.52</v>
      </c>
      <c r="G382" s="792">
        <f t="shared" si="184"/>
        <v>8.9815437748692146E-5</v>
      </c>
      <c r="H382" s="797">
        <f t="shared" si="176"/>
        <v>0.15904707661488318</v>
      </c>
      <c r="I382" s="799">
        <v>416415.39</v>
      </c>
      <c r="J382" s="800">
        <v>400000</v>
      </c>
      <c r="K382" s="800">
        <f t="shared" si="177"/>
        <v>-844.79999999998836</v>
      </c>
      <c r="L382" s="792">
        <f t="shared" si="155"/>
        <v>-2.0246359951089231E-3</v>
      </c>
      <c r="M382" s="817">
        <f t="shared" si="178"/>
        <v>16415.390000000014</v>
      </c>
      <c r="N382" s="802">
        <f t="shared" si="186"/>
        <v>4.1038475000000033E-2</v>
      </c>
      <c r="O382" s="786">
        <f t="shared" si="159"/>
        <v>2.579914456755596E-2</v>
      </c>
      <c r="P382" s="817" t="b">
        <f t="shared" si="180"/>
        <v>0</v>
      </c>
      <c r="Q382" s="802">
        <f>COUNTIF(P$2:P382, TRUE)/(COUNTIF(P$2:P382,FALSE) + COUNTIF(P$2:P382, TRUE))</f>
        <v>0.48556430446194226</v>
      </c>
      <c r="R382" s="800">
        <v>273908</v>
      </c>
      <c r="S382" s="800">
        <f t="shared" si="181"/>
        <v>142507.39000000001</v>
      </c>
      <c r="T382" s="800">
        <v>-32614</v>
      </c>
      <c r="U382" s="800">
        <f t="shared" si="182"/>
        <v>49029.390000000014</v>
      </c>
      <c r="V382" s="802">
        <f>STDEV(D$2:D382)*SQRT(252)</f>
        <v>0.15525374064420308</v>
      </c>
      <c r="W382" s="802">
        <f>STDEV(L$2:L382)*SQRT(252)</f>
        <v>0.33740515012051464</v>
      </c>
      <c r="X382" s="801">
        <f t="shared" si="164"/>
        <v>0.52199431591339873</v>
      </c>
      <c r="Y382" s="801">
        <f t="shared" si="165"/>
        <v>7.646339884954631E-2</v>
      </c>
      <c r="Z382" s="807">
        <f t="shared" si="166"/>
        <v>-8.787364615446798E-2</v>
      </c>
    </row>
    <row r="383" spans="1:26" ht="20.100000000000001" customHeight="1" x14ac:dyDescent="0.2">
      <c r="A383" s="776">
        <f t="shared" si="154"/>
        <v>582</v>
      </c>
      <c r="B383" s="795">
        <v>42815</v>
      </c>
      <c r="C383" s="820">
        <v>2344.02</v>
      </c>
      <c r="D383" s="792">
        <f t="shared" si="185"/>
        <v>-1.240799335993285E-2</v>
      </c>
      <c r="E383" s="819">
        <f t="shared" si="175"/>
        <v>0.11490458705123567</v>
      </c>
      <c r="F383" s="816">
        <v>5793.82</v>
      </c>
      <c r="G383" s="792">
        <f t="shared" ref="G383:G388" si="187">(F383-F382)/F382</f>
        <v>-1.8249535712833425E-2</v>
      </c>
      <c r="H383" s="797">
        <f t="shared" si="176"/>
        <v>0.13789500559734469</v>
      </c>
      <c r="I383" s="799">
        <v>411936.49</v>
      </c>
      <c r="J383" s="800">
        <v>400000</v>
      </c>
      <c r="K383" s="800">
        <f t="shared" si="177"/>
        <v>-4478.9000000000233</v>
      </c>
      <c r="L383" s="792">
        <f t="shared" si="155"/>
        <v>-1.0755846463791895E-2</v>
      </c>
      <c r="M383" s="817">
        <f t="shared" si="178"/>
        <v>11936.489999999991</v>
      </c>
      <c r="N383" s="802">
        <f t="shared" si="186"/>
        <v>2.9841224999999978E-2</v>
      </c>
      <c r="O383" s="786">
        <f t="shared" si="159"/>
        <v>1.8727675998711325E-2</v>
      </c>
      <c r="P383" s="817" t="b">
        <f t="shared" si="180"/>
        <v>1</v>
      </c>
      <c r="Q383" s="802">
        <f>COUNTIF(P$2:P383, TRUE)/(COUNTIF(P$2:P383,FALSE) + COUNTIF(P$2:P383, TRUE))</f>
        <v>0.48691099476439792</v>
      </c>
      <c r="R383" s="800">
        <v>281359.3</v>
      </c>
      <c r="S383" s="800">
        <f t="shared" si="181"/>
        <v>130577.19</v>
      </c>
      <c r="T383" s="800">
        <v>-32572</v>
      </c>
      <c r="U383" s="800">
        <f t="shared" si="182"/>
        <v>44508.489999999991</v>
      </c>
      <c r="V383" s="802">
        <f>STDEV(D$2:D383)*SQRT(252)</f>
        <v>0.15539701480265106</v>
      </c>
      <c r="W383" s="802">
        <f>STDEV(L$2:L383)*SQRT(252)</f>
        <v>0.33708689228182726</v>
      </c>
      <c r="X383" s="801">
        <f t="shared" si="164"/>
        <v>0.46404696281660901</v>
      </c>
      <c r="Y383" s="801">
        <f t="shared" si="165"/>
        <v>5.5557413911703608E-2</v>
      </c>
      <c r="Z383" s="807">
        <f t="shared" si="166"/>
        <v>-8.5063362051235686E-2</v>
      </c>
    </row>
    <row r="384" spans="1:26" ht="20.100000000000001" customHeight="1" x14ac:dyDescent="0.2">
      <c r="A384" s="776">
        <f t="shared" si="154"/>
        <v>583</v>
      </c>
      <c r="B384" s="795">
        <v>42816</v>
      </c>
      <c r="C384" s="820">
        <v>2348.4499999999998</v>
      </c>
      <c r="D384" s="792">
        <f t="shared" si="185"/>
        <v>1.8899156150544091E-3</v>
      </c>
      <c r="E384" s="819">
        <f t="shared" si="175"/>
        <v>0.11701166263959958</v>
      </c>
      <c r="F384" s="816">
        <v>5821.64</v>
      </c>
      <c r="G384" s="792">
        <f t="shared" si="187"/>
        <v>4.8016679841625422E-3</v>
      </c>
      <c r="H384" s="797">
        <f t="shared" si="176"/>
        <v>0.1433587996150599</v>
      </c>
      <c r="I384" s="799">
        <v>410749.09</v>
      </c>
      <c r="J384" s="800">
        <v>400000</v>
      </c>
      <c r="K384" s="800">
        <f t="shared" si="177"/>
        <v>-1187.3999999999651</v>
      </c>
      <c r="L384" s="792">
        <f t="shared" si="155"/>
        <v>-2.8824831711314653E-3</v>
      </c>
      <c r="M384" s="817">
        <f t="shared" si="178"/>
        <v>10749.090000000026</v>
      </c>
      <c r="N384" s="802">
        <f t="shared" si="186"/>
        <v>2.6872725000000063E-2</v>
      </c>
      <c r="O384" s="786">
        <f t="shared" si="159"/>
        <v>1.6835785259434001E-2</v>
      </c>
      <c r="P384" s="817" t="b">
        <f t="shared" si="180"/>
        <v>0</v>
      </c>
      <c r="Q384" s="802">
        <f>COUNTIF(P$2:P384, TRUE)/(COUNTIF(P$2:P384,FALSE) + COUNTIF(P$2:P384, TRUE))</f>
        <v>0.48563968668407309</v>
      </c>
      <c r="R384" s="800">
        <v>286091.90000000002</v>
      </c>
      <c r="S384" s="800">
        <f t="shared" si="181"/>
        <v>124657.19</v>
      </c>
      <c r="T384" s="800">
        <v>-33152</v>
      </c>
      <c r="U384" s="800">
        <f t="shared" si="182"/>
        <v>43901.090000000026</v>
      </c>
      <c r="V384" s="802">
        <f>STDEV(D$2:D384)*SQRT(252)</f>
        <v>0.15519809817215222</v>
      </c>
      <c r="W384" s="802">
        <f>STDEV(L$2:L384)*SQRT(252)</f>
        <v>0.33665574417634986</v>
      </c>
      <c r="X384" s="801">
        <f t="shared" si="164"/>
        <v>0.47235054978217828</v>
      </c>
      <c r="Y384" s="801">
        <f t="shared" si="165"/>
        <v>5.0008905389759037E-2</v>
      </c>
      <c r="Z384" s="807">
        <f t="shared" si="166"/>
        <v>-9.0138937639599515E-2</v>
      </c>
    </row>
    <row r="385" spans="1:26" ht="20.100000000000001" customHeight="1" x14ac:dyDescent="0.2">
      <c r="A385" s="776">
        <f t="shared" ref="A385:A448" si="188">B385-$B$2</f>
        <v>584</v>
      </c>
      <c r="B385" s="795">
        <v>42817</v>
      </c>
      <c r="C385" s="820">
        <v>2345.96</v>
      </c>
      <c r="D385" s="792">
        <f t="shared" si="185"/>
        <v>-1.0602737976110974E-3</v>
      </c>
      <c r="E385" s="819">
        <f t="shared" si="175"/>
        <v>0.11582732444207681</v>
      </c>
      <c r="F385" s="816">
        <v>5817.69</v>
      </c>
      <c r="G385" s="792">
        <f t="shared" si="187"/>
        <v>-6.7850296480042173E-4</v>
      </c>
      <c r="H385" s="797">
        <f t="shared" si="176"/>
        <v>0.14258302727969044</v>
      </c>
      <c r="I385" s="799">
        <v>409192.08</v>
      </c>
      <c r="J385" s="800">
        <v>400000</v>
      </c>
      <c r="K385" s="800">
        <f t="shared" si="177"/>
        <v>-1557.0100000000093</v>
      </c>
      <c r="L385" s="792">
        <f t="shared" si="155"/>
        <v>-3.7906596457706315E-3</v>
      </c>
      <c r="M385" s="817">
        <f t="shared" si="178"/>
        <v>9192.0800000000163</v>
      </c>
      <c r="N385" s="802">
        <f t="shared" ref="N385:N448" si="189">M385/J385</f>
        <v>2.2980200000000041E-2</v>
      </c>
      <c r="O385" s="786">
        <f t="shared" si="159"/>
        <v>1.4372462414383587E-2</v>
      </c>
      <c r="P385" s="817" t="b">
        <f t="shared" si="180"/>
        <v>0</v>
      </c>
      <c r="Q385" s="802">
        <f>COUNTIF(P$2:P385, TRUE)/(COUNTIF(P$2:P385,FALSE) + COUNTIF(P$2:P385, TRUE))</f>
        <v>0.484375</v>
      </c>
      <c r="R385" s="800">
        <v>281636.95</v>
      </c>
      <c r="S385" s="800">
        <f t="shared" si="181"/>
        <v>127555.13</v>
      </c>
      <c r="T385" s="800">
        <v>-33283</v>
      </c>
      <c r="U385" s="800">
        <f t="shared" si="182"/>
        <v>42475.080000000016</v>
      </c>
      <c r="V385" s="802">
        <f>STDEV(D$2:D385)*SQRT(252)</f>
        <v>0.15499897175263969</v>
      </c>
      <c r="W385" s="802">
        <f>STDEV(L$2:L385)*SQRT(252)</f>
        <v>0.336233128166948</v>
      </c>
      <c r="X385" s="801">
        <f t="shared" si="164"/>
        <v>0.46736865781807724</v>
      </c>
      <c r="Y385" s="801">
        <f t="shared" si="165"/>
        <v>4.274552746404961E-2</v>
      </c>
      <c r="Z385" s="807">
        <f t="shared" si="166"/>
        <v>-9.2847124442076767E-2</v>
      </c>
    </row>
    <row r="386" spans="1:26" ht="20.100000000000001" customHeight="1" x14ac:dyDescent="0.2">
      <c r="A386" s="776">
        <f t="shared" si="188"/>
        <v>585</v>
      </c>
      <c r="B386" s="795">
        <v>42818</v>
      </c>
      <c r="C386" s="820">
        <v>2343.98</v>
      </c>
      <c r="D386" s="792">
        <f t="shared" si="185"/>
        <v>-8.4400416034374759E-4</v>
      </c>
      <c r="E386" s="819">
        <f t="shared" si="175"/>
        <v>0.11488556153802247</v>
      </c>
      <c r="F386" s="816">
        <v>5828.73</v>
      </c>
      <c r="G386" s="792">
        <f t="shared" si="187"/>
        <v>1.8976604116066624E-3</v>
      </c>
      <c r="H386" s="797">
        <f t="shared" si="176"/>
        <v>0.14475126185753281</v>
      </c>
      <c r="I386" s="799">
        <v>410959.03</v>
      </c>
      <c r="J386" s="800">
        <v>400000</v>
      </c>
      <c r="K386" s="800">
        <f t="shared" si="177"/>
        <v>1766.9500000000116</v>
      </c>
      <c r="L386" s="792">
        <f t="shared" si="155"/>
        <v>4.3181432055087957E-3</v>
      </c>
      <c r="M386" s="817">
        <f t="shared" si="178"/>
        <v>10959.030000000028</v>
      </c>
      <c r="N386" s="802">
        <f t="shared" si="189"/>
        <v>2.739757500000007E-2</v>
      </c>
      <c r="O386" s="786">
        <f t="shared" si="159"/>
        <v>1.710592182692312E-2</v>
      </c>
      <c r="P386" s="817" t="b">
        <f t="shared" si="180"/>
        <v>1</v>
      </c>
      <c r="Q386" s="802">
        <f>COUNTIF(P$2:P386, TRUE)/(COUNTIF(P$2:P386,FALSE) + COUNTIF(P$2:P386, TRUE))</f>
        <v>0.48571428571428571</v>
      </c>
      <c r="R386" s="800">
        <v>286251.90000000002</v>
      </c>
      <c r="S386" s="800">
        <f t="shared" si="181"/>
        <v>124707.13</v>
      </c>
      <c r="T386" s="800">
        <v>-32644</v>
      </c>
      <c r="U386" s="800">
        <f t="shared" si="182"/>
        <v>43603.030000000028</v>
      </c>
      <c r="V386" s="802">
        <f>STDEV(D$2:D386)*SQRT(252)</f>
        <v>0.15479943060985338</v>
      </c>
      <c r="W386" s="802">
        <f>STDEV(L$2:L386)*SQRT(252)</f>
        <v>0.33580795162240923</v>
      </c>
      <c r="X386" s="801">
        <f t="shared" si="164"/>
        <v>0.46337270807744663</v>
      </c>
      <c r="Y386" s="801">
        <f t="shared" si="165"/>
        <v>5.0939597303393938E-2</v>
      </c>
      <c r="Z386" s="807">
        <f t="shared" si="166"/>
        <v>-8.7487986538022394E-2</v>
      </c>
    </row>
    <row r="387" spans="1:26" ht="20.100000000000001" customHeight="1" x14ac:dyDescent="0.2">
      <c r="A387" s="776">
        <f t="shared" si="188"/>
        <v>588</v>
      </c>
      <c r="B387" s="824">
        <v>42821</v>
      </c>
      <c r="C387" s="835">
        <v>2341.59</v>
      </c>
      <c r="D387" s="792">
        <f t="shared" si="185"/>
        <v>-1.0196332733213903E-3</v>
      </c>
      <c r="E387" s="826">
        <f t="shared" si="175"/>
        <v>0.1137487871235327</v>
      </c>
      <c r="F387" s="827">
        <v>5840.37</v>
      </c>
      <c r="G387" s="792">
        <f t="shared" si="187"/>
        <v>1.9970044932601664E-3</v>
      </c>
      <c r="H387" s="828">
        <f t="shared" si="176"/>
        <v>0.14703733527112753</v>
      </c>
      <c r="I387" s="837">
        <v>411631.08</v>
      </c>
      <c r="J387" s="830">
        <v>400000</v>
      </c>
      <c r="K387" s="830">
        <f t="shared" si="177"/>
        <v>672.04999999998836</v>
      </c>
      <c r="L387" s="792">
        <f>K387/I386</f>
        <v>1.6353211657132544E-3</v>
      </c>
      <c r="M387" s="839">
        <f t="shared" si="178"/>
        <v>11631.080000000016</v>
      </c>
      <c r="N387" s="832">
        <f t="shared" si="189"/>
        <v>2.907770000000004E-2</v>
      </c>
      <c r="O387" s="786">
        <f t="shared" si="159"/>
        <v>1.8062295790816349E-2</v>
      </c>
      <c r="P387" s="831" t="b">
        <f t="shared" si="180"/>
        <v>1</v>
      </c>
      <c r="Q387" s="832">
        <f>COUNTIF(P$2:P387, TRUE)/(COUNTIF(P$2:P387,FALSE) + COUNTIF(P$2:P387, TRUE))</f>
        <v>0.48704663212435234</v>
      </c>
      <c r="R387" s="830">
        <v>286923.95</v>
      </c>
      <c r="S387" s="830">
        <f t="shared" si="181"/>
        <v>124707.13</v>
      </c>
      <c r="T387" s="830">
        <v>-32983</v>
      </c>
      <c r="U387" s="830">
        <f t="shared" si="182"/>
        <v>44614.080000000016</v>
      </c>
      <c r="V387" s="832">
        <f>STDEV(D$2:D387)*SQRT(252)</f>
        <v>0.15460159662915288</v>
      </c>
      <c r="W387" s="832">
        <f>STDEV(L$2:L387)*SQRT(252)</f>
        <v>0.33537159778544912</v>
      </c>
      <c r="X387" s="801">
        <f t="shared" si="164"/>
        <v>0.45703104157237562</v>
      </c>
      <c r="Y387" s="801">
        <f t="shared" si="165"/>
        <v>5.3857559525274816E-2</v>
      </c>
      <c r="Z387" s="807">
        <f t="shared" si="166"/>
        <v>-8.4671087123532662E-2</v>
      </c>
    </row>
    <row r="388" spans="1:26" ht="20.100000000000001" customHeight="1" x14ac:dyDescent="0.2">
      <c r="A388" s="776">
        <f t="shared" si="188"/>
        <v>589</v>
      </c>
      <c r="B388" s="824">
        <v>42822</v>
      </c>
      <c r="C388" s="835">
        <v>2358.5700000000002</v>
      </c>
      <c r="D388" s="792">
        <f t="shared" si="185"/>
        <v>7.2514829667021203E-3</v>
      </c>
      <c r="E388" s="826">
        <f t="shared" si="175"/>
        <v>0.12182511748254414</v>
      </c>
      <c r="F388" s="827">
        <v>5875.14</v>
      </c>
      <c r="G388" s="792">
        <f t="shared" si="187"/>
        <v>5.9533899393361097E-3</v>
      </c>
      <c r="H388" s="828">
        <f t="shared" si="176"/>
        <v>0.15386609580297358</v>
      </c>
      <c r="I388" s="837">
        <v>415160.28</v>
      </c>
      <c r="J388" s="830">
        <v>400000</v>
      </c>
      <c r="K388" s="830">
        <f t="shared" si="177"/>
        <v>3529.2000000000116</v>
      </c>
      <c r="L388" s="792">
        <f t="shared" ref="L388:L401" si="190">K388/I387</f>
        <v>8.5736966217420021E-3</v>
      </c>
      <c r="M388" s="839">
        <f t="shared" si="178"/>
        <v>15160.280000000028</v>
      </c>
      <c r="N388" s="832">
        <f t="shared" si="189"/>
        <v>3.7900700000000072E-2</v>
      </c>
      <c r="O388" s="786">
        <f t="shared" si="159"/>
        <v>2.3502938327674066E-2</v>
      </c>
      <c r="P388" s="831" t="b">
        <f t="shared" si="180"/>
        <v>1</v>
      </c>
      <c r="Q388" s="832">
        <f>COUNTIF(P$2:P388, TRUE)/(COUNTIF(P$2:P388,FALSE) + COUNTIF(P$2:P388, TRUE))</f>
        <v>0.48837209302325579</v>
      </c>
      <c r="R388" s="830">
        <v>290453.15000000002</v>
      </c>
      <c r="S388" s="830">
        <f t="shared" si="181"/>
        <v>124707.13</v>
      </c>
      <c r="T388" s="830">
        <v>-33166</v>
      </c>
      <c r="U388" s="830">
        <f t="shared" si="182"/>
        <v>48326.280000000028</v>
      </c>
      <c r="V388" s="832">
        <f>STDEV(D$2:D388)*SQRT(252)</f>
        <v>0.15450201975673039</v>
      </c>
      <c r="W388" s="832">
        <f>STDEV(L$2:L388)*SQRT(252)</f>
        <v>0.33499869256198822</v>
      </c>
      <c r="X388" s="801">
        <f t="shared" si="164"/>
        <v>0.48896481305054024</v>
      </c>
      <c r="Y388" s="801">
        <f t="shared" si="165"/>
        <v>7.0158298672539088E-2</v>
      </c>
      <c r="Z388" s="807">
        <f t="shared" si="166"/>
        <v>-8.3924417482544061E-2</v>
      </c>
    </row>
    <row r="389" spans="1:26" ht="20.100000000000001" customHeight="1" x14ac:dyDescent="0.2">
      <c r="A389" s="776">
        <f t="shared" si="188"/>
        <v>590</v>
      </c>
      <c r="B389" s="824">
        <v>42823</v>
      </c>
      <c r="C389" s="835">
        <v>2361.13</v>
      </c>
      <c r="D389" s="792">
        <f t="shared" si="185"/>
        <v>1.0854034436119959E-3</v>
      </c>
      <c r="E389" s="826">
        <f t="shared" si="175"/>
        <v>0.12304275032819012</v>
      </c>
      <c r="F389" s="827">
        <v>5897.54</v>
      </c>
      <c r="G389" s="792">
        <f t="shared" ref="G389:G401" si="191">(F389-F388)/F388</f>
        <v>3.8126751022102682E-3</v>
      </c>
      <c r="H389" s="828">
        <f t="shared" si="176"/>
        <v>0.15826541233772615</v>
      </c>
      <c r="I389" s="837">
        <v>420963.65</v>
      </c>
      <c r="J389" s="830">
        <v>400000</v>
      </c>
      <c r="K389" s="830">
        <f t="shared" si="177"/>
        <v>5803.3699999999953</v>
      </c>
      <c r="L389" s="792">
        <f t="shared" si="190"/>
        <v>1.3978625315504641E-2</v>
      </c>
      <c r="M389" s="839">
        <f t="shared" si="178"/>
        <v>20963.650000000023</v>
      </c>
      <c r="N389" s="832">
        <f t="shared" si="189"/>
        <v>5.2409125000000056E-2</v>
      </c>
      <c r="O389" s="786">
        <f t="shared" si="159"/>
        <v>3.2444801536016983E-2</v>
      </c>
      <c r="P389" s="831" t="b">
        <f t="shared" si="180"/>
        <v>1</v>
      </c>
      <c r="Q389" s="832">
        <f>COUNTIF(P$2:P389, TRUE)/(COUNTIF(P$2:P389,FALSE) + COUNTIF(P$2:P389, TRUE))</f>
        <v>0.48969072164948452</v>
      </c>
      <c r="R389" s="830">
        <v>287876.7</v>
      </c>
      <c r="S389" s="830">
        <f t="shared" si="181"/>
        <v>133086.95000000001</v>
      </c>
      <c r="T389" s="830">
        <v>-32529</v>
      </c>
      <c r="U389" s="830">
        <f t="shared" si="182"/>
        <v>53492.650000000023</v>
      </c>
      <c r="V389" s="832">
        <f>STDEV(D$2:D389)*SQRT(252)</f>
        <v>0.15430291454708026</v>
      </c>
      <c r="W389" s="832">
        <f>STDEV(L$2:L389)*SQRT(252)</f>
        <v>0.3347396845919004</v>
      </c>
      <c r="X389" s="801">
        <f t="shared" si="164"/>
        <v>0.49365110541244273</v>
      </c>
      <c r="Y389" s="801">
        <f t="shared" si="165"/>
        <v>9.6925470834365604E-2</v>
      </c>
      <c r="Z389" s="807">
        <f t="shared" si="166"/>
        <v>-7.0633625328190064E-2</v>
      </c>
    </row>
    <row r="390" spans="1:26" ht="20.100000000000001" customHeight="1" x14ac:dyDescent="0.2">
      <c r="A390" s="776">
        <f t="shared" si="188"/>
        <v>591</v>
      </c>
      <c r="B390" s="824">
        <v>42824</v>
      </c>
      <c r="C390" s="835">
        <v>2368.06</v>
      </c>
      <c r="D390" s="792">
        <f t="shared" si="185"/>
        <v>2.9350353432465964E-3</v>
      </c>
      <c r="E390" s="826">
        <f t="shared" si="175"/>
        <v>0.12633892049238021</v>
      </c>
      <c r="F390" s="827">
        <v>5914.34</v>
      </c>
      <c r="G390" s="792">
        <f t="shared" si="191"/>
        <v>2.848645367390502E-3</v>
      </c>
      <c r="H390" s="828">
        <f t="shared" si="176"/>
        <v>0.16156489973879065</v>
      </c>
      <c r="I390" s="837">
        <v>421561.9</v>
      </c>
      <c r="J390" s="830">
        <v>400000</v>
      </c>
      <c r="K390" s="830">
        <f t="shared" si="177"/>
        <v>598.25</v>
      </c>
      <c r="L390" s="792">
        <f t="shared" si="190"/>
        <v>1.4211440821553119E-3</v>
      </c>
      <c r="M390" s="839">
        <f t="shared" si="178"/>
        <v>21561.900000000023</v>
      </c>
      <c r="N390" s="832">
        <f t="shared" si="189"/>
        <v>5.3904750000000057E-2</v>
      </c>
      <c r="O390" s="786">
        <f t="shared" si="159"/>
        <v>3.3314230012690391E-2</v>
      </c>
      <c r="P390" s="831" t="b">
        <f t="shared" si="180"/>
        <v>0</v>
      </c>
      <c r="Q390" s="832">
        <f>COUNTIF(P$2:P390, TRUE)/(COUNTIF(P$2:P390,FALSE) + COUNTIF(P$2:P390, TRUE))</f>
        <v>0.4884318766066838</v>
      </c>
      <c r="R390" s="830">
        <v>288474.95</v>
      </c>
      <c r="S390" s="830">
        <f t="shared" si="181"/>
        <v>133086.95000000001</v>
      </c>
      <c r="T390" s="830">
        <v>-32386</v>
      </c>
      <c r="U390" s="830">
        <f t="shared" si="182"/>
        <v>53947.900000000023</v>
      </c>
      <c r="V390" s="832">
        <f>STDEV(D$2:D390)*SQRT(252)</f>
        <v>0.15411754273939668</v>
      </c>
      <c r="W390" s="832">
        <f>STDEV(L$2:L390)*SQRT(252)</f>
        <v>0.3343075900232127</v>
      </c>
      <c r="X390" s="801">
        <f t="shared" si="164"/>
        <v>0.50662641470730152</v>
      </c>
      <c r="Y390" s="801">
        <f t="shared" si="165"/>
        <v>9.9651431815763483E-2</v>
      </c>
      <c r="Z390" s="807">
        <f t="shared" si="166"/>
        <v>-7.2434170492380157E-2</v>
      </c>
    </row>
    <row r="391" spans="1:26" ht="20.100000000000001" customHeight="1" x14ac:dyDescent="0.2">
      <c r="A391" s="776">
        <f t="shared" si="188"/>
        <v>592</v>
      </c>
      <c r="B391" s="824">
        <v>42825</v>
      </c>
      <c r="C391" s="835">
        <v>2362.7199999999998</v>
      </c>
      <c r="D391" s="792">
        <f t="shared" si="185"/>
        <v>-2.2550104304790188E-3</v>
      </c>
      <c r="E391" s="826">
        <f t="shared" si="175"/>
        <v>0.12379901447841543</v>
      </c>
      <c r="F391" s="827">
        <v>5911.73</v>
      </c>
      <c r="G391" s="792">
        <f t="shared" si="191"/>
        <v>-4.4130029724374692E-4</v>
      </c>
      <c r="H391" s="828">
        <f t="shared" si="176"/>
        <v>0.16105230080326802</v>
      </c>
      <c r="I391" s="838">
        <v>422230.44</v>
      </c>
      <c r="J391" s="830">
        <v>400000</v>
      </c>
      <c r="K391" s="830">
        <f t="shared" si="177"/>
        <v>668.53999999997905</v>
      </c>
      <c r="L391" s="792">
        <f t="shared" si="190"/>
        <v>1.5858643772124071E-3</v>
      </c>
      <c r="M391" s="836">
        <f t="shared" si="178"/>
        <v>22230.440000000002</v>
      </c>
      <c r="N391" s="832">
        <f t="shared" si="189"/>
        <v>5.5576100000000003E-2</v>
      </c>
      <c r="O391" s="786">
        <f t="shared" ref="O391:O454" si="192">N391/(A391/365.25)</f>
        <v>3.4289139400337842E-2</v>
      </c>
      <c r="P391" s="831" t="b">
        <f t="shared" si="180"/>
        <v>1</v>
      </c>
      <c r="Q391" s="832">
        <f>COUNTIF(P$2:P391, TRUE)/(COUNTIF(P$2:P391,FALSE) + COUNTIF(P$2:P391, TRUE))</f>
        <v>0.48974358974358972</v>
      </c>
      <c r="R391" s="830">
        <v>285478.7</v>
      </c>
      <c r="S391" s="830">
        <f t="shared" si="181"/>
        <v>136751.74</v>
      </c>
      <c r="T391" s="830">
        <v>-31395</v>
      </c>
      <c r="U391" s="830">
        <f t="shared" si="182"/>
        <v>53625.440000000002</v>
      </c>
      <c r="V391" s="832">
        <f>STDEV(D$2:D391)*SQRT(252)</f>
        <v>0.15393312876739909</v>
      </c>
      <c r="W391" s="832">
        <f>STDEV(L$2:L391)*SQRT(252)</f>
        <v>0.33387745459794199</v>
      </c>
      <c r="X391" s="801">
        <f t="shared" si="164"/>
        <v>0.4961963994716278</v>
      </c>
      <c r="Y391" s="801">
        <f t="shared" si="165"/>
        <v>0.10269977480698453</v>
      </c>
      <c r="Z391" s="807">
        <f t="shared" si="166"/>
        <v>-6.8222914478415428E-2</v>
      </c>
    </row>
    <row r="392" spans="1:26" ht="20.100000000000001" customHeight="1" x14ac:dyDescent="0.2">
      <c r="A392" s="776">
        <f t="shared" si="188"/>
        <v>595</v>
      </c>
      <c r="B392" s="795">
        <v>42828</v>
      </c>
      <c r="C392" s="820">
        <v>2358.84</v>
      </c>
      <c r="D392" s="792">
        <f t="shared" si="185"/>
        <v>-1.6421751202003007E-3</v>
      </c>
      <c r="E392" s="819">
        <f t="shared" si="175"/>
        <v>0.12195353969673337</v>
      </c>
      <c r="F392" s="816">
        <v>5894.68</v>
      </c>
      <c r="G392" s="792">
        <f t="shared" si="191"/>
        <v>-2.8840965335019146E-3</v>
      </c>
      <c r="H392" s="797">
        <f t="shared" si="176"/>
        <v>0.15770371388730689</v>
      </c>
      <c r="I392" s="799">
        <v>420788.86</v>
      </c>
      <c r="J392" s="800">
        <v>400000</v>
      </c>
      <c r="K392" s="800">
        <f t="shared" si="177"/>
        <v>-1441.5800000000163</v>
      </c>
      <c r="L392" s="792">
        <f t="shared" si="190"/>
        <v>-3.4142019699006454E-3</v>
      </c>
      <c r="M392" s="817">
        <f t="shared" si="178"/>
        <v>20788.859999999986</v>
      </c>
      <c r="N392" s="802">
        <f t="shared" si="189"/>
        <v>5.1972149999999967E-2</v>
      </c>
      <c r="O392" s="786">
        <f t="shared" si="192"/>
        <v>3.1903912247899138E-2</v>
      </c>
      <c r="P392" s="817" t="b">
        <f t="shared" si="180"/>
        <v>0</v>
      </c>
      <c r="Q392" s="802">
        <f>COUNTIF(P$2:P392, TRUE)/(COUNTIF(P$2:P392,FALSE) + COUNTIF(P$2:P392, TRUE))</f>
        <v>0.48849104859335041</v>
      </c>
      <c r="R392" s="800">
        <v>278736.34999999998</v>
      </c>
      <c r="S392" s="800">
        <f t="shared" si="181"/>
        <v>142052.51</v>
      </c>
      <c r="T392" s="800">
        <v>-32014</v>
      </c>
      <c r="U392" s="800">
        <f t="shared" si="182"/>
        <v>52802.859999999986</v>
      </c>
      <c r="V392" s="802">
        <f>STDEV(D$2:D392)*SQRT(252)</f>
        <v>0.15374345797285574</v>
      </c>
      <c r="W392" s="802">
        <f>STDEV(L$2:L392)*SQRT(252)</f>
        <v>0.33346362819879094</v>
      </c>
      <c r="X392" s="801">
        <f t="shared" si="164"/>
        <v>0.48693503610690675</v>
      </c>
      <c r="Y392" s="801">
        <f t="shared" si="165"/>
        <v>9.5674339118267934E-2</v>
      </c>
      <c r="Z392" s="807">
        <f t="shared" si="166"/>
        <v>-6.9981389696733398E-2</v>
      </c>
    </row>
    <row r="393" spans="1:26" ht="20.100000000000001" customHeight="1" x14ac:dyDescent="0.2">
      <c r="A393" s="776">
        <f t="shared" si="188"/>
        <v>596</v>
      </c>
      <c r="B393" s="795">
        <v>42829</v>
      </c>
      <c r="C393" s="820">
        <v>2360.16</v>
      </c>
      <c r="D393" s="792">
        <f t="shared" si="185"/>
        <v>5.5959709009500806E-4</v>
      </c>
      <c r="E393" s="819">
        <f t="shared" si="175"/>
        <v>0.12258138163276945</v>
      </c>
      <c r="F393" s="816">
        <v>5898.6</v>
      </c>
      <c r="G393" s="792">
        <f t="shared" si="191"/>
        <v>6.6500641256184774E-4</v>
      </c>
      <c r="H393" s="797">
        <f t="shared" si="176"/>
        <v>0.15847359428088861</v>
      </c>
      <c r="I393" s="799">
        <v>422816.59</v>
      </c>
      <c r="J393" s="800">
        <v>400000</v>
      </c>
      <c r="K393" s="800">
        <f t="shared" si="177"/>
        <v>2027.7300000000396</v>
      </c>
      <c r="L393" s="792">
        <f t="shared" si="190"/>
        <v>4.8188775719966532E-3</v>
      </c>
      <c r="M393" s="817">
        <f t="shared" si="178"/>
        <v>22816.590000000026</v>
      </c>
      <c r="N393" s="802">
        <f t="shared" si="189"/>
        <v>5.7041475000000064E-2</v>
      </c>
      <c r="O393" s="786">
        <f t="shared" si="192"/>
        <v>3.4957044872063796E-2</v>
      </c>
      <c r="P393" s="817" t="b">
        <f t="shared" si="180"/>
        <v>1</v>
      </c>
      <c r="Q393" s="802">
        <f>COUNTIF(P$2:P393, TRUE)/(COUNTIF(P$2:P393,FALSE) + COUNTIF(P$2:P393, TRUE))</f>
        <v>0.48979591836734693</v>
      </c>
      <c r="R393" s="800">
        <v>279812.09999999998</v>
      </c>
      <c r="S393" s="800">
        <f t="shared" si="181"/>
        <v>143004.49000000005</v>
      </c>
      <c r="T393" s="800">
        <v>-31748</v>
      </c>
      <c r="U393" s="800">
        <f t="shared" si="182"/>
        <v>54564.590000000026</v>
      </c>
      <c r="V393" s="802">
        <f>STDEV(D$2:D393)*SQRT(252)</f>
        <v>0.15354632404261861</v>
      </c>
      <c r="W393" s="802">
        <f>STDEV(L$2:L393)*SQRT(252)</f>
        <v>0.33305315734956037</v>
      </c>
      <c r="X393" s="801">
        <f t="shared" si="164"/>
        <v>0.48924799346575887</v>
      </c>
      <c r="Y393" s="801">
        <f t="shared" si="165"/>
        <v>0.10495935588856815</v>
      </c>
      <c r="Z393" s="807">
        <f t="shared" si="166"/>
        <v>-6.5539906632769387E-2</v>
      </c>
    </row>
    <row r="394" spans="1:26" ht="20.100000000000001" customHeight="1" x14ac:dyDescent="0.2">
      <c r="A394" s="776">
        <f t="shared" si="188"/>
        <v>597</v>
      </c>
      <c r="B394" s="795">
        <v>42830</v>
      </c>
      <c r="C394" s="820">
        <v>2352.9499999999998</v>
      </c>
      <c r="D394" s="792">
        <f t="shared" si="185"/>
        <v>-3.054877635414564E-3</v>
      </c>
      <c r="E394" s="819">
        <f t="shared" si="175"/>
        <v>0.11915203287608672</v>
      </c>
      <c r="F394" s="816">
        <v>5864.47</v>
      </c>
      <c r="G394" s="792">
        <f t="shared" si="191"/>
        <v>-5.7861187400400273E-3</v>
      </c>
      <c r="H394" s="797">
        <f t="shared" ref="H394:H425" si="193">(F394-F$2)/F$2</f>
        <v>0.15177052850717845</v>
      </c>
      <c r="I394" s="799">
        <v>421093.29</v>
      </c>
      <c r="J394" s="800">
        <v>400000</v>
      </c>
      <c r="K394" s="800">
        <f t="shared" ref="K394:K425" si="194">I394-I393-J394+J393</f>
        <v>-1723.3000000000466</v>
      </c>
      <c r="L394" s="792">
        <f t="shared" si="190"/>
        <v>-4.0757624955067313E-3</v>
      </c>
      <c r="M394" s="817">
        <f t="shared" si="178"/>
        <v>21093.289999999979</v>
      </c>
      <c r="N394" s="802">
        <f t="shared" si="189"/>
        <v>5.2733224999999946E-2</v>
      </c>
      <c r="O394" s="786">
        <f t="shared" si="192"/>
        <v>3.2262664038944691E-2</v>
      </c>
      <c r="P394" s="817" t="b">
        <f t="shared" si="180"/>
        <v>0</v>
      </c>
      <c r="Q394" s="802">
        <f>COUNTIF(P$2:P394, TRUE)/(COUNTIF(P$2:P394,FALSE) + COUNTIF(P$2:P394, TRUE))</f>
        <v>0.48854961832061067</v>
      </c>
      <c r="R394" s="800">
        <v>275976.95</v>
      </c>
      <c r="S394" s="800">
        <f t="shared" ref="S394:S425" si="195">I394-R394</f>
        <v>145116.33999999997</v>
      </c>
      <c r="T394" s="800">
        <v>-31864</v>
      </c>
      <c r="U394" s="800">
        <f t="shared" ref="U394:U425" si="196">M394-T394</f>
        <v>52957.289999999979</v>
      </c>
      <c r="V394" s="802">
        <f>STDEV(D$2:D394)*SQRT(252)</f>
        <v>0.15337403613806713</v>
      </c>
      <c r="W394" s="802">
        <f>STDEV(L$2:L394)*SQRT(252)</f>
        <v>0.33264809996553257</v>
      </c>
      <c r="X394" s="801">
        <f t="shared" si="164"/>
        <v>0.47529747085124752</v>
      </c>
      <c r="Y394" s="801">
        <f t="shared" si="165"/>
        <v>9.6987369061442397E-2</v>
      </c>
      <c r="Z394" s="807">
        <f t="shared" si="166"/>
        <v>-6.6418807876086783E-2</v>
      </c>
    </row>
    <row r="395" spans="1:26" ht="20.100000000000001" customHeight="1" x14ac:dyDescent="0.2">
      <c r="A395" s="776">
        <f t="shared" si="188"/>
        <v>598</v>
      </c>
      <c r="B395" s="795">
        <v>42831</v>
      </c>
      <c r="C395" s="820">
        <v>2357.4899999999998</v>
      </c>
      <c r="D395" s="792">
        <f t="shared" si="185"/>
        <v>1.9294927644021181E-3</v>
      </c>
      <c r="E395" s="819">
        <f t="shared" si="175"/>
        <v>0.12131142862578705</v>
      </c>
      <c r="F395" s="816">
        <v>5878.95</v>
      </c>
      <c r="G395" s="792">
        <f t="shared" si="191"/>
        <v>2.4691063301542277E-3</v>
      </c>
      <c r="H395" s="797">
        <f t="shared" si="193"/>
        <v>0.15461437241000059</v>
      </c>
      <c r="I395" s="799">
        <v>424138.1</v>
      </c>
      <c r="J395" s="800">
        <v>400000</v>
      </c>
      <c r="K395" s="800">
        <f t="shared" si="194"/>
        <v>3044.8099999999977</v>
      </c>
      <c r="L395" s="792">
        <f t="shared" si="190"/>
        <v>7.2307255240281736E-3</v>
      </c>
      <c r="M395" s="817">
        <f t="shared" si="178"/>
        <v>24138.099999999977</v>
      </c>
      <c r="N395" s="802">
        <f t="shared" si="189"/>
        <v>6.0345249999999941E-2</v>
      </c>
      <c r="O395" s="786">
        <f t="shared" si="192"/>
        <v>3.6858031040969866E-2</v>
      </c>
      <c r="P395" s="817" t="b">
        <f t="shared" si="180"/>
        <v>1</v>
      </c>
      <c r="Q395" s="802">
        <f>COUNTIF(P$2:P395, TRUE)/(COUNTIF(P$2:P395,FALSE) + COUNTIF(P$2:P395, TRUE))</f>
        <v>0.48984771573604063</v>
      </c>
      <c r="R395" s="800">
        <v>278419.3</v>
      </c>
      <c r="S395" s="800">
        <f t="shared" si="195"/>
        <v>145718.79999999999</v>
      </c>
      <c r="T395" s="800">
        <v>-32100</v>
      </c>
      <c r="U395" s="800">
        <f t="shared" si="196"/>
        <v>56238.099999999977</v>
      </c>
      <c r="V395" s="802">
        <f>STDEV(D$2:D395)*SQRT(252)</f>
        <v>0.15318361130660466</v>
      </c>
      <c r="W395" s="802">
        <f>STDEV(L$2:L395)*SQRT(252)</f>
        <v>0.33226612910747538</v>
      </c>
      <c r="X395" s="801">
        <f t="shared" si="164"/>
        <v>0.48370263589223456</v>
      </c>
      <c r="Y395" s="801">
        <f t="shared" si="165"/>
        <v>0.11092924560194248</v>
      </c>
      <c r="Z395" s="807">
        <f t="shared" si="166"/>
        <v>-6.0966178625787106E-2</v>
      </c>
    </row>
    <row r="396" spans="1:26" ht="20.100000000000001" customHeight="1" x14ac:dyDescent="0.2">
      <c r="A396" s="776">
        <f t="shared" si="188"/>
        <v>599</v>
      </c>
      <c r="B396" s="795">
        <v>42832</v>
      </c>
      <c r="C396" s="820">
        <v>2355.54</v>
      </c>
      <c r="D396" s="792">
        <f t="shared" si="185"/>
        <v>-8.2715091050219439E-4</v>
      </c>
      <c r="E396" s="819">
        <f t="shared" si="175"/>
        <v>0.12038393485664271</v>
      </c>
      <c r="F396" s="816">
        <v>5877.81</v>
      </c>
      <c r="G396" s="792">
        <f t="shared" si="191"/>
        <v>-1.9391217819498687E-4</v>
      </c>
      <c r="H396" s="797">
        <f t="shared" si="193"/>
        <v>0.15439047862207134</v>
      </c>
      <c r="I396" s="799">
        <v>423331.5</v>
      </c>
      <c r="J396" s="800">
        <v>400000</v>
      </c>
      <c r="K396" s="800">
        <f t="shared" si="194"/>
        <v>-806.59999999997672</v>
      </c>
      <c r="L396" s="792">
        <f t="shared" si="190"/>
        <v>-1.901739079794946E-3</v>
      </c>
      <c r="M396" s="817">
        <f t="shared" si="178"/>
        <v>23331.5</v>
      </c>
      <c r="N396" s="802">
        <f t="shared" si="189"/>
        <v>5.8328749999999999E-2</v>
      </c>
      <c r="O396" s="786">
        <f t="shared" si="192"/>
        <v>3.5566904737061769E-2</v>
      </c>
      <c r="P396" s="817" t="b">
        <f t="shared" si="180"/>
        <v>0</v>
      </c>
      <c r="Q396" s="802">
        <f>COUNTIF(P$2:P396, TRUE)/(COUNTIF(P$2:P396,FALSE) + COUNTIF(P$2:P396, TRUE))</f>
        <v>0.48860759493670886</v>
      </c>
      <c r="R396" s="800">
        <v>280798.7</v>
      </c>
      <c r="S396" s="800">
        <f t="shared" si="195"/>
        <v>142532.79999999999</v>
      </c>
      <c r="T396" s="800">
        <v>-32984</v>
      </c>
      <c r="U396" s="800">
        <f t="shared" si="196"/>
        <v>56315.5</v>
      </c>
      <c r="V396" s="802">
        <f>STDEV(D$2:D396)*SQRT(252)</f>
        <v>0.15299143349186958</v>
      </c>
      <c r="W396" s="802">
        <f>STDEV(L$2:L396)*SQRT(252)</f>
        <v>0.33184917870470027</v>
      </c>
      <c r="X396" s="801">
        <f t="shared" si="164"/>
        <v>0.4798050590690206</v>
      </c>
      <c r="Y396" s="801">
        <f t="shared" si="165"/>
        <v>0.10717792002948237</v>
      </c>
      <c r="Z396" s="807">
        <f t="shared" si="166"/>
        <v>-6.2055184856642714E-2</v>
      </c>
    </row>
    <row r="397" spans="1:26" ht="20.100000000000001" customHeight="1" x14ac:dyDescent="0.2">
      <c r="A397" s="776">
        <f t="shared" si="188"/>
        <v>602</v>
      </c>
      <c r="B397" s="824">
        <v>42835</v>
      </c>
      <c r="C397" s="835">
        <v>2357.16</v>
      </c>
      <c r="D397" s="792">
        <f t="shared" si="185"/>
        <v>6.8774039073838311E-4</v>
      </c>
      <c r="E397" s="826">
        <f t="shared" si="175"/>
        <v>0.12115446814177802</v>
      </c>
      <c r="F397" s="827">
        <v>5880.92</v>
      </c>
      <c r="G397" s="792">
        <f t="shared" si="191"/>
        <v>5.2910863059535309E-4</v>
      </c>
      <c r="H397" s="828">
        <f t="shared" si="193"/>
        <v>0.15500127658738738</v>
      </c>
      <c r="I397" s="837">
        <v>425409.3</v>
      </c>
      <c r="J397" s="830">
        <v>400000</v>
      </c>
      <c r="K397" s="830">
        <f t="shared" si="194"/>
        <v>2077.7999999999884</v>
      </c>
      <c r="L397" s="792">
        <f t="shared" si="190"/>
        <v>4.9082102324064904E-3</v>
      </c>
      <c r="M397" s="839">
        <f t="shared" si="178"/>
        <v>25409.299999999988</v>
      </c>
      <c r="N397" s="832">
        <f t="shared" si="189"/>
        <v>6.3523249999999976E-2</v>
      </c>
      <c r="O397" s="786">
        <f t="shared" si="192"/>
        <v>3.854130741279068E-2</v>
      </c>
      <c r="P397" s="831" t="b">
        <f t="shared" si="180"/>
        <v>1</v>
      </c>
      <c r="Q397" s="832">
        <f>COUNTIF(P$2:P397, TRUE)/(COUNTIF(P$2:P397,FALSE) + COUNTIF(P$2:P397, TRUE))</f>
        <v>0.48989898989898989</v>
      </c>
      <c r="R397" s="830">
        <v>285684.5</v>
      </c>
      <c r="S397" s="830">
        <f t="shared" si="195"/>
        <v>139724.79999999999</v>
      </c>
      <c r="T397" s="830">
        <v>-32983</v>
      </c>
      <c r="U397" s="830">
        <f t="shared" si="196"/>
        <v>58392.299999999988</v>
      </c>
      <c r="V397" s="832">
        <f>STDEV(D$2:D397)*SQRT(252)</f>
        <v>0.15279741867910826</v>
      </c>
      <c r="W397" s="832">
        <f>STDEV(L$2:L397)*SQRT(252)</f>
        <v>0.3314456683195206</v>
      </c>
      <c r="X397" s="801">
        <f t="shared" si="164"/>
        <v>0.48107983277035776</v>
      </c>
      <c r="Y397" s="801">
        <f t="shared" si="165"/>
        <v>0.11628242905753122</v>
      </c>
      <c r="Z397" s="807">
        <f t="shared" si="166"/>
        <v>-5.7631218141778046E-2</v>
      </c>
    </row>
    <row r="398" spans="1:26" ht="20.100000000000001" customHeight="1" x14ac:dyDescent="0.2">
      <c r="A398" s="776">
        <f t="shared" si="188"/>
        <v>603</v>
      </c>
      <c r="B398" s="824">
        <v>42836</v>
      </c>
      <c r="C398" s="835">
        <v>2353.7800000000002</v>
      </c>
      <c r="D398" s="792">
        <f t="shared" si="185"/>
        <v>-1.4339289653649539E-3</v>
      </c>
      <c r="E398" s="826">
        <f t="shared" si="175"/>
        <v>0.11954681227526119</v>
      </c>
      <c r="F398" s="827">
        <v>5866.77</v>
      </c>
      <c r="G398" s="792">
        <f t="shared" si="191"/>
        <v>-2.4060861225793984E-3</v>
      </c>
      <c r="H398" s="828">
        <f t="shared" si="193"/>
        <v>0.15222224404422896</v>
      </c>
      <c r="I398" s="837">
        <v>423985</v>
      </c>
      <c r="J398" s="830">
        <v>400000</v>
      </c>
      <c r="K398" s="830">
        <f t="shared" si="194"/>
        <v>-1424.2999999999884</v>
      </c>
      <c r="L398" s="792">
        <f t="shared" si="190"/>
        <v>-3.3480697295521947E-3</v>
      </c>
      <c r="M398" s="839">
        <f t="shared" si="178"/>
        <v>23985</v>
      </c>
      <c r="N398" s="832">
        <f t="shared" si="189"/>
        <v>5.9962500000000002E-2</v>
      </c>
      <c r="O398" s="786">
        <f t="shared" si="192"/>
        <v>3.6320569029850744E-2</v>
      </c>
      <c r="P398" s="831" t="b">
        <f t="shared" si="180"/>
        <v>0</v>
      </c>
      <c r="Q398" s="832">
        <f>COUNTIF(P$2:P398, TRUE)/(COUNTIF(P$2:P398,FALSE) + COUNTIF(P$2:P398, TRUE))</f>
        <v>0.48866498740554154</v>
      </c>
      <c r="R398" s="830">
        <v>291945.2</v>
      </c>
      <c r="S398" s="830">
        <f t="shared" si="195"/>
        <v>132039.79999999999</v>
      </c>
      <c r="T398" s="830">
        <v>-32982</v>
      </c>
      <c r="U398" s="830">
        <f t="shared" si="196"/>
        <v>56967</v>
      </c>
      <c r="V398" s="832">
        <f>STDEV(D$2:D398)*SQRT(252)</f>
        <v>0.15261041063464104</v>
      </c>
      <c r="W398" s="832">
        <f>STDEV(L$2:L398)*SQRT(252)</f>
        <v>0.33104089578978618</v>
      </c>
      <c r="X398" s="801">
        <f t="shared" si="164"/>
        <v>0.47448965875338012</v>
      </c>
      <c r="Y398" s="801">
        <f t="shared" si="165"/>
        <v>0.10971626011100036</v>
      </c>
      <c r="Z398" s="807">
        <f t="shared" si="166"/>
        <v>-5.9584312275261189E-2</v>
      </c>
    </row>
    <row r="399" spans="1:26" ht="20.100000000000001" customHeight="1" x14ac:dyDescent="0.2">
      <c r="A399" s="776">
        <f t="shared" si="188"/>
        <v>604</v>
      </c>
      <c r="B399" s="824">
        <v>42837</v>
      </c>
      <c r="C399" s="835">
        <v>2344.9299999999998</v>
      </c>
      <c r="D399" s="792">
        <f t="shared" si="185"/>
        <v>-3.7599095922305243E-3</v>
      </c>
      <c r="E399" s="826">
        <f t="shared" si="175"/>
        <v>0.11533741747683633</v>
      </c>
      <c r="F399" s="827">
        <v>5836.16</v>
      </c>
      <c r="G399" s="792">
        <f t="shared" si="191"/>
        <v>-5.2175217368331432E-3</v>
      </c>
      <c r="H399" s="828">
        <f t="shared" si="193"/>
        <v>0.14621049944026554</v>
      </c>
      <c r="I399" s="837">
        <v>422212.73</v>
      </c>
      <c r="J399" s="830">
        <v>400000</v>
      </c>
      <c r="K399" s="830">
        <f t="shared" si="194"/>
        <v>-1772.2700000000186</v>
      </c>
      <c r="L399" s="792">
        <f t="shared" si="190"/>
        <v>-4.1800299538899219E-3</v>
      </c>
      <c r="M399" s="839">
        <f t="shared" si="178"/>
        <v>22212.729999999981</v>
      </c>
      <c r="N399" s="832">
        <f t="shared" si="189"/>
        <v>5.5531824999999951E-2</v>
      </c>
      <c r="O399" s="786">
        <f t="shared" si="192"/>
        <v>3.3581124306705269E-2</v>
      </c>
      <c r="P399" s="831" t="b">
        <f t="shared" si="180"/>
        <v>0</v>
      </c>
      <c r="Q399" s="832">
        <f>COUNTIF(P$2:P399, TRUE)/(COUNTIF(P$2:P399,FALSE) + COUNTIF(P$2:P399, TRUE))</f>
        <v>0.48743718592964824</v>
      </c>
      <c r="R399" s="830">
        <v>291946.2</v>
      </c>
      <c r="S399" s="830">
        <f t="shared" si="195"/>
        <v>130266.52999999997</v>
      </c>
      <c r="T399" s="830">
        <v>-32526</v>
      </c>
      <c r="U399" s="830">
        <f t="shared" si="196"/>
        <v>54738.729999999981</v>
      </c>
      <c r="V399" s="832">
        <f>STDEV(D$2:D399)*SQRT(252)</f>
        <v>0.15245244674413128</v>
      </c>
      <c r="W399" s="832">
        <f>STDEV(L$2:L399)*SQRT(252)</f>
        <v>0.33064456752182653</v>
      </c>
      <c r="X399" s="801">
        <f t="shared" si="164"/>
        <v>0.45749790537885804</v>
      </c>
      <c r="Y399" s="801">
        <f t="shared" si="165"/>
        <v>0.10156260711734968</v>
      </c>
      <c r="Z399" s="807">
        <f t="shared" si="166"/>
        <v>-5.9805592476836381E-2</v>
      </c>
    </row>
    <row r="400" spans="1:26" ht="20.100000000000001" customHeight="1" x14ac:dyDescent="0.2">
      <c r="A400" s="776">
        <f t="shared" si="188"/>
        <v>605</v>
      </c>
      <c r="B400" s="824">
        <v>42838</v>
      </c>
      <c r="C400" s="835">
        <v>2328.9499999999998</v>
      </c>
      <c r="D400" s="792">
        <f t="shared" si="185"/>
        <v>-6.8147023578529076E-3</v>
      </c>
      <c r="E400" s="826">
        <f t="shared" si="175"/>
        <v>0.10773672494815537</v>
      </c>
      <c r="F400" s="827">
        <v>5805.15</v>
      </c>
      <c r="G400" s="792">
        <f t="shared" si="191"/>
        <v>-5.3134252659283194E-3</v>
      </c>
      <c r="H400" s="828">
        <f t="shared" si="193"/>
        <v>0.14012019561246733</v>
      </c>
      <c r="I400" s="837">
        <v>418306.53</v>
      </c>
      <c r="J400" s="830">
        <v>400000</v>
      </c>
      <c r="K400" s="830">
        <f t="shared" si="194"/>
        <v>-3906.1999999999534</v>
      </c>
      <c r="L400" s="792">
        <f t="shared" si="190"/>
        <v>-9.2517343093846405E-3</v>
      </c>
      <c r="M400" s="839">
        <f t="shared" si="178"/>
        <v>18306.530000000028</v>
      </c>
      <c r="N400" s="832">
        <f t="shared" si="189"/>
        <v>4.5766325000000073E-2</v>
      </c>
      <c r="O400" s="786">
        <f t="shared" si="192"/>
        <v>2.7630000340909136E-2</v>
      </c>
      <c r="P400" s="831" t="b">
        <f t="shared" si="180"/>
        <v>0</v>
      </c>
      <c r="Q400" s="832">
        <f>COUNTIF(P$2:P400, TRUE)/(COUNTIF(P$2:P400,FALSE) + COUNTIF(P$2:P400, TRUE))</f>
        <v>0.48621553884711777</v>
      </c>
      <c r="R400" s="830">
        <v>286240.8</v>
      </c>
      <c r="S400" s="830">
        <f t="shared" si="195"/>
        <v>132065.73000000004</v>
      </c>
      <c r="T400" s="830">
        <v>-33099</v>
      </c>
      <c r="U400" s="830">
        <f t="shared" si="196"/>
        <v>51405.530000000028</v>
      </c>
      <c r="V400" s="832">
        <f>STDEV(D$2:D400)*SQRT(252)</f>
        <v>0.15236615023728597</v>
      </c>
      <c r="W400" s="832">
        <f>STDEV(L$2:L400)*SQRT(252)</f>
        <v>0.33032064931831551</v>
      </c>
      <c r="X400" s="801">
        <f t="shared" si="164"/>
        <v>0.42688424323951168</v>
      </c>
      <c r="Y400" s="801">
        <f t="shared" si="165"/>
        <v>8.3645997905154632E-2</v>
      </c>
      <c r="Z400" s="807">
        <f t="shared" si="166"/>
        <v>-6.1970399948155293E-2</v>
      </c>
    </row>
    <row r="401" spans="1:26" ht="20.100000000000001" customHeight="1" x14ac:dyDescent="0.2">
      <c r="A401" s="776">
        <f t="shared" si="188"/>
        <v>609</v>
      </c>
      <c r="B401" s="795">
        <v>42842</v>
      </c>
      <c r="C401" s="820">
        <v>2349.0100000000002</v>
      </c>
      <c r="D401" s="792">
        <f t="shared" si="185"/>
        <v>8.6133236007644651E-3</v>
      </c>
      <c r="E401" s="819">
        <f t="shared" si="175"/>
        <v>0.11727801982458484</v>
      </c>
      <c r="F401" s="816">
        <v>5856.78</v>
      </c>
      <c r="G401" s="792">
        <f t="shared" si="191"/>
        <v>8.8938270328932263E-3</v>
      </c>
      <c r="H401" s="797">
        <f t="shared" si="193"/>
        <v>0.15026022742895298</v>
      </c>
      <c r="I401" s="799">
        <v>420202.33</v>
      </c>
      <c r="J401" s="800">
        <v>400000</v>
      </c>
      <c r="K401" s="800">
        <f t="shared" si="194"/>
        <v>1895.7999999999884</v>
      </c>
      <c r="L401" s="792">
        <f t="shared" si="190"/>
        <v>4.5320832070204313E-3</v>
      </c>
      <c r="M401" s="817">
        <f t="shared" si="178"/>
        <v>20202.330000000016</v>
      </c>
      <c r="N401" s="802">
        <f t="shared" si="189"/>
        <v>5.0505825000000039E-2</v>
      </c>
      <c r="O401" s="786">
        <f t="shared" si="192"/>
        <v>3.0291055141625639E-2</v>
      </c>
      <c r="P401" s="817" t="b">
        <f t="shared" si="180"/>
        <v>0</v>
      </c>
      <c r="Q401" s="802">
        <f>COUNTIF(P$2:P401, TRUE)/(COUNTIF(P$2:P401,FALSE) + COUNTIF(P$2:P401, TRUE))</f>
        <v>0.48499999999999999</v>
      </c>
      <c r="R401" s="800">
        <v>288136.59999999998</v>
      </c>
      <c r="S401" s="800">
        <f t="shared" si="195"/>
        <v>132065.73000000004</v>
      </c>
      <c r="T401" s="800">
        <v>-32580</v>
      </c>
      <c r="U401" s="800">
        <f t="shared" si="196"/>
        <v>52782.330000000016</v>
      </c>
      <c r="V401" s="802">
        <f>STDEV(D$2:D401)*SQRT(252)</f>
        <v>0.15231786401444669</v>
      </c>
      <c r="W401" s="802">
        <f>STDEV(L$2:L401)*SQRT(252)</f>
        <v>0.32992050318629979</v>
      </c>
      <c r="X401" s="801">
        <f t="shared" si="164"/>
        <v>0.46178382383500471</v>
      </c>
      <c r="Y401" s="801">
        <f t="shared" si="165"/>
        <v>9.1813193933330234E-2</v>
      </c>
      <c r="Z401" s="807">
        <f t="shared" si="166"/>
        <v>-6.6772194824584796E-2</v>
      </c>
    </row>
    <row r="402" spans="1:26" ht="20.100000000000001" customHeight="1" x14ac:dyDescent="0.2">
      <c r="A402" s="776">
        <f t="shared" si="188"/>
        <v>610</v>
      </c>
      <c r="B402" s="795">
        <v>42843</v>
      </c>
      <c r="C402" s="820">
        <v>2342.19</v>
      </c>
      <c r="D402" s="792">
        <f t="shared" si="185"/>
        <v>-2.9033507733045678E-3</v>
      </c>
      <c r="E402" s="819">
        <f t="shared" si="175"/>
        <v>0.11403416982173094</v>
      </c>
      <c r="F402" s="816">
        <v>5849.47</v>
      </c>
      <c r="G402" s="792">
        <f t="shared" ref="G402:G411" si="197">(F402-F401)/F401</f>
        <v>-1.2481261034219299E-3</v>
      </c>
      <c r="H402" s="797">
        <f t="shared" si="193"/>
        <v>0.14882455761337088</v>
      </c>
      <c r="I402" s="799">
        <v>417764.53</v>
      </c>
      <c r="J402" s="800">
        <v>400000</v>
      </c>
      <c r="K402" s="800">
        <f t="shared" si="194"/>
        <v>-2437.7999999999884</v>
      </c>
      <c r="L402" s="792">
        <f t="shared" ref="L402:L411" si="198">K402/I401</f>
        <v>-5.801490915102704E-3</v>
      </c>
      <c r="M402" s="817">
        <f t="shared" si="178"/>
        <v>17764.530000000028</v>
      </c>
      <c r="N402" s="802">
        <f t="shared" si="189"/>
        <v>4.4411325000000071E-2</v>
      </c>
      <c r="O402" s="786">
        <f t="shared" si="192"/>
        <v>2.6592190911885288E-2</v>
      </c>
      <c r="P402" s="817" t="b">
        <f t="shared" si="180"/>
        <v>0</v>
      </c>
      <c r="Q402" s="802">
        <f>COUNTIF(P$2:P402, TRUE)/(COUNTIF(P$2:P402,FALSE) + COUNTIF(P$2:P402, TRUE))</f>
        <v>0.48379052369077308</v>
      </c>
      <c r="R402" s="800">
        <v>290653.2</v>
      </c>
      <c r="S402" s="800">
        <f t="shared" si="195"/>
        <v>127111.33000000002</v>
      </c>
      <c r="T402" s="800">
        <v>-32684</v>
      </c>
      <c r="U402" s="800">
        <f t="shared" si="196"/>
        <v>50448.530000000028</v>
      </c>
      <c r="V402" s="802">
        <f>STDEV(D$2:D402)*SQRT(252)</f>
        <v>0.15214843271809947</v>
      </c>
      <c r="W402" s="802">
        <f>STDEV(L$2:L402)*SQRT(252)</f>
        <v>0.32954563372803763</v>
      </c>
      <c r="X402" s="801">
        <f t="shared" si="164"/>
        <v>0.44877423136553851</v>
      </c>
      <c r="Y402" s="801">
        <f t="shared" si="165"/>
        <v>8.0693500960874159E-2</v>
      </c>
      <c r="Z402" s="807">
        <f t="shared" si="166"/>
        <v>-6.9622844821730867E-2</v>
      </c>
    </row>
    <row r="403" spans="1:26" ht="20.100000000000001" customHeight="1" x14ac:dyDescent="0.2">
      <c r="A403" s="776">
        <f t="shared" si="188"/>
        <v>611</v>
      </c>
      <c r="B403" s="795">
        <v>42844</v>
      </c>
      <c r="C403" s="820">
        <v>2338.17</v>
      </c>
      <c r="D403" s="792">
        <f t="shared" si="185"/>
        <v>-1.716342397499768E-3</v>
      </c>
      <c r="E403" s="819">
        <f t="shared" si="175"/>
        <v>0.11212210574380245</v>
      </c>
      <c r="F403" s="816">
        <v>5863.03</v>
      </c>
      <c r="G403" s="792">
        <f t="shared" si="197"/>
        <v>2.3181587391677347E-3</v>
      </c>
      <c r="H403" s="797">
        <f t="shared" si="193"/>
        <v>0.15148771530137281</v>
      </c>
      <c r="I403" s="799">
        <v>412053.83</v>
      </c>
      <c r="J403" s="800">
        <v>400000</v>
      </c>
      <c r="K403" s="800">
        <f t="shared" si="194"/>
        <v>-5710.7000000000116</v>
      </c>
      <c r="L403" s="792">
        <f t="shared" si="198"/>
        <v>-1.3669662189846542E-2</v>
      </c>
      <c r="M403" s="817">
        <f t="shared" si="178"/>
        <v>12053.830000000016</v>
      </c>
      <c r="N403" s="802">
        <f t="shared" si="189"/>
        <v>3.0134575000000042E-2</v>
      </c>
      <c r="O403" s="786">
        <f t="shared" si="192"/>
        <v>1.801416287847793E-2</v>
      </c>
      <c r="P403" s="817" t="b">
        <f t="shared" si="180"/>
        <v>0</v>
      </c>
      <c r="Q403" s="802">
        <f>COUNTIF(P$2:P403, TRUE)/(COUNTIF(P$2:P403,FALSE) + COUNTIF(P$2:P403, TRUE))</f>
        <v>0.48258706467661694</v>
      </c>
      <c r="R403" s="800">
        <v>290014.5</v>
      </c>
      <c r="S403" s="800">
        <f t="shared" si="195"/>
        <v>122039.33000000002</v>
      </c>
      <c r="T403" s="800">
        <v>-34379</v>
      </c>
      <c r="U403" s="800">
        <f t="shared" si="196"/>
        <v>46432.830000000016</v>
      </c>
      <c r="V403" s="802">
        <f>STDEV(D$2:D403)*SQRT(252)</f>
        <v>0.15196666630040803</v>
      </c>
      <c r="W403" s="802">
        <f>STDEV(L$2:L403)*SQRT(252)</f>
        <v>0.32932657085630085</v>
      </c>
      <c r="X403" s="801">
        <f t="shared" si="164"/>
        <v>0.4410541608310396</v>
      </c>
      <c r="Y403" s="801">
        <f t="shared" si="165"/>
        <v>5.4699998337936338E-2</v>
      </c>
      <c r="Z403" s="807">
        <f t="shared" si="166"/>
        <v>-8.1987530743802411E-2</v>
      </c>
    </row>
    <row r="404" spans="1:26" ht="20.100000000000001" customHeight="1" x14ac:dyDescent="0.2">
      <c r="A404" s="776">
        <f t="shared" si="188"/>
        <v>612</v>
      </c>
      <c r="B404" s="795">
        <v>42845</v>
      </c>
      <c r="C404" s="820">
        <v>2355.84</v>
      </c>
      <c r="D404" s="792">
        <f t="shared" si="185"/>
        <v>7.5571921631019442E-3</v>
      </c>
      <c r="E404" s="819">
        <f t="shared" si="175"/>
        <v>0.12052662620574194</v>
      </c>
      <c r="F404" s="816">
        <v>5916.77</v>
      </c>
      <c r="G404" s="792">
        <f t="shared" si="197"/>
        <v>9.1659090947855786E-3</v>
      </c>
      <c r="H404" s="797">
        <f t="shared" si="193"/>
        <v>0.16204214702358755</v>
      </c>
      <c r="I404" s="799">
        <v>413381.09</v>
      </c>
      <c r="J404" s="800">
        <v>400000</v>
      </c>
      <c r="K404" s="800">
        <f t="shared" si="194"/>
        <v>1327.2600000000093</v>
      </c>
      <c r="L404" s="792">
        <f t="shared" si="198"/>
        <v>3.2210840025440591E-3</v>
      </c>
      <c r="M404" s="817">
        <f t="shared" si="178"/>
        <v>13381.090000000026</v>
      </c>
      <c r="N404" s="802">
        <f t="shared" si="189"/>
        <v>3.3452725000000065E-2</v>
      </c>
      <c r="O404" s="786">
        <f t="shared" si="192"/>
        <v>1.996504543504906E-2</v>
      </c>
      <c r="P404" s="817" t="b">
        <f t="shared" si="180"/>
        <v>0</v>
      </c>
      <c r="Q404" s="802">
        <f>COUNTIF(P$2:P404, TRUE)/(COUNTIF(P$2:P404,FALSE) + COUNTIF(P$2:P404, TRUE))</f>
        <v>0.4813895781637717</v>
      </c>
      <c r="R404" s="800">
        <v>286755.8</v>
      </c>
      <c r="S404" s="800">
        <f t="shared" si="195"/>
        <v>126625.29000000004</v>
      </c>
      <c r="T404" s="800">
        <v>-34560</v>
      </c>
      <c r="U404" s="800">
        <f t="shared" si="196"/>
        <v>47941.090000000026</v>
      </c>
      <c r="V404" s="802">
        <f>STDEV(D$2:D404)*SQRT(252)</f>
        <v>0.15188546729503541</v>
      </c>
      <c r="W404" s="802">
        <f>STDEV(L$2:L404)*SQRT(252)</f>
        <v>0.32892263497234886</v>
      </c>
      <c r="X404" s="801">
        <f t="shared" si="164"/>
        <v>0.47359333376435769</v>
      </c>
      <c r="Y404" s="801">
        <f t="shared" si="165"/>
        <v>6.069830200870012E-2</v>
      </c>
      <c r="Z404" s="807">
        <f t="shared" si="166"/>
        <v>-8.7073901205741877E-2</v>
      </c>
    </row>
    <row r="405" spans="1:26" ht="20.100000000000001" customHeight="1" x14ac:dyDescent="0.2">
      <c r="A405" s="776">
        <f t="shared" si="188"/>
        <v>613</v>
      </c>
      <c r="B405" s="795">
        <v>42846</v>
      </c>
      <c r="C405" s="820">
        <v>2348.69</v>
      </c>
      <c r="D405" s="792">
        <f t="shared" si="185"/>
        <v>-3.035010866612372E-3</v>
      </c>
      <c r="E405" s="819">
        <f t="shared" si="175"/>
        <v>0.11712581571887902</v>
      </c>
      <c r="F405" s="816">
        <v>5910.52</v>
      </c>
      <c r="G405" s="792">
        <f t="shared" si="197"/>
        <v>-1.0563195797707195E-3</v>
      </c>
      <c r="H405" s="797">
        <f t="shared" si="193"/>
        <v>0.16081465915116772</v>
      </c>
      <c r="I405" s="799">
        <v>413138.88</v>
      </c>
      <c r="J405" s="800">
        <v>400000</v>
      </c>
      <c r="K405" s="800">
        <f t="shared" si="194"/>
        <v>-242.21000000002095</v>
      </c>
      <c r="L405" s="792">
        <f t="shared" si="198"/>
        <v>-5.8592423760850051E-4</v>
      </c>
      <c r="M405" s="817">
        <f t="shared" si="178"/>
        <v>13138.880000000005</v>
      </c>
      <c r="N405" s="802">
        <f t="shared" si="189"/>
        <v>3.2847200000000014E-2</v>
      </c>
      <c r="O405" s="786">
        <f t="shared" si="192"/>
        <v>1.9571679934747153E-2</v>
      </c>
      <c r="P405" s="817" t="b">
        <f t="shared" si="180"/>
        <v>1</v>
      </c>
      <c r="Q405" s="802">
        <f>COUNTIF(P$2:P405, TRUE)/(COUNTIF(P$2:P405,FALSE) + COUNTIF(P$2:P405, TRUE))</f>
        <v>0.48267326732673266</v>
      </c>
      <c r="R405" s="800">
        <v>297467.59999999998</v>
      </c>
      <c r="S405" s="800">
        <f t="shared" si="195"/>
        <v>115671.28000000003</v>
      </c>
      <c r="T405" s="800">
        <v>-34397</v>
      </c>
      <c r="U405" s="800">
        <f t="shared" si="196"/>
        <v>47535.880000000005</v>
      </c>
      <c r="V405" s="802">
        <f>STDEV(D$2:D405)*SQRT(252)</f>
        <v>0.15171975521586792</v>
      </c>
      <c r="W405" s="802">
        <f>STDEV(L$2:L405)*SQRT(252)</f>
        <v>0.32851445080511427</v>
      </c>
      <c r="X405" s="801">
        <f t="shared" si="164"/>
        <v>0.45998137305342573</v>
      </c>
      <c r="Y405" s="801">
        <f t="shared" si="165"/>
        <v>5.9576313573973423E-2</v>
      </c>
      <c r="Z405" s="807">
        <f t="shared" si="166"/>
        <v>-8.4278615718879013E-2</v>
      </c>
    </row>
    <row r="406" spans="1:26" ht="20.100000000000001" customHeight="1" x14ac:dyDescent="0.2">
      <c r="A406" s="776">
        <f t="shared" si="188"/>
        <v>616</v>
      </c>
      <c r="B406" s="824">
        <v>42849</v>
      </c>
      <c r="C406" s="835">
        <v>2374.15</v>
      </c>
      <c r="D406" s="792">
        <f t="shared" si="185"/>
        <v>1.084008532415944E-2</v>
      </c>
      <c r="E406" s="826">
        <f t="shared" si="175"/>
        <v>0.12923555487909288</v>
      </c>
      <c r="F406" s="827">
        <v>5983.81</v>
      </c>
      <c r="G406" s="792">
        <f t="shared" si="197"/>
        <v>1.2399924202946604E-2</v>
      </c>
      <c r="H406" s="828">
        <f t="shared" si="193"/>
        <v>0.17520867293831149</v>
      </c>
      <c r="I406" s="837">
        <v>413141.03</v>
      </c>
      <c r="J406" s="830">
        <v>400000</v>
      </c>
      <c r="K406" s="830">
        <f t="shared" si="194"/>
        <v>2.1500000000232831</v>
      </c>
      <c r="L406" s="792">
        <f t="shared" si="198"/>
        <v>5.2040611622495641E-6</v>
      </c>
      <c r="M406" s="839">
        <f t="shared" si="178"/>
        <v>13141.030000000028</v>
      </c>
      <c r="N406" s="832">
        <f t="shared" si="189"/>
        <v>3.2852575000000071E-2</v>
      </c>
      <c r="O406" s="786">
        <f t="shared" si="192"/>
        <v>1.9479550355113676E-2</v>
      </c>
      <c r="P406" s="831" t="b">
        <f t="shared" si="180"/>
        <v>0</v>
      </c>
      <c r="Q406" s="832">
        <f>COUNTIF(P$2:P406, TRUE)/(COUNTIF(P$2:P406,FALSE) + COUNTIF(P$2:P406, TRUE))</f>
        <v>0.48148148148148145</v>
      </c>
      <c r="R406" s="830">
        <v>297462.59999999998</v>
      </c>
      <c r="S406" s="830">
        <f t="shared" si="195"/>
        <v>115678.43000000005</v>
      </c>
      <c r="T406" s="830">
        <v>-34227</v>
      </c>
      <c r="U406" s="830">
        <f t="shared" si="196"/>
        <v>47368.030000000028</v>
      </c>
      <c r="V406" s="832">
        <f>STDEV(D$2:D406)*SQRT(252)</f>
        <v>0.15175900014627838</v>
      </c>
      <c r="W406" s="832">
        <f>STDEV(L$2:L406)*SQRT(252)</f>
        <v>0.32810686732873107</v>
      </c>
      <c r="X406" s="801">
        <f t="shared" si="164"/>
        <v>0.50493685149645251</v>
      </c>
      <c r="Y406" s="801">
        <f t="shared" si="165"/>
        <v>5.9369529549032775E-2</v>
      </c>
      <c r="Z406" s="807">
        <f t="shared" si="166"/>
        <v>-9.6382979879092806E-2</v>
      </c>
    </row>
    <row r="407" spans="1:26" ht="20.100000000000001" customHeight="1" x14ac:dyDescent="0.2">
      <c r="A407" s="776">
        <f t="shared" si="188"/>
        <v>617</v>
      </c>
      <c r="B407" s="824">
        <v>42850</v>
      </c>
      <c r="C407" s="835">
        <v>2388.61</v>
      </c>
      <c r="D407" s="792">
        <f t="shared" si="185"/>
        <v>6.0906008466188053E-3</v>
      </c>
      <c r="E407" s="826">
        <f t="shared" si="175"/>
        <v>0.13611327790567154</v>
      </c>
      <c r="F407" s="827">
        <v>6025.49</v>
      </c>
      <c r="G407" s="792">
        <f t="shared" si="197"/>
        <v>6.9654618044355313E-3</v>
      </c>
      <c r="H407" s="828">
        <f t="shared" si="193"/>
        <v>0.18339454406190467</v>
      </c>
      <c r="I407" s="837">
        <v>416914.62</v>
      </c>
      <c r="J407" s="830">
        <v>400000</v>
      </c>
      <c r="K407" s="830">
        <f t="shared" si="194"/>
        <v>3773.5899999999674</v>
      </c>
      <c r="L407" s="792">
        <f t="shared" si="198"/>
        <v>9.1339027740720089E-3</v>
      </c>
      <c r="M407" s="839">
        <f t="shared" si="178"/>
        <v>16914.619999999995</v>
      </c>
      <c r="N407" s="832">
        <f t="shared" si="189"/>
        <v>4.2286549999999985E-2</v>
      </c>
      <c r="O407" s="786">
        <f t="shared" si="192"/>
        <v>2.5032678099675843E-2</v>
      </c>
      <c r="P407" s="831" t="b">
        <f t="shared" si="180"/>
        <v>1</v>
      </c>
      <c r="Q407" s="832">
        <f>COUNTIF(P$2:P407, TRUE)/(COUNTIF(P$2:P407,FALSE) + COUNTIF(P$2:P407, TRUE))</f>
        <v>0.48275862068965519</v>
      </c>
      <c r="R407" s="830">
        <v>296317.5</v>
      </c>
      <c r="S407" s="830">
        <f t="shared" si="195"/>
        <v>120597.12</v>
      </c>
      <c r="T407" s="830">
        <v>-34395</v>
      </c>
      <c r="U407" s="830">
        <f t="shared" si="196"/>
        <v>51309.619999999995</v>
      </c>
      <c r="V407" s="832">
        <f>STDEV(D$2:D407)*SQRT(252)</f>
        <v>0.15163877531320741</v>
      </c>
      <c r="W407" s="832">
        <f>STDEV(L$2:L407)*SQRT(252)</f>
        <v>0.32777093379998218</v>
      </c>
      <c r="X407" s="801">
        <f t="shared" si="164"/>
        <v>0.53136786342339004</v>
      </c>
      <c r="Y407" s="801">
        <f t="shared" si="165"/>
        <v>7.6372476990140006E-2</v>
      </c>
      <c r="Z407" s="807">
        <f t="shared" si="166"/>
        <v>-9.3826727905671564E-2</v>
      </c>
    </row>
    <row r="408" spans="1:26" ht="20.100000000000001" customHeight="1" x14ac:dyDescent="0.2">
      <c r="A408" s="776">
        <f t="shared" si="188"/>
        <v>618</v>
      </c>
      <c r="B408" s="824">
        <v>42851</v>
      </c>
      <c r="C408" s="835">
        <v>2387.4499999999998</v>
      </c>
      <c r="D408" s="792">
        <f t="shared" si="185"/>
        <v>-4.8563809077258708E-4</v>
      </c>
      <c r="E408" s="826">
        <f t="shared" si="175"/>
        <v>0.13556153802248805</v>
      </c>
      <c r="F408" s="827">
        <v>6025.22</v>
      </c>
      <c r="G408" s="792">
        <f t="shared" si="197"/>
        <v>-4.4809633739252256E-5</v>
      </c>
      <c r="H408" s="828">
        <f t="shared" si="193"/>
        <v>0.18334151658581621</v>
      </c>
      <c r="I408" s="837">
        <v>415083.58</v>
      </c>
      <c r="J408" s="830">
        <v>400000</v>
      </c>
      <c r="K408" s="830">
        <f t="shared" si="194"/>
        <v>-1831.039999999979</v>
      </c>
      <c r="L408" s="792">
        <f t="shared" si="198"/>
        <v>-4.3918824434604356E-3</v>
      </c>
      <c r="M408" s="839">
        <f t="shared" si="178"/>
        <v>15083.580000000016</v>
      </c>
      <c r="N408" s="832">
        <f t="shared" si="189"/>
        <v>3.770895000000004E-2</v>
      </c>
      <c r="O408" s="786">
        <f t="shared" si="192"/>
        <v>2.2286721662621384E-2</v>
      </c>
      <c r="P408" s="831" t="b">
        <f t="shared" si="180"/>
        <v>0</v>
      </c>
      <c r="Q408" s="832">
        <f>COUNTIF(P$2:P408, TRUE)/(COUNTIF(P$2:P408,FALSE) + COUNTIF(P$2:P408, TRUE))</f>
        <v>0.48157248157248156</v>
      </c>
      <c r="R408" s="830">
        <v>288089.59999999998</v>
      </c>
      <c r="S408" s="830">
        <f t="shared" si="195"/>
        <v>126993.98000000004</v>
      </c>
      <c r="T408" s="830">
        <v>-34530</v>
      </c>
      <c r="U408" s="830">
        <f t="shared" si="196"/>
        <v>49613.580000000016</v>
      </c>
      <c r="V408" s="832">
        <f>STDEV(D$2:D408)*SQRT(252)</f>
        <v>0.15145291849813278</v>
      </c>
      <c r="W408" s="832">
        <f>STDEV(L$2:L408)*SQRT(252)</f>
        <v>0.32738912351132043</v>
      </c>
      <c r="X408" s="801">
        <f t="shared" si="164"/>
        <v>0.5290059909618211</v>
      </c>
      <c r="Y408" s="801">
        <f t="shared" si="165"/>
        <v>6.8074105283619041E-2</v>
      </c>
      <c r="Z408" s="807">
        <f t="shared" si="166"/>
        <v>-9.7852588022488002E-2</v>
      </c>
    </row>
    <row r="409" spans="1:26" ht="20.100000000000001" customHeight="1" x14ac:dyDescent="0.2">
      <c r="A409" s="776">
        <f t="shared" si="188"/>
        <v>619</v>
      </c>
      <c r="B409" s="824">
        <v>42852</v>
      </c>
      <c r="C409" s="835">
        <v>2388.77</v>
      </c>
      <c r="D409" s="792">
        <f t="shared" si="185"/>
        <v>5.5289116002436227E-4</v>
      </c>
      <c r="E409" s="826">
        <f t="shared" si="175"/>
        <v>0.13618937995852434</v>
      </c>
      <c r="F409" s="827">
        <v>6048.93</v>
      </c>
      <c r="G409" s="792">
        <f t="shared" si="197"/>
        <v>3.9351260202947005E-3</v>
      </c>
      <c r="H409" s="828">
        <f t="shared" si="193"/>
        <v>0.18799811457862806</v>
      </c>
      <c r="I409" s="837">
        <v>412891.26</v>
      </c>
      <c r="J409" s="830">
        <v>400000</v>
      </c>
      <c r="K409" s="830">
        <f t="shared" si="194"/>
        <v>-2192.320000000007</v>
      </c>
      <c r="L409" s="792">
        <f t="shared" si="198"/>
        <v>-5.2816350866011297E-3</v>
      </c>
      <c r="M409" s="839">
        <f t="shared" si="178"/>
        <v>12891.260000000009</v>
      </c>
      <c r="N409" s="832">
        <f t="shared" si="189"/>
        <v>3.2228150000000025E-2</v>
      </c>
      <c r="O409" s="786">
        <f t="shared" si="192"/>
        <v>1.9016691094507286E-2</v>
      </c>
      <c r="P409" s="831" t="b">
        <f t="shared" si="180"/>
        <v>0</v>
      </c>
      <c r="Q409" s="832">
        <f>COUNTIF(P$2:P409, TRUE)/(COUNTIF(P$2:P409,FALSE) + COUNTIF(P$2:P409, TRUE))</f>
        <v>0.48039215686274511</v>
      </c>
      <c r="R409" s="830">
        <v>288090.59999999998</v>
      </c>
      <c r="S409" s="830">
        <f t="shared" si="195"/>
        <v>124800.66000000003</v>
      </c>
      <c r="T409" s="830">
        <v>-34529</v>
      </c>
      <c r="U409" s="830">
        <f t="shared" si="196"/>
        <v>47420.260000000009</v>
      </c>
      <c r="V409" s="832">
        <f>STDEV(D$2:D409)*SQRT(252)</f>
        <v>0.15126636249512601</v>
      </c>
      <c r="W409" s="832">
        <f>STDEV(L$2:L409)*SQRT(252)</f>
        <v>0.32701768242254636</v>
      </c>
      <c r="X409" s="801">
        <f t="shared" si="164"/>
        <v>0.53125184909668821</v>
      </c>
      <c r="Y409" s="801">
        <f t="shared" si="165"/>
        <v>5.8151874093265159E-2</v>
      </c>
      <c r="Z409" s="807">
        <f t="shared" si="166"/>
        <v>-0.10396122995852432</v>
      </c>
    </row>
    <row r="410" spans="1:26" ht="20.100000000000001" customHeight="1" x14ac:dyDescent="0.2">
      <c r="A410" s="776">
        <f t="shared" si="188"/>
        <v>620</v>
      </c>
      <c r="B410" s="824">
        <v>42853</v>
      </c>
      <c r="C410" s="835">
        <v>2384.1999999999998</v>
      </c>
      <c r="D410" s="792">
        <f t="shared" si="185"/>
        <v>-1.913118466826092E-3</v>
      </c>
      <c r="E410" s="826">
        <f t="shared" si="175"/>
        <v>0.13401571507391399</v>
      </c>
      <c r="F410" s="827">
        <v>6047.6</v>
      </c>
      <c r="G410" s="792">
        <f t="shared" si="197"/>
        <v>-2.1987359747921155E-4</v>
      </c>
      <c r="H410" s="828">
        <f t="shared" si="193"/>
        <v>0.18773690515937713</v>
      </c>
      <c r="I410" s="840">
        <v>363198.65</v>
      </c>
      <c r="J410" s="830">
        <v>350000</v>
      </c>
      <c r="K410" s="830">
        <f t="shared" si="194"/>
        <v>307.39000000001397</v>
      </c>
      <c r="L410" s="792">
        <f t="shared" si="198"/>
        <v>7.4448173109795048E-4</v>
      </c>
      <c r="M410" s="834">
        <f t="shared" si="178"/>
        <v>13198.650000000023</v>
      </c>
      <c r="N410" s="832">
        <f t="shared" si="189"/>
        <v>3.7710428571428638E-2</v>
      </c>
      <c r="O410" s="786">
        <f t="shared" si="192"/>
        <v>2.2215700057603725E-2</v>
      </c>
      <c r="P410" s="831" t="b">
        <f t="shared" si="180"/>
        <v>1</v>
      </c>
      <c r="Q410" s="832">
        <f>COUNTIF(P$2:P410, TRUE)/(COUNTIF(P$2:P410,FALSE) + COUNTIF(P$2:P410, TRUE))</f>
        <v>0.48166259168704156</v>
      </c>
      <c r="R410" s="830">
        <v>281056.2</v>
      </c>
      <c r="S410" s="830">
        <f t="shared" si="195"/>
        <v>82142.450000000012</v>
      </c>
      <c r="T410" s="830">
        <v>-33907</v>
      </c>
      <c r="U410" s="830">
        <f t="shared" si="196"/>
        <v>47105.650000000023</v>
      </c>
      <c r="V410" s="832">
        <f>STDEV(D$2:D410)*SQRT(252)</f>
        <v>0.15109096913628567</v>
      </c>
      <c r="W410" s="832">
        <f>STDEV(L$2:L410)*SQRT(252)</f>
        <v>0.32661574241785396</v>
      </c>
      <c r="X410" s="801">
        <f t="shared" si="164"/>
        <v>0.52253544627053028</v>
      </c>
      <c r="Y410" s="801">
        <f t="shared" si="165"/>
        <v>6.8017848414612544E-2</v>
      </c>
      <c r="Z410" s="807">
        <f t="shared" si="166"/>
        <v>-9.6305286502485349E-2</v>
      </c>
    </row>
    <row r="411" spans="1:26" ht="20.100000000000001" customHeight="1" x14ac:dyDescent="0.2">
      <c r="A411" s="776">
        <f t="shared" si="188"/>
        <v>623</v>
      </c>
      <c r="B411" s="795">
        <v>42856</v>
      </c>
      <c r="C411" s="820">
        <v>2388.33</v>
      </c>
      <c r="D411" s="792">
        <f t="shared" si="185"/>
        <v>1.7322372284204804E-3</v>
      </c>
      <c r="E411" s="819">
        <f t="shared" si="175"/>
        <v>0.13598009931317892</v>
      </c>
      <c r="F411" s="816">
        <v>6091.6</v>
      </c>
      <c r="G411" s="792">
        <f t="shared" si="197"/>
        <v>7.2756134664991069E-3</v>
      </c>
      <c r="H411" s="797">
        <f t="shared" si="193"/>
        <v>0.19637841978121268</v>
      </c>
      <c r="I411" s="799">
        <v>362499.32</v>
      </c>
      <c r="J411" s="800">
        <v>350000</v>
      </c>
      <c r="K411" s="800">
        <f t="shared" si="194"/>
        <v>-699.3300000000163</v>
      </c>
      <c r="L411" s="792">
        <f t="shared" si="198"/>
        <v>-1.9254752185891007E-3</v>
      </c>
      <c r="M411" s="817">
        <f t="shared" si="178"/>
        <v>12499.320000000007</v>
      </c>
      <c r="N411" s="802">
        <f t="shared" si="189"/>
        <v>3.5712342857142879E-2</v>
      </c>
      <c r="O411" s="786">
        <f t="shared" si="192"/>
        <v>2.0937292501719801E-2</v>
      </c>
      <c r="P411" s="817" t="b">
        <f t="shared" si="180"/>
        <v>0</v>
      </c>
      <c r="Q411" s="802">
        <f>COUNTIF(P$2:P411, TRUE)/(COUNTIF(P$2:P411,FALSE) + COUNTIF(P$2:P411, TRUE))</f>
        <v>0.48048780487804876</v>
      </c>
      <c r="R411" s="800">
        <v>275826.90000000002</v>
      </c>
      <c r="S411" s="800">
        <f t="shared" si="195"/>
        <v>86672.419999999984</v>
      </c>
      <c r="T411" s="800">
        <v>-33709</v>
      </c>
      <c r="U411" s="800">
        <f t="shared" si="196"/>
        <v>46208.320000000007</v>
      </c>
      <c r="V411" s="802">
        <f>STDEV(D$2:D411)*SQRT(252)</f>
        <v>0.15090957633377333</v>
      </c>
      <c r="W411" s="802">
        <f>STDEV(L$2:L411)*SQRT(252)</f>
        <v>0.32622087133744371</v>
      </c>
      <c r="X411" s="801">
        <f t="shared" ref="X411:X474" si="199">E411/(A411/365.25)/V411</f>
        <v>0.52827581914664401</v>
      </c>
      <c r="Y411" s="801">
        <f t="shared" ref="Y411:Y474" si="200">O411/W411</f>
        <v>6.4181339519696803E-2</v>
      </c>
      <c r="Z411" s="807">
        <f t="shared" ref="Z411:Z474" si="201">-(E411-N411)</f>
        <v>-0.10026775645603604</v>
      </c>
    </row>
    <row r="412" spans="1:26" ht="20.100000000000001" customHeight="1" x14ac:dyDescent="0.2">
      <c r="A412" s="776">
        <f t="shared" si="188"/>
        <v>624</v>
      </c>
      <c r="B412" s="795">
        <v>42857</v>
      </c>
      <c r="C412" s="820">
        <v>2391.17</v>
      </c>
      <c r="D412" s="792">
        <f t="shared" si="185"/>
        <v>1.1891154069999311E-3</v>
      </c>
      <c r="E412" s="819">
        <f t="shared" si="175"/>
        <v>0.13733091075131751</v>
      </c>
      <c r="F412" s="816">
        <v>6095.36</v>
      </c>
      <c r="G412" s="792">
        <f t="shared" ref="G412:G441" si="202">(F412-F411)/F411</f>
        <v>6.1724341716450667E-4</v>
      </c>
      <c r="H412" s="797">
        <f t="shared" si="193"/>
        <v>0.1971168764852603</v>
      </c>
      <c r="I412" s="799">
        <v>359669.82</v>
      </c>
      <c r="J412" s="800">
        <v>350000</v>
      </c>
      <c r="K412" s="800">
        <f t="shared" si="194"/>
        <v>-2829.5</v>
      </c>
      <c r="L412" s="792">
        <f t="shared" ref="L412:L441" si="203">K412/I411</f>
        <v>-7.8055318834804989E-3</v>
      </c>
      <c r="M412" s="817">
        <f t="shared" si="178"/>
        <v>9669.820000000007</v>
      </c>
      <c r="N412" s="802">
        <f t="shared" si="189"/>
        <v>2.7628057142857161E-2</v>
      </c>
      <c r="O412" s="786">
        <f t="shared" si="192"/>
        <v>1.6171711332417592E-2</v>
      </c>
      <c r="P412" s="817" t="b">
        <f t="shared" si="180"/>
        <v>0</v>
      </c>
      <c r="Q412" s="802">
        <f>COUNTIF(P$2:P412, TRUE)/(COUNTIF(P$2:P412,FALSE) + COUNTIF(P$2:P412, TRUE))</f>
        <v>0.47931873479318737</v>
      </c>
      <c r="R412" s="800">
        <v>278414.40000000002</v>
      </c>
      <c r="S412" s="800">
        <f t="shared" si="195"/>
        <v>81255.419999999984</v>
      </c>
      <c r="T412" s="800">
        <v>-34708</v>
      </c>
      <c r="U412" s="800">
        <f t="shared" si="196"/>
        <v>44377.820000000007</v>
      </c>
      <c r="V412" s="802">
        <f>STDEV(D$2:D412)*SQRT(252)</f>
        <v>0.1507263900275706</v>
      </c>
      <c r="W412" s="802">
        <f>STDEV(L$2:L412)*SQRT(252)</f>
        <v>0.32588707199779721</v>
      </c>
      <c r="X412" s="801">
        <f t="shared" si="199"/>
        <v>0.53331602984880633</v>
      </c>
      <c r="Y412" s="801">
        <f t="shared" si="200"/>
        <v>4.9623666361723308E-2</v>
      </c>
      <c r="Z412" s="807">
        <f t="shared" si="201"/>
        <v>-0.10970285360846035</v>
      </c>
    </row>
    <row r="413" spans="1:26" ht="20.100000000000001" customHeight="1" x14ac:dyDescent="0.2">
      <c r="A413" s="776">
        <f t="shared" si="188"/>
        <v>625</v>
      </c>
      <c r="B413" s="795">
        <v>42858</v>
      </c>
      <c r="C413" s="820">
        <v>2388.13</v>
      </c>
      <c r="D413" s="792">
        <f t="shared" si="185"/>
        <v>-1.2713441536988017E-3</v>
      </c>
      <c r="E413" s="819">
        <f t="shared" si="175"/>
        <v>0.13588497174711289</v>
      </c>
      <c r="F413" s="816">
        <v>6072.55</v>
      </c>
      <c r="G413" s="792">
        <f t="shared" si="202"/>
        <v>-3.7421907811842929E-3</v>
      </c>
      <c r="H413" s="797">
        <f t="shared" si="193"/>
        <v>0.19263703674607702</v>
      </c>
      <c r="I413" s="799">
        <v>359426.22</v>
      </c>
      <c r="J413" s="800">
        <v>350000</v>
      </c>
      <c r="K413" s="800">
        <f t="shared" si="194"/>
        <v>-243.60000000003492</v>
      </c>
      <c r="L413" s="792">
        <f t="shared" si="203"/>
        <v>-6.7728785250882302E-4</v>
      </c>
      <c r="M413" s="817">
        <f t="shared" si="178"/>
        <v>9426.2199999999721</v>
      </c>
      <c r="N413" s="802">
        <f t="shared" si="189"/>
        <v>2.6932057142857062E-2</v>
      </c>
      <c r="O413" s="786">
        <f t="shared" si="192"/>
        <v>1.5739094194285666E-2</v>
      </c>
      <c r="P413" s="817" t="b">
        <f t="shared" si="180"/>
        <v>1</v>
      </c>
      <c r="Q413" s="802">
        <f>COUNTIF(P$2:P413, TRUE)/(COUNTIF(P$2:P413,FALSE) + COUNTIF(P$2:P413, TRUE))</f>
        <v>0.48058252427184467</v>
      </c>
      <c r="R413" s="800">
        <v>280568.8</v>
      </c>
      <c r="S413" s="800">
        <f t="shared" si="195"/>
        <v>78857.419999999984</v>
      </c>
      <c r="T413" s="800">
        <v>-36065</v>
      </c>
      <c r="U413" s="800">
        <f t="shared" si="196"/>
        <v>45491.219999999972</v>
      </c>
      <c r="V413" s="802">
        <f>STDEV(D$2:D413)*SQRT(252)</f>
        <v>0.1505478764486444</v>
      </c>
      <c r="W413" s="802">
        <f>STDEV(L$2:L413)*SQRT(252)</f>
        <v>0.32549069352237764</v>
      </c>
      <c r="X413" s="801">
        <f t="shared" si="199"/>
        <v>0.52748121967766104</v>
      </c>
      <c r="Y413" s="801">
        <f t="shared" si="200"/>
        <v>4.8354974527723617E-2</v>
      </c>
      <c r="Z413" s="807">
        <f t="shared" si="201"/>
        <v>-0.10895291460425582</v>
      </c>
    </row>
    <row r="414" spans="1:26" ht="20.100000000000001" customHeight="1" x14ac:dyDescent="0.2">
      <c r="A414" s="776">
        <f t="shared" si="188"/>
        <v>626</v>
      </c>
      <c r="B414" s="795">
        <v>42859</v>
      </c>
      <c r="C414" s="820">
        <v>2389.52</v>
      </c>
      <c r="D414" s="792">
        <f t="shared" ref="D414:D426" si="204">(C414-C413)/C413</f>
        <v>5.8204536603948388E-4</v>
      </c>
      <c r="E414" s="819">
        <f t="shared" si="175"/>
        <v>0.1365461083312722</v>
      </c>
      <c r="F414" s="816">
        <v>6075.33</v>
      </c>
      <c r="G414" s="792">
        <f t="shared" si="202"/>
        <v>4.5779779499547063E-4</v>
      </c>
      <c r="H414" s="797">
        <f t="shared" si="193"/>
        <v>0.19318302335172932</v>
      </c>
      <c r="I414" s="799">
        <v>354486.32</v>
      </c>
      <c r="J414" s="800">
        <v>350000</v>
      </c>
      <c r="K414" s="800">
        <f t="shared" si="194"/>
        <v>-4939.8999999999651</v>
      </c>
      <c r="L414" s="792">
        <f t="shared" si="203"/>
        <v>-1.3743849850464347E-2</v>
      </c>
      <c r="M414" s="817">
        <f t="shared" si="178"/>
        <v>4486.320000000007</v>
      </c>
      <c r="N414" s="802">
        <f t="shared" si="189"/>
        <v>1.2818057142857163E-2</v>
      </c>
      <c r="O414" s="786">
        <f t="shared" si="192"/>
        <v>7.4789063441351097E-3</v>
      </c>
      <c r="P414" s="817" t="b">
        <f t="shared" si="180"/>
        <v>0</v>
      </c>
      <c r="Q414" s="802">
        <f>COUNTIF(P$2:P414, TRUE)/(COUNTIF(P$2:P414,FALSE) + COUNTIF(P$2:P414, TRUE))</f>
        <v>0.47941888619854722</v>
      </c>
      <c r="R414" s="800">
        <v>275628.90000000002</v>
      </c>
      <c r="S414" s="800">
        <f t="shared" si="195"/>
        <v>78857.419999999984</v>
      </c>
      <c r="T414" s="800">
        <v>-36518</v>
      </c>
      <c r="U414" s="800">
        <f t="shared" si="196"/>
        <v>41004.320000000007</v>
      </c>
      <c r="V414" s="802">
        <f>STDEV(D$2:D414)*SQRT(252)</f>
        <v>0.15036472166048559</v>
      </c>
      <c r="W414" s="802">
        <f>STDEV(L$2:L414)*SQRT(252)</f>
        <v>0.32528498931668604</v>
      </c>
      <c r="X414" s="801">
        <f t="shared" si="199"/>
        <v>0.52984551636347244</v>
      </c>
      <c r="Y414" s="801">
        <f t="shared" si="200"/>
        <v>2.2991858185174078E-2</v>
      </c>
      <c r="Z414" s="807">
        <f t="shared" si="201"/>
        <v>-0.12372805118841504</v>
      </c>
    </row>
    <row r="415" spans="1:26" ht="20.100000000000001" customHeight="1" x14ac:dyDescent="0.2">
      <c r="A415" s="776">
        <f t="shared" si="188"/>
        <v>627</v>
      </c>
      <c r="B415" s="795">
        <v>42860</v>
      </c>
      <c r="C415" s="820">
        <v>2399.29</v>
      </c>
      <c r="D415" s="792">
        <f t="shared" si="204"/>
        <v>4.0886872677357716E-3</v>
      </c>
      <c r="E415" s="819">
        <f t="shared" si="175"/>
        <v>0.14119308993360091</v>
      </c>
      <c r="F415" s="816">
        <v>6100.75</v>
      </c>
      <c r="G415" s="792">
        <f t="shared" si="202"/>
        <v>4.1841348535799818E-3</v>
      </c>
      <c r="H415" s="797">
        <f t="shared" si="193"/>
        <v>0.19817546202643521</v>
      </c>
      <c r="I415" s="799">
        <v>357180.36</v>
      </c>
      <c r="J415" s="800">
        <v>350000</v>
      </c>
      <c r="K415" s="800">
        <f t="shared" si="194"/>
        <v>2694.039999999979</v>
      </c>
      <c r="L415" s="792">
        <f t="shared" si="203"/>
        <v>7.5998419346619047E-3</v>
      </c>
      <c r="M415" s="817">
        <f t="shared" si="178"/>
        <v>7180.359999999986</v>
      </c>
      <c r="N415" s="802">
        <f t="shared" si="189"/>
        <v>2.0515314285714247E-2</v>
      </c>
      <c r="O415" s="786">
        <f t="shared" si="192"/>
        <v>1.1950906766917272E-2</v>
      </c>
      <c r="P415" s="817" t="b">
        <f t="shared" si="180"/>
        <v>1</v>
      </c>
      <c r="Q415" s="802">
        <f>COUNTIF(P$2:P415, TRUE)/(COUNTIF(P$2:P415,FALSE) + COUNTIF(P$2:P415, TRUE))</f>
        <v>0.48067632850241548</v>
      </c>
      <c r="R415" s="800">
        <v>279741</v>
      </c>
      <c r="S415" s="800">
        <f t="shared" si="195"/>
        <v>77439.359999999986</v>
      </c>
      <c r="T415" s="800">
        <v>-36093</v>
      </c>
      <c r="U415" s="800">
        <f t="shared" si="196"/>
        <v>43273.359999999986</v>
      </c>
      <c r="V415" s="802">
        <f>STDEV(D$2:D415)*SQRT(252)</f>
        <v>0.15021044016687626</v>
      </c>
      <c r="W415" s="802">
        <f>STDEV(L$2:L415)*SQRT(252)</f>
        <v>0.32493792680240624</v>
      </c>
      <c r="X415" s="801">
        <f t="shared" si="199"/>
        <v>0.54756541244818879</v>
      </c>
      <c r="Y415" s="801">
        <f t="shared" si="200"/>
        <v>3.6779045414986541E-2</v>
      </c>
      <c r="Z415" s="807">
        <f t="shared" si="201"/>
        <v>-0.12067777564788666</v>
      </c>
    </row>
    <row r="416" spans="1:26" ht="20.100000000000001" customHeight="1" x14ac:dyDescent="0.2">
      <c r="A416" s="776">
        <f t="shared" si="188"/>
        <v>630</v>
      </c>
      <c r="B416" s="824">
        <v>42863</v>
      </c>
      <c r="C416" s="835">
        <v>2399.38</v>
      </c>
      <c r="D416" s="792">
        <f t="shared" si="204"/>
        <v>3.7511097032932877E-5</v>
      </c>
      <c r="E416" s="826">
        <f t="shared" si="175"/>
        <v>0.14123589733833072</v>
      </c>
      <c r="F416" s="827">
        <v>6102.66</v>
      </c>
      <c r="G416" s="792">
        <f t="shared" si="202"/>
        <v>3.1307626111541279E-4</v>
      </c>
      <c r="H416" s="828">
        <f t="shared" si="193"/>
        <v>0.19855058232024669</v>
      </c>
      <c r="I416" s="837">
        <v>358405.67</v>
      </c>
      <c r="J416" s="830">
        <v>350000</v>
      </c>
      <c r="K416" s="830">
        <f t="shared" si="194"/>
        <v>1225.3099999999977</v>
      </c>
      <c r="L416" s="792">
        <f t="shared" si="203"/>
        <v>3.4305077692401613E-3</v>
      </c>
      <c r="M416" s="839">
        <f t="shared" si="178"/>
        <v>8405.6699999999837</v>
      </c>
      <c r="N416" s="832">
        <f t="shared" si="189"/>
        <v>2.4016199999999953E-2</v>
      </c>
      <c r="O416" s="786">
        <f t="shared" si="192"/>
        <v>1.392367785714283E-2</v>
      </c>
      <c r="P416" s="831" t="b">
        <f t="shared" si="180"/>
        <v>1</v>
      </c>
      <c r="Q416" s="832">
        <f>COUNTIF(P$2:P416, TRUE)/(COUNTIF(P$2:P416,FALSE) + COUNTIF(P$2:P416, TRUE))</f>
        <v>0.48192771084337349</v>
      </c>
      <c r="R416" s="830">
        <v>276684</v>
      </c>
      <c r="S416" s="830">
        <f t="shared" si="195"/>
        <v>81721.669999999984</v>
      </c>
      <c r="T416" s="830">
        <v>-35635</v>
      </c>
      <c r="U416" s="830">
        <f t="shared" si="196"/>
        <v>44040.669999999984</v>
      </c>
      <c r="V416" s="832">
        <f>STDEV(D$2:D416)*SQRT(252)</f>
        <v>0.15002869389277509</v>
      </c>
      <c r="W416" s="832">
        <f>STDEV(L$2:L416)*SQRT(252)</f>
        <v>0.32455251041041699</v>
      </c>
      <c r="X416" s="801">
        <f t="shared" si="199"/>
        <v>0.54578354804680929</v>
      </c>
      <c r="Y416" s="801">
        <f t="shared" si="200"/>
        <v>4.2901155931702593E-2</v>
      </c>
      <c r="Z416" s="807">
        <f t="shared" si="201"/>
        <v>-0.11721969733833076</v>
      </c>
    </row>
    <row r="417" spans="1:26" ht="20.100000000000001" customHeight="1" x14ac:dyDescent="0.2">
      <c r="A417" s="776">
        <f t="shared" si="188"/>
        <v>631</v>
      </c>
      <c r="B417" s="824">
        <v>42864</v>
      </c>
      <c r="C417" s="835">
        <v>2396.92</v>
      </c>
      <c r="D417" s="792">
        <f t="shared" si="204"/>
        <v>-1.0252648600888713E-3</v>
      </c>
      <c r="E417" s="826">
        <f t="shared" si="175"/>
        <v>0.14006582827571773</v>
      </c>
      <c r="F417" s="827">
        <v>6120.58</v>
      </c>
      <c r="G417" s="792">
        <f t="shared" si="202"/>
        <v>2.9364244444226081E-3</v>
      </c>
      <c r="H417" s="828">
        <f t="shared" si="193"/>
        <v>0.20207003554804881</v>
      </c>
      <c r="I417" s="837">
        <v>357612.56</v>
      </c>
      <c r="J417" s="830">
        <v>350000</v>
      </c>
      <c r="K417" s="830">
        <f t="shared" si="194"/>
        <v>-793.10999999998603</v>
      </c>
      <c r="L417" s="792">
        <f t="shared" si="203"/>
        <v>-2.2128835182768903E-3</v>
      </c>
      <c r="M417" s="839">
        <f t="shared" si="178"/>
        <v>7612.5599999999977</v>
      </c>
      <c r="N417" s="832">
        <f t="shared" si="189"/>
        <v>2.1750171428571424E-2</v>
      </c>
      <c r="O417" s="786">
        <f t="shared" si="192"/>
        <v>1.2589936789676247E-2</v>
      </c>
      <c r="P417" s="831" t="b">
        <f t="shared" si="180"/>
        <v>0</v>
      </c>
      <c r="Q417" s="832">
        <f>COUNTIF(P$2:P417, TRUE)/(COUNTIF(P$2:P417,FALSE) + COUNTIF(P$2:P417, TRUE))</f>
        <v>0.48076923076923078</v>
      </c>
      <c r="R417" s="830">
        <v>250918.6</v>
      </c>
      <c r="S417" s="830">
        <f t="shared" si="195"/>
        <v>106693.95999999999</v>
      </c>
      <c r="T417" s="830">
        <v>-36105</v>
      </c>
      <c r="U417" s="830">
        <f t="shared" si="196"/>
        <v>43717.56</v>
      </c>
      <c r="V417" s="832">
        <f>STDEV(D$2:D417)*SQRT(252)</f>
        <v>0.1498512986426479</v>
      </c>
      <c r="W417" s="832">
        <f>STDEV(L$2:L417)*SQRT(252)</f>
        <v>0.32416708817907541</v>
      </c>
      <c r="X417" s="801">
        <f t="shared" si="199"/>
        <v>0.54104395386140325</v>
      </c>
      <c r="Y417" s="801">
        <f t="shared" si="200"/>
        <v>3.8837800778595243E-2</v>
      </c>
      <c r="Z417" s="807">
        <f t="shared" si="201"/>
        <v>-0.1183156568471463</v>
      </c>
    </row>
    <row r="418" spans="1:26" ht="20.100000000000001" customHeight="1" x14ac:dyDescent="0.2">
      <c r="A418" s="776">
        <f t="shared" si="188"/>
        <v>632</v>
      </c>
      <c r="B418" s="824">
        <v>42865</v>
      </c>
      <c r="C418" s="835">
        <v>2399.63</v>
      </c>
      <c r="D418" s="792">
        <f t="shared" si="204"/>
        <v>1.1306176259533219E-3</v>
      </c>
      <c r="E418" s="826">
        <f t="shared" si="175"/>
        <v>0.14135480679591333</v>
      </c>
      <c r="F418" s="827">
        <v>6129.14</v>
      </c>
      <c r="G418" s="792">
        <f t="shared" si="202"/>
        <v>1.3985602671642884E-3</v>
      </c>
      <c r="H418" s="828">
        <f t="shared" si="193"/>
        <v>0.20375120293811508</v>
      </c>
      <c r="I418" s="837">
        <v>364191.11</v>
      </c>
      <c r="J418" s="830">
        <v>350000</v>
      </c>
      <c r="K418" s="830">
        <f t="shared" si="194"/>
        <v>6578.5499999999884</v>
      </c>
      <c r="L418" s="792">
        <f t="shared" si="203"/>
        <v>1.839574650286329E-2</v>
      </c>
      <c r="M418" s="839">
        <f t="shared" si="178"/>
        <v>14191.109999999986</v>
      </c>
      <c r="N418" s="832">
        <f t="shared" si="189"/>
        <v>4.0546028571428534E-2</v>
      </c>
      <c r="O418" s="786">
        <f t="shared" si="192"/>
        <v>2.3432653379294736E-2</v>
      </c>
      <c r="P418" s="831" t="b">
        <f t="shared" si="180"/>
        <v>1</v>
      </c>
      <c r="Q418" s="832">
        <f>COUNTIF(P$2:P418, TRUE)/(COUNTIF(P$2:P418,FALSE) + COUNTIF(P$2:P418, TRUE))</f>
        <v>0.48201438848920863</v>
      </c>
      <c r="R418" s="830">
        <v>261546.2</v>
      </c>
      <c r="S418" s="830">
        <f t="shared" si="195"/>
        <v>102644.90999999997</v>
      </c>
      <c r="T418" s="830">
        <v>-32756</v>
      </c>
      <c r="U418" s="830">
        <f t="shared" si="196"/>
        <v>46947.109999999986</v>
      </c>
      <c r="V418" s="832">
        <f>STDEV(D$2:D418)*SQRT(252)</f>
        <v>0.14967184694168775</v>
      </c>
      <c r="W418" s="832">
        <f>STDEV(L$2:L418)*SQRT(252)</f>
        <v>0.32407666797384388</v>
      </c>
      <c r="X418" s="801">
        <f t="shared" si="199"/>
        <v>0.5458126662731192</v>
      </c>
      <c r="Y418" s="801">
        <f t="shared" si="200"/>
        <v>7.2305894545873259E-2</v>
      </c>
      <c r="Z418" s="807">
        <f t="shared" si="201"/>
        <v>-0.10080877822448481</v>
      </c>
    </row>
    <row r="419" spans="1:26" ht="20.100000000000001" customHeight="1" x14ac:dyDescent="0.2">
      <c r="A419" s="776">
        <f t="shared" si="188"/>
        <v>633</v>
      </c>
      <c r="B419" s="824">
        <v>42866</v>
      </c>
      <c r="C419" s="835">
        <v>2394.44</v>
      </c>
      <c r="D419" s="792">
        <f t="shared" si="204"/>
        <v>-2.1628334368215328E-3</v>
      </c>
      <c r="E419" s="826">
        <f t="shared" si="175"/>
        <v>0.13888624645649816</v>
      </c>
      <c r="F419" s="827">
        <v>6115.96</v>
      </c>
      <c r="G419" s="792">
        <f t="shared" si="202"/>
        <v>-2.1503832511576321E-3</v>
      </c>
      <c r="H419" s="828">
        <f t="shared" si="193"/>
        <v>0.2011626765127561</v>
      </c>
      <c r="I419" s="837">
        <v>363186.71</v>
      </c>
      <c r="J419" s="830">
        <v>350000</v>
      </c>
      <c r="K419" s="830">
        <f t="shared" si="194"/>
        <v>-1004.3999999999651</v>
      </c>
      <c r="L419" s="792">
        <f t="shared" si="203"/>
        <v>-2.7578926899120768E-3</v>
      </c>
      <c r="M419" s="839">
        <f t="shared" si="178"/>
        <v>13186.710000000021</v>
      </c>
      <c r="N419" s="832">
        <f t="shared" si="189"/>
        <v>3.7676314285714343E-2</v>
      </c>
      <c r="O419" s="786">
        <f t="shared" si="192"/>
        <v>2.1739769025050811E-2</v>
      </c>
      <c r="P419" s="831" t="b">
        <f t="shared" si="180"/>
        <v>0</v>
      </c>
      <c r="Q419" s="832">
        <f>COUNTIF(P$2:P419, TRUE)/(COUNTIF(P$2:P419,FALSE) + COUNTIF(P$2:P419, TRUE))</f>
        <v>0.48086124401913877</v>
      </c>
      <c r="R419" s="830">
        <v>265284.09999999998</v>
      </c>
      <c r="S419" s="830">
        <f t="shared" si="195"/>
        <v>97902.610000000044</v>
      </c>
      <c r="T419" s="830">
        <v>-32128</v>
      </c>
      <c r="U419" s="830">
        <f t="shared" si="196"/>
        <v>45314.710000000021</v>
      </c>
      <c r="V419" s="832">
        <f>STDEV(D$2:D419)*SQRT(252)</f>
        <v>0.14950473025316971</v>
      </c>
      <c r="W419" s="832">
        <f>STDEV(L$2:L419)*SQRT(252)</f>
        <v>0.32369692065240813</v>
      </c>
      <c r="X419" s="801">
        <f t="shared" si="199"/>
        <v>0.53603212925544852</v>
      </c>
      <c r="Y419" s="801">
        <f t="shared" si="200"/>
        <v>6.7160876851205475E-2</v>
      </c>
      <c r="Z419" s="807">
        <f t="shared" si="201"/>
        <v>-0.10120993217078382</v>
      </c>
    </row>
    <row r="420" spans="1:26" ht="20.100000000000001" customHeight="1" x14ac:dyDescent="0.2">
      <c r="A420" s="776">
        <f t="shared" si="188"/>
        <v>634</v>
      </c>
      <c r="B420" s="824">
        <v>42867</v>
      </c>
      <c r="C420" s="835">
        <v>2390.9</v>
      </c>
      <c r="D420" s="792">
        <f t="shared" si="204"/>
        <v>-1.4784250179582547E-3</v>
      </c>
      <c r="E420" s="826">
        <f t="shared" si="175"/>
        <v>0.1372024885371283</v>
      </c>
      <c r="F420" s="827">
        <v>6121.23</v>
      </c>
      <c r="G420" s="792">
        <f t="shared" si="202"/>
        <v>8.6167993250438639E-4</v>
      </c>
      <c r="H420" s="828">
        <f t="shared" si="193"/>
        <v>0.20219769428678042</v>
      </c>
      <c r="I420" s="837">
        <v>359448.71</v>
      </c>
      <c r="J420" s="830">
        <v>350000</v>
      </c>
      <c r="K420" s="830">
        <f t="shared" si="194"/>
        <v>-3738</v>
      </c>
      <c r="L420" s="792">
        <f t="shared" si="203"/>
        <v>-1.0292226827352795E-2</v>
      </c>
      <c r="M420" s="839">
        <f t="shared" si="178"/>
        <v>9448.710000000021</v>
      </c>
      <c r="N420" s="832">
        <f t="shared" si="189"/>
        <v>2.6996314285714345E-2</v>
      </c>
      <c r="O420" s="786">
        <f t="shared" si="192"/>
        <v>1.555268737043717E-2</v>
      </c>
      <c r="P420" s="831" t="b">
        <f t="shared" si="180"/>
        <v>0</v>
      </c>
      <c r="Q420" s="832">
        <f>COUNTIF(P$2:P420, TRUE)/(COUNTIF(P$2:P420,FALSE) + COUNTIF(P$2:P420, TRUE))</f>
        <v>0.47971360381861577</v>
      </c>
      <c r="R420" s="830">
        <v>266142.09999999998</v>
      </c>
      <c r="S420" s="830">
        <f t="shared" si="195"/>
        <v>93306.610000000044</v>
      </c>
      <c r="T420" s="830">
        <v>-32431</v>
      </c>
      <c r="U420" s="830">
        <f t="shared" si="196"/>
        <v>41879.710000000021</v>
      </c>
      <c r="V420" s="832">
        <f>STDEV(D$2:D420)*SQRT(252)</f>
        <v>0.14933215368764829</v>
      </c>
      <c r="W420" s="832">
        <f>STDEV(L$2:L420)*SQRT(252)</f>
        <v>0.32341728992205637</v>
      </c>
      <c r="X420" s="801">
        <f t="shared" si="199"/>
        <v>0.52930942435624384</v>
      </c>
      <c r="Y420" s="801">
        <f t="shared" si="200"/>
        <v>4.8088608293592995E-2</v>
      </c>
      <c r="Z420" s="807">
        <f t="shared" si="201"/>
        <v>-0.11020617425141395</v>
      </c>
    </row>
    <row r="421" spans="1:26" ht="20.100000000000001" customHeight="1" x14ac:dyDescent="0.2">
      <c r="A421" s="776">
        <f t="shared" si="188"/>
        <v>637</v>
      </c>
      <c r="B421" s="795">
        <v>42870</v>
      </c>
      <c r="C421" s="820">
        <v>2402.3200000000002</v>
      </c>
      <c r="D421" s="792">
        <f t="shared" si="204"/>
        <v>4.7764440168974326E-3</v>
      </c>
      <c r="E421" s="819">
        <f t="shared" si="175"/>
        <v>0.14263427255950234</v>
      </c>
      <c r="F421" s="816">
        <v>6149.47</v>
      </c>
      <c r="G421" s="792">
        <f t="shared" si="202"/>
        <v>4.6134518716010823E-3</v>
      </c>
      <c r="H421" s="797">
        <f t="shared" si="193"/>
        <v>0.20774397548952225</v>
      </c>
      <c r="I421" s="799">
        <v>361662.81</v>
      </c>
      <c r="J421" s="800">
        <v>350000</v>
      </c>
      <c r="K421" s="800">
        <f t="shared" si="194"/>
        <v>2214.0999999999767</v>
      </c>
      <c r="L421" s="792">
        <f t="shared" si="203"/>
        <v>6.1597105189220925E-3</v>
      </c>
      <c r="M421" s="817">
        <f t="shared" si="178"/>
        <v>11662.809999999998</v>
      </c>
      <c r="N421" s="802">
        <f t="shared" si="189"/>
        <v>3.3322314285714277E-2</v>
      </c>
      <c r="O421" s="786">
        <f t="shared" si="192"/>
        <v>1.9106711605741192E-2</v>
      </c>
      <c r="P421" s="817" t="b">
        <f t="shared" si="180"/>
        <v>1</v>
      </c>
      <c r="Q421" s="802">
        <f>COUNTIF(P$2:P421, TRUE)/(COUNTIF(P$2:P421,FALSE) + COUNTIF(P$2:P421, TRUE))</f>
        <v>0.48095238095238096</v>
      </c>
      <c r="R421" s="800">
        <v>268356.2</v>
      </c>
      <c r="S421" s="800">
        <f t="shared" si="195"/>
        <v>93306.609999999986</v>
      </c>
      <c r="T421" s="800">
        <v>-31638</v>
      </c>
      <c r="U421" s="800">
        <f t="shared" si="196"/>
        <v>43300.81</v>
      </c>
      <c r="V421" s="802">
        <f>STDEV(D$2:D421)*SQRT(252)</f>
        <v>0.14919288792479243</v>
      </c>
      <c r="W421" s="802">
        <f>STDEV(L$2:L421)*SQRT(252)</f>
        <v>0.32306020565165067</v>
      </c>
      <c r="X421" s="801">
        <f t="shared" si="199"/>
        <v>0.54818426208120785</v>
      </c>
      <c r="Y421" s="801">
        <f t="shared" si="200"/>
        <v>5.914288195044231E-2</v>
      </c>
      <c r="Z421" s="807">
        <f t="shared" si="201"/>
        <v>-0.10931195827378806</v>
      </c>
    </row>
    <row r="422" spans="1:26" ht="20.100000000000001" customHeight="1" x14ac:dyDescent="0.2">
      <c r="A422" s="776">
        <f t="shared" si="188"/>
        <v>638</v>
      </c>
      <c r="B422" s="795">
        <v>42871</v>
      </c>
      <c r="C422" s="820">
        <v>2400.67</v>
      </c>
      <c r="D422" s="792">
        <f t="shared" si="204"/>
        <v>-6.8683605847684362E-4</v>
      </c>
      <c r="E422" s="819">
        <f t="shared" si="175"/>
        <v>0.14184947013945701</v>
      </c>
      <c r="F422" s="816">
        <v>6169.87</v>
      </c>
      <c r="G422" s="792">
        <f t="shared" si="202"/>
        <v>3.3173590569593211E-3</v>
      </c>
      <c r="H422" s="797">
        <f t="shared" si="193"/>
        <v>0.21175049590510048</v>
      </c>
      <c r="I422" s="799">
        <v>359481.11</v>
      </c>
      <c r="J422" s="800">
        <v>350000</v>
      </c>
      <c r="K422" s="800">
        <f t="shared" si="194"/>
        <v>-2181.7000000000116</v>
      </c>
      <c r="L422" s="792">
        <f t="shared" si="203"/>
        <v>-6.0324145576372964E-3</v>
      </c>
      <c r="M422" s="817">
        <f t="shared" si="178"/>
        <v>9481.109999999986</v>
      </c>
      <c r="N422" s="802">
        <f t="shared" si="189"/>
        <v>2.7088885714285676E-2</v>
      </c>
      <c r="O422" s="786">
        <f t="shared" si="192"/>
        <v>1.5508174776085961E-2</v>
      </c>
      <c r="P422" s="817" t="b">
        <f t="shared" si="180"/>
        <v>0</v>
      </c>
      <c r="Q422" s="802">
        <f>COUNTIF(P$2:P422, TRUE)/(COUNTIF(P$2:P422,FALSE) + COUNTIF(P$2:P422, TRUE))</f>
        <v>0.47980997624703087</v>
      </c>
      <c r="R422" s="800">
        <v>272441</v>
      </c>
      <c r="S422" s="800">
        <f t="shared" si="195"/>
        <v>87040.109999999986</v>
      </c>
      <c r="T422" s="800">
        <v>-31956</v>
      </c>
      <c r="U422" s="800">
        <f t="shared" si="196"/>
        <v>41437.109999999986</v>
      </c>
      <c r="V422" s="802">
        <f>STDEV(D$2:D422)*SQRT(252)</f>
        <v>0.1490169627374561</v>
      </c>
      <c r="W422" s="802">
        <f>STDEV(L$2:L422)*SQRT(252)</f>
        <v>0.32271407708105421</v>
      </c>
      <c r="X422" s="801">
        <f t="shared" si="199"/>
        <v>0.54495614787794711</v>
      </c>
      <c r="Y422" s="801">
        <f t="shared" si="200"/>
        <v>4.8055464194054549E-2</v>
      </c>
      <c r="Z422" s="807">
        <f t="shared" si="201"/>
        <v>-0.11476058442517133</v>
      </c>
    </row>
    <row r="423" spans="1:26" ht="20.100000000000001" customHeight="1" x14ac:dyDescent="0.2">
      <c r="A423" s="776">
        <f t="shared" si="188"/>
        <v>639</v>
      </c>
      <c r="B423" s="795">
        <v>42872</v>
      </c>
      <c r="C423" s="820">
        <v>2357.0300000000002</v>
      </c>
      <c r="D423" s="792">
        <f t="shared" si="204"/>
        <v>-1.8178258569482634E-2</v>
      </c>
      <c r="E423" s="819">
        <f t="shared" si="175"/>
        <v>0.12109263522383523</v>
      </c>
      <c r="F423" s="816">
        <v>6011.23</v>
      </c>
      <c r="G423" s="792">
        <f t="shared" si="202"/>
        <v>-2.5712049038310422E-2</v>
      </c>
      <c r="H423" s="797">
        <f t="shared" si="193"/>
        <v>0.18059390773219156</v>
      </c>
      <c r="I423" s="799">
        <v>358002.43</v>
      </c>
      <c r="J423" s="800">
        <v>350000</v>
      </c>
      <c r="K423" s="800">
        <f t="shared" si="194"/>
        <v>-1478.679999999993</v>
      </c>
      <c r="L423" s="792">
        <f t="shared" si="203"/>
        <v>-4.1133733007556175E-3</v>
      </c>
      <c r="M423" s="817">
        <f t="shared" si="178"/>
        <v>8002.429999999993</v>
      </c>
      <c r="N423" s="802">
        <f t="shared" si="189"/>
        <v>2.2864085714285696E-2</v>
      </c>
      <c r="O423" s="786">
        <f t="shared" si="192"/>
        <v>1.3069025519785369E-2</v>
      </c>
      <c r="P423" s="817" t="b">
        <f t="shared" si="180"/>
        <v>1</v>
      </c>
      <c r="Q423" s="802">
        <f>COUNTIF(P$2:P423, TRUE)/(COUNTIF(P$2:P423,FALSE) + COUNTIF(P$2:P423, TRUE))</f>
        <v>0.48104265402843605</v>
      </c>
      <c r="R423" s="800">
        <v>277243.34999999998</v>
      </c>
      <c r="S423" s="800">
        <f t="shared" si="195"/>
        <v>80759.080000000016</v>
      </c>
      <c r="T423" s="800">
        <v>-31003</v>
      </c>
      <c r="U423" s="800">
        <f t="shared" si="196"/>
        <v>39005.429999999993</v>
      </c>
      <c r="V423" s="802">
        <f>STDEV(D$2:D423)*SQRT(252)</f>
        <v>0.1495288876053591</v>
      </c>
      <c r="W423" s="802">
        <f>STDEV(L$2:L423)*SQRT(252)</f>
        <v>0.32234925335581999</v>
      </c>
      <c r="X423" s="801">
        <f t="shared" si="199"/>
        <v>0.4628944720608214</v>
      </c>
      <c r="Y423" s="801">
        <f t="shared" si="200"/>
        <v>4.0543061240968153E-2</v>
      </c>
      <c r="Z423" s="807">
        <f t="shared" si="201"/>
        <v>-9.822854950954954E-2</v>
      </c>
    </row>
    <row r="424" spans="1:26" ht="20.100000000000001" customHeight="1" x14ac:dyDescent="0.2">
      <c r="A424" s="776">
        <f t="shared" si="188"/>
        <v>640</v>
      </c>
      <c r="B424" s="795">
        <v>42873</v>
      </c>
      <c r="C424" s="820">
        <v>2365.7199999999998</v>
      </c>
      <c r="D424" s="792">
        <f t="shared" si="204"/>
        <v>3.686843188249449E-3</v>
      </c>
      <c r="E424" s="819">
        <f t="shared" si="175"/>
        <v>0.12522592796940685</v>
      </c>
      <c r="F424" s="816">
        <v>6055.13</v>
      </c>
      <c r="G424" s="792">
        <f t="shared" si="202"/>
        <v>7.3029978889512714E-3</v>
      </c>
      <c r="H424" s="797">
        <f t="shared" si="193"/>
        <v>0.18921578254806848</v>
      </c>
      <c r="I424" s="799">
        <v>358058.63</v>
      </c>
      <c r="J424" s="800">
        <v>350000</v>
      </c>
      <c r="K424" s="800">
        <f t="shared" si="194"/>
        <v>56.200000000011642</v>
      </c>
      <c r="L424" s="792">
        <f t="shared" si="203"/>
        <v>1.5698217467409827E-4</v>
      </c>
      <c r="M424" s="817">
        <f t="shared" si="178"/>
        <v>8058.6300000000047</v>
      </c>
      <c r="N424" s="802">
        <f t="shared" si="189"/>
        <v>2.3024657142857157E-2</v>
      </c>
      <c r="O424" s="786">
        <f t="shared" si="192"/>
        <v>1.3140243783482152E-2</v>
      </c>
      <c r="P424" s="817" t="b">
        <f t="shared" si="180"/>
        <v>0</v>
      </c>
      <c r="Q424" s="802">
        <f>COUNTIF(P$2:P424, TRUE)/(COUNTIF(P$2:P424,FALSE) + COUNTIF(P$2:P424, TRUE))</f>
        <v>0.47990543735224589</v>
      </c>
      <c r="R424" s="800">
        <v>277930.2</v>
      </c>
      <c r="S424" s="800">
        <f t="shared" si="195"/>
        <v>80128.429999999993</v>
      </c>
      <c r="T424" s="800">
        <v>-30899</v>
      </c>
      <c r="U424" s="800">
        <f t="shared" si="196"/>
        <v>38957.630000000005</v>
      </c>
      <c r="V424" s="802">
        <f>STDEV(D$2:D424)*SQRT(252)</f>
        <v>0.14937391224983806</v>
      </c>
      <c r="W424" s="802">
        <f>STDEV(L$2:L424)*SQRT(252)</f>
        <v>0.32196627838552588</v>
      </c>
      <c r="X424" s="801">
        <f t="shared" si="199"/>
        <v>0.47844250275531547</v>
      </c>
      <c r="Y424" s="801">
        <f t="shared" si="200"/>
        <v>4.0812484616006534E-2</v>
      </c>
      <c r="Z424" s="807">
        <f t="shared" si="201"/>
        <v>-0.10220127082654969</v>
      </c>
    </row>
    <row r="425" spans="1:26" ht="20.100000000000001" customHeight="1" x14ac:dyDescent="0.2">
      <c r="A425" s="776">
        <f t="shared" si="188"/>
        <v>641</v>
      </c>
      <c r="B425" s="795">
        <v>42874</v>
      </c>
      <c r="C425" s="820">
        <v>2381.73</v>
      </c>
      <c r="D425" s="792">
        <f t="shared" si="204"/>
        <v>6.7674957306867334E-3</v>
      </c>
      <c r="E425" s="819">
        <f t="shared" si="175"/>
        <v>0.13284088963299784</v>
      </c>
      <c r="F425" s="816">
        <v>6083.7</v>
      </c>
      <c r="G425" s="792">
        <f t="shared" si="202"/>
        <v>4.7183132319206537E-3</v>
      </c>
      <c r="H425" s="797">
        <f t="shared" si="193"/>
        <v>0.19482687511047392</v>
      </c>
      <c r="I425" s="799">
        <v>363364.53</v>
      </c>
      <c r="J425" s="800">
        <v>350000</v>
      </c>
      <c r="K425" s="800">
        <f t="shared" si="194"/>
        <v>5305.9000000000233</v>
      </c>
      <c r="L425" s="792">
        <f t="shared" si="203"/>
        <v>1.4818522877105415E-2</v>
      </c>
      <c r="M425" s="817">
        <f t="shared" si="178"/>
        <v>13364.530000000028</v>
      </c>
      <c r="N425" s="802">
        <f t="shared" si="189"/>
        <v>3.8184371428571506E-2</v>
      </c>
      <c r="O425" s="786">
        <f t="shared" si="192"/>
        <v>2.1757943314018317E-2</v>
      </c>
      <c r="P425" s="817" t="b">
        <f t="shared" si="180"/>
        <v>1</v>
      </c>
      <c r="Q425" s="802">
        <f>COUNTIF(P$2:P425, TRUE)/(COUNTIF(P$2:P425,FALSE) + COUNTIF(P$2:P425, TRUE))</f>
        <v>0.48113207547169812</v>
      </c>
      <c r="R425" s="800">
        <v>263972.7</v>
      </c>
      <c r="S425" s="800">
        <f t="shared" si="195"/>
        <v>99391.830000000016</v>
      </c>
      <c r="T425" s="800">
        <v>-29778</v>
      </c>
      <c r="U425" s="800">
        <f t="shared" si="196"/>
        <v>43142.530000000028</v>
      </c>
      <c r="V425" s="802">
        <f>STDEV(D$2:D425)*SQRT(252)</f>
        <v>0.14927970106208843</v>
      </c>
      <c r="W425" s="802">
        <f>STDEV(L$2:L425)*SQRT(252)</f>
        <v>0.32177526697453379</v>
      </c>
      <c r="X425" s="801">
        <f t="shared" si="199"/>
        <v>0.50706450872402442</v>
      </c>
      <c r="Y425" s="801">
        <f t="shared" si="200"/>
        <v>6.7618445378340095E-2</v>
      </c>
      <c r="Z425" s="807">
        <f t="shared" si="201"/>
        <v>-9.4656518204426332E-2</v>
      </c>
    </row>
    <row r="426" spans="1:26" ht="20.100000000000001" customHeight="1" x14ac:dyDescent="0.2">
      <c r="A426" s="776">
        <f t="shared" si="188"/>
        <v>644</v>
      </c>
      <c r="B426" s="824">
        <v>42877</v>
      </c>
      <c r="C426" s="835">
        <v>2394.02</v>
      </c>
      <c r="D426" s="792">
        <f t="shared" si="204"/>
        <v>5.1601147065368294E-3</v>
      </c>
      <c r="E426" s="826">
        <f t="shared" ref="E426:E489" si="205">(C426-$C$2)/$C$2</f>
        <v>0.13868647856775931</v>
      </c>
      <c r="F426" s="827">
        <v>6133.61</v>
      </c>
      <c r="G426" s="792">
        <f t="shared" si="202"/>
        <v>8.2038890806581284E-3</v>
      </c>
      <c r="H426" s="828">
        <f t="shared" ref="H426:H457" si="206">(F426-F$2)/F$2</f>
        <v>0.20462910226446959</v>
      </c>
      <c r="I426" s="837">
        <v>362670.23</v>
      </c>
      <c r="J426" s="830">
        <v>350000</v>
      </c>
      <c r="K426" s="830">
        <f t="shared" ref="K426:K457" si="207">I426-I425-J426+J425</f>
        <v>-694.30000000004657</v>
      </c>
      <c r="L426" s="792">
        <f t="shared" si="203"/>
        <v>-1.9107533693507358E-3</v>
      </c>
      <c r="M426" s="839">
        <f t="shared" ref="M426:M489" si="208">I426-J426</f>
        <v>12670.229999999981</v>
      </c>
      <c r="N426" s="832">
        <f t="shared" si="189"/>
        <v>3.6200657142857091E-2</v>
      </c>
      <c r="O426" s="786">
        <f t="shared" si="192"/>
        <v>2.0531506244454274E-2</v>
      </c>
      <c r="P426" s="831" t="b">
        <f t="shared" ref="P426:P489" si="209">L426&gt;D426</f>
        <v>0</v>
      </c>
      <c r="Q426" s="832">
        <f>COUNTIF(P$2:P426, TRUE)/(COUNTIF(P$2:P426,FALSE) + COUNTIF(P$2:P426, TRUE))</f>
        <v>0.48</v>
      </c>
      <c r="R426" s="830">
        <v>263278.40000000002</v>
      </c>
      <c r="S426" s="830">
        <f t="shared" ref="S426:S457" si="210">I426-R426</f>
        <v>99391.829999999958</v>
      </c>
      <c r="T426" s="830">
        <v>-30076</v>
      </c>
      <c r="U426" s="830">
        <f t="shared" ref="U426:U446" si="211">M426-T426</f>
        <v>42746.229999999981</v>
      </c>
      <c r="V426" s="832">
        <f>STDEV(D$2:D426)*SQRT(252)</f>
        <v>0.14914946204860074</v>
      </c>
      <c r="W426" s="832">
        <f>STDEV(L$2:L426)*SQRT(252)</f>
        <v>0.32140007588338698</v>
      </c>
      <c r="X426" s="801">
        <f t="shared" si="199"/>
        <v>0.52737165886067983</v>
      </c>
      <c r="Y426" s="801">
        <f t="shared" si="200"/>
        <v>6.388146047577066E-2</v>
      </c>
      <c r="Z426" s="807">
        <f t="shared" si="201"/>
        <v>-0.10248582142490223</v>
      </c>
    </row>
    <row r="427" spans="1:26" ht="20.100000000000001" customHeight="1" x14ac:dyDescent="0.2">
      <c r="A427" s="776">
        <f t="shared" si="188"/>
        <v>645</v>
      </c>
      <c r="B427" s="824">
        <v>42878</v>
      </c>
      <c r="C427" s="835">
        <v>2398.42</v>
      </c>
      <c r="D427" s="792">
        <f>(C427-C426)/C426</f>
        <v>1.837912799391856E-3</v>
      </c>
      <c r="E427" s="826">
        <f t="shared" si="205"/>
        <v>0.14077928502121345</v>
      </c>
      <c r="F427" s="827">
        <v>6138.71</v>
      </c>
      <c r="G427" s="792">
        <f t="shared" si="202"/>
        <v>8.3148423196133497E-4</v>
      </c>
      <c r="H427" s="828">
        <f t="shared" si="206"/>
        <v>0.20563073236836424</v>
      </c>
      <c r="I427" s="837">
        <v>362550.99</v>
      </c>
      <c r="J427" s="830">
        <v>350000</v>
      </c>
      <c r="K427" s="830">
        <f t="shared" si="207"/>
        <v>-119.23999999999069</v>
      </c>
      <c r="L427" s="792">
        <f t="shared" si="203"/>
        <v>-3.2878353428675603E-4</v>
      </c>
      <c r="M427" s="839">
        <f t="shared" si="208"/>
        <v>12550.989999999991</v>
      </c>
      <c r="N427" s="832">
        <f t="shared" si="189"/>
        <v>3.5859971428571405E-2</v>
      </c>
      <c r="O427" s="786">
        <f t="shared" si="192"/>
        <v>2.0306751262458459E-2</v>
      </c>
      <c r="P427" s="831" t="b">
        <f t="shared" si="209"/>
        <v>0</v>
      </c>
      <c r="Q427" s="832">
        <f>COUNTIF(P$2:P427, TRUE)/(COUNTIF(P$2:P427,FALSE) + COUNTIF(P$2:P427, TRUE))</f>
        <v>0.47887323943661969</v>
      </c>
      <c r="R427" s="830">
        <v>263158.59999999998</v>
      </c>
      <c r="S427" s="830">
        <f t="shared" si="210"/>
        <v>99392.390000000014</v>
      </c>
      <c r="T427" s="830">
        <v>-30424</v>
      </c>
      <c r="U427" s="830">
        <f t="shared" si="211"/>
        <v>42974.989999999991</v>
      </c>
      <c r="V427" s="832">
        <f>STDEV(D$2:D427)*SQRT(252)</f>
        <v>0.1489778784266331</v>
      </c>
      <c r="W427" s="832">
        <f>STDEV(L$2:L427)*SQRT(252)</f>
        <v>0.32102147148537991</v>
      </c>
      <c r="X427" s="801">
        <f t="shared" si="199"/>
        <v>0.53511543731372224</v>
      </c>
      <c r="Y427" s="801">
        <f t="shared" si="200"/>
        <v>6.3256676160937969E-2</v>
      </c>
      <c r="Z427" s="807">
        <f t="shared" si="201"/>
        <v>-0.10491931359264205</v>
      </c>
    </row>
    <row r="428" spans="1:26" ht="20.100000000000001" customHeight="1" x14ac:dyDescent="0.2">
      <c r="A428" s="776">
        <f t="shared" si="188"/>
        <v>646</v>
      </c>
      <c r="B428" s="824">
        <v>42879</v>
      </c>
      <c r="C428" s="835">
        <v>2404.39</v>
      </c>
      <c r="D428" s="792">
        <f>(C428-C427)/C427</f>
        <v>2.4891386829662028E-3</v>
      </c>
      <c r="E428" s="826">
        <f t="shared" si="205"/>
        <v>0.14361884286828627</v>
      </c>
      <c r="F428" s="827">
        <v>6163.02</v>
      </c>
      <c r="G428" s="792">
        <f t="shared" si="202"/>
        <v>3.9601153988379316E-3</v>
      </c>
      <c r="H428" s="828">
        <f t="shared" si="206"/>
        <v>0.21040516919692848</v>
      </c>
      <c r="I428" s="837">
        <v>361217.77</v>
      </c>
      <c r="J428" s="830">
        <v>350000</v>
      </c>
      <c r="K428" s="830">
        <f t="shared" si="207"/>
        <v>-1333.2199999999721</v>
      </c>
      <c r="L428" s="792">
        <f t="shared" si="203"/>
        <v>-3.6773310148731689E-3</v>
      </c>
      <c r="M428" s="839">
        <f t="shared" si="208"/>
        <v>11217.770000000019</v>
      </c>
      <c r="N428" s="832">
        <f t="shared" si="189"/>
        <v>3.2050771428571483E-2</v>
      </c>
      <c r="O428" s="786">
        <f t="shared" si="192"/>
        <v>1.8121585548429929E-2</v>
      </c>
      <c r="P428" s="831" t="b">
        <f t="shared" si="209"/>
        <v>0</v>
      </c>
      <c r="Q428" s="832">
        <f>COUNTIF(P$2:P428, TRUE)/(COUNTIF(P$2:P428,FALSE) + COUNTIF(P$2:P428, TRUE))</f>
        <v>0.47775175644028101</v>
      </c>
      <c r="R428" s="830">
        <v>265004.5</v>
      </c>
      <c r="S428" s="830">
        <f t="shared" si="210"/>
        <v>96213.270000000019</v>
      </c>
      <c r="T428" s="830">
        <v>-30852</v>
      </c>
      <c r="U428" s="830">
        <f t="shared" si="211"/>
        <v>42069.770000000019</v>
      </c>
      <c r="V428" s="832">
        <f>STDEV(D$2:D428)*SQRT(252)</f>
        <v>0.14881157011695953</v>
      </c>
      <c r="W428" s="832">
        <f>STDEV(L$2:L428)*SQRT(252)</f>
        <v>0.32065963038398737</v>
      </c>
      <c r="X428" s="801">
        <f t="shared" si="199"/>
        <v>0.54567295678831784</v>
      </c>
      <c r="Y428" s="801">
        <f t="shared" si="200"/>
        <v>5.651346110119778E-2</v>
      </c>
      <c r="Z428" s="807">
        <f t="shared" si="201"/>
        <v>-0.11156807143971478</v>
      </c>
    </row>
    <row r="429" spans="1:26" ht="20.100000000000001" customHeight="1" x14ac:dyDescent="0.2">
      <c r="A429" s="776">
        <f t="shared" si="188"/>
        <v>647</v>
      </c>
      <c r="B429" s="824">
        <v>42880</v>
      </c>
      <c r="C429" s="835">
        <v>2415.0700000000002</v>
      </c>
      <c r="D429" s="792">
        <f>(C429-C428)/C428</f>
        <v>4.4418750701842426E-3</v>
      </c>
      <c r="E429" s="826">
        <f t="shared" si="205"/>
        <v>0.14869865489621586</v>
      </c>
      <c r="F429" s="827">
        <v>6205.25</v>
      </c>
      <c r="G429" s="792">
        <f t="shared" si="202"/>
        <v>6.8521601422678428E-3</v>
      </c>
      <c r="H429" s="828">
        <f t="shared" si="206"/>
        <v>0.21869905925329461</v>
      </c>
      <c r="I429" s="837">
        <v>353000.67</v>
      </c>
      <c r="J429" s="830">
        <v>350000</v>
      </c>
      <c r="K429" s="830">
        <f t="shared" si="207"/>
        <v>-8217.1000000000349</v>
      </c>
      <c r="L429" s="792">
        <f t="shared" si="203"/>
        <v>-2.2748327137947933E-2</v>
      </c>
      <c r="M429" s="839">
        <f t="shared" si="208"/>
        <v>3000.6699999999837</v>
      </c>
      <c r="N429" s="832">
        <f t="shared" si="189"/>
        <v>8.573342857142811E-3</v>
      </c>
      <c r="O429" s="786">
        <f t="shared" si="192"/>
        <v>4.8398971848089825E-3</v>
      </c>
      <c r="P429" s="831" t="b">
        <f t="shared" si="209"/>
        <v>0</v>
      </c>
      <c r="Q429" s="832">
        <f>COUNTIF(P$2:P429, TRUE)/(COUNTIF(P$2:P429,FALSE) + COUNTIF(P$2:P429, TRUE))</f>
        <v>0.47663551401869159</v>
      </c>
      <c r="R429" s="830">
        <v>264898.2</v>
      </c>
      <c r="S429" s="830">
        <f t="shared" si="210"/>
        <v>88102.469999999972</v>
      </c>
      <c r="T429" s="830">
        <v>-32794</v>
      </c>
      <c r="U429" s="830">
        <f t="shared" si="211"/>
        <v>35794.669999999984</v>
      </c>
      <c r="V429" s="832">
        <f>STDEV(D$2:D429)*SQRT(252)</f>
        <v>0.14866989936871414</v>
      </c>
      <c r="W429" s="832">
        <f>STDEV(L$2:L429)*SQRT(252)</f>
        <v>0.32077996360853689</v>
      </c>
      <c r="X429" s="801">
        <f t="shared" si="199"/>
        <v>0.56463778385278085</v>
      </c>
      <c r="Y429" s="801">
        <f t="shared" si="200"/>
        <v>1.5087903653219875E-2</v>
      </c>
      <c r="Z429" s="807">
        <f t="shared" si="201"/>
        <v>-0.14012531203907305</v>
      </c>
    </row>
    <row r="430" spans="1:26" ht="20.100000000000001" customHeight="1" x14ac:dyDescent="0.2">
      <c r="A430" s="776">
        <f t="shared" si="188"/>
        <v>648</v>
      </c>
      <c r="B430" s="824">
        <v>42881</v>
      </c>
      <c r="C430" s="835">
        <v>2415.8200000000002</v>
      </c>
      <c r="D430" s="792">
        <f t="shared" ref="D430:D441" si="212">(C430-C429)/C429</f>
        <v>3.105500047617667E-4</v>
      </c>
      <c r="E430" s="826">
        <f t="shared" si="205"/>
        <v>0.14905538326896373</v>
      </c>
      <c r="F430" s="827">
        <v>6210.19</v>
      </c>
      <c r="G430" s="792">
        <f t="shared" si="202"/>
        <v>7.9610007654801977E-4</v>
      </c>
      <c r="H430" s="828">
        <f t="shared" si="206"/>
        <v>0.21966926566765516</v>
      </c>
      <c r="I430" s="837">
        <v>353471.67</v>
      </c>
      <c r="J430" s="830">
        <v>350000</v>
      </c>
      <c r="K430" s="830">
        <f t="shared" si="207"/>
        <v>471</v>
      </c>
      <c r="L430" s="792">
        <f t="shared" si="203"/>
        <v>1.3342750879198049E-3</v>
      </c>
      <c r="M430" s="839">
        <f t="shared" si="208"/>
        <v>3471.6699999999837</v>
      </c>
      <c r="N430" s="832">
        <f t="shared" si="189"/>
        <v>9.9190571428570962E-3</v>
      </c>
      <c r="O430" s="786">
        <f t="shared" si="192"/>
        <v>5.5909500330687568E-3</v>
      </c>
      <c r="P430" s="831" t="b">
        <f t="shared" si="209"/>
        <v>1</v>
      </c>
      <c r="Q430" s="832">
        <f>COUNTIF(P$2:P430, TRUE)/(COUNTIF(P$2:P430,FALSE) + COUNTIF(P$2:P430, TRUE))</f>
        <v>0.47785547785547783</v>
      </c>
      <c r="R430" s="830">
        <v>265363.20000000001</v>
      </c>
      <c r="S430" s="830">
        <f t="shared" si="210"/>
        <v>88108.469999999972</v>
      </c>
      <c r="T430" s="830">
        <v>-33110</v>
      </c>
      <c r="U430" s="830">
        <f t="shared" si="211"/>
        <v>36581.669999999984</v>
      </c>
      <c r="V430" s="832">
        <f>STDEV(D$2:D430)*SQRT(252)</f>
        <v>0.14849571742002676</v>
      </c>
      <c r="W430" s="832">
        <f>STDEV(L$2:L430)*SQRT(252)</f>
        <v>0.3204048737589808</v>
      </c>
      <c r="X430" s="801">
        <f t="shared" si="199"/>
        <v>0.56578177709905297</v>
      </c>
      <c r="Y430" s="801">
        <f t="shared" si="200"/>
        <v>1.7449641035343473E-2</v>
      </c>
      <c r="Z430" s="807">
        <f t="shared" si="201"/>
        <v>-0.13913632612610663</v>
      </c>
    </row>
    <row r="431" spans="1:26" ht="20.100000000000001" customHeight="1" x14ac:dyDescent="0.2">
      <c r="A431" s="776">
        <f t="shared" si="188"/>
        <v>652</v>
      </c>
      <c r="B431" s="795">
        <v>42885</v>
      </c>
      <c r="C431" s="820">
        <v>2412.91</v>
      </c>
      <c r="D431" s="792">
        <f t="shared" si="212"/>
        <v>-1.204559942379941E-3</v>
      </c>
      <c r="E431" s="819">
        <f t="shared" si="205"/>
        <v>0.1476712771827019</v>
      </c>
      <c r="F431" s="816">
        <v>6203.18</v>
      </c>
      <c r="G431" s="792">
        <f t="shared" si="202"/>
        <v>-1.1287899404042886E-3</v>
      </c>
      <c r="H431" s="797">
        <f t="shared" si="206"/>
        <v>0.21829251526994922</v>
      </c>
      <c r="I431" s="799">
        <v>350229.07</v>
      </c>
      <c r="J431" s="800">
        <v>350000</v>
      </c>
      <c r="K431" s="800">
        <f t="shared" si="207"/>
        <v>-3242.5999999999767</v>
      </c>
      <c r="L431" s="792">
        <f t="shared" si="203"/>
        <v>-9.1735781823759077E-3</v>
      </c>
      <c r="M431" s="817">
        <f t="shared" si="208"/>
        <v>229.07000000000698</v>
      </c>
      <c r="N431" s="802">
        <f t="shared" si="189"/>
        <v>6.5448571428573419E-4</v>
      </c>
      <c r="O431" s="786">
        <f t="shared" si="192"/>
        <v>3.6664249561789024E-4</v>
      </c>
      <c r="P431" s="817" t="b">
        <f t="shared" si="209"/>
        <v>0</v>
      </c>
      <c r="Q431" s="802">
        <f>COUNTIF(P$2:P431, TRUE)/(COUNTIF(P$2:P431,FALSE) + COUNTIF(P$2:P431, TRUE))</f>
        <v>0.47674418604651164</v>
      </c>
      <c r="R431" s="800">
        <v>262120.6</v>
      </c>
      <c r="S431" s="800">
        <f t="shared" si="210"/>
        <v>88108.47</v>
      </c>
      <c r="T431" s="800">
        <v>-35019</v>
      </c>
      <c r="U431" s="800">
        <f t="shared" si="211"/>
        <v>35248.070000000007</v>
      </c>
      <c r="V431" s="802">
        <f>STDEV(D$2:D431)*SQRT(252)</f>
        <v>0.14832703796630264</v>
      </c>
      <c r="W431" s="802">
        <f>STDEV(L$2:L431)*SQRT(252)</f>
        <v>0.32011502320683888</v>
      </c>
      <c r="X431" s="801">
        <f t="shared" si="199"/>
        <v>0.55772271877139357</v>
      </c>
      <c r="Y431" s="801">
        <f t="shared" si="200"/>
        <v>1.1453461069866381E-3</v>
      </c>
      <c r="Z431" s="807">
        <f t="shared" si="201"/>
        <v>-0.14701679146841617</v>
      </c>
    </row>
    <row r="432" spans="1:26" ht="20.100000000000001" customHeight="1" x14ac:dyDescent="0.2">
      <c r="A432" s="776">
        <f t="shared" si="188"/>
        <v>653</v>
      </c>
      <c r="B432" s="795">
        <v>42886</v>
      </c>
      <c r="C432" s="820">
        <v>2411.8000000000002</v>
      </c>
      <c r="D432" s="792">
        <f t="shared" si="212"/>
        <v>-4.6002544645248791E-4</v>
      </c>
      <c r="E432" s="819">
        <f t="shared" si="205"/>
        <v>0.14714331919103524</v>
      </c>
      <c r="F432" s="816">
        <v>6198.51</v>
      </c>
      <c r="G432" s="792">
        <f t="shared" si="202"/>
        <v>-7.5283967255505607E-4</v>
      </c>
      <c r="H432" s="797">
        <f t="shared" si="206"/>
        <v>0.21737533633167713</v>
      </c>
      <c r="I432" s="823">
        <v>349203.17</v>
      </c>
      <c r="J432" s="800">
        <v>350000</v>
      </c>
      <c r="K432" s="800">
        <f t="shared" si="207"/>
        <v>-1025.9000000000233</v>
      </c>
      <c r="L432" s="792">
        <f t="shared" si="203"/>
        <v>-2.9292257207547715E-3</v>
      </c>
      <c r="M432" s="823">
        <f t="shared" si="208"/>
        <v>-796.8300000000163</v>
      </c>
      <c r="N432" s="802">
        <f t="shared" si="189"/>
        <v>-2.2766571428571893E-3</v>
      </c>
      <c r="O432" s="786">
        <f t="shared" si="192"/>
        <v>-1.2734288230146836E-3</v>
      </c>
      <c r="P432" s="817" t="b">
        <f t="shared" si="209"/>
        <v>0</v>
      </c>
      <c r="Q432" s="802">
        <f>COUNTIF(P$2:P432, TRUE)/(COUNTIF(P$2:P432,FALSE) + COUNTIF(P$2:P432, TRUE))</f>
        <v>0.47563805104408352</v>
      </c>
      <c r="R432" s="800">
        <v>265165.09999999998</v>
      </c>
      <c r="S432" s="800">
        <f t="shared" si="210"/>
        <v>84038.07</v>
      </c>
      <c r="T432" s="800">
        <v>-35731</v>
      </c>
      <c r="U432" s="800">
        <f t="shared" si="211"/>
        <v>34934.169999999984</v>
      </c>
      <c r="V432" s="802">
        <f>STDEV(D$2:D432)*SQRT(252)</f>
        <v>0.14815540660544116</v>
      </c>
      <c r="W432" s="802">
        <f>STDEV(L$2:L432)*SQRT(252)</f>
        <v>0.31975192949675368</v>
      </c>
      <c r="X432" s="801">
        <f t="shared" si="199"/>
        <v>0.55552049614459997</v>
      </c>
      <c r="Y432" s="801">
        <f t="shared" si="200"/>
        <v>-3.9825524274986817E-3</v>
      </c>
      <c r="Z432" s="807">
        <f t="shared" si="201"/>
        <v>-0.14941997633389242</v>
      </c>
    </row>
    <row r="433" spans="1:26" ht="20.100000000000001" customHeight="1" x14ac:dyDescent="0.2">
      <c r="A433" s="776">
        <f t="shared" si="188"/>
        <v>654</v>
      </c>
      <c r="B433" s="795">
        <v>42887</v>
      </c>
      <c r="C433" s="820">
        <v>2430.06</v>
      </c>
      <c r="D433" s="792">
        <f t="shared" si="212"/>
        <v>7.5711087154821137E-3</v>
      </c>
      <c r="E433" s="819">
        <f t="shared" si="205"/>
        <v>0.15582846597286956</v>
      </c>
      <c r="F433" s="816">
        <v>6246.83</v>
      </c>
      <c r="G433" s="792">
        <f t="shared" si="202"/>
        <v>7.7954218029816372E-3</v>
      </c>
      <c r="H433" s="797">
        <f t="shared" si="206"/>
        <v>0.22686529057092919</v>
      </c>
      <c r="I433" s="799">
        <v>353722.21</v>
      </c>
      <c r="J433" s="800">
        <v>350000</v>
      </c>
      <c r="K433" s="800">
        <f t="shared" si="207"/>
        <v>4519.0400000000373</v>
      </c>
      <c r="L433" s="792">
        <f t="shared" si="203"/>
        <v>1.2941005088814163E-2</v>
      </c>
      <c r="M433" s="817">
        <f t="shared" si="208"/>
        <v>3722.210000000021</v>
      </c>
      <c r="N433" s="802">
        <f t="shared" si="189"/>
        <v>1.0634885714285775E-2</v>
      </c>
      <c r="O433" s="786">
        <f t="shared" si="192"/>
        <v>5.9394373197903354E-3</v>
      </c>
      <c r="P433" s="817" t="b">
        <f t="shared" si="209"/>
        <v>1</v>
      </c>
      <c r="Q433" s="802">
        <f>COUNTIF(P$2:P433, TRUE)/(COUNTIF(P$2:P433,FALSE) + COUNTIF(P$2:P433, TRUE))</f>
        <v>0.47685185185185186</v>
      </c>
      <c r="R433" s="800">
        <v>269546.90000000002</v>
      </c>
      <c r="S433" s="800">
        <f t="shared" si="210"/>
        <v>84175.31</v>
      </c>
      <c r="T433" s="800">
        <v>-33352</v>
      </c>
      <c r="U433" s="800">
        <f t="shared" si="211"/>
        <v>37074.210000000021</v>
      </c>
      <c r="V433" s="802">
        <f>STDEV(D$2:D433)*SQRT(252)</f>
        <v>0.14808564864409832</v>
      </c>
      <c r="W433" s="802">
        <f>STDEV(L$2:L433)*SQRT(252)</f>
        <v>0.31952378804389292</v>
      </c>
      <c r="X433" s="801">
        <f t="shared" si="199"/>
        <v>0.58768729187644464</v>
      </c>
      <c r="Y433" s="801">
        <f t="shared" si="200"/>
        <v>1.8588404187842304E-2</v>
      </c>
      <c r="Z433" s="807">
        <f t="shared" si="201"/>
        <v>-0.14519358025858378</v>
      </c>
    </row>
    <row r="434" spans="1:26" ht="20.100000000000001" customHeight="1" x14ac:dyDescent="0.2">
      <c r="A434" s="776">
        <f t="shared" si="188"/>
        <v>655</v>
      </c>
      <c r="B434" s="795">
        <v>42888</v>
      </c>
      <c r="C434" s="820">
        <v>2439.0700000000002</v>
      </c>
      <c r="D434" s="792">
        <f t="shared" si="212"/>
        <v>3.7077273812170146E-3</v>
      </c>
      <c r="E434" s="819">
        <f t="shared" si="205"/>
        <v>0.16011396282414722</v>
      </c>
      <c r="F434" s="816">
        <v>6305.79</v>
      </c>
      <c r="G434" s="792">
        <f t="shared" si="202"/>
        <v>9.4383871499624673E-3</v>
      </c>
      <c r="H434" s="797">
        <f t="shared" si="206"/>
        <v>0.23844492016418881</v>
      </c>
      <c r="I434" s="799">
        <v>351458.31</v>
      </c>
      <c r="J434" s="800">
        <v>350000</v>
      </c>
      <c r="K434" s="800">
        <f t="shared" si="207"/>
        <v>-2263.9000000000233</v>
      </c>
      <c r="L434" s="792">
        <f t="shared" si="203"/>
        <v>-6.4002201049236434E-3</v>
      </c>
      <c r="M434" s="817">
        <f t="shared" si="208"/>
        <v>1458.3099999999977</v>
      </c>
      <c r="N434" s="802">
        <f t="shared" si="189"/>
        <v>4.1665999999999934E-3</v>
      </c>
      <c r="O434" s="786">
        <f t="shared" si="192"/>
        <v>2.3234361068702252E-3</v>
      </c>
      <c r="P434" s="817" t="b">
        <f t="shared" si="209"/>
        <v>0</v>
      </c>
      <c r="Q434" s="802">
        <f>COUNTIF(P$2:P434, TRUE)/(COUNTIF(P$2:P434,FALSE) + COUNTIF(P$2:P434, TRUE))</f>
        <v>0.47575057736720555</v>
      </c>
      <c r="R434" s="800">
        <v>282327.40000000002</v>
      </c>
      <c r="S434" s="800">
        <f t="shared" si="210"/>
        <v>69130.909999999974</v>
      </c>
      <c r="T434" s="800">
        <v>-36002</v>
      </c>
      <c r="U434" s="800">
        <f t="shared" si="211"/>
        <v>37460.31</v>
      </c>
      <c r="V434" s="802">
        <f>STDEV(D$2:D434)*SQRT(252)</f>
        <v>0.14793559836685169</v>
      </c>
      <c r="W434" s="802">
        <f>STDEV(L$2:L434)*SQRT(252)</f>
        <v>0.31919554315894061</v>
      </c>
      <c r="X434" s="801">
        <f t="shared" si="199"/>
        <v>0.60353913817886917</v>
      </c>
      <c r="Y434" s="801">
        <f t="shared" si="200"/>
        <v>7.2790368057027996E-3</v>
      </c>
      <c r="Z434" s="807">
        <f t="shared" si="201"/>
        <v>-0.15594736282414723</v>
      </c>
    </row>
    <row r="435" spans="1:26" ht="20.100000000000001" customHeight="1" x14ac:dyDescent="0.2">
      <c r="A435" s="776">
        <f t="shared" si="188"/>
        <v>658</v>
      </c>
      <c r="B435" s="824">
        <v>42891</v>
      </c>
      <c r="C435" s="835">
        <v>2436.1</v>
      </c>
      <c r="D435" s="792">
        <f t="shared" si="212"/>
        <v>-1.217677229435914E-3</v>
      </c>
      <c r="E435" s="826">
        <f t="shared" si="205"/>
        <v>0.15870131846806559</v>
      </c>
      <c r="F435" s="827">
        <v>6295.68</v>
      </c>
      <c r="G435" s="792">
        <f t="shared" si="202"/>
        <v>-1.6032884063693325E-3</v>
      </c>
      <c r="H435" s="828">
        <f t="shared" si="206"/>
        <v>0.23645933578176256</v>
      </c>
      <c r="I435" s="837">
        <v>351519.71</v>
      </c>
      <c r="J435" s="830">
        <v>350000</v>
      </c>
      <c r="K435" s="830">
        <f t="shared" si="207"/>
        <v>61.400000000023283</v>
      </c>
      <c r="L435" s="792">
        <f t="shared" si="203"/>
        <v>1.7470066364350093E-4</v>
      </c>
      <c r="M435" s="839">
        <f t="shared" si="208"/>
        <v>1519.710000000021</v>
      </c>
      <c r="N435" s="832">
        <f t="shared" si="189"/>
        <v>4.3420285714286314E-3</v>
      </c>
      <c r="O435" s="786">
        <f t="shared" si="192"/>
        <v>2.4102217867998598E-3</v>
      </c>
      <c r="P435" s="831" t="b">
        <f t="shared" si="209"/>
        <v>1</v>
      </c>
      <c r="Q435" s="832">
        <f>COUNTIF(P$2:P435, TRUE)/(COUNTIF(P$2:P435,FALSE) + COUNTIF(P$2:P435, TRUE))</f>
        <v>0.47695852534562211</v>
      </c>
      <c r="R435" s="830">
        <v>282388.8</v>
      </c>
      <c r="S435" s="830">
        <f t="shared" si="210"/>
        <v>69130.910000000033</v>
      </c>
      <c r="T435" s="830">
        <v>-35772</v>
      </c>
      <c r="U435" s="830">
        <f t="shared" si="211"/>
        <v>37291.710000000021</v>
      </c>
      <c r="V435" s="832">
        <f>STDEV(D$2:D435)*SQRT(252)</f>
        <v>0.14776934878372619</v>
      </c>
      <c r="W435" s="832">
        <f>STDEV(L$2:L435)*SQRT(252)</f>
        <v>0.31882594274949316</v>
      </c>
      <c r="X435" s="801">
        <f t="shared" si="199"/>
        <v>0.59615680599333642</v>
      </c>
      <c r="Y435" s="801">
        <f t="shared" si="200"/>
        <v>7.5596790085981523E-3</v>
      </c>
      <c r="Z435" s="807">
        <f t="shared" si="201"/>
        <v>-0.15435928989663697</v>
      </c>
    </row>
    <row r="436" spans="1:26" ht="20.100000000000001" customHeight="1" x14ac:dyDescent="0.2">
      <c r="A436" s="776">
        <f t="shared" si="188"/>
        <v>659</v>
      </c>
      <c r="B436" s="824">
        <v>42892</v>
      </c>
      <c r="C436" s="835">
        <v>2429.33</v>
      </c>
      <c r="D436" s="792">
        <f t="shared" si="212"/>
        <v>-2.7790320594392602E-3</v>
      </c>
      <c r="E436" s="826">
        <f t="shared" si="205"/>
        <v>0.1554812503567283</v>
      </c>
      <c r="F436" s="827">
        <v>6275.02</v>
      </c>
      <c r="G436" s="792">
        <f t="shared" si="202"/>
        <v>-3.2816153298769715E-3</v>
      </c>
      <c r="H436" s="828">
        <f t="shared" si="206"/>
        <v>0.23240175187069165</v>
      </c>
      <c r="I436" s="837">
        <v>351863.31</v>
      </c>
      <c r="J436" s="830">
        <v>350000</v>
      </c>
      <c r="K436" s="830">
        <f t="shared" si="207"/>
        <v>343.59999999997672</v>
      </c>
      <c r="L436" s="792">
        <f t="shared" si="203"/>
        <v>9.7747008268747344E-4</v>
      </c>
      <c r="M436" s="839">
        <f t="shared" si="208"/>
        <v>1863.3099999999977</v>
      </c>
      <c r="N436" s="832">
        <f t="shared" si="189"/>
        <v>5.3237428571428509E-3</v>
      </c>
      <c r="O436" s="786">
        <f t="shared" si="192"/>
        <v>2.9506784196834997E-3</v>
      </c>
      <c r="P436" s="831" t="b">
        <f t="shared" si="209"/>
        <v>1</v>
      </c>
      <c r="Q436" s="832">
        <f>COUNTIF(P$2:P436, TRUE)/(COUNTIF(P$2:P436,FALSE) + COUNTIF(P$2:P436, TRUE))</f>
        <v>0.47816091954022988</v>
      </c>
      <c r="R436" s="830">
        <v>286054.40000000002</v>
      </c>
      <c r="S436" s="830">
        <f t="shared" si="210"/>
        <v>65808.909999999974</v>
      </c>
      <c r="T436" s="830">
        <v>-34862</v>
      </c>
      <c r="U436" s="830">
        <f t="shared" si="211"/>
        <v>36725.31</v>
      </c>
      <c r="V436" s="832">
        <f>STDEV(D$2:D436)*SQRT(252)</f>
        <v>0.14761828585147854</v>
      </c>
      <c r="W436" s="832">
        <f>STDEV(L$2:L436)*SQRT(252)</f>
        <v>0.3184578591374711</v>
      </c>
      <c r="X436" s="801">
        <f t="shared" si="199"/>
        <v>0.58377121480445904</v>
      </c>
      <c r="Y436" s="801">
        <f t="shared" si="200"/>
        <v>9.2655223761011294E-3</v>
      </c>
      <c r="Z436" s="807">
        <f t="shared" si="201"/>
        <v>-0.15015750749958545</v>
      </c>
    </row>
    <row r="437" spans="1:26" ht="20.100000000000001" customHeight="1" x14ac:dyDescent="0.2">
      <c r="A437" s="776">
        <f t="shared" si="188"/>
        <v>660</v>
      </c>
      <c r="B437" s="824">
        <v>42893</v>
      </c>
      <c r="C437" s="835">
        <v>2433.14</v>
      </c>
      <c r="D437" s="792">
        <f t="shared" si="212"/>
        <v>1.5683336557816129E-3</v>
      </c>
      <c r="E437" s="826">
        <f t="shared" si="205"/>
        <v>0.15729343049028738</v>
      </c>
      <c r="F437" s="827">
        <v>6297.38</v>
      </c>
      <c r="G437" s="792">
        <f t="shared" si="202"/>
        <v>3.5633352563019197E-3</v>
      </c>
      <c r="H437" s="828">
        <f t="shared" si="206"/>
        <v>0.23679321248306073</v>
      </c>
      <c r="I437" s="837">
        <v>346982.81</v>
      </c>
      <c r="J437" s="830">
        <v>350000</v>
      </c>
      <c r="K437" s="830">
        <f t="shared" si="207"/>
        <v>-4880.5</v>
      </c>
      <c r="L437" s="792">
        <f t="shared" si="203"/>
        <v>-1.3870443042214319E-2</v>
      </c>
      <c r="M437" s="839">
        <f t="shared" si="208"/>
        <v>-3017.1900000000023</v>
      </c>
      <c r="N437" s="832">
        <f t="shared" si="189"/>
        <v>-8.6205428571428638E-3</v>
      </c>
      <c r="O437" s="786">
        <f t="shared" si="192"/>
        <v>-4.7706867857142893E-3</v>
      </c>
      <c r="P437" s="831" t="b">
        <f t="shared" si="209"/>
        <v>0</v>
      </c>
      <c r="Q437" s="832">
        <f>COUNTIF(P$2:P437, TRUE)/(COUNTIF(P$2:P437,FALSE) + COUNTIF(P$2:P437, TRUE))</f>
        <v>0.47706422018348627</v>
      </c>
      <c r="R437" s="830">
        <v>281173.90000000002</v>
      </c>
      <c r="S437" s="830">
        <f t="shared" si="210"/>
        <v>65808.909999999974</v>
      </c>
      <c r="T437" s="830">
        <v>-40512</v>
      </c>
      <c r="U437" s="830">
        <f t="shared" si="211"/>
        <v>37494.81</v>
      </c>
      <c r="V437" s="832">
        <f>STDEV(D$2:D437)*SQRT(252)</f>
        <v>0.14745091296310839</v>
      </c>
      <c r="W437" s="832">
        <f>STDEV(L$2:L437)*SQRT(252)</f>
        <v>0.31827656927387871</v>
      </c>
      <c r="X437" s="801">
        <f t="shared" si="199"/>
        <v>0.59034978233997903</v>
      </c>
      <c r="Y437" s="801">
        <f t="shared" si="200"/>
        <v>-1.4989123442539961E-2</v>
      </c>
      <c r="Z437" s="807">
        <f t="shared" si="201"/>
        <v>-0.16591397334743024</v>
      </c>
    </row>
    <row r="438" spans="1:26" ht="20.100000000000001" customHeight="1" x14ac:dyDescent="0.2">
      <c r="A438" s="776">
        <f t="shared" si="188"/>
        <v>661</v>
      </c>
      <c r="B438" s="824">
        <v>42894</v>
      </c>
      <c r="C438" s="835">
        <v>2433.79</v>
      </c>
      <c r="D438" s="792">
        <f t="shared" si="212"/>
        <v>2.6714451285174342E-4</v>
      </c>
      <c r="E438" s="826">
        <f t="shared" si="205"/>
        <v>0.15760259508000224</v>
      </c>
      <c r="F438" s="827">
        <v>6321.76</v>
      </c>
      <c r="G438" s="792">
        <f t="shared" si="202"/>
        <v>3.8714513019700429E-3</v>
      </c>
      <c r="H438" s="828">
        <f t="shared" si="206"/>
        <v>0.24158139717579599</v>
      </c>
      <c r="I438" s="837">
        <v>347153.55</v>
      </c>
      <c r="J438" s="830">
        <v>350000</v>
      </c>
      <c r="K438" s="830">
        <f t="shared" si="207"/>
        <v>170.73999999999069</v>
      </c>
      <c r="L438" s="792">
        <f t="shared" si="203"/>
        <v>4.9207048614307637E-4</v>
      </c>
      <c r="M438" s="839">
        <f t="shared" si="208"/>
        <v>-2846.4500000000116</v>
      </c>
      <c r="N438" s="832">
        <f t="shared" si="189"/>
        <v>-8.1327142857143195E-3</v>
      </c>
      <c r="O438" s="786">
        <f t="shared" si="192"/>
        <v>-4.4939090663497052E-3</v>
      </c>
      <c r="P438" s="831" t="b">
        <f t="shared" si="209"/>
        <v>1</v>
      </c>
      <c r="Q438" s="832">
        <f>COUNTIF(P$2:P438, TRUE)/(COUNTIF(P$2:P438,FALSE) + COUNTIF(P$2:P438, TRUE))</f>
        <v>0.47826086956521741</v>
      </c>
      <c r="R438" s="830">
        <v>278494.7</v>
      </c>
      <c r="S438" s="830">
        <f t="shared" si="210"/>
        <v>68658.849999999977</v>
      </c>
      <c r="T438" s="830">
        <v>-41692</v>
      </c>
      <c r="U438" s="830">
        <f t="shared" si="211"/>
        <v>38845.549999999988</v>
      </c>
      <c r="V438" s="832">
        <f>STDEV(D$2:D438)*SQRT(252)</f>
        <v>0.14728135611412443</v>
      </c>
      <c r="W438" s="832">
        <f>STDEV(L$2:L438)*SQRT(252)</f>
        <v>0.31791053438121292</v>
      </c>
      <c r="X438" s="801">
        <f t="shared" si="199"/>
        <v>0.59129520212629594</v>
      </c>
      <c r="Y438" s="801">
        <f t="shared" si="200"/>
        <v>-1.4135766451076353E-2</v>
      </c>
      <c r="Z438" s="807">
        <f t="shared" si="201"/>
        <v>-0.16573530936571657</v>
      </c>
    </row>
    <row r="439" spans="1:26" ht="20.100000000000001" customHeight="1" x14ac:dyDescent="0.2">
      <c r="A439" s="776">
        <f t="shared" si="188"/>
        <v>662</v>
      </c>
      <c r="B439" s="824">
        <v>42895</v>
      </c>
      <c r="C439" s="835">
        <v>2431.77</v>
      </c>
      <c r="D439" s="792">
        <f t="shared" si="212"/>
        <v>-8.2998122270203339E-4</v>
      </c>
      <c r="E439" s="826">
        <f t="shared" si="205"/>
        <v>0.15664180666273469</v>
      </c>
      <c r="F439" s="827">
        <v>6207.91</v>
      </c>
      <c r="G439" s="792">
        <f t="shared" si="202"/>
        <v>-1.8009225279036273E-2</v>
      </c>
      <c r="H439" s="828">
        <f t="shared" si="206"/>
        <v>0.21922147809179646</v>
      </c>
      <c r="I439" s="837">
        <v>354123.05</v>
      </c>
      <c r="J439" s="830">
        <v>350000</v>
      </c>
      <c r="K439" s="830">
        <f t="shared" si="207"/>
        <v>6969.5</v>
      </c>
      <c r="L439" s="792">
        <f t="shared" si="203"/>
        <v>2.0076130576800959E-2</v>
      </c>
      <c r="M439" s="839">
        <f t="shared" si="208"/>
        <v>4123.0499999999884</v>
      </c>
      <c r="N439" s="832">
        <f t="shared" si="189"/>
        <v>1.1780142857142824E-2</v>
      </c>
      <c r="O439" s="786">
        <f t="shared" si="192"/>
        <v>6.4995425658178497E-3</v>
      </c>
      <c r="P439" s="831" t="b">
        <f t="shared" si="209"/>
        <v>1</v>
      </c>
      <c r="Q439" s="832">
        <f>COUNTIF(P$2:P439, TRUE)/(COUNTIF(P$2:P439,FALSE) + COUNTIF(P$2:P439, TRUE))</f>
        <v>0.47945205479452052</v>
      </c>
      <c r="R439" s="830">
        <v>285464.2</v>
      </c>
      <c r="S439" s="830">
        <f t="shared" si="210"/>
        <v>68658.849999999977</v>
      </c>
      <c r="T439" s="830">
        <v>-37482</v>
      </c>
      <c r="U439" s="830">
        <f t="shared" si="211"/>
        <v>41605.049999999988</v>
      </c>
      <c r="V439" s="832">
        <f>STDEV(D$2:D439)*SQRT(252)</f>
        <v>0.14711522117325773</v>
      </c>
      <c r="W439" s="832">
        <f>STDEV(L$2:L439)*SQRT(252)</f>
        <v>0.3178976683829039</v>
      </c>
      <c r="X439" s="801">
        <f t="shared" si="199"/>
        <v>0.5874654225106517</v>
      </c>
      <c r="Y439" s="801">
        <f t="shared" si="200"/>
        <v>2.0445392376987268E-2</v>
      </c>
      <c r="Z439" s="807">
        <f t="shared" si="201"/>
        <v>-0.14486166380559187</v>
      </c>
    </row>
    <row r="440" spans="1:26" ht="20.100000000000001" customHeight="1" x14ac:dyDescent="0.2">
      <c r="A440" s="776">
        <f t="shared" si="188"/>
        <v>665</v>
      </c>
      <c r="B440" s="795">
        <v>42898</v>
      </c>
      <c r="C440" s="820">
        <v>2429.39</v>
      </c>
      <c r="D440" s="792">
        <f t="shared" si="212"/>
        <v>-9.7871098006806125E-4</v>
      </c>
      <c r="E440" s="819">
        <f t="shared" si="205"/>
        <v>0.1555097886265481</v>
      </c>
      <c r="F440" s="816">
        <v>6208.91</v>
      </c>
      <c r="G440" s="792">
        <f t="shared" si="202"/>
        <v>1.6108480954137545E-4</v>
      </c>
      <c r="H440" s="797">
        <f t="shared" si="206"/>
        <v>0.21941787615138364</v>
      </c>
      <c r="I440" s="799">
        <v>354932.43</v>
      </c>
      <c r="J440" s="800">
        <v>350000</v>
      </c>
      <c r="K440" s="800">
        <f t="shared" si="207"/>
        <v>809.38000000000466</v>
      </c>
      <c r="L440" s="792">
        <f t="shared" si="203"/>
        <v>2.2855897123895343E-3</v>
      </c>
      <c r="M440" s="817">
        <f t="shared" si="208"/>
        <v>4932.429999999993</v>
      </c>
      <c r="N440" s="802">
        <f t="shared" si="189"/>
        <v>1.4092657142857123E-2</v>
      </c>
      <c r="O440" s="786">
        <f t="shared" si="192"/>
        <v>7.7403654457572401E-3</v>
      </c>
      <c r="P440" s="817" t="b">
        <f t="shared" si="209"/>
        <v>1</v>
      </c>
      <c r="Q440" s="802">
        <f>COUNTIF(P$2:P440, TRUE)/(COUNTIF(P$2:P440,FALSE) + COUNTIF(P$2:P440, TRUE))</f>
        <v>0.48063781321184512</v>
      </c>
      <c r="R440" s="800">
        <v>278669.75</v>
      </c>
      <c r="S440" s="800">
        <f t="shared" si="210"/>
        <v>76262.679999999993</v>
      </c>
      <c r="T440" s="800">
        <v>-36662</v>
      </c>
      <c r="U440" s="800">
        <f t="shared" si="211"/>
        <v>41594.429999999993</v>
      </c>
      <c r="V440" s="802">
        <f>STDEV(D$2:D440)*SQRT(252)</f>
        <v>0.14695039242949098</v>
      </c>
      <c r="W440" s="802">
        <f>STDEV(L$2:L440)*SQRT(252)</f>
        <v>0.3175368564907623</v>
      </c>
      <c r="X440" s="801">
        <f t="shared" si="199"/>
        <v>0.58124008843652086</v>
      </c>
      <c r="Y440" s="801">
        <f t="shared" si="200"/>
        <v>2.43762740845248E-2</v>
      </c>
      <c r="Z440" s="807">
        <f t="shared" si="201"/>
        <v>-0.14141713148369098</v>
      </c>
    </row>
    <row r="441" spans="1:26" ht="20.100000000000001" customHeight="1" x14ac:dyDescent="0.2">
      <c r="A441" s="776">
        <f t="shared" si="188"/>
        <v>666</v>
      </c>
      <c r="B441" s="795">
        <v>42899</v>
      </c>
      <c r="C441" s="820">
        <v>2440.35</v>
      </c>
      <c r="D441" s="792">
        <f t="shared" si="212"/>
        <v>4.5114205623634071E-3</v>
      </c>
      <c r="E441" s="819">
        <f t="shared" si="205"/>
        <v>0.16072277924697012</v>
      </c>
      <c r="F441" s="816">
        <v>6220.36</v>
      </c>
      <c r="G441" s="792">
        <f t="shared" si="202"/>
        <v>1.8441240088839777E-3</v>
      </c>
      <c r="H441" s="797">
        <f t="shared" si="206"/>
        <v>0.22166663393365671</v>
      </c>
      <c r="I441" s="799">
        <v>359514.03</v>
      </c>
      <c r="J441" s="800">
        <v>350000</v>
      </c>
      <c r="K441" s="800">
        <f t="shared" si="207"/>
        <v>4581.6000000000349</v>
      </c>
      <c r="L441" s="792">
        <f t="shared" si="203"/>
        <v>1.29083724471163E-2</v>
      </c>
      <c r="M441" s="817">
        <f t="shared" si="208"/>
        <v>9514.0300000000279</v>
      </c>
      <c r="N441" s="802">
        <f t="shared" si="189"/>
        <v>2.7182942857142938E-2</v>
      </c>
      <c r="O441" s="786">
        <f t="shared" si="192"/>
        <v>1.4907762580437625E-2</v>
      </c>
      <c r="P441" s="817" t="b">
        <f t="shared" si="209"/>
        <v>1</v>
      </c>
      <c r="Q441" s="802">
        <f>COUNTIF(P$2:P441, TRUE)/(COUNTIF(P$2:P441,FALSE) + COUNTIF(P$2:P441, TRUE))</f>
        <v>0.48181818181818181</v>
      </c>
      <c r="R441" s="800">
        <v>282883.34999999998</v>
      </c>
      <c r="S441" s="800">
        <f t="shared" si="210"/>
        <v>76630.680000000051</v>
      </c>
      <c r="T441" s="800">
        <v>-33012</v>
      </c>
      <c r="U441" s="800">
        <f t="shared" si="211"/>
        <v>42526.030000000028</v>
      </c>
      <c r="V441" s="802">
        <f>STDEV(D$2:D441)*SQRT(252)</f>
        <v>0.14681603465160581</v>
      </c>
      <c r="W441" s="802">
        <f>STDEV(L$2:L441)*SQRT(252)</f>
        <v>0.31731497088300775</v>
      </c>
      <c r="X441" s="801">
        <f t="shared" si="199"/>
        <v>0.60037132201476762</v>
      </c>
      <c r="Y441" s="801">
        <f t="shared" si="200"/>
        <v>4.6980961972746108E-2</v>
      </c>
      <c r="Z441" s="807">
        <f t="shared" si="201"/>
        <v>-0.13353983638982719</v>
      </c>
    </row>
    <row r="442" spans="1:26" ht="20.100000000000001" customHeight="1" x14ac:dyDescent="0.2">
      <c r="A442" s="776">
        <f t="shared" si="188"/>
        <v>667</v>
      </c>
      <c r="B442" s="795">
        <v>42900</v>
      </c>
      <c r="C442" s="820">
        <v>2437.92</v>
      </c>
      <c r="D442" s="792">
        <f t="shared" ref="D442:D483" si="213">(C442-C441)/C441</f>
        <v>-9.9575880508936693E-4</v>
      </c>
      <c r="E442" s="819">
        <f t="shared" si="205"/>
        <v>0.15956697931926714</v>
      </c>
      <c r="F442" s="816">
        <v>6194.89</v>
      </c>
      <c r="G442" s="792">
        <f t="shared" ref="G442:G483" si="214">(F442-F441)/F441</f>
        <v>-4.0946183179107554E-3</v>
      </c>
      <c r="H442" s="797">
        <f t="shared" si="206"/>
        <v>0.21666437535597158</v>
      </c>
      <c r="I442" s="799">
        <v>355660.79999999999</v>
      </c>
      <c r="J442" s="800">
        <v>350000</v>
      </c>
      <c r="K442" s="800">
        <f t="shared" si="207"/>
        <v>-3853.2300000000396</v>
      </c>
      <c r="L442" s="792">
        <f t="shared" ref="L442:L483" si="215">K442/I441</f>
        <v>-1.0717884918149201E-2</v>
      </c>
      <c r="M442" s="817">
        <f t="shared" si="208"/>
        <v>5660.7999999999884</v>
      </c>
      <c r="N442" s="802">
        <f t="shared" si="189"/>
        <v>1.6173714285714253E-2</v>
      </c>
      <c r="O442" s="786">
        <f t="shared" si="192"/>
        <v>8.8567453416148901E-3</v>
      </c>
      <c r="P442" s="817" t="b">
        <f t="shared" si="209"/>
        <v>0</v>
      </c>
      <c r="Q442" s="802">
        <f>COUNTIF(P$2:P442, TRUE)/(COUNTIF(P$2:P442,FALSE) + COUNTIF(P$2:P442, TRUE))</f>
        <v>0.48072562358276644</v>
      </c>
      <c r="R442" s="800">
        <v>283596.25</v>
      </c>
      <c r="S442" s="800">
        <f t="shared" si="210"/>
        <v>72064.549999999988</v>
      </c>
      <c r="T442" s="800">
        <v>-36382</v>
      </c>
      <c r="U442" s="800">
        <f t="shared" si="211"/>
        <v>42042.799999999988</v>
      </c>
      <c r="V442" s="802">
        <f>STDEV(D$2:D442)*SQRT(252)</f>
        <v>0.14665243029152958</v>
      </c>
      <c r="W442" s="802">
        <f>STDEV(L$2:L442)*SQRT(252)</f>
        <v>0.3170662521053495</v>
      </c>
      <c r="X442" s="801">
        <f t="shared" si="199"/>
        <v>0.59582421570657329</v>
      </c>
      <c r="Y442" s="801">
        <f t="shared" si="200"/>
        <v>2.7933421746418215E-2</v>
      </c>
      <c r="Z442" s="807">
        <f t="shared" si="201"/>
        <v>-0.14339326503355287</v>
      </c>
    </row>
    <row r="443" spans="1:26" ht="20.100000000000001" customHeight="1" x14ac:dyDescent="0.2">
      <c r="A443" s="776">
        <f t="shared" si="188"/>
        <v>668</v>
      </c>
      <c r="B443" s="795">
        <v>42901</v>
      </c>
      <c r="C443" s="820">
        <v>2432.46</v>
      </c>
      <c r="D443" s="792">
        <f t="shared" si="213"/>
        <v>-2.2396140972632556E-3</v>
      </c>
      <c r="E443" s="819">
        <f t="shared" si="205"/>
        <v>0.15696999676566273</v>
      </c>
      <c r="F443" s="816">
        <v>6165.5</v>
      </c>
      <c r="G443" s="792">
        <f t="shared" si="214"/>
        <v>-4.7442327466670634E-3</v>
      </c>
      <c r="H443" s="797">
        <f t="shared" si="206"/>
        <v>0.21089223638470456</v>
      </c>
      <c r="I443" s="799">
        <v>343648.95</v>
      </c>
      <c r="J443" s="800">
        <v>350000</v>
      </c>
      <c r="K443" s="800">
        <f t="shared" si="207"/>
        <v>-12011.849999999977</v>
      </c>
      <c r="L443" s="792">
        <f t="shared" si="215"/>
        <v>-3.3773331218959125E-2</v>
      </c>
      <c r="M443" s="817">
        <f t="shared" si="208"/>
        <v>-6351.0499999999884</v>
      </c>
      <c r="N443" s="802">
        <f t="shared" si="189"/>
        <v>-1.8145857142857109E-2</v>
      </c>
      <c r="O443" s="786">
        <f t="shared" si="192"/>
        <v>-9.9218178464499391E-3</v>
      </c>
      <c r="P443" s="817" t="b">
        <f t="shared" si="209"/>
        <v>0</v>
      </c>
      <c r="Q443" s="802">
        <f>COUNTIF(P$2:P443, TRUE)/(COUNTIF(P$2:P443,FALSE) + COUNTIF(P$2:P443, TRUE))</f>
        <v>0.47963800904977377</v>
      </c>
      <c r="R443" s="800">
        <v>276654.45</v>
      </c>
      <c r="S443" s="800">
        <f t="shared" si="210"/>
        <v>66994.5</v>
      </c>
      <c r="T443" s="800">
        <v>-42389</v>
      </c>
      <c r="U443" s="800">
        <f t="shared" si="211"/>
        <v>36037.950000000012</v>
      </c>
      <c r="V443" s="802">
        <f>STDEV(D$2:D443)*SQRT(252)</f>
        <v>0.1464990590899134</v>
      </c>
      <c r="W443" s="802">
        <f>STDEV(L$2:L443)*SQRT(252)</f>
        <v>0.31775974785827971</v>
      </c>
      <c r="X443" s="801">
        <f t="shared" si="199"/>
        <v>0.5858623321565245</v>
      </c>
      <c r="Y443" s="801">
        <f t="shared" si="200"/>
        <v>-3.1224275300202758E-2</v>
      </c>
      <c r="Z443" s="807">
        <f t="shared" si="201"/>
        <v>-0.17511585390851983</v>
      </c>
    </row>
    <row r="444" spans="1:26" ht="20.100000000000001" customHeight="1" x14ac:dyDescent="0.2">
      <c r="A444" s="776">
        <f t="shared" si="188"/>
        <v>669</v>
      </c>
      <c r="B444" s="795">
        <v>42902</v>
      </c>
      <c r="C444" s="820">
        <v>2433.46</v>
      </c>
      <c r="D444" s="792">
        <f t="shared" si="213"/>
        <v>4.1110645190465617E-4</v>
      </c>
      <c r="E444" s="819">
        <f t="shared" si="205"/>
        <v>0.15744563459599323</v>
      </c>
      <c r="F444" s="816">
        <v>6166.5</v>
      </c>
      <c r="G444" s="792">
        <f t="shared" si="214"/>
        <v>1.6219284729543428E-4</v>
      </c>
      <c r="H444" s="797">
        <f t="shared" si="206"/>
        <v>0.21108863444429174</v>
      </c>
      <c r="I444" s="799">
        <v>340685.9</v>
      </c>
      <c r="J444" s="800">
        <v>350000</v>
      </c>
      <c r="K444" s="800">
        <f t="shared" si="207"/>
        <v>-2963.0499999999884</v>
      </c>
      <c r="L444" s="792">
        <f t="shared" si="215"/>
        <v>-8.6223164656839147E-3</v>
      </c>
      <c r="M444" s="817">
        <f t="shared" si="208"/>
        <v>-9314.0999999999767</v>
      </c>
      <c r="N444" s="802">
        <f t="shared" si="189"/>
        <v>-2.6611714285714218E-2</v>
      </c>
      <c r="O444" s="786">
        <f t="shared" si="192"/>
        <v>-1.4529041319666843E-2</v>
      </c>
      <c r="P444" s="817" t="b">
        <f t="shared" si="209"/>
        <v>0</v>
      </c>
      <c r="Q444" s="802">
        <f>COUNTIF(P$2:P444, TRUE)/(COUNTIF(P$2:P444,FALSE) + COUNTIF(P$2:P444, TRUE))</f>
        <v>0.47855530474040631</v>
      </c>
      <c r="R444" s="800">
        <v>280371.40000000002</v>
      </c>
      <c r="S444" s="800">
        <f t="shared" si="210"/>
        <v>60314.5</v>
      </c>
      <c r="T444" s="800">
        <v>-45235</v>
      </c>
      <c r="U444" s="800">
        <f t="shared" si="211"/>
        <v>35920.900000000023</v>
      </c>
      <c r="V444" s="802">
        <f>STDEV(D$2:D444)*SQRT(252)</f>
        <v>0.14633286893407277</v>
      </c>
      <c r="W444" s="802">
        <f>STDEV(L$2:L444)*SQRT(252)</f>
        <v>0.31747170066336466</v>
      </c>
      <c r="X444" s="801">
        <f t="shared" si="199"/>
        <v>0.58742556502635634</v>
      </c>
      <c r="Y444" s="801">
        <f t="shared" si="200"/>
        <v>-4.5764839163012216E-2</v>
      </c>
      <c r="Z444" s="807">
        <f t="shared" si="201"/>
        <v>-0.18405734888170744</v>
      </c>
    </row>
    <row r="445" spans="1:26" ht="20.100000000000001" customHeight="1" x14ac:dyDescent="0.2">
      <c r="A445" s="776">
        <f t="shared" si="188"/>
        <v>670</v>
      </c>
      <c r="B445" s="795">
        <v>42903</v>
      </c>
      <c r="C445" s="820">
        <v>2453.46</v>
      </c>
      <c r="D445" s="792">
        <f t="shared" si="213"/>
        <v>8.2187502568359452E-3</v>
      </c>
      <c r="E445" s="819">
        <f t="shared" si="205"/>
        <v>0.16695839120260267</v>
      </c>
      <c r="F445" s="816">
        <v>6239.01</v>
      </c>
      <c r="G445" s="792">
        <f t="shared" si="214"/>
        <v>1.17586961809779E-2</v>
      </c>
      <c r="H445" s="797">
        <f t="shared" si="206"/>
        <v>0.22532945774495758</v>
      </c>
      <c r="I445" s="799">
        <v>342070.2</v>
      </c>
      <c r="J445" s="800">
        <v>350000</v>
      </c>
      <c r="K445" s="800">
        <f t="shared" si="207"/>
        <v>1384.2999999999884</v>
      </c>
      <c r="L445" s="792">
        <f t="shared" si="215"/>
        <v>4.0632735314258331E-3</v>
      </c>
      <c r="M445" s="817">
        <f t="shared" si="208"/>
        <v>-7929.7999999999884</v>
      </c>
      <c r="N445" s="802">
        <f t="shared" si="189"/>
        <v>-2.2656571428571394E-2</v>
      </c>
      <c r="O445" s="786">
        <f t="shared" si="192"/>
        <v>-1.2351213006396569E-2</v>
      </c>
      <c r="P445" s="817" t="b">
        <f t="shared" si="209"/>
        <v>0</v>
      </c>
      <c r="Q445" s="802">
        <f>COUNTIF(P$2:P445, TRUE)/(COUNTIF(P$2:P445,FALSE) + COUNTIF(P$2:P445, TRUE))</f>
        <v>0.47747747747747749</v>
      </c>
      <c r="R445" s="800">
        <v>281755.7</v>
      </c>
      <c r="S445" s="800">
        <f t="shared" si="210"/>
        <v>60314.5</v>
      </c>
      <c r="T445" s="800">
        <v>-44677</v>
      </c>
      <c r="U445" s="800">
        <f t="shared" si="211"/>
        <v>36747.200000000012</v>
      </c>
      <c r="V445" s="802">
        <f>STDEV(D$2:D445)*SQRT(252)</f>
        <v>0.14628696674144756</v>
      </c>
      <c r="W445" s="802">
        <f>STDEV(L$2:L445)*SQRT(252)</f>
        <v>0.31712481290126882</v>
      </c>
      <c r="X445" s="801">
        <f t="shared" si="199"/>
        <v>0.62218285330333911</v>
      </c>
      <c r="Y445" s="801">
        <f t="shared" si="200"/>
        <v>-3.8947482202352612E-2</v>
      </c>
      <c r="Z445" s="807">
        <f t="shared" si="201"/>
        <v>-0.18961496263117406</v>
      </c>
    </row>
    <row r="446" spans="1:26" ht="20.100000000000001" customHeight="1" x14ac:dyDescent="0.2">
      <c r="A446" s="776">
        <f t="shared" si="188"/>
        <v>684</v>
      </c>
      <c r="B446" s="795">
        <v>42917</v>
      </c>
      <c r="C446" s="820">
        <v>2423.41</v>
      </c>
      <c r="D446" s="792">
        <f t="shared" si="213"/>
        <v>-1.2248008934321399E-2</v>
      </c>
      <c r="E446" s="819">
        <f t="shared" si="205"/>
        <v>0.15266547440117187</v>
      </c>
      <c r="F446" s="816">
        <v>6140.42</v>
      </c>
      <c r="G446" s="792">
        <f t="shared" si="214"/>
        <v>-1.5802186564855665E-2</v>
      </c>
      <c r="H446" s="797">
        <f t="shared" si="206"/>
        <v>0.20596657305025831</v>
      </c>
      <c r="I446" s="823">
        <v>340097.61</v>
      </c>
      <c r="J446" s="800">
        <v>350000</v>
      </c>
      <c r="K446" s="800">
        <f t="shared" si="207"/>
        <v>-1972.5900000000256</v>
      </c>
      <c r="L446" s="792">
        <f t="shared" si="215"/>
        <v>-5.7666233422263196E-3</v>
      </c>
      <c r="M446" s="823">
        <f t="shared" si="208"/>
        <v>-9902.390000000014</v>
      </c>
      <c r="N446" s="802">
        <f t="shared" si="189"/>
        <v>-2.8292542857142899E-2</v>
      </c>
      <c r="O446" s="786">
        <f t="shared" si="192"/>
        <v>-1.5107969705513806E-2</v>
      </c>
      <c r="P446" s="817" t="b">
        <f t="shared" si="209"/>
        <v>1</v>
      </c>
      <c r="Q446" s="802">
        <f>COUNTIF(P$2:P446, TRUE)/(COUNTIF(P$2:P446,FALSE) + COUNTIF(P$2:P446, TRUE))</f>
        <v>0.47865168539325842</v>
      </c>
      <c r="R446" s="800">
        <v>265669.75</v>
      </c>
      <c r="S446" s="800">
        <f t="shared" si="210"/>
        <v>74427.859999999986</v>
      </c>
      <c r="T446" s="800">
        <v>-48327</v>
      </c>
      <c r="U446" s="800">
        <f t="shared" si="211"/>
        <v>38424.609999999986</v>
      </c>
      <c r="V446" s="802">
        <f>STDEV(D$2:D446)*SQRT(252)</f>
        <v>0.14643166967945351</v>
      </c>
      <c r="W446" s="802">
        <f>STDEV(L$2:L446)*SQRT(252)</f>
        <v>0.31680015908275011</v>
      </c>
      <c r="X446" s="801">
        <f t="shared" si="199"/>
        <v>0.55672399514294701</v>
      </c>
      <c r="Y446" s="801">
        <f t="shared" si="200"/>
        <v>-4.7689274365444727E-2</v>
      </c>
      <c r="Z446" s="807">
        <f t="shared" si="201"/>
        <v>-0.18095801725831476</v>
      </c>
    </row>
    <row r="447" spans="1:26" ht="20.100000000000001" customHeight="1" x14ac:dyDescent="0.2">
      <c r="A447" s="776">
        <f t="shared" si="188"/>
        <v>699</v>
      </c>
      <c r="B447" s="795">
        <v>42932</v>
      </c>
      <c r="C447" s="820">
        <v>2459.27</v>
      </c>
      <c r="D447" s="792">
        <f t="shared" si="213"/>
        <v>1.4797331033543696E-2</v>
      </c>
      <c r="E447" s="819">
        <f t="shared" si="205"/>
        <v>0.16972184699682269</v>
      </c>
      <c r="F447" s="816">
        <v>6312.46</v>
      </c>
      <c r="G447" s="792">
        <f t="shared" si="214"/>
        <v>2.801762745870803E-2</v>
      </c>
      <c r="H447" s="797">
        <f t="shared" si="206"/>
        <v>0.23975489522163526</v>
      </c>
      <c r="I447" s="799">
        <v>337505.3</v>
      </c>
      <c r="J447" s="800">
        <v>350000</v>
      </c>
      <c r="K447" s="800">
        <f t="shared" si="207"/>
        <v>-2592.3099999999977</v>
      </c>
      <c r="L447" s="792">
        <f t="shared" si="215"/>
        <v>-7.6222529173315791E-3</v>
      </c>
      <c r="M447" s="817">
        <f t="shared" si="208"/>
        <v>-12494.700000000012</v>
      </c>
      <c r="N447" s="802">
        <f t="shared" si="189"/>
        <v>-3.5699142857142888E-2</v>
      </c>
      <c r="O447" s="786">
        <f t="shared" si="192"/>
        <v>-1.8653951256897627E-2</v>
      </c>
      <c r="P447" s="817" t="b">
        <f t="shared" si="209"/>
        <v>0</v>
      </c>
      <c r="Q447" s="802">
        <f>COUNTIF(P$2:P447, TRUE)/(COUNTIF(P$2:P447,FALSE) + COUNTIF(P$2:P447, TRUE))</f>
        <v>0.47757847533632286</v>
      </c>
      <c r="R447" s="800">
        <v>271259.02</v>
      </c>
      <c r="S447" s="800">
        <f t="shared" si="210"/>
        <v>66246.27999999997</v>
      </c>
      <c r="T447" s="800"/>
      <c r="U447" s="800"/>
      <c r="V447" s="802">
        <f>STDEV(D$2:D447)*SQRT(252)</f>
        <v>0.14666948290901966</v>
      </c>
      <c r="W447" s="802">
        <f>STDEV(L$2:L447)*SQRT(252)</f>
        <v>0.31649981867146626</v>
      </c>
      <c r="X447" s="801">
        <f t="shared" si="199"/>
        <v>0.60465971820759368</v>
      </c>
      <c r="Y447" s="801">
        <f t="shared" si="200"/>
        <v>-5.8938268385742225E-2</v>
      </c>
      <c r="Z447" s="807">
        <f t="shared" si="201"/>
        <v>-0.20542098985396556</v>
      </c>
    </row>
    <row r="448" spans="1:26" ht="20.100000000000001" customHeight="1" x14ac:dyDescent="0.2">
      <c r="A448" s="776">
        <f t="shared" si="188"/>
        <v>702</v>
      </c>
      <c r="B448" s="795">
        <v>42935</v>
      </c>
      <c r="C448" s="820">
        <v>2473.83</v>
      </c>
      <c r="D448" s="792">
        <f t="shared" si="213"/>
        <v>5.9204560702972612E-3</v>
      </c>
      <c r="E448" s="819">
        <f t="shared" si="205"/>
        <v>0.17664713380643438</v>
      </c>
      <c r="F448" s="816">
        <v>6385.04</v>
      </c>
      <c r="G448" s="792">
        <f t="shared" si="214"/>
        <v>1.1497894640124441E-2</v>
      </c>
      <c r="H448" s="797">
        <f t="shared" si="206"/>
        <v>0.25400946638647215</v>
      </c>
      <c r="I448" s="799">
        <v>343410.37</v>
      </c>
      <c r="J448" s="800">
        <v>350000</v>
      </c>
      <c r="K448" s="800">
        <f t="shared" si="207"/>
        <v>5905.070000000007</v>
      </c>
      <c r="L448" s="792">
        <f t="shared" si="215"/>
        <v>1.7496228948108393E-2</v>
      </c>
      <c r="M448" s="817">
        <f t="shared" si="208"/>
        <v>-6589.6300000000047</v>
      </c>
      <c r="N448" s="802">
        <f t="shared" si="189"/>
        <v>-1.8827514285714299E-2</v>
      </c>
      <c r="O448" s="786">
        <f t="shared" si="192"/>
        <v>-9.7959395909645985E-3</v>
      </c>
      <c r="P448" s="817" t="b">
        <f t="shared" si="209"/>
        <v>1</v>
      </c>
      <c r="Q448" s="802">
        <f>COUNTIF(P$2:P448, TRUE)/(COUNTIF(P$2:P448,FALSE) + COUNTIF(P$2:P448, TRUE))</f>
        <v>0.47874720357941836</v>
      </c>
      <c r="R448" s="800">
        <v>277164.09000000003</v>
      </c>
      <c r="S448" s="800">
        <f t="shared" si="210"/>
        <v>66246.27999999997</v>
      </c>
      <c r="T448" s="800"/>
      <c r="U448" s="800"/>
      <c r="V448" s="802">
        <f>STDEV(D$2:D448)*SQRT(252)</f>
        <v>0.14656345819426395</v>
      </c>
      <c r="W448" s="802">
        <f>STDEV(L$2:L448)*SQRT(252)</f>
        <v>0.31640768671182717</v>
      </c>
      <c r="X448" s="801">
        <f t="shared" si="199"/>
        <v>0.62709596151319946</v>
      </c>
      <c r="Y448" s="801">
        <f t="shared" si="200"/>
        <v>-3.0959866028433092E-2</v>
      </c>
      <c r="Z448" s="807">
        <f t="shared" si="201"/>
        <v>-0.19547464809214868</v>
      </c>
    </row>
    <row r="449" spans="1:26" ht="20.100000000000001" customHeight="1" x14ac:dyDescent="0.2">
      <c r="A449" s="776">
        <f t="shared" ref="A449:A512" si="216">B449-$B$2</f>
        <v>706</v>
      </c>
      <c r="B449" s="795">
        <v>42939</v>
      </c>
      <c r="C449" s="820">
        <v>2472.54</v>
      </c>
      <c r="D449" s="792">
        <f t="shared" si="213"/>
        <v>-5.214586289275996E-4</v>
      </c>
      <c r="E449" s="819">
        <f t="shared" si="205"/>
        <v>0.17603356100530806</v>
      </c>
      <c r="F449" s="816">
        <v>6387.75</v>
      </c>
      <c r="G449" s="792">
        <f t="shared" si="214"/>
        <v>4.2442960419982275E-4</v>
      </c>
      <c r="H449" s="797">
        <f t="shared" si="206"/>
        <v>0.25454170512795338</v>
      </c>
      <c r="I449" s="799">
        <v>341551.16</v>
      </c>
      <c r="J449" s="800">
        <v>350000</v>
      </c>
      <c r="K449" s="800">
        <f t="shared" si="207"/>
        <v>-1859.210000000021</v>
      </c>
      <c r="L449" s="792">
        <f t="shared" si="215"/>
        <v>-5.4139599803000151E-3</v>
      </c>
      <c r="M449" s="817">
        <f t="shared" si="208"/>
        <v>-8448.8400000000256</v>
      </c>
      <c r="N449" s="802">
        <f t="shared" ref="N449:N512" si="217">M449/J449</f>
        <v>-2.4139542857142929E-2</v>
      </c>
      <c r="O449" s="786">
        <f t="shared" si="192"/>
        <v>-1.248862326993124E-2</v>
      </c>
      <c r="P449" s="817" t="b">
        <f t="shared" si="209"/>
        <v>0</v>
      </c>
      <c r="Q449" s="802">
        <f>COUNTIF(P$2:P449, TRUE)/(COUNTIF(P$2:P449,FALSE) + COUNTIF(P$2:P449, TRUE))</f>
        <v>0.47767857142857145</v>
      </c>
      <c r="R449" s="800">
        <v>272191.45</v>
      </c>
      <c r="S449" s="800">
        <f t="shared" si="210"/>
        <v>69359.709999999963</v>
      </c>
      <c r="T449" s="800"/>
      <c r="U449" s="800"/>
      <c r="V449" s="802">
        <f>STDEV(D$2:D449)*SQRT(252)</f>
        <v>0.14640071777698352</v>
      </c>
      <c r="W449" s="802">
        <f>STDEV(L$2:L449)*SQRT(252)</f>
        <v>0.3160824345317183</v>
      </c>
      <c r="X449" s="801">
        <f t="shared" si="199"/>
        <v>0.62206790085699526</v>
      </c>
      <c r="Y449" s="801">
        <f t="shared" si="200"/>
        <v>-3.9510652619571714E-2</v>
      </c>
      <c r="Z449" s="807">
        <f t="shared" si="201"/>
        <v>-0.20017310386245099</v>
      </c>
    </row>
    <row r="450" spans="1:26" ht="20.100000000000001" customHeight="1" x14ac:dyDescent="0.2">
      <c r="A450" s="776">
        <f t="shared" si="216"/>
        <v>707</v>
      </c>
      <c r="B450" s="795">
        <v>42940</v>
      </c>
      <c r="C450" s="820">
        <v>2469.91</v>
      </c>
      <c r="D450" s="792">
        <f t="shared" si="213"/>
        <v>-1.0636834995592019E-3</v>
      </c>
      <c r="E450" s="819">
        <f t="shared" si="205"/>
        <v>0.17478263351153889</v>
      </c>
      <c r="F450" s="816">
        <v>6410.8</v>
      </c>
      <c r="G450" s="792">
        <f t="shared" si="214"/>
        <v>3.6084693358381563E-3</v>
      </c>
      <c r="H450" s="797">
        <f t="shared" si="206"/>
        <v>0.25906868040143771</v>
      </c>
      <c r="I450" s="799">
        <v>340982.83</v>
      </c>
      <c r="J450" s="800">
        <v>350000</v>
      </c>
      <c r="K450" s="800">
        <f t="shared" si="207"/>
        <v>-568.32999999995809</v>
      </c>
      <c r="L450" s="792">
        <f t="shared" si="215"/>
        <v>-1.6639674126709397E-3</v>
      </c>
      <c r="M450" s="817">
        <f t="shared" si="208"/>
        <v>-9017.1699999999837</v>
      </c>
      <c r="N450" s="802">
        <f t="shared" si="217"/>
        <v>-2.576334285714281E-2</v>
      </c>
      <c r="O450" s="786">
        <f t="shared" si="192"/>
        <v>-1.3309845797130709E-2</v>
      </c>
      <c r="P450" s="817" t="b">
        <f t="shared" si="209"/>
        <v>0</v>
      </c>
      <c r="Q450" s="802">
        <f>COUNTIF(P$2:P450, TRUE)/(COUNTIF(P$2:P450,FALSE) + COUNTIF(P$2:P450, TRUE))</f>
        <v>0.47661469933184858</v>
      </c>
      <c r="R450" s="800">
        <v>270948.21000000002</v>
      </c>
      <c r="S450" s="800">
        <f t="shared" si="210"/>
        <v>70034.62</v>
      </c>
      <c r="T450" s="800"/>
      <c r="U450" s="800"/>
      <c r="V450" s="802">
        <f>STDEV(D$2:D450)*SQRT(252)</f>
        <v>0.14624101621643504</v>
      </c>
      <c r="W450" s="802">
        <f>STDEV(L$2:L450)*SQRT(252)</f>
        <v>0.31573225572131869</v>
      </c>
      <c r="X450" s="801">
        <f t="shared" si="199"/>
        <v>0.61744729629894557</v>
      </c>
      <c r="Y450" s="801">
        <f t="shared" si="200"/>
        <v>-4.2155483185343769E-2</v>
      </c>
      <c r="Z450" s="807">
        <f t="shared" si="201"/>
        <v>-0.20054597636868171</v>
      </c>
    </row>
    <row r="451" spans="1:26" ht="20.100000000000001" customHeight="1" x14ac:dyDescent="0.2">
      <c r="A451" s="776">
        <f t="shared" si="216"/>
        <v>708</v>
      </c>
      <c r="B451" s="795">
        <v>42941</v>
      </c>
      <c r="C451" s="820">
        <v>2477.13</v>
      </c>
      <c r="D451" s="792">
        <f t="shared" si="213"/>
        <v>2.9231834358337976E-3</v>
      </c>
      <c r="E451" s="819">
        <f t="shared" si="205"/>
        <v>0.17821673864652501</v>
      </c>
      <c r="F451" s="816">
        <v>6412.17</v>
      </c>
      <c r="G451" s="792">
        <f t="shared" si="214"/>
        <v>2.1370187808072172E-4</v>
      </c>
      <c r="H451" s="797">
        <f t="shared" si="206"/>
        <v>0.25933774574307211</v>
      </c>
      <c r="I451" s="799">
        <v>346881.69</v>
      </c>
      <c r="J451" s="800">
        <v>350000</v>
      </c>
      <c r="K451" s="800">
        <f t="shared" si="207"/>
        <v>5898.859999999986</v>
      </c>
      <c r="L451" s="792">
        <f t="shared" si="215"/>
        <v>1.7299580744285527E-2</v>
      </c>
      <c r="M451" s="817">
        <f t="shared" si="208"/>
        <v>-3118.3099999999977</v>
      </c>
      <c r="N451" s="802">
        <f t="shared" si="217"/>
        <v>-8.9094571428571367E-3</v>
      </c>
      <c r="O451" s="786">
        <f t="shared" si="192"/>
        <v>-4.5962983353510858E-3</v>
      </c>
      <c r="P451" s="817" t="b">
        <f t="shared" si="209"/>
        <v>1</v>
      </c>
      <c r="Q451" s="802">
        <f>COUNTIF(P$2:P451, TRUE)/(COUNTIF(P$2:P451,FALSE) + COUNTIF(P$2:P451, TRUE))</f>
        <v>0.4777777777777778</v>
      </c>
      <c r="R451" s="800">
        <v>271847.19</v>
      </c>
      <c r="S451" s="800">
        <f t="shared" si="210"/>
        <v>75034.5</v>
      </c>
      <c r="T451" s="800"/>
      <c r="U451" s="800"/>
      <c r="V451" s="802">
        <f>STDEV(D$2:D451)*SQRT(252)</f>
        <v>0.14608992125066686</v>
      </c>
      <c r="W451" s="802">
        <f>STDEV(L$2:L451)*SQRT(252)</f>
        <v>0.31563562645422927</v>
      </c>
      <c r="X451" s="801">
        <f t="shared" si="199"/>
        <v>0.62933980870846162</v>
      </c>
      <c r="Y451" s="801">
        <f t="shared" si="200"/>
        <v>-1.4562039104979175E-2</v>
      </c>
      <c r="Z451" s="807">
        <f t="shared" si="201"/>
        <v>-0.18712619578938214</v>
      </c>
    </row>
    <row r="452" spans="1:26" ht="20.100000000000001" customHeight="1" x14ac:dyDescent="0.2">
      <c r="A452" s="776">
        <f t="shared" si="216"/>
        <v>709</v>
      </c>
      <c r="B452" s="795">
        <v>42942</v>
      </c>
      <c r="C452" s="820">
        <v>2477.83</v>
      </c>
      <c r="D452" s="792">
        <f t="shared" si="213"/>
        <v>2.8258508838850525E-4</v>
      </c>
      <c r="E452" s="819">
        <f t="shared" si="205"/>
        <v>0.17854968512775626</v>
      </c>
      <c r="F452" s="816">
        <v>6422.74</v>
      </c>
      <c r="G452" s="792">
        <f t="shared" si="214"/>
        <v>1.6484279112998733E-3</v>
      </c>
      <c r="H452" s="797">
        <f t="shared" si="206"/>
        <v>0.26141367323290848</v>
      </c>
      <c r="I452" s="799">
        <v>344935.7</v>
      </c>
      <c r="J452" s="800">
        <v>350000</v>
      </c>
      <c r="K452" s="800">
        <f t="shared" si="207"/>
        <v>-1945.9899999999907</v>
      </c>
      <c r="L452" s="792">
        <f t="shared" si="215"/>
        <v>-5.6099530649772571E-3</v>
      </c>
      <c r="M452" s="817">
        <f t="shared" si="208"/>
        <v>-5064.2999999999884</v>
      </c>
      <c r="N452" s="802">
        <f t="shared" si="217"/>
        <v>-1.4469428571428538E-2</v>
      </c>
      <c r="O452" s="786">
        <f t="shared" si="192"/>
        <v>-7.4541026596816268E-3</v>
      </c>
      <c r="P452" s="817" t="b">
        <f t="shared" si="209"/>
        <v>0</v>
      </c>
      <c r="Q452" s="802">
        <f>COUNTIF(P$2:P452, TRUE)/(COUNTIF(P$2:P452,FALSE) + COUNTIF(P$2:P452, TRUE))</f>
        <v>0.47671840354767187</v>
      </c>
      <c r="R452" s="800">
        <v>271848.19</v>
      </c>
      <c r="S452" s="800">
        <f t="shared" si="210"/>
        <v>73087.510000000009</v>
      </c>
      <c r="T452" s="800"/>
      <c r="U452" s="800"/>
      <c r="V452" s="802">
        <f>STDEV(D$2:D452)*SQRT(252)</f>
        <v>0.14592717685018944</v>
      </c>
      <c r="W452" s="802">
        <f>STDEV(L$2:L452)*SQRT(252)</f>
        <v>0.31531573939865265</v>
      </c>
      <c r="X452" s="801">
        <f t="shared" si="199"/>
        <v>0.63032843254768567</v>
      </c>
      <c r="Y452" s="801">
        <f t="shared" si="200"/>
        <v>-2.3640122354493157E-2</v>
      </c>
      <c r="Z452" s="807">
        <f t="shared" si="201"/>
        <v>-0.19301911369918481</v>
      </c>
    </row>
    <row r="453" spans="1:26" ht="20.100000000000001" customHeight="1" x14ac:dyDescent="0.2">
      <c r="A453" s="776">
        <f t="shared" si="216"/>
        <v>710</v>
      </c>
      <c r="B453" s="795">
        <v>42943</v>
      </c>
      <c r="C453" s="820">
        <v>2475.42</v>
      </c>
      <c r="D453" s="792">
        <f t="shared" si="213"/>
        <v>-9.7262524063388312E-4</v>
      </c>
      <c r="E453" s="819">
        <f t="shared" si="205"/>
        <v>0.17740339795665988</v>
      </c>
      <c r="F453" s="816">
        <v>6382.18</v>
      </c>
      <c r="G453" s="792">
        <f t="shared" si="214"/>
        <v>-6.3150617960558101E-3</v>
      </c>
      <c r="H453" s="797">
        <f t="shared" si="206"/>
        <v>0.25344776793605289</v>
      </c>
      <c r="I453" s="799">
        <v>347779.66</v>
      </c>
      <c r="J453" s="800">
        <v>350000</v>
      </c>
      <c r="K453" s="800">
        <f t="shared" si="207"/>
        <v>2843.9599999999627</v>
      </c>
      <c r="L453" s="792">
        <f t="shared" si="215"/>
        <v>8.2448989768236884E-3</v>
      </c>
      <c r="M453" s="817">
        <f t="shared" si="208"/>
        <v>-2220.3400000000256</v>
      </c>
      <c r="N453" s="802">
        <f t="shared" si="217"/>
        <v>-6.343828571428645E-3</v>
      </c>
      <c r="O453" s="786">
        <f t="shared" si="192"/>
        <v>-3.2634977263581869E-3</v>
      </c>
      <c r="P453" s="817" t="b">
        <f t="shared" si="209"/>
        <v>1</v>
      </c>
      <c r="Q453" s="802">
        <f>COUNTIF(P$2:P453, TRUE)/(COUNTIF(P$2:P453,FALSE) + COUNTIF(P$2:P453, TRUE))</f>
        <v>0.47787610619469029</v>
      </c>
      <c r="R453" s="800">
        <v>282618.7</v>
      </c>
      <c r="S453" s="800">
        <f t="shared" si="210"/>
        <v>65160.959999999963</v>
      </c>
      <c r="T453" s="800"/>
      <c r="U453" s="800"/>
      <c r="V453" s="802">
        <f>STDEV(D$2:D453)*SQRT(252)</f>
        <v>0.14576859451697097</v>
      </c>
      <c r="W453" s="802">
        <f>STDEV(L$2:L453)*SQRT(252)</f>
        <v>0.31502032970329025</v>
      </c>
      <c r="X453" s="801">
        <f t="shared" si="199"/>
        <v>0.62608001863351337</v>
      </c>
      <c r="Y453" s="801">
        <f t="shared" si="200"/>
        <v>-1.0359641644182118E-2</v>
      </c>
      <c r="Z453" s="807">
        <f t="shared" si="201"/>
        <v>-0.18374722652808853</v>
      </c>
    </row>
    <row r="454" spans="1:26" ht="20.100000000000001" customHeight="1" x14ac:dyDescent="0.2">
      <c r="A454" s="776">
        <f t="shared" si="216"/>
        <v>711</v>
      </c>
      <c r="B454" s="795">
        <v>42944</v>
      </c>
      <c r="C454" s="820">
        <v>2472.1</v>
      </c>
      <c r="D454" s="792">
        <f t="shared" si="213"/>
        <v>-1.3411865461215324E-3</v>
      </c>
      <c r="E454" s="819">
        <f t="shared" si="205"/>
        <v>0.17582428035996264</v>
      </c>
      <c r="F454" s="816">
        <v>6374.37</v>
      </c>
      <c r="G454" s="792">
        <f t="shared" si="214"/>
        <v>-1.223719794803719E-3</v>
      </c>
      <c r="H454" s="797">
        <f t="shared" si="206"/>
        <v>0.25191389909067702</v>
      </c>
      <c r="I454" s="799">
        <v>349490.54</v>
      </c>
      <c r="J454" s="800">
        <v>350000</v>
      </c>
      <c r="K454" s="800">
        <f t="shared" si="207"/>
        <v>1710.8800000000047</v>
      </c>
      <c r="L454" s="792">
        <f t="shared" si="215"/>
        <v>4.919436634103342E-3</v>
      </c>
      <c r="M454" s="817">
        <f t="shared" si="208"/>
        <v>-509.46000000002095</v>
      </c>
      <c r="N454" s="802">
        <f t="shared" si="217"/>
        <v>-1.4556000000000599E-3</v>
      </c>
      <c r="O454" s="786">
        <f t="shared" si="192"/>
        <v>-7.4776075949370164E-4</v>
      </c>
      <c r="P454" s="817" t="b">
        <f t="shared" si="209"/>
        <v>1</v>
      </c>
      <c r="Q454" s="802">
        <f>COUNTIF(P$2:P454, TRUE)/(COUNTIF(P$2:P454,FALSE) + COUNTIF(P$2:P454, TRUE))</f>
        <v>0.47902869757174393</v>
      </c>
      <c r="R454" s="800">
        <v>280096.03000000003</v>
      </c>
      <c r="S454" s="800">
        <f t="shared" si="210"/>
        <v>69394.509999999951</v>
      </c>
      <c r="T454" s="800"/>
      <c r="U454" s="800"/>
      <c r="V454" s="802">
        <f>STDEV(D$2:D454)*SQRT(252)</f>
        <v>0.14561273064343241</v>
      </c>
      <c r="W454" s="802">
        <f>STDEV(L$2:L454)*SQRT(252)</f>
        <v>0.3146891603387108</v>
      </c>
      <c r="X454" s="801">
        <f t="shared" si="199"/>
        <v>0.62029763629220669</v>
      </c>
      <c r="Y454" s="801">
        <f t="shared" si="200"/>
        <v>-2.3761884860884976E-3</v>
      </c>
      <c r="Z454" s="807">
        <f t="shared" si="201"/>
        <v>-0.1772798803599627</v>
      </c>
    </row>
    <row r="455" spans="1:26" ht="20.100000000000001" customHeight="1" x14ac:dyDescent="0.2">
      <c r="A455" s="776">
        <f t="shared" si="216"/>
        <v>714</v>
      </c>
      <c r="B455" s="795">
        <v>42947</v>
      </c>
      <c r="C455" s="820">
        <v>2470.3000000000002</v>
      </c>
      <c r="D455" s="792">
        <f t="shared" si="213"/>
        <v>-7.2812588487509696E-4</v>
      </c>
      <c r="E455" s="819">
        <f t="shared" si="205"/>
        <v>0.17496813226536792</v>
      </c>
      <c r="F455" s="816">
        <v>6348.12</v>
      </c>
      <c r="G455" s="792">
        <f t="shared" si="214"/>
        <v>-4.1180540194560404E-3</v>
      </c>
      <c r="H455" s="797">
        <f t="shared" si="206"/>
        <v>0.24675845002651375</v>
      </c>
      <c r="I455" s="822">
        <v>348754.42</v>
      </c>
      <c r="J455" s="800">
        <v>350000</v>
      </c>
      <c r="K455" s="800">
        <f t="shared" si="207"/>
        <v>-736.11999999999534</v>
      </c>
      <c r="L455" s="792">
        <f t="shared" si="215"/>
        <v>-2.1062658806158111E-3</v>
      </c>
      <c r="M455" s="822">
        <f t="shared" si="208"/>
        <v>-1245.5800000000163</v>
      </c>
      <c r="N455" s="802">
        <f t="shared" si="217"/>
        <v>-3.5588000000000464E-3</v>
      </c>
      <c r="O455" s="786">
        <f t="shared" ref="O455:O518" si="218">N455/(A455/365.25)</f>
        <v>-1.8205205882353178E-3</v>
      </c>
      <c r="P455" s="817" t="b">
        <f t="shared" si="209"/>
        <v>0</v>
      </c>
      <c r="Q455" s="802">
        <f>COUNTIF(P$2:P455, TRUE)/(COUNTIF(P$2:P455,FALSE) + COUNTIF(P$2:P455, TRUE))</f>
        <v>0.47797356828193832</v>
      </c>
      <c r="R455" s="800">
        <v>280782.40999999997</v>
      </c>
      <c r="S455" s="800">
        <f t="shared" si="210"/>
        <v>67972.010000000009</v>
      </c>
      <c r="T455" s="800"/>
      <c r="U455" s="800"/>
      <c r="V455" s="802">
        <f>STDEV(D$2:D455)*SQRT(252)</f>
        <v>0.14545400037786788</v>
      </c>
      <c r="W455" s="802">
        <f>STDEV(L$2:L455)*SQRT(252)</f>
        <v>0.31434636500825969</v>
      </c>
      <c r="X455" s="801">
        <f t="shared" si="199"/>
        <v>0.61535438354440486</v>
      </c>
      <c r="Y455" s="801">
        <f t="shared" si="200"/>
        <v>-5.791447876890456E-3</v>
      </c>
      <c r="Z455" s="807">
        <f t="shared" si="201"/>
        <v>-0.17852693226536798</v>
      </c>
    </row>
    <row r="456" spans="1:26" ht="20.100000000000001" customHeight="1" x14ac:dyDescent="0.2">
      <c r="A456" s="776">
        <f t="shared" si="216"/>
        <v>716</v>
      </c>
      <c r="B456" s="795">
        <v>42949</v>
      </c>
      <c r="C456" s="820">
        <v>2477.5700000000002</v>
      </c>
      <c r="D456" s="792">
        <f t="shared" si="213"/>
        <v>2.9429623932315839E-3</v>
      </c>
      <c r="E456" s="819">
        <f t="shared" si="205"/>
        <v>0.17842601929187044</v>
      </c>
      <c r="F456" s="816">
        <v>6362.64</v>
      </c>
      <c r="G456" s="792">
        <f t="shared" si="214"/>
        <v>2.2872913555510035E-3</v>
      </c>
      <c r="H456" s="797">
        <f t="shared" si="206"/>
        <v>0.24961014985171959</v>
      </c>
      <c r="I456" s="799">
        <v>346224.68</v>
      </c>
      <c r="J456" s="800">
        <v>350000</v>
      </c>
      <c r="K456" s="800">
        <f t="shared" si="207"/>
        <v>-2529.7399999999907</v>
      </c>
      <c r="L456" s="792">
        <f t="shared" si="215"/>
        <v>-7.2536428355517062E-3</v>
      </c>
      <c r="M456" s="817">
        <f t="shared" si="208"/>
        <v>-3775.320000000007</v>
      </c>
      <c r="N456" s="802">
        <f t="shared" si="217"/>
        <v>-1.0786628571428591E-2</v>
      </c>
      <c r="O456" s="786">
        <f t="shared" si="218"/>
        <v>-5.5025364325618619E-3</v>
      </c>
      <c r="P456" s="817" t="b">
        <f t="shared" si="209"/>
        <v>0</v>
      </c>
      <c r="Q456" s="802">
        <f>COUNTIF(P$2:P456, TRUE)/(COUNTIF(P$2:P456,FALSE) + COUNTIF(P$2:P456, TRUE))</f>
        <v>0.47692307692307695</v>
      </c>
      <c r="R456" s="800">
        <v>285608.7</v>
      </c>
      <c r="S456" s="800">
        <f t="shared" si="210"/>
        <v>60615.979999999981</v>
      </c>
      <c r="T456" s="800"/>
      <c r="U456" s="800"/>
      <c r="V456" s="802">
        <f>STDEV(D$2:D456)*SQRT(252)</f>
        <v>0.14530573959175411</v>
      </c>
      <c r="W456" s="802">
        <f>STDEV(L$2:L456)*SQRT(252)</f>
        <v>0.31405074697791074</v>
      </c>
      <c r="X456" s="801">
        <f t="shared" si="199"/>
        <v>0.62640125535416991</v>
      </c>
      <c r="Y456" s="801">
        <f t="shared" si="200"/>
        <v>-1.7521169701114871E-2</v>
      </c>
      <c r="Z456" s="807">
        <f t="shared" si="201"/>
        <v>-0.18921264786329903</v>
      </c>
    </row>
    <row r="457" spans="1:26" ht="20.100000000000001" customHeight="1" x14ac:dyDescent="0.2">
      <c r="A457" s="776">
        <f t="shared" si="216"/>
        <v>717</v>
      </c>
      <c r="B457" s="795">
        <v>42950</v>
      </c>
      <c r="C457" s="820">
        <v>2472.16</v>
      </c>
      <c r="D457" s="792">
        <f t="shared" si="213"/>
        <v>-2.1835911800676907E-3</v>
      </c>
      <c r="E457" s="819">
        <f t="shared" si="205"/>
        <v>0.17585281862978244</v>
      </c>
      <c r="F457" s="816">
        <v>6340.34</v>
      </c>
      <c r="G457" s="792">
        <f t="shared" si="214"/>
        <v>-3.5048344712258089E-3</v>
      </c>
      <c r="H457" s="797">
        <f t="shared" si="206"/>
        <v>0.24523047312292562</v>
      </c>
      <c r="I457" s="799">
        <v>348198.95</v>
      </c>
      <c r="J457" s="800">
        <v>350000</v>
      </c>
      <c r="K457" s="800">
        <f t="shared" si="207"/>
        <v>1974.2700000000186</v>
      </c>
      <c r="L457" s="792">
        <f t="shared" si="215"/>
        <v>5.7022798028148044E-3</v>
      </c>
      <c r="M457" s="817">
        <f t="shared" si="208"/>
        <v>-1801.0499999999884</v>
      </c>
      <c r="N457" s="802">
        <f t="shared" si="217"/>
        <v>-5.1458571428571092E-3</v>
      </c>
      <c r="O457" s="786">
        <f t="shared" si="218"/>
        <v>-2.6213728332336946E-3</v>
      </c>
      <c r="P457" s="817" t="b">
        <f t="shared" si="209"/>
        <v>1</v>
      </c>
      <c r="Q457" s="802">
        <f>COUNTIF(P$2:P457, TRUE)/(COUNTIF(P$2:P457,FALSE) + COUNTIF(P$2:P457, TRUE))</f>
        <v>0.47807017543859648</v>
      </c>
      <c r="R457" s="800">
        <v>289835.09999999998</v>
      </c>
      <c r="S457" s="800">
        <f t="shared" si="210"/>
        <v>58363.850000000035</v>
      </c>
      <c r="T457" s="800">
        <v>-40278</v>
      </c>
      <c r="U457" s="800">
        <f t="shared" ref="U457:U462" si="219">M457-T457</f>
        <v>38476.950000000012</v>
      </c>
      <c r="V457" s="802">
        <f>STDEV(D$2:D457)*SQRT(252)</f>
        <v>0.14515839119279755</v>
      </c>
      <c r="W457" s="802">
        <f>STDEV(L$2:L457)*SQRT(252)</f>
        <v>0.31372982471955946</v>
      </c>
      <c r="X457" s="801">
        <f t="shared" si="199"/>
        <v>0.61713227010711635</v>
      </c>
      <c r="Y457" s="801">
        <f t="shared" si="200"/>
        <v>-8.3555104637466921E-3</v>
      </c>
      <c r="Z457" s="807">
        <f t="shared" si="201"/>
        <v>-0.18099867577263956</v>
      </c>
    </row>
    <row r="458" spans="1:26" ht="20.100000000000001" customHeight="1" x14ac:dyDescent="0.2">
      <c r="A458" s="776">
        <f t="shared" si="216"/>
        <v>718</v>
      </c>
      <c r="B458" s="795">
        <v>42951</v>
      </c>
      <c r="C458" s="820">
        <v>2476.83</v>
      </c>
      <c r="D458" s="792">
        <f t="shared" si="213"/>
        <v>1.8890363083295875E-3</v>
      </c>
      <c r="E458" s="819">
        <f t="shared" si="205"/>
        <v>0.17807404729742579</v>
      </c>
      <c r="F458" s="816">
        <v>6351.56</v>
      </c>
      <c r="G458" s="792">
        <f t="shared" si="214"/>
        <v>1.7696211875073346E-3</v>
      </c>
      <c r="H458" s="797">
        <f t="shared" ref="H458:H483" si="220">(F458-F$2)/F$2</f>
        <v>0.24743405935149373</v>
      </c>
      <c r="I458" s="799">
        <v>352188.09</v>
      </c>
      <c r="J458" s="800">
        <v>350000</v>
      </c>
      <c r="K458" s="800">
        <f t="shared" ref="K458:K483" si="221">I458-I457-J458+J457</f>
        <v>3989.140000000014</v>
      </c>
      <c r="L458" s="792">
        <f t="shared" si="215"/>
        <v>1.1456496350721374E-2</v>
      </c>
      <c r="M458" s="817">
        <f t="shared" si="208"/>
        <v>2188.0900000000256</v>
      </c>
      <c r="N458" s="802">
        <f t="shared" si="217"/>
        <v>6.2516857142857875E-3</v>
      </c>
      <c r="O458" s="786">
        <f t="shared" si="218"/>
        <v>3.1802621269399495E-3</v>
      </c>
      <c r="P458" s="817" t="b">
        <f t="shared" si="209"/>
        <v>1</v>
      </c>
      <c r="Q458" s="802">
        <f>COUNTIF(P$2:P458, TRUE)/(COUNTIF(P$2:P458,FALSE) + COUNTIF(P$2:P458, TRUE))</f>
        <v>0.47921225382932164</v>
      </c>
      <c r="R458" s="800">
        <v>296464.17</v>
      </c>
      <c r="S458" s="800">
        <f t="shared" ref="S458:S489" si="222">I458-R458</f>
        <v>55723.920000000042</v>
      </c>
      <c r="T458" s="800">
        <v>-36936</v>
      </c>
      <c r="U458" s="800">
        <f t="shared" si="219"/>
        <v>39124.090000000026</v>
      </c>
      <c r="V458" s="802">
        <f>STDEV(D$2:D458)*SQRT(252)</f>
        <v>0.14500302685679403</v>
      </c>
      <c r="W458" s="802">
        <f>STDEV(L$2:L458)*SQRT(252)</f>
        <v>0.31349308569145112</v>
      </c>
      <c r="X458" s="801">
        <f t="shared" si="199"/>
        <v>0.62472565622538812</v>
      </c>
      <c r="Y458" s="801">
        <f t="shared" si="200"/>
        <v>1.0144600541748646E-2</v>
      </c>
      <c r="Z458" s="807">
        <f t="shared" si="201"/>
        <v>-0.17182236158314002</v>
      </c>
    </row>
    <row r="459" spans="1:26" ht="20.100000000000001" customHeight="1" x14ac:dyDescent="0.2">
      <c r="A459" s="776">
        <f t="shared" si="216"/>
        <v>719</v>
      </c>
      <c r="B459" s="795">
        <v>42952</v>
      </c>
      <c r="C459" s="820">
        <v>2480.91</v>
      </c>
      <c r="D459" s="792">
        <f t="shared" si="213"/>
        <v>1.6472668693450609E-3</v>
      </c>
      <c r="E459" s="819">
        <f t="shared" si="205"/>
        <v>0.18001464964517408</v>
      </c>
      <c r="F459" s="816">
        <v>6383.77</v>
      </c>
      <c r="G459" s="792">
        <f t="shared" si="214"/>
        <v>5.0711951079734797E-3</v>
      </c>
      <c r="H459" s="797">
        <f t="shared" si="220"/>
        <v>0.25376004085079651</v>
      </c>
      <c r="I459" s="799">
        <v>348235.03</v>
      </c>
      <c r="J459" s="800">
        <v>350000</v>
      </c>
      <c r="K459" s="800">
        <f t="shared" si="221"/>
        <v>-3953.0599999999977</v>
      </c>
      <c r="L459" s="792">
        <f t="shared" si="215"/>
        <v>-1.1224286431718907E-2</v>
      </c>
      <c r="M459" s="817">
        <f t="shared" si="208"/>
        <v>-1764.9699999999721</v>
      </c>
      <c r="N459" s="802">
        <f t="shared" si="217"/>
        <v>-5.0427714285713491E-3</v>
      </c>
      <c r="O459" s="786">
        <f t="shared" si="218"/>
        <v>-2.5617138585336376E-3</v>
      </c>
      <c r="P459" s="817" t="b">
        <f t="shared" si="209"/>
        <v>0</v>
      </c>
      <c r="Q459" s="802">
        <f>COUNTIF(P$2:P459, TRUE)/(COUNTIF(P$2:P459,FALSE) + COUNTIF(P$2:P459, TRUE))</f>
        <v>0.47816593886462883</v>
      </c>
      <c r="R459" s="800">
        <v>292511.11</v>
      </c>
      <c r="S459" s="800">
        <f t="shared" si="222"/>
        <v>55723.920000000042</v>
      </c>
      <c r="T459" s="800">
        <v>-40990</v>
      </c>
      <c r="U459" s="800">
        <f t="shared" si="219"/>
        <v>39225.030000000028</v>
      </c>
      <c r="V459" s="802">
        <f>STDEV(D$2:D459)*SQRT(252)</f>
        <v>0.14484690154006488</v>
      </c>
      <c r="W459" s="802">
        <f>STDEV(L$2:L459)*SQRT(252)</f>
        <v>0.31326813608511911</v>
      </c>
      <c r="X459" s="801">
        <f t="shared" si="199"/>
        <v>0.63133515671575291</v>
      </c>
      <c r="Y459" s="801">
        <f t="shared" si="200"/>
        <v>-8.1773840472482203E-3</v>
      </c>
      <c r="Z459" s="807">
        <f t="shared" si="201"/>
        <v>-0.18505742107374543</v>
      </c>
    </row>
    <row r="460" spans="1:26" ht="20.100000000000001" customHeight="1" x14ac:dyDescent="0.2">
      <c r="A460" s="776">
        <f t="shared" si="216"/>
        <v>722</v>
      </c>
      <c r="B460" s="795">
        <v>42955</v>
      </c>
      <c r="C460" s="820">
        <v>2474.92</v>
      </c>
      <c r="D460" s="792">
        <f t="shared" si="213"/>
        <v>-2.4144366381689711E-3</v>
      </c>
      <c r="E460" s="819">
        <f t="shared" si="205"/>
        <v>0.17716557904149466</v>
      </c>
      <c r="F460" s="816">
        <v>6370.46</v>
      </c>
      <c r="G460" s="792">
        <f t="shared" si="214"/>
        <v>-2.0849748659491803E-3</v>
      </c>
      <c r="H460" s="797">
        <f t="shared" si="220"/>
        <v>0.25114598267769117</v>
      </c>
      <c r="I460" s="799">
        <v>347445.16</v>
      </c>
      <c r="J460" s="800">
        <v>350000</v>
      </c>
      <c r="K460" s="800">
        <f t="shared" si="221"/>
        <v>-789.87000000005355</v>
      </c>
      <c r="L460" s="792">
        <f t="shared" si="215"/>
        <v>-2.2682094905847167E-3</v>
      </c>
      <c r="M460" s="817">
        <f t="shared" si="208"/>
        <v>-2554.8400000000256</v>
      </c>
      <c r="N460" s="802">
        <f t="shared" si="217"/>
        <v>-7.2995428571429304E-3</v>
      </c>
      <c r="O460" s="786">
        <f t="shared" si="218"/>
        <v>-3.6927396517610184E-3</v>
      </c>
      <c r="P460" s="817" t="b">
        <f t="shared" si="209"/>
        <v>1</v>
      </c>
      <c r="Q460" s="802">
        <f>COUNTIF(P$2:P460, TRUE)/(COUNTIF(P$2:P460,FALSE) + COUNTIF(P$2:P460, TRUE))</f>
        <v>0.47930283224400871</v>
      </c>
      <c r="R460" s="800">
        <v>282925.45</v>
      </c>
      <c r="S460" s="800">
        <f t="shared" si="222"/>
        <v>64519.709999999963</v>
      </c>
      <c r="T460" s="800">
        <v>-41466</v>
      </c>
      <c r="U460" s="800">
        <f t="shared" si="219"/>
        <v>38911.159999999974</v>
      </c>
      <c r="V460" s="802">
        <f>STDEV(D$2:D460)*SQRT(252)</f>
        <v>0.14470343899895807</v>
      </c>
      <c r="W460" s="802">
        <f>STDEV(L$2:L460)*SQRT(252)</f>
        <v>0.31293135224758201</v>
      </c>
      <c r="X460" s="801">
        <f t="shared" si="199"/>
        <v>0.61937478691982528</v>
      </c>
      <c r="Y460" s="801">
        <f t="shared" si="200"/>
        <v>-1.1800478364467081E-2</v>
      </c>
      <c r="Z460" s="807">
        <f t="shared" si="201"/>
        <v>-0.18446512189863759</v>
      </c>
    </row>
    <row r="461" spans="1:26" ht="20.100000000000001" customHeight="1" x14ac:dyDescent="0.2">
      <c r="A461" s="776">
        <f t="shared" si="216"/>
        <v>723</v>
      </c>
      <c r="B461" s="795">
        <v>42956</v>
      </c>
      <c r="C461" s="820">
        <v>2474.02</v>
      </c>
      <c r="D461" s="792">
        <f t="shared" si="213"/>
        <v>-3.6364811791899976E-4</v>
      </c>
      <c r="E461" s="819">
        <f t="shared" si="205"/>
        <v>0.17673750499419719</v>
      </c>
      <c r="F461" s="816">
        <v>6352.33</v>
      </c>
      <c r="G461" s="792">
        <f t="shared" si="214"/>
        <v>-2.8459483302618821E-3</v>
      </c>
      <c r="H461" s="797">
        <f t="shared" si="220"/>
        <v>0.24758528585737577</v>
      </c>
      <c r="I461" s="799">
        <v>344663.89</v>
      </c>
      <c r="J461" s="800">
        <v>350000</v>
      </c>
      <c r="K461" s="800">
        <f t="shared" si="221"/>
        <v>-2781.2699999999604</v>
      </c>
      <c r="L461" s="792">
        <f t="shared" si="215"/>
        <v>-8.0049179559731395E-3</v>
      </c>
      <c r="M461" s="817">
        <f t="shared" si="208"/>
        <v>-5336.109999999986</v>
      </c>
      <c r="N461" s="802">
        <f t="shared" si="217"/>
        <v>-1.5246028571428531E-2</v>
      </c>
      <c r="O461" s="786">
        <f t="shared" si="218"/>
        <v>-7.7020911973917994E-3</v>
      </c>
      <c r="P461" s="817" t="b">
        <f t="shared" si="209"/>
        <v>0</v>
      </c>
      <c r="Q461" s="802">
        <f>COUNTIF(P$2:P461, TRUE)/(COUNTIF(P$2:P461,FALSE) + COUNTIF(P$2:P461, TRUE))</f>
        <v>0.47826086956521741</v>
      </c>
      <c r="R461" s="800">
        <v>285894.18</v>
      </c>
      <c r="S461" s="800">
        <f t="shared" si="222"/>
        <v>58769.710000000021</v>
      </c>
      <c r="T461" s="800">
        <v>-43506</v>
      </c>
      <c r="U461" s="800">
        <f t="shared" si="219"/>
        <v>38169.890000000014</v>
      </c>
      <c r="V461" s="802">
        <f>STDEV(D$2:D461)*SQRT(252)</f>
        <v>0.14454647992700137</v>
      </c>
      <c r="W461" s="802">
        <f>STDEV(L$2:L461)*SQRT(252)</f>
        <v>0.31265113323308852</v>
      </c>
      <c r="X461" s="801">
        <f t="shared" si="199"/>
        <v>0.61769363630370799</v>
      </c>
      <c r="Y461" s="801">
        <f t="shared" si="200"/>
        <v>-2.4634777804082724E-2</v>
      </c>
      <c r="Z461" s="807">
        <f t="shared" si="201"/>
        <v>-0.19198353356562572</v>
      </c>
    </row>
    <row r="462" spans="1:26" ht="20.100000000000001" customHeight="1" x14ac:dyDescent="0.2">
      <c r="A462" s="776">
        <f t="shared" si="216"/>
        <v>724</v>
      </c>
      <c r="B462" s="795">
        <v>42957</v>
      </c>
      <c r="C462" s="820">
        <v>2438.21</v>
      </c>
      <c r="D462" s="792">
        <f t="shared" si="213"/>
        <v>-1.4474418153450637E-2</v>
      </c>
      <c r="E462" s="819">
        <f t="shared" si="205"/>
        <v>0.15970491429006295</v>
      </c>
      <c r="F462" s="816">
        <v>6216.87</v>
      </c>
      <c r="G462" s="792">
        <f t="shared" si="214"/>
        <v>-2.1324458899333005E-2</v>
      </c>
      <c r="H462" s="797">
        <f t="shared" si="220"/>
        <v>0.22098120470569754</v>
      </c>
      <c r="I462" s="799">
        <v>338857.2</v>
      </c>
      <c r="J462" s="800">
        <v>350000</v>
      </c>
      <c r="K462" s="800">
        <f t="shared" si="221"/>
        <v>-5806.6900000000023</v>
      </c>
      <c r="L462" s="792">
        <f t="shared" si="215"/>
        <v>-1.6847398780301594E-2</v>
      </c>
      <c r="M462" s="817">
        <f t="shared" si="208"/>
        <v>-11142.799999999988</v>
      </c>
      <c r="N462" s="802">
        <f t="shared" si="217"/>
        <v>-3.1836571428571395E-2</v>
      </c>
      <c r="O462" s="786">
        <f t="shared" si="218"/>
        <v>-1.6061198500394617E-2</v>
      </c>
      <c r="P462" s="817" t="b">
        <f t="shared" si="209"/>
        <v>0</v>
      </c>
      <c r="Q462" s="802">
        <f>COUNTIF(P$2:P462, TRUE)/(COUNTIF(P$2:P462,FALSE) + COUNTIF(P$2:P462, TRUE))</f>
        <v>0.47722342733188722</v>
      </c>
      <c r="R462" s="800">
        <v>288927.49</v>
      </c>
      <c r="S462" s="800">
        <f t="shared" si="222"/>
        <v>49929.710000000021</v>
      </c>
      <c r="T462" s="800">
        <v>-45429</v>
      </c>
      <c r="U462" s="800">
        <f t="shared" si="219"/>
        <v>34286.200000000012</v>
      </c>
      <c r="V462" s="802">
        <f>STDEV(D$2:D462)*SQRT(252)</f>
        <v>0.14480781665948367</v>
      </c>
      <c r="W462" s="802">
        <f>STDEV(L$2:L462)*SQRT(252)</f>
        <v>0.31256971763489261</v>
      </c>
      <c r="X462" s="801">
        <f t="shared" si="199"/>
        <v>0.55638822836208146</v>
      </c>
      <c r="Y462" s="801">
        <f t="shared" si="200"/>
        <v>-5.1384371531331227E-2</v>
      </c>
      <c r="Z462" s="807">
        <f t="shared" si="201"/>
        <v>-0.19154148571863433</v>
      </c>
    </row>
    <row r="463" spans="1:26" ht="20.100000000000001" customHeight="1" x14ac:dyDescent="0.2">
      <c r="A463" s="776">
        <f t="shared" si="216"/>
        <v>729</v>
      </c>
      <c r="B463" s="795">
        <v>42962</v>
      </c>
      <c r="C463" s="820">
        <v>2464.61</v>
      </c>
      <c r="D463" s="792">
        <f t="shared" si="213"/>
        <v>1.0827615340762318E-2</v>
      </c>
      <c r="E463" s="819">
        <f t="shared" si="205"/>
        <v>0.1722617530107875</v>
      </c>
      <c r="F463" s="816">
        <v>6333.01</v>
      </c>
      <c r="G463" s="792">
        <f t="shared" si="214"/>
        <v>1.8681426505621049E-2</v>
      </c>
      <c r="H463" s="797">
        <f t="shared" si="220"/>
        <v>0.24379087534615168</v>
      </c>
      <c r="I463" s="799">
        <v>332438.64</v>
      </c>
      <c r="J463" s="800">
        <v>350000</v>
      </c>
      <c r="K463" s="800">
        <f t="shared" si="221"/>
        <v>-6418.5599999999977</v>
      </c>
      <c r="L463" s="792">
        <f t="shared" si="215"/>
        <v>-1.8941784326849179E-2</v>
      </c>
      <c r="M463" s="817">
        <f t="shared" si="208"/>
        <v>-17561.359999999986</v>
      </c>
      <c r="N463" s="802">
        <f t="shared" si="217"/>
        <v>-5.0175314285714243E-2</v>
      </c>
      <c r="O463" s="786">
        <f t="shared" si="218"/>
        <v>-2.5139277836566703E-2</v>
      </c>
      <c r="P463" s="817" t="b">
        <f t="shared" si="209"/>
        <v>0</v>
      </c>
      <c r="Q463" s="802">
        <f>COUNTIF(P$2:P463, TRUE)/(COUNTIF(P$2:P463,FALSE) + COUNTIF(P$2:P463, TRUE))</f>
        <v>0.47619047619047616</v>
      </c>
      <c r="R463" s="800">
        <v>295365.94</v>
      </c>
      <c r="S463" s="800">
        <f t="shared" si="222"/>
        <v>37072.700000000012</v>
      </c>
      <c r="T463" s="800"/>
      <c r="U463" s="800"/>
      <c r="V463" s="802">
        <f>STDEV(D$2:D463)*SQRT(252)</f>
        <v>0.14485707775910978</v>
      </c>
      <c r="W463" s="802">
        <f>STDEV(L$2:L463)*SQRT(252)</f>
        <v>0.31255421973327635</v>
      </c>
      <c r="X463" s="801">
        <f t="shared" si="199"/>
        <v>0.59581555741895575</v>
      </c>
      <c r="Y463" s="801">
        <f t="shared" si="200"/>
        <v>-8.0431733918101475E-2</v>
      </c>
      <c r="Z463" s="807">
        <f t="shared" si="201"/>
        <v>-0.22243706729650176</v>
      </c>
    </row>
    <row r="464" spans="1:26" ht="20.100000000000001" customHeight="1" x14ac:dyDescent="0.2">
      <c r="A464" s="776">
        <f t="shared" si="216"/>
        <v>730</v>
      </c>
      <c r="B464" s="795">
        <v>42963</v>
      </c>
      <c r="C464" s="820">
        <v>2468.11</v>
      </c>
      <c r="D464" s="792">
        <f t="shared" si="213"/>
        <v>1.4201029777530724E-3</v>
      </c>
      <c r="E464" s="819">
        <f t="shared" si="205"/>
        <v>0.17392648541694417</v>
      </c>
      <c r="F464" s="816">
        <v>6345.1</v>
      </c>
      <c r="G464" s="792">
        <f t="shared" si="214"/>
        <v>1.9090448301834586E-3</v>
      </c>
      <c r="H464" s="797">
        <f t="shared" si="220"/>
        <v>0.24616532788656059</v>
      </c>
      <c r="I464" s="799">
        <v>331487.06</v>
      </c>
      <c r="J464" s="800">
        <v>350000</v>
      </c>
      <c r="K464" s="800">
        <f t="shared" si="221"/>
        <v>-951.5800000000163</v>
      </c>
      <c r="L464" s="792">
        <f t="shared" si="215"/>
        <v>-2.8624229722514095E-3</v>
      </c>
      <c r="M464" s="817">
        <f t="shared" si="208"/>
        <v>-18512.940000000002</v>
      </c>
      <c r="N464" s="802">
        <f t="shared" si="217"/>
        <v>-5.2894114285714292E-2</v>
      </c>
      <c r="O464" s="786">
        <f t="shared" si="218"/>
        <v>-2.6465171565557732E-2</v>
      </c>
      <c r="P464" s="817" t="b">
        <f t="shared" si="209"/>
        <v>0</v>
      </c>
      <c r="Q464" s="802">
        <f>COUNTIF(P$2:P464, TRUE)/(COUNTIF(P$2:P464,FALSE) + COUNTIF(P$2:P464, TRUE))</f>
        <v>0.47516198704103674</v>
      </c>
      <c r="R464" s="800">
        <v>287776.84999999998</v>
      </c>
      <c r="S464" s="800">
        <f t="shared" si="222"/>
        <v>43710.210000000021</v>
      </c>
      <c r="T464" s="800"/>
      <c r="U464" s="800"/>
      <c r="V464" s="802">
        <f>STDEV(D$2:D464)*SQRT(252)</f>
        <v>0.14470189508724368</v>
      </c>
      <c r="W464" s="802">
        <f>STDEV(L$2:L464)*SQRT(252)</f>
        <v>0.312223627542843</v>
      </c>
      <c r="X464" s="801">
        <f t="shared" si="199"/>
        <v>0.60139368956345107</v>
      </c>
      <c r="Y464" s="801">
        <f t="shared" si="200"/>
        <v>-8.4763513171104282E-2</v>
      </c>
      <c r="Z464" s="807">
        <f t="shared" si="201"/>
        <v>-0.22682059970265844</v>
      </c>
    </row>
    <row r="465" spans="1:26" ht="20.100000000000001" customHeight="1" x14ac:dyDescent="0.2">
      <c r="A465" s="776">
        <f t="shared" si="216"/>
        <v>731</v>
      </c>
      <c r="B465" s="795">
        <v>42964</v>
      </c>
      <c r="C465" s="820">
        <v>2430.0100000000002</v>
      </c>
      <c r="D465" s="792">
        <f t="shared" si="213"/>
        <v>-1.5436913265616163E-2</v>
      </c>
      <c r="E465" s="819">
        <f t="shared" si="205"/>
        <v>0.15580468408135317</v>
      </c>
      <c r="F465" s="816">
        <v>6221.91</v>
      </c>
      <c r="G465" s="792">
        <f t="shared" si="214"/>
        <v>-1.9414981639375346E-2</v>
      </c>
      <c r="H465" s="797">
        <f t="shared" si="220"/>
        <v>0.22197105092601688</v>
      </c>
      <c r="I465" s="799">
        <v>325889.02</v>
      </c>
      <c r="J465" s="800">
        <v>350000</v>
      </c>
      <c r="K465" s="800">
        <f t="shared" si="221"/>
        <v>-5598.039999999979</v>
      </c>
      <c r="L465" s="792">
        <f t="shared" si="215"/>
        <v>-1.6887657696200809E-2</v>
      </c>
      <c r="M465" s="817">
        <f t="shared" si="208"/>
        <v>-24110.979999999981</v>
      </c>
      <c r="N465" s="802">
        <f t="shared" si="217"/>
        <v>-6.8888514285714228E-2</v>
      </c>
      <c r="O465" s="786">
        <f t="shared" si="218"/>
        <v>-3.4420697459448868E-2</v>
      </c>
      <c r="P465" s="817" t="b">
        <f t="shared" si="209"/>
        <v>0</v>
      </c>
      <c r="Q465" s="802">
        <f>COUNTIF(P$2:P465, TRUE)/(COUNTIF(P$2:P465,FALSE) + COUNTIF(P$2:P465, TRUE))</f>
        <v>0.47413793103448276</v>
      </c>
      <c r="R465" s="800">
        <v>282178.81</v>
      </c>
      <c r="S465" s="800">
        <f t="shared" si="222"/>
        <v>43710.210000000021</v>
      </c>
      <c r="T465" s="800"/>
      <c r="U465" s="800"/>
      <c r="V465" s="802">
        <f>STDEV(D$2:D465)*SQRT(252)</f>
        <v>0.14501595644672607</v>
      </c>
      <c r="W465" s="802">
        <f>STDEV(L$2:L465)*SQRT(252)</f>
        <v>0.31214219131133292</v>
      </c>
      <c r="X465" s="801">
        <f t="shared" si="199"/>
        <v>0.53683097482860831</v>
      </c>
      <c r="Y465" s="801">
        <f t="shared" si="200"/>
        <v>-0.11027249252926981</v>
      </c>
      <c r="Z465" s="807">
        <f t="shared" si="201"/>
        <v>-0.22469319836706741</v>
      </c>
    </row>
    <row r="466" spans="1:26" ht="20.100000000000001" customHeight="1" x14ac:dyDescent="0.2">
      <c r="A466" s="776">
        <f t="shared" si="216"/>
        <v>734</v>
      </c>
      <c r="B466" s="795">
        <v>42967</v>
      </c>
      <c r="C466" s="820">
        <v>2425.5500000000002</v>
      </c>
      <c r="D466" s="792">
        <f t="shared" si="213"/>
        <v>-1.8353833934839922E-3</v>
      </c>
      <c r="E466" s="819">
        <f t="shared" si="205"/>
        <v>0.15368333935807924</v>
      </c>
      <c r="F466" s="816">
        <v>6216.52</v>
      </c>
      <c r="G466" s="792">
        <f t="shared" si="214"/>
        <v>-8.6629346936863724E-4</v>
      </c>
      <c r="H466" s="797">
        <f t="shared" si="220"/>
        <v>0.22091246538484213</v>
      </c>
      <c r="I466" s="799">
        <v>347339.95</v>
      </c>
      <c r="J466" s="800">
        <v>370000</v>
      </c>
      <c r="K466" s="800">
        <f t="shared" si="221"/>
        <v>1450.929999999993</v>
      </c>
      <c r="L466" s="792">
        <f t="shared" si="215"/>
        <v>4.4522211886733496E-3</v>
      </c>
      <c r="M466" s="817">
        <f t="shared" si="208"/>
        <v>-22660.049999999988</v>
      </c>
      <c r="N466" s="802">
        <f t="shared" si="217"/>
        <v>-6.1243378378378344E-2</v>
      </c>
      <c r="O466" s="786">
        <f t="shared" si="218"/>
        <v>-3.0475672960085409E-2</v>
      </c>
      <c r="P466" s="817" t="b">
        <f t="shared" si="209"/>
        <v>1</v>
      </c>
      <c r="Q466" s="802">
        <f>COUNTIF(P$2:P466, TRUE)/(COUNTIF(P$2:P466,FALSE) + COUNTIF(P$2:P466, TRUE))</f>
        <v>0.47526881720430109</v>
      </c>
      <c r="R466" s="800">
        <v>291149.86</v>
      </c>
      <c r="S466" s="800">
        <f t="shared" si="222"/>
        <v>56190.090000000026</v>
      </c>
      <c r="T466" s="800"/>
      <c r="U466" s="800"/>
      <c r="V466" s="802">
        <f>STDEV(D$2:D466)*SQRT(252)</f>
        <v>0.14486825523803426</v>
      </c>
      <c r="W466" s="802">
        <f>STDEV(L$2:L466)*SQRT(252)</f>
        <v>0.31182045349782028</v>
      </c>
      <c r="X466" s="801">
        <f t="shared" si="199"/>
        <v>0.52789521294325603</v>
      </c>
      <c r="Y466" s="801">
        <f t="shared" si="200"/>
        <v>-9.7734682309088633E-2</v>
      </c>
      <c r="Z466" s="807">
        <f t="shared" si="201"/>
        <v>-0.21492671773645758</v>
      </c>
    </row>
    <row r="467" spans="1:26" ht="20.100000000000001" customHeight="1" x14ac:dyDescent="0.2">
      <c r="A467" s="776">
        <f t="shared" si="216"/>
        <v>736</v>
      </c>
      <c r="B467" s="795">
        <v>42969</v>
      </c>
      <c r="C467" s="820">
        <v>2452.5100000000002</v>
      </c>
      <c r="D467" s="792">
        <f t="shared" si="213"/>
        <v>1.1115004844262141E-2</v>
      </c>
      <c r="E467" s="819">
        <f t="shared" si="205"/>
        <v>0.16650653526378881</v>
      </c>
      <c r="F467" s="816">
        <v>6297.47</v>
      </c>
      <c r="G467" s="792">
        <f t="shared" si="214"/>
        <v>1.3021754936845665E-2</v>
      </c>
      <c r="H467" s="797">
        <f t="shared" si="220"/>
        <v>0.23681088830842362</v>
      </c>
      <c r="I467" s="799">
        <v>347918.93</v>
      </c>
      <c r="J467" s="800">
        <v>370000</v>
      </c>
      <c r="K467" s="800">
        <f t="shared" si="221"/>
        <v>578.97999999998137</v>
      </c>
      <c r="L467" s="792">
        <f t="shared" si="215"/>
        <v>1.6668972284932422E-3</v>
      </c>
      <c r="M467" s="817">
        <f t="shared" si="208"/>
        <v>-22081.070000000007</v>
      </c>
      <c r="N467" s="802">
        <f t="shared" si="217"/>
        <v>-5.9678567567567585E-2</v>
      </c>
      <c r="O467" s="786">
        <f t="shared" si="218"/>
        <v>-2.9616300005508238E-2</v>
      </c>
      <c r="P467" s="817" t="b">
        <f t="shared" si="209"/>
        <v>0</v>
      </c>
      <c r="Q467" s="802">
        <f>COUNTIF(P$2:P467, TRUE)/(COUNTIF(P$2:P467,FALSE) + COUNTIF(P$2:P467, TRUE))</f>
        <v>0.47424892703862659</v>
      </c>
      <c r="R467" s="800">
        <v>294443.84000000003</v>
      </c>
      <c r="S467" s="800">
        <f t="shared" si="222"/>
        <v>53475.089999999967</v>
      </c>
      <c r="T467" s="800"/>
      <c r="U467" s="800"/>
      <c r="V467" s="802">
        <f>STDEV(D$2:D467)*SQRT(252)</f>
        <v>0.14492890674225326</v>
      </c>
      <c r="W467" s="802">
        <f>STDEV(L$2:L467)*SQRT(252)</f>
        <v>0.31148603418004434</v>
      </c>
      <c r="X467" s="801">
        <f t="shared" si="199"/>
        <v>0.57014940841763584</v>
      </c>
      <c r="Y467" s="801">
        <f t="shared" si="200"/>
        <v>-9.5080667367544003E-2</v>
      </c>
      <c r="Z467" s="807">
        <f t="shared" si="201"/>
        <v>-0.2261851028313564</v>
      </c>
    </row>
    <row r="468" spans="1:26" ht="20.100000000000001" customHeight="1" x14ac:dyDescent="0.2">
      <c r="A468" s="776">
        <f t="shared" si="216"/>
        <v>739</v>
      </c>
      <c r="B468" s="795">
        <v>42972</v>
      </c>
      <c r="C468" s="820">
        <v>2443.0500000000002</v>
      </c>
      <c r="D468" s="792">
        <f t="shared" si="213"/>
        <v>-3.8572727532201847E-3</v>
      </c>
      <c r="E468" s="819">
        <f t="shared" si="205"/>
        <v>0.16200700138886251</v>
      </c>
      <c r="F468" s="816">
        <v>6265.64</v>
      </c>
      <c r="G468" s="792">
        <f t="shared" si="214"/>
        <v>-5.0544107395509505E-3</v>
      </c>
      <c r="H468" s="797">
        <f t="shared" si="220"/>
        <v>0.23055953807176396</v>
      </c>
      <c r="I468" s="799">
        <v>350194.37</v>
      </c>
      <c r="J468" s="800">
        <v>370000</v>
      </c>
      <c r="K468" s="800">
        <f t="shared" si="221"/>
        <v>2275.4400000000023</v>
      </c>
      <c r="L468" s="792">
        <f t="shared" si="215"/>
        <v>6.5401442801632046E-3</v>
      </c>
      <c r="M468" s="817">
        <f t="shared" si="208"/>
        <v>-19805.630000000005</v>
      </c>
      <c r="N468" s="802">
        <f t="shared" si="217"/>
        <v>-5.3528729729729739E-2</v>
      </c>
      <c r="O468" s="786">
        <f t="shared" si="218"/>
        <v>-2.6456520343415137E-2</v>
      </c>
      <c r="P468" s="817" t="b">
        <f t="shared" si="209"/>
        <v>1</v>
      </c>
      <c r="Q468" s="802">
        <f>COUNTIF(P$2:P468, TRUE)/(COUNTIF(P$2:P468,FALSE) + COUNTIF(P$2:P468, TRUE))</f>
        <v>0.47537473233404709</v>
      </c>
      <c r="R468" s="800">
        <v>301558.38</v>
      </c>
      <c r="S468" s="800">
        <f t="shared" si="222"/>
        <v>48635.989999999991</v>
      </c>
      <c r="T468" s="800"/>
      <c r="U468" s="800"/>
      <c r="V468" s="802">
        <f>STDEV(D$2:D468)*SQRT(252)</f>
        <v>0.14480639993993136</v>
      </c>
      <c r="W468" s="802">
        <f>STDEV(L$2:L468)*SQRT(252)</f>
        <v>0.31118539712304355</v>
      </c>
      <c r="X468" s="801">
        <f t="shared" si="199"/>
        <v>0.55295757681420421</v>
      </c>
      <c r="Y468" s="801">
        <f t="shared" si="200"/>
        <v>-8.5018514968921113E-2</v>
      </c>
      <c r="Z468" s="807">
        <f t="shared" si="201"/>
        <v>-0.21553573111859226</v>
      </c>
    </row>
    <row r="469" spans="1:26" ht="20.100000000000001" customHeight="1" x14ac:dyDescent="0.2">
      <c r="A469" s="776">
        <f t="shared" si="216"/>
        <v>743</v>
      </c>
      <c r="B469" s="795">
        <v>42976</v>
      </c>
      <c r="C469" s="820">
        <v>2446.3000000000002</v>
      </c>
      <c r="D469" s="792">
        <f t="shared" si="213"/>
        <v>1.3303043326988804E-3</v>
      </c>
      <c r="E469" s="819">
        <f t="shared" si="205"/>
        <v>0.16355282433743656</v>
      </c>
      <c r="F469" s="816">
        <v>6301.88</v>
      </c>
      <c r="G469" s="792">
        <f t="shared" si="214"/>
        <v>5.7839263028197883E-3</v>
      </c>
      <c r="H469" s="797">
        <f t="shared" si="220"/>
        <v>0.23767700375120301</v>
      </c>
      <c r="I469" s="799">
        <v>348569.19</v>
      </c>
      <c r="J469" s="800">
        <v>370000</v>
      </c>
      <c r="K469" s="800">
        <f t="shared" si="221"/>
        <v>-1625.179999999993</v>
      </c>
      <c r="L469" s="792">
        <f t="shared" si="215"/>
        <v>-4.6407941966628216E-3</v>
      </c>
      <c r="M469" s="817">
        <f t="shared" si="208"/>
        <v>-21430.809999999998</v>
      </c>
      <c r="N469" s="802">
        <f t="shared" si="217"/>
        <v>-5.7921108108108105E-2</v>
      </c>
      <c r="O469" s="786">
        <f t="shared" si="218"/>
        <v>-2.847333073551344E-2</v>
      </c>
      <c r="P469" s="817" t="b">
        <f t="shared" si="209"/>
        <v>0</v>
      </c>
      <c r="Q469" s="802">
        <f>COUNTIF(P$2:P469, TRUE)/(COUNTIF(P$2:P469,FALSE) + COUNTIF(P$2:P469, TRUE))</f>
        <v>0.47435897435897434</v>
      </c>
      <c r="R469" s="800">
        <v>299933.2</v>
      </c>
      <c r="S469" s="800">
        <f t="shared" si="222"/>
        <v>48635.989999999991</v>
      </c>
      <c r="T469" s="800"/>
      <c r="U469" s="800"/>
      <c r="V469" s="802">
        <f>STDEV(D$2:D469)*SQRT(252)</f>
        <v>0.14465268757046457</v>
      </c>
      <c r="W469" s="802">
        <f>STDEV(L$2:L469)*SQRT(252)</f>
        <v>0.31087213053146129</v>
      </c>
      <c r="X469" s="801">
        <f t="shared" si="199"/>
        <v>0.55581844136645131</v>
      </c>
      <c r="Y469" s="801">
        <f t="shared" si="200"/>
        <v>-9.1591776615150278E-2</v>
      </c>
      <c r="Z469" s="807">
        <f t="shared" si="201"/>
        <v>-0.22147393244554467</v>
      </c>
    </row>
    <row r="470" spans="1:26" ht="20.100000000000001" customHeight="1" x14ac:dyDescent="0.2">
      <c r="A470" s="776">
        <f t="shared" si="216"/>
        <v>744</v>
      </c>
      <c r="B470" s="795">
        <v>42977</v>
      </c>
      <c r="C470" s="820">
        <v>2457.59</v>
      </c>
      <c r="D470" s="792">
        <f t="shared" si="213"/>
        <v>4.6151330580877087E-3</v>
      </c>
      <c r="E470" s="819">
        <f t="shared" si="205"/>
        <v>0.1689227754418676</v>
      </c>
      <c r="F470" s="816">
        <v>6368.3</v>
      </c>
      <c r="G470" s="792">
        <f t="shared" si="214"/>
        <v>1.0539711958970984E-2</v>
      </c>
      <c r="H470" s="797">
        <f t="shared" si="220"/>
        <v>0.25072176286898296</v>
      </c>
      <c r="I470" s="799">
        <v>350684.01</v>
      </c>
      <c r="J470" s="800">
        <v>370000</v>
      </c>
      <c r="K470" s="800">
        <f t="shared" si="221"/>
        <v>2114.820000000007</v>
      </c>
      <c r="L470" s="792">
        <f t="shared" si="215"/>
        <v>6.0671455213812987E-3</v>
      </c>
      <c r="M470" s="817">
        <f t="shared" si="208"/>
        <v>-19315.989999999991</v>
      </c>
      <c r="N470" s="802">
        <f t="shared" si="217"/>
        <v>-5.2205378378378353E-2</v>
      </c>
      <c r="O470" s="786">
        <f t="shared" si="218"/>
        <v>-2.5629051683740179E-2</v>
      </c>
      <c r="P470" s="817" t="b">
        <f t="shared" si="209"/>
        <v>1</v>
      </c>
      <c r="Q470" s="802">
        <f>COUNTIF(P$2:P470, TRUE)/(COUNTIF(P$2:P470,FALSE) + COUNTIF(P$2:P470, TRUE))</f>
        <v>0.47547974413646055</v>
      </c>
      <c r="R470" s="800">
        <v>295643.7</v>
      </c>
      <c r="S470" s="800">
        <f t="shared" si="222"/>
        <v>55040.31</v>
      </c>
      <c r="T470" s="800"/>
      <c r="U470" s="800"/>
      <c r="V470" s="802">
        <f>STDEV(D$2:D470)*SQRT(252)</f>
        <v>0.14453137067764452</v>
      </c>
      <c r="W470" s="802">
        <f>STDEV(L$2:L470)*SQRT(252)</f>
        <v>0.31056850522583535</v>
      </c>
      <c r="X470" s="801">
        <f t="shared" si="199"/>
        <v>0.57377731788687758</v>
      </c>
      <c r="Y470" s="801">
        <f t="shared" si="200"/>
        <v>-8.2523022304220969E-2</v>
      </c>
      <c r="Z470" s="807">
        <f t="shared" si="201"/>
        <v>-0.22112815382024595</v>
      </c>
    </row>
    <row r="471" spans="1:26" ht="20.100000000000001" customHeight="1" x14ac:dyDescent="0.2">
      <c r="A471" s="776">
        <f t="shared" si="216"/>
        <v>745</v>
      </c>
      <c r="B471" s="795">
        <v>42978</v>
      </c>
      <c r="C471" s="820">
        <v>2471.65</v>
      </c>
      <c r="D471" s="792">
        <f t="shared" si="213"/>
        <v>5.7210519248531875E-3</v>
      </c>
      <c r="E471" s="819">
        <f t="shared" si="205"/>
        <v>0.175610243336314</v>
      </c>
      <c r="F471" s="816">
        <v>6428.66</v>
      </c>
      <c r="G471" s="792">
        <f t="shared" si="214"/>
        <v>9.4781966929949387E-3</v>
      </c>
      <c r="H471" s="797">
        <f t="shared" si="220"/>
        <v>0.26257634974566452</v>
      </c>
      <c r="I471" s="823">
        <v>352584.03</v>
      </c>
      <c r="J471" s="800">
        <v>370000</v>
      </c>
      <c r="K471" s="800">
        <f t="shared" si="221"/>
        <v>1900.0200000000186</v>
      </c>
      <c r="L471" s="792">
        <f t="shared" si="215"/>
        <v>5.4180400184200544E-3</v>
      </c>
      <c r="M471" s="823">
        <f t="shared" si="208"/>
        <v>-17415.969999999972</v>
      </c>
      <c r="N471" s="802">
        <f t="shared" si="217"/>
        <v>-4.7070189189189114E-2</v>
      </c>
      <c r="O471" s="786">
        <f t="shared" si="218"/>
        <v>-2.3077028995102448E-2</v>
      </c>
      <c r="P471" s="817" t="b">
        <f t="shared" si="209"/>
        <v>0</v>
      </c>
      <c r="Q471" s="802">
        <f>COUNTIF(P$2:P471, TRUE)/(COUNTIF(P$2:P471,FALSE) + COUNTIF(P$2:P471, TRUE))</f>
        <v>0.474468085106383</v>
      </c>
      <c r="R471" s="800">
        <v>289110.77</v>
      </c>
      <c r="S471" s="800">
        <f t="shared" si="222"/>
        <v>63473.260000000009</v>
      </c>
      <c r="T471" s="800"/>
      <c r="U471" s="800"/>
      <c r="V471" s="802">
        <f>STDEV(D$2:D471)*SQRT(252)</f>
        <v>0.14443004981901336</v>
      </c>
      <c r="W471" s="802">
        <f>STDEV(L$2:L471)*SQRT(252)</f>
        <v>0.31025959043644818</v>
      </c>
      <c r="X471" s="801">
        <f t="shared" si="199"/>
        <v>0.59610976408419181</v>
      </c>
      <c r="Y471" s="801">
        <f t="shared" si="200"/>
        <v>-7.4379744273624371E-2</v>
      </c>
      <c r="Z471" s="807">
        <f t="shared" si="201"/>
        <v>-0.22268043252550312</v>
      </c>
    </row>
    <row r="472" spans="1:26" ht="20.100000000000001" customHeight="1" x14ac:dyDescent="0.2">
      <c r="A472" s="776">
        <f t="shared" si="216"/>
        <v>746</v>
      </c>
      <c r="B472" s="795">
        <v>42979</v>
      </c>
      <c r="C472" s="820">
        <v>2476.5500000000002</v>
      </c>
      <c r="D472" s="792">
        <f t="shared" si="213"/>
        <v>1.9824813383772341E-3</v>
      </c>
      <c r="E472" s="819">
        <f t="shared" si="205"/>
        <v>0.17794086870493336</v>
      </c>
      <c r="F472" s="816">
        <v>6435.33</v>
      </c>
      <c r="G472" s="792">
        <f t="shared" si="214"/>
        <v>1.0375412605426438E-3</v>
      </c>
      <c r="H472" s="797">
        <f t="shared" si="220"/>
        <v>0.26388632480311097</v>
      </c>
      <c r="I472" s="799">
        <v>336954.37</v>
      </c>
      <c r="J472" s="800">
        <v>350000</v>
      </c>
      <c r="K472" s="800">
        <f t="shared" si="221"/>
        <v>4370.3399999999674</v>
      </c>
      <c r="L472" s="792">
        <f t="shared" si="215"/>
        <v>1.2395172861345895E-2</v>
      </c>
      <c r="M472" s="817">
        <f t="shared" si="208"/>
        <v>-13045.630000000005</v>
      </c>
      <c r="N472" s="802">
        <f t="shared" si="217"/>
        <v>-3.7273228571428584E-2</v>
      </c>
      <c r="O472" s="786">
        <f t="shared" si="218"/>
        <v>-1.8249392407123713E-2</v>
      </c>
      <c r="P472" s="817" t="b">
        <f t="shared" si="209"/>
        <v>1</v>
      </c>
      <c r="Q472" s="802">
        <f>COUNTIF(P$2:P472, TRUE)/(COUNTIF(P$2:P472,FALSE) + COUNTIF(P$2:P472, TRUE))</f>
        <v>0.47558386411889597</v>
      </c>
      <c r="R472" s="800">
        <v>291479.53000000003</v>
      </c>
      <c r="S472" s="800">
        <f t="shared" si="222"/>
        <v>45474.839999999967</v>
      </c>
      <c r="T472" s="800">
        <v>-52981</v>
      </c>
      <c r="U472" s="800">
        <f t="shared" ref="U472:U513" si="223">M472-T472</f>
        <v>39935.369999999995</v>
      </c>
      <c r="V472" s="802">
        <f>STDEV(D$2:D472)*SQRT(252)</f>
        <v>0.1442807254907349</v>
      </c>
      <c r="W472" s="802">
        <f>STDEV(L$2:L472)*SQRT(252)</f>
        <v>0.31005583574297191</v>
      </c>
      <c r="X472" s="801">
        <f t="shared" si="199"/>
        <v>0.60383570047443835</v>
      </c>
      <c r="Y472" s="801">
        <f t="shared" si="200"/>
        <v>-5.8858406465382505E-2</v>
      </c>
      <c r="Z472" s="807">
        <f t="shared" si="201"/>
        <v>-0.21521409727636195</v>
      </c>
    </row>
    <row r="473" spans="1:26" ht="20.100000000000001" customHeight="1" x14ac:dyDescent="0.2">
      <c r="A473" s="776">
        <f t="shared" si="216"/>
        <v>750</v>
      </c>
      <c r="B473" s="795">
        <v>42983</v>
      </c>
      <c r="C473" s="820">
        <v>2457.85</v>
      </c>
      <c r="D473" s="792">
        <f t="shared" si="213"/>
        <v>-7.5508267549616488E-3</v>
      </c>
      <c r="E473" s="819">
        <f t="shared" si="205"/>
        <v>0.1690464412777534</v>
      </c>
      <c r="F473" s="816">
        <v>6375.57</v>
      </c>
      <c r="G473" s="792">
        <f t="shared" si="214"/>
        <v>-9.2862370694277094E-3</v>
      </c>
      <c r="H473" s="797">
        <f t="shared" si="220"/>
        <v>0.25214957676218158</v>
      </c>
      <c r="I473" s="799">
        <v>336250.61</v>
      </c>
      <c r="J473" s="800">
        <v>350000</v>
      </c>
      <c r="K473" s="800">
        <f t="shared" si="221"/>
        <v>-703.76000000000931</v>
      </c>
      <c r="L473" s="792">
        <f t="shared" si="215"/>
        <v>-2.0885914018566056E-3</v>
      </c>
      <c r="M473" s="817">
        <f t="shared" si="208"/>
        <v>-13749.390000000014</v>
      </c>
      <c r="N473" s="802">
        <f t="shared" si="217"/>
        <v>-3.9283971428571471E-2</v>
      </c>
      <c r="O473" s="786">
        <f t="shared" si="218"/>
        <v>-1.9131294085714307E-2</v>
      </c>
      <c r="P473" s="817" t="b">
        <f t="shared" si="209"/>
        <v>1</v>
      </c>
      <c r="Q473" s="802">
        <f>COUNTIF(P$2:P473, TRUE)/(COUNTIF(P$2:P473,FALSE) + COUNTIF(P$2:P473, TRUE))</f>
        <v>0.47669491525423729</v>
      </c>
      <c r="R473" s="800">
        <v>296076.46999999997</v>
      </c>
      <c r="S473" s="800">
        <f t="shared" si="222"/>
        <v>40174.140000000014</v>
      </c>
      <c r="T473" s="800">
        <v>-52601</v>
      </c>
      <c r="U473" s="800">
        <f t="shared" si="223"/>
        <v>38851.609999999986</v>
      </c>
      <c r="V473" s="802">
        <f>STDEV(D$2:D473)*SQRT(252)</f>
        <v>0.14424413570977887</v>
      </c>
      <c r="W473" s="802">
        <f>STDEV(L$2:L473)*SQRT(252)</f>
        <v>0.30973071524404033</v>
      </c>
      <c r="X473" s="801">
        <f t="shared" si="199"/>
        <v>0.57073805113232579</v>
      </c>
      <c r="Y473" s="801">
        <f t="shared" si="200"/>
        <v>-6.1767506883004947E-2</v>
      </c>
      <c r="Z473" s="807">
        <f t="shared" si="201"/>
        <v>-0.20833041270632485</v>
      </c>
    </row>
    <row r="474" spans="1:26" ht="20.100000000000001" customHeight="1" x14ac:dyDescent="0.2">
      <c r="A474" s="776">
        <f t="shared" si="216"/>
        <v>751</v>
      </c>
      <c r="B474" s="795">
        <v>42984</v>
      </c>
      <c r="C474" s="820">
        <v>2465.54</v>
      </c>
      <c r="D474" s="792">
        <f t="shared" si="213"/>
        <v>3.128750737433145E-3</v>
      </c>
      <c r="E474" s="819">
        <f t="shared" si="205"/>
        <v>0.17270409619299476</v>
      </c>
      <c r="F474" s="816">
        <v>6393.31</v>
      </c>
      <c r="G474" s="792">
        <f t="shared" si="214"/>
        <v>2.7824963101339474E-3</v>
      </c>
      <c r="H474" s="797">
        <f t="shared" si="220"/>
        <v>0.25563367833925815</v>
      </c>
      <c r="I474" s="799">
        <v>342369.21</v>
      </c>
      <c r="J474" s="800">
        <v>350000</v>
      </c>
      <c r="K474" s="800">
        <f t="shared" si="221"/>
        <v>6118.6000000000349</v>
      </c>
      <c r="L474" s="792">
        <f t="shared" si="215"/>
        <v>1.8196546914814624E-2</v>
      </c>
      <c r="M474" s="817">
        <f t="shared" si="208"/>
        <v>-7630.789999999979</v>
      </c>
      <c r="N474" s="802">
        <f t="shared" si="217"/>
        <v>-2.1802257142857082E-2</v>
      </c>
      <c r="O474" s="786">
        <f t="shared" si="218"/>
        <v>-1.0603561147042008E-2</v>
      </c>
      <c r="P474" s="817" t="b">
        <f t="shared" si="209"/>
        <v>1</v>
      </c>
      <c r="Q474" s="802">
        <f>COUNTIF(P$2:P474, TRUE)/(COUNTIF(P$2:P474,FALSE) + COUNTIF(P$2:P474, TRUE))</f>
        <v>0.47780126849894294</v>
      </c>
      <c r="R474" s="800">
        <v>255392.65</v>
      </c>
      <c r="S474" s="800">
        <f t="shared" si="222"/>
        <v>86976.560000000027</v>
      </c>
      <c r="T474" s="800">
        <v>-48637</v>
      </c>
      <c r="U474" s="800">
        <f t="shared" si="223"/>
        <v>41006.210000000021</v>
      </c>
      <c r="V474" s="802">
        <f>STDEV(D$2:D474)*SQRT(252)</f>
        <v>0.14410499979088631</v>
      </c>
      <c r="W474" s="802">
        <f>STDEV(L$2:L474)*SQRT(252)</f>
        <v>0.30967830740703384</v>
      </c>
      <c r="X474" s="801">
        <f t="shared" si="199"/>
        <v>0.58287291742606717</v>
      </c>
      <c r="Y474" s="801">
        <f t="shared" si="200"/>
        <v>-3.4240568013389899E-2</v>
      </c>
      <c r="Z474" s="807">
        <f t="shared" si="201"/>
        <v>-0.19450635333585184</v>
      </c>
    </row>
    <row r="475" spans="1:26" ht="20.100000000000001" customHeight="1" x14ac:dyDescent="0.2">
      <c r="A475" s="776">
        <f t="shared" si="216"/>
        <v>752</v>
      </c>
      <c r="B475" s="795">
        <v>42985</v>
      </c>
      <c r="C475" s="820">
        <v>2465.1</v>
      </c>
      <c r="D475" s="792">
        <f t="shared" si="213"/>
        <v>-1.7845989113948854E-4</v>
      </c>
      <c r="E475" s="819">
        <f t="shared" si="205"/>
        <v>0.17249481554764931</v>
      </c>
      <c r="F475" s="816">
        <v>6397.86</v>
      </c>
      <c r="G475" s="792">
        <f t="shared" si="214"/>
        <v>7.1168142949415436E-4</v>
      </c>
      <c r="H475" s="797">
        <f t="shared" si="220"/>
        <v>0.25652728951037962</v>
      </c>
      <c r="I475" s="799">
        <v>342957.79</v>
      </c>
      <c r="J475" s="800">
        <v>350000</v>
      </c>
      <c r="K475" s="800">
        <f t="shared" si="221"/>
        <v>588.57999999995809</v>
      </c>
      <c r="L475" s="792">
        <f t="shared" si="215"/>
        <v>1.7191382367589599E-3</v>
      </c>
      <c r="M475" s="817">
        <f t="shared" si="208"/>
        <v>-7042.210000000021</v>
      </c>
      <c r="N475" s="802">
        <f t="shared" si="217"/>
        <v>-2.0120600000000061E-2</v>
      </c>
      <c r="O475" s="786">
        <f t="shared" si="218"/>
        <v>-9.7726717420213056E-3</v>
      </c>
      <c r="P475" s="817" t="b">
        <f t="shared" si="209"/>
        <v>1</v>
      </c>
      <c r="Q475" s="802">
        <f>COUNTIF(P$2:P475, TRUE)/(COUNTIF(P$2:P475,FALSE) + COUNTIF(P$2:P475, TRUE))</f>
        <v>0.47890295358649787</v>
      </c>
      <c r="R475" s="800">
        <v>258228.56</v>
      </c>
      <c r="S475" s="800">
        <f t="shared" si="222"/>
        <v>84729.229999999981</v>
      </c>
      <c r="T475" s="800">
        <v>-47786</v>
      </c>
      <c r="U475" s="800">
        <f t="shared" si="223"/>
        <v>40743.789999999979</v>
      </c>
      <c r="V475" s="802">
        <f>STDEV(D$2:D475)*SQRT(252)</f>
        <v>0.14395283952494337</v>
      </c>
      <c r="W475" s="802">
        <f>STDEV(L$2:L475)*SQRT(252)</f>
        <v>0.30935175432104961</v>
      </c>
      <c r="X475" s="801">
        <f t="shared" ref="X475:X538" si="224">E475/(A475/365.25)/V475</f>
        <v>0.58200698201600387</v>
      </c>
      <c r="Y475" s="801">
        <f t="shared" ref="Y475:Y538" si="225">O475/W475</f>
        <v>-3.1590807569428198E-2</v>
      </c>
      <c r="Z475" s="807">
        <f t="shared" ref="Z475:Z538" si="226">-(E475-N475)</f>
        <v>-0.19261541554764938</v>
      </c>
    </row>
    <row r="476" spans="1:26" ht="20.100000000000001" customHeight="1" x14ac:dyDescent="0.2">
      <c r="A476" s="776">
        <f t="shared" si="216"/>
        <v>753</v>
      </c>
      <c r="B476" s="795">
        <v>42986</v>
      </c>
      <c r="C476" s="820">
        <v>2461.4299999999998</v>
      </c>
      <c r="D476" s="792">
        <f t="shared" si="213"/>
        <v>-1.4887834164942894E-3</v>
      </c>
      <c r="E476" s="819">
        <f t="shared" si="205"/>
        <v>0.17074922471033646</v>
      </c>
      <c r="F476" s="816">
        <v>6360.39</v>
      </c>
      <c r="G476" s="792">
        <f t="shared" si="214"/>
        <v>-5.8566458159446041E-3</v>
      </c>
      <c r="H476" s="797">
        <f t="shared" si="220"/>
        <v>0.24916825421764843</v>
      </c>
      <c r="I476" s="799">
        <v>335342.87</v>
      </c>
      <c r="J476" s="800">
        <v>350000</v>
      </c>
      <c r="K476" s="800">
        <f t="shared" si="221"/>
        <v>-7614.9199999999837</v>
      </c>
      <c r="L476" s="792">
        <f t="shared" si="215"/>
        <v>-2.2203665354853099E-2</v>
      </c>
      <c r="M476" s="817">
        <f t="shared" si="208"/>
        <v>-14657.130000000005</v>
      </c>
      <c r="N476" s="802">
        <f t="shared" si="217"/>
        <v>-4.1877514285714297E-2</v>
      </c>
      <c r="O476" s="786">
        <f t="shared" si="218"/>
        <v>-2.0313097068867393E-2</v>
      </c>
      <c r="P476" s="817" t="b">
        <f t="shared" si="209"/>
        <v>0</v>
      </c>
      <c r="Q476" s="802">
        <f>COUNTIF(P$2:P476, TRUE)/(COUNTIF(P$2:P476,FALSE) + COUNTIF(P$2:P476, TRUE))</f>
        <v>0.47789473684210526</v>
      </c>
      <c r="R476" s="800">
        <v>249990.63</v>
      </c>
      <c r="S476" s="800">
        <f t="shared" si="222"/>
        <v>85352.239999999991</v>
      </c>
      <c r="T476" s="800">
        <v>-54714</v>
      </c>
      <c r="U476" s="800">
        <f t="shared" si="223"/>
        <v>40056.869999999995</v>
      </c>
      <c r="V476" s="802">
        <f>STDEV(D$2:D476)*SQRT(252)</f>
        <v>0.1438070269592682</v>
      </c>
      <c r="W476" s="802">
        <f>STDEV(L$2:L476)*SQRT(252)</f>
        <v>0.30946102397648323</v>
      </c>
      <c r="X476" s="801">
        <f t="shared" si="224"/>
        <v>0.57593554273886038</v>
      </c>
      <c r="Y476" s="801">
        <f t="shared" si="225"/>
        <v>-6.5640243827316494E-2</v>
      </c>
      <c r="Z476" s="807">
        <f t="shared" si="226"/>
        <v>-0.21262673899605075</v>
      </c>
    </row>
    <row r="477" spans="1:26" ht="20.100000000000001" customHeight="1" x14ac:dyDescent="0.2">
      <c r="A477" s="776">
        <f t="shared" si="216"/>
        <v>756</v>
      </c>
      <c r="B477" s="795">
        <v>42989</v>
      </c>
      <c r="C477" s="820">
        <v>2488.11</v>
      </c>
      <c r="D477" s="792">
        <f t="shared" si="213"/>
        <v>1.0839227603466397E-2</v>
      </c>
      <c r="E477" s="819">
        <f t="shared" si="205"/>
        <v>0.18343924202355361</v>
      </c>
      <c r="F477" s="816">
        <v>6432.26</v>
      </c>
      <c r="G477" s="792">
        <f t="shared" si="214"/>
        <v>1.1299621564086461E-2</v>
      </c>
      <c r="H477" s="797">
        <f t="shared" si="220"/>
        <v>0.26328338276017843</v>
      </c>
      <c r="I477" s="799">
        <v>339751.59</v>
      </c>
      <c r="J477" s="800">
        <v>350000</v>
      </c>
      <c r="K477" s="800">
        <f t="shared" si="221"/>
        <v>4408.7200000000303</v>
      </c>
      <c r="L477" s="792">
        <f t="shared" si="215"/>
        <v>1.3146902452406489E-2</v>
      </c>
      <c r="M477" s="817">
        <f t="shared" si="208"/>
        <v>-10248.409999999974</v>
      </c>
      <c r="N477" s="802">
        <f t="shared" si="217"/>
        <v>-2.9281171428571354E-2</v>
      </c>
      <c r="O477" s="786">
        <f t="shared" si="218"/>
        <v>-1.4146756434240326E-2</v>
      </c>
      <c r="P477" s="817" t="b">
        <f t="shared" si="209"/>
        <v>1</v>
      </c>
      <c r="Q477" s="802">
        <f>COUNTIF(P$2:P477, TRUE)/(COUNTIF(P$2:P477,FALSE) + COUNTIF(P$2:P477, TRUE))</f>
        <v>0.47899159663865548</v>
      </c>
      <c r="R477" s="800">
        <v>243718.12</v>
      </c>
      <c r="S477" s="800">
        <f t="shared" si="222"/>
        <v>96033.47000000003</v>
      </c>
      <c r="T477" s="800">
        <v>-52678</v>
      </c>
      <c r="U477" s="800">
        <f t="shared" si="223"/>
        <v>42429.590000000026</v>
      </c>
      <c r="V477" s="802">
        <f>STDEV(D$2:D477)*SQRT(252)</f>
        <v>0.14385736210567479</v>
      </c>
      <c r="W477" s="802">
        <f>STDEV(L$2:L477)*SQRT(252)</f>
        <v>0.30927640165645359</v>
      </c>
      <c r="X477" s="801">
        <f t="shared" si="224"/>
        <v>0.6160679046184423</v>
      </c>
      <c r="Y477" s="801">
        <f t="shared" si="225"/>
        <v>-4.574146736857939E-2</v>
      </c>
      <c r="Z477" s="807">
        <f t="shared" si="226"/>
        <v>-0.21272041345212495</v>
      </c>
    </row>
    <row r="478" spans="1:26" ht="20.100000000000001" customHeight="1" x14ac:dyDescent="0.2">
      <c r="A478" s="776">
        <f t="shared" si="216"/>
        <v>757</v>
      </c>
      <c r="B478" s="795">
        <v>42990</v>
      </c>
      <c r="C478" s="820">
        <v>2496.48</v>
      </c>
      <c r="D478" s="792">
        <f t="shared" si="213"/>
        <v>3.3639991801005143E-3</v>
      </c>
      <c r="E478" s="819">
        <f t="shared" si="205"/>
        <v>0.18742033066341962</v>
      </c>
      <c r="F478" s="816">
        <v>6454.28</v>
      </c>
      <c r="G478" s="792">
        <f t="shared" si="214"/>
        <v>3.4233690802298921E-3</v>
      </c>
      <c r="H478" s="797">
        <f t="shared" si="220"/>
        <v>0.26760806803228782</v>
      </c>
      <c r="I478" s="799">
        <v>342729.25</v>
      </c>
      <c r="J478" s="800">
        <v>350000</v>
      </c>
      <c r="K478" s="800">
        <f t="shared" si="221"/>
        <v>2977.6599999999744</v>
      </c>
      <c r="L478" s="792">
        <f t="shared" si="215"/>
        <v>8.7642268281951947E-3</v>
      </c>
      <c r="M478" s="817">
        <f t="shared" si="208"/>
        <v>-7270.75</v>
      </c>
      <c r="N478" s="802">
        <f t="shared" si="217"/>
        <v>-2.0773571428571429E-2</v>
      </c>
      <c r="O478" s="786">
        <f t="shared" si="218"/>
        <v>-1.0023179609360257E-2</v>
      </c>
      <c r="P478" s="817" t="b">
        <f t="shared" si="209"/>
        <v>1</v>
      </c>
      <c r="Q478" s="802">
        <f>COUNTIF(P$2:P478, TRUE)/(COUNTIF(P$2:P478,FALSE) + COUNTIF(P$2:P478, TRUE))</f>
        <v>0.48008385744234799</v>
      </c>
      <c r="R478" s="800">
        <v>243287.86</v>
      </c>
      <c r="S478" s="800">
        <f t="shared" si="222"/>
        <v>99441.390000000014</v>
      </c>
      <c r="T478" s="800">
        <v>-50978</v>
      </c>
      <c r="U478" s="800">
        <f t="shared" si="223"/>
        <v>43707.25</v>
      </c>
      <c r="V478" s="802">
        <f>STDEV(D$2:D478)*SQRT(252)</f>
        <v>0.14372208387906182</v>
      </c>
      <c r="W478" s="802">
        <f>STDEV(L$2:L478)*SQRT(252)</f>
        <v>0.30901192178328862</v>
      </c>
      <c r="X478" s="801">
        <f t="shared" si="224"/>
        <v>0.62919829818008466</v>
      </c>
      <c r="Y478" s="801">
        <f t="shared" si="225"/>
        <v>-3.2436223015335816E-2</v>
      </c>
      <c r="Z478" s="807">
        <f t="shared" si="226"/>
        <v>-0.20819390209199104</v>
      </c>
    </row>
    <row r="479" spans="1:26" ht="20.100000000000001" customHeight="1" x14ac:dyDescent="0.2">
      <c r="A479" s="776">
        <f t="shared" si="216"/>
        <v>758</v>
      </c>
      <c r="B479" s="795">
        <v>42991</v>
      </c>
      <c r="C479" s="820">
        <v>2498.37</v>
      </c>
      <c r="D479" s="792">
        <f t="shared" si="213"/>
        <v>7.5706594885593817E-4</v>
      </c>
      <c r="E479" s="819">
        <f t="shared" si="205"/>
        <v>0.18831928616274415</v>
      </c>
      <c r="F479" s="816">
        <v>6460.18</v>
      </c>
      <c r="G479" s="792">
        <f t="shared" si="214"/>
        <v>9.1412210192314957E-4</v>
      </c>
      <c r="H479" s="797">
        <f t="shared" si="220"/>
        <v>0.26876681658385226</v>
      </c>
      <c r="I479" s="799">
        <v>346163.11</v>
      </c>
      <c r="J479" s="800">
        <v>350000</v>
      </c>
      <c r="K479" s="800">
        <f t="shared" si="221"/>
        <v>3433.859999999986</v>
      </c>
      <c r="L479" s="792">
        <f t="shared" si="215"/>
        <v>1.0019162356291404E-2</v>
      </c>
      <c r="M479" s="817">
        <f t="shared" si="208"/>
        <v>-3836.890000000014</v>
      </c>
      <c r="N479" s="802">
        <f t="shared" si="217"/>
        <v>-1.0962542857142897E-2</v>
      </c>
      <c r="O479" s="786">
        <f t="shared" si="218"/>
        <v>-5.2824126366377878E-3</v>
      </c>
      <c r="P479" s="817" t="b">
        <f t="shared" si="209"/>
        <v>1</v>
      </c>
      <c r="Q479" s="802">
        <f>COUNTIF(P$2:P479, TRUE)/(COUNTIF(P$2:P479,FALSE) + COUNTIF(P$2:P479, TRUE))</f>
        <v>0.48117154811715479</v>
      </c>
      <c r="R479" s="800">
        <v>236800.45</v>
      </c>
      <c r="S479" s="800">
        <f t="shared" si="222"/>
        <v>109362.65999999997</v>
      </c>
      <c r="T479" s="800">
        <v>-48114</v>
      </c>
      <c r="U479" s="800">
        <f t="shared" si="223"/>
        <v>44277.109999999986</v>
      </c>
      <c r="V479" s="802">
        <f>STDEV(D$2:D479)*SQRT(252)</f>
        <v>0.14357126818301891</v>
      </c>
      <c r="W479" s="802">
        <f>STDEV(L$2:L479)*SQRT(252)</f>
        <v>0.30876753627425929</v>
      </c>
      <c r="X479" s="801">
        <f t="shared" si="224"/>
        <v>0.63204540986420232</v>
      </c>
      <c r="Y479" s="801">
        <f t="shared" si="225"/>
        <v>-1.7108057085203882E-2</v>
      </c>
      <c r="Z479" s="807">
        <f t="shared" si="226"/>
        <v>-0.19928182901988706</v>
      </c>
    </row>
    <row r="480" spans="1:26" ht="20.100000000000001" customHeight="1" x14ac:dyDescent="0.2">
      <c r="A480" s="776">
        <f t="shared" si="216"/>
        <v>759</v>
      </c>
      <c r="B480" s="795">
        <v>42992</v>
      </c>
      <c r="C480" s="820">
        <v>2495.62</v>
      </c>
      <c r="D480" s="792">
        <f t="shared" si="213"/>
        <v>-1.1007176679194836E-3</v>
      </c>
      <c r="E480" s="819">
        <f t="shared" si="205"/>
        <v>0.18701128212933535</v>
      </c>
      <c r="F480" s="816">
        <v>6429.08</v>
      </c>
      <c r="G480" s="792">
        <f t="shared" si="214"/>
        <v>-4.8141073468541684E-3</v>
      </c>
      <c r="H480" s="797">
        <f t="shared" si="220"/>
        <v>0.26265883693069114</v>
      </c>
      <c r="I480" s="799">
        <v>344939.43</v>
      </c>
      <c r="J480" s="800">
        <v>350000</v>
      </c>
      <c r="K480" s="800">
        <f t="shared" si="221"/>
        <v>-1223.679999999993</v>
      </c>
      <c r="L480" s="792">
        <f t="shared" si="215"/>
        <v>-3.5349809516097572E-3</v>
      </c>
      <c r="M480" s="817">
        <f t="shared" si="208"/>
        <v>-5060.570000000007</v>
      </c>
      <c r="N480" s="802">
        <f t="shared" si="217"/>
        <v>-1.4458771428571448E-2</v>
      </c>
      <c r="O480" s="786">
        <f t="shared" si="218"/>
        <v>-6.9579265669113587E-3</v>
      </c>
      <c r="P480" s="817" t="b">
        <f t="shared" si="209"/>
        <v>0</v>
      </c>
      <c r="Q480" s="802">
        <f>COUNTIF(P$2:P480, TRUE)/(COUNTIF(P$2:P480,FALSE) + COUNTIF(P$2:P480, TRUE))</f>
        <v>0.4801670146137787</v>
      </c>
      <c r="R480" s="800">
        <v>235576.77</v>
      </c>
      <c r="S480" s="800">
        <f t="shared" si="222"/>
        <v>109362.66</v>
      </c>
      <c r="T480" s="800">
        <v>-48830</v>
      </c>
      <c r="U480" s="800">
        <f t="shared" si="223"/>
        <v>43769.429999999993</v>
      </c>
      <c r="V480" s="802">
        <f>STDEV(D$2:D480)*SQRT(252)</f>
        <v>0.14342484838502698</v>
      </c>
      <c r="W480" s="802">
        <f>STDEV(L$2:L480)*SQRT(252)</f>
        <v>0.30845659017030708</v>
      </c>
      <c r="X480" s="801">
        <f t="shared" si="224"/>
        <v>0.62746839682357036</v>
      </c>
      <c r="Y480" s="801">
        <f t="shared" si="225"/>
        <v>-2.2557231029071877E-2</v>
      </c>
      <c r="Z480" s="807">
        <f t="shared" si="226"/>
        <v>-0.20147005355790679</v>
      </c>
    </row>
    <row r="481" spans="1:26" ht="20.100000000000001" customHeight="1" x14ac:dyDescent="0.2">
      <c r="A481" s="776">
        <f t="shared" si="216"/>
        <v>760</v>
      </c>
      <c r="B481" s="795">
        <v>42993</v>
      </c>
      <c r="C481" s="820">
        <v>2500.23</v>
      </c>
      <c r="D481" s="792">
        <f t="shared" si="213"/>
        <v>1.8472363580994413E-3</v>
      </c>
      <c r="E481" s="819">
        <f t="shared" si="205"/>
        <v>0.1892039725271589</v>
      </c>
      <c r="F481" s="816">
        <v>6448.66</v>
      </c>
      <c r="G481" s="792">
        <f t="shared" si="214"/>
        <v>3.0455368419742682E-3</v>
      </c>
      <c r="H481" s="797">
        <f t="shared" si="220"/>
        <v>0.26650431093740795</v>
      </c>
      <c r="I481" s="799">
        <v>346855.18</v>
      </c>
      <c r="J481" s="800">
        <v>350000</v>
      </c>
      <c r="K481" s="800">
        <f t="shared" si="221"/>
        <v>1915.75</v>
      </c>
      <c r="L481" s="792">
        <f t="shared" si="215"/>
        <v>5.5538736177537023E-3</v>
      </c>
      <c r="M481" s="817">
        <f t="shared" si="208"/>
        <v>-3144.820000000007</v>
      </c>
      <c r="N481" s="802">
        <f t="shared" si="217"/>
        <v>-8.9852000000000196E-3</v>
      </c>
      <c r="O481" s="786">
        <f t="shared" si="218"/>
        <v>-4.3182161842105363E-3</v>
      </c>
      <c r="P481" s="817" t="b">
        <f t="shared" si="209"/>
        <v>1</v>
      </c>
      <c r="Q481" s="802">
        <f>COUNTIF(P$2:P481, TRUE)/(COUNTIF(P$2:P481,FALSE) + COUNTIF(P$2:P481, TRUE))</f>
        <v>0.48125000000000001</v>
      </c>
      <c r="R481" s="800">
        <v>244138.62</v>
      </c>
      <c r="S481" s="800">
        <f t="shared" si="222"/>
        <v>102716.56</v>
      </c>
      <c r="T481" s="800">
        <v>-47636</v>
      </c>
      <c r="U481" s="800">
        <f t="shared" si="223"/>
        <v>44491.179999999993</v>
      </c>
      <c r="V481" s="802">
        <f>STDEV(D$2:D481)*SQRT(252)</f>
        <v>0.14327859255827297</v>
      </c>
      <c r="W481" s="802">
        <f>STDEV(L$2:L481)*SQRT(252)</f>
        <v>0.30815698264983843</v>
      </c>
      <c r="X481" s="801">
        <f t="shared" si="224"/>
        <v>0.63463727453909613</v>
      </c>
      <c r="Y481" s="801">
        <f t="shared" si="225"/>
        <v>-1.4013040194897561E-2</v>
      </c>
      <c r="Z481" s="807">
        <f t="shared" si="226"/>
        <v>-0.19818917252715892</v>
      </c>
    </row>
    <row r="482" spans="1:26" ht="20.100000000000001" customHeight="1" x14ac:dyDescent="0.2">
      <c r="A482" s="776">
        <f t="shared" si="216"/>
        <v>763</v>
      </c>
      <c r="B482" s="795">
        <v>42996</v>
      </c>
      <c r="C482" s="820">
        <v>2503.87</v>
      </c>
      <c r="D482" s="792">
        <f t="shared" si="213"/>
        <v>1.4558660603223993E-3</v>
      </c>
      <c r="E482" s="819">
        <f t="shared" si="205"/>
        <v>0.19093529422956176</v>
      </c>
      <c r="F482" s="816">
        <v>6454.63</v>
      </c>
      <c r="G482" s="792">
        <f t="shared" si="214"/>
        <v>9.2577372663472024E-4</v>
      </c>
      <c r="H482" s="797">
        <f t="shared" si="220"/>
        <v>0.26767680735314342</v>
      </c>
      <c r="I482" s="799">
        <v>347277.37</v>
      </c>
      <c r="J482" s="800">
        <v>350000</v>
      </c>
      <c r="K482" s="800">
        <f t="shared" si="221"/>
        <v>422.19000000000233</v>
      </c>
      <c r="L482" s="792">
        <f t="shared" si="215"/>
        <v>1.217193873247049E-3</v>
      </c>
      <c r="M482" s="817">
        <f t="shared" si="208"/>
        <v>-2722.6300000000047</v>
      </c>
      <c r="N482" s="802">
        <f t="shared" si="217"/>
        <v>-7.7789428571428702E-3</v>
      </c>
      <c r="O482" s="786">
        <f t="shared" si="218"/>
        <v>-3.7237993166073834E-3</v>
      </c>
      <c r="P482" s="817" t="b">
        <f t="shared" si="209"/>
        <v>0</v>
      </c>
      <c r="Q482" s="802">
        <f>COUNTIF(P$2:P482, TRUE)/(COUNTIF(P$2:P482,FALSE) + COUNTIF(P$2:P482, TRUE))</f>
        <v>0.48024948024948028</v>
      </c>
      <c r="R482" s="800">
        <v>245606.42</v>
      </c>
      <c r="S482" s="800">
        <f t="shared" si="222"/>
        <v>101670.94999999998</v>
      </c>
      <c r="T482" s="800">
        <v>-47720</v>
      </c>
      <c r="U482" s="800">
        <f t="shared" si="223"/>
        <v>44997.369999999995</v>
      </c>
      <c r="V482" s="802">
        <f>STDEV(D$2:D482)*SQRT(252)</f>
        <v>0.143130989675923</v>
      </c>
      <c r="W482" s="802">
        <f>STDEV(L$2:L482)*SQRT(252)</f>
        <v>0.30783578900658637</v>
      </c>
      <c r="X482" s="801">
        <f t="shared" si="224"/>
        <v>0.63858428573753245</v>
      </c>
      <c r="Y482" s="801">
        <f t="shared" si="225"/>
        <v>-1.2096706911903963E-2</v>
      </c>
      <c r="Z482" s="807">
        <f t="shared" si="226"/>
        <v>-0.19871423708670463</v>
      </c>
    </row>
    <row r="483" spans="1:26" ht="20.100000000000001" customHeight="1" x14ac:dyDescent="0.2">
      <c r="A483" s="776">
        <f t="shared" si="216"/>
        <v>764</v>
      </c>
      <c r="B483" s="795">
        <v>42997</v>
      </c>
      <c r="C483" s="820">
        <v>2506.65</v>
      </c>
      <c r="D483" s="792">
        <f t="shared" si="213"/>
        <v>1.1102812845715632E-3</v>
      </c>
      <c r="E483" s="819">
        <f t="shared" si="205"/>
        <v>0.19225756739788058</v>
      </c>
      <c r="F483" s="816">
        <v>6461.32</v>
      </c>
      <c r="G483" s="792">
        <f t="shared" si="214"/>
        <v>1.036465297003794E-3</v>
      </c>
      <c r="H483" s="797">
        <f t="shared" si="220"/>
        <v>0.26899071037178152</v>
      </c>
      <c r="I483" s="799">
        <v>345709.56</v>
      </c>
      <c r="J483" s="800">
        <v>350000</v>
      </c>
      <c r="K483" s="800">
        <f t="shared" si="221"/>
        <v>-1567.8099999999977</v>
      </c>
      <c r="L483" s="792">
        <f t="shared" si="215"/>
        <v>-4.5145757697946098E-3</v>
      </c>
      <c r="M483" s="817">
        <f t="shared" si="208"/>
        <v>-4290.4400000000023</v>
      </c>
      <c r="N483" s="802">
        <f t="shared" si="217"/>
        <v>-1.2258400000000006E-2</v>
      </c>
      <c r="O483" s="786">
        <f t="shared" si="218"/>
        <v>-5.8604458115183271E-3</v>
      </c>
      <c r="P483" s="817" t="b">
        <f t="shared" si="209"/>
        <v>0</v>
      </c>
      <c r="Q483" s="802">
        <f>COUNTIF(P$2:P483, TRUE)/(COUNTIF(P$2:P483,FALSE) + COUNTIF(P$2:P483, TRUE))</f>
        <v>0.47925311203319504</v>
      </c>
      <c r="R483" s="800">
        <v>246242.24</v>
      </c>
      <c r="S483" s="800">
        <f t="shared" si="222"/>
        <v>99467.32</v>
      </c>
      <c r="T483" s="800">
        <v>-48500</v>
      </c>
      <c r="U483" s="800">
        <f t="shared" si="223"/>
        <v>44209.56</v>
      </c>
      <c r="V483" s="802">
        <f>STDEV(D$2:D483)*SQRT(252)</f>
        <v>0.14298272953663635</v>
      </c>
      <c r="W483" s="802">
        <f>STDEV(L$2:L483)*SQRT(252)</f>
        <v>0.3075351311503991</v>
      </c>
      <c r="X483" s="801">
        <f t="shared" si="224"/>
        <v>0.64283087183905108</v>
      </c>
      <c r="Y483" s="801">
        <f t="shared" si="225"/>
        <v>-1.9056183238630692E-2</v>
      </c>
      <c r="Z483" s="807">
        <f t="shared" si="226"/>
        <v>-0.20451596739788058</v>
      </c>
    </row>
    <row r="484" spans="1:26" ht="20.100000000000001" customHeight="1" x14ac:dyDescent="0.2">
      <c r="A484" s="776">
        <f t="shared" si="216"/>
        <v>765</v>
      </c>
      <c r="B484" s="795">
        <v>42998</v>
      </c>
      <c r="C484" s="820">
        <v>2508.2399999999998</v>
      </c>
      <c r="D484" s="792">
        <f t="shared" ref="D484:D490" si="227">(C484-C483)/C483</f>
        <v>6.3431272814301587E-4</v>
      </c>
      <c r="E484" s="819">
        <f t="shared" si="205"/>
        <v>0.19301383154810586</v>
      </c>
      <c r="F484" s="816">
        <v>6456.04</v>
      </c>
      <c r="G484" s="792">
        <f t="shared" ref="G484:G490" si="228">(F484-F483)/F483</f>
        <v>-8.1717048528779659E-4</v>
      </c>
      <c r="H484" s="797">
        <f t="shared" ref="H484:H489" si="229">(F484-F$2)/F$2</f>
        <v>0.26795372861716132</v>
      </c>
      <c r="I484" s="799">
        <v>347542.31</v>
      </c>
      <c r="J484" s="800">
        <v>350000</v>
      </c>
      <c r="K484" s="800">
        <f t="shared" ref="K484:K489" si="230">I484-I483-J484+J483</f>
        <v>1832.75</v>
      </c>
      <c r="L484" s="792">
        <f t="shared" ref="L484:L489" si="231">K484/I483</f>
        <v>5.3014154424887759E-3</v>
      </c>
      <c r="M484" s="817">
        <f t="shared" si="208"/>
        <v>-2457.6900000000023</v>
      </c>
      <c r="N484" s="802">
        <f t="shared" si="217"/>
        <v>-7.0219714285714354E-3</v>
      </c>
      <c r="O484" s="786">
        <f t="shared" si="218"/>
        <v>-3.3526471428571456E-3</v>
      </c>
      <c r="P484" s="817" t="b">
        <f t="shared" si="209"/>
        <v>1</v>
      </c>
      <c r="Q484" s="802">
        <f>COUNTIF(P$2:P484, TRUE)/(COUNTIF(P$2:P484,FALSE) + COUNTIF(P$2:P484, TRUE))</f>
        <v>0.48033126293995859</v>
      </c>
      <c r="R484" s="800">
        <v>261969.09</v>
      </c>
      <c r="S484" s="800">
        <f t="shared" si="222"/>
        <v>85573.22</v>
      </c>
      <c r="T484" s="800">
        <v>-45800</v>
      </c>
      <c r="U484" s="800">
        <f t="shared" si="223"/>
        <v>43342.31</v>
      </c>
      <c r="V484" s="802">
        <f>STDEV(D$2:D484)*SQRT(252)</f>
        <v>0.14283411686318409</v>
      </c>
      <c r="W484" s="802">
        <f>STDEV(L$2:L484)*SQRT(252)</f>
        <v>0.30723621311065613</v>
      </c>
      <c r="X484" s="801">
        <f t="shared" si="224"/>
        <v>0.64518649413544193</v>
      </c>
      <c r="Y484" s="801">
        <f t="shared" si="225"/>
        <v>-1.0912278565449038E-2</v>
      </c>
      <c r="Z484" s="807">
        <f t="shared" si="226"/>
        <v>-0.20003580297667731</v>
      </c>
    </row>
    <row r="485" spans="1:26" ht="20.100000000000001" customHeight="1" x14ac:dyDescent="0.2">
      <c r="A485" s="776">
        <f t="shared" si="216"/>
        <v>766</v>
      </c>
      <c r="B485" s="795">
        <v>42999</v>
      </c>
      <c r="C485" s="820">
        <v>2500.6</v>
      </c>
      <c r="D485" s="792">
        <f t="shared" si="227"/>
        <v>-3.0459605141453265E-3</v>
      </c>
      <c r="E485" s="819">
        <f t="shared" si="205"/>
        <v>0.18937995852438111</v>
      </c>
      <c r="F485" s="816">
        <v>6422.69</v>
      </c>
      <c r="G485" s="792">
        <f t="shared" si="228"/>
        <v>-5.1657052930279808E-3</v>
      </c>
      <c r="H485" s="797">
        <f t="shared" si="229"/>
        <v>0.26140385332992905</v>
      </c>
      <c r="I485" s="799">
        <v>348466.58</v>
      </c>
      <c r="J485" s="800">
        <v>350000</v>
      </c>
      <c r="K485" s="800">
        <f t="shared" si="230"/>
        <v>924.27000000001863</v>
      </c>
      <c r="L485" s="792">
        <f t="shared" si="231"/>
        <v>2.6594459822748447E-3</v>
      </c>
      <c r="M485" s="817">
        <f t="shared" si="208"/>
        <v>-1533.4199999999837</v>
      </c>
      <c r="N485" s="802">
        <f t="shared" si="217"/>
        <v>-4.3811999999999532E-3</v>
      </c>
      <c r="O485" s="786">
        <f t="shared" si="218"/>
        <v>-2.0890774151435805E-3</v>
      </c>
      <c r="P485" s="817" t="b">
        <f t="shared" si="209"/>
        <v>1</v>
      </c>
      <c r="Q485" s="802">
        <f>COUNTIF(P$2:P485, TRUE)/(COUNTIF(P$2:P485,FALSE) + COUNTIF(P$2:P485, TRUE))</f>
        <v>0.48140495867768596</v>
      </c>
      <c r="R485" s="800">
        <v>266943.35999999999</v>
      </c>
      <c r="S485" s="800">
        <f t="shared" si="222"/>
        <v>81523.22000000003</v>
      </c>
      <c r="T485" s="800">
        <v>-44486</v>
      </c>
      <c r="U485" s="800">
        <f t="shared" si="223"/>
        <v>42952.580000000016</v>
      </c>
      <c r="V485" s="802">
        <f>STDEV(D$2:D485)*SQRT(252)</f>
        <v>0.14270766261353252</v>
      </c>
      <c r="W485" s="802">
        <f>STDEV(L$2:L485)*SQRT(252)</f>
        <v>0.30692186377022179</v>
      </c>
      <c r="X485" s="801">
        <f t="shared" si="224"/>
        <v>0.63277334864767631</v>
      </c>
      <c r="Y485" s="801">
        <f t="shared" si="225"/>
        <v>-6.8065447976934489E-3</v>
      </c>
      <c r="Z485" s="807">
        <f t="shared" si="226"/>
        <v>-0.19376115852438106</v>
      </c>
    </row>
    <row r="486" spans="1:26" ht="20.100000000000001" customHeight="1" x14ac:dyDescent="0.2">
      <c r="A486" s="776">
        <f t="shared" si="216"/>
        <v>767</v>
      </c>
      <c r="B486" s="795">
        <v>43000</v>
      </c>
      <c r="C486" s="820">
        <v>2502.2199999999998</v>
      </c>
      <c r="D486" s="792">
        <f t="shared" si="227"/>
        <v>6.4784451731580062E-4</v>
      </c>
      <c r="E486" s="819">
        <f t="shared" si="205"/>
        <v>0.19015049180951643</v>
      </c>
      <c r="F486" s="816">
        <v>6426.92</v>
      </c>
      <c r="G486" s="792">
        <f t="shared" si="228"/>
        <v>6.586025481535732E-4</v>
      </c>
      <c r="H486" s="797">
        <f t="shared" si="229"/>
        <v>0.26223461712198287</v>
      </c>
      <c r="I486" s="799">
        <v>349263.92</v>
      </c>
      <c r="J486" s="800">
        <v>350000</v>
      </c>
      <c r="K486" s="800">
        <f t="shared" si="230"/>
        <v>797.3399999999674</v>
      </c>
      <c r="L486" s="792">
        <f t="shared" si="231"/>
        <v>2.2881390806543554E-3</v>
      </c>
      <c r="M486" s="817">
        <f t="shared" si="208"/>
        <v>-736.0800000000163</v>
      </c>
      <c r="N486" s="802">
        <f t="shared" si="217"/>
        <v>-2.1030857142857609E-3</v>
      </c>
      <c r="O486" s="786">
        <f t="shared" si="218"/>
        <v>-1.0015020301732387E-3</v>
      </c>
      <c r="P486" s="817" t="b">
        <f t="shared" si="209"/>
        <v>1</v>
      </c>
      <c r="Q486" s="802">
        <f>COUNTIF(P$2:P486, TRUE)/(COUNTIF(P$2:P486,FALSE) + COUNTIF(P$2:P486, TRUE))</f>
        <v>0.48247422680412372</v>
      </c>
      <c r="R486" s="800">
        <v>254711</v>
      </c>
      <c r="S486" s="800">
        <f t="shared" si="222"/>
        <v>94552.919999999984</v>
      </c>
      <c r="T486" s="800">
        <v>-44478</v>
      </c>
      <c r="U486" s="800">
        <f t="shared" si="223"/>
        <v>43741.919999999984</v>
      </c>
      <c r="V486" s="802">
        <f>STDEV(D$2:D486)*SQRT(252)</f>
        <v>0.14255996830243736</v>
      </c>
      <c r="W486" s="802">
        <f>STDEV(L$2:L486)*SQRT(252)</f>
        <v>0.30660714220309959</v>
      </c>
      <c r="X486" s="801">
        <f t="shared" si="224"/>
        <v>0.63517694122035828</v>
      </c>
      <c r="Y486" s="801">
        <f t="shared" si="225"/>
        <v>-3.2664015031647043E-3</v>
      </c>
      <c r="Z486" s="807">
        <f t="shared" si="226"/>
        <v>-0.1922535775238022</v>
      </c>
    </row>
    <row r="487" spans="1:26" ht="20.100000000000001" customHeight="1" x14ac:dyDescent="0.2">
      <c r="A487" s="776">
        <f t="shared" si="216"/>
        <v>768</v>
      </c>
      <c r="B487" s="795">
        <v>43001</v>
      </c>
      <c r="C487" s="820">
        <v>2496.66</v>
      </c>
      <c r="D487" s="792">
        <f t="shared" si="227"/>
        <v>-2.222026840165911E-3</v>
      </c>
      <c r="E487" s="819">
        <f t="shared" si="205"/>
        <v>0.18750594547287902</v>
      </c>
      <c r="F487" s="816">
        <v>6370.59</v>
      </c>
      <c r="G487" s="792">
        <f t="shared" si="228"/>
        <v>-8.764695997460669E-3</v>
      </c>
      <c r="H487" s="797">
        <f t="shared" si="229"/>
        <v>0.25117151442543756</v>
      </c>
      <c r="I487" s="799">
        <v>353035.89</v>
      </c>
      <c r="J487" s="800">
        <v>350000</v>
      </c>
      <c r="K487" s="800">
        <f t="shared" si="230"/>
        <v>3771.9700000000303</v>
      </c>
      <c r="L487" s="792">
        <f t="shared" si="231"/>
        <v>1.0799769984829897E-2</v>
      </c>
      <c r="M487" s="817">
        <f t="shared" si="208"/>
        <v>3035.890000000014</v>
      </c>
      <c r="N487" s="802">
        <f t="shared" si="217"/>
        <v>8.6739714285714691E-3</v>
      </c>
      <c r="O487" s="786">
        <f t="shared" si="218"/>
        <v>4.1252188337053764E-3</v>
      </c>
      <c r="P487" s="817" t="b">
        <f t="shared" si="209"/>
        <v>1</v>
      </c>
      <c r="Q487" s="802">
        <f>COUNTIF(P$2:P487, TRUE)/(COUNTIF(P$2:P487,FALSE) + COUNTIF(P$2:P487, TRUE))</f>
        <v>0.48353909465020578</v>
      </c>
      <c r="R487" s="800">
        <v>258482.97</v>
      </c>
      <c r="S487" s="800">
        <f t="shared" si="222"/>
        <v>94552.920000000013</v>
      </c>
      <c r="T487" s="800">
        <v>-44802</v>
      </c>
      <c r="U487" s="800">
        <f t="shared" si="223"/>
        <v>47837.890000000014</v>
      </c>
      <c r="V487" s="802">
        <f>STDEV(D$2:D487)*SQRT(252)</f>
        <v>0.14242515955078755</v>
      </c>
      <c r="W487" s="802">
        <f>STDEV(L$2:L487)*SQRT(252)</f>
        <v>0.30638265374051055</v>
      </c>
      <c r="X487" s="801">
        <f t="shared" si="224"/>
        <v>0.62611964870394943</v>
      </c>
      <c r="Y487" s="801">
        <f t="shared" si="225"/>
        <v>1.3464270197226024E-2</v>
      </c>
      <c r="Z487" s="807">
        <f t="shared" si="226"/>
        <v>-0.17883197404430756</v>
      </c>
    </row>
    <row r="488" spans="1:26" ht="20.100000000000001" customHeight="1" x14ac:dyDescent="0.2">
      <c r="A488" s="776">
        <f t="shared" si="216"/>
        <v>771</v>
      </c>
      <c r="B488" s="795">
        <v>43004</v>
      </c>
      <c r="C488" s="820">
        <v>2496.84</v>
      </c>
      <c r="D488" s="792">
        <f t="shared" si="227"/>
        <v>7.2096320684550985E-5</v>
      </c>
      <c r="E488" s="819">
        <f t="shared" si="205"/>
        <v>0.18759156028233864</v>
      </c>
      <c r="F488" s="816">
        <v>6380.16</v>
      </c>
      <c r="G488" s="792">
        <f t="shared" si="228"/>
        <v>1.5022156503557299E-3</v>
      </c>
      <c r="H488" s="797">
        <f t="shared" si="229"/>
        <v>0.25305104385568672</v>
      </c>
      <c r="I488" s="799">
        <v>354979.17</v>
      </c>
      <c r="J488" s="800">
        <v>350000</v>
      </c>
      <c r="K488" s="800">
        <f t="shared" si="230"/>
        <v>1943.2799999999697</v>
      </c>
      <c r="L488" s="792">
        <f t="shared" si="231"/>
        <v>5.5044828445061766E-3</v>
      </c>
      <c r="M488" s="817">
        <f t="shared" si="208"/>
        <v>4979.1699999999837</v>
      </c>
      <c r="N488" s="802">
        <f t="shared" si="217"/>
        <v>1.4226199999999953E-2</v>
      </c>
      <c r="O488" s="786">
        <f t="shared" si="218"/>
        <v>6.7394546692606779E-3</v>
      </c>
      <c r="P488" s="817" t="b">
        <f t="shared" si="209"/>
        <v>1</v>
      </c>
      <c r="Q488" s="802">
        <f>COUNTIF(P$2:P488, TRUE)/(COUNTIF(P$2:P488,FALSE) + COUNTIF(P$2:P488, TRUE))</f>
        <v>0.48459958932238195</v>
      </c>
      <c r="R488" s="800">
        <v>256460.34</v>
      </c>
      <c r="S488" s="800">
        <f t="shared" si="222"/>
        <v>98518.829999999987</v>
      </c>
      <c r="T488" s="800">
        <v>-44286</v>
      </c>
      <c r="U488" s="800">
        <f t="shared" si="223"/>
        <v>49265.169999999984</v>
      </c>
      <c r="V488" s="802">
        <f>STDEV(D$2:D488)*SQRT(252)</f>
        <v>0.1422784431195839</v>
      </c>
      <c r="W488" s="802">
        <f>STDEV(L$2:L488)*SQRT(252)</f>
        <v>0.30608885692923749</v>
      </c>
      <c r="X488" s="801">
        <f t="shared" si="224"/>
        <v>0.62461158910859371</v>
      </c>
      <c r="Y488" s="801">
        <f t="shared" si="225"/>
        <v>2.2017968039975806E-2</v>
      </c>
      <c r="Z488" s="807">
        <f t="shared" si="226"/>
        <v>-0.17336536028233868</v>
      </c>
    </row>
    <row r="489" spans="1:26" ht="20.100000000000001" customHeight="1" x14ac:dyDescent="0.2">
      <c r="A489" s="776">
        <f t="shared" si="216"/>
        <v>772</v>
      </c>
      <c r="B489" s="795">
        <v>43005</v>
      </c>
      <c r="C489" s="820">
        <v>2507.2399999999998</v>
      </c>
      <c r="D489" s="792">
        <f t="shared" si="227"/>
        <v>4.1652648948269158E-3</v>
      </c>
      <c r="E489" s="819">
        <f t="shared" si="205"/>
        <v>0.19253819371777539</v>
      </c>
      <c r="F489" s="816">
        <v>6453.26</v>
      </c>
      <c r="G489" s="792">
        <f t="shared" si="228"/>
        <v>1.1457392918045999E-2</v>
      </c>
      <c r="H489" s="797">
        <f t="shared" si="229"/>
        <v>0.26740774201150902</v>
      </c>
      <c r="I489" s="799">
        <v>358361.96</v>
      </c>
      <c r="J489" s="800">
        <v>350000</v>
      </c>
      <c r="K489" s="800">
        <f t="shared" si="230"/>
        <v>3382.7900000000373</v>
      </c>
      <c r="L489" s="792">
        <f t="shared" si="231"/>
        <v>9.5295450716165603E-3</v>
      </c>
      <c r="M489" s="817">
        <f t="shared" si="208"/>
        <v>8361.960000000021</v>
      </c>
      <c r="N489" s="802">
        <f t="shared" si="217"/>
        <v>2.3891314285714345E-2</v>
      </c>
      <c r="O489" s="786">
        <f t="shared" si="218"/>
        <v>1.1303500703182855E-2</v>
      </c>
      <c r="P489" s="817" t="b">
        <f t="shared" si="209"/>
        <v>1</v>
      </c>
      <c r="Q489" s="802">
        <f>COUNTIF(P$2:P489, TRUE)/(COUNTIF(P$2:P489,FALSE) + COUNTIF(P$2:P489, TRUE))</f>
        <v>0.48565573770491804</v>
      </c>
      <c r="R489" s="800">
        <v>243509.71</v>
      </c>
      <c r="S489" s="800">
        <f t="shared" si="222"/>
        <v>114852.25000000003</v>
      </c>
      <c r="T489" s="800">
        <v>-44153</v>
      </c>
      <c r="U489" s="800">
        <f t="shared" si="223"/>
        <v>52514.960000000021</v>
      </c>
      <c r="V489" s="802">
        <f>STDEV(D$2:D489)*SQRT(252)</f>
        <v>0.14215788029055842</v>
      </c>
      <c r="W489" s="802">
        <f>STDEV(L$2:L489)*SQRT(252)</f>
        <v>0.30584441738354512</v>
      </c>
      <c r="X489" s="801">
        <f t="shared" si="224"/>
        <v>0.64079465177745243</v>
      </c>
      <c r="Y489" s="801">
        <f t="shared" si="225"/>
        <v>3.6958335875091897E-2</v>
      </c>
      <c r="Z489" s="807">
        <f t="shared" si="226"/>
        <v>-0.16864687943206105</v>
      </c>
    </row>
    <row r="490" spans="1:26" ht="20.100000000000001" customHeight="1" x14ac:dyDescent="0.2">
      <c r="A490" s="776">
        <f t="shared" si="216"/>
        <v>773</v>
      </c>
      <c r="B490" s="795">
        <v>43006</v>
      </c>
      <c r="C490" s="820">
        <v>2510.06</v>
      </c>
      <c r="D490" s="792">
        <f t="shared" si="227"/>
        <v>1.1247427450105151E-3</v>
      </c>
      <c r="E490" s="819">
        <f t="shared" ref="E490:E553" si="232">(C490-$C$2)/$C$2</f>
        <v>0.19387949239930741</v>
      </c>
      <c r="F490" s="816">
        <v>6453.45</v>
      </c>
      <c r="G490" s="792">
        <f t="shared" si="228"/>
        <v>2.9442483333942816E-5</v>
      </c>
      <c r="H490" s="797">
        <f t="shared" ref="H490:H525" si="233">(F490-F$2)/F$2</f>
        <v>0.2674450576428305</v>
      </c>
      <c r="I490" s="799">
        <v>356533.28</v>
      </c>
      <c r="J490" s="800">
        <v>350000</v>
      </c>
      <c r="K490" s="800">
        <f t="shared" ref="K490:K525" si="234">I490-I489-J490+J489</f>
        <v>-1828.679999999993</v>
      </c>
      <c r="L490" s="792">
        <f t="shared" ref="L490:L524" si="235">K490/I489</f>
        <v>-5.1028853620512429E-3</v>
      </c>
      <c r="M490" s="817">
        <f t="shared" ref="M490:M553" si="236">I490-J490</f>
        <v>6533.2800000000279</v>
      </c>
      <c r="N490" s="802">
        <f t="shared" si="217"/>
        <v>1.8666514285714364E-2</v>
      </c>
      <c r="O490" s="786">
        <f t="shared" si="218"/>
        <v>8.8201091110700798E-3</v>
      </c>
      <c r="P490" s="817" t="b">
        <f t="shared" ref="P490:P553" si="237">L490&gt;D490</f>
        <v>0</v>
      </c>
      <c r="Q490" s="802">
        <f>COUNTIF(P$2:P490, TRUE)/(COUNTIF(P$2:P490,FALSE) + COUNTIF(P$2:P490, TRUE))</f>
        <v>0.48466257668711654</v>
      </c>
      <c r="R490" s="800">
        <v>245698.28</v>
      </c>
      <c r="S490" s="800">
        <f t="shared" ref="S490:S521" si="238">I490-R490</f>
        <v>110835.00000000003</v>
      </c>
      <c r="T490" s="800">
        <v>-44103</v>
      </c>
      <c r="U490" s="800">
        <f t="shared" si="223"/>
        <v>50636.280000000028</v>
      </c>
      <c r="V490" s="802">
        <f>STDEV(D$2:D490)*SQRT(252)</f>
        <v>0.14201280348305981</v>
      </c>
      <c r="W490" s="802">
        <f>STDEV(L$2:L490)*SQRT(252)</f>
        <v>0.30555594359067673</v>
      </c>
      <c r="X490" s="801">
        <f t="shared" si="224"/>
        <v>0.64508226736911156</v>
      </c>
      <c r="Y490" s="801">
        <f t="shared" si="225"/>
        <v>2.8865774978625563E-2</v>
      </c>
      <c r="Z490" s="807">
        <f t="shared" si="226"/>
        <v>-0.17521297811359304</v>
      </c>
    </row>
    <row r="491" spans="1:26" ht="20.100000000000001" customHeight="1" x14ac:dyDescent="0.2">
      <c r="A491" s="776">
        <f t="shared" si="216"/>
        <v>774</v>
      </c>
      <c r="B491" s="795">
        <v>43007</v>
      </c>
      <c r="C491" s="820">
        <v>2519.36</v>
      </c>
      <c r="D491" s="792">
        <f t="shared" ref="D491:D525" si="239">(C491-C490)/C490</f>
        <v>3.7050907149630613E-3</v>
      </c>
      <c r="E491" s="819">
        <f t="shared" si="232"/>
        <v>0.19830292422138091</v>
      </c>
      <c r="F491" s="816">
        <v>6495.95</v>
      </c>
      <c r="G491" s="792">
        <f t="shared" ref="G491:G525" si="240">(F491-F490)/F490</f>
        <v>6.5856247433543303E-3</v>
      </c>
      <c r="H491" s="797">
        <f t="shared" si="233"/>
        <v>0.27579197517528525</v>
      </c>
      <c r="I491" s="822">
        <v>356859.34</v>
      </c>
      <c r="J491" s="800">
        <v>350000</v>
      </c>
      <c r="K491" s="800">
        <f t="shared" si="234"/>
        <v>326.05999999999767</v>
      </c>
      <c r="L491" s="792">
        <f t="shared" si="235"/>
        <v>9.1452893261464302E-4</v>
      </c>
      <c r="M491" s="822">
        <f t="shared" si="236"/>
        <v>6859.3400000000256</v>
      </c>
      <c r="N491" s="802">
        <f t="shared" si="217"/>
        <v>1.9598114285714358E-2</v>
      </c>
      <c r="O491" s="786">
        <f t="shared" si="218"/>
        <v>9.2483349390919505E-3</v>
      </c>
      <c r="P491" s="817" t="b">
        <f t="shared" si="237"/>
        <v>0</v>
      </c>
      <c r="Q491" s="802">
        <f>COUNTIF(P$2:P491, TRUE)/(COUNTIF(P$2:P491,FALSE) + COUNTIF(P$2:P491, TRUE))</f>
        <v>0.48367346938775513</v>
      </c>
      <c r="R491" s="800">
        <v>237754.52</v>
      </c>
      <c r="S491" s="800">
        <f t="shared" si="238"/>
        <v>119104.82000000004</v>
      </c>
      <c r="T491" s="800">
        <v>-44681</v>
      </c>
      <c r="U491" s="800">
        <f t="shared" si="223"/>
        <v>51540.340000000026</v>
      </c>
      <c r="V491" s="802">
        <f>STDEV(D$2:D491)*SQRT(252)</f>
        <v>0.14188702615366891</v>
      </c>
      <c r="W491" s="802">
        <f>STDEV(L$2:L491)*SQRT(252)</f>
        <v>0.30524293675127467</v>
      </c>
      <c r="X491" s="801">
        <f t="shared" si="224"/>
        <v>0.65953173277113486</v>
      </c>
      <c r="Y491" s="801">
        <f t="shared" si="225"/>
        <v>3.0298276636710187E-2</v>
      </c>
      <c r="Z491" s="807">
        <f t="shared" si="226"/>
        <v>-0.17870480993566654</v>
      </c>
    </row>
    <row r="492" spans="1:26" ht="20.100000000000001" customHeight="1" x14ac:dyDescent="0.2">
      <c r="A492" s="776">
        <f t="shared" si="216"/>
        <v>777</v>
      </c>
      <c r="B492" s="795">
        <v>43010</v>
      </c>
      <c r="C492" s="820">
        <v>2529.12</v>
      </c>
      <c r="D492" s="792">
        <f t="shared" si="239"/>
        <v>3.8739997459671357E-3</v>
      </c>
      <c r="E492" s="819">
        <f t="shared" si="232"/>
        <v>0.2029451494454062</v>
      </c>
      <c r="F492" s="816">
        <v>6516.71</v>
      </c>
      <c r="G492" s="792">
        <f t="shared" si="240"/>
        <v>3.1958374063840115E-3</v>
      </c>
      <c r="H492" s="797">
        <f t="shared" si="233"/>
        <v>0.27986919889231499</v>
      </c>
      <c r="I492" s="799">
        <v>357811.27</v>
      </c>
      <c r="J492" s="800">
        <v>350000</v>
      </c>
      <c r="K492" s="800">
        <f t="shared" si="234"/>
        <v>951.92999999999302</v>
      </c>
      <c r="L492" s="792">
        <f t="shared" si="235"/>
        <v>2.6675216066924098E-3</v>
      </c>
      <c r="M492" s="817">
        <f t="shared" si="236"/>
        <v>7811.2700000000186</v>
      </c>
      <c r="N492" s="802">
        <f t="shared" si="217"/>
        <v>2.2317914285714339E-2</v>
      </c>
      <c r="O492" s="786">
        <f t="shared" si="218"/>
        <v>1.0491143105350272E-2</v>
      </c>
      <c r="P492" s="817" t="b">
        <f t="shared" si="237"/>
        <v>0</v>
      </c>
      <c r="Q492" s="802">
        <f>COUNTIF(P$2:P492, TRUE)/(COUNTIF(P$2:P492,FALSE) + COUNTIF(P$2:P492, TRUE))</f>
        <v>0.48268839103869654</v>
      </c>
      <c r="R492" s="800">
        <v>232965.68</v>
      </c>
      <c r="S492" s="800">
        <f t="shared" si="238"/>
        <v>124845.59000000003</v>
      </c>
      <c r="T492" s="800">
        <v>-44640</v>
      </c>
      <c r="U492" s="800">
        <f t="shared" si="223"/>
        <v>52451.270000000019</v>
      </c>
      <c r="V492" s="802">
        <f>STDEV(D$2:D492)*SQRT(252)</f>
        <v>0.14176364260850624</v>
      </c>
      <c r="W492" s="802">
        <f>STDEV(L$2:L492)*SQRT(252)</f>
        <v>0.30493499881552349</v>
      </c>
      <c r="X492" s="801">
        <f t="shared" si="224"/>
        <v>0.67295034131500397</v>
      </c>
      <c r="Y492" s="801">
        <f t="shared" si="225"/>
        <v>3.4404522754362801E-2</v>
      </c>
      <c r="Z492" s="807">
        <f t="shared" si="226"/>
        <v>-0.18062723515969187</v>
      </c>
    </row>
    <row r="493" spans="1:26" ht="20.100000000000001" customHeight="1" x14ac:dyDescent="0.2">
      <c r="A493" s="776">
        <f t="shared" si="216"/>
        <v>778</v>
      </c>
      <c r="B493" s="795">
        <v>43011</v>
      </c>
      <c r="C493" s="820">
        <v>2534.58</v>
      </c>
      <c r="D493" s="792">
        <f t="shared" si="239"/>
        <v>2.1588536724236242E-3</v>
      </c>
      <c r="E493" s="819">
        <f t="shared" si="232"/>
        <v>0.20554213199901061</v>
      </c>
      <c r="F493" s="816">
        <v>6531.71</v>
      </c>
      <c r="G493" s="792">
        <f t="shared" si="240"/>
        <v>2.3017749754093708E-3</v>
      </c>
      <c r="H493" s="797">
        <f t="shared" si="233"/>
        <v>0.28281516978612259</v>
      </c>
      <c r="I493" s="799">
        <v>360621.39</v>
      </c>
      <c r="J493" s="800">
        <v>350000</v>
      </c>
      <c r="K493" s="800">
        <f t="shared" si="234"/>
        <v>2810.1199999999953</v>
      </c>
      <c r="L493" s="792">
        <f t="shared" si="235"/>
        <v>7.8536374776568534E-3</v>
      </c>
      <c r="M493" s="817">
        <f t="shared" si="236"/>
        <v>10621.390000000014</v>
      </c>
      <c r="N493" s="802">
        <f t="shared" si="217"/>
        <v>3.0346828571428612E-2</v>
      </c>
      <c r="O493" s="786">
        <f t="shared" si="218"/>
        <v>1.4247016883951542E-2</v>
      </c>
      <c r="P493" s="817" t="b">
        <f t="shared" si="237"/>
        <v>1</v>
      </c>
      <c r="Q493" s="802">
        <f>COUNTIF(P$2:P493, TRUE)/(COUNTIF(P$2:P493,FALSE) + COUNTIF(P$2:P493, TRUE))</f>
        <v>0.48373983739837401</v>
      </c>
      <c r="R493" s="800">
        <v>231582.4</v>
      </c>
      <c r="S493" s="800">
        <f t="shared" si="238"/>
        <v>129038.99000000002</v>
      </c>
      <c r="T493" s="800">
        <v>-43206</v>
      </c>
      <c r="U493" s="800">
        <f t="shared" si="223"/>
        <v>53827.390000000014</v>
      </c>
      <c r="V493" s="802">
        <f>STDEV(D$2:D493)*SQRT(252)</f>
        <v>0.14162441046518581</v>
      </c>
      <c r="W493" s="802">
        <f>STDEV(L$2:L493)*SQRT(252)</f>
        <v>0.30467040638109993</v>
      </c>
      <c r="X493" s="801">
        <f t="shared" si="224"/>
        <v>0.68135487804801953</v>
      </c>
      <c r="Y493" s="801">
        <f t="shared" si="225"/>
        <v>4.6762063480922801E-2</v>
      </c>
      <c r="Z493" s="807">
        <f t="shared" si="226"/>
        <v>-0.17519530342758199</v>
      </c>
    </row>
    <row r="494" spans="1:26" ht="20.100000000000001" customHeight="1" x14ac:dyDescent="0.2">
      <c r="A494" s="776">
        <f t="shared" si="216"/>
        <v>779</v>
      </c>
      <c r="B494" s="795">
        <v>43012</v>
      </c>
      <c r="C494" s="820">
        <v>2537.7399999999998</v>
      </c>
      <c r="D494" s="792">
        <f t="shared" si="239"/>
        <v>1.2467548864111035E-3</v>
      </c>
      <c r="E494" s="819">
        <f t="shared" si="232"/>
        <v>0.20704514754285483</v>
      </c>
      <c r="F494" s="816">
        <v>6534.62</v>
      </c>
      <c r="G494" s="792">
        <f t="shared" si="240"/>
        <v>4.4551886106392573E-4</v>
      </c>
      <c r="H494" s="797">
        <f t="shared" si="233"/>
        <v>0.28338668813952123</v>
      </c>
      <c r="I494" s="799">
        <v>360384.52</v>
      </c>
      <c r="J494" s="800">
        <v>350000</v>
      </c>
      <c r="K494" s="800">
        <f t="shared" si="234"/>
        <v>-236.86999999999534</v>
      </c>
      <c r="L494" s="792">
        <f t="shared" si="235"/>
        <v>-6.5683846429629518E-4</v>
      </c>
      <c r="M494" s="817">
        <f t="shared" si="236"/>
        <v>10384.520000000019</v>
      </c>
      <c r="N494" s="802">
        <f t="shared" si="217"/>
        <v>2.9670057142857195E-2</v>
      </c>
      <c r="O494" s="786">
        <f t="shared" si="218"/>
        <v>1.3911409976159935E-2</v>
      </c>
      <c r="P494" s="817" t="b">
        <f t="shared" si="237"/>
        <v>0</v>
      </c>
      <c r="Q494" s="802">
        <f>COUNTIF(P$2:P494, TRUE)/(COUNTIF(P$2:P494,FALSE) + COUNTIF(P$2:P494, TRUE))</f>
        <v>0.48275862068965519</v>
      </c>
      <c r="R494" s="800">
        <v>228739.13</v>
      </c>
      <c r="S494" s="800">
        <f t="shared" si="238"/>
        <v>131645.39000000001</v>
      </c>
      <c r="T494" s="800">
        <v>-43349</v>
      </c>
      <c r="U494" s="800">
        <f t="shared" si="223"/>
        <v>53733.520000000019</v>
      </c>
      <c r="V494" s="802">
        <f>STDEV(D$2:D494)*SQRT(252)</f>
        <v>0.14148135258004679</v>
      </c>
      <c r="W494" s="802">
        <f>STDEV(L$2:L494)*SQRT(252)</f>
        <v>0.30436097081382762</v>
      </c>
      <c r="X494" s="801">
        <f t="shared" si="224"/>
        <v>0.68614929331390384</v>
      </c>
      <c r="Y494" s="801">
        <f t="shared" si="225"/>
        <v>4.5706944418538162E-2</v>
      </c>
      <c r="Z494" s="807">
        <f t="shared" si="226"/>
        <v>-0.17737509039999763</v>
      </c>
    </row>
    <row r="495" spans="1:26" ht="20.100000000000001" customHeight="1" x14ac:dyDescent="0.2">
      <c r="A495" s="776">
        <f t="shared" si="216"/>
        <v>780</v>
      </c>
      <c r="B495" s="795">
        <v>43013</v>
      </c>
      <c r="C495" s="820">
        <v>2552.0700000000002</v>
      </c>
      <c r="D495" s="792">
        <f t="shared" si="239"/>
        <v>5.6467565629262188E-3</v>
      </c>
      <c r="E495" s="819">
        <f t="shared" si="232"/>
        <v>0.2138610376514907</v>
      </c>
      <c r="F495" s="816">
        <v>6585.35</v>
      </c>
      <c r="G495" s="792">
        <f t="shared" si="240"/>
        <v>7.7632670300645601E-3</v>
      </c>
      <c r="H495" s="797">
        <f t="shared" si="233"/>
        <v>0.29334996170237848</v>
      </c>
      <c r="I495" s="799">
        <v>360856.84</v>
      </c>
      <c r="J495" s="800">
        <v>350000</v>
      </c>
      <c r="K495" s="800">
        <f t="shared" si="234"/>
        <v>472.32000000000698</v>
      </c>
      <c r="L495" s="792">
        <f t="shared" si="235"/>
        <v>1.3106001334352733E-3</v>
      </c>
      <c r="M495" s="817">
        <f t="shared" si="236"/>
        <v>10856.840000000026</v>
      </c>
      <c r="N495" s="802">
        <f t="shared" si="217"/>
        <v>3.101954285714293E-2</v>
      </c>
      <c r="O495" s="786">
        <f t="shared" si="218"/>
        <v>1.4525497472527507E-2</v>
      </c>
      <c r="P495" s="817" t="b">
        <f t="shared" si="237"/>
        <v>0</v>
      </c>
      <c r="Q495" s="802">
        <f>COUNTIF(P$2:P495, TRUE)/(COUNTIF(P$2:P495,FALSE) + COUNTIF(P$2:P495, TRUE))</f>
        <v>0.48178137651821862</v>
      </c>
      <c r="R495" s="800">
        <v>230791.45</v>
      </c>
      <c r="S495" s="800">
        <f t="shared" si="238"/>
        <v>130065.39000000001</v>
      </c>
      <c r="T495" s="800">
        <v>-43035</v>
      </c>
      <c r="U495" s="800">
        <f t="shared" si="223"/>
        <v>53891.840000000026</v>
      </c>
      <c r="V495" s="802">
        <f>STDEV(D$2:D495)*SQRT(252)</f>
        <v>0.14138684968311818</v>
      </c>
      <c r="W495" s="802">
        <f>STDEV(L$2:L495)*SQRT(252)</f>
        <v>0.30405217201951462</v>
      </c>
      <c r="X495" s="801">
        <f t="shared" si="224"/>
        <v>0.70830168305624586</v>
      </c>
      <c r="Y495" s="801">
        <f t="shared" si="225"/>
        <v>4.7773042948679324E-2</v>
      </c>
      <c r="Z495" s="807">
        <f t="shared" si="226"/>
        <v>-0.18284149479434778</v>
      </c>
    </row>
    <row r="496" spans="1:26" ht="20.100000000000001" customHeight="1" x14ac:dyDescent="0.2">
      <c r="A496" s="776">
        <f t="shared" si="216"/>
        <v>781</v>
      </c>
      <c r="B496" s="795">
        <v>43014</v>
      </c>
      <c r="C496" s="820">
        <v>2549.33</v>
      </c>
      <c r="D496" s="792">
        <f t="shared" si="239"/>
        <v>-1.0736382622734627E-3</v>
      </c>
      <c r="E496" s="819">
        <f t="shared" si="232"/>
        <v>0.21255778999638508</v>
      </c>
      <c r="F496" s="816">
        <v>6590.18</v>
      </c>
      <c r="G496" s="792">
        <f t="shared" si="240"/>
        <v>7.334462101482726E-4</v>
      </c>
      <c r="H496" s="797">
        <f t="shared" si="233"/>
        <v>0.29429856433018453</v>
      </c>
      <c r="I496" s="799">
        <v>357118.36</v>
      </c>
      <c r="J496" s="800">
        <v>350000</v>
      </c>
      <c r="K496" s="800">
        <f t="shared" si="234"/>
        <v>-3738.4800000000396</v>
      </c>
      <c r="L496" s="792">
        <f t="shared" si="235"/>
        <v>-1.036000869486093E-2</v>
      </c>
      <c r="M496" s="817">
        <f t="shared" si="236"/>
        <v>7118.359999999986</v>
      </c>
      <c r="N496" s="802">
        <f t="shared" si="217"/>
        <v>2.0338171428571389E-2</v>
      </c>
      <c r="O496" s="786">
        <f t="shared" si="218"/>
        <v>9.5115456008779756E-3</v>
      </c>
      <c r="P496" s="817" t="b">
        <f t="shared" si="237"/>
        <v>0</v>
      </c>
      <c r="Q496" s="802">
        <f>COUNTIF(P$2:P496, TRUE)/(COUNTIF(P$2:P496,FALSE) + COUNTIF(P$2:P496, TRUE))</f>
        <v>0.4808080808080808</v>
      </c>
      <c r="R496" s="800">
        <v>240460.37</v>
      </c>
      <c r="S496" s="800">
        <f t="shared" si="238"/>
        <v>116657.98999999999</v>
      </c>
      <c r="T496" s="800">
        <v>-43165</v>
      </c>
      <c r="U496" s="800">
        <f t="shared" si="223"/>
        <v>50283.359999999986</v>
      </c>
      <c r="V496" s="802">
        <f>STDEV(D$2:D496)*SQRT(252)</f>
        <v>0.14124747997458517</v>
      </c>
      <c r="W496" s="802">
        <f>STDEV(L$2:L496)*SQRT(252)</f>
        <v>0.30384122519704199</v>
      </c>
      <c r="X496" s="801">
        <f t="shared" si="224"/>
        <v>0.70377771116347598</v>
      </c>
      <c r="Y496" s="801">
        <f t="shared" si="225"/>
        <v>3.1304328748377408E-2</v>
      </c>
      <c r="Z496" s="807">
        <f t="shared" si="226"/>
        <v>-0.19221961856781369</v>
      </c>
    </row>
    <row r="497" spans="1:26" ht="20.100000000000001" customHeight="1" x14ac:dyDescent="0.2">
      <c r="A497" s="776">
        <f t="shared" si="216"/>
        <v>784</v>
      </c>
      <c r="B497" s="795">
        <v>43017</v>
      </c>
      <c r="C497" s="820">
        <v>2544.73</v>
      </c>
      <c r="D497" s="792">
        <f t="shared" si="239"/>
        <v>-1.8043956647432499E-3</v>
      </c>
      <c r="E497" s="819">
        <f t="shared" si="232"/>
        <v>0.21036985597686494</v>
      </c>
      <c r="F497" s="816">
        <v>6579.73</v>
      </c>
      <c r="G497" s="792">
        <f t="shared" si="240"/>
        <v>-1.5856926517941433E-3</v>
      </c>
      <c r="H497" s="797">
        <f t="shared" si="233"/>
        <v>0.29224620460749845</v>
      </c>
      <c r="I497" s="799">
        <v>354927.69</v>
      </c>
      <c r="J497" s="800">
        <v>350000</v>
      </c>
      <c r="K497" s="800">
        <f t="shared" si="234"/>
        <v>-2190.6699999999837</v>
      </c>
      <c r="L497" s="792">
        <f t="shared" si="235"/>
        <v>-6.1342967636835695E-3</v>
      </c>
      <c r="M497" s="817">
        <f t="shared" si="236"/>
        <v>4927.6900000000023</v>
      </c>
      <c r="N497" s="802">
        <f t="shared" si="217"/>
        <v>1.4079114285714293E-2</v>
      </c>
      <c r="O497" s="786">
        <f t="shared" si="218"/>
        <v>6.5591792000728897E-3</v>
      </c>
      <c r="P497" s="817" t="b">
        <f t="shared" si="237"/>
        <v>0</v>
      </c>
      <c r="Q497" s="802">
        <f>COUNTIF(P$2:P497, TRUE)/(COUNTIF(P$2:P497,FALSE) + COUNTIF(P$2:P497, TRUE))</f>
        <v>0.47983870967741937</v>
      </c>
      <c r="R497" s="800">
        <v>251444.7</v>
      </c>
      <c r="S497" s="800">
        <f t="shared" si="238"/>
        <v>103482.98999999999</v>
      </c>
      <c r="T497" s="800">
        <v>-43757</v>
      </c>
      <c r="U497" s="800">
        <f t="shared" si="223"/>
        <v>48684.69</v>
      </c>
      <c r="V497" s="802">
        <f>STDEV(D$2:D497)*SQRT(252)</f>
        <v>0.14111344767392758</v>
      </c>
      <c r="W497" s="802">
        <f>STDEV(L$2:L497)*SQRT(252)</f>
        <v>0.30356932879528697</v>
      </c>
      <c r="X497" s="801">
        <f t="shared" si="224"/>
        <v>0.69452721611110979</v>
      </c>
      <c r="Y497" s="801">
        <f t="shared" si="225"/>
        <v>2.1606857405861626E-2</v>
      </c>
      <c r="Z497" s="807">
        <f t="shared" si="226"/>
        <v>-0.19629074169115066</v>
      </c>
    </row>
    <row r="498" spans="1:26" ht="20.100000000000001" customHeight="1" x14ac:dyDescent="0.2">
      <c r="A498" s="776">
        <f t="shared" si="216"/>
        <v>785</v>
      </c>
      <c r="B498" s="795">
        <v>43018</v>
      </c>
      <c r="C498" s="820">
        <v>2550.64</v>
      </c>
      <c r="D498" s="792">
        <f t="shared" si="239"/>
        <v>2.3224467821732972E-3</v>
      </c>
      <c r="E498" s="819">
        <f t="shared" si="232"/>
        <v>0.21318087555411799</v>
      </c>
      <c r="F498" s="816">
        <v>6587.25</v>
      </c>
      <c r="G498" s="792">
        <f t="shared" si="240"/>
        <v>1.142904040135452E-3</v>
      </c>
      <c r="H498" s="797">
        <f t="shared" si="233"/>
        <v>0.29372311801559403</v>
      </c>
      <c r="I498" s="799">
        <v>356097.03</v>
      </c>
      <c r="J498" s="800">
        <v>350000</v>
      </c>
      <c r="K498" s="800">
        <f t="shared" si="234"/>
        <v>1169.3400000000256</v>
      </c>
      <c r="L498" s="792">
        <f t="shared" si="235"/>
        <v>3.2945865677598317E-3</v>
      </c>
      <c r="M498" s="817">
        <f t="shared" si="236"/>
        <v>6097.0300000000279</v>
      </c>
      <c r="N498" s="802">
        <f t="shared" si="217"/>
        <v>1.7420085714285796E-2</v>
      </c>
      <c r="O498" s="786">
        <f t="shared" si="218"/>
        <v>8.1053328753412576E-3</v>
      </c>
      <c r="P498" s="817" t="b">
        <f t="shared" si="237"/>
        <v>1</v>
      </c>
      <c r="Q498" s="802">
        <f>COUNTIF(P$2:P498, TRUE)/(COUNTIF(P$2:P498,FALSE) + COUNTIF(P$2:P498, TRUE))</f>
        <v>0.48088531187122735</v>
      </c>
      <c r="R498" s="800">
        <v>248460.64</v>
      </c>
      <c r="S498" s="800">
        <f t="shared" si="238"/>
        <v>107636.39000000001</v>
      </c>
      <c r="T498" s="800">
        <v>-43317</v>
      </c>
      <c r="U498" s="800">
        <f t="shared" si="223"/>
        <v>49414.030000000028</v>
      </c>
      <c r="V498" s="802">
        <f>STDEV(D$2:D498)*SQRT(252)</f>
        <v>0.14097732351097575</v>
      </c>
      <c r="W498" s="802">
        <f>STDEV(L$2:L498)*SQRT(252)</f>
        <v>0.30326962638945343</v>
      </c>
      <c r="X498" s="801">
        <f t="shared" si="224"/>
        <v>0.70358982183165186</v>
      </c>
      <c r="Y498" s="801">
        <f t="shared" si="225"/>
        <v>2.6726490785900642E-2</v>
      </c>
      <c r="Z498" s="807">
        <f t="shared" si="226"/>
        <v>-0.19576078983983219</v>
      </c>
    </row>
    <row r="499" spans="1:26" ht="20.100000000000001" customHeight="1" x14ac:dyDescent="0.2">
      <c r="A499" s="776">
        <f t="shared" si="216"/>
        <v>786</v>
      </c>
      <c r="B499" s="795">
        <v>43019</v>
      </c>
      <c r="C499" s="820">
        <v>2555.2399999999998</v>
      </c>
      <c r="D499" s="792">
        <f t="shared" si="239"/>
        <v>1.8034689332872963E-3</v>
      </c>
      <c r="E499" s="819">
        <f t="shared" si="232"/>
        <v>0.2153688095736381</v>
      </c>
      <c r="F499" s="816">
        <v>6603.54</v>
      </c>
      <c r="G499" s="792">
        <f t="shared" si="240"/>
        <v>2.4729591255835083E-3</v>
      </c>
      <c r="H499" s="797">
        <f t="shared" si="233"/>
        <v>0.29692244240626908</v>
      </c>
      <c r="I499" s="799">
        <v>356596.97</v>
      </c>
      <c r="J499" s="800">
        <v>350000</v>
      </c>
      <c r="K499" s="800">
        <f t="shared" si="234"/>
        <v>499.93999999994412</v>
      </c>
      <c r="L499" s="792">
        <f t="shared" si="235"/>
        <v>1.4039431893041738E-3</v>
      </c>
      <c r="M499" s="817">
        <f t="shared" si="236"/>
        <v>6596.9699999999721</v>
      </c>
      <c r="N499" s="802">
        <f t="shared" si="217"/>
        <v>1.8848485714285636E-2</v>
      </c>
      <c r="O499" s="786">
        <f t="shared" si="218"/>
        <v>8.7587905943292983E-3</v>
      </c>
      <c r="P499" s="817" t="b">
        <f t="shared" si="237"/>
        <v>0</v>
      </c>
      <c r="Q499" s="802">
        <f>COUNTIF(P$2:P499, TRUE)/(COUNTIF(P$2:P499,FALSE) + COUNTIF(P$2:P499, TRUE))</f>
        <v>0.47991967871485941</v>
      </c>
      <c r="R499" s="800">
        <v>252179.58</v>
      </c>
      <c r="S499" s="800">
        <f t="shared" si="238"/>
        <v>104417.38999999998</v>
      </c>
      <c r="T499" s="800">
        <v>-42865</v>
      </c>
      <c r="U499" s="800">
        <f t="shared" si="223"/>
        <v>49461.969999999972</v>
      </c>
      <c r="V499" s="802">
        <f>STDEV(D$2:D499)*SQRT(252)</f>
        <v>0.14083853845440183</v>
      </c>
      <c r="W499" s="802">
        <f>STDEV(L$2:L499)*SQRT(252)</f>
        <v>0.30296461457562501</v>
      </c>
      <c r="X499" s="801">
        <f t="shared" si="224"/>
        <v>0.71060617414438698</v>
      </c>
      <c r="Y499" s="801">
        <f t="shared" si="225"/>
        <v>2.8910275896734991E-2</v>
      </c>
      <c r="Z499" s="807">
        <f t="shared" si="226"/>
        <v>-0.19652032385935247</v>
      </c>
    </row>
    <row r="500" spans="1:26" ht="20.100000000000001" customHeight="1" x14ac:dyDescent="0.2">
      <c r="A500" s="776">
        <f t="shared" si="216"/>
        <v>787</v>
      </c>
      <c r="B500" s="795">
        <v>43020</v>
      </c>
      <c r="C500" s="820">
        <v>2550.9299999999998</v>
      </c>
      <c r="D500" s="792">
        <f t="shared" si="239"/>
        <v>-1.6867300136190518E-3</v>
      </c>
      <c r="E500" s="819">
        <f t="shared" si="232"/>
        <v>0.2133188105249138</v>
      </c>
      <c r="F500" s="816">
        <v>6591.51</v>
      </c>
      <c r="G500" s="792">
        <f t="shared" si="240"/>
        <v>-1.821750152191059E-3</v>
      </c>
      <c r="H500" s="797">
        <f t="shared" si="233"/>
        <v>0.29455977374943543</v>
      </c>
      <c r="I500" s="799">
        <v>355844.19</v>
      </c>
      <c r="J500" s="800">
        <v>350000</v>
      </c>
      <c r="K500" s="800">
        <f t="shared" si="234"/>
        <v>-752.77999999996973</v>
      </c>
      <c r="L500" s="792">
        <f t="shared" si="235"/>
        <v>-2.1110106459961502E-3</v>
      </c>
      <c r="M500" s="817">
        <f t="shared" si="236"/>
        <v>5844.1900000000023</v>
      </c>
      <c r="N500" s="802">
        <f t="shared" si="217"/>
        <v>1.6697685714285721E-2</v>
      </c>
      <c r="O500" s="786">
        <f t="shared" si="218"/>
        <v>7.7494659557088433E-3</v>
      </c>
      <c r="P500" s="817" t="b">
        <f t="shared" si="237"/>
        <v>0</v>
      </c>
      <c r="Q500" s="802">
        <f>COUNTIF(P$2:P500, TRUE)/(COUNTIF(P$2:P500,FALSE) + COUNTIF(P$2:P500, TRUE))</f>
        <v>0.47895791583166331</v>
      </c>
      <c r="R500" s="800">
        <v>257692.79999999999</v>
      </c>
      <c r="S500" s="800">
        <f t="shared" si="238"/>
        <v>98151.390000000014</v>
      </c>
      <c r="T500" s="800">
        <v>-42451</v>
      </c>
      <c r="U500" s="800">
        <f t="shared" si="223"/>
        <v>48295.19</v>
      </c>
      <c r="V500" s="802">
        <f>STDEV(D$2:D500)*SQRT(252)</f>
        <v>0.14070484863788504</v>
      </c>
      <c r="W500" s="802">
        <f>STDEV(L$2:L500)*SQRT(252)</f>
        <v>0.30266491141400748</v>
      </c>
      <c r="X500" s="801">
        <f t="shared" si="224"/>
        <v>0.70361579859070544</v>
      </c>
      <c r="Y500" s="801">
        <f t="shared" si="225"/>
        <v>2.5604110894468866E-2</v>
      </c>
      <c r="Z500" s="807">
        <f t="shared" si="226"/>
        <v>-0.19662112481062807</v>
      </c>
    </row>
    <row r="501" spans="1:26" ht="20.100000000000001" customHeight="1" x14ac:dyDescent="0.2">
      <c r="A501" s="776">
        <f t="shared" si="216"/>
        <v>788</v>
      </c>
      <c r="B501" s="795">
        <v>43021</v>
      </c>
      <c r="C501" s="820">
        <v>2553.17</v>
      </c>
      <c r="D501" s="792">
        <f t="shared" si="239"/>
        <v>8.7811112025819467E-4</v>
      </c>
      <c r="E501" s="819">
        <f t="shared" si="232"/>
        <v>0.21438423926485417</v>
      </c>
      <c r="F501" s="816">
        <v>6605.8</v>
      </c>
      <c r="G501" s="792">
        <f t="shared" si="240"/>
        <v>2.1679402746866746E-3</v>
      </c>
      <c r="H501" s="797">
        <f t="shared" si="233"/>
        <v>0.29736630202093611</v>
      </c>
      <c r="I501" s="799">
        <v>357661.23</v>
      </c>
      <c r="J501" s="800">
        <v>350000</v>
      </c>
      <c r="K501" s="800">
        <f t="shared" si="234"/>
        <v>1817.039999999979</v>
      </c>
      <c r="L501" s="792">
        <f t="shared" si="235"/>
        <v>5.1062798018424276E-3</v>
      </c>
      <c r="M501" s="817">
        <f t="shared" si="236"/>
        <v>7661.2299999999814</v>
      </c>
      <c r="N501" s="802">
        <f t="shared" si="217"/>
        <v>2.1889228571428519E-2</v>
      </c>
      <c r="O501" s="786">
        <f t="shared" si="218"/>
        <v>1.0145990781363284E-2</v>
      </c>
      <c r="P501" s="817" t="b">
        <f t="shared" si="237"/>
        <v>1</v>
      </c>
      <c r="Q501" s="802">
        <f>COUNTIF(P$2:P501, TRUE)/(COUNTIF(P$2:P501,FALSE) + COUNTIF(P$2:P501, TRUE))</f>
        <v>0.48</v>
      </c>
      <c r="R501" s="800">
        <v>265762.32</v>
      </c>
      <c r="S501" s="800">
        <f t="shared" si="238"/>
        <v>91898.909999999974</v>
      </c>
      <c r="T501" s="800">
        <v>-41907</v>
      </c>
      <c r="U501" s="800">
        <f t="shared" si="223"/>
        <v>49568.229999999981</v>
      </c>
      <c r="V501" s="802">
        <f>STDEV(D$2:D501)*SQRT(252)</f>
        <v>0.14056387251664079</v>
      </c>
      <c r="W501" s="802">
        <f>STDEV(L$2:L501)*SQRT(252)</f>
        <v>0.30237946520340636</v>
      </c>
      <c r="X501" s="801">
        <f t="shared" si="224"/>
        <v>0.70694096466433043</v>
      </c>
      <c r="Y501" s="801">
        <f t="shared" si="225"/>
        <v>3.3553835325881735E-2</v>
      </c>
      <c r="Z501" s="807">
        <f t="shared" si="226"/>
        <v>-0.19249501069342564</v>
      </c>
    </row>
    <row r="502" spans="1:26" ht="20.100000000000001" customHeight="1" x14ac:dyDescent="0.2">
      <c r="A502" s="776">
        <f t="shared" si="216"/>
        <v>791</v>
      </c>
      <c r="B502" s="795">
        <v>43024</v>
      </c>
      <c r="C502" s="820">
        <v>2557.64</v>
      </c>
      <c r="D502" s="792">
        <f t="shared" si="239"/>
        <v>1.7507647356031129E-3</v>
      </c>
      <c r="E502" s="819">
        <f t="shared" si="232"/>
        <v>0.2165103403664313</v>
      </c>
      <c r="F502" s="816">
        <v>6624</v>
      </c>
      <c r="G502" s="792">
        <f t="shared" si="240"/>
        <v>2.7551545611432101E-3</v>
      </c>
      <c r="H502" s="797">
        <f t="shared" si="233"/>
        <v>0.30094074670542259</v>
      </c>
      <c r="I502" s="799">
        <v>356269.41</v>
      </c>
      <c r="J502" s="800">
        <v>350000</v>
      </c>
      <c r="K502" s="800">
        <f t="shared" si="234"/>
        <v>-1391.820000000007</v>
      </c>
      <c r="L502" s="792">
        <f t="shared" si="235"/>
        <v>-3.8914477814662972E-3</v>
      </c>
      <c r="M502" s="817">
        <f t="shared" si="236"/>
        <v>6269.4099999999744</v>
      </c>
      <c r="N502" s="802">
        <f t="shared" si="217"/>
        <v>1.7912599999999928E-2</v>
      </c>
      <c r="O502" s="786">
        <f t="shared" si="218"/>
        <v>8.271273261694025E-3</v>
      </c>
      <c r="P502" s="817" t="b">
        <f t="shared" si="237"/>
        <v>0</v>
      </c>
      <c r="Q502" s="802">
        <f>COUNTIF(P$2:P502, TRUE)/(COUNTIF(P$2:P502,FALSE) + COUNTIF(P$2:P502, TRUE))</f>
        <v>0.47904191616766467</v>
      </c>
      <c r="R502" s="800">
        <v>264370.51</v>
      </c>
      <c r="S502" s="800">
        <f t="shared" si="238"/>
        <v>91898.899999999965</v>
      </c>
      <c r="T502" s="800">
        <v>-43678</v>
      </c>
      <c r="U502" s="800">
        <f t="shared" si="223"/>
        <v>49947.409999999974</v>
      </c>
      <c r="V502" s="802">
        <f>STDEV(D$2:D502)*SQRT(252)</f>
        <v>0.14042609448007151</v>
      </c>
      <c r="W502" s="802">
        <f>STDEV(L$2:L502)*SQRT(252)</f>
        <v>0.30209167628759925</v>
      </c>
      <c r="X502" s="801">
        <f t="shared" si="224"/>
        <v>0.71194192153897151</v>
      </c>
      <c r="Y502" s="801">
        <f t="shared" si="225"/>
        <v>2.7380010476751947E-2</v>
      </c>
      <c r="Z502" s="807">
        <f t="shared" si="226"/>
        <v>-0.19859774036643138</v>
      </c>
    </row>
    <row r="503" spans="1:26" ht="20.100000000000001" customHeight="1" x14ac:dyDescent="0.2">
      <c r="A503" s="776">
        <f t="shared" si="216"/>
        <v>792</v>
      </c>
      <c r="B503" s="795">
        <v>43025</v>
      </c>
      <c r="C503" s="820">
        <v>2559.36</v>
      </c>
      <c r="D503" s="792">
        <f t="shared" si="239"/>
        <v>6.7249495628792747E-4</v>
      </c>
      <c r="E503" s="819">
        <f t="shared" si="232"/>
        <v>0.21732843743459981</v>
      </c>
      <c r="F503" s="816">
        <v>6623.65</v>
      </c>
      <c r="G503" s="792">
        <f t="shared" si="240"/>
        <v>-5.2838164251262654E-5</v>
      </c>
      <c r="H503" s="797">
        <f t="shared" si="233"/>
        <v>0.30087200738456704</v>
      </c>
      <c r="I503" s="799">
        <v>356984.93</v>
      </c>
      <c r="J503" s="800">
        <v>350000</v>
      </c>
      <c r="K503" s="800">
        <f t="shared" si="234"/>
        <v>715.52000000001863</v>
      </c>
      <c r="L503" s="792">
        <f t="shared" si="235"/>
        <v>2.008367768650187E-3</v>
      </c>
      <c r="M503" s="817">
        <f t="shared" si="236"/>
        <v>6984.929999999993</v>
      </c>
      <c r="N503" s="802">
        <f t="shared" si="217"/>
        <v>1.9956942857142838E-2</v>
      </c>
      <c r="O503" s="786">
        <f t="shared" si="218"/>
        <v>9.2036280032467433E-3</v>
      </c>
      <c r="P503" s="817" t="b">
        <f t="shared" si="237"/>
        <v>1</v>
      </c>
      <c r="Q503" s="802">
        <f>COUNTIF(P$2:P503, TRUE)/(COUNTIF(P$2:P503,FALSE) + COUNTIF(P$2:P503, TRUE))</f>
        <v>0.48007968127490042</v>
      </c>
      <c r="R503" s="800">
        <v>265086.02</v>
      </c>
      <c r="S503" s="800">
        <f t="shared" si="238"/>
        <v>91898.909999999974</v>
      </c>
      <c r="T503" s="800">
        <v>-43661</v>
      </c>
      <c r="U503" s="800">
        <f t="shared" si="223"/>
        <v>50645.929999999993</v>
      </c>
      <c r="V503" s="802">
        <f>STDEV(D$2:D503)*SQRT(252)</f>
        <v>0.14028570263636367</v>
      </c>
      <c r="W503" s="802">
        <f>STDEV(L$2:L503)*SQRT(252)</f>
        <v>0.30179161775372321</v>
      </c>
      <c r="X503" s="801">
        <f t="shared" si="224"/>
        <v>0.7144439925638304</v>
      </c>
      <c r="Y503" s="801">
        <f t="shared" si="225"/>
        <v>3.049663231785767E-2</v>
      </c>
      <c r="Z503" s="807">
        <f t="shared" si="226"/>
        <v>-0.19737149457745698</v>
      </c>
    </row>
    <row r="504" spans="1:26" ht="20.100000000000001" customHeight="1" x14ac:dyDescent="0.2">
      <c r="A504" s="776">
        <f t="shared" si="216"/>
        <v>793</v>
      </c>
      <c r="B504" s="795">
        <v>43026</v>
      </c>
      <c r="C504" s="820">
        <v>2561.2600000000002</v>
      </c>
      <c r="D504" s="792">
        <f t="shared" si="239"/>
        <v>7.4237309327335383E-4</v>
      </c>
      <c r="E504" s="819">
        <f t="shared" si="232"/>
        <v>0.21823214931222776</v>
      </c>
      <c r="F504" s="816">
        <v>6624.22</v>
      </c>
      <c r="G504" s="792">
        <f t="shared" si="240"/>
        <v>8.6055271640352141E-5</v>
      </c>
      <c r="H504" s="797">
        <f t="shared" si="233"/>
        <v>0.30098395427853181</v>
      </c>
      <c r="I504" s="799">
        <v>356309.25</v>
      </c>
      <c r="J504" s="800">
        <v>350000</v>
      </c>
      <c r="K504" s="800">
        <f t="shared" si="234"/>
        <v>-675.67999999999302</v>
      </c>
      <c r="L504" s="792">
        <f t="shared" si="235"/>
        <v>-1.8927409624826265E-3</v>
      </c>
      <c r="M504" s="817">
        <f t="shared" si="236"/>
        <v>6309.25</v>
      </c>
      <c r="N504" s="802">
        <f t="shared" si="217"/>
        <v>1.8026428571428572E-2</v>
      </c>
      <c r="O504" s="786">
        <f t="shared" si="218"/>
        <v>8.3028411547468924E-3</v>
      </c>
      <c r="P504" s="817" t="b">
        <f t="shared" si="237"/>
        <v>0</v>
      </c>
      <c r="Q504" s="802">
        <f>COUNTIF(P$2:P504, TRUE)/(COUNTIF(P$2:P504,FALSE) + COUNTIF(P$2:P504, TRUE))</f>
        <v>0.47912524850894633</v>
      </c>
      <c r="R504" s="800">
        <v>264410.34000000003</v>
      </c>
      <c r="S504" s="800">
        <f t="shared" si="238"/>
        <v>91898.909999999974</v>
      </c>
      <c r="T504" s="800">
        <v>-43281</v>
      </c>
      <c r="U504" s="800">
        <f t="shared" si="223"/>
        <v>49590.25</v>
      </c>
      <c r="V504" s="802">
        <f>STDEV(D$2:D504)*SQRT(252)</f>
        <v>0.14014580009075686</v>
      </c>
      <c r="W504" s="802">
        <f>STDEV(L$2:L504)*SQRT(252)</f>
        <v>0.30149462610170669</v>
      </c>
      <c r="X504" s="801">
        <f t="shared" si="224"/>
        <v>0.71722543064957556</v>
      </c>
      <c r="Y504" s="801">
        <f t="shared" si="225"/>
        <v>2.7538935808248864E-2</v>
      </c>
      <c r="Z504" s="807">
        <f t="shared" si="226"/>
        <v>-0.20020572074079918</v>
      </c>
    </row>
    <row r="505" spans="1:26" ht="20.100000000000001" customHeight="1" x14ac:dyDescent="0.2">
      <c r="A505" s="776">
        <f t="shared" si="216"/>
        <v>794</v>
      </c>
      <c r="B505" s="795">
        <v>43027</v>
      </c>
      <c r="C505" s="820">
        <v>2562.1</v>
      </c>
      <c r="D505" s="792">
        <f t="shared" si="239"/>
        <v>3.2796358042513869E-4</v>
      </c>
      <c r="E505" s="819">
        <f t="shared" si="232"/>
        <v>0.21863168508970521</v>
      </c>
      <c r="F505" s="816">
        <v>6605.06</v>
      </c>
      <c r="G505" s="792">
        <f t="shared" si="240"/>
        <v>-2.8924160127531775E-3</v>
      </c>
      <c r="H505" s="797">
        <f t="shared" si="233"/>
        <v>0.29722096745684168</v>
      </c>
      <c r="I505" s="799">
        <v>357443.95</v>
      </c>
      <c r="J505" s="800">
        <v>350000</v>
      </c>
      <c r="K505" s="800">
        <f t="shared" si="234"/>
        <v>1134.7000000000116</v>
      </c>
      <c r="L505" s="792">
        <f t="shared" si="235"/>
        <v>3.1845931588922031E-3</v>
      </c>
      <c r="M505" s="817">
        <f t="shared" si="236"/>
        <v>7443.9500000000116</v>
      </c>
      <c r="N505" s="802">
        <f t="shared" si="217"/>
        <v>2.1268428571428605E-2</v>
      </c>
      <c r="O505" s="786">
        <f t="shared" si="218"/>
        <v>9.783745007196849E-3</v>
      </c>
      <c r="P505" s="817" t="b">
        <f t="shared" si="237"/>
        <v>1</v>
      </c>
      <c r="Q505" s="802">
        <f>COUNTIF(P$2:P505, TRUE)/(COUNTIF(P$2:P505,FALSE) + COUNTIF(P$2:P505, TRUE))</f>
        <v>0.48015873015873017</v>
      </c>
      <c r="R505" s="800">
        <v>264411.34000000003</v>
      </c>
      <c r="S505" s="800">
        <f t="shared" si="238"/>
        <v>93032.609999999986</v>
      </c>
      <c r="T505" s="800">
        <v>-42836</v>
      </c>
      <c r="U505" s="800">
        <f t="shared" si="223"/>
        <v>50279.950000000012</v>
      </c>
      <c r="V505" s="802">
        <f>STDEV(D$2:D505)*SQRT(252)</f>
        <v>0.14000616246662231</v>
      </c>
      <c r="W505" s="802">
        <f>STDEV(L$2:L505)*SQRT(252)</f>
        <v>0.3012006871665695</v>
      </c>
      <c r="X505" s="801">
        <f t="shared" si="224"/>
        <v>0.71834929918111556</v>
      </c>
      <c r="Y505" s="801">
        <f t="shared" si="225"/>
        <v>3.2482479038257503E-2</v>
      </c>
      <c r="Z505" s="807">
        <f t="shared" si="226"/>
        <v>-0.1973632565182766</v>
      </c>
    </row>
    <row r="506" spans="1:26" ht="20.100000000000001" customHeight="1" x14ac:dyDescent="0.2">
      <c r="A506" s="776">
        <f t="shared" si="216"/>
        <v>795</v>
      </c>
      <c r="B506" s="795">
        <v>43028</v>
      </c>
      <c r="C506" s="820">
        <v>2575.21</v>
      </c>
      <c r="D506" s="792">
        <f t="shared" si="239"/>
        <v>5.1168962960072319E-3</v>
      </c>
      <c r="E506" s="819">
        <f t="shared" si="232"/>
        <v>0.22486729704533778</v>
      </c>
      <c r="F506" s="816">
        <v>6629.05</v>
      </c>
      <c r="G506" s="792">
        <f t="shared" si="240"/>
        <v>3.6320639025231838E-3</v>
      </c>
      <c r="H506" s="797">
        <f t="shared" si="233"/>
        <v>0.30193255690633786</v>
      </c>
      <c r="I506" s="799">
        <v>360239.92</v>
      </c>
      <c r="J506" s="800">
        <v>350000</v>
      </c>
      <c r="K506" s="800">
        <f t="shared" si="234"/>
        <v>2795.9699999999721</v>
      </c>
      <c r="L506" s="792">
        <f t="shared" si="235"/>
        <v>7.822121482263085E-3</v>
      </c>
      <c r="M506" s="817">
        <f t="shared" si="236"/>
        <v>10239.919999999984</v>
      </c>
      <c r="N506" s="802">
        <f t="shared" si="217"/>
        <v>2.9256914285714239E-2</v>
      </c>
      <c r="O506" s="786">
        <f t="shared" si="218"/>
        <v>1.3441620053908334E-2</v>
      </c>
      <c r="P506" s="817" t="b">
        <f t="shared" si="237"/>
        <v>1</v>
      </c>
      <c r="Q506" s="802">
        <f>COUNTIF(P$2:P506, TRUE)/(COUNTIF(P$2:P506,FALSE) + COUNTIF(P$2:P506, TRUE))</f>
        <v>0.48118811881188117</v>
      </c>
      <c r="R506" s="800">
        <v>254585.5</v>
      </c>
      <c r="S506" s="800">
        <f t="shared" si="238"/>
        <v>105654.41999999998</v>
      </c>
      <c r="T506" s="800">
        <v>-42552</v>
      </c>
      <c r="U506" s="800">
        <f t="shared" si="223"/>
        <v>52791.919999999984</v>
      </c>
      <c r="V506" s="802">
        <f>STDEV(D$2:D506)*SQRT(252)</f>
        <v>0.13990614860228603</v>
      </c>
      <c r="W506" s="802">
        <f>STDEV(L$2:L506)*SQRT(252)</f>
        <v>0.30094697841501933</v>
      </c>
      <c r="X506" s="801">
        <f t="shared" si="224"/>
        <v>0.73843554623789598</v>
      </c>
      <c r="Y506" s="801">
        <f t="shared" si="225"/>
        <v>4.466441273044363E-2</v>
      </c>
      <c r="Z506" s="807">
        <f t="shared" si="226"/>
        <v>-0.19561038275962356</v>
      </c>
    </row>
    <row r="507" spans="1:26" ht="20.100000000000001" customHeight="1" x14ac:dyDescent="0.2">
      <c r="A507" s="776">
        <f t="shared" si="216"/>
        <v>798</v>
      </c>
      <c r="B507" s="795">
        <v>43031</v>
      </c>
      <c r="C507" s="820">
        <v>2564.98</v>
      </c>
      <c r="D507" s="792">
        <f t="shared" si="239"/>
        <v>-3.9724915637948041E-3</v>
      </c>
      <c r="E507" s="819">
        <f t="shared" si="232"/>
        <v>0.22000152204105702</v>
      </c>
      <c r="F507" s="816">
        <v>6586.82</v>
      </c>
      <c r="G507" s="792">
        <f t="shared" si="240"/>
        <v>-6.3704452372512609E-3</v>
      </c>
      <c r="H507" s="797">
        <f t="shared" si="233"/>
        <v>0.29363866684997153</v>
      </c>
      <c r="I507" s="799">
        <v>357804.68</v>
      </c>
      <c r="J507" s="800">
        <v>350000</v>
      </c>
      <c r="K507" s="800">
        <f t="shared" si="234"/>
        <v>-2435.2399999999907</v>
      </c>
      <c r="L507" s="792">
        <f t="shared" si="235"/>
        <v>-6.760050357550576E-3</v>
      </c>
      <c r="M507" s="817">
        <f t="shared" si="236"/>
        <v>7804.679999999993</v>
      </c>
      <c r="N507" s="802">
        <f t="shared" si="217"/>
        <v>2.2299085714285693E-2</v>
      </c>
      <c r="O507" s="786">
        <f t="shared" si="218"/>
        <v>1.0206442427497305E-2</v>
      </c>
      <c r="P507" s="817" t="b">
        <f t="shared" si="237"/>
        <v>0</v>
      </c>
      <c r="Q507" s="802">
        <f>COUNTIF(P$2:P507, TRUE)/(COUNTIF(P$2:P507,FALSE) + COUNTIF(P$2:P507, TRUE))</f>
        <v>0.48023715415019763</v>
      </c>
      <c r="R507" s="800">
        <v>252150.26</v>
      </c>
      <c r="S507" s="800">
        <f t="shared" si="238"/>
        <v>105654.41999999998</v>
      </c>
      <c r="T507" s="800">
        <v>-41908</v>
      </c>
      <c r="U507" s="800">
        <f t="shared" si="223"/>
        <v>49712.679999999993</v>
      </c>
      <c r="V507" s="802">
        <f>STDEV(D$2:D507)*SQRT(252)</f>
        <v>0.13980205559585135</v>
      </c>
      <c r="W507" s="802">
        <f>STDEV(L$2:L507)*SQRT(252)</f>
        <v>0.30069091329485875</v>
      </c>
      <c r="X507" s="801">
        <f t="shared" si="224"/>
        <v>0.72027685817005982</v>
      </c>
      <c r="Y507" s="801">
        <f t="shared" si="225"/>
        <v>3.3943301829971913E-2</v>
      </c>
      <c r="Z507" s="807">
        <f t="shared" si="226"/>
        <v>-0.19770243632677134</v>
      </c>
    </row>
    <row r="508" spans="1:26" ht="20.100000000000001" customHeight="1" x14ac:dyDescent="0.2">
      <c r="A508" s="776">
        <f t="shared" si="216"/>
        <v>799</v>
      </c>
      <c r="B508" s="795">
        <v>43032</v>
      </c>
      <c r="C508" s="820">
        <v>2569.13</v>
      </c>
      <c r="D508" s="792">
        <f t="shared" si="239"/>
        <v>1.6179463387629108E-3</v>
      </c>
      <c r="E508" s="819">
        <f t="shared" si="232"/>
        <v>0.22197541903692855</v>
      </c>
      <c r="F508" s="816">
        <v>6598.63</v>
      </c>
      <c r="G508" s="792">
        <f t="shared" si="240"/>
        <v>1.792974455048172E-3</v>
      </c>
      <c r="H508" s="797">
        <f t="shared" si="233"/>
        <v>0.29595812793369608</v>
      </c>
      <c r="I508" s="799">
        <v>308838.62</v>
      </c>
      <c r="J508" s="800">
        <v>300000</v>
      </c>
      <c r="K508" s="800">
        <f t="shared" si="234"/>
        <v>1033.9400000000023</v>
      </c>
      <c r="L508" s="792">
        <f t="shared" si="235"/>
        <v>2.8896771277558539E-3</v>
      </c>
      <c r="M508" s="817">
        <f t="shared" si="236"/>
        <v>8838.6199999999953</v>
      </c>
      <c r="N508" s="802">
        <f t="shared" si="217"/>
        <v>2.9462066666666651E-2</v>
      </c>
      <c r="O508" s="786">
        <f t="shared" si="218"/>
        <v>1.3468109949937416E-2</v>
      </c>
      <c r="P508" s="817" t="b">
        <f t="shared" si="237"/>
        <v>1</v>
      </c>
      <c r="Q508" s="802">
        <f>COUNTIF(P$2:P508, TRUE)/(COUNTIF(P$2:P508,FALSE) + COUNTIF(P$2:P508, TRUE))</f>
        <v>0.48126232741617359</v>
      </c>
      <c r="R508" s="800">
        <v>252151.26</v>
      </c>
      <c r="S508" s="800">
        <f t="shared" si="238"/>
        <v>56687.359999999986</v>
      </c>
      <c r="T508" s="800">
        <v>-41721</v>
      </c>
      <c r="U508" s="800">
        <f t="shared" si="223"/>
        <v>50559.619999999995</v>
      </c>
      <c r="V508" s="802">
        <f>STDEV(D$2:D508)*SQRT(252)</f>
        <v>0.13966607476231604</v>
      </c>
      <c r="W508" s="802">
        <f>STDEV(L$2:L508)*SQRT(252)</f>
        <v>0.30039821437301584</v>
      </c>
      <c r="X508" s="801">
        <f t="shared" si="224"/>
        <v>0.72653644088459868</v>
      </c>
      <c r="Y508" s="801">
        <f t="shared" si="225"/>
        <v>4.4834187773212103E-2</v>
      </c>
      <c r="Z508" s="807">
        <f t="shared" si="226"/>
        <v>-0.1925133523702619</v>
      </c>
    </row>
    <row r="509" spans="1:26" ht="20.100000000000001" customHeight="1" x14ac:dyDescent="0.2">
      <c r="A509" s="776">
        <f t="shared" si="216"/>
        <v>800</v>
      </c>
      <c r="B509" s="795">
        <v>43033</v>
      </c>
      <c r="C509" s="820">
        <v>2557.15</v>
      </c>
      <c r="D509" s="792">
        <f t="shared" si="239"/>
        <v>-4.6630571438580444E-3</v>
      </c>
      <c r="E509" s="819">
        <f t="shared" si="232"/>
        <v>0.21627727782956946</v>
      </c>
      <c r="F509" s="816">
        <v>6563.89</v>
      </c>
      <c r="G509" s="792">
        <f t="shared" si="240"/>
        <v>-5.2647291937871618E-3</v>
      </c>
      <c r="H509" s="797">
        <f t="shared" si="233"/>
        <v>0.28913525934363782</v>
      </c>
      <c r="I509" s="799">
        <v>306704.96000000002</v>
      </c>
      <c r="J509" s="800">
        <v>300000</v>
      </c>
      <c r="K509" s="800">
        <f t="shared" si="234"/>
        <v>-2133.6599999999744</v>
      </c>
      <c r="L509" s="792">
        <f t="shared" si="235"/>
        <v>-6.9086566958496782E-3</v>
      </c>
      <c r="M509" s="817">
        <f t="shared" si="236"/>
        <v>6704.960000000021</v>
      </c>
      <c r="N509" s="802">
        <f t="shared" si="217"/>
        <v>2.2349866666666735E-2</v>
      </c>
      <c r="O509" s="786">
        <f t="shared" si="218"/>
        <v>1.0204111000000031E-2</v>
      </c>
      <c r="P509" s="817" t="b">
        <f t="shared" si="237"/>
        <v>0</v>
      </c>
      <c r="Q509" s="802">
        <f>COUNTIF(P$2:P509, TRUE)/(COUNTIF(P$2:P509,FALSE) + COUNTIF(P$2:P509, TRUE))</f>
        <v>0.48031496062992124</v>
      </c>
      <c r="R509" s="800">
        <v>252152.26</v>
      </c>
      <c r="S509" s="800">
        <f t="shared" si="238"/>
        <v>54552.700000000012</v>
      </c>
      <c r="T509" s="800">
        <v>-41720</v>
      </c>
      <c r="U509" s="800">
        <f t="shared" si="223"/>
        <v>48424.960000000021</v>
      </c>
      <c r="V509" s="802">
        <f>STDEV(D$2:D509)*SQRT(252)</f>
        <v>0.13957427800139766</v>
      </c>
      <c r="W509" s="802">
        <f>STDEV(L$2:L509)*SQRT(252)</f>
        <v>0.30014545244323337</v>
      </c>
      <c r="X509" s="801">
        <f t="shared" si="224"/>
        <v>0.70746627582822974</v>
      </c>
      <c r="Y509" s="801">
        <f t="shared" si="225"/>
        <v>3.399722007092524E-2</v>
      </c>
      <c r="Z509" s="807">
        <f t="shared" si="226"/>
        <v>-0.19392741116290271</v>
      </c>
    </row>
    <row r="510" spans="1:26" ht="20.100000000000001" customHeight="1" x14ac:dyDescent="0.2">
      <c r="A510" s="776">
        <f t="shared" si="216"/>
        <v>801</v>
      </c>
      <c r="B510" s="795">
        <v>43034</v>
      </c>
      <c r="C510" s="820">
        <v>2560.4</v>
      </c>
      <c r="D510" s="792">
        <f t="shared" si="239"/>
        <v>1.270946170541423E-3</v>
      </c>
      <c r="E510" s="819">
        <f t="shared" si="232"/>
        <v>0.21782310077814351</v>
      </c>
      <c r="F510" s="816">
        <v>6556.77</v>
      </c>
      <c r="G510" s="792">
        <f t="shared" si="240"/>
        <v>-1.0847226263694075E-3</v>
      </c>
      <c r="H510" s="797">
        <f t="shared" si="233"/>
        <v>0.28773690515937717</v>
      </c>
      <c r="I510" s="799">
        <v>305919.12</v>
      </c>
      <c r="J510" s="800">
        <v>300000</v>
      </c>
      <c r="K510" s="800">
        <f t="shared" si="234"/>
        <v>-785.84000000002561</v>
      </c>
      <c r="L510" s="792">
        <f t="shared" si="235"/>
        <v>-2.5622017981059893E-3</v>
      </c>
      <c r="M510" s="817">
        <f t="shared" si="236"/>
        <v>5919.1199999999953</v>
      </c>
      <c r="N510" s="802">
        <f t="shared" si="217"/>
        <v>1.9730399999999985E-2</v>
      </c>
      <c r="O510" s="786">
        <f t="shared" si="218"/>
        <v>8.9969146067415667E-3</v>
      </c>
      <c r="P510" s="817" t="b">
        <f t="shared" si="237"/>
        <v>0</v>
      </c>
      <c r="Q510" s="802">
        <f>COUNTIF(P$2:P510, TRUE)/(COUNTIF(P$2:P510,FALSE) + COUNTIF(P$2:P510, TRUE))</f>
        <v>0.47937131630648327</v>
      </c>
      <c r="R510" s="800">
        <v>256825.7</v>
      </c>
      <c r="S510" s="800">
        <f t="shared" si="238"/>
        <v>49093.419999999984</v>
      </c>
      <c r="T510" s="800">
        <v>-42976</v>
      </c>
      <c r="U510" s="800">
        <f t="shared" si="223"/>
        <v>48895.119999999995</v>
      </c>
      <c r="V510" s="802">
        <f>STDEV(D$2:D510)*SQRT(252)</f>
        <v>0.13943783652554134</v>
      </c>
      <c r="W510" s="802">
        <f>STDEV(L$2:L510)*SQRT(252)</f>
        <v>0.29985648816309529</v>
      </c>
      <c r="X510" s="801">
        <f t="shared" si="224"/>
        <v>0.71232962871541616</v>
      </c>
      <c r="Y510" s="801">
        <f t="shared" si="225"/>
        <v>3.0004068485748572E-2</v>
      </c>
      <c r="Z510" s="807">
        <f t="shared" si="226"/>
        <v>-0.19809270077814353</v>
      </c>
    </row>
    <row r="511" spans="1:26" ht="20.100000000000001" customHeight="1" x14ac:dyDescent="0.2">
      <c r="A511" s="776">
        <f t="shared" si="216"/>
        <v>802</v>
      </c>
      <c r="B511" s="795">
        <v>43035</v>
      </c>
      <c r="C511" s="820">
        <v>2581.0700000000002</v>
      </c>
      <c r="D511" s="792">
        <f t="shared" si="239"/>
        <v>8.0729573504140263E-3</v>
      </c>
      <c r="E511" s="819">
        <f t="shared" si="232"/>
        <v>0.22765453473107441</v>
      </c>
      <c r="F511" s="816">
        <v>6701.26</v>
      </c>
      <c r="G511" s="792">
        <f t="shared" si="240"/>
        <v>2.2036765053524796E-2</v>
      </c>
      <c r="H511" s="797">
        <f t="shared" si="233"/>
        <v>0.31611446078912747</v>
      </c>
      <c r="I511" s="799">
        <v>305278.40999999997</v>
      </c>
      <c r="J511" s="800">
        <v>300000</v>
      </c>
      <c r="K511" s="800">
        <f t="shared" si="234"/>
        <v>-640.71000000002095</v>
      </c>
      <c r="L511" s="792">
        <f t="shared" si="235"/>
        <v>-2.0943771020262513E-3</v>
      </c>
      <c r="M511" s="817">
        <f t="shared" si="236"/>
        <v>5278.4099999999744</v>
      </c>
      <c r="N511" s="802">
        <f t="shared" si="217"/>
        <v>1.7594699999999915E-2</v>
      </c>
      <c r="O511" s="786">
        <f t="shared" si="218"/>
        <v>8.0130475997505848E-3</v>
      </c>
      <c r="P511" s="817" t="b">
        <f t="shared" si="237"/>
        <v>0</v>
      </c>
      <c r="Q511" s="802">
        <f>COUNTIF(P$2:P511, TRUE)/(COUNTIF(P$2:P511,FALSE) + COUNTIF(P$2:P511, TRUE))</f>
        <v>0.47843137254901963</v>
      </c>
      <c r="R511" s="800">
        <v>259252.8</v>
      </c>
      <c r="S511" s="800">
        <f t="shared" si="238"/>
        <v>46025.609999999986</v>
      </c>
      <c r="T511" s="800">
        <v>-43407</v>
      </c>
      <c r="U511" s="800">
        <f t="shared" si="223"/>
        <v>48685.409999999974</v>
      </c>
      <c r="V511" s="802">
        <f>STDEV(D$2:D511)*SQRT(252)</f>
        <v>0.13940439146779132</v>
      </c>
      <c r="W511" s="802">
        <f>STDEV(L$2:L511)*SQRT(252)</f>
        <v>0.2995662631727638</v>
      </c>
      <c r="X511" s="801">
        <f t="shared" si="224"/>
        <v>0.74373069677729886</v>
      </c>
      <c r="Y511" s="801">
        <f t="shared" si="225"/>
        <v>2.6748831844022953E-2</v>
      </c>
      <c r="Z511" s="807">
        <f t="shared" si="226"/>
        <v>-0.21005983473107451</v>
      </c>
    </row>
    <row r="512" spans="1:26" ht="20.100000000000001" customHeight="1" x14ac:dyDescent="0.2">
      <c r="A512" s="776">
        <f t="shared" si="216"/>
        <v>805</v>
      </c>
      <c r="B512" s="795">
        <v>43038</v>
      </c>
      <c r="C512" s="820">
        <v>2572.83</v>
      </c>
      <c r="D512" s="792">
        <f t="shared" si="239"/>
        <v>-3.1924744388955881E-3</v>
      </c>
      <c r="E512" s="819">
        <f t="shared" si="232"/>
        <v>0.22373527900915122</v>
      </c>
      <c r="F512" s="816">
        <v>6698.96</v>
      </c>
      <c r="G512" s="792">
        <f t="shared" si="240"/>
        <v>-3.4321903642004365E-4</v>
      </c>
      <c r="H512" s="797">
        <f t="shared" si="233"/>
        <v>0.31566274525207694</v>
      </c>
      <c r="I512" s="799">
        <v>307777.62</v>
      </c>
      <c r="J512" s="800">
        <v>300000</v>
      </c>
      <c r="K512" s="800">
        <f t="shared" si="234"/>
        <v>2499.210000000021</v>
      </c>
      <c r="L512" s="792">
        <f t="shared" si="235"/>
        <v>8.1866582048826225E-3</v>
      </c>
      <c r="M512" s="817">
        <f t="shared" si="236"/>
        <v>7777.6199999999953</v>
      </c>
      <c r="N512" s="802">
        <f t="shared" si="217"/>
        <v>2.5925399999999984E-2</v>
      </c>
      <c r="O512" s="786">
        <f t="shared" si="218"/>
        <v>1.176304639751552E-2</v>
      </c>
      <c r="P512" s="817" t="b">
        <f t="shared" si="237"/>
        <v>1</v>
      </c>
      <c r="Q512" s="802">
        <f>COUNTIF(P$2:P512, TRUE)/(COUNTIF(P$2:P512,FALSE) + COUNTIF(P$2:P512, TRUE))</f>
        <v>0.47945205479452052</v>
      </c>
      <c r="R512" s="800">
        <v>261741.38</v>
      </c>
      <c r="S512" s="800">
        <f t="shared" si="238"/>
        <v>46036.239999999991</v>
      </c>
      <c r="T512" s="800">
        <v>-43230</v>
      </c>
      <c r="U512" s="800">
        <f t="shared" si="223"/>
        <v>51007.619999999995</v>
      </c>
      <c r="V512" s="802">
        <f>STDEV(D$2:D512)*SQRT(252)</f>
        <v>0.13929080890854997</v>
      </c>
      <c r="W512" s="802">
        <f>STDEV(L$2:L512)*SQRT(252)</f>
        <v>0.29932223329084218</v>
      </c>
      <c r="X512" s="801">
        <f t="shared" si="224"/>
        <v>0.7287966264278648</v>
      </c>
      <c r="Y512" s="801">
        <f t="shared" si="225"/>
        <v>3.9298939701835414E-2</v>
      </c>
      <c r="Z512" s="807">
        <f t="shared" si="226"/>
        <v>-0.19780987900915123</v>
      </c>
    </row>
    <row r="513" spans="1:26" ht="20.100000000000001" customHeight="1" x14ac:dyDescent="0.2">
      <c r="A513" s="776">
        <f t="shared" ref="A513:A546" si="241">B513-$B$2</f>
        <v>806</v>
      </c>
      <c r="B513" s="795">
        <v>43039</v>
      </c>
      <c r="C513" s="820">
        <v>2575.2600000000002</v>
      </c>
      <c r="D513" s="792">
        <f t="shared" si="239"/>
        <v>9.4448525553584618E-4</v>
      </c>
      <c r="E513" s="819">
        <f t="shared" si="232"/>
        <v>0.22489107893685439</v>
      </c>
      <c r="F513" s="816">
        <v>6727.66</v>
      </c>
      <c r="G513" s="792">
        <f t="shared" si="240"/>
        <v>4.2842471070135991E-3</v>
      </c>
      <c r="H513" s="797">
        <f t="shared" si="233"/>
        <v>0.32129936956222876</v>
      </c>
      <c r="I513" s="822">
        <v>309994</v>
      </c>
      <c r="J513" s="800">
        <v>300000</v>
      </c>
      <c r="K513" s="800">
        <f t="shared" si="234"/>
        <v>2216.3800000000047</v>
      </c>
      <c r="L513" s="792">
        <f t="shared" si="235"/>
        <v>7.2012383486492774E-3</v>
      </c>
      <c r="M513" s="822">
        <f t="shared" si="236"/>
        <v>9994</v>
      </c>
      <c r="N513" s="802">
        <f t="shared" ref="N513:N576" si="242">M513/J513</f>
        <v>3.3313333333333334E-2</v>
      </c>
      <c r="O513" s="786">
        <f t="shared" si="218"/>
        <v>1.5096395781637717E-2</v>
      </c>
      <c r="P513" s="817" t="b">
        <f t="shared" si="237"/>
        <v>1</v>
      </c>
      <c r="Q513" s="802">
        <f>COUNTIF(P$2:P513, TRUE)/(COUNTIF(P$2:P513,FALSE) + COUNTIF(P$2:P513, TRUE))</f>
        <v>0.48046875</v>
      </c>
      <c r="R513" s="800">
        <v>263957.76000000001</v>
      </c>
      <c r="S513" s="800">
        <f t="shared" si="238"/>
        <v>46036.239999999991</v>
      </c>
      <c r="T513" s="800">
        <v>-43049</v>
      </c>
      <c r="U513" s="800">
        <f t="shared" si="223"/>
        <v>53043</v>
      </c>
      <c r="V513" s="802">
        <f>STDEV(D$2:D513)*SQRT(252)</f>
        <v>0.13915464346541059</v>
      </c>
      <c r="W513" s="802">
        <f>STDEV(L$2:L513)*SQRT(252)</f>
        <v>0.29906689628726874</v>
      </c>
      <c r="X513" s="801">
        <f t="shared" si="224"/>
        <v>0.73236858661330961</v>
      </c>
      <c r="Y513" s="801">
        <f t="shared" si="225"/>
        <v>5.0478324311550929E-2</v>
      </c>
      <c r="Z513" s="807">
        <f t="shared" si="226"/>
        <v>-0.19157774560352106</v>
      </c>
    </row>
    <row r="514" spans="1:26" ht="20.100000000000001" customHeight="1" x14ac:dyDescent="0.2">
      <c r="A514" s="776">
        <f t="shared" si="241"/>
        <v>807</v>
      </c>
      <c r="B514" s="795">
        <v>43040</v>
      </c>
      <c r="C514" s="820">
        <v>2579.36</v>
      </c>
      <c r="D514" s="792">
        <f t="shared" si="239"/>
        <v>1.5920722567818041E-3</v>
      </c>
      <c r="E514" s="819">
        <f t="shared" si="232"/>
        <v>0.22684119404120928</v>
      </c>
      <c r="F514" s="816">
        <v>6716.53</v>
      </c>
      <c r="G514" s="792">
        <f t="shared" si="240"/>
        <v>-1.6543642217353596E-3</v>
      </c>
      <c r="H514" s="797">
        <f t="shared" si="233"/>
        <v>0.3191134591590235</v>
      </c>
      <c r="I514" s="799">
        <v>314097.48</v>
      </c>
      <c r="J514" s="800">
        <v>300000</v>
      </c>
      <c r="K514" s="800">
        <f t="shared" si="234"/>
        <v>4103.4799999999814</v>
      </c>
      <c r="L514" s="792">
        <f t="shared" si="235"/>
        <v>1.3237288463647624E-2</v>
      </c>
      <c r="M514" s="817">
        <f t="shared" si="236"/>
        <v>14097.479999999981</v>
      </c>
      <c r="N514" s="802">
        <f t="shared" si="242"/>
        <v>4.6991599999999939E-2</v>
      </c>
      <c r="O514" s="786">
        <f t="shared" si="218"/>
        <v>2.1268502973977668E-2</v>
      </c>
      <c r="P514" s="817" t="b">
        <f t="shared" si="237"/>
        <v>1</v>
      </c>
      <c r="Q514" s="802">
        <f>COUNTIF(P$2:P514, TRUE)/(COUNTIF(P$2:P514,FALSE) + COUNTIF(P$2:P514, TRUE))</f>
        <v>0.48148148148148145</v>
      </c>
      <c r="R514" s="800">
        <v>254959.6</v>
      </c>
      <c r="S514" s="800">
        <f t="shared" si="238"/>
        <v>59137.879999999976</v>
      </c>
      <c r="T514" s="800"/>
      <c r="U514" s="800"/>
      <c r="V514" s="802">
        <f>STDEV(D$2:D514)*SQRT(252)</f>
        <v>0.13902078631505016</v>
      </c>
      <c r="W514" s="802">
        <f>STDEV(L$2:L514)*SQRT(252)</f>
        <v>0.29890977574603156</v>
      </c>
      <c r="X514" s="801">
        <f t="shared" si="224"/>
        <v>0.73851424027965751</v>
      </c>
      <c r="Y514" s="801">
        <f t="shared" si="225"/>
        <v>7.1153587803861038E-2</v>
      </c>
      <c r="Z514" s="807">
        <f t="shared" si="226"/>
        <v>-0.17984959404120934</v>
      </c>
    </row>
    <row r="515" spans="1:26" ht="20.100000000000001" customHeight="1" x14ac:dyDescent="0.2">
      <c r="A515" s="776">
        <f t="shared" si="241"/>
        <v>808</v>
      </c>
      <c r="B515" s="795">
        <v>43041</v>
      </c>
      <c r="C515" s="820">
        <v>2579.85</v>
      </c>
      <c r="D515" s="792">
        <f t="shared" si="239"/>
        <v>1.8996960486313726E-4</v>
      </c>
      <c r="E515" s="819">
        <f t="shared" si="232"/>
        <v>0.22707425657807112</v>
      </c>
      <c r="F515" s="816">
        <v>6714.94</v>
      </c>
      <c r="G515" s="792">
        <f t="shared" si="240"/>
        <v>-2.3672938258299233E-4</v>
      </c>
      <c r="H515" s="797">
        <f t="shared" si="233"/>
        <v>0.31880118624427989</v>
      </c>
      <c r="I515" s="799">
        <v>315145.06</v>
      </c>
      <c r="J515" s="800">
        <v>300000</v>
      </c>
      <c r="K515" s="800">
        <f t="shared" si="234"/>
        <v>1047.5800000000163</v>
      </c>
      <c r="L515" s="792">
        <f t="shared" si="235"/>
        <v>3.3352066371242976E-3</v>
      </c>
      <c r="M515" s="817">
        <f t="shared" si="236"/>
        <v>15145.059999999998</v>
      </c>
      <c r="N515" s="802">
        <f t="shared" si="242"/>
        <v>5.0483533333333323E-2</v>
      </c>
      <c r="O515" s="786">
        <f t="shared" si="218"/>
        <v>2.2820681373762371E-2</v>
      </c>
      <c r="P515" s="817" t="b">
        <f t="shared" si="237"/>
        <v>1</v>
      </c>
      <c r="Q515" s="802">
        <f>COUNTIF(P$2:P515, TRUE)/(COUNTIF(P$2:P515,FALSE) + COUNTIF(P$2:P515, TRUE))</f>
        <v>0.48249027237354086</v>
      </c>
      <c r="R515" s="800">
        <v>261523.18</v>
      </c>
      <c r="S515" s="800">
        <f t="shared" si="238"/>
        <v>53621.880000000005</v>
      </c>
      <c r="T515" s="800">
        <v>-42858</v>
      </c>
      <c r="U515" s="800">
        <f t="shared" ref="U515:U538" si="243">M515-T515</f>
        <v>58003.06</v>
      </c>
      <c r="V515" s="802">
        <f>STDEV(D$2:D515)*SQRT(252)</f>
        <v>0.13888506589975202</v>
      </c>
      <c r="W515" s="802">
        <f>STDEV(L$2:L515)*SQRT(252)</f>
        <v>0.29862468189332236</v>
      </c>
      <c r="X515" s="801">
        <f t="shared" si="224"/>
        <v>0.73907960091429403</v>
      </c>
      <c r="Y515" s="801">
        <f t="shared" si="225"/>
        <v>7.6419273949748734E-2</v>
      </c>
      <c r="Z515" s="807">
        <f t="shared" si="226"/>
        <v>-0.17659072324473779</v>
      </c>
    </row>
    <row r="516" spans="1:26" ht="20.100000000000001" customHeight="1" x14ac:dyDescent="0.2">
      <c r="A516" s="776">
        <f t="shared" si="241"/>
        <v>809</v>
      </c>
      <c r="B516" s="795">
        <v>43042</v>
      </c>
      <c r="C516" s="820">
        <v>2587.84</v>
      </c>
      <c r="D516" s="792">
        <f t="shared" si="239"/>
        <v>3.0970792875555696E-3</v>
      </c>
      <c r="E516" s="819">
        <f t="shared" si="232"/>
        <v>0.23087460284241171</v>
      </c>
      <c r="F516" s="816">
        <v>6764.43</v>
      </c>
      <c r="G516" s="792">
        <f t="shared" si="240"/>
        <v>7.3701328679036142E-3</v>
      </c>
      <c r="H516" s="797">
        <f t="shared" si="233"/>
        <v>0.32852092621324913</v>
      </c>
      <c r="I516" s="799">
        <v>316040.12</v>
      </c>
      <c r="J516" s="800">
        <v>300000</v>
      </c>
      <c r="K516" s="800">
        <f t="shared" si="234"/>
        <v>895.05999999999767</v>
      </c>
      <c r="L516" s="792">
        <f t="shared" si="235"/>
        <v>2.8401524047370367E-3</v>
      </c>
      <c r="M516" s="817">
        <f t="shared" si="236"/>
        <v>16040.119999999995</v>
      </c>
      <c r="N516" s="802">
        <f t="shared" si="242"/>
        <v>5.3467066666666653E-2</v>
      </c>
      <c r="O516" s="786">
        <f t="shared" si="218"/>
        <v>2.4139488380716927E-2</v>
      </c>
      <c r="P516" s="817" t="b">
        <f t="shared" si="237"/>
        <v>0</v>
      </c>
      <c r="Q516" s="802">
        <f>COUNTIF(P$2:P516, TRUE)/(COUNTIF(P$2:P516,FALSE) + COUNTIF(P$2:P516, TRUE))</f>
        <v>0.48155339805825242</v>
      </c>
      <c r="R516" s="800">
        <v>252880.46</v>
      </c>
      <c r="S516" s="800">
        <f t="shared" si="238"/>
        <v>63159.66</v>
      </c>
      <c r="T516" s="800">
        <v>-42866</v>
      </c>
      <c r="U516" s="800">
        <f t="shared" si="243"/>
        <v>58906.119999999995</v>
      </c>
      <c r="V516" s="802">
        <f>STDEV(D$2:D516)*SQRT(252)</f>
        <v>0.13876213440493015</v>
      </c>
      <c r="W516" s="802">
        <f>STDEV(L$2:L516)*SQRT(252)</f>
        <v>0.29833824227628286</v>
      </c>
      <c r="X516" s="801">
        <f t="shared" si="224"/>
        <v>0.75118497538201423</v>
      </c>
      <c r="Y516" s="801">
        <f t="shared" si="225"/>
        <v>8.0913154802199336E-2</v>
      </c>
      <c r="Z516" s="807">
        <f t="shared" si="226"/>
        <v>-0.17740753617574506</v>
      </c>
    </row>
    <row r="517" spans="1:26" ht="20.100000000000001" customHeight="1" x14ac:dyDescent="0.2">
      <c r="A517" s="776">
        <f t="shared" si="241"/>
        <v>812</v>
      </c>
      <c r="B517" s="795">
        <v>43045</v>
      </c>
      <c r="C517" s="820">
        <v>2591.13</v>
      </c>
      <c r="D517" s="792">
        <f t="shared" si="239"/>
        <v>1.2713305304810048E-3</v>
      </c>
      <c r="E517" s="819">
        <f t="shared" si="232"/>
        <v>0.23243945130419896</v>
      </c>
      <c r="F517" s="816">
        <v>6786.43</v>
      </c>
      <c r="G517" s="792">
        <f t="shared" si="240"/>
        <v>3.2523065505888891E-3</v>
      </c>
      <c r="H517" s="797">
        <f t="shared" si="233"/>
        <v>0.33284168352416688</v>
      </c>
      <c r="I517" s="799">
        <v>319399.58</v>
      </c>
      <c r="J517" s="800">
        <v>300000</v>
      </c>
      <c r="K517" s="800">
        <f t="shared" si="234"/>
        <v>3359.460000000021</v>
      </c>
      <c r="L517" s="792">
        <f t="shared" si="235"/>
        <v>1.0629852943987052E-2</v>
      </c>
      <c r="M517" s="817">
        <f t="shared" si="236"/>
        <v>19399.580000000016</v>
      </c>
      <c r="N517" s="802">
        <f t="shared" si="242"/>
        <v>6.4665266666666721E-2</v>
      </c>
      <c r="O517" s="786">
        <f t="shared" si="218"/>
        <v>2.9087424445812832E-2</v>
      </c>
      <c r="P517" s="817" t="b">
        <f t="shared" si="237"/>
        <v>1</v>
      </c>
      <c r="Q517" s="802">
        <f>COUNTIF(P$2:P517, TRUE)/(COUNTIF(P$2:P517,FALSE) + COUNTIF(P$2:P517, TRUE))</f>
        <v>0.48255813953488375</v>
      </c>
      <c r="R517" s="800">
        <v>271370.62</v>
      </c>
      <c r="S517" s="800">
        <f t="shared" si="238"/>
        <v>48028.960000000021</v>
      </c>
      <c r="T517" s="800">
        <v>-42964</v>
      </c>
      <c r="U517" s="800">
        <f t="shared" si="243"/>
        <v>62363.580000000016</v>
      </c>
      <c r="V517" s="802">
        <f>STDEV(D$2:D517)*SQRT(252)</f>
        <v>0.1386282991301003</v>
      </c>
      <c r="W517" s="802">
        <f>STDEV(L$2:L517)*SQRT(252)</f>
        <v>0.29813314270213698</v>
      </c>
      <c r="X517" s="801">
        <f t="shared" si="224"/>
        <v>0.75420974952943309</v>
      </c>
      <c r="Y517" s="801">
        <f t="shared" si="225"/>
        <v>9.7565215937343477E-2</v>
      </c>
      <c r="Z517" s="807">
        <f t="shared" si="226"/>
        <v>-0.16777418463753224</v>
      </c>
    </row>
    <row r="518" spans="1:26" ht="20.100000000000001" customHeight="1" x14ac:dyDescent="0.2">
      <c r="A518" s="776">
        <f t="shared" si="241"/>
        <v>813</v>
      </c>
      <c r="B518" s="795">
        <v>43046</v>
      </c>
      <c r="C518" s="820">
        <v>2590.64</v>
      </c>
      <c r="D518" s="792">
        <f t="shared" si="239"/>
        <v>-1.891066831846478E-4</v>
      </c>
      <c r="E518" s="819">
        <f t="shared" si="232"/>
        <v>0.2322063887673369</v>
      </c>
      <c r="F518" s="816">
        <v>6767.78</v>
      </c>
      <c r="G518" s="792">
        <f t="shared" si="240"/>
        <v>-2.7481311971096064E-3</v>
      </c>
      <c r="H518" s="797">
        <f t="shared" si="233"/>
        <v>0.32917885971286603</v>
      </c>
      <c r="I518" s="799">
        <v>318506.81</v>
      </c>
      <c r="J518" s="800">
        <v>300000</v>
      </c>
      <c r="K518" s="800">
        <f t="shared" si="234"/>
        <v>-892.77000000001863</v>
      </c>
      <c r="L518" s="792">
        <f t="shared" si="235"/>
        <v>-2.7951508264350837E-3</v>
      </c>
      <c r="M518" s="817">
        <f t="shared" si="236"/>
        <v>18506.809999999998</v>
      </c>
      <c r="N518" s="802">
        <f t="shared" si="242"/>
        <v>6.1689366666666662E-2</v>
      </c>
      <c r="O518" s="786">
        <f t="shared" si="218"/>
        <v>2.7714687792127921E-2</v>
      </c>
      <c r="P518" s="817" t="b">
        <f t="shared" si="237"/>
        <v>0</v>
      </c>
      <c r="Q518" s="802">
        <f>COUNTIF(P$2:P518, TRUE)/(COUNTIF(P$2:P518,FALSE) + COUNTIF(P$2:P518, TRUE))</f>
        <v>0.48162475822050288</v>
      </c>
      <c r="R518" s="800">
        <v>271371.62</v>
      </c>
      <c r="S518" s="800">
        <f t="shared" si="238"/>
        <v>47135.19</v>
      </c>
      <c r="T518" s="800">
        <v>-42963</v>
      </c>
      <c r="U518" s="800">
        <f t="shared" si="243"/>
        <v>61469.81</v>
      </c>
      <c r="V518" s="802">
        <f>STDEV(D$2:D518)*SQRT(252)</f>
        <v>0.1384943496004884</v>
      </c>
      <c r="W518" s="802">
        <f>STDEV(L$2:L518)*SQRT(252)</f>
        <v>0.29785222799898087</v>
      </c>
      <c r="X518" s="801">
        <f t="shared" si="224"/>
        <v>0.75325459282364204</v>
      </c>
      <c r="Y518" s="801">
        <f t="shared" si="225"/>
        <v>9.3048448817454374E-2</v>
      </c>
      <c r="Z518" s="807">
        <f t="shared" si="226"/>
        <v>-0.17051702210067024</v>
      </c>
    </row>
    <row r="519" spans="1:26" ht="20.100000000000001" customHeight="1" x14ac:dyDescent="0.2">
      <c r="A519" s="776">
        <f t="shared" si="241"/>
        <v>814</v>
      </c>
      <c r="B519" s="795">
        <v>43047</v>
      </c>
      <c r="C519" s="820">
        <v>2594.38</v>
      </c>
      <c r="D519" s="792">
        <f t="shared" si="239"/>
        <v>1.4436587098169706E-3</v>
      </c>
      <c r="E519" s="819">
        <f t="shared" si="232"/>
        <v>0.23398527425277299</v>
      </c>
      <c r="F519" s="816">
        <v>6789.11</v>
      </c>
      <c r="G519" s="792">
        <f t="shared" si="240"/>
        <v>3.1516981934991872E-3</v>
      </c>
      <c r="H519" s="797">
        <f t="shared" si="233"/>
        <v>0.33336803032386036</v>
      </c>
      <c r="I519" s="799">
        <v>317938.40999999997</v>
      </c>
      <c r="J519" s="800">
        <v>300000</v>
      </c>
      <c r="K519" s="800">
        <f t="shared" si="234"/>
        <v>-568.40000000002328</v>
      </c>
      <c r="L519" s="792">
        <f t="shared" si="235"/>
        <v>-1.7845772277208869E-3</v>
      </c>
      <c r="M519" s="817">
        <f t="shared" si="236"/>
        <v>17938.409999999974</v>
      </c>
      <c r="N519" s="802">
        <f t="shared" si="242"/>
        <v>5.9794699999999916E-2</v>
      </c>
      <c r="O519" s="786">
        <f t="shared" ref="O519:O546" si="244">N519/(A519/365.25)</f>
        <v>2.6830484244471708E-2</v>
      </c>
      <c r="P519" s="817" t="b">
        <f t="shared" si="237"/>
        <v>0</v>
      </c>
      <c r="Q519" s="802">
        <f>COUNTIF(P$2:P519, TRUE)/(COUNTIF(P$2:P519,FALSE) + COUNTIF(P$2:P519, TRUE))</f>
        <v>0.48069498069498068</v>
      </c>
      <c r="R519" s="800">
        <v>271372.62</v>
      </c>
      <c r="S519" s="800">
        <f t="shared" si="238"/>
        <v>46565.789999999979</v>
      </c>
      <c r="T519" s="800">
        <v>-42962</v>
      </c>
      <c r="U519" s="800">
        <f t="shared" si="243"/>
        <v>60900.409999999974</v>
      </c>
      <c r="V519" s="802">
        <f>STDEV(D$2:D519)*SQRT(252)</f>
        <v>0.13836184953741584</v>
      </c>
      <c r="W519" s="802">
        <f>STDEV(L$2:L519)*SQRT(252)</f>
        <v>0.29756756692220915</v>
      </c>
      <c r="X519" s="801">
        <f t="shared" si="224"/>
        <v>0.75881863395185201</v>
      </c>
      <c r="Y519" s="801">
        <f t="shared" si="225"/>
        <v>9.0166023542094562E-2</v>
      </c>
      <c r="Z519" s="807">
        <f t="shared" si="226"/>
        <v>-0.17419057425277307</v>
      </c>
    </row>
    <row r="520" spans="1:26" ht="20.100000000000001" customHeight="1" x14ac:dyDescent="0.2">
      <c r="A520" s="776">
        <f t="shared" si="241"/>
        <v>815</v>
      </c>
      <c r="B520" s="795">
        <v>43048</v>
      </c>
      <c r="C520" s="820">
        <v>2584.62</v>
      </c>
      <c r="D520" s="792">
        <f t="shared" si="239"/>
        <v>-3.761977813581749E-3</v>
      </c>
      <c r="E520" s="819">
        <f t="shared" si="232"/>
        <v>0.22934304902874747</v>
      </c>
      <c r="F520" s="816">
        <v>6750.05</v>
      </c>
      <c r="G520" s="792">
        <f t="shared" si="240"/>
        <v>-5.7533314381413014E-3</v>
      </c>
      <c r="H520" s="797">
        <f t="shared" si="233"/>
        <v>0.32569672211638556</v>
      </c>
      <c r="I520" s="799">
        <v>318455.09000000003</v>
      </c>
      <c r="J520" s="800">
        <v>300000</v>
      </c>
      <c r="K520" s="800">
        <f t="shared" si="234"/>
        <v>516.68000000005122</v>
      </c>
      <c r="L520" s="792">
        <f t="shared" si="235"/>
        <v>1.6250946213137672E-3</v>
      </c>
      <c r="M520" s="817">
        <f t="shared" si="236"/>
        <v>18455.090000000026</v>
      </c>
      <c r="N520" s="802">
        <f t="shared" si="242"/>
        <v>6.1516966666666749E-2</v>
      </c>
      <c r="O520" s="786">
        <f t="shared" si="244"/>
        <v>2.7569413588957092E-2</v>
      </c>
      <c r="P520" s="817" t="b">
        <f t="shared" si="237"/>
        <v>1</v>
      </c>
      <c r="Q520" s="802">
        <f>COUNTIF(P$2:P520, TRUE)/(COUNTIF(P$2:P520,FALSE) + COUNTIF(P$2:P520, TRUE))</f>
        <v>0.48169556840077071</v>
      </c>
      <c r="R520" s="800">
        <v>267251.76</v>
      </c>
      <c r="S520" s="800">
        <f t="shared" si="238"/>
        <v>51203.330000000016</v>
      </c>
      <c r="T520" s="800">
        <v>-41764</v>
      </c>
      <c r="U520" s="800">
        <f t="shared" si="243"/>
        <v>60219.090000000026</v>
      </c>
      <c r="V520" s="802">
        <f>STDEV(D$2:D520)*SQRT(252)</f>
        <v>0.13825910776296965</v>
      </c>
      <c r="W520" s="802">
        <f>STDEV(L$2:L520)*SQRT(252)</f>
        <v>0.29728077984751194</v>
      </c>
      <c r="X520" s="801">
        <f t="shared" si="224"/>
        <v>0.74340323726033974</v>
      </c>
      <c r="Y520" s="801">
        <f t="shared" si="225"/>
        <v>9.2738634509431206E-2</v>
      </c>
      <c r="Z520" s="807">
        <f t="shared" si="226"/>
        <v>-0.16782608236208071</v>
      </c>
    </row>
    <row r="521" spans="1:26" ht="20.100000000000001" customHeight="1" x14ac:dyDescent="0.2">
      <c r="A521" s="776">
        <f t="shared" si="241"/>
        <v>816</v>
      </c>
      <c r="B521" s="795">
        <v>43049</v>
      </c>
      <c r="C521" s="820">
        <v>2582.3000000000002</v>
      </c>
      <c r="D521" s="792">
        <f t="shared" si="239"/>
        <v>-8.9761744473064085E-4</v>
      </c>
      <c r="E521" s="819">
        <f t="shared" si="232"/>
        <v>0.2282395692623809</v>
      </c>
      <c r="F521" s="816">
        <v>6750.93</v>
      </c>
      <c r="G521" s="792">
        <f t="shared" si="240"/>
        <v>1.3036940467109267E-4</v>
      </c>
      <c r="H521" s="797">
        <f t="shared" si="233"/>
        <v>0.32586955240882232</v>
      </c>
      <c r="I521" s="799">
        <v>318102.55</v>
      </c>
      <c r="J521" s="800">
        <v>300000</v>
      </c>
      <c r="K521" s="800">
        <f t="shared" si="234"/>
        <v>-352.54000000003725</v>
      </c>
      <c r="L521" s="792">
        <f t="shared" si="235"/>
        <v>-1.1070320778984479E-3</v>
      </c>
      <c r="M521" s="817">
        <f t="shared" si="236"/>
        <v>18102.549999999988</v>
      </c>
      <c r="N521" s="802">
        <f t="shared" si="242"/>
        <v>6.0341833333333296E-2</v>
      </c>
      <c r="O521" s="786">
        <f t="shared" si="244"/>
        <v>2.7009625765931359E-2</v>
      </c>
      <c r="P521" s="817" t="b">
        <f t="shared" si="237"/>
        <v>0</v>
      </c>
      <c r="Q521" s="802">
        <f>COUNTIF(P$2:P521, TRUE)/(COUNTIF(P$2:P521,FALSE) + COUNTIF(P$2:P521, TRUE))</f>
        <v>0.48076923076923078</v>
      </c>
      <c r="R521" s="800">
        <v>266899.21999999997</v>
      </c>
      <c r="S521" s="800">
        <f t="shared" si="238"/>
        <v>51203.330000000016</v>
      </c>
      <c r="T521" s="800">
        <v>-41821</v>
      </c>
      <c r="U521" s="800">
        <f t="shared" si="243"/>
        <v>59923.549999999988</v>
      </c>
      <c r="V521" s="802">
        <f>STDEV(D$2:D521)*SQRT(252)</f>
        <v>0.13812871674554664</v>
      </c>
      <c r="W521" s="802">
        <f>STDEV(L$2:L521)*SQRT(252)</f>
        <v>0.29699567117525927</v>
      </c>
      <c r="X521" s="801">
        <f t="shared" si="224"/>
        <v>0.73961724349483016</v>
      </c>
      <c r="Y521" s="801">
        <f t="shared" si="225"/>
        <v>9.0942826402317448E-2</v>
      </c>
      <c r="Z521" s="807">
        <f t="shared" si="226"/>
        <v>-0.16789773592904761</v>
      </c>
    </row>
    <row r="522" spans="1:26" ht="20.100000000000001" customHeight="1" x14ac:dyDescent="0.2">
      <c r="A522" s="776">
        <f t="shared" si="241"/>
        <v>819</v>
      </c>
      <c r="B522" s="795">
        <v>43052</v>
      </c>
      <c r="C522" s="820">
        <v>2584.84</v>
      </c>
      <c r="D522" s="792">
        <f t="shared" si="239"/>
        <v>9.836192541532601E-4</v>
      </c>
      <c r="E522" s="819">
        <f t="shared" si="232"/>
        <v>0.22944768935142029</v>
      </c>
      <c r="F522" s="816">
        <v>6757.59</v>
      </c>
      <c r="G522" s="792">
        <f t="shared" si="240"/>
        <v>9.865307446529374E-4</v>
      </c>
      <c r="H522" s="797">
        <f t="shared" si="233"/>
        <v>0.32717756348567284</v>
      </c>
      <c r="I522" s="799">
        <v>317452.71000000002</v>
      </c>
      <c r="J522" s="800">
        <v>300000</v>
      </c>
      <c r="K522" s="800">
        <f t="shared" si="234"/>
        <v>-649.8399999999674</v>
      </c>
      <c r="L522" s="792">
        <f t="shared" si="235"/>
        <v>-2.0428632213101323E-3</v>
      </c>
      <c r="M522" s="817">
        <f t="shared" si="236"/>
        <v>17452.710000000021</v>
      </c>
      <c r="N522" s="802">
        <f t="shared" si="242"/>
        <v>5.8175700000000073E-2</v>
      </c>
      <c r="O522" s="786">
        <f t="shared" si="244"/>
        <v>2.5944657417582447E-2</v>
      </c>
      <c r="P522" s="817" t="b">
        <f t="shared" si="237"/>
        <v>0</v>
      </c>
      <c r="Q522" s="802">
        <f>COUNTIF(P$2:P522, TRUE)/(COUNTIF(P$2:P522,FALSE) + COUNTIF(P$2:P522, TRUE))</f>
        <v>0.47984644913627639</v>
      </c>
      <c r="R522" s="800">
        <v>265423.46000000002</v>
      </c>
      <c r="S522" s="800">
        <f t="shared" ref="S522:S537" si="245">I522-R522</f>
        <v>52029.25</v>
      </c>
      <c r="T522" s="800">
        <v>-41650</v>
      </c>
      <c r="U522" s="800">
        <f t="shared" si="243"/>
        <v>59102.710000000021</v>
      </c>
      <c r="V522" s="802">
        <f>STDEV(D$2:D522)*SQRT(252)</f>
        <v>0.13799611122091809</v>
      </c>
      <c r="W522" s="802">
        <f>STDEV(L$2:L522)*SQRT(252)</f>
        <v>0.2967144709504862</v>
      </c>
      <c r="X522" s="801">
        <f t="shared" si="224"/>
        <v>0.74152050230680522</v>
      </c>
      <c r="Y522" s="801">
        <f t="shared" si="225"/>
        <v>8.7439811528140551E-2</v>
      </c>
      <c r="Z522" s="807">
        <f t="shared" si="226"/>
        <v>-0.17127198935142021</v>
      </c>
    </row>
    <row r="523" spans="1:26" ht="20.100000000000001" customHeight="1" x14ac:dyDescent="0.2">
      <c r="A523" s="776">
        <f t="shared" si="241"/>
        <v>820</v>
      </c>
      <c r="B523" s="795">
        <v>43053</v>
      </c>
      <c r="C523" s="820">
        <v>2578.87</v>
      </c>
      <c r="D523" s="792">
        <f t="shared" si="239"/>
        <v>-2.309620711533501E-3</v>
      </c>
      <c r="E523" s="819">
        <f t="shared" si="232"/>
        <v>0.22660813150434725</v>
      </c>
      <c r="F523" s="816">
        <v>6737.87</v>
      </c>
      <c r="G523" s="792">
        <f t="shared" si="240"/>
        <v>-2.9182001275603071E-3</v>
      </c>
      <c r="H523" s="797">
        <f t="shared" si="233"/>
        <v>0.32330459375061377</v>
      </c>
      <c r="I523" s="799">
        <v>315348.65000000002</v>
      </c>
      <c r="J523" s="800">
        <v>300000</v>
      </c>
      <c r="K523" s="800">
        <f t="shared" si="234"/>
        <v>-2104.0599999999977</v>
      </c>
      <c r="L523" s="792">
        <f t="shared" si="235"/>
        <v>-6.627947828827788E-3</v>
      </c>
      <c r="M523" s="817">
        <f t="shared" si="236"/>
        <v>15348.650000000023</v>
      </c>
      <c r="N523" s="802">
        <f t="shared" si="242"/>
        <v>5.1162166666666745E-2</v>
      </c>
      <c r="O523" s="786">
        <f t="shared" si="244"/>
        <v>2.2789001676829301E-2</v>
      </c>
      <c r="P523" s="817" t="b">
        <f t="shared" si="237"/>
        <v>0</v>
      </c>
      <c r="Q523" s="802">
        <f>COUNTIF(P$2:P523, TRUE)/(COUNTIF(P$2:P523,FALSE) + COUNTIF(P$2:P523, TRUE))</f>
        <v>0.47892720306513409</v>
      </c>
      <c r="R523" s="800">
        <v>264335.06</v>
      </c>
      <c r="S523" s="800">
        <f t="shared" si="245"/>
        <v>51013.590000000026</v>
      </c>
      <c r="T523" s="800">
        <v>-42023</v>
      </c>
      <c r="U523" s="800">
        <f t="shared" si="243"/>
        <v>57371.650000000023</v>
      </c>
      <c r="V523" s="802">
        <f>STDEV(D$2:D523)*SQRT(252)</f>
        <v>0.13787657219144886</v>
      </c>
      <c r="W523" s="802">
        <f>STDEV(L$2:L523)*SQRT(252)</f>
        <v>0.29646980505097381</v>
      </c>
      <c r="X523" s="801">
        <f t="shared" si="224"/>
        <v>0.73208479075210031</v>
      </c>
      <c r="Y523" s="801">
        <f t="shared" si="225"/>
        <v>7.6867867447449001E-2</v>
      </c>
      <c r="Z523" s="807">
        <f t="shared" si="226"/>
        <v>-0.17544596483768049</v>
      </c>
    </row>
    <row r="524" spans="1:26" ht="20.100000000000001" customHeight="1" x14ac:dyDescent="0.2">
      <c r="A524" s="776">
        <f t="shared" si="241"/>
        <v>821</v>
      </c>
      <c r="B524" s="795">
        <v>43054</v>
      </c>
      <c r="C524" s="820">
        <v>2564.62</v>
      </c>
      <c r="D524" s="792">
        <f t="shared" si="239"/>
        <v>-5.5256759743608636E-3</v>
      </c>
      <c r="E524" s="819">
        <f t="shared" si="232"/>
        <v>0.219830292422138</v>
      </c>
      <c r="F524" s="816">
        <v>6706.2</v>
      </c>
      <c r="G524" s="792">
        <f t="shared" si="240"/>
        <v>-4.7002984622736971E-3</v>
      </c>
      <c r="H524" s="797">
        <f t="shared" si="233"/>
        <v>0.31708466720348805</v>
      </c>
      <c r="I524" s="799">
        <v>313226.95</v>
      </c>
      <c r="J524" s="800">
        <v>300000</v>
      </c>
      <c r="K524" s="800">
        <f t="shared" si="234"/>
        <v>-2121.7000000000116</v>
      </c>
      <c r="L524" s="792">
        <f t="shared" si="235"/>
        <v>-6.7281087139583803E-3</v>
      </c>
      <c r="M524" s="817">
        <f t="shared" si="236"/>
        <v>13226.950000000012</v>
      </c>
      <c r="N524" s="802">
        <f t="shared" si="242"/>
        <v>4.408983333333337E-2</v>
      </c>
      <c r="O524" s="786">
        <f t="shared" si="244"/>
        <v>1.9614874086479918E-2</v>
      </c>
      <c r="P524" s="817" t="b">
        <f t="shared" si="237"/>
        <v>0</v>
      </c>
      <c r="Q524" s="802">
        <f>COUNTIF(P$2:P524, TRUE)/(COUNTIF(P$2:P524,FALSE) + COUNTIF(P$2:P524, TRUE))</f>
        <v>0.47801147227533458</v>
      </c>
      <c r="R524" s="800">
        <v>262213.36</v>
      </c>
      <c r="S524" s="800">
        <f t="shared" si="245"/>
        <v>51013.590000000026</v>
      </c>
      <c r="T524" s="800">
        <v>-42790</v>
      </c>
      <c r="U524" s="800">
        <f t="shared" si="243"/>
        <v>56016.950000000012</v>
      </c>
      <c r="V524" s="802">
        <f>STDEV(D$2:D524)*SQRT(252)</f>
        <v>0.13780632580778587</v>
      </c>
      <c r="W524" s="802">
        <f>STDEV(L$2:L524)*SQRT(252)</f>
        <v>0.29622688136541453</v>
      </c>
      <c r="X524" s="801">
        <f t="shared" si="224"/>
        <v>0.70968471462993621</v>
      </c>
      <c r="Y524" s="801">
        <f t="shared" si="225"/>
        <v>6.6215712753913566E-2</v>
      </c>
      <c r="Z524" s="807">
        <f t="shared" si="226"/>
        <v>-0.17574045908880465</v>
      </c>
    </row>
    <row r="525" spans="1:26" ht="20.100000000000001" customHeight="1" x14ac:dyDescent="0.2">
      <c r="A525" s="776">
        <f t="shared" si="241"/>
        <v>822</v>
      </c>
      <c r="B525" s="795">
        <v>43055</v>
      </c>
      <c r="C525" s="820">
        <v>2585.64</v>
      </c>
      <c r="D525" s="792">
        <f t="shared" si="239"/>
        <v>8.1961460177336146E-3</v>
      </c>
      <c r="E525" s="819">
        <f t="shared" si="232"/>
        <v>0.22982819961568454</v>
      </c>
      <c r="F525" s="816">
        <v>6793.29</v>
      </c>
      <c r="G525" s="792">
        <f t="shared" si="240"/>
        <v>1.2986490113626219E-2</v>
      </c>
      <c r="H525" s="797">
        <f t="shared" si="233"/>
        <v>0.33418897421293481</v>
      </c>
      <c r="I525" s="799">
        <v>314306.15000000002</v>
      </c>
      <c r="J525" s="800">
        <v>300000</v>
      </c>
      <c r="K525" s="800">
        <f t="shared" si="234"/>
        <v>1079.2000000000116</v>
      </c>
      <c r="L525" s="792">
        <f t="shared" ref="L525:L535" si="246">K525/I524</f>
        <v>3.4454251142821894E-3</v>
      </c>
      <c r="M525" s="817">
        <f t="shared" si="236"/>
        <v>14306.150000000023</v>
      </c>
      <c r="N525" s="802">
        <f t="shared" si="242"/>
        <v>4.7687166666666746E-2</v>
      </c>
      <c r="O525" s="786">
        <f t="shared" si="244"/>
        <v>2.1189461830900279E-2</v>
      </c>
      <c r="P525" s="817" t="b">
        <f t="shared" si="237"/>
        <v>0</v>
      </c>
      <c r="Q525" s="802">
        <f>COUNTIF(P$2:P525, TRUE)/(COUNTIF(P$2:P525,FALSE) + COUNTIF(P$2:P525, TRUE))</f>
        <v>0.47709923664122139</v>
      </c>
      <c r="R525" s="800">
        <v>263292.56</v>
      </c>
      <c r="S525" s="800">
        <f t="shared" si="245"/>
        <v>51013.590000000026</v>
      </c>
      <c r="T525" s="800">
        <v>-41450</v>
      </c>
      <c r="U525" s="800">
        <f t="shared" si="243"/>
        <v>55756.150000000023</v>
      </c>
      <c r="V525" s="802">
        <f>STDEV(D$2:D525)*SQRT(252)</f>
        <v>0.13778008469132433</v>
      </c>
      <c r="W525" s="802">
        <f>STDEV(L$2:L525)*SQRT(252)</f>
        <v>0.29595048173151545</v>
      </c>
      <c r="X525" s="801">
        <f t="shared" si="224"/>
        <v>0.74119976794052167</v>
      </c>
      <c r="Y525" s="801">
        <f t="shared" si="225"/>
        <v>7.1597997431621804E-2</v>
      </c>
      <c r="Z525" s="807">
        <f t="shared" si="226"/>
        <v>-0.18214103294901779</v>
      </c>
    </row>
    <row r="526" spans="1:26" ht="20.100000000000001" customHeight="1" x14ac:dyDescent="0.2">
      <c r="A526" s="776">
        <f t="shared" si="241"/>
        <v>823</v>
      </c>
      <c r="B526" s="795">
        <v>43056</v>
      </c>
      <c r="C526" s="820">
        <v>2578.85</v>
      </c>
      <c r="D526" s="792">
        <f t="shared" ref="D526:D535" si="247">(C526-C525)/C525</f>
        <v>-2.626042295137747E-3</v>
      </c>
      <c r="E526" s="819">
        <f t="shared" si="232"/>
        <v>0.22659861874774065</v>
      </c>
      <c r="F526" s="816">
        <v>6782.79</v>
      </c>
      <c r="G526" s="792">
        <f t="shared" ref="G526:G535" si="248">(F526-F525)/F525</f>
        <v>-1.5456428328541841E-3</v>
      </c>
      <c r="H526" s="797">
        <f t="shared" ref="H526:H531" si="249">(F526-F$2)/F$2</f>
        <v>0.33212679458726951</v>
      </c>
      <c r="I526" s="799">
        <v>321104.7</v>
      </c>
      <c r="J526" s="800">
        <v>300000</v>
      </c>
      <c r="K526" s="800">
        <f t="shared" ref="K526:K531" si="250">I526-I525-J526+J525</f>
        <v>6798.5499999999884</v>
      </c>
      <c r="L526" s="792">
        <f t="shared" si="246"/>
        <v>2.1630343536071399E-2</v>
      </c>
      <c r="M526" s="817">
        <f t="shared" si="236"/>
        <v>21104.700000000012</v>
      </c>
      <c r="N526" s="802">
        <f t="shared" si="242"/>
        <v>7.0349000000000037E-2</v>
      </c>
      <c r="O526" s="786">
        <f t="shared" si="244"/>
        <v>3.1221108444714474E-2</v>
      </c>
      <c r="P526" s="817" t="b">
        <f t="shared" si="237"/>
        <v>1</v>
      </c>
      <c r="Q526" s="802">
        <f>COUNTIF(P$2:P526, TRUE)/(COUNTIF(P$2:P526,FALSE) + COUNTIF(P$2:P526, TRUE))</f>
        <v>0.47809523809523807</v>
      </c>
      <c r="R526" s="800">
        <v>265575.21000000002</v>
      </c>
      <c r="S526" s="800">
        <f t="shared" si="245"/>
        <v>55529.489999999991</v>
      </c>
      <c r="T526" s="800">
        <v>-39110</v>
      </c>
      <c r="U526" s="800">
        <f t="shared" si="243"/>
        <v>60214.700000000012</v>
      </c>
      <c r="V526" s="802">
        <f>STDEV(D$2:D526)*SQRT(252)</f>
        <v>0.13766464845192211</v>
      </c>
      <c r="W526" s="802">
        <f>STDEV(L$2:L526)*SQRT(252)</f>
        <v>0.2960330501805109</v>
      </c>
      <c r="X526" s="801">
        <f t="shared" si="224"/>
        <v>0.7305084057202802</v>
      </c>
      <c r="Y526" s="801">
        <f t="shared" si="225"/>
        <v>0.10546494192346734</v>
      </c>
      <c r="Z526" s="807">
        <f t="shared" si="226"/>
        <v>-0.15624961874774063</v>
      </c>
    </row>
    <row r="527" spans="1:26" ht="20.100000000000001" customHeight="1" x14ac:dyDescent="0.2">
      <c r="A527" s="776">
        <f t="shared" si="241"/>
        <v>826</v>
      </c>
      <c r="B527" s="795">
        <v>43059</v>
      </c>
      <c r="C527" s="820">
        <v>2582.14</v>
      </c>
      <c r="D527" s="792">
        <f t="shared" si="247"/>
        <v>1.2757624522558365E-3</v>
      </c>
      <c r="E527" s="819">
        <f t="shared" si="232"/>
        <v>0.22816346720952788</v>
      </c>
      <c r="F527" s="816">
        <v>6790.71</v>
      </c>
      <c r="G527" s="792">
        <f t="shared" si="248"/>
        <v>1.1676610952130425E-3</v>
      </c>
      <c r="H527" s="797">
        <f t="shared" si="249"/>
        <v>0.33368226721919991</v>
      </c>
      <c r="I527" s="799">
        <v>317244.77</v>
      </c>
      <c r="J527" s="800">
        <v>300000</v>
      </c>
      <c r="K527" s="800">
        <f t="shared" si="250"/>
        <v>-3859.929999999993</v>
      </c>
      <c r="L527" s="792">
        <f t="shared" si="246"/>
        <v>-1.2020783252316123E-2</v>
      </c>
      <c r="M527" s="817">
        <f t="shared" si="236"/>
        <v>17244.770000000019</v>
      </c>
      <c r="N527" s="802">
        <f t="shared" si="242"/>
        <v>5.7482566666666728E-2</v>
      </c>
      <c r="O527" s="786">
        <f t="shared" si="244"/>
        <v>2.5418289921307534E-2</v>
      </c>
      <c r="P527" s="817" t="b">
        <f t="shared" si="237"/>
        <v>0</v>
      </c>
      <c r="Q527" s="802">
        <f>COUNTIF(P$2:P527, TRUE)/(COUNTIF(P$2:P527,FALSE) + COUNTIF(P$2:P527, TRUE))</f>
        <v>0.47718631178707227</v>
      </c>
      <c r="R527" s="800">
        <v>269452.65000000002</v>
      </c>
      <c r="S527" s="800">
        <f t="shared" si="245"/>
        <v>47792.119999999995</v>
      </c>
      <c r="T527" s="800">
        <v>-39516</v>
      </c>
      <c r="U527" s="800">
        <f t="shared" si="243"/>
        <v>56760.770000000019</v>
      </c>
      <c r="V527" s="802">
        <f>STDEV(D$2:D527)*SQRT(252)</f>
        <v>0.13753448250442588</v>
      </c>
      <c r="W527" s="802">
        <f>STDEV(L$2:L527)*SQRT(252)</f>
        <v>0.29587683509559043</v>
      </c>
      <c r="X527" s="801">
        <f t="shared" si="224"/>
        <v>0.73357527893202901</v>
      </c>
      <c r="Y527" s="801">
        <f t="shared" si="225"/>
        <v>8.5908347346947647E-2</v>
      </c>
      <c r="Z527" s="807">
        <f t="shared" si="226"/>
        <v>-0.17068090054286114</v>
      </c>
    </row>
    <row r="528" spans="1:26" ht="20.100000000000001" customHeight="1" x14ac:dyDescent="0.2">
      <c r="A528" s="776">
        <f t="shared" si="241"/>
        <v>827</v>
      </c>
      <c r="B528" s="795">
        <v>43060</v>
      </c>
      <c r="C528" s="820">
        <v>2599.0300000000002</v>
      </c>
      <c r="D528" s="792">
        <f t="shared" si="247"/>
        <v>6.5410860758906677E-3</v>
      </c>
      <c r="E528" s="819">
        <f t="shared" si="232"/>
        <v>0.23619699016380974</v>
      </c>
      <c r="F528" s="816">
        <v>6862.47</v>
      </c>
      <c r="G528" s="792">
        <f t="shared" si="248"/>
        <v>1.0567378079758997E-2</v>
      </c>
      <c r="H528" s="797">
        <f t="shared" si="249"/>
        <v>0.34777579197517539</v>
      </c>
      <c r="I528" s="799">
        <v>314456.46999999997</v>
      </c>
      <c r="J528" s="800">
        <v>300000</v>
      </c>
      <c r="K528" s="800">
        <f t="shared" si="250"/>
        <v>-2788.3000000000466</v>
      </c>
      <c r="L528" s="792">
        <f t="shared" si="246"/>
        <v>-8.7891125833218509E-3</v>
      </c>
      <c r="M528" s="817">
        <f t="shared" si="236"/>
        <v>14456.469999999972</v>
      </c>
      <c r="N528" s="802">
        <f t="shared" si="242"/>
        <v>4.818823333333324E-2</v>
      </c>
      <c r="O528" s="786">
        <f t="shared" si="244"/>
        <v>2.1282650816203105E-2</v>
      </c>
      <c r="P528" s="817" t="b">
        <f t="shared" si="237"/>
        <v>0</v>
      </c>
      <c r="Q528" s="802">
        <f>COUNTIF(P$2:P528, TRUE)/(COUNTIF(P$2:P528,FALSE) + COUNTIF(P$2:P528, TRUE))</f>
        <v>0.47628083491461098</v>
      </c>
      <c r="R528" s="800">
        <v>265189.45</v>
      </c>
      <c r="S528" s="800">
        <f t="shared" si="245"/>
        <v>49267.01999999996</v>
      </c>
      <c r="T528" s="800">
        <v>-40292</v>
      </c>
      <c r="U528" s="800">
        <f t="shared" si="243"/>
        <v>54748.469999999972</v>
      </c>
      <c r="V528" s="802">
        <f>STDEV(D$2:D528)*SQRT(252)</f>
        <v>0.1374685486648749</v>
      </c>
      <c r="W528" s="802">
        <f>STDEV(L$2:L528)*SQRT(252)</f>
        <v>0.29566388479473038</v>
      </c>
      <c r="X528" s="801">
        <f t="shared" si="224"/>
        <v>0.75884962980378745</v>
      </c>
      <c r="Y528" s="801">
        <f t="shared" si="225"/>
        <v>7.1982585329888854E-2</v>
      </c>
      <c r="Z528" s="807">
        <f t="shared" si="226"/>
        <v>-0.18800875683047649</v>
      </c>
    </row>
    <row r="529" spans="1:26" ht="20.100000000000001" customHeight="1" x14ac:dyDescent="0.2">
      <c r="A529" s="776">
        <f t="shared" si="241"/>
        <v>828</v>
      </c>
      <c r="B529" s="795">
        <v>43061</v>
      </c>
      <c r="C529" s="820">
        <v>2597.08</v>
      </c>
      <c r="D529" s="792">
        <f t="shared" si="247"/>
        <v>-7.5027991212116545E-4</v>
      </c>
      <c r="E529" s="819">
        <f t="shared" si="232"/>
        <v>0.23526949639466518</v>
      </c>
      <c r="F529" s="816">
        <v>6867.36</v>
      </c>
      <c r="G529" s="792">
        <f t="shared" si="248"/>
        <v>7.1257142107716582E-4</v>
      </c>
      <c r="H529" s="797">
        <f t="shared" si="249"/>
        <v>0.34873617848655653</v>
      </c>
      <c r="I529" s="799">
        <v>318417.02</v>
      </c>
      <c r="J529" s="800">
        <v>300000</v>
      </c>
      <c r="K529" s="800">
        <f t="shared" si="250"/>
        <v>3960.5500000000466</v>
      </c>
      <c r="L529" s="792">
        <f t="shared" si="246"/>
        <v>1.259490701527002E-2</v>
      </c>
      <c r="M529" s="817">
        <f t="shared" si="236"/>
        <v>18417.020000000019</v>
      </c>
      <c r="N529" s="802">
        <f t="shared" si="242"/>
        <v>6.1390066666666729E-2</v>
      </c>
      <c r="O529" s="786">
        <f t="shared" si="244"/>
        <v>2.7080581944444473E-2</v>
      </c>
      <c r="P529" s="817" t="b">
        <f t="shared" si="237"/>
        <v>1</v>
      </c>
      <c r="Q529" s="802">
        <f>COUNTIF(P$2:P529, TRUE)/(COUNTIF(P$2:P529,FALSE) + COUNTIF(P$2:P529, TRUE))</f>
        <v>0.47727272727272729</v>
      </c>
      <c r="R529" s="800">
        <v>269150</v>
      </c>
      <c r="S529" s="800">
        <f t="shared" si="245"/>
        <v>49267.020000000019</v>
      </c>
      <c r="T529" s="800">
        <v>-40272</v>
      </c>
      <c r="U529" s="800">
        <f t="shared" si="243"/>
        <v>58689.020000000019</v>
      </c>
      <c r="V529" s="802">
        <f>STDEV(D$2:D529)*SQRT(252)</f>
        <v>0.13734028165816675</v>
      </c>
      <c r="W529" s="802">
        <f>STDEV(L$2:L529)*SQRT(252)</f>
        <v>0.29550266839423467</v>
      </c>
      <c r="X529" s="801">
        <f t="shared" si="224"/>
        <v>0.75566198882969593</v>
      </c>
      <c r="Y529" s="801">
        <f t="shared" si="225"/>
        <v>9.1642427770959586E-2</v>
      </c>
      <c r="Z529" s="807">
        <f t="shared" si="226"/>
        <v>-0.17387942972799847</v>
      </c>
    </row>
    <row r="530" spans="1:26" ht="20.100000000000001" customHeight="1" x14ac:dyDescent="0.2">
      <c r="A530" s="776">
        <f t="shared" si="241"/>
        <v>830</v>
      </c>
      <c r="B530" s="795">
        <v>43063</v>
      </c>
      <c r="C530" s="820">
        <v>2602.42</v>
      </c>
      <c r="D530" s="792">
        <f t="shared" si="247"/>
        <v>2.0561553744975689E-3</v>
      </c>
      <c r="E530" s="819">
        <f t="shared" si="232"/>
        <v>0.23780940240862997</v>
      </c>
      <c r="F530" s="816">
        <v>6889.16</v>
      </c>
      <c r="G530" s="792">
        <f t="shared" si="248"/>
        <v>3.1744367559004018E-3</v>
      </c>
      <c r="H530" s="797">
        <f t="shared" si="249"/>
        <v>0.35301765618555692</v>
      </c>
      <c r="I530" s="799">
        <v>319044.73</v>
      </c>
      <c r="J530" s="800">
        <v>300000</v>
      </c>
      <c r="K530" s="800">
        <f t="shared" si="250"/>
        <v>627.70999999996275</v>
      </c>
      <c r="L530" s="792">
        <f t="shared" si="246"/>
        <v>1.9713456271902886E-3</v>
      </c>
      <c r="M530" s="817">
        <f t="shared" si="236"/>
        <v>19044.729999999981</v>
      </c>
      <c r="N530" s="802">
        <f t="shared" si="242"/>
        <v>6.3482433333333269E-2</v>
      </c>
      <c r="O530" s="786">
        <f t="shared" si="244"/>
        <v>2.7936094909638529E-2</v>
      </c>
      <c r="P530" s="817" t="b">
        <f t="shared" si="237"/>
        <v>0</v>
      </c>
      <c r="Q530" s="802">
        <f>COUNTIF(P$2:P530, TRUE)/(COUNTIF(P$2:P530,FALSE) + COUNTIF(P$2:P530, TRUE))</f>
        <v>0.47637051039697542</v>
      </c>
      <c r="R530" s="800">
        <v>266201.84999999998</v>
      </c>
      <c r="S530" s="800">
        <f t="shared" si="245"/>
        <v>52842.880000000005</v>
      </c>
      <c r="T530" s="800">
        <v>-39912</v>
      </c>
      <c r="U530" s="800">
        <f t="shared" si="243"/>
        <v>58956.729999999981</v>
      </c>
      <c r="V530" s="802">
        <f>STDEV(D$2:D530)*SQRT(252)</f>
        <v>0.13721446818561206</v>
      </c>
      <c r="W530" s="802">
        <f>STDEV(L$2:L530)*SQRT(252)</f>
        <v>0.29522406153940112</v>
      </c>
      <c r="X530" s="801">
        <f t="shared" si="224"/>
        <v>0.76267804926992055</v>
      </c>
      <c r="Y530" s="801">
        <f t="shared" si="225"/>
        <v>9.4626754892436604E-2</v>
      </c>
      <c r="Z530" s="807">
        <f t="shared" si="226"/>
        <v>-0.17432696907529671</v>
      </c>
    </row>
    <row r="531" spans="1:26" ht="20.100000000000001" customHeight="1" x14ac:dyDescent="0.2">
      <c r="A531" s="776">
        <f t="shared" si="241"/>
        <v>833</v>
      </c>
      <c r="B531" s="795">
        <v>43066</v>
      </c>
      <c r="C531" s="820">
        <v>2601.42</v>
      </c>
      <c r="D531" s="792">
        <f t="shared" si="247"/>
        <v>-3.8425772934422574E-4</v>
      </c>
      <c r="E531" s="819">
        <f t="shared" si="232"/>
        <v>0.23733376457829949</v>
      </c>
      <c r="F531" s="816">
        <v>6878.52</v>
      </c>
      <c r="G531" s="792">
        <f t="shared" si="248"/>
        <v>-1.5444553472410887E-3</v>
      </c>
      <c r="H531" s="797">
        <f t="shared" si="249"/>
        <v>0.35092798083154952</v>
      </c>
      <c r="I531" s="799">
        <v>316554.36</v>
      </c>
      <c r="J531" s="800">
        <v>300000</v>
      </c>
      <c r="K531" s="800">
        <f t="shared" si="250"/>
        <v>-2490.3699999999953</v>
      </c>
      <c r="L531" s="792">
        <f t="shared" si="246"/>
        <v>-7.8057079958662708E-3</v>
      </c>
      <c r="M531" s="817">
        <f t="shared" si="236"/>
        <v>16554.359999999986</v>
      </c>
      <c r="N531" s="802">
        <f t="shared" si="242"/>
        <v>5.5181199999999951E-2</v>
      </c>
      <c r="O531" s="786">
        <f t="shared" si="244"/>
        <v>2.4195598199279689E-2</v>
      </c>
      <c r="P531" s="817" t="b">
        <f t="shared" si="237"/>
        <v>0</v>
      </c>
      <c r="Q531" s="802">
        <f>COUNTIF(P$2:P531, TRUE)/(COUNTIF(P$2:P531,FALSE) + COUNTIF(P$2:P531, TRUE))</f>
        <v>0.47547169811320755</v>
      </c>
      <c r="R531" s="800">
        <v>260753.55</v>
      </c>
      <c r="S531" s="800">
        <f t="shared" si="245"/>
        <v>55800.81</v>
      </c>
      <c r="T531" s="800">
        <v>-39552</v>
      </c>
      <c r="U531" s="800">
        <f t="shared" si="243"/>
        <v>56106.359999999986</v>
      </c>
      <c r="V531" s="802">
        <f>STDEV(D$2:D531)*SQRT(252)</f>
        <v>0.13708565300302389</v>
      </c>
      <c r="W531" s="802">
        <f>STDEV(L$2:L531)*SQRT(252)</f>
        <v>0.29499933504599252</v>
      </c>
      <c r="X531" s="801">
        <f t="shared" si="224"/>
        <v>0.75912404209345974</v>
      </c>
      <c r="Y531" s="801">
        <f t="shared" si="225"/>
        <v>8.2019161824576386E-2</v>
      </c>
      <c r="Z531" s="807">
        <f t="shared" si="226"/>
        <v>-0.18215256457829954</v>
      </c>
    </row>
    <row r="532" spans="1:26" ht="20.100000000000001" customHeight="1" x14ac:dyDescent="0.2">
      <c r="A532" s="776">
        <f t="shared" si="241"/>
        <v>834</v>
      </c>
      <c r="B532" s="795">
        <v>43067</v>
      </c>
      <c r="C532" s="820">
        <v>2627.04</v>
      </c>
      <c r="D532" s="792">
        <f t="shared" si="247"/>
        <v>9.8484673755102562E-3</v>
      </c>
      <c r="E532" s="819">
        <f t="shared" si="232"/>
        <v>0.24951960579136617</v>
      </c>
      <c r="F532" s="816">
        <v>6912.35</v>
      </c>
      <c r="G532" s="792">
        <f t="shared" si="248"/>
        <v>4.9182091496426444E-3</v>
      </c>
      <c r="H532" s="797">
        <f>(F532-F$2)/F$2</f>
        <v>0.35757212718738351</v>
      </c>
      <c r="I532" s="799">
        <v>320874.51</v>
      </c>
      <c r="J532" s="800">
        <v>300000</v>
      </c>
      <c r="K532" s="800">
        <f>I532-I531-J532+J531</f>
        <v>4320.1500000000233</v>
      </c>
      <c r="L532" s="792">
        <f t="shared" si="246"/>
        <v>1.364741904044545E-2</v>
      </c>
      <c r="M532" s="817">
        <f t="shared" si="236"/>
        <v>20874.510000000009</v>
      </c>
      <c r="N532" s="802">
        <f t="shared" si="242"/>
        <v>6.9581700000000038E-2</v>
      </c>
      <c r="O532" s="786">
        <f t="shared" si="244"/>
        <v>3.0473280485611525E-2</v>
      </c>
      <c r="P532" s="817" t="b">
        <f t="shared" si="237"/>
        <v>1</v>
      </c>
      <c r="Q532" s="802">
        <f>COUNTIF(P$2:P532, TRUE)/(COUNTIF(P$2:P532,FALSE) + COUNTIF(P$2:P532, TRUE))</f>
        <v>0.47645951035781542</v>
      </c>
      <c r="R532" s="800">
        <v>265073.7</v>
      </c>
      <c r="S532" s="800">
        <f t="shared" si="245"/>
        <v>55800.81</v>
      </c>
      <c r="T532" s="800">
        <v>-38368</v>
      </c>
      <c r="U532" s="800">
        <f t="shared" si="243"/>
        <v>59242.510000000009</v>
      </c>
      <c r="V532" s="802">
        <f>STDEV(D$2:D532)*SQRT(252)</f>
        <v>0.13710959839796619</v>
      </c>
      <c r="W532" s="802">
        <f>STDEV(L$2:L532)*SQRT(252)</f>
        <v>0.29486126793955258</v>
      </c>
      <c r="X532" s="801">
        <f t="shared" si="224"/>
        <v>0.79700489883934988</v>
      </c>
      <c r="Y532" s="801">
        <f t="shared" si="225"/>
        <v>0.10334785812512559</v>
      </c>
      <c r="Z532" s="807">
        <f t="shared" si="226"/>
        <v>-0.17993790579136615</v>
      </c>
    </row>
    <row r="533" spans="1:26" ht="20.100000000000001" customHeight="1" x14ac:dyDescent="0.2">
      <c r="A533" s="776">
        <f t="shared" si="241"/>
        <v>835</v>
      </c>
      <c r="B533" s="795">
        <v>43068</v>
      </c>
      <c r="C533" s="820">
        <v>2626.07</v>
      </c>
      <c r="D533" s="792">
        <f t="shared" si="247"/>
        <v>-3.6923685973559592E-4</v>
      </c>
      <c r="E533" s="819">
        <f t="shared" si="232"/>
        <v>0.24905823709594571</v>
      </c>
      <c r="F533" s="816">
        <v>6824.38</v>
      </c>
      <c r="G533" s="792">
        <f t="shared" si="248"/>
        <v>-1.2726496777506962E-2</v>
      </c>
      <c r="H533" s="797">
        <f>(F533-F$2)/F$2</f>
        <v>0.3402949898855</v>
      </c>
      <c r="I533" s="799">
        <v>325656.67</v>
      </c>
      <c r="J533" s="800">
        <v>300000</v>
      </c>
      <c r="K533" s="800">
        <f>I533-I532-J533+J532</f>
        <v>4782.1599999999744</v>
      </c>
      <c r="L533" s="792">
        <f t="shared" si="246"/>
        <v>1.4903521005766317E-2</v>
      </c>
      <c r="M533" s="817">
        <f t="shared" si="236"/>
        <v>25656.669999999984</v>
      </c>
      <c r="N533" s="802">
        <f t="shared" si="242"/>
        <v>8.5522233333333281E-2</v>
      </c>
      <c r="O533" s="786">
        <f t="shared" si="244"/>
        <v>3.7409575718562849E-2</v>
      </c>
      <c r="P533" s="817" t="b">
        <f t="shared" si="237"/>
        <v>1</v>
      </c>
      <c r="Q533" s="802">
        <f>COUNTIF(P$2:P533, TRUE)/(COUNTIF(P$2:P533,FALSE) + COUNTIF(P$2:P533, TRUE))</f>
        <v>0.47744360902255639</v>
      </c>
      <c r="R533" s="800">
        <v>253485</v>
      </c>
      <c r="S533" s="800">
        <f t="shared" si="245"/>
        <v>72171.669999999984</v>
      </c>
      <c r="T533" s="800">
        <v>-37392</v>
      </c>
      <c r="U533" s="800">
        <f t="shared" si="243"/>
        <v>63048.669999999984</v>
      </c>
      <c r="V533" s="802">
        <f>STDEV(D$2:D533)*SQRT(252)</f>
        <v>0.13698137278007791</v>
      </c>
      <c r="W533" s="802">
        <f>STDEV(L$2:L533)*SQRT(252)</f>
        <v>0.29475108064348648</v>
      </c>
      <c r="X533" s="801">
        <f t="shared" si="224"/>
        <v>0.79532227218054108</v>
      </c>
      <c r="Y533" s="801">
        <f t="shared" si="225"/>
        <v>0.12691921480624277</v>
      </c>
      <c r="Z533" s="807">
        <f t="shared" si="226"/>
        <v>-0.16353600376261243</v>
      </c>
    </row>
    <row r="534" spans="1:26" ht="20.100000000000001" customHeight="1" x14ac:dyDescent="0.2">
      <c r="A534" s="776">
        <f t="shared" si="241"/>
        <v>836</v>
      </c>
      <c r="B534" s="795">
        <v>43069</v>
      </c>
      <c r="C534" s="820">
        <v>2647.58</v>
      </c>
      <c r="D534" s="792">
        <f t="shared" si="247"/>
        <v>8.1909469282996118E-3</v>
      </c>
      <c r="E534" s="819">
        <f t="shared" si="232"/>
        <v>0.25928920682635409</v>
      </c>
      <c r="F534" s="816">
        <v>6873.97</v>
      </c>
      <c r="G534" s="792">
        <f t="shared" si="248"/>
        <v>7.2665941814494713E-3</v>
      </c>
      <c r="H534" s="797">
        <f>(F534-F$2)/F$2</f>
        <v>0.35003436966042784</v>
      </c>
      <c r="I534" s="822">
        <v>329885.27</v>
      </c>
      <c r="J534" s="800">
        <v>300000</v>
      </c>
      <c r="K534" s="800">
        <f>I534-I533-J534+J533</f>
        <v>4228.6000000000349</v>
      </c>
      <c r="L534" s="792">
        <f t="shared" si="246"/>
        <v>1.2984840752686059E-2</v>
      </c>
      <c r="M534" s="822">
        <f t="shared" si="236"/>
        <v>29885.270000000019</v>
      </c>
      <c r="N534" s="802">
        <f t="shared" si="242"/>
        <v>9.9617566666666726E-2</v>
      </c>
      <c r="O534" s="786">
        <f t="shared" si="244"/>
        <v>4.3523105532296678E-2</v>
      </c>
      <c r="P534" s="817" t="b">
        <f t="shared" si="237"/>
        <v>1</v>
      </c>
      <c r="Q534" s="802">
        <f>COUNTIF(P$2:P534, TRUE)/(COUNTIF(P$2:P534,FALSE) + COUNTIF(P$2:P534, TRUE))</f>
        <v>0.47842401500938087</v>
      </c>
      <c r="R534" s="800">
        <v>235596.4</v>
      </c>
      <c r="S534" s="800">
        <f t="shared" si="245"/>
        <v>94288.870000000024</v>
      </c>
      <c r="T534" s="800">
        <v>-34548</v>
      </c>
      <c r="U534" s="800">
        <f t="shared" si="243"/>
        <v>64433.270000000019</v>
      </c>
      <c r="V534" s="802">
        <f>STDEV(D$2:D534)*SQRT(252)</f>
        <v>0.13695583195186545</v>
      </c>
      <c r="W534" s="802">
        <f>STDEV(L$2:L534)*SQRT(252)</f>
        <v>0.29459910800633998</v>
      </c>
      <c r="X534" s="801">
        <f t="shared" si="224"/>
        <v>0.82715682198575313</v>
      </c>
      <c r="Y534" s="801">
        <f t="shared" si="225"/>
        <v>0.14773671864396828</v>
      </c>
      <c r="Z534" s="807">
        <f t="shared" si="226"/>
        <v>-0.15967164015968738</v>
      </c>
    </row>
    <row r="535" spans="1:26" ht="20.100000000000001" customHeight="1" x14ac:dyDescent="0.2">
      <c r="A535" s="776">
        <f t="shared" si="241"/>
        <v>837</v>
      </c>
      <c r="B535" s="795">
        <v>43070</v>
      </c>
      <c r="C535" s="820">
        <v>2642.22</v>
      </c>
      <c r="D535" s="792">
        <f t="shared" si="247"/>
        <v>-2.0244902892453212E-3</v>
      </c>
      <c r="E535" s="819">
        <f t="shared" si="232"/>
        <v>0.25673978805578268</v>
      </c>
      <c r="F535" s="816">
        <v>6847.58</v>
      </c>
      <c r="G535" s="792">
        <f t="shared" si="248"/>
        <v>-3.839120624617263E-3</v>
      </c>
      <c r="H535" s="797">
        <f>(F535-F$2)/F$2</f>
        <v>0.34485142486792236</v>
      </c>
      <c r="I535" s="799">
        <v>330901.76000000001</v>
      </c>
      <c r="J535" s="800">
        <v>300000</v>
      </c>
      <c r="K535" s="800">
        <f>I535-I534-J535+J534</f>
        <v>1016.4899999999907</v>
      </c>
      <c r="L535" s="792">
        <f t="shared" si="246"/>
        <v>3.0813440078727695E-3</v>
      </c>
      <c r="M535" s="817">
        <f t="shared" si="236"/>
        <v>30901.760000000009</v>
      </c>
      <c r="N535" s="802">
        <f t="shared" si="242"/>
        <v>0.1030058666666667</v>
      </c>
      <c r="O535" s="786">
        <f t="shared" si="244"/>
        <v>4.4949692712066919E-2</v>
      </c>
      <c r="P535" s="817" t="b">
        <f t="shared" si="237"/>
        <v>1</v>
      </c>
      <c r="Q535" s="802">
        <f>COUNTIF(P$2:P535, TRUE)/(COUNTIF(P$2:P535,FALSE) + COUNTIF(P$2:P535, TRUE))</f>
        <v>0.47940074906367042</v>
      </c>
      <c r="R535" s="800">
        <v>233517.4</v>
      </c>
      <c r="S535" s="800">
        <f t="shared" si="245"/>
        <v>97384.360000000015</v>
      </c>
      <c r="T535" s="800">
        <v>-34852</v>
      </c>
      <c r="U535" s="800">
        <f t="shared" si="243"/>
        <v>65753.760000000009</v>
      </c>
      <c r="V535" s="802">
        <f>STDEV(D$2:D535)*SQRT(252)</f>
        <v>0.13683780831243603</v>
      </c>
      <c r="W535" s="802">
        <f>STDEV(L$2:L535)*SQRT(252)</f>
        <v>0.29432742820874164</v>
      </c>
      <c r="X535" s="801">
        <f t="shared" si="224"/>
        <v>0.81875098475480734</v>
      </c>
      <c r="Y535" s="801">
        <f t="shared" si="225"/>
        <v>0.15272002675940854</v>
      </c>
      <c r="Z535" s="807">
        <f t="shared" si="226"/>
        <v>-0.15373392138911599</v>
      </c>
    </row>
    <row r="536" spans="1:26" ht="20.100000000000001" customHeight="1" x14ac:dyDescent="0.2">
      <c r="A536" s="776">
        <f t="shared" si="241"/>
        <v>840</v>
      </c>
      <c r="B536" s="795">
        <v>43073</v>
      </c>
      <c r="C536" s="820">
        <v>2639.44</v>
      </c>
      <c r="D536" s="792">
        <f>(C536-C535)/C535</f>
        <v>-1.0521455442770646E-3</v>
      </c>
      <c r="E536" s="819">
        <f t="shared" si="232"/>
        <v>0.25541751488746406</v>
      </c>
      <c r="F536" s="816">
        <v>6775.36</v>
      </c>
      <c r="G536" s="792">
        <f>(F536-F535)/F535</f>
        <v>-1.0546791713276845E-2</v>
      </c>
      <c r="H536" s="797">
        <f>(F536-F$2)/F$2</f>
        <v>0.33066755700453676</v>
      </c>
      <c r="I536" s="799">
        <v>332631.36</v>
      </c>
      <c r="J536" s="800">
        <v>300000</v>
      </c>
      <c r="K536" s="800">
        <f>I536-I535-J536+J535</f>
        <v>1729.5999999999767</v>
      </c>
      <c r="L536" s="792">
        <f>K536/I535</f>
        <v>5.2269289833936717E-3</v>
      </c>
      <c r="M536" s="817">
        <f t="shared" si="236"/>
        <v>32631.359999999986</v>
      </c>
      <c r="N536" s="802">
        <f t="shared" si="242"/>
        <v>0.10877119999999996</v>
      </c>
      <c r="O536" s="786">
        <f t="shared" si="244"/>
        <v>4.7296048571428558E-2</v>
      </c>
      <c r="P536" s="817" t="b">
        <f t="shared" si="237"/>
        <v>1</v>
      </c>
      <c r="Q536" s="802">
        <f>COUNTIF(P$2:P536, TRUE)/(COUNTIF(P$2:P536,FALSE) + COUNTIF(P$2:P536, TRUE))</f>
        <v>0.48037383177570092</v>
      </c>
      <c r="R536" s="800">
        <v>235247</v>
      </c>
      <c r="S536" s="800">
        <f t="shared" si="245"/>
        <v>97384.359999999986</v>
      </c>
      <c r="T536" s="800">
        <v>-32666</v>
      </c>
      <c r="U536" s="800">
        <f t="shared" si="243"/>
        <v>65297.359999999986</v>
      </c>
      <c r="V536" s="802">
        <f>STDEV(D$2:D536)*SQRT(252)</f>
        <v>0.13671335945296428</v>
      </c>
      <c r="W536" s="802">
        <f>STDEV(L$2:L536)*SQRT(252)</f>
        <v>0.29406904488179125</v>
      </c>
      <c r="X536" s="801">
        <f t="shared" si="224"/>
        <v>0.81236397927695847</v>
      </c>
      <c r="Y536" s="801">
        <f t="shared" si="225"/>
        <v>0.16083314240177998</v>
      </c>
      <c r="Z536" s="807">
        <f t="shared" si="226"/>
        <v>-0.1466463148874641</v>
      </c>
    </row>
    <row r="537" spans="1:26" ht="20.100000000000001" customHeight="1" x14ac:dyDescent="0.2">
      <c r="A537" s="776">
        <f t="shared" si="241"/>
        <v>841</v>
      </c>
      <c r="B537" s="795">
        <v>43074</v>
      </c>
      <c r="C537" s="820">
        <v>2629.57</v>
      </c>
      <c r="D537" s="792">
        <f t="shared" ref="D537:D543" si="251">(C537-C536)/C536</f>
        <v>-3.7394295759706191E-3</v>
      </c>
      <c r="E537" s="819">
        <f t="shared" si="232"/>
        <v>0.25072296950210238</v>
      </c>
      <c r="F537" s="816">
        <v>6762.21</v>
      </c>
      <c r="G537" s="792">
        <f t="shared" ref="G537:G543" si="252">(F537-F536)/F536</f>
        <v>-1.9408562792234858E-3</v>
      </c>
      <c r="H537" s="797">
        <f t="shared" ref="H537:H542" si="253">(F537-F$2)/F$2</f>
        <v>0.32808492252096555</v>
      </c>
      <c r="I537" s="799">
        <v>331089.06</v>
      </c>
      <c r="J537" s="800">
        <v>300000</v>
      </c>
      <c r="K537" s="800">
        <f t="shared" ref="K537:K542" si="254">I537-I536-J537+J536</f>
        <v>-1542.2999999999884</v>
      </c>
      <c r="L537" s="792">
        <f t="shared" ref="L537:L542" si="255">K537/I536</f>
        <v>-4.6366644443866884E-3</v>
      </c>
      <c r="M537" s="817">
        <f t="shared" si="236"/>
        <v>31089.059999999998</v>
      </c>
      <c r="N537" s="802">
        <f t="shared" si="242"/>
        <v>0.10363019999999999</v>
      </c>
      <c r="O537" s="786">
        <f t="shared" si="244"/>
        <v>4.5007051783590962E-2</v>
      </c>
      <c r="P537" s="817" t="b">
        <f t="shared" si="237"/>
        <v>0</v>
      </c>
      <c r="Q537" s="802">
        <f>COUNTIF(P$2:P537, TRUE)/(COUNTIF(P$2:P537,FALSE) + COUNTIF(P$2:P537, TRUE))</f>
        <v>0.47947761194029853</v>
      </c>
      <c r="R537" s="800">
        <v>233704.7</v>
      </c>
      <c r="S537" s="800">
        <f t="shared" si="245"/>
        <v>97384.359999999986</v>
      </c>
      <c r="T537" s="800">
        <v>-33722</v>
      </c>
      <c r="U537" s="800">
        <f t="shared" si="243"/>
        <v>64811.06</v>
      </c>
      <c r="V537" s="802">
        <f>STDEV(D$2:D537)*SQRT(252)</f>
        <v>0.13661573923542011</v>
      </c>
      <c r="W537" s="802">
        <f>STDEV(L$2:L537)*SQRT(252)</f>
        <v>0.29381487860209421</v>
      </c>
      <c r="X537" s="801">
        <f t="shared" si="224"/>
        <v>0.79705376061345667</v>
      </c>
      <c r="Y537" s="801">
        <f t="shared" si="225"/>
        <v>0.15318166322183716</v>
      </c>
      <c r="Z537" s="807">
        <f t="shared" si="226"/>
        <v>-0.14709276950210237</v>
      </c>
    </row>
    <row r="538" spans="1:26" ht="20.100000000000001" customHeight="1" x14ac:dyDescent="0.2">
      <c r="A538" s="776">
        <f t="shared" si="241"/>
        <v>842</v>
      </c>
      <c r="B538" s="795">
        <v>43075</v>
      </c>
      <c r="C538" s="820">
        <v>2629.27</v>
      </c>
      <c r="D538" s="792">
        <f t="shared" si="251"/>
        <v>-1.1408709408769566E-4</v>
      </c>
      <c r="E538" s="819">
        <f t="shared" si="232"/>
        <v>0.25058027815300316</v>
      </c>
      <c r="F538" s="816">
        <v>6776.37</v>
      </c>
      <c r="G538" s="792">
        <f t="shared" si="252"/>
        <v>2.0939899825648499E-3</v>
      </c>
      <c r="H538" s="797">
        <f t="shared" si="253"/>
        <v>0.33086591904471985</v>
      </c>
      <c r="I538" s="799">
        <v>327613.65999999997</v>
      </c>
      <c r="J538" s="800">
        <v>300000</v>
      </c>
      <c r="K538" s="800">
        <f t="shared" si="254"/>
        <v>-3475.4000000000233</v>
      </c>
      <c r="L538" s="792">
        <f t="shared" si="255"/>
        <v>-1.0496873560243952E-2</v>
      </c>
      <c r="M538" s="817">
        <f t="shared" si="236"/>
        <v>27613.659999999974</v>
      </c>
      <c r="N538" s="802">
        <f t="shared" si="242"/>
        <v>9.2045533333333249E-2</v>
      </c>
      <c r="O538" s="786">
        <f t="shared" si="244"/>
        <v>3.9928302909738686E-2</v>
      </c>
      <c r="P538" s="817" t="b">
        <f t="shared" si="237"/>
        <v>0</v>
      </c>
      <c r="Q538" s="802">
        <f>COUNTIF(P$2:P538, TRUE)/(COUNTIF(P$2:P538,FALSE) + COUNTIF(P$2:P538, TRUE))</f>
        <v>0.47858472998137802</v>
      </c>
      <c r="R538" s="800"/>
      <c r="S538" s="800"/>
      <c r="T538" s="800">
        <v>-33418</v>
      </c>
      <c r="U538" s="800">
        <f t="shared" si="243"/>
        <v>61031.659999999974</v>
      </c>
      <c r="V538" s="802">
        <f>STDEV(D$2:D538)*SQRT(252)</f>
        <v>0.13648855933627946</v>
      </c>
      <c r="W538" s="802">
        <f>STDEV(L$2:L538)*SQRT(252)</f>
        <v>0.29363715283343611</v>
      </c>
      <c r="X538" s="801">
        <f t="shared" si="224"/>
        <v>0.79639545042503435</v>
      </c>
      <c r="Y538" s="801">
        <f t="shared" si="225"/>
        <v>0.13597837509474753</v>
      </c>
      <c r="Z538" s="807">
        <f t="shared" si="226"/>
        <v>-0.15853474481966989</v>
      </c>
    </row>
    <row r="539" spans="1:26" ht="20.100000000000001" customHeight="1" x14ac:dyDescent="0.2">
      <c r="A539" s="776">
        <f t="shared" si="241"/>
        <v>843</v>
      </c>
      <c r="B539" s="795">
        <v>43076</v>
      </c>
      <c r="C539" s="820">
        <v>2636.98</v>
      </c>
      <c r="D539" s="792">
        <f t="shared" si="251"/>
        <v>2.9323728639508444E-3</v>
      </c>
      <c r="E539" s="819">
        <f t="shared" si="232"/>
        <v>0.25424744582485109</v>
      </c>
      <c r="F539" s="816">
        <v>6812.84</v>
      </c>
      <c r="G539" s="792">
        <f t="shared" si="252"/>
        <v>5.3819375270240935E-3</v>
      </c>
      <c r="H539" s="797">
        <f t="shared" si="253"/>
        <v>0.33802855627786405</v>
      </c>
      <c r="I539" s="799">
        <v>319288.36</v>
      </c>
      <c r="J539" s="800">
        <v>290000</v>
      </c>
      <c r="K539" s="800">
        <f t="shared" si="254"/>
        <v>1674.7000000000116</v>
      </c>
      <c r="L539" s="792">
        <f t="shared" si="255"/>
        <v>5.111813713750555E-3</v>
      </c>
      <c r="M539" s="817">
        <f t="shared" si="236"/>
        <v>29288.359999999986</v>
      </c>
      <c r="N539" s="802">
        <f t="shared" si="242"/>
        <v>0.10099434482758615</v>
      </c>
      <c r="O539" s="786">
        <f t="shared" si="244"/>
        <v>4.3758225917290443E-2</v>
      </c>
      <c r="P539" s="817" t="b">
        <f t="shared" si="237"/>
        <v>1</v>
      </c>
      <c r="Q539" s="802">
        <f>COUNTIF(P$2:P539, TRUE)/(COUNTIF(P$2:P539,FALSE) + COUNTIF(P$2:P539, TRUE))</f>
        <v>0.4795539033457249</v>
      </c>
      <c r="R539" s="800">
        <v>231904</v>
      </c>
      <c r="S539" s="800">
        <f t="shared" ref="S539:S549" si="256">I539-R539</f>
        <v>87384.359999999986</v>
      </c>
      <c r="T539" s="800"/>
      <c r="U539" s="800"/>
      <c r="V539" s="802">
        <f>STDEV(D$2:D539)*SQRT(252)</f>
        <v>0.13637174643805675</v>
      </c>
      <c r="W539" s="802">
        <f>STDEV(L$2:L539)*SQRT(252)</f>
        <v>0.29338020197975673</v>
      </c>
      <c r="X539" s="801">
        <f t="shared" ref="X539:X602" si="257">E539/(A539/365.25)/V539</f>
        <v>0.80778325531765738</v>
      </c>
      <c r="Y539" s="801">
        <f t="shared" ref="Y539:Y564" si="258">O539/W539</f>
        <v>0.14915193875389643</v>
      </c>
      <c r="Z539" s="807">
        <f t="shared" ref="Z539:Z583" si="259">-(E539-N539)</f>
        <v>-0.15325310099726494</v>
      </c>
    </row>
    <row r="540" spans="1:26" ht="20.100000000000001" customHeight="1" x14ac:dyDescent="0.2">
      <c r="A540" s="776">
        <f t="shared" si="241"/>
        <v>844</v>
      </c>
      <c r="B540" s="795">
        <v>43077</v>
      </c>
      <c r="C540" s="820">
        <v>2651.5</v>
      </c>
      <c r="D540" s="792">
        <f t="shared" si="251"/>
        <v>5.5062988721947008E-3</v>
      </c>
      <c r="E540" s="819">
        <f t="shared" si="232"/>
        <v>0.26115370712124958</v>
      </c>
      <c r="F540" s="816">
        <v>6840.8</v>
      </c>
      <c r="G540" s="792">
        <f t="shared" si="252"/>
        <v>4.1040153592334528E-3</v>
      </c>
      <c r="H540" s="797">
        <f t="shared" si="253"/>
        <v>0.34351984602392138</v>
      </c>
      <c r="I540" s="799">
        <v>322861.36</v>
      </c>
      <c r="J540" s="800">
        <v>290000</v>
      </c>
      <c r="K540" s="800">
        <f t="shared" si="254"/>
        <v>3573</v>
      </c>
      <c r="L540" s="792">
        <f t="shared" si="255"/>
        <v>1.1190511298313537E-2</v>
      </c>
      <c r="M540" s="817">
        <f t="shared" si="236"/>
        <v>32861.359999999986</v>
      </c>
      <c r="N540" s="802">
        <f t="shared" si="242"/>
        <v>0.11331503448275858</v>
      </c>
      <c r="O540" s="786">
        <f t="shared" si="244"/>
        <v>4.9038289508089535E-2</v>
      </c>
      <c r="P540" s="817" t="b">
        <f t="shared" si="237"/>
        <v>1</v>
      </c>
      <c r="Q540" s="802">
        <f>COUNTIF(P$2:P540, TRUE)/(COUNTIF(P$2:P540,FALSE) + COUNTIF(P$2:P540, TRUE))</f>
        <v>0.48051948051948051</v>
      </c>
      <c r="R540" s="800">
        <v>235477</v>
      </c>
      <c r="S540" s="800">
        <f t="shared" si="256"/>
        <v>87384.359999999986</v>
      </c>
      <c r="T540" s="800">
        <v>-32986</v>
      </c>
      <c r="U540" s="800">
        <f t="shared" ref="U540:U549" si="260">M540-T540</f>
        <v>65847.359999999986</v>
      </c>
      <c r="V540" s="802">
        <f>STDEV(D$2:D540)*SQRT(252)</f>
        <v>0.13628850101154497</v>
      </c>
      <c r="W540" s="802">
        <f>STDEV(L$2:L540)*SQRT(252)</f>
        <v>0.2931982547993664</v>
      </c>
      <c r="X540" s="801">
        <f t="shared" si="257"/>
        <v>0.8292486213606497</v>
      </c>
      <c r="Y540" s="801">
        <f t="shared" si="258"/>
        <v>0.16725300613281655</v>
      </c>
      <c r="Z540" s="807">
        <f t="shared" si="259"/>
        <v>-0.14783867263849099</v>
      </c>
    </row>
    <row r="541" spans="1:26" ht="20.100000000000001" customHeight="1" x14ac:dyDescent="0.2">
      <c r="A541" s="776">
        <f t="shared" si="241"/>
        <v>847</v>
      </c>
      <c r="B541" s="795">
        <v>43080</v>
      </c>
      <c r="C541" s="820">
        <v>2659.99</v>
      </c>
      <c r="D541" s="792">
        <f t="shared" si="251"/>
        <v>3.2019611540636552E-3</v>
      </c>
      <c r="E541" s="819">
        <f t="shared" si="232"/>
        <v>0.26519187230075519</v>
      </c>
      <c r="F541" s="816">
        <v>6875.07</v>
      </c>
      <c r="G541" s="792">
        <f t="shared" si="252"/>
        <v>5.0096479943865522E-3</v>
      </c>
      <c r="H541" s="797">
        <f t="shared" si="253"/>
        <v>0.35025040752597364</v>
      </c>
      <c r="I541" s="799">
        <v>322942.15999999997</v>
      </c>
      <c r="J541" s="800">
        <v>290000</v>
      </c>
      <c r="K541" s="800">
        <f t="shared" si="254"/>
        <v>80.799999999988358</v>
      </c>
      <c r="L541" s="792">
        <f t="shared" si="255"/>
        <v>2.5026221781382683E-4</v>
      </c>
      <c r="M541" s="817">
        <f t="shared" si="236"/>
        <v>32942.159999999974</v>
      </c>
      <c r="N541" s="802">
        <f t="shared" si="242"/>
        <v>0.11359365517241371</v>
      </c>
      <c r="O541" s="786">
        <f t="shared" si="244"/>
        <v>4.8984749175589266E-2</v>
      </c>
      <c r="P541" s="817" t="b">
        <f t="shared" si="237"/>
        <v>0</v>
      </c>
      <c r="Q541" s="802">
        <f>COUNTIF(P$2:P541, TRUE)/(COUNTIF(P$2:P541,FALSE) + COUNTIF(P$2:P541, TRUE))</f>
        <v>0.47962962962962963</v>
      </c>
      <c r="R541" s="800">
        <v>235557.8</v>
      </c>
      <c r="S541" s="800">
        <f t="shared" si="256"/>
        <v>87384.359999999986</v>
      </c>
      <c r="T541" s="800">
        <v>-32985</v>
      </c>
      <c r="U541" s="800">
        <f t="shared" si="260"/>
        <v>65927.159999999974</v>
      </c>
      <c r="V541" s="802">
        <f>STDEV(D$2:D541)*SQRT(252)</f>
        <v>0.13617461101801917</v>
      </c>
      <c r="W541" s="802">
        <f>STDEV(L$2:L541)*SQRT(252)</f>
        <v>0.29292569594123619</v>
      </c>
      <c r="X541" s="801">
        <f t="shared" si="257"/>
        <v>0.83979035103909305</v>
      </c>
      <c r="Y541" s="801">
        <f t="shared" si="258"/>
        <v>0.16722585233838994</v>
      </c>
      <c r="Z541" s="807">
        <f t="shared" si="259"/>
        <v>-0.15159821712834148</v>
      </c>
    </row>
    <row r="542" spans="1:26" ht="20.100000000000001" customHeight="1" x14ac:dyDescent="0.2">
      <c r="A542" s="776">
        <f t="shared" si="241"/>
        <v>848</v>
      </c>
      <c r="B542" s="795">
        <v>43081</v>
      </c>
      <c r="C542" s="820">
        <v>2664.11</v>
      </c>
      <c r="D542" s="792">
        <f t="shared" si="251"/>
        <v>1.5488780033008943E-3</v>
      </c>
      <c r="E542" s="819">
        <f t="shared" si="232"/>
        <v>0.2671515001617169</v>
      </c>
      <c r="F542" s="816">
        <v>6862.31</v>
      </c>
      <c r="G542" s="792">
        <f t="shared" si="252"/>
        <v>-1.8559811027377626E-3</v>
      </c>
      <c r="H542" s="797">
        <f t="shared" si="253"/>
        <v>0.34774436828564148</v>
      </c>
      <c r="I542" s="799">
        <v>323980.06</v>
      </c>
      <c r="J542" s="800">
        <v>290000</v>
      </c>
      <c r="K542" s="800">
        <f t="shared" si="254"/>
        <v>1037.9000000000233</v>
      </c>
      <c r="L542" s="792">
        <f t="shared" si="255"/>
        <v>3.2138882083405382E-3</v>
      </c>
      <c r="M542" s="817">
        <f t="shared" si="236"/>
        <v>33980.06</v>
      </c>
      <c r="N542" s="802">
        <f t="shared" si="242"/>
        <v>0.11717262068965516</v>
      </c>
      <c r="O542" s="786">
        <f t="shared" si="244"/>
        <v>5.0468513805302533E-2</v>
      </c>
      <c r="P542" s="817" t="b">
        <f t="shared" si="237"/>
        <v>1</v>
      </c>
      <c r="Q542" s="802">
        <f>COUNTIF(P$2:P542, TRUE)/(COUNTIF(P$2:P542,FALSE) + COUNTIF(P$2:P542, TRUE))</f>
        <v>0.48059149722735672</v>
      </c>
      <c r="R542" s="800">
        <v>236279.7</v>
      </c>
      <c r="S542" s="800">
        <f t="shared" si="256"/>
        <v>87700.359999999986</v>
      </c>
      <c r="T542" s="800">
        <v>-33546</v>
      </c>
      <c r="U542" s="800">
        <f t="shared" si="260"/>
        <v>67526.06</v>
      </c>
      <c r="V542" s="802">
        <f>STDEV(D$2:D542)*SQRT(252)</f>
        <v>0.13605021547233165</v>
      </c>
      <c r="W542" s="802">
        <f>STDEV(L$2:L542)*SQRT(252)</f>
        <v>0.29265963822651819</v>
      </c>
      <c r="X542" s="801">
        <f t="shared" si="257"/>
        <v>0.84577093339667508</v>
      </c>
      <c r="Y542" s="801">
        <f t="shared" si="258"/>
        <v>0.17244781040233489</v>
      </c>
      <c r="Z542" s="807">
        <f t="shared" si="259"/>
        <v>-0.14997887947206173</v>
      </c>
    </row>
    <row r="543" spans="1:26" ht="20.100000000000001" customHeight="1" x14ac:dyDescent="0.2">
      <c r="A543" s="776">
        <f t="shared" si="241"/>
        <v>849</v>
      </c>
      <c r="B543" s="795">
        <v>43082</v>
      </c>
      <c r="C543" s="820">
        <v>2662.85</v>
      </c>
      <c r="D543" s="792">
        <f t="shared" si="251"/>
        <v>-4.7295344411462672E-4</v>
      </c>
      <c r="E543" s="819">
        <f t="shared" si="232"/>
        <v>0.26655219649550038</v>
      </c>
      <c r="F543" s="816">
        <v>6875.79</v>
      </c>
      <c r="G543" s="792">
        <f t="shared" si="252"/>
        <v>1.9643531114157714E-3</v>
      </c>
      <c r="H543" s="797">
        <f t="shared" ref="H543:H574" si="261">(F543-F$2)/F$2</f>
        <v>0.35039181412887643</v>
      </c>
      <c r="I543" s="799">
        <v>324790.59000000003</v>
      </c>
      <c r="J543" s="800">
        <v>290000</v>
      </c>
      <c r="K543" s="800">
        <f t="shared" ref="K543:K574" si="262">I543-I542-J543+J542</f>
        <v>810.53000000002794</v>
      </c>
      <c r="L543" s="792">
        <f t="shared" ref="L543:L551" si="263">K543/I542</f>
        <v>2.5017897706421438E-3</v>
      </c>
      <c r="M543" s="817">
        <f t="shared" si="236"/>
        <v>34790.590000000026</v>
      </c>
      <c r="N543" s="802">
        <f t="shared" si="242"/>
        <v>0.11996755172413802</v>
      </c>
      <c r="O543" s="786">
        <f t="shared" si="244"/>
        <v>5.1611482057999307E-2</v>
      </c>
      <c r="P543" s="817" t="b">
        <f t="shared" si="237"/>
        <v>1</v>
      </c>
      <c r="Q543" s="802">
        <f>COUNTIF(P$2:P543, TRUE)/(COUNTIF(P$2:P543,FALSE) + COUNTIF(P$2:P543, TRUE))</f>
        <v>0.48154981549815495</v>
      </c>
      <c r="R543" s="800">
        <v>236990</v>
      </c>
      <c r="S543" s="800">
        <f t="shared" si="256"/>
        <v>87800.590000000026</v>
      </c>
      <c r="T543" s="800">
        <v>-32970</v>
      </c>
      <c r="U543" s="800">
        <f t="shared" si="260"/>
        <v>67760.590000000026</v>
      </c>
      <c r="V543" s="802">
        <f>STDEV(D$2:D543)*SQRT(252)</f>
        <v>0.13592572490380506</v>
      </c>
      <c r="W543" s="802">
        <f>STDEV(L$2:L543)*SQRT(252)</f>
        <v>0.29239165383062016</v>
      </c>
      <c r="X543" s="801">
        <f t="shared" si="257"/>
        <v>0.84365161493454932</v>
      </c>
      <c r="Y543" s="801">
        <f t="shared" si="258"/>
        <v>0.17651489494258057</v>
      </c>
      <c r="Z543" s="807">
        <f t="shared" si="259"/>
        <v>-0.14658464477136235</v>
      </c>
    </row>
    <row r="544" spans="1:26" ht="20.100000000000001" customHeight="1" x14ac:dyDescent="0.2">
      <c r="A544" s="776">
        <f t="shared" si="241"/>
        <v>850</v>
      </c>
      <c r="B544" s="795">
        <v>43083</v>
      </c>
      <c r="C544" s="820">
        <v>2652.01</v>
      </c>
      <c r="D544" s="792">
        <f t="shared" ref="D544:D575" si="264">(C544-C543)/C543</f>
        <v>-4.070826370242293E-3</v>
      </c>
      <c r="E544" s="819">
        <f t="shared" si="232"/>
        <v>0.26139628241471818</v>
      </c>
      <c r="F544" s="816">
        <v>6856.52</v>
      </c>
      <c r="G544" s="792">
        <f t="shared" ref="G544:G575" si="265">(F544-F543)/F543</f>
        <v>-2.8025870481791222E-3</v>
      </c>
      <c r="H544" s="797">
        <f t="shared" si="261"/>
        <v>0.34660722352063172</v>
      </c>
      <c r="I544" s="799">
        <v>322223.39</v>
      </c>
      <c r="J544" s="800">
        <v>290000</v>
      </c>
      <c r="K544" s="800">
        <f t="shared" si="262"/>
        <v>-2567.2000000000116</v>
      </c>
      <c r="L544" s="792">
        <f t="shared" si="263"/>
        <v>-7.9041698837395858E-3</v>
      </c>
      <c r="M544" s="817">
        <f t="shared" si="236"/>
        <v>32223.390000000014</v>
      </c>
      <c r="N544" s="802">
        <f t="shared" si="242"/>
        <v>0.11111513793103453</v>
      </c>
      <c r="O544" s="786">
        <f t="shared" si="244"/>
        <v>4.7746828387423952E-2</v>
      </c>
      <c r="P544" s="817" t="b">
        <f t="shared" si="237"/>
        <v>0</v>
      </c>
      <c r="Q544" s="802">
        <f>COUNTIF(P$2:P544, TRUE)/(COUNTIF(P$2:P544,FALSE) + COUNTIF(P$2:P544, TRUE))</f>
        <v>0.48066298342541436</v>
      </c>
      <c r="R544" s="800">
        <v>234422.8</v>
      </c>
      <c r="S544" s="800">
        <f t="shared" si="256"/>
        <v>87800.590000000026</v>
      </c>
      <c r="T544" s="800">
        <v>-34234</v>
      </c>
      <c r="U544" s="800">
        <f t="shared" si="260"/>
        <v>66457.390000000014</v>
      </c>
      <c r="V544" s="802">
        <f>STDEV(D$2:D544)*SQRT(252)</f>
        <v>0.1358353877857523</v>
      </c>
      <c r="W544" s="802">
        <f>STDEV(L$2:L544)*SQRT(252)</f>
        <v>0.29217784159777338</v>
      </c>
      <c r="X544" s="801">
        <f t="shared" si="257"/>
        <v>0.82690911411066492</v>
      </c>
      <c r="Y544" s="801">
        <f t="shared" si="258"/>
        <v>0.163417007006146</v>
      </c>
      <c r="Z544" s="807">
        <f t="shared" si="259"/>
        <v>-0.15028114448368365</v>
      </c>
    </row>
    <row r="545" spans="1:26" ht="20.100000000000001" customHeight="1" x14ac:dyDescent="0.2">
      <c r="A545" s="776">
        <f t="shared" si="241"/>
        <v>851</v>
      </c>
      <c r="B545" s="795">
        <v>43084</v>
      </c>
      <c r="C545" s="820">
        <v>2675.81</v>
      </c>
      <c r="D545" s="792">
        <f t="shared" si="264"/>
        <v>8.9743251345205059E-3</v>
      </c>
      <c r="E545" s="819">
        <f t="shared" si="232"/>
        <v>0.27271646277658335</v>
      </c>
      <c r="F545" s="816">
        <v>6936.58</v>
      </c>
      <c r="G545" s="792">
        <f t="shared" si="265"/>
        <v>1.1676477280019526E-2</v>
      </c>
      <c r="H545" s="797">
        <f t="shared" si="261"/>
        <v>0.36233085217118061</v>
      </c>
      <c r="I545" s="799">
        <v>323833.19</v>
      </c>
      <c r="J545" s="800">
        <v>290000</v>
      </c>
      <c r="K545" s="800">
        <f t="shared" si="262"/>
        <v>1609.7999999999884</v>
      </c>
      <c r="L545" s="792">
        <f t="shared" si="263"/>
        <v>4.9959129286051779E-3</v>
      </c>
      <c r="M545" s="817">
        <f t="shared" si="236"/>
        <v>33833.19</v>
      </c>
      <c r="N545" s="802">
        <f t="shared" si="242"/>
        <v>0.11666617241379311</v>
      </c>
      <c r="O545" s="786">
        <f t="shared" si="244"/>
        <v>5.0073230874427652E-2</v>
      </c>
      <c r="P545" s="817" t="b">
        <f t="shared" si="237"/>
        <v>0</v>
      </c>
      <c r="Q545" s="802">
        <f>COUNTIF(P$2:P545, TRUE)/(COUNTIF(P$2:P545,FALSE) + COUNTIF(P$2:P545, TRUE))</f>
        <v>0.4797794117647059</v>
      </c>
      <c r="R545" s="800">
        <v>236032.6</v>
      </c>
      <c r="S545" s="800">
        <f t="shared" si="256"/>
        <v>87800.59</v>
      </c>
      <c r="T545" s="800">
        <v>-33354</v>
      </c>
      <c r="U545" s="800">
        <f t="shared" si="260"/>
        <v>67187.19</v>
      </c>
      <c r="V545" s="802">
        <f>STDEV(D$2:D545)*SQRT(252)</f>
        <v>0.13583377183481007</v>
      </c>
      <c r="W545" s="802">
        <f>STDEV(L$2:L545)*SQRT(252)</f>
        <v>0.29192417621615652</v>
      </c>
      <c r="X545" s="801">
        <f t="shared" si="257"/>
        <v>0.86171620367547019</v>
      </c>
      <c r="Y545" s="801">
        <f t="shared" si="258"/>
        <v>0.17152820819249553</v>
      </c>
      <c r="Z545" s="807">
        <f t="shared" si="259"/>
        <v>-0.15605029036279022</v>
      </c>
    </row>
    <row r="546" spans="1:26" ht="20.100000000000001" customHeight="1" x14ac:dyDescent="0.2">
      <c r="A546" s="776">
        <f t="shared" si="241"/>
        <v>854</v>
      </c>
      <c r="B546" s="795">
        <v>43087</v>
      </c>
      <c r="C546" s="820">
        <v>2690.16</v>
      </c>
      <c r="D546" s="792">
        <f t="shared" si="264"/>
        <v>5.3628620866204664E-3</v>
      </c>
      <c r="E546" s="819">
        <f t="shared" si="232"/>
        <v>0.27954186564182559</v>
      </c>
      <c r="F546" s="816">
        <v>6994.75</v>
      </c>
      <c r="G546" s="792">
        <f t="shared" si="265"/>
        <v>8.3859769511776799E-3</v>
      </c>
      <c r="H546" s="797">
        <f t="shared" si="261"/>
        <v>0.37375532729736632</v>
      </c>
      <c r="I546" s="799">
        <v>328097.89</v>
      </c>
      <c r="J546" s="800">
        <v>290000</v>
      </c>
      <c r="K546" s="800">
        <f t="shared" si="262"/>
        <v>4264.7000000000116</v>
      </c>
      <c r="L546" s="792">
        <f t="shared" si="263"/>
        <v>1.3169434547459486E-2</v>
      </c>
      <c r="M546" s="817">
        <f t="shared" si="236"/>
        <v>38097.890000000014</v>
      </c>
      <c r="N546" s="802">
        <f t="shared" si="242"/>
        <v>0.13137203448275867</v>
      </c>
      <c r="O546" s="786">
        <f t="shared" si="244"/>
        <v>5.6186926926027642E-2</v>
      </c>
      <c r="P546" s="817" t="b">
        <f t="shared" si="237"/>
        <v>1</v>
      </c>
      <c r="Q546" s="802">
        <f>COUNTIF(P$2:P546, TRUE)/(COUNTIF(P$2:P546,FALSE) + COUNTIF(P$2:P546, TRUE))</f>
        <v>0.48073394495412847</v>
      </c>
      <c r="R546" s="800">
        <v>231417.5</v>
      </c>
      <c r="S546" s="800">
        <f t="shared" si="256"/>
        <v>96680.390000000014</v>
      </c>
      <c r="T546" s="800">
        <v>-32394</v>
      </c>
      <c r="U546" s="800">
        <f t="shared" si="260"/>
        <v>70491.890000000014</v>
      </c>
      <c r="V546" s="802">
        <f>STDEV(D$2:D546)*SQRT(252)</f>
        <v>0.13574931194663536</v>
      </c>
      <c r="W546" s="802">
        <f>STDEV(L$2:L546)*SQRT(252)</f>
        <v>0.29178232228521001</v>
      </c>
      <c r="X546" s="801">
        <f t="shared" si="257"/>
        <v>0.88072753881887378</v>
      </c>
      <c r="Y546" s="801">
        <f t="shared" si="258"/>
        <v>0.19256453401966658</v>
      </c>
      <c r="Z546" s="807">
        <f t="shared" si="259"/>
        <v>-0.14816983115906693</v>
      </c>
    </row>
    <row r="547" spans="1:26" ht="20.100000000000001" customHeight="1" x14ac:dyDescent="0.2">
      <c r="A547" s="776">
        <f t="shared" ref="A547:A578" si="266">B547-$B$2</f>
        <v>855</v>
      </c>
      <c r="B547" s="795">
        <v>43088</v>
      </c>
      <c r="C547" s="820">
        <v>2681.47</v>
      </c>
      <c r="D547" s="792">
        <f t="shared" si="264"/>
        <v>-3.2302911350997913E-3</v>
      </c>
      <c r="E547" s="819">
        <f t="shared" si="232"/>
        <v>0.27540857289625376</v>
      </c>
      <c r="F547" s="816">
        <v>6963.85</v>
      </c>
      <c r="G547" s="792">
        <f t="shared" si="265"/>
        <v>-4.4175989134707652E-3</v>
      </c>
      <c r="H547" s="797">
        <f t="shared" si="261"/>
        <v>0.36768662725612283</v>
      </c>
      <c r="I547" s="799">
        <v>330798.90000000002</v>
      </c>
      <c r="J547" s="800">
        <v>290000</v>
      </c>
      <c r="K547" s="800">
        <f t="shared" si="262"/>
        <v>2701.0100000000093</v>
      </c>
      <c r="L547" s="792">
        <f t="shared" si="263"/>
        <v>8.2323296867285838E-3</v>
      </c>
      <c r="M547" s="817">
        <f t="shared" si="236"/>
        <v>40798.900000000023</v>
      </c>
      <c r="N547" s="802">
        <f t="shared" si="242"/>
        <v>0.14068586206896561</v>
      </c>
      <c r="O547" s="786">
        <f t="shared" ref="O547:O578" si="267">N547/(A547/365.25)</f>
        <v>6.0100013006654608E-2</v>
      </c>
      <c r="P547" s="817" t="b">
        <f t="shared" si="237"/>
        <v>1</v>
      </c>
      <c r="Q547" s="802">
        <f>COUNTIF(P$2:P547, TRUE)/(COUNTIF(P$2:P547,FALSE) + COUNTIF(P$2:P547, TRUE))</f>
        <v>0.48168498168498169</v>
      </c>
      <c r="R547" s="800">
        <v>232520.55</v>
      </c>
      <c r="S547" s="800">
        <f t="shared" si="256"/>
        <v>98278.350000000035</v>
      </c>
      <c r="T547" s="800">
        <v>-32544</v>
      </c>
      <c r="U547" s="800">
        <f t="shared" si="260"/>
        <v>73342.900000000023</v>
      </c>
      <c r="V547" s="802">
        <f>STDEV(D$2:D547)*SQRT(252)</f>
        <v>0.13564807194101525</v>
      </c>
      <c r="W547" s="802">
        <f>STDEV(L$2:L547)*SQRT(252)</f>
        <v>0.29156092168419684</v>
      </c>
      <c r="X547" s="801">
        <f t="shared" si="257"/>
        <v>0.86733713178540173</v>
      </c>
      <c r="Y547" s="801">
        <f t="shared" si="258"/>
        <v>0.2061319214505424</v>
      </c>
      <c r="Z547" s="807">
        <f t="shared" si="259"/>
        <v>-0.13472271082728815</v>
      </c>
    </row>
    <row r="548" spans="1:26" ht="20.100000000000001" customHeight="1" x14ac:dyDescent="0.2">
      <c r="A548" s="776">
        <f t="shared" si="266"/>
        <v>856</v>
      </c>
      <c r="B548" s="795">
        <v>43089</v>
      </c>
      <c r="C548" s="820">
        <v>2679.25</v>
      </c>
      <c r="D548" s="792">
        <f t="shared" si="264"/>
        <v>-8.2790409737934793E-4</v>
      </c>
      <c r="E548" s="819">
        <f t="shared" si="232"/>
        <v>0.27435265691292021</v>
      </c>
      <c r="F548" s="816">
        <v>6960.95</v>
      </c>
      <c r="G548" s="792">
        <f t="shared" si="265"/>
        <v>-4.1643631037436841E-4</v>
      </c>
      <c r="H548" s="797">
        <f t="shared" si="261"/>
        <v>0.36711707288331991</v>
      </c>
      <c r="I548" s="799">
        <v>332590.03999999998</v>
      </c>
      <c r="J548" s="800">
        <v>290000</v>
      </c>
      <c r="K548" s="800">
        <f t="shared" si="262"/>
        <v>1791.1399999999558</v>
      </c>
      <c r="L548" s="792">
        <f t="shared" si="263"/>
        <v>5.414588742586374E-3</v>
      </c>
      <c r="M548" s="817">
        <f t="shared" si="236"/>
        <v>42590.039999999979</v>
      </c>
      <c r="N548" s="802">
        <f t="shared" si="242"/>
        <v>0.14686220689655166</v>
      </c>
      <c r="O548" s="786">
        <f t="shared" si="267"/>
        <v>6.2665211529165307E-2</v>
      </c>
      <c r="P548" s="817" t="b">
        <f t="shared" si="237"/>
        <v>1</v>
      </c>
      <c r="Q548" s="802">
        <f>COUNTIF(P$2:P548, TRUE)/(COUNTIF(P$2:P548,FALSE) + COUNTIF(P$2:P548, TRUE))</f>
        <v>0.48263254113345522</v>
      </c>
      <c r="R548" s="800">
        <v>233843</v>
      </c>
      <c r="S548" s="800">
        <f t="shared" si="256"/>
        <v>98747.039999999979</v>
      </c>
      <c r="T548" s="800">
        <v>-31989</v>
      </c>
      <c r="U548" s="800">
        <f t="shared" si="260"/>
        <v>74579.039999999979</v>
      </c>
      <c r="V548" s="802">
        <f>STDEV(D$2:D548)*SQRT(252)</f>
        <v>0.13552649245745849</v>
      </c>
      <c r="W548" s="802">
        <f>STDEV(L$2:L548)*SQRT(252)</f>
        <v>0.29131201485323877</v>
      </c>
      <c r="X548" s="801">
        <f t="shared" si="257"/>
        <v>0.86377659418286634</v>
      </c>
      <c r="Y548" s="801">
        <f t="shared" si="258"/>
        <v>0.21511372114444255</v>
      </c>
      <c r="Z548" s="807">
        <f t="shared" si="259"/>
        <v>-0.12749045001636855</v>
      </c>
    </row>
    <row r="549" spans="1:26" ht="20.100000000000001" customHeight="1" x14ac:dyDescent="0.2">
      <c r="A549" s="776">
        <f t="shared" si="266"/>
        <v>857</v>
      </c>
      <c r="B549" s="795">
        <v>43090</v>
      </c>
      <c r="C549" s="820">
        <v>2684.59</v>
      </c>
      <c r="D549" s="792">
        <f t="shared" si="264"/>
        <v>1.9930950825791344E-3</v>
      </c>
      <c r="E549" s="819">
        <f t="shared" si="232"/>
        <v>0.27689256292688497</v>
      </c>
      <c r="F549" s="816">
        <v>6965.36</v>
      </c>
      <c r="G549" s="792">
        <f t="shared" si="265"/>
        <v>6.3353421587568576E-4</v>
      </c>
      <c r="H549" s="797">
        <f t="shared" si="261"/>
        <v>0.36798318832609933</v>
      </c>
      <c r="I549" s="799">
        <v>338086.81</v>
      </c>
      <c r="J549" s="800">
        <v>290000</v>
      </c>
      <c r="K549" s="800">
        <f t="shared" si="262"/>
        <v>5496.7700000000186</v>
      </c>
      <c r="L549" s="792">
        <f t="shared" si="263"/>
        <v>1.6527163591549581E-2</v>
      </c>
      <c r="M549" s="817">
        <f t="shared" si="236"/>
        <v>48086.81</v>
      </c>
      <c r="N549" s="802">
        <f t="shared" si="242"/>
        <v>0.16581658620689654</v>
      </c>
      <c r="O549" s="786">
        <f t="shared" si="267"/>
        <v>7.0670371192612547E-2</v>
      </c>
      <c r="P549" s="817" t="b">
        <f t="shared" si="237"/>
        <v>1</v>
      </c>
      <c r="Q549" s="802">
        <f>COUNTIF(P$2:P549, TRUE)/(COUNTIF(P$2:P549,FALSE) + COUNTIF(P$2:P549, TRUE))</f>
        <v>0.48357664233576642</v>
      </c>
      <c r="R549" s="800">
        <v>218299.15</v>
      </c>
      <c r="S549" s="800">
        <f t="shared" si="256"/>
        <v>119787.66</v>
      </c>
      <c r="T549" s="800">
        <v>-31667</v>
      </c>
      <c r="U549" s="800">
        <f t="shared" si="260"/>
        <v>79753.81</v>
      </c>
      <c r="V549" s="802">
        <f>STDEV(D$2:D549)*SQRT(252)</f>
        <v>0.13540621962900054</v>
      </c>
      <c r="W549" s="802">
        <f>STDEV(L$2:L549)*SQRT(252)</f>
        <v>0.291246718230385</v>
      </c>
      <c r="X549" s="801">
        <f t="shared" si="257"/>
        <v>0.87152947714801032</v>
      </c>
      <c r="Y549" s="801">
        <f t="shared" si="258"/>
        <v>0.24264778543087354</v>
      </c>
      <c r="Z549" s="807">
        <f t="shared" si="259"/>
        <v>-0.11107597671998842</v>
      </c>
    </row>
    <row r="550" spans="1:26" ht="20.100000000000001" customHeight="1" x14ac:dyDescent="0.2">
      <c r="A550" s="776">
        <f t="shared" si="266"/>
        <v>858</v>
      </c>
      <c r="B550" s="795">
        <v>43091</v>
      </c>
      <c r="C550" s="820">
        <f>C551+0.84</f>
        <v>2681.34</v>
      </c>
      <c r="D550" s="792">
        <f t="shared" si="264"/>
        <v>-1.2106131662562999E-3</v>
      </c>
      <c r="E550" s="819">
        <f t="shared" si="232"/>
        <v>0.27534673997831094</v>
      </c>
      <c r="F550" s="816">
        <f>F551+23.71</f>
        <v>6960.95</v>
      </c>
      <c r="G550" s="792">
        <f t="shared" si="265"/>
        <v>-6.3313310439085059E-4</v>
      </c>
      <c r="H550" s="797">
        <f t="shared" si="261"/>
        <v>0.36711707288331991</v>
      </c>
      <c r="I550" s="799">
        <f>I551-1562</f>
        <v>338627.13</v>
      </c>
      <c r="J550" s="800">
        <v>290000</v>
      </c>
      <c r="K550" s="800">
        <f t="shared" si="262"/>
        <v>540.32000000000698</v>
      </c>
      <c r="L550" s="792">
        <f t="shared" si="263"/>
        <v>1.5981694169021471E-3</v>
      </c>
      <c r="M550" s="817">
        <f t="shared" si="236"/>
        <v>48627.130000000005</v>
      </c>
      <c r="N550" s="802">
        <f t="shared" si="242"/>
        <v>0.16767975862068968</v>
      </c>
      <c r="O550" s="786">
        <f t="shared" si="267"/>
        <v>7.1381155986255135E-2</v>
      </c>
      <c r="P550" s="817" t="b">
        <f t="shared" si="237"/>
        <v>1</v>
      </c>
      <c r="Q550" s="802">
        <f>COUNTIF(P$2:P550, TRUE)/(COUNTIF(P$2:P550,FALSE) + COUNTIF(P$2:P550, TRUE))</f>
        <v>0.48451730418943534</v>
      </c>
      <c r="R550" s="800"/>
      <c r="S550" s="800"/>
      <c r="T550" s="800"/>
      <c r="U550" s="800"/>
      <c r="V550" s="802">
        <f>STDEV(D$2:D550)*SQRT(252)</f>
        <v>0.13528726740433272</v>
      </c>
      <c r="W550" s="802">
        <f>STDEV(L$2:L550)*SQRT(252)</f>
        <v>0.29098117176035337</v>
      </c>
      <c r="X550" s="801">
        <f t="shared" si="257"/>
        <v>0.86641497686755109</v>
      </c>
      <c r="Y550" s="801">
        <f t="shared" si="258"/>
        <v>0.24531194081878024</v>
      </c>
      <c r="Z550" s="807">
        <f t="shared" si="259"/>
        <v>-0.10766698135762126</v>
      </c>
    </row>
    <row r="551" spans="1:26" ht="20.100000000000001" customHeight="1" x14ac:dyDescent="0.2">
      <c r="A551" s="776">
        <f t="shared" si="266"/>
        <v>862</v>
      </c>
      <c r="B551" s="795">
        <v>43095</v>
      </c>
      <c r="C551" s="820">
        <v>2680.5</v>
      </c>
      <c r="D551" s="792">
        <f t="shared" si="264"/>
        <v>-3.1327619772208878E-4</v>
      </c>
      <c r="E551" s="819">
        <f t="shared" si="232"/>
        <v>0.2749472042008333</v>
      </c>
      <c r="F551" s="816">
        <v>6937.24</v>
      </c>
      <c r="G551" s="792">
        <f t="shared" si="265"/>
        <v>-3.406144276284133E-3</v>
      </c>
      <c r="H551" s="797">
        <f t="shared" si="261"/>
        <v>0.36246047489050809</v>
      </c>
      <c r="I551" s="799">
        <v>340189.13</v>
      </c>
      <c r="J551" s="800">
        <v>290000</v>
      </c>
      <c r="K551" s="800">
        <f t="shared" si="262"/>
        <v>1562</v>
      </c>
      <c r="L551" s="792">
        <f t="shared" si="263"/>
        <v>4.6127432258602549E-3</v>
      </c>
      <c r="M551" s="817">
        <f t="shared" si="236"/>
        <v>50189.130000000005</v>
      </c>
      <c r="N551" s="802">
        <f t="shared" si="242"/>
        <v>0.1730659655172414</v>
      </c>
      <c r="O551" s="786">
        <f t="shared" si="267"/>
        <v>7.33321855048404E-2</v>
      </c>
      <c r="P551" s="817" t="b">
        <f t="shared" si="237"/>
        <v>1</v>
      </c>
      <c r="Q551" s="802">
        <f>COUNTIF(P$2:P551, TRUE)/(COUNTIF(P$2:P551,FALSE) + COUNTIF(P$2:P551, TRUE))</f>
        <v>0.48545454545454547</v>
      </c>
      <c r="R551" s="800">
        <v>222797.6</v>
      </c>
      <c r="S551" s="800">
        <f t="shared" ref="S551:S587" si="268">I551-R551</f>
        <v>117391.53</v>
      </c>
      <c r="T551" s="800">
        <v>-31257</v>
      </c>
      <c r="U551" s="800">
        <f t="shared" ref="U551:U587" si="269">M551-T551</f>
        <v>81446.13</v>
      </c>
      <c r="V551" s="802">
        <f>STDEV(D$2:D551)*SQRT(252)</f>
        <v>0.1351648425652329</v>
      </c>
      <c r="W551" s="802">
        <f>STDEV(L$2:L551)*SQRT(252)</f>
        <v>0.29072829644289788</v>
      </c>
      <c r="X551" s="801">
        <f t="shared" si="257"/>
        <v>0.86192310716976595</v>
      </c>
      <c r="Y551" s="801">
        <f t="shared" si="258"/>
        <v>0.25223614764049507</v>
      </c>
      <c r="Z551" s="807">
        <f t="shared" si="259"/>
        <v>-0.10188123868359189</v>
      </c>
    </row>
    <row r="552" spans="1:26" ht="20.100000000000001" customHeight="1" x14ac:dyDescent="0.2">
      <c r="A552" s="776">
        <f t="shared" si="266"/>
        <v>863</v>
      </c>
      <c r="B552" s="795">
        <v>43096</v>
      </c>
      <c r="C552" s="820">
        <v>2682.62</v>
      </c>
      <c r="D552" s="792">
        <f t="shared" si="264"/>
        <v>7.9089722066774519E-4</v>
      </c>
      <c r="E552" s="819">
        <f t="shared" si="232"/>
        <v>0.27595555640113384</v>
      </c>
      <c r="F552" s="816">
        <v>6939.33</v>
      </c>
      <c r="G552" s="792">
        <f t="shared" si="265"/>
        <v>3.0127255219657178E-4</v>
      </c>
      <c r="H552" s="797">
        <f t="shared" si="261"/>
        <v>0.36287094683504528</v>
      </c>
      <c r="I552" s="799">
        <v>338273.53</v>
      </c>
      <c r="J552" s="800">
        <v>290000</v>
      </c>
      <c r="K552" s="800">
        <f t="shared" si="262"/>
        <v>-1915.5999999999767</v>
      </c>
      <c r="L552" s="792">
        <f t="shared" ref="L552:L557" si="270">K552/I551</f>
        <v>-5.6309853286610791E-3</v>
      </c>
      <c r="M552" s="817">
        <f t="shared" si="236"/>
        <v>48273.530000000028</v>
      </c>
      <c r="N552" s="802">
        <f t="shared" si="242"/>
        <v>0.16646044827586218</v>
      </c>
      <c r="O552" s="786">
        <f t="shared" si="267"/>
        <v>7.0451539667159516E-2</v>
      </c>
      <c r="P552" s="817" t="b">
        <f t="shared" si="237"/>
        <v>0</v>
      </c>
      <c r="Q552" s="802">
        <f>COUNTIF(P$2:P552, TRUE)/(COUNTIF(P$2:P552,FALSE) + COUNTIF(P$2:P552, TRUE))</f>
        <v>0.48457350272232302</v>
      </c>
      <c r="R552" s="800">
        <v>220882</v>
      </c>
      <c r="S552" s="800">
        <f t="shared" si="268"/>
        <v>117391.53000000003</v>
      </c>
      <c r="T552" s="800">
        <v>-31384</v>
      </c>
      <c r="U552" s="800">
        <f t="shared" si="269"/>
        <v>79657.530000000028</v>
      </c>
      <c r="V552" s="802">
        <f>STDEV(D$2:D552)*SQRT(252)</f>
        <v>0.13504185089620829</v>
      </c>
      <c r="W552" s="802">
        <f>STDEV(L$2:L552)*SQRT(252)</f>
        <v>0.29049404453363842</v>
      </c>
      <c r="X552" s="801">
        <f t="shared" si="257"/>
        <v>0.86486872007406268</v>
      </c>
      <c r="Y552" s="801">
        <f t="shared" si="258"/>
        <v>0.24252318074287207</v>
      </c>
      <c r="Z552" s="807">
        <f t="shared" si="259"/>
        <v>-0.10949510812527166</v>
      </c>
    </row>
    <row r="553" spans="1:26" ht="20.100000000000001" customHeight="1" x14ac:dyDescent="0.2">
      <c r="A553" s="776">
        <f t="shared" si="266"/>
        <v>864</v>
      </c>
      <c r="B553" s="795">
        <v>43097</v>
      </c>
      <c r="C553" s="820">
        <v>2687.54</v>
      </c>
      <c r="D553" s="792">
        <f t="shared" si="264"/>
        <v>1.8340279279212386E-3</v>
      </c>
      <c r="E553" s="819">
        <f t="shared" si="232"/>
        <v>0.27829569452635977</v>
      </c>
      <c r="F553" s="816">
        <v>6950.16</v>
      </c>
      <c r="G553" s="792">
        <f t="shared" si="265"/>
        <v>1.560669401801028E-3</v>
      </c>
      <c r="H553" s="797">
        <f t="shared" si="261"/>
        <v>0.36499793782037437</v>
      </c>
      <c r="I553" s="799">
        <v>338405.59</v>
      </c>
      <c r="J553" s="800">
        <v>290000</v>
      </c>
      <c r="K553" s="800">
        <f t="shared" si="262"/>
        <v>132.05999999999767</v>
      </c>
      <c r="L553" s="792">
        <f t="shared" si="270"/>
        <v>3.9039412868041335E-4</v>
      </c>
      <c r="M553" s="817">
        <f t="shared" si="236"/>
        <v>48405.590000000026</v>
      </c>
      <c r="N553" s="802">
        <f t="shared" si="242"/>
        <v>0.16691582758620699</v>
      </c>
      <c r="O553" s="786">
        <f t="shared" si="267"/>
        <v>7.0562506974377437E-2</v>
      </c>
      <c r="P553" s="817" t="b">
        <f t="shared" si="237"/>
        <v>0</v>
      </c>
      <c r="Q553" s="802">
        <f>COUNTIF(P$2:P553, TRUE)/(COUNTIF(P$2:P553,FALSE) + COUNTIF(P$2:P553, TRUE))</f>
        <v>0.48369565217391303</v>
      </c>
      <c r="R553" s="800">
        <v>219160.1</v>
      </c>
      <c r="S553" s="800">
        <f t="shared" si="268"/>
        <v>119245.49000000002</v>
      </c>
      <c r="T553" s="800">
        <v>-31468</v>
      </c>
      <c r="U553" s="800">
        <f t="shared" si="269"/>
        <v>79873.590000000026</v>
      </c>
      <c r="V553" s="802">
        <f>STDEV(D$2:D553)*SQRT(252)</f>
        <v>0.13492214065501756</v>
      </c>
      <c r="W553" s="802">
        <f>STDEV(L$2:L553)*SQRT(252)</f>
        <v>0.29022987077746648</v>
      </c>
      <c r="X553" s="801">
        <f t="shared" si="257"/>
        <v>0.87196639247550867</v>
      </c>
      <c r="Y553" s="801">
        <f t="shared" si="258"/>
        <v>0.24312627361668496</v>
      </c>
      <c r="Z553" s="807">
        <f t="shared" si="259"/>
        <v>-0.11137986694015278</v>
      </c>
    </row>
    <row r="554" spans="1:26" ht="20.100000000000001" customHeight="1" x14ac:dyDescent="0.2">
      <c r="A554" s="776">
        <f t="shared" si="266"/>
        <v>865</v>
      </c>
      <c r="B554" s="795">
        <v>43098</v>
      </c>
      <c r="C554" s="820">
        <v>2673.61</v>
      </c>
      <c r="D554" s="792">
        <f t="shared" si="264"/>
        <v>-5.1831786689685872E-3</v>
      </c>
      <c r="E554" s="819">
        <f t="shared" ref="E554:E617" si="271">(C554-$C$2)/$C$2</f>
        <v>0.2716700595498564</v>
      </c>
      <c r="F554" s="816">
        <v>6903.38</v>
      </c>
      <c r="G554" s="792">
        <f t="shared" si="265"/>
        <v>-6.7307802985830181E-3</v>
      </c>
      <c r="H554" s="797">
        <f t="shared" si="261"/>
        <v>0.35581043659288653</v>
      </c>
      <c r="I554" s="822">
        <v>337203.38</v>
      </c>
      <c r="J554" s="800">
        <v>290000</v>
      </c>
      <c r="K554" s="800">
        <f t="shared" si="262"/>
        <v>-1202.210000000021</v>
      </c>
      <c r="L554" s="792">
        <f t="shared" si="270"/>
        <v>-3.5525713390255191E-3</v>
      </c>
      <c r="M554" s="822">
        <f t="shared" ref="M554:M617" si="272">I554-J554</f>
        <v>47203.380000000005</v>
      </c>
      <c r="N554" s="802">
        <f t="shared" si="242"/>
        <v>0.16277027586206899</v>
      </c>
      <c r="O554" s="786">
        <f t="shared" si="267"/>
        <v>6.8730454634243585E-2</v>
      </c>
      <c r="P554" s="817" t="b">
        <f t="shared" ref="P554:P617" si="273">L554&gt;D554</f>
        <v>1</v>
      </c>
      <c r="Q554" s="802">
        <f>COUNTIF(P$2:P554, TRUE)/(COUNTIF(P$2:P554,FALSE) + COUNTIF(P$2:P554, TRUE))</f>
        <v>0.48462929475587702</v>
      </c>
      <c r="R554" s="800">
        <v>227993.4</v>
      </c>
      <c r="S554" s="800">
        <f t="shared" si="268"/>
        <v>109209.98000000001</v>
      </c>
      <c r="T554" s="800">
        <v>-31748</v>
      </c>
      <c r="U554" s="800">
        <f t="shared" si="269"/>
        <v>78951.38</v>
      </c>
      <c r="V554" s="802">
        <f>STDEV(D$2:D554)*SQRT(252)</f>
        <v>0.13485398052483238</v>
      </c>
      <c r="W554" s="802">
        <f>STDEV(L$2:L554)*SQRT(252)</f>
        <v>0.28997990122526646</v>
      </c>
      <c r="X554" s="801">
        <f t="shared" si="257"/>
        <v>0.85065238681758393</v>
      </c>
      <c r="Y554" s="801">
        <f t="shared" si="258"/>
        <v>0.237017994501803</v>
      </c>
      <c r="Z554" s="807">
        <f t="shared" si="259"/>
        <v>-0.10889978368778741</v>
      </c>
    </row>
    <row r="555" spans="1:26" ht="20.100000000000001" customHeight="1" x14ac:dyDescent="0.2">
      <c r="A555" s="776">
        <f t="shared" si="266"/>
        <v>869</v>
      </c>
      <c r="B555" s="795">
        <v>43102</v>
      </c>
      <c r="C555" s="820">
        <v>2695.81</v>
      </c>
      <c r="D555" s="792">
        <f t="shared" si="264"/>
        <v>8.3033800741319098E-3</v>
      </c>
      <c r="E555" s="819">
        <f t="shared" si="271"/>
        <v>0.28222921938319279</v>
      </c>
      <c r="F555" s="816">
        <v>7006.89</v>
      </c>
      <c r="G555" s="792">
        <f t="shared" si="265"/>
        <v>1.4994104337295675E-2</v>
      </c>
      <c r="H555" s="797">
        <f t="shared" si="261"/>
        <v>0.37613959974075467</v>
      </c>
      <c r="I555" s="799">
        <v>343412.47999999998</v>
      </c>
      <c r="J555" s="800">
        <v>290000</v>
      </c>
      <c r="K555" s="800">
        <f t="shared" si="262"/>
        <v>6209.0999999999767</v>
      </c>
      <c r="L555" s="792">
        <f t="shared" si="270"/>
        <v>1.8413516495593776E-2</v>
      </c>
      <c r="M555" s="817">
        <f t="shared" si="272"/>
        <v>53412.479999999981</v>
      </c>
      <c r="N555" s="802">
        <f t="shared" si="242"/>
        <v>0.18418096551724131</v>
      </c>
      <c r="O555" s="786">
        <f t="shared" si="267"/>
        <v>7.7413230903535551E-2</v>
      </c>
      <c r="P555" s="817" t="b">
        <f t="shared" si="273"/>
        <v>1</v>
      </c>
      <c r="Q555" s="802">
        <f>COUNTIF(P$2:P555, TRUE)/(COUNTIF(P$2:P555,FALSE) + COUNTIF(P$2:P555, TRUE))</f>
        <v>0.48555956678700363</v>
      </c>
      <c r="R555" s="800">
        <v>227205.1</v>
      </c>
      <c r="S555" s="800">
        <f t="shared" si="268"/>
        <v>116207.37999999998</v>
      </c>
      <c r="T555" s="800">
        <v>-30580</v>
      </c>
      <c r="U555" s="800">
        <f t="shared" si="269"/>
        <v>83992.479999999981</v>
      </c>
      <c r="V555" s="802">
        <f>STDEV(D$2:D555)*SQRT(252)</f>
        <v>0.13483546761309076</v>
      </c>
      <c r="W555" s="802">
        <f>STDEV(L$2:L555)*SQRT(252)</f>
        <v>0.28996702596265966</v>
      </c>
      <c r="X555" s="801">
        <f t="shared" si="257"/>
        <v>0.87976823465996945</v>
      </c>
      <c r="Y555" s="801">
        <f t="shared" si="258"/>
        <v>0.26697253126120757</v>
      </c>
      <c r="Z555" s="807">
        <f t="shared" si="259"/>
        <v>-9.8048253865951479E-2</v>
      </c>
    </row>
    <row r="556" spans="1:26" ht="20.100000000000001" customHeight="1" x14ac:dyDescent="0.2">
      <c r="A556" s="776">
        <f t="shared" si="266"/>
        <v>870</v>
      </c>
      <c r="B556" s="795">
        <v>43103</v>
      </c>
      <c r="C556" s="820">
        <v>2713.06</v>
      </c>
      <c r="D556" s="792">
        <f t="shared" si="264"/>
        <v>6.3988189078607177E-3</v>
      </c>
      <c r="E556" s="819">
        <f t="shared" si="271"/>
        <v>0.29043397195639348</v>
      </c>
      <c r="F556" s="816">
        <v>7065.53</v>
      </c>
      <c r="G556" s="792">
        <f t="shared" si="265"/>
        <v>8.3689054630512842E-3</v>
      </c>
      <c r="H556" s="797">
        <f t="shared" si="261"/>
        <v>0.38765638195494628</v>
      </c>
      <c r="I556" s="799">
        <v>344644.23</v>
      </c>
      <c r="J556" s="800">
        <v>290000</v>
      </c>
      <c r="K556" s="800">
        <f t="shared" si="262"/>
        <v>1231.75</v>
      </c>
      <c r="L556" s="792">
        <f t="shared" si="270"/>
        <v>3.5867945160292371E-3</v>
      </c>
      <c r="M556" s="817">
        <f t="shared" si="272"/>
        <v>54644.229999999981</v>
      </c>
      <c r="N556" s="802">
        <f t="shared" si="242"/>
        <v>0.18842837931034476</v>
      </c>
      <c r="O556" s="786">
        <f t="shared" si="267"/>
        <v>7.9107431658739555E-2</v>
      </c>
      <c r="P556" s="817" t="b">
        <f t="shared" si="273"/>
        <v>0</v>
      </c>
      <c r="Q556" s="802">
        <f>COUNTIF(P$2:P556, TRUE)/(COUNTIF(P$2:P556,FALSE) + COUNTIF(P$2:P556, TRUE))</f>
        <v>0.48468468468468467</v>
      </c>
      <c r="R556" s="800">
        <v>229704.9</v>
      </c>
      <c r="S556" s="800">
        <f t="shared" si="268"/>
        <v>114939.32999999999</v>
      </c>
      <c r="T556" s="800">
        <v>-31165</v>
      </c>
      <c r="U556" s="800">
        <f t="shared" si="269"/>
        <v>85809.229999999981</v>
      </c>
      <c r="V556" s="802">
        <f>STDEV(D$2:D556)*SQRT(252)</f>
        <v>0.13477252040825866</v>
      </c>
      <c r="W556" s="802">
        <f>STDEV(L$2:L556)*SQRT(252)</f>
        <v>0.2897116598883494</v>
      </c>
      <c r="X556" s="801">
        <f t="shared" si="257"/>
        <v>0.90472592654327422</v>
      </c>
      <c r="Y556" s="801">
        <f t="shared" si="258"/>
        <v>0.27305573993544613</v>
      </c>
      <c r="Z556" s="807">
        <f t="shared" si="259"/>
        <v>-0.10200559264604872</v>
      </c>
    </row>
    <row r="557" spans="1:26" ht="20.100000000000001" customHeight="1" x14ac:dyDescent="0.2">
      <c r="A557" s="776">
        <f t="shared" si="266"/>
        <v>871</v>
      </c>
      <c r="B557" s="795">
        <v>43104</v>
      </c>
      <c r="C557" s="820">
        <v>2723.99</v>
      </c>
      <c r="D557" s="792">
        <f t="shared" si="264"/>
        <v>4.0286613639211209E-3</v>
      </c>
      <c r="E557" s="819">
        <f t="shared" si="271"/>
        <v>0.29563269344190546</v>
      </c>
      <c r="F557" s="816">
        <v>7077.91</v>
      </c>
      <c r="G557" s="792">
        <f t="shared" si="265"/>
        <v>1.7521686271235292E-3</v>
      </c>
      <c r="H557" s="797">
        <f t="shared" si="261"/>
        <v>0.39008778993263549</v>
      </c>
      <c r="I557" s="799">
        <v>346398.26</v>
      </c>
      <c r="J557" s="800">
        <v>290000</v>
      </c>
      <c r="K557" s="800">
        <f t="shared" si="262"/>
        <v>1754.0300000000279</v>
      </c>
      <c r="L557" s="792">
        <f t="shared" si="270"/>
        <v>5.0893931983136001E-3</v>
      </c>
      <c r="M557" s="817">
        <f t="shared" si="272"/>
        <v>56398.260000000009</v>
      </c>
      <c r="N557" s="802">
        <f t="shared" si="242"/>
        <v>0.19447675862068969</v>
      </c>
      <c r="O557" s="786">
        <f t="shared" si="267"/>
        <v>8.1552969100122732E-2</v>
      </c>
      <c r="P557" s="817" t="b">
        <f t="shared" si="273"/>
        <v>1</v>
      </c>
      <c r="Q557" s="802">
        <f>COUNTIF(P$2:P557, TRUE)/(COUNTIF(P$2:P557,FALSE) + COUNTIF(P$2:P557, TRUE))</f>
        <v>0.48561151079136688</v>
      </c>
      <c r="R557" s="800">
        <v>242885.7</v>
      </c>
      <c r="S557" s="800">
        <f t="shared" si="268"/>
        <v>103512.56</v>
      </c>
      <c r="T557" s="800">
        <v>-32271</v>
      </c>
      <c r="U557" s="800">
        <f t="shared" si="269"/>
        <v>88669.260000000009</v>
      </c>
      <c r="V557" s="802">
        <f>STDEV(D$2:D557)*SQRT(252)</f>
        <v>0.13467186615728099</v>
      </c>
      <c r="W557" s="802">
        <f>STDEV(L$2:L557)*SQRT(252)</f>
        <v>0.28946572718948649</v>
      </c>
      <c r="X557" s="801">
        <f t="shared" si="257"/>
        <v>0.92055057061790302</v>
      </c>
      <c r="Y557" s="801">
        <f t="shared" si="258"/>
        <v>0.28173618304296705</v>
      </c>
      <c r="Z557" s="807">
        <f t="shared" si="259"/>
        <v>-0.10115593482121576</v>
      </c>
    </row>
    <row r="558" spans="1:26" ht="20.100000000000001" customHeight="1" x14ac:dyDescent="0.2">
      <c r="A558" s="776">
        <f t="shared" si="266"/>
        <v>872</v>
      </c>
      <c r="B558" s="795">
        <v>43105</v>
      </c>
      <c r="C558" s="820">
        <v>2743.15</v>
      </c>
      <c r="D558" s="792">
        <f t="shared" si="264"/>
        <v>7.0337996835525499E-3</v>
      </c>
      <c r="E558" s="819">
        <f t="shared" si="271"/>
        <v>0.30474591427103748</v>
      </c>
      <c r="F558" s="816">
        <v>7136.55</v>
      </c>
      <c r="G558" s="792">
        <f t="shared" si="265"/>
        <v>8.2849315687823569E-3</v>
      </c>
      <c r="H558" s="797">
        <f t="shared" si="261"/>
        <v>0.40160457214682727</v>
      </c>
      <c r="I558" s="799">
        <v>346659.69</v>
      </c>
      <c r="J558" s="800">
        <v>290000</v>
      </c>
      <c r="K558" s="800">
        <f t="shared" si="262"/>
        <v>261.42999999999302</v>
      </c>
      <c r="L558" s="792">
        <f t="shared" ref="L558:L589" si="274">K558/I557</f>
        <v>7.5470933370159826E-4</v>
      </c>
      <c r="M558" s="817">
        <f t="shared" si="272"/>
        <v>56659.69</v>
      </c>
      <c r="N558" s="802">
        <f t="shared" si="242"/>
        <v>0.19537824137931034</v>
      </c>
      <c r="O558" s="786">
        <f t="shared" si="267"/>
        <v>8.1837044339212267E-2</v>
      </c>
      <c r="P558" s="817" t="b">
        <f t="shared" si="273"/>
        <v>0</v>
      </c>
      <c r="Q558" s="802">
        <f>COUNTIF(P$2:P558, TRUE)/(COUNTIF(P$2:P558,FALSE) + COUNTIF(P$2:P558, TRUE))</f>
        <v>0.48473967684021546</v>
      </c>
      <c r="R558" s="800">
        <v>221685.2</v>
      </c>
      <c r="S558" s="800">
        <f t="shared" si="268"/>
        <v>124974.48999999999</v>
      </c>
      <c r="T558" s="800">
        <v>-31364</v>
      </c>
      <c r="U558" s="800">
        <f t="shared" si="269"/>
        <v>88023.69</v>
      </c>
      <c r="V558" s="802">
        <f>STDEV(D$2:D558)*SQRT(252)</f>
        <v>0.13462231067466959</v>
      </c>
      <c r="W558" s="802">
        <f>STDEV(L$2:L558)*SQRT(252)</f>
        <v>0.2892048419948855</v>
      </c>
      <c r="X558" s="801">
        <f t="shared" si="257"/>
        <v>0.9481882972237784</v>
      </c>
      <c r="Y558" s="801">
        <f t="shared" si="258"/>
        <v>0.28297259400884972</v>
      </c>
      <c r="Z558" s="807">
        <f t="shared" si="259"/>
        <v>-0.10936767289172714</v>
      </c>
    </row>
    <row r="559" spans="1:26" ht="20.100000000000001" customHeight="1" x14ac:dyDescent="0.2">
      <c r="A559" s="776">
        <f t="shared" si="266"/>
        <v>875</v>
      </c>
      <c r="B559" s="795">
        <v>43108</v>
      </c>
      <c r="C559" s="820">
        <v>2747.71</v>
      </c>
      <c r="D559" s="792">
        <f t="shared" si="264"/>
        <v>1.662322512440058E-3</v>
      </c>
      <c r="E559" s="819">
        <f t="shared" si="271"/>
        <v>0.30691482277734439</v>
      </c>
      <c r="F559" s="816">
        <v>7157.38</v>
      </c>
      <c r="G559" s="792">
        <f t="shared" si="265"/>
        <v>2.9187772803385289E-3</v>
      </c>
      <c r="H559" s="797">
        <f t="shared" si="261"/>
        <v>0.40569554372802802</v>
      </c>
      <c r="I559" s="799">
        <v>347500.29</v>
      </c>
      <c r="J559" s="800">
        <v>290000</v>
      </c>
      <c r="K559" s="800">
        <f t="shared" si="262"/>
        <v>840.59999999997672</v>
      </c>
      <c r="L559" s="792">
        <f t="shared" si="274"/>
        <v>2.4248564925445377E-3</v>
      </c>
      <c r="M559" s="817">
        <f t="shared" si="272"/>
        <v>57500.289999999979</v>
      </c>
      <c r="N559" s="802">
        <f t="shared" si="242"/>
        <v>0.19827686206896544</v>
      </c>
      <c r="O559" s="786">
        <f t="shared" si="267"/>
        <v>8.2766427280788146E-2</v>
      </c>
      <c r="P559" s="817" t="b">
        <f t="shared" si="273"/>
        <v>1</v>
      </c>
      <c r="Q559" s="802">
        <f>COUNTIF(P$2:P559, TRUE)/(COUNTIF(P$2:P559,FALSE) + COUNTIF(P$2:P559, TRUE))</f>
        <v>0.48566308243727596</v>
      </c>
      <c r="R559" s="800">
        <v>226002.5</v>
      </c>
      <c r="S559" s="800">
        <f t="shared" si="268"/>
        <v>121497.78999999998</v>
      </c>
      <c r="T559" s="800">
        <v>-30809</v>
      </c>
      <c r="U559" s="800">
        <f t="shared" si="269"/>
        <v>88309.289999999979</v>
      </c>
      <c r="V559" s="802">
        <f>STDEV(D$2:D559)*SQRT(252)</f>
        <v>0.13450340927460769</v>
      </c>
      <c r="W559" s="802">
        <f>STDEV(L$2:L559)*SQRT(252)</f>
        <v>0.28894717192273284</v>
      </c>
      <c r="X559" s="801">
        <f t="shared" si="257"/>
        <v>0.95250385631962065</v>
      </c>
      <c r="Y559" s="801">
        <f t="shared" si="258"/>
        <v>0.28644138210468678</v>
      </c>
      <c r="Z559" s="807">
        <f t="shared" si="259"/>
        <v>-0.10863796070837894</v>
      </c>
    </row>
    <row r="560" spans="1:26" ht="20.100000000000001" customHeight="1" x14ac:dyDescent="0.2">
      <c r="A560" s="776">
        <f t="shared" si="266"/>
        <v>876</v>
      </c>
      <c r="B560" s="795">
        <v>43109</v>
      </c>
      <c r="C560" s="820">
        <v>2751.29</v>
      </c>
      <c r="D560" s="792">
        <f t="shared" si="264"/>
        <v>1.3029031448005528E-3</v>
      </c>
      <c r="E560" s="819">
        <f t="shared" si="271"/>
        <v>0.30861760620992745</v>
      </c>
      <c r="F560" s="816">
        <v>7163.57</v>
      </c>
      <c r="G560" s="792">
        <f t="shared" si="265"/>
        <v>8.6484160405058829E-4</v>
      </c>
      <c r="H560" s="797">
        <f t="shared" si="261"/>
        <v>0.40691124771687254</v>
      </c>
      <c r="I560" s="799">
        <v>347598.39</v>
      </c>
      <c r="J560" s="800">
        <v>290000</v>
      </c>
      <c r="K560" s="800">
        <f t="shared" si="262"/>
        <v>98.100000000034925</v>
      </c>
      <c r="L560" s="792">
        <f t="shared" si="274"/>
        <v>2.8230192268338807E-4</v>
      </c>
      <c r="M560" s="817">
        <f t="shared" si="272"/>
        <v>57598.390000000014</v>
      </c>
      <c r="N560" s="802">
        <f t="shared" si="242"/>
        <v>0.19861513793103452</v>
      </c>
      <c r="O560" s="786">
        <f t="shared" si="267"/>
        <v>8.2812989873641968E-2</v>
      </c>
      <c r="P560" s="817" t="b">
        <f t="shared" si="273"/>
        <v>0</v>
      </c>
      <c r="Q560" s="802">
        <f>COUNTIF(P$2:P560, TRUE)/(COUNTIF(P$2:P560,FALSE) + COUNTIF(P$2:P560, TRUE))</f>
        <v>0.48479427549194992</v>
      </c>
      <c r="R560" s="800">
        <v>226100.6</v>
      </c>
      <c r="S560" s="800">
        <f t="shared" si="268"/>
        <v>121497.79000000001</v>
      </c>
      <c r="T560" s="800">
        <v>-31069</v>
      </c>
      <c r="U560" s="800">
        <f t="shared" si="269"/>
        <v>88667.390000000014</v>
      </c>
      <c r="V560" s="802">
        <f>STDEV(D$2:D560)*SQRT(252)</f>
        <v>0.13438365522082504</v>
      </c>
      <c r="W560" s="802">
        <f>STDEV(L$2:L560)*SQRT(252)</f>
        <v>0.28868777341821511</v>
      </c>
      <c r="X560" s="801">
        <f t="shared" si="257"/>
        <v>0.95754758897981262</v>
      </c>
      <c r="Y560" s="801">
        <f t="shared" si="258"/>
        <v>0.28686005262049236</v>
      </c>
      <c r="Z560" s="807">
        <f t="shared" si="259"/>
        <v>-0.11000246827889293</v>
      </c>
    </row>
    <row r="561" spans="1:26" ht="20.100000000000001" customHeight="1" x14ac:dyDescent="0.2">
      <c r="A561" s="776">
        <f t="shared" si="266"/>
        <v>877</v>
      </c>
      <c r="B561" s="795">
        <v>43110</v>
      </c>
      <c r="C561" s="820">
        <v>2748.23</v>
      </c>
      <c r="D561" s="792">
        <f t="shared" si="264"/>
        <v>-1.1122055472160134E-3</v>
      </c>
      <c r="E561" s="819">
        <f t="shared" si="271"/>
        <v>0.30716215444911626</v>
      </c>
      <c r="F561" s="816">
        <v>7153.57</v>
      </c>
      <c r="G561" s="792">
        <f t="shared" si="265"/>
        <v>-1.3959520183372258E-3</v>
      </c>
      <c r="H561" s="797">
        <f t="shared" si="261"/>
        <v>0.40494726712100082</v>
      </c>
      <c r="I561" s="799">
        <v>346712.84</v>
      </c>
      <c r="J561" s="800">
        <v>290000</v>
      </c>
      <c r="K561" s="800">
        <f t="shared" si="262"/>
        <v>-885.54999999998836</v>
      </c>
      <c r="L561" s="792">
        <f t="shared" si="274"/>
        <v>-2.5476239979131902E-3</v>
      </c>
      <c r="M561" s="817">
        <f t="shared" si="272"/>
        <v>56712.840000000026</v>
      </c>
      <c r="N561" s="802">
        <f t="shared" si="242"/>
        <v>0.19556151724137941</v>
      </c>
      <c r="O561" s="786">
        <f t="shared" si="267"/>
        <v>8.1446800652695356E-2</v>
      </c>
      <c r="P561" s="817" t="b">
        <f t="shared" si="273"/>
        <v>0</v>
      </c>
      <c r="Q561" s="802">
        <f>COUNTIF(P$2:P561, TRUE)/(COUNTIF(P$2:P561,FALSE) + COUNTIF(P$2:P561, TRUE))</f>
        <v>0.48392857142857143</v>
      </c>
      <c r="R561" s="800">
        <v>225215.05</v>
      </c>
      <c r="S561" s="800">
        <f t="shared" si="268"/>
        <v>121497.79000000004</v>
      </c>
      <c r="T561" s="800">
        <v>-30783</v>
      </c>
      <c r="U561" s="800">
        <f t="shared" si="269"/>
        <v>87495.840000000026</v>
      </c>
      <c r="V561" s="802">
        <f>STDEV(D$2:D561)*SQRT(252)</f>
        <v>0.13426764638873573</v>
      </c>
      <c r="W561" s="802">
        <f>STDEV(L$2:L561)*SQRT(252)</f>
        <v>0.28843687816025637</v>
      </c>
      <c r="X561" s="801">
        <f t="shared" si="257"/>
        <v>0.9527675565157494</v>
      </c>
      <c r="Y561" s="801">
        <f t="shared" si="258"/>
        <v>0.28237304873145685</v>
      </c>
      <c r="Z561" s="807">
        <f t="shared" si="259"/>
        <v>-0.11160063720773686</v>
      </c>
    </row>
    <row r="562" spans="1:26" ht="20.100000000000001" customHeight="1" x14ac:dyDescent="0.2">
      <c r="A562" s="776">
        <f t="shared" si="266"/>
        <v>878</v>
      </c>
      <c r="B562" s="795">
        <v>43111</v>
      </c>
      <c r="C562" s="820">
        <v>2767.56</v>
      </c>
      <c r="D562" s="792">
        <f t="shared" si="264"/>
        <v>7.0336180014045138E-3</v>
      </c>
      <c r="E562" s="819">
        <f t="shared" si="271"/>
        <v>0.31635623370940424</v>
      </c>
      <c r="F562" s="816">
        <v>7211.77</v>
      </c>
      <c r="G562" s="792">
        <f t="shared" si="265"/>
        <v>8.1357979302642911E-3</v>
      </c>
      <c r="H562" s="797">
        <f t="shared" si="261"/>
        <v>0.41637763418897433</v>
      </c>
      <c r="I562" s="799">
        <v>352178.1</v>
      </c>
      <c r="J562" s="800">
        <v>290000</v>
      </c>
      <c r="K562" s="800">
        <f t="shared" si="262"/>
        <v>5465.2599999999511</v>
      </c>
      <c r="L562" s="792">
        <f t="shared" si="274"/>
        <v>1.5763073556779583E-2</v>
      </c>
      <c r="M562" s="817">
        <f t="shared" si="272"/>
        <v>62178.099999999977</v>
      </c>
      <c r="N562" s="802">
        <f t="shared" si="242"/>
        <v>0.21440724137931028</v>
      </c>
      <c r="O562" s="786">
        <f t="shared" si="267"/>
        <v>8.9193900812976179E-2</v>
      </c>
      <c r="P562" s="817" t="b">
        <f t="shared" si="273"/>
        <v>1</v>
      </c>
      <c r="Q562" s="802">
        <f>COUNTIF(P$2:P562, TRUE)/(COUNTIF(P$2:P562,FALSE) + COUNTIF(P$2:P562, TRUE))</f>
        <v>0.48484848484848486</v>
      </c>
      <c r="R562" s="800">
        <v>218099.25</v>
      </c>
      <c r="S562" s="800">
        <f t="shared" si="268"/>
        <v>134078.84999999998</v>
      </c>
      <c r="T562" s="800">
        <v>-30666</v>
      </c>
      <c r="U562" s="800">
        <f t="shared" si="269"/>
        <v>92844.099999999977</v>
      </c>
      <c r="V562" s="802">
        <f>STDEV(D$2:D562)*SQRT(252)</f>
        <v>0.13421874970356712</v>
      </c>
      <c r="W562" s="802">
        <f>STDEV(L$2:L562)*SQRT(252)</f>
        <v>0.28835759971493757</v>
      </c>
      <c r="X562" s="801">
        <f t="shared" si="257"/>
        <v>0.980525553568381</v>
      </c>
      <c r="Y562" s="801">
        <f t="shared" si="258"/>
        <v>0.30931697621686</v>
      </c>
      <c r="Z562" s="807">
        <f t="shared" si="259"/>
        <v>-0.10194899233009397</v>
      </c>
    </row>
    <row r="563" spans="1:26" ht="20.100000000000001" customHeight="1" x14ac:dyDescent="0.2">
      <c r="A563" s="776">
        <f t="shared" si="266"/>
        <v>879</v>
      </c>
      <c r="B563" s="795">
        <v>43112</v>
      </c>
      <c r="C563" s="820">
        <v>2786.24</v>
      </c>
      <c r="D563" s="792">
        <f t="shared" si="264"/>
        <v>6.7496278310135412E-3</v>
      </c>
      <c r="E563" s="819">
        <f t="shared" si="271"/>
        <v>0.32524114837997742</v>
      </c>
      <c r="F563" s="816">
        <v>7261.06</v>
      </c>
      <c r="G563" s="792">
        <f t="shared" si="265"/>
        <v>6.8346605618315563E-3</v>
      </c>
      <c r="H563" s="797">
        <f t="shared" si="261"/>
        <v>0.426058094546026</v>
      </c>
      <c r="I563" s="799">
        <v>354257.05</v>
      </c>
      <c r="J563" s="800">
        <v>290000</v>
      </c>
      <c r="K563" s="800">
        <f t="shared" si="262"/>
        <v>2078.9500000000116</v>
      </c>
      <c r="L563" s="792">
        <f t="shared" si="274"/>
        <v>5.9031211764729603E-3</v>
      </c>
      <c r="M563" s="817">
        <f t="shared" si="272"/>
        <v>64257.049999999988</v>
      </c>
      <c r="N563" s="802">
        <f t="shared" si="242"/>
        <v>0.22157603448275859</v>
      </c>
      <c r="O563" s="786">
        <f t="shared" si="267"/>
        <v>9.2071270301282801E-2</v>
      </c>
      <c r="P563" s="817" t="b">
        <f t="shared" si="273"/>
        <v>0</v>
      </c>
      <c r="Q563" s="802">
        <f>COUNTIF(P$2:P563, TRUE)/(COUNTIF(P$2:P563,FALSE) + COUNTIF(P$2:P563, TRUE))</f>
        <v>0.48398576512455516</v>
      </c>
      <c r="R563" s="800">
        <v>210112.6</v>
      </c>
      <c r="S563" s="800">
        <f t="shared" si="268"/>
        <v>144144.44999999998</v>
      </c>
      <c r="T563" s="800">
        <v>-30546</v>
      </c>
      <c r="U563" s="800">
        <f t="shared" si="269"/>
        <v>94803.049999999988</v>
      </c>
      <c r="V563" s="802">
        <f>STDEV(D$2:D563)*SQRT(252)</f>
        <v>0.13416370433949046</v>
      </c>
      <c r="W563" s="802">
        <f>STDEV(L$2:L563)*SQRT(252)</f>
        <v>0.28812150589296726</v>
      </c>
      <c r="X563" s="801">
        <f t="shared" si="257"/>
        <v>1.0073300609926426</v>
      </c>
      <c r="Y563" s="801">
        <f t="shared" si="258"/>
        <v>0.31955709108186414</v>
      </c>
      <c r="Z563" s="807">
        <f t="shared" si="259"/>
        <v>-0.10366511389721883</v>
      </c>
    </row>
    <row r="564" spans="1:26" ht="20.100000000000001" customHeight="1" x14ac:dyDescent="0.2">
      <c r="A564" s="776">
        <f t="shared" si="266"/>
        <v>883</v>
      </c>
      <c r="B564" s="795">
        <v>43116</v>
      </c>
      <c r="C564" s="820">
        <v>2776.42</v>
      </c>
      <c r="D564" s="792">
        <f t="shared" si="264"/>
        <v>-3.5244630756861252E-3</v>
      </c>
      <c r="E564" s="819">
        <f t="shared" si="271"/>
        <v>0.32057038488613232</v>
      </c>
      <c r="F564" s="816">
        <v>7223.68</v>
      </c>
      <c r="G564" s="792">
        <f t="shared" si="265"/>
        <v>-5.148008692945673E-3</v>
      </c>
      <c r="H564" s="797">
        <f t="shared" si="261"/>
        <v>0.41871673507865753</v>
      </c>
      <c r="I564" s="799">
        <v>351080.55</v>
      </c>
      <c r="J564" s="800">
        <v>290000</v>
      </c>
      <c r="K564" s="800">
        <f t="shared" si="262"/>
        <v>-3176.5</v>
      </c>
      <c r="L564" s="792">
        <f t="shared" si="274"/>
        <v>-8.9666528866539138E-3</v>
      </c>
      <c r="M564" s="817">
        <f t="shared" si="272"/>
        <v>61080.549999999988</v>
      </c>
      <c r="N564" s="802">
        <f t="shared" si="242"/>
        <v>0.2106225862068965</v>
      </c>
      <c r="O564" s="786">
        <f t="shared" si="267"/>
        <v>8.7123329118990886E-2</v>
      </c>
      <c r="P564" s="817" t="b">
        <f t="shared" si="273"/>
        <v>0</v>
      </c>
      <c r="Q564" s="802">
        <f>COUNTIF(P$2:P564, TRUE)/(COUNTIF(P$2:P564,FALSE) + COUNTIF(P$2:P564, TRUE))</f>
        <v>0.48312611012433393</v>
      </c>
      <c r="R564" s="800">
        <v>216645.1</v>
      </c>
      <c r="S564" s="800">
        <f t="shared" si="268"/>
        <v>134435.44999999998</v>
      </c>
      <c r="T564" s="800">
        <v>-30403</v>
      </c>
      <c r="U564" s="800">
        <f t="shared" si="269"/>
        <v>91483.549999999988</v>
      </c>
      <c r="V564" s="802">
        <f>STDEV(D$2:D564)*SQRT(252)</f>
        <v>0.13407167164533457</v>
      </c>
      <c r="W564" s="802">
        <f>STDEV(L$2:L564)*SQRT(252)</f>
        <v>0.28793680916923503</v>
      </c>
      <c r="X564" s="801">
        <f t="shared" si="257"/>
        <v>0.9890446437534286</v>
      </c>
      <c r="Y564" s="801">
        <f t="shared" si="258"/>
        <v>0.30257794885746647</v>
      </c>
      <c r="Z564" s="807">
        <f t="shared" si="259"/>
        <v>-0.10994779867923582</v>
      </c>
    </row>
    <row r="565" spans="1:26" ht="20.100000000000001" customHeight="1" x14ac:dyDescent="0.2">
      <c r="A565" s="776">
        <f t="shared" si="266"/>
        <v>884</v>
      </c>
      <c r="B565" s="795">
        <v>43117</v>
      </c>
      <c r="C565" s="820">
        <v>2802.56</v>
      </c>
      <c r="D565" s="792">
        <f t="shared" si="264"/>
        <v>9.4150020530034614E-3</v>
      </c>
      <c r="E565" s="819">
        <f t="shared" si="271"/>
        <v>0.33300355777097079</v>
      </c>
      <c r="F565" s="816">
        <v>7298.27</v>
      </c>
      <c r="G565" s="792">
        <f t="shared" si="265"/>
        <v>1.0325761938513353E-2</v>
      </c>
      <c r="H565" s="797">
        <f t="shared" si="261"/>
        <v>0.43336606634326469</v>
      </c>
      <c r="I565" s="799">
        <v>354388.75</v>
      </c>
      <c r="J565" s="800">
        <v>290000</v>
      </c>
      <c r="K565" s="800">
        <f t="shared" si="262"/>
        <v>3308.2000000000116</v>
      </c>
      <c r="L565" s="792">
        <f t="shared" si="274"/>
        <v>9.4229087883108634E-3</v>
      </c>
      <c r="M565" s="817">
        <f t="shared" si="272"/>
        <v>64388.75</v>
      </c>
      <c r="N565" s="802">
        <f t="shared" si="242"/>
        <v>0.22203017241379311</v>
      </c>
      <c r="O565" s="786">
        <f t="shared" si="267"/>
        <v>9.1738145332735208E-2</v>
      </c>
      <c r="P565" s="817" t="b">
        <f t="shared" si="273"/>
        <v>1</v>
      </c>
      <c r="Q565" s="802">
        <f>COUNTIF(P$2:P565, TRUE)/(COUNTIF(P$2:P565,FALSE) + COUNTIF(P$2:P565, TRUE))</f>
        <v>0.48404255319148937</v>
      </c>
      <c r="R565" s="800">
        <v>210366.65</v>
      </c>
      <c r="S565" s="800">
        <f t="shared" si="268"/>
        <v>144022.1</v>
      </c>
      <c r="T565" s="800">
        <v>-29857</v>
      </c>
      <c r="U565" s="800">
        <f t="shared" si="269"/>
        <v>94245.75</v>
      </c>
      <c r="V565" s="802">
        <f>STDEV(D$2:D565)*SQRT(252)</f>
        <v>0.13408415455090031</v>
      </c>
      <c r="W565" s="802">
        <f>STDEV(L$2:L565)*SQRT(252)</f>
        <v>0.28774044965708556</v>
      </c>
      <c r="X565" s="801">
        <f t="shared" si="257"/>
        <v>1.0261465163851142</v>
      </c>
      <c r="Y565" s="801">
        <f t="shared" ref="Y565:Y596" si="275">O565/W565</f>
        <v>0.31882255498684342</v>
      </c>
      <c r="Z565" s="807">
        <f t="shared" si="259"/>
        <v>-0.11097338535717768</v>
      </c>
    </row>
    <row r="566" spans="1:26" ht="20.100000000000001" customHeight="1" x14ac:dyDescent="0.2">
      <c r="A566" s="776">
        <f t="shared" si="266"/>
        <v>885</v>
      </c>
      <c r="B566" s="795">
        <v>43118</v>
      </c>
      <c r="C566" s="820">
        <v>2798.03</v>
      </c>
      <c r="D566" s="792">
        <f t="shared" si="264"/>
        <v>-1.6163793103447367E-3</v>
      </c>
      <c r="E566" s="819">
        <f t="shared" si="271"/>
        <v>0.33084891839957387</v>
      </c>
      <c r="F566" s="816">
        <v>7296.04</v>
      </c>
      <c r="G566" s="792">
        <f t="shared" si="265"/>
        <v>-3.0555186366090493E-4</v>
      </c>
      <c r="H566" s="797">
        <f t="shared" si="261"/>
        <v>0.43292809867038518</v>
      </c>
      <c r="I566" s="799">
        <v>353987.72</v>
      </c>
      <c r="J566" s="800">
        <v>290000</v>
      </c>
      <c r="K566" s="800">
        <f t="shared" si="262"/>
        <v>-401.03000000002794</v>
      </c>
      <c r="L566" s="792">
        <f t="shared" si="274"/>
        <v>-1.1316104137053672E-3</v>
      </c>
      <c r="M566" s="817">
        <f t="shared" si="272"/>
        <v>63987.719999999972</v>
      </c>
      <c r="N566" s="802">
        <f t="shared" si="242"/>
        <v>0.22064731034482749</v>
      </c>
      <c r="O566" s="786">
        <f t="shared" si="267"/>
        <v>9.1063762828755071E-2</v>
      </c>
      <c r="P566" s="817" t="b">
        <f t="shared" si="273"/>
        <v>1</v>
      </c>
      <c r="Q566" s="802">
        <f>COUNTIF(P$2:P566, TRUE)/(COUNTIF(P$2:P566,FALSE) + COUNTIF(P$2:P566, TRUE))</f>
        <v>0.4849557522123894</v>
      </c>
      <c r="R566" s="800">
        <v>212405.65</v>
      </c>
      <c r="S566" s="800">
        <f t="shared" si="268"/>
        <v>141582.06999999998</v>
      </c>
      <c r="T566" s="800">
        <v>-30624</v>
      </c>
      <c r="U566" s="800">
        <f t="shared" si="269"/>
        <v>94611.719999999972</v>
      </c>
      <c r="V566" s="802">
        <f>STDEV(D$2:D566)*SQRT(252)</f>
        <v>0.13397282052500681</v>
      </c>
      <c r="W566" s="802">
        <f>STDEV(L$2:L566)*SQRT(252)</f>
        <v>0.28748729200804252</v>
      </c>
      <c r="X566" s="801">
        <f t="shared" si="257"/>
        <v>1.0192013082546669</v>
      </c>
      <c r="Y566" s="801">
        <f t="shared" si="275"/>
        <v>0.31675752410721358</v>
      </c>
      <c r="Z566" s="807">
        <f t="shared" si="259"/>
        <v>-0.11020160805474638</v>
      </c>
    </row>
    <row r="567" spans="1:26" ht="20.100000000000001" customHeight="1" x14ac:dyDescent="0.2">
      <c r="A567" s="776">
        <f t="shared" si="266"/>
        <v>886</v>
      </c>
      <c r="B567" s="795">
        <v>43119</v>
      </c>
      <c r="C567" s="820">
        <v>2810.3</v>
      </c>
      <c r="D567" s="792">
        <f t="shared" si="264"/>
        <v>4.3852281783969367E-3</v>
      </c>
      <c r="E567" s="819">
        <f t="shared" si="271"/>
        <v>0.33668499457772877</v>
      </c>
      <c r="F567" s="816">
        <v>7336.38</v>
      </c>
      <c r="G567" s="792">
        <f t="shared" si="265"/>
        <v>5.5290267048974714E-3</v>
      </c>
      <c r="H567" s="797">
        <f t="shared" si="261"/>
        <v>0.44085079639413172</v>
      </c>
      <c r="I567" s="799">
        <v>365192.76</v>
      </c>
      <c r="J567" s="800">
        <v>300000</v>
      </c>
      <c r="K567" s="800">
        <f t="shared" si="262"/>
        <v>1205.0400000000373</v>
      </c>
      <c r="L567" s="792">
        <f t="shared" si="274"/>
        <v>3.4041858853183873E-3</v>
      </c>
      <c r="M567" s="817">
        <f t="shared" si="272"/>
        <v>65192.760000000009</v>
      </c>
      <c r="N567" s="802">
        <f t="shared" si="242"/>
        <v>0.21730920000000004</v>
      </c>
      <c r="O567" s="786">
        <f t="shared" si="267"/>
        <v>8.9584859255079016E-2</v>
      </c>
      <c r="P567" s="817" t="b">
        <f t="shared" si="273"/>
        <v>0</v>
      </c>
      <c r="Q567" s="802">
        <f>COUNTIF(P$2:P567, TRUE)/(COUNTIF(P$2:P567,FALSE) + COUNTIF(P$2:P567, TRUE))</f>
        <v>0.48409893992932862</v>
      </c>
      <c r="R567" s="800">
        <v>204670.9</v>
      </c>
      <c r="S567" s="800">
        <f t="shared" si="268"/>
        <v>160521.86000000002</v>
      </c>
      <c r="T567" s="800">
        <v>-30347</v>
      </c>
      <c r="U567" s="800">
        <f t="shared" si="269"/>
        <v>95539.760000000009</v>
      </c>
      <c r="V567" s="802">
        <f>STDEV(D$2:D567)*SQRT(252)</f>
        <v>0.13387859886701176</v>
      </c>
      <c r="W567" s="802">
        <f>STDEV(L$2:L567)*SQRT(252)</f>
        <v>0.28723816892790788</v>
      </c>
      <c r="X567" s="801">
        <f t="shared" si="257"/>
        <v>1.0367382103603608</v>
      </c>
      <c r="Y567" s="801">
        <f t="shared" si="275"/>
        <v>0.31188354803070534</v>
      </c>
      <c r="Z567" s="807">
        <f t="shared" si="259"/>
        <v>-0.11937579457772873</v>
      </c>
    </row>
    <row r="568" spans="1:26" ht="20.100000000000001" customHeight="1" x14ac:dyDescent="0.2">
      <c r="A568" s="776">
        <f t="shared" si="266"/>
        <v>889</v>
      </c>
      <c r="B568" s="795">
        <v>43122</v>
      </c>
      <c r="C568" s="820">
        <v>2832.97</v>
      </c>
      <c r="D568" s="792">
        <f t="shared" si="264"/>
        <v>8.0667544390277245E-3</v>
      </c>
      <c r="E568" s="819">
        <f t="shared" si="271"/>
        <v>0.34746770419132045</v>
      </c>
      <c r="F568" s="816">
        <v>7408.03</v>
      </c>
      <c r="G568" s="792">
        <f t="shared" si="265"/>
        <v>9.7663970514067742E-3</v>
      </c>
      <c r="H568" s="797">
        <f t="shared" si="261"/>
        <v>0.45492271736355244</v>
      </c>
      <c r="I568" s="799">
        <v>368309.46</v>
      </c>
      <c r="J568" s="800">
        <v>300000</v>
      </c>
      <c r="K568" s="800">
        <f t="shared" si="262"/>
        <v>3116.7000000000116</v>
      </c>
      <c r="L568" s="792">
        <f t="shared" si="274"/>
        <v>8.5343970126899871E-3</v>
      </c>
      <c r="M568" s="817">
        <f t="shared" si="272"/>
        <v>68309.460000000021</v>
      </c>
      <c r="N568" s="802">
        <f t="shared" si="242"/>
        <v>0.22769820000000007</v>
      </c>
      <c r="O568" s="786">
        <f t="shared" si="267"/>
        <v>9.3550919628796428E-2</v>
      </c>
      <c r="P568" s="817" t="b">
        <f t="shared" si="273"/>
        <v>1</v>
      </c>
      <c r="Q568" s="802">
        <f>COUNTIF(P$2:P568, TRUE)/(COUNTIF(P$2:P568,FALSE) + COUNTIF(P$2:P568, TRUE))</f>
        <v>0.48500881834215165</v>
      </c>
      <c r="R568" s="800">
        <v>220079.8</v>
      </c>
      <c r="S568" s="800">
        <f t="shared" si="268"/>
        <v>148229.66000000003</v>
      </c>
      <c r="T568" s="800">
        <v>-30244</v>
      </c>
      <c r="U568" s="800">
        <f t="shared" si="269"/>
        <v>98553.460000000021</v>
      </c>
      <c r="V568" s="802">
        <f>STDEV(D$2:D568)*SQRT(252)</f>
        <v>0.13385409195936193</v>
      </c>
      <c r="W568" s="802">
        <f>STDEV(L$2:L568)*SQRT(252)</f>
        <v>0.28703192101417985</v>
      </c>
      <c r="X568" s="801">
        <f t="shared" si="257"/>
        <v>1.0665255307838999</v>
      </c>
      <c r="Y568" s="801">
        <f t="shared" si="275"/>
        <v>0.32592514204778938</v>
      </c>
      <c r="Z568" s="807">
        <f t="shared" si="259"/>
        <v>-0.11976950419132038</v>
      </c>
    </row>
    <row r="569" spans="1:26" ht="20.100000000000001" customHeight="1" x14ac:dyDescent="0.2">
      <c r="A569" s="776">
        <f t="shared" si="266"/>
        <v>890</v>
      </c>
      <c r="B569" s="795">
        <v>43123</v>
      </c>
      <c r="C569" s="820">
        <v>2839.12</v>
      </c>
      <c r="D569" s="792">
        <f t="shared" si="264"/>
        <v>2.170866617013273E-3</v>
      </c>
      <c r="E569" s="819">
        <f t="shared" si="271"/>
        <v>0.35039287684785286</v>
      </c>
      <c r="F569" s="816">
        <v>7460.28</v>
      </c>
      <c r="G569" s="792">
        <f t="shared" si="265"/>
        <v>7.0531571821388413E-3</v>
      </c>
      <c r="H569" s="797">
        <f t="shared" si="261"/>
        <v>0.46518451597698213</v>
      </c>
      <c r="I569" s="799">
        <v>368315.52</v>
      </c>
      <c r="J569" s="800">
        <v>300000</v>
      </c>
      <c r="K569" s="800">
        <f t="shared" si="262"/>
        <v>6.0599999999976717</v>
      </c>
      <c r="L569" s="792">
        <f t="shared" si="274"/>
        <v>1.6453555116389548E-5</v>
      </c>
      <c r="M569" s="817">
        <f t="shared" si="272"/>
        <v>68315.520000000019</v>
      </c>
      <c r="N569" s="802">
        <f t="shared" si="242"/>
        <v>0.22771840000000007</v>
      </c>
      <c r="O569" s="786">
        <f t="shared" si="267"/>
        <v>9.3454096179775306E-2</v>
      </c>
      <c r="P569" s="817" t="b">
        <f t="shared" si="273"/>
        <v>0</v>
      </c>
      <c r="Q569" s="802">
        <f>COUNTIF(P$2:P569, TRUE)/(COUNTIF(P$2:P569,FALSE) + COUNTIF(P$2:P569, TRUE))</f>
        <v>0.48415492957746481</v>
      </c>
      <c r="R569" s="800">
        <v>218456.75</v>
      </c>
      <c r="S569" s="800">
        <f t="shared" si="268"/>
        <v>149858.77000000002</v>
      </c>
      <c r="T569" s="800">
        <v>-30209</v>
      </c>
      <c r="U569" s="800">
        <f t="shared" si="269"/>
        <v>98524.520000000019</v>
      </c>
      <c r="V569" s="802">
        <f>STDEV(D$2:D569)*SQRT(252)</f>
        <v>0.1337400925810926</v>
      </c>
      <c r="W569" s="802">
        <f>STDEV(L$2:L569)*SQRT(252)</f>
        <v>0.28677858516310845</v>
      </c>
      <c r="X569" s="801">
        <f t="shared" si="257"/>
        <v>1.0752114170400873</v>
      </c>
      <c r="Y569" s="801">
        <f t="shared" si="275"/>
        <v>0.32587543496883586</v>
      </c>
      <c r="Z569" s="807">
        <f t="shared" si="259"/>
        <v>-0.12267447684785279</v>
      </c>
    </row>
    <row r="570" spans="1:26" ht="20.100000000000001" customHeight="1" x14ac:dyDescent="0.2">
      <c r="A570" s="776">
        <f t="shared" si="266"/>
        <v>891</v>
      </c>
      <c r="B570" s="795">
        <v>43124</v>
      </c>
      <c r="C570" s="820">
        <v>2837.54</v>
      </c>
      <c r="D570" s="792">
        <f t="shared" si="264"/>
        <v>-5.5651046803232239E-4</v>
      </c>
      <c r="E570" s="819">
        <f t="shared" si="271"/>
        <v>0.3496413690759308</v>
      </c>
      <c r="F570" s="816">
        <v>7415.05</v>
      </c>
      <c r="G570" s="792">
        <f t="shared" si="265"/>
        <v>-6.0627751237218395E-3</v>
      </c>
      <c r="H570" s="797">
        <f t="shared" si="261"/>
        <v>0.4563014317418545</v>
      </c>
      <c r="I570" s="799">
        <v>368621.05</v>
      </c>
      <c r="J570" s="800">
        <v>300000</v>
      </c>
      <c r="K570" s="800">
        <f t="shared" si="262"/>
        <v>305.52999999996973</v>
      </c>
      <c r="L570" s="792">
        <f t="shared" si="274"/>
        <v>8.2953333055302617E-4</v>
      </c>
      <c r="M570" s="817">
        <f t="shared" si="272"/>
        <v>68621.049999999988</v>
      </c>
      <c r="N570" s="802">
        <f t="shared" si="242"/>
        <v>0.22873683333333331</v>
      </c>
      <c r="O570" s="786">
        <f t="shared" si="267"/>
        <v>9.3766698512906838E-2</v>
      </c>
      <c r="P570" s="817" t="b">
        <f t="shared" si="273"/>
        <v>1</v>
      </c>
      <c r="Q570" s="802">
        <f>COUNTIF(P$2:P570, TRUE)/(COUNTIF(P$2:P570,FALSE) + COUNTIF(P$2:P570, TRUE))</f>
        <v>0.48506151142355008</v>
      </c>
      <c r="R570" s="800">
        <v>219596.85</v>
      </c>
      <c r="S570" s="800">
        <f t="shared" si="268"/>
        <v>149024.19999999998</v>
      </c>
      <c r="T570" s="800">
        <v>-30343</v>
      </c>
      <c r="U570" s="800">
        <f t="shared" si="269"/>
        <v>98964.049999999988</v>
      </c>
      <c r="V570" s="802">
        <f>STDEV(D$2:D570)*SQRT(252)</f>
        <v>0.13362419314060342</v>
      </c>
      <c r="W570" s="802">
        <f>STDEV(L$2:L570)*SQRT(252)</f>
        <v>0.28652560070203631</v>
      </c>
      <c r="X570" s="801">
        <f t="shared" si="257"/>
        <v>1.0726307345929313</v>
      </c>
      <c r="Y570" s="801">
        <f t="shared" si="275"/>
        <v>0.32725417304130078</v>
      </c>
      <c r="Z570" s="807">
        <f t="shared" si="259"/>
        <v>-0.12090453574259749</v>
      </c>
    </row>
    <row r="571" spans="1:26" ht="20.100000000000001" customHeight="1" x14ac:dyDescent="0.2">
      <c r="A571" s="776">
        <f t="shared" si="266"/>
        <v>892</v>
      </c>
      <c r="B571" s="795">
        <v>43125</v>
      </c>
      <c r="C571" s="820">
        <v>2839.25</v>
      </c>
      <c r="D571" s="792">
        <f t="shared" si="264"/>
        <v>6.0263467651558618E-4</v>
      </c>
      <c r="E571" s="819">
        <f t="shared" si="271"/>
        <v>0.3504547097657959</v>
      </c>
      <c r="F571" s="816">
        <v>7411.16</v>
      </c>
      <c r="G571" s="792">
        <f t="shared" si="265"/>
        <v>-5.2460873493777218E-4</v>
      </c>
      <c r="H571" s="797">
        <f t="shared" si="261"/>
        <v>0.4555374432900603</v>
      </c>
      <c r="I571" s="799">
        <v>365192.24</v>
      </c>
      <c r="J571" s="800">
        <v>300000</v>
      </c>
      <c r="K571" s="800">
        <f t="shared" si="262"/>
        <v>-3428.8099999999977</v>
      </c>
      <c r="L571" s="792">
        <f t="shared" si="274"/>
        <v>-9.3017205609934595E-3</v>
      </c>
      <c r="M571" s="817">
        <f t="shared" si="272"/>
        <v>65192.239999999991</v>
      </c>
      <c r="N571" s="802">
        <f t="shared" si="242"/>
        <v>0.21730746666666664</v>
      </c>
      <c r="O571" s="786">
        <f t="shared" si="267"/>
        <v>8.8981560762331838E-2</v>
      </c>
      <c r="P571" s="817" t="b">
        <f t="shared" si="273"/>
        <v>0</v>
      </c>
      <c r="Q571" s="802">
        <f>COUNTIF(P$2:P571, TRUE)/(COUNTIF(P$2:P571,FALSE) + COUNTIF(P$2:P571, TRUE))</f>
        <v>0.48421052631578948</v>
      </c>
      <c r="R571" s="800">
        <v>213406.25</v>
      </c>
      <c r="S571" s="800">
        <f t="shared" si="268"/>
        <v>151785.99</v>
      </c>
      <c r="T571" s="800">
        <v>-32432</v>
      </c>
      <c r="U571" s="800">
        <f t="shared" si="269"/>
        <v>97624.239999999991</v>
      </c>
      <c r="V571" s="802">
        <f>STDEV(D$2:D571)*SQRT(252)</f>
        <v>0.13350651695509588</v>
      </c>
      <c r="W571" s="802">
        <f>STDEV(L$2:L571)*SQRT(252)</f>
        <v>0.28635026505168731</v>
      </c>
      <c r="X571" s="801">
        <f t="shared" si="257"/>
        <v>1.0748671873647724</v>
      </c>
      <c r="Y571" s="801">
        <f t="shared" si="275"/>
        <v>0.31074376950994032</v>
      </c>
      <c r="Z571" s="807">
        <f t="shared" si="259"/>
        <v>-0.13314724309912926</v>
      </c>
    </row>
    <row r="572" spans="1:26" ht="20.100000000000001" customHeight="1" x14ac:dyDescent="0.2">
      <c r="A572" s="776">
        <f t="shared" si="266"/>
        <v>893</v>
      </c>
      <c r="B572" s="795">
        <v>43126</v>
      </c>
      <c r="C572" s="820">
        <v>2872.87</v>
      </c>
      <c r="D572" s="792">
        <f t="shared" si="264"/>
        <v>1.1841155234657001E-2</v>
      </c>
      <c r="E572" s="819">
        <f t="shared" si="271"/>
        <v>0.36644565362150633</v>
      </c>
      <c r="F572" s="816">
        <v>7505.77</v>
      </c>
      <c r="G572" s="792">
        <f t="shared" si="265"/>
        <v>1.2765882803771687E-2</v>
      </c>
      <c r="H572" s="797">
        <f t="shared" si="261"/>
        <v>0.47411866370760269</v>
      </c>
      <c r="I572" s="799">
        <v>367940.03</v>
      </c>
      <c r="J572" s="800">
        <v>300000</v>
      </c>
      <c r="K572" s="800">
        <f t="shared" si="262"/>
        <v>2747.7900000000373</v>
      </c>
      <c r="L572" s="792">
        <f t="shared" si="274"/>
        <v>7.5242288828482155E-3</v>
      </c>
      <c r="M572" s="817">
        <f t="shared" si="272"/>
        <v>67940.030000000028</v>
      </c>
      <c r="N572" s="802">
        <f t="shared" si="242"/>
        <v>0.22646676666666676</v>
      </c>
      <c r="O572" s="786">
        <f t="shared" si="267"/>
        <v>9.2628204395296801E-2</v>
      </c>
      <c r="P572" s="817" t="b">
        <f t="shared" si="273"/>
        <v>0</v>
      </c>
      <c r="Q572" s="802">
        <f>COUNTIF(P$2:P572, TRUE)/(COUNTIF(P$2:P572,FALSE) + COUNTIF(P$2:P572, TRUE))</f>
        <v>0.48336252189141854</v>
      </c>
      <c r="R572" s="800">
        <v>189727.75</v>
      </c>
      <c r="S572" s="800">
        <f t="shared" si="268"/>
        <v>178212.28000000003</v>
      </c>
      <c r="T572" s="800">
        <v>-32122</v>
      </c>
      <c r="U572" s="800">
        <f t="shared" si="269"/>
        <v>100062.03000000003</v>
      </c>
      <c r="V572" s="802">
        <f>STDEV(D$2:D572)*SQRT(252)</f>
        <v>0.13359975823184689</v>
      </c>
      <c r="W572" s="802">
        <f>STDEV(L$2:L572)*SQRT(252)</f>
        <v>0.28613494749113977</v>
      </c>
      <c r="X572" s="801">
        <f t="shared" si="257"/>
        <v>1.1218703455007415</v>
      </c>
      <c r="Y572" s="801">
        <f t="shared" si="275"/>
        <v>0.32372209409395913</v>
      </c>
      <c r="Z572" s="807">
        <f t="shared" si="259"/>
        <v>-0.13997888695483957</v>
      </c>
    </row>
    <row r="573" spans="1:26" ht="20.100000000000001" customHeight="1" x14ac:dyDescent="0.2">
      <c r="A573" s="776">
        <f t="shared" si="266"/>
        <v>896</v>
      </c>
      <c r="B573" s="795">
        <v>43129</v>
      </c>
      <c r="C573" s="820">
        <v>2853.53</v>
      </c>
      <c r="D573" s="792">
        <f t="shared" si="264"/>
        <v>-6.7319440141738723E-3</v>
      </c>
      <c r="E573" s="819">
        <f t="shared" si="271"/>
        <v>0.35724681798291513</v>
      </c>
      <c r="F573" s="816">
        <v>7466.5</v>
      </c>
      <c r="G573" s="792">
        <f t="shared" si="265"/>
        <v>-5.2319748673354547E-3</v>
      </c>
      <c r="H573" s="797">
        <f t="shared" si="261"/>
        <v>0.46640611190761438</v>
      </c>
      <c r="I573" s="799">
        <v>367642.25</v>
      </c>
      <c r="J573" s="800">
        <v>300000</v>
      </c>
      <c r="K573" s="800">
        <f t="shared" si="262"/>
        <v>-297.78000000002794</v>
      </c>
      <c r="L573" s="792">
        <f t="shared" si="274"/>
        <v>-8.0931667043683151E-4</v>
      </c>
      <c r="M573" s="817">
        <f t="shared" si="272"/>
        <v>67642.25</v>
      </c>
      <c r="N573" s="802">
        <f t="shared" si="242"/>
        <v>0.22547416666666667</v>
      </c>
      <c r="O573" s="786">
        <f t="shared" si="267"/>
        <v>9.1913436802455367E-2</v>
      </c>
      <c r="P573" s="817" t="b">
        <f t="shared" si="273"/>
        <v>1</v>
      </c>
      <c r="Q573" s="802">
        <f>COUNTIF(P$2:P573, TRUE)/(COUNTIF(P$2:P573,FALSE) + COUNTIF(P$2:P573, TRUE))</f>
        <v>0.48426573426573427</v>
      </c>
      <c r="R573" s="800">
        <v>189728.75</v>
      </c>
      <c r="S573" s="800">
        <f t="shared" si="268"/>
        <v>177913.5</v>
      </c>
      <c r="T573" s="800">
        <v>-32121</v>
      </c>
      <c r="U573" s="800">
        <f t="shared" si="269"/>
        <v>99763.25</v>
      </c>
      <c r="V573" s="802">
        <f>STDEV(D$2:D573)*SQRT(252)</f>
        <v>0.13357094602559386</v>
      </c>
      <c r="W573" s="802">
        <f>STDEV(L$2:L573)*SQRT(252)</f>
        <v>0.28588553208856937</v>
      </c>
      <c r="X573" s="801">
        <f t="shared" si="257"/>
        <v>1.0902813474554434</v>
      </c>
      <c r="Y573" s="801">
        <f t="shared" si="275"/>
        <v>0.32150433122995509</v>
      </c>
      <c r="Z573" s="807">
        <f t="shared" si="259"/>
        <v>-0.13177265131624846</v>
      </c>
    </row>
    <row r="574" spans="1:26" ht="20.100000000000001" customHeight="1" x14ac:dyDescent="0.2">
      <c r="A574" s="776">
        <f t="shared" si="266"/>
        <v>897</v>
      </c>
      <c r="B574" s="795">
        <v>43130</v>
      </c>
      <c r="C574" s="820">
        <v>2822.43</v>
      </c>
      <c r="D574" s="792">
        <f t="shared" si="264"/>
        <v>-1.0898781509218533E-2</v>
      </c>
      <c r="E574" s="819">
        <f t="shared" si="271"/>
        <v>0.34245448145963725</v>
      </c>
      <c r="F574" s="816">
        <v>7402.48</v>
      </c>
      <c r="G574" s="792">
        <f t="shared" si="265"/>
        <v>-8.5742985334494662E-3</v>
      </c>
      <c r="H574" s="797">
        <f t="shared" si="261"/>
        <v>0.4538327081328436</v>
      </c>
      <c r="I574" s="799">
        <v>363472.55</v>
      </c>
      <c r="J574" s="800">
        <v>300000</v>
      </c>
      <c r="K574" s="800">
        <f t="shared" si="262"/>
        <v>-4169.7000000000116</v>
      </c>
      <c r="L574" s="792">
        <f t="shared" si="274"/>
        <v>-1.1341732349859168E-2</v>
      </c>
      <c r="M574" s="817">
        <f t="shared" si="272"/>
        <v>63472.549999999988</v>
      </c>
      <c r="N574" s="802">
        <f t="shared" si="242"/>
        <v>0.21157516666666662</v>
      </c>
      <c r="O574" s="786">
        <f t="shared" si="267"/>
        <v>8.6151426560758054E-2</v>
      </c>
      <c r="P574" s="817" t="b">
        <f t="shared" si="273"/>
        <v>0</v>
      </c>
      <c r="Q574" s="802">
        <f>COUNTIF(P$2:P574, TRUE)/(COUNTIF(P$2:P574,FALSE) + COUNTIF(P$2:P574, TRUE))</f>
        <v>0.48342059336823734</v>
      </c>
      <c r="R574" s="800">
        <v>202153.55</v>
      </c>
      <c r="S574" s="800">
        <f t="shared" si="268"/>
        <v>161319</v>
      </c>
      <c r="T574" s="800">
        <v>-32010</v>
      </c>
      <c r="U574" s="800">
        <f t="shared" si="269"/>
        <v>95482.549999999988</v>
      </c>
      <c r="V574" s="802">
        <f>STDEV(D$2:D574)*SQRT(252)</f>
        <v>0.13367087900186314</v>
      </c>
      <c r="W574" s="802">
        <f>STDEV(L$2:L574)*SQRT(252)</f>
        <v>0.28574629394244244</v>
      </c>
      <c r="X574" s="801">
        <f t="shared" si="257"/>
        <v>1.0431909998648377</v>
      </c>
      <c r="Y574" s="801">
        <f t="shared" si="275"/>
        <v>0.30149621670372895</v>
      </c>
      <c r="Z574" s="807">
        <f t="shared" si="259"/>
        <v>-0.13087931479297063</v>
      </c>
    </row>
    <row r="575" spans="1:26" ht="20.100000000000001" customHeight="1" x14ac:dyDescent="0.2">
      <c r="A575" s="776">
        <f t="shared" si="266"/>
        <v>898</v>
      </c>
      <c r="B575" s="795">
        <v>43131</v>
      </c>
      <c r="C575" s="820">
        <v>2823.81</v>
      </c>
      <c r="D575" s="792">
        <f t="shared" si="264"/>
        <v>4.8894038116095327E-4</v>
      </c>
      <c r="E575" s="819">
        <f t="shared" si="271"/>
        <v>0.34311086166549337</v>
      </c>
      <c r="F575" s="816">
        <v>7411.48</v>
      </c>
      <c r="G575" s="792">
        <f t="shared" si="265"/>
        <v>1.215808755984481E-3</v>
      </c>
      <c r="H575" s="797">
        <f t="shared" ref="H575:H606" si="276">(F575-F$2)/F$2</f>
        <v>0.45560029066912816</v>
      </c>
      <c r="I575" s="822">
        <v>363062.5</v>
      </c>
      <c r="J575" s="800">
        <v>300000</v>
      </c>
      <c r="K575" s="800">
        <f t="shared" ref="K575:K606" si="277">I575-I574-J575+J574</f>
        <v>-410.04999999998836</v>
      </c>
      <c r="L575" s="792">
        <f t="shared" si="274"/>
        <v>-1.1281457155429987E-3</v>
      </c>
      <c r="M575" s="822">
        <f t="shared" si="272"/>
        <v>63062.5</v>
      </c>
      <c r="N575" s="802">
        <f t="shared" si="242"/>
        <v>0.21020833333333333</v>
      </c>
      <c r="O575" s="786">
        <f t="shared" si="267"/>
        <v>8.5499547605790635E-2</v>
      </c>
      <c r="P575" s="817" t="b">
        <f t="shared" si="273"/>
        <v>0</v>
      </c>
      <c r="Q575" s="802">
        <f>COUNTIF(P$2:P575, TRUE)/(COUNTIF(P$2:P575,FALSE) + COUNTIF(P$2:P575, TRUE))</f>
        <v>0.48257839721254353</v>
      </c>
      <c r="R575" s="800">
        <v>225816.5</v>
      </c>
      <c r="S575" s="800">
        <f t="shared" si="268"/>
        <v>137246</v>
      </c>
      <c r="T575" s="800">
        <v>-31812</v>
      </c>
      <c r="U575" s="800">
        <f t="shared" si="269"/>
        <v>94874.5</v>
      </c>
      <c r="V575" s="802">
        <f>STDEV(D$2:D575)*SQRT(252)</f>
        <v>0.13355398891699974</v>
      </c>
      <c r="W575" s="802">
        <f>STDEV(L$2:L575)*SQRT(252)</f>
        <v>0.28549883335268605</v>
      </c>
      <c r="X575" s="801">
        <f t="shared" si="257"/>
        <v>1.0449403282928045</v>
      </c>
      <c r="Y575" s="801">
        <f t="shared" si="275"/>
        <v>0.29947424513700288</v>
      </c>
      <c r="Z575" s="807">
        <f t="shared" si="259"/>
        <v>-0.13290252833216004</v>
      </c>
    </row>
    <row r="576" spans="1:26" ht="20.100000000000001" customHeight="1" x14ac:dyDescent="0.2">
      <c r="A576" s="776">
        <f t="shared" si="266"/>
        <v>899</v>
      </c>
      <c r="B576" s="795">
        <v>43132</v>
      </c>
      <c r="C576" s="820">
        <v>2821.98</v>
      </c>
      <c r="D576" s="792">
        <f t="shared" ref="D576:D607" si="278">(C576-C575)/C575</f>
        <v>-6.4806059897795079E-4</v>
      </c>
      <c r="E576" s="819">
        <f t="shared" si="271"/>
        <v>0.34224044443598861</v>
      </c>
      <c r="F576" s="816">
        <v>7385.86</v>
      </c>
      <c r="G576" s="792">
        <f t="shared" ref="G576:G607" si="279">(F576-F575)/F575</f>
        <v>-3.4567994516614621E-3</v>
      </c>
      <c r="H576" s="797">
        <f t="shared" si="276"/>
        <v>0.45056857238250486</v>
      </c>
      <c r="I576" s="799">
        <v>363770.56</v>
      </c>
      <c r="J576" s="800">
        <v>300000</v>
      </c>
      <c r="K576" s="800">
        <f t="shared" si="277"/>
        <v>708.05999999999767</v>
      </c>
      <c r="L576" s="792">
        <f t="shared" si="274"/>
        <v>1.95024272680323E-3</v>
      </c>
      <c r="M576" s="817">
        <f t="shared" si="272"/>
        <v>63770.559999999998</v>
      </c>
      <c r="N576" s="802">
        <f t="shared" si="242"/>
        <v>0.21256853333333334</v>
      </c>
      <c r="O576" s="786">
        <f t="shared" si="267"/>
        <v>8.6363355728587318E-2</v>
      </c>
      <c r="P576" s="817" t="b">
        <f t="shared" si="273"/>
        <v>1</v>
      </c>
      <c r="Q576" s="802">
        <f>COUNTIF(P$2:P576, TRUE)/(COUNTIF(P$2:P576,FALSE) + COUNTIF(P$2:P576, TRUE))</f>
        <v>0.48347826086956519</v>
      </c>
      <c r="R576" s="800">
        <v>233398.5</v>
      </c>
      <c r="S576" s="800">
        <f t="shared" si="268"/>
        <v>130372.06</v>
      </c>
      <c r="T576" s="800">
        <v>-31543</v>
      </c>
      <c r="U576" s="800">
        <f t="shared" si="269"/>
        <v>95313.56</v>
      </c>
      <c r="V576" s="802">
        <f>STDEV(D$2:D576)*SQRT(252)</f>
        <v>0.13343976080758532</v>
      </c>
      <c r="W576" s="802">
        <f>STDEV(L$2:L576)*SQRT(252)</f>
        <v>0.28525091154522259</v>
      </c>
      <c r="X576" s="801">
        <f t="shared" si="257"/>
        <v>1.0420213306571622</v>
      </c>
      <c r="Y576" s="801">
        <f t="shared" si="275"/>
        <v>0.30276276861220686</v>
      </c>
      <c r="Z576" s="807">
        <f t="shared" si="259"/>
        <v>-0.12967191110265527</v>
      </c>
    </row>
    <row r="577" spans="1:26" ht="20.100000000000001" customHeight="1" x14ac:dyDescent="0.2">
      <c r="A577" s="776">
        <f t="shared" si="266"/>
        <v>900</v>
      </c>
      <c r="B577" s="795">
        <v>43133</v>
      </c>
      <c r="C577" s="820">
        <v>2762.13</v>
      </c>
      <c r="D577" s="792">
        <f t="shared" si="278"/>
        <v>-2.1208513171602886E-2</v>
      </c>
      <c r="E577" s="819">
        <f t="shared" si="271"/>
        <v>0.31377352029070987</v>
      </c>
      <c r="F577" s="816">
        <v>7240.94</v>
      </c>
      <c r="G577" s="792">
        <f t="shared" si="279"/>
        <v>-1.9621276330718439E-2</v>
      </c>
      <c r="H577" s="797">
        <f t="shared" si="276"/>
        <v>0.422106565587132</v>
      </c>
      <c r="I577" s="799">
        <v>356559.21</v>
      </c>
      <c r="J577" s="800">
        <v>300000</v>
      </c>
      <c r="K577" s="800">
        <f t="shared" si="277"/>
        <v>-7211.3499999999767</v>
      </c>
      <c r="L577" s="792">
        <f t="shared" si="274"/>
        <v>-1.9823896689165767E-2</v>
      </c>
      <c r="M577" s="817">
        <f t="shared" si="272"/>
        <v>56559.210000000021</v>
      </c>
      <c r="N577" s="802">
        <f t="shared" ref="N577:N617" si="280">M577/J577</f>
        <v>0.18853070000000008</v>
      </c>
      <c r="O577" s="786">
        <f t="shared" si="267"/>
        <v>7.651204241666669E-2</v>
      </c>
      <c r="P577" s="817" t="b">
        <f t="shared" si="273"/>
        <v>1</v>
      </c>
      <c r="Q577" s="802">
        <f>COUNTIF(P$2:P577, TRUE)/(COUNTIF(P$2:P577,FALSE) + COUNTIF(P$2:P577, TRUE))</f>
        <v>0.484375</v>
      </c>
      <c r="R577" s="800">
        <v>256773.45</v>
      </c>
      <c r="S577" s="800">
        <f t="shared" si="268"/>
        <v>99785.760000000009</v>
      </c>
      <c r="T577" s="800">
        <v>-31380</v>
      </c>
      <c r="U577" s="800">
        <f t="shared" si="269"/>
        <v>87939.210000000021</v>
      </c>
      <c r="V577" s="802">
        <f>STDEV(D$2:D577)*SQRT(252)</f>
        <v>0.13409921649872969</v>
      </c>
      <c r="W577" s="802">
        <f>STDEV(L$2:L577)*SQRT(252)</f>
        <v>0.28532431904874161</v>
      </c>
      <c r="X577" s="801">
        <f t="shared" si="257"/>
        <v>0.94959356941894857</v>
      </c>
      <c r="Y577" s="801">
        <f t="shared" si="275"/>
        <v>0.26815815305107671</v>
      </c>
      <c r="Z577" s="807">
        <f t="shared" si="259"/>
        <v>-0.12524282029070979</v>
      </c>
    </row>
    <row r="578" spans="1:26" ht="20.100000000000001" customHeight="1" x14ac:dyDescent="0.2">
      <c r="A578" s="776">
        <f t="shared" si="266"/>
        <v>903</v>
      </c>
      <c r="B578" s="795">
        <v>43136</v>
      </c>
      <c r="C578" s="820">
        <v>2648.94</v>
      </c>
      <c r="D578" s="792">
        <f t="shared" si="278"/>
        <v>-4.0979244278871757E-2</v>
      </c>
      <c r="E578" s="819">
        <f t="shared" si="271"/>
        <v>0.25993607427560356</v>
      </c>
      <c r="F578" s="816">
        <v>6967.52</v>
      </c>
      <c r="G578" s="792">
        <f t="shared" si="279"/>
        <v>-3.7760290790974538E-2</v>
      </c>
      <c r="H578" s="797">
        <f t="shared" si="276"/>
        <v>0.36840740813480777</v>
      </c>
      <c r="I578" s="799">
        <v>346151.51</v>
      </c>
      <c r="J578" s="800">
        <v>300000</v>
      </c>
      <c r="K578" s="800">
        <f t="shared" si="277"/>
        <v>-10407.700000000012</v>
      </c>
      <c r="L578" s="792">
        <f t="shared" si="274"/>
        <v>-2.918926144131857E-2</v>
      </c>
      <c r="M578" s="817">
        <f t="shared" si="272"/>
        <v>46151.510000000009</v>
      </c>
      <c r="N578" s="802">
        <f t="shared" si="280"/>
        <v>0.1538383666666667</v>
      </c>
      <c r="O578" s="786">
        <f t="shared" si="267"/>
        <v>6.2225319407530469E-2</v>
      </c>
      <c r="P578" s="817" t="b">
        <f t="shared" si="273"/>
        <v>1</v>
      </c>
      <c r="Q578" s="802">
        <f>COUNTIF(P$2:P578, TRUE)/(COUNTIF(P$2:P578,FALSE) + COUNTIF(P$2:P578, TRUE))</f>
        <v>0.48526863084922012</v>
      </c>
      <c r="R578" s="800">
        <v>265974.57</v>
      </c>
      <c r="S578" s="800">
        <f t="shared" si="268"/>
        <v>80176.94</v>
      </c>
      <c r="T578" s="800">
        <v>-31901</v>
      </c>
      <c r="U578" s="800">
        <f t="shared" si="269"/>
        <v>78052.510000000009</v>
      </c>
      <c r="V578" s="802">
        <f>STDEV(D$2:D578)*SQRT(252)</f>
        <v>0.13676413993416908</v>
      </c>
      <c r="W578" s="802">
        <f>STDEV(L$2:L578)*SQRT(252)</f>
        <v>0.28575670816669452</v>
      </c>
      <c r="X578" s="801">
        <f t="shared" si="257"/>
        <v>0.76877064417325591</v>
      </c>
      <c r="Y578" s="801">
        <f t="shared" si="275"/>
        <v>0.21775628578151066</v>
      </c>
      <c r="Z578" s="807">
        <f t="shared" si="259"/>
        <v>-0.10609770760893686</v>
      </c>
    </row>
    <row r="579" spans="1:26" ht="20.100000000000001" customHeight="1" x14ac:dyDescent="0.2">
      <c r="A579" s="776">
        <f t="shared" ref="A579:A610" si="281">B579-$B$2</f>
        <v>904</v>
      </c>
      <c r="B579" s="795">
        <v>43137</v>
      </c>
      <c r="C579" s="820">
        <v>2695.14</v>
      </c>
      <c r="D579" s="792">
        <f t="shared" si="278"/>
        <v>1.7440938639606718E-2</v>
      </c>
      <c r="E579" s="819">
        <f t="shared" si="271"/>
        <v>0.28191054203687133</v>
      </c>
      <c r="F579" s="816">
        <v>7115.88</v>
      </c>
      <c r="G579" s="792">
        <f t="shared" si="279"/>
        <v>2.1293085631616367E-2</v>
      </c>
      <c r="H579" s="797">
        <f t="shared" si="276"/>
        <v>0.39754502425516042</v>
      </c>
      <c r="I579" s="799">
        <v>368455.72</v>
      </c>
      <c r="J579" s="800">
        <v>315000</v>
      </c>
      <c r="K579" s="800">
        <f t="shared" si="277"/>
        <v>7304.2099999999627</v>
      </c>
      <c r="L579" s="792">
        <f t="shared" si="274"/>
        <v>2.1101193520721498E-2</v>
      </c>
      <c r="M579" s="817">
        <f t="shared" si="272"/>
        <v>53455.719999999972</v>
      </c>
      <c r="N579" s="802">
        <f t="shared" si="280"/>
        <v>0.16970069841269833</v>
      </c>
      <c r="O579" s="786">
        <f t="shared" ref="O579:O610" si="282">N579/(A579/365.25)</f>
        <v>6.8565464707121757E-2</v>
      </c>
      <c r="P579" s="817" t="b">
        <f t="shared" si="273"/>
        <v>1</v>
      </c>
      <c r="Q579" s="802">
        <f>COUNTIF(P$2:P579, TRUE)/(COUNTIF(P$2:P579,FALSE) + COUNTIF(P$2:P579, TRUE))</f>
        <v>0.48615916955017302</v>
      </c>
      <c r="R579" s="800">
        <v>296999.40999999997</v>
      </c>
      <c r="S579" s="800">
        <f t="shared" si="268"/>
        <v>71456.31</v>
      </c>
      <c r="T579" s="800">
        <v>-31165</v>
      </c>
      <c r="U579" s="800">
        <f t="shared" si="269"/>
        <v>84620.719999999972</v>
      </c>
      <c r="V579" s="802">
        <f>STDEV(D$2:D579)*SQRT(252)</f>
        <v>0.13710658349791818</v>
      </c>
      <c r="W579" s="802">
        <f>STDEV(L$2:L579)*SQRT(252)</f>
        <v>0.28583112452570963</v>
      </c>
      <c r="X579" s="801">
        <f t="shared" si="257"/>
        <v>0.8307585157991072</v>
      </c>
      <c r="Y579" s="801">
        <f t="shared" si="275"/>
        <v>0.23988103052421256</v>
      </c>
      <c r="Z579" s="807">
        <f t="shared" si="259"/>
        <v>-0.11220984362417299</v>
      </c>
    </row>
    <row r="580" spans="1:26" ht="20.100000000000001" customHeight="1" x14ac:dyDescent="0.2">
      <c r="A580" s="776">
        <f t="shared" si="281"/>
        <v>905</v>
      </c>
      <c r="B580" s="795">
        <v>43138</v>
      </c>
      <c r="C580" s="820">
        <v>2681.66</v>
      </c>
      <c r="D580" s="792">
        <f t="shared" si="278"/>
        <v>-5.0015954644285713E-3</v>
      </c>
      <c r="E580" s="819">
        <f t="shared" si="271"/>
        <v>0.27549894408401654</v>
      </c>
      <c r="F580" s="816">
        <v>7051.98</v>
      </c>
      <c r="G580" s="792">
        <f t="shared" si="279"/>
        <v>-8.979915344272324E-3</v>
      </c>
      <c r="H580" s="797">
        <f t="shared" si="276"/>
        <v>0.38499518824754009</v>
      </c>
      <c r="I580" s="799">
        <v>449047.22</v>
      </c>
      <c r="J580" s="800">
        <v>400000</v>
      </c>
      <c r="K580" s="800">
        <f t="shared" si="277"/>
        <v>-4408.5</v>
      </c>
      <c r="L580" s="792">
        <f t="shared" si="274"/>
        <v>-1.196480271767799E-2</v>
      </c>
      <c r="M580" s="817">
        <f t="shared" si="272"/>
        <v>49047.219999999972</v>
      </c>
      <c r="N580" s="802">
        <f t="shared" si="280"/>
        <v>0.12261804999999994</v>
      </c>
      <c r="O580" s="786">
        <f t="shared" si="282"/>
        <v>4.9487561063535884E-2</v>
      </c>
      <c r="P580" s="817" t="b">
        <f t="shared" si="273"/>
        <v>0</v>
      </c>
      <c r="Q580" s="802">
        <f>COUNTIF(P$2:P580, TRUE)/(COUNTIF(P$2:P580,FALSE) + COUNTIF(P$2:P580, TRUE))</f>
        <v>0.48531951640759929</v>
      </c>
      <c r="R580" s="800">
        <v>292590.90999999997</v>
      </c>
      <c r="S580" s="800">
        <f t="shared" si="268"/>
        <v>156456.31</v>
      </c>
      <c r="T580" s="800">
        <v>-30966</v>
      </c>
      <c r="U580" s="800">
        <f t="shared" si="269"/>
        <v>80013.219999999972</v>
      </c>
      <c r="V580" s="802">
        <f>STDEV(D$2:D580)*SQRT(252)</f>
        <v>0.13703531607045086</v>
      </c>
      <c r="W580" s="802">
        <f>STDEV(L$2:L580)*SQRT(252)</f>
        <v>0.28570370626215735</v>
      </c>
      <c r="X580" s="801">
        <f t="shared" si="257"/>
        <v>0.81138893002854873</v>
      </c>
      <c r="Y580" s="801">
        <f t="shared" si="275"/>
        <v>0.17321287746308356</v>
      </c>
      <c r="Z580" s="807">
        <f t="shared" si="259"/>
        <v>-0.15288089408401662</v>
      </c>
    </row>
    <row r="581" spans="1:26" ht="20.100000000000001" customHeight="1" x14ac:dyDescent="0.2">
      <c r="A581" s="776">
        <f t="shared" si="281"/>
        <v>906</v>
      </c>
      <c r="B581" s="795">
        <v>43139</v>
      </c>
      <c r="C581" s="820">
        <v>2581</v>
      </c>
      <c r="D581" s="792">
        <f t="shared" si="278"/>
        <v>-3.753645130255135E-2</v>
      </c>
      <c r="E581" s="819">
        <f t="shared" si="271"/>
        <v>0.2276212400829512</v>
      </c>
      <c r="F581" s="816">
        <v>6777.15</v>
      </c>
      <c r="G581" s="792">
        <f t="shared" si="279"/>
        <v>-3.8972033386368073E-2</v>
      </c>
      <c r="H581" s="797">
        <f t="shared" si="276"/>
        <v>0.33101910953119779</v>
      </c>
      <c r="I581" s="799">
        <v>437852.33</v>
      </c>
      <c r="J581" s="800">
        <v>400000</v>
      </c>
      <c r="K581" s="800">
        <f t="shared" si="277"/>
        <v>-11194.889999999956</v>
      </c>
      <c r="L581" s="792">
        <f t="shared" si="274"/>
        <v>-2.4930318018670634E-2</v>
      </c>
      <c r="M581" s="817">
        <f t="shared" si="272"/>
        <v>37852.330000000016</v>
      </c>
      <c r="N581" s="802">
        <f t="shared" si="280"/>
        <v>9.4630825000000043E-2</v>
      </c>
      <c r="O581" s="786">
        <f t="shared" si="282"/>
        <v>3.8150009747516575E-2</v>
      </c>
      <c r="P581" s="817" t="b">
        <f t="shared" si="273"/>
        <v>1</v>
      </c>
      <c r="Q581" s="802">
        <f>COUNTIF(P$2:P581, TRUE)/(COUNTIF(P$2:P581,FALSE) + COUNTIF(P$2:P581, TRUE))</f>
        <v>0.48620689655172411</v>
      </c>
      <c r="R581" s="800">
        <v>297311.21000000002</v>
      </c>
      <c r="S581" s="800">
        <f t="shared" si="268"/>
        <v>140541.12</v>
      </c>
      <c r="T581" s="800">
        <v>-31340</v>
      </c>
      <c r="U581" s="800">
        <f t="shared" si="269"/>
        <v>69192.330000000016</v>
      </c>
      <c r="V581" s="802">
        <f>STDEV(D$2:D581)*SQRT(252)</f>
        <v>0.13919227894653693</v>
      </c>
      <c r="W581" s="802">
        <f>STDEV(L$2:L581)*SQRT(252)</f>
        <v>0.28595185199746759</v>
      </c>
      <c r="X581" s="801">
        <f t="shared" si="257"/>
        <v>0.65926446357098534</v>
      </c>
      <c r="Y581" s="801">
        <f t="shared" si="275"/>
        <v>0.13341410269255552</v>
      </c>
      <c r="Z581" s="807">
        <f t="shared" si="259"/>
        <v>-0.13299041508295117</v>
      </c>
    </row>
    <row r="582" spans="1:26" ht="20.100000000000001" customHeight="1" x14ac:dyDescent="0.2">
      <c r="A582" s="776">
        <f t="shared" si="281"/>
        <v>907</v>
      </c>
      <c r="B582" s="795">
        <v>43140</v>
      </c>
      <c r="C582" s="820">
        <v>2619.5500000000002</v>
      </c>
      <c r="D582" s="792">
        <f t="shared" si="278"/>
        <v>1.4936071290197668E-2</v>
      </c>
      <c r="E582" s="819">
        <f t="shared" si="271"/>
        <v>0.24595707844219103</v>
      </c>
      <c r="F582" s="816">
        <v>6874.49</v>
      </c>
      <c r="G582" s="792">
        <f t="shared" si="279"/>
        <v>1.4362969684897066E-2</v>
      </c>
      <c r="H582" s="797">
        <f t="shared" si="276"/>
        <v>0.35013649665141311</v>
      </c>
      <c r="I582" s="799">
        <v>439997.44</v>
      </c>
      <c r="J582" s="800">
        <v>400000</v>
      </c>
      <c r="K582" s="800">
        <f t="shared" si="277"/>
        <v>2145.109999999986</v>
      </c>
      <c r="L582" s="792">
        <f t="shared" si="274"/>
        <v>4.8991631493658736E-3</v>
      </c>
      <c r="M582" s="817">
        <f t="shared" si="272"/>
        <v>39997.440000000002</v>
      </c>
      <c r="N582" s="802">
        <f t="shared" si="280"/>
        <v>9.9993600000000002E-2</v>
      </c>
      <c r="O582" s="786">
        <f t="shared" si="282"/>
        <v>4.0267543991179718E-2</v>
      </c>
      <c r="P582" s="817" t="b">
        <f t="shared" si="273"/>
        <v>0</v>
      </c>
      <c r="Q582" s="802">
        <f>COUNTIF(P$2:P582, TRUE)/(COUNTIF(P$2:P582,FALSE) + COUNTIF(P$2:P582, TRUE))</f>
        <v>0.48537005163511188</v>
      </c>
      <c r="R582" s="800">
        <v>299744.40000000002</v>
      </c>
      <c r="S582" s="800">
        <f t="shared" si="268"/>
        <v>140253.03999999998</v>
      </c>
      <c r="T582" s="800">
        <v>-31484</v>
      </c>
      <c r="U582" s="800">
        <f t="shared" si="269"/>
        <v>71481.440000000002</v>
      </c>
      <c r="V582" s="802">
        <f>STDEV(D$2:D582)*SQRT(252)</f>
        <v>0.13940203230869319</v>
      </c>
      <c r="W582" s="802">
        <f>STDEV(L$2:L582)*SQRT(252)</f>
        <v>0.28571933333245791</v>
      </c>
      <c r="X582" s="801">
        <f t="shared" si="257"/>
        <v>0.71051484790035679</v>
      </c>
      <c r="Y582" s="801">
        <f t="shared" si="275"/>
        <v>0.14093391413707773</v>
      </c>
      <c r="Z582" s="807">
        <f t="shared" si="259"/>
        <v>-0.14596347844219104</v>
      </c>
    </row>
    <row r="583" spans="1:26" ht="20.100000000000001" customHeight="1" x14ac:dyDescent="0.2">
      <c r="A583" s="776">
        <f t="shared" si="281"/>
        <v>910</v>
      </c>
      <c r="B583" s="795">
        <v>43143</v>
      </c>
      <c r="C583" s="820">
        <v>2656</v>
      </c>
      <c r="D583" s="792">
        <f t="shared" si="278"/>
        <v>1.3914603653299161E-2</v>
      </c>
      <c r="E583" s="819">
        <f t="shared" si="271"/>
        <v>0.26329407735773669</v>
      </c>
      <c r="F583" s="816">
        <v>6981.96</v>
      </c>
      <c r="G583" s="792">
        <f t="shared" si="279"/>
        <v>1.5633159696210229E-2</v>
      </c>
      <c r="H583" s="797">
        <f t="shared" si="276"/>
        <v>0.37124339611524643</v>
      </c>
      <c r="I583" s="799">
        <v>444241.95</v>
      </c>
      <c r="J583" s="800">
        <v>400000</v>
      </c>
      <c r="K583" s="800">
        <f t="shared" si="277"/>
        <v>4244.5100000000093</v>
      </c>
      <c r="L583" s="792">
        <f t="shared" si="274"/>
        <v>9.6466697624422761E-3</v>
      </c>
      <c r="M583" s="817">
        <f t="shared" si="272"/>
        <v>44241.950000000012</v>
      </c>
      <c r="N583" s="802">
        <f t="shared" si="280"/>
        <v>0.11060487500000003</v>
      </c>
      <c r="O583" s="786">
        <f t="shared" si="282"/>
        <v>4.4393879773351658E-2</v>
      </c>
      <c r="P583" s="817" t="b">
        <f t="shared" si="273"/>
        <v>0</v>
      </c>
      <c r="Q583" s="802">
        <f>COUNTIF(P$2:P583, TRUE)/(COUNTIF(P$2:P583,FALSE) + COUNTIF(P$2:P583, TRUE))</f>
        <v>0.4845360824742268</v>
      </c>
      <c r="R583" s="800">
        <v>304740.26</v>
      </c>
      <c r="S583" s="800">
        <f t="shared" si="268"/>
        <v>139501.69</v>
      </c>
      <c r="T583" s="800">
        <v>-31937</v>
      </c>
      <c r="U583" s="800">
        <f t="shared" si="269"/>
        <v>76178.950000000012</v>
      </c>
      <c r="V583" s="802">
        <f>STDEV(D$2:D583)*SQRT(252)</f>
        <v>0.13956515808931669</v>
      </c>
      <c r="W583" s="802">
        <f>STDEV(L$2:L583)*SQRT(252)</f>
        <v>0.28553596486340588</v>
      </c>
      <c r="X583" s="801">
        <f t="shared" si="257"/>
        <v>0.75720401910154334</v>
      </c>
      <c r="Y583" s="801">
        <f t="shared" si="275"/>
        <v>0.15547561511065239</v>
      </c>
      <c r="Z583" s="807">
        <f t="shared" si="259"/>
        <v>-0.15268920235773664</v>
      </c>
    </row>
    <row r="584" spans="1:26" ht="20.100000000000001" customHeight="1" x14ac:dyDescent="0.2">
      <c r="A584" s="776">
        <f t="shared" si="281"/>
        <v>911</v>
      </c>
      <c r="B584" s="795">
        <v>43144</v>
      </c>
      <c r="C584" s="820">
        <v>2662.94</v>
      </c>
      <c r="D584" s="792">
        <f t="shared" si="278"/>
        <v>2.6129518072289361E-3</v>
      </c>
      <c r="E584" s="819">
        <f t="shared" si="271"/>
        <v>0.26659500390023022</v>
      </c>
      <c r="F584" s="816">
        <v>7013.51</v>
      </c>
      <c r="G584" s="792">
        <f t="shared" si="279"/>
        <v>4.518788420443569E-3</v>
      </c>
      <c r="H584" s="797">
        <f t="shared" si="276"/>
        <v>0.37743975489522175</v>
      </c>
      <c r="I584" s="799">
        <v>443416.54</v>
      </c>
      <c r="J584" s="800">
        <v>400000</v>
      </c>
      <c r="K584" s="800">
        <f t="shared" si="277"/>
        <v>-825.4100000000326</v>
      </c>
      <c r="L584" s="792">
        <f t="shared" si="274"/>
        <v>-1.858019036698431E-3</v>
      </c>
      <c r="M584" s="817">
        <f t="shared" si="272"/>
        <v>43416.539999999979</v>
      </c>
      <c r="N584" s="802">
        <f t="shared" si="280"/>
        <v>0.10854134999999995</v>
      </c>
      <c r="O584" s="786">
        <f t="shared" si="282"/>
        <v>4.3517813487925334E-2</v>
      </c>
      <c r="P584" s="817" t="b">
        <f t="shared" si="273"/>
        <v>0</v>
      </c>
      <c r="Q584" s="802">
        <f>COUNTIF(P$2:P584, TRUE)/(COUNTIF(P$2:P584,FALSE) + COUNTIF(P$2:P584, TRUE))</f>
        <v>0.483704974271012</v>
      </c>
      <c r="R584" s="800">
        <v>303914.84999999998</v>
      </c>
      <c r="S584" s="800">
        <f t="shared" si="268"/>
        <v>139501.69</v>
      </c>
      <c r="T584" s="800">
        <v>-31767</v>
      </c>
      <c r="U584" s="800">
        <f t="shared" si="269"/>
        <v>75183.539999999979</v>
      </c>
      <c r="V584" s="802">
        <f>STDEV(D$2:D584)*SQRT(252)</f>
        <v>0.13945232278826475</v>
      </c>
      <c r="W584" s="802">
        <f>STDEV(L$2:L584)*SQRT(252)</f>
        <v>0.28529453793858889</v>
      </c>
      <c r="X584" s="801">
        <f t="shared" si="257"/>
        <v>0.76647518943588588</v>
      </c>
      <c r="Y584" s="801">
        <f t="shared" si="275"/>
        <v>0.15253644111929254</v>
      </c>
      <c r="Z584" s="807">
        <f t="shared" ref="Z584:Z617" si="283">-(E584-N584)</f>
        <v>-0.15805365390023027</v>
      </c>
    </row>
    <row r="585" spans="1:26" ht="20.100000000000001" customHeight="1" x14ac:dyDescent="0.2">
      <c r="A585" s="776">
        <f t="shared" si="281"/>
        <v>912</v>
      </c>
      <c r="B585" s="795">
        <v>43145</v>
      </c>
      <c r="C585" s="820">
        <v>2698.63</v>
      </c>
      <c r="D585" s="792">
        <f t="shared" si="278"/>
        <v>1.3402479965752159E-2</v>
      </c>
      <c r="E585" s="819">
        <f t="shared" si="271"/>
        <v>0.28357051806472483</v>
      </c>
      <c r="F585" s="816">
        <v>7143.61</v>
      </c>
      <c r="G585" s="792">
        <f t="shared" si="279"/>
        <v>1.854991295371354E-2</v>
      </c>
      <c r="H585" s="797">
        <f t="shared" si="276"/>
        <v>0.40299114244751261</v>
      </c>
      <c r="I585" s="799">
        <v>451561.53</v>
      </c>
      <c r="J585" s="800">
        <v>400000</v>
      </c>
      <c r="K585" s="800">
        <f t="shared" si="277"/>
        <v>8144.9900000000489</v>
      </c>
      <c r="L585" s="792">
        <f t="shared" si="274"/>
        <v>1.8368710377831304E-2</v>
      </c>
      <c r="M585" s="817">
        <f t="shared" si="272"/>
        <v>51561.530000000028</v>
      </c>
      <c r="N585" s="802">
        <f t="shared" si="280"/>
        <v>0.12890382500000008</v>
      </c>
      <c r="O585" s="786">
        <f t="shared" si="282"/>
        <v>5.1625133861019766E-2</v>
      </c>
      <c r="P585" s="817" t="b">
        <f t="shared" si="273"/>
        <v>1</v>
      </c>
      <c r="Q585" s="802">
        <f>COUNTIF(P$2:P585, TRUE)/(COUNTIF(P$2:P585,FALSE) + COUNTIF(P$2:P585, TRUE))</f>
        <v>0.4845890410958904</v>
      </c>
      <c r="R585" s="800">
        <v>309463.90999999997</v>
      </c>
      <c r="S585" s="800">
        <f t="shared" si="268"/>
        <v>142097.62000000005</v>
      </c>
      <c r="T585" s="800">
        <v>-31599</v>
      </c>
      <c r="U585" s="800">
        <f t="shared" si="269"/>
        <v>83160.530000000028</v>
      </c>
      <c r="V585" s="802">
        <f>STDEV(D$2:D585)*SQRT(252)</f>
        <v>0.13959266682591912</v>
      </c>
      <c r="W585" s="802">
        <f>STDEV(L$2:L585)*SQRT(252)</f>
        <v>0.28529002745867649</v>
      </c>
      <c r="X585" s="801">
        <f t="shared" si="257"/>
        <v>0.8135680008967473</v>
      </c>
      <c r="Y585" s="801">
        <f t="shared" si="275"/>
        <v>0.18095667178025537</v>
      </c>
      <c r="Z585" s="807">
        <f t="shared" si="283"/>
        <v>-0.15466669306472475</v>
      </c>
    </row>
    <row r="586" spans="1:26" ht="20.100000000000001" customHeight="1" x14ac:dyDescent="0.2">
      <c r="A586" s="776">
        <f t="shared" si="281"/>
        <v>913</v>
      </c>
      <c r="B586" s="795">
        <v>43146</v>
      </c>
      <c r="C586" s="820">
        <v>2731.2</v>
      </c>
      <c r="D586" s="792">
        <f t="shared" si="278"/>
        <v>1.206908690706014E-2</v>
      </c>
      <c r="E586" s="819">
        <f t="shared" si="271"/>
        <v>0.29906204219858817</v>
      </c>
      <c r="F586" s="816">
        <v>7256.43</v>
      </c>
      <c r="G586" s="792">
        <f t="shared" si="279"/>
        <v>1.5793135403528554E-2</v>
      </c>
      <c r="H586" s="797">
        <f t="shared" si="276"/>
        <v>0.42514877153013741</v>
      </c>
      <c r="I586" s="799">
        <v>450705.94</v>
      </c>
      <c r="J586" s="800">
        <v>400000</v>
      </c>
      <c r="K586" s="800">
        <f t="shared" si="277"/>
        <v>-855.59000000002561</v>
      </c>
      <c r="L586" s="792">
        <f t="shared" si="274"/>
        <v>-1.8947362500078904E-3</v>
      </c>
      <c r="M586" s="817">
        <f t="shared" si="272"/>
        <v>50705.94</v>
      </c>
      <c r="N586" s="802">
        <f t="shared" si="280"/>
        <v>0.12676485000000001</v>
      </c>
      <c r="O586" s="786">
        <f t="shared" si="282"/>
        <v>5.071288221522454E-2</v>
      </c>
      <c r="P586" s="817" t="b">
        <f t="shared" si="273"/>
        <v>0</v>
      </c>
      <c r="Q586" s="802">
        <f>COUNTIF(P$2:P586, TRUE)/(COUNTIF(P$2:P586,FALSE) + COUNTIF(P$2:P586, TRUE))</f>
        <v>0.48376068376068376</v>
      </c>
      <c r="R586" s="800">
        <v>308168.68</v>
      </c>
      <c r="S586" s="800">
        <f t="shared" si="268"/>
        <v>142537.26</v>
      </c>
      <c r="T586" s="800">
        <v>-31476</v>
      </c>
      <c r="U586" s="800">
        <f t="shared" si="269"/>
        <v>82181.94</v>
      </c>
      <c r="V586" s="802">
        <f>STDEV(D$2:D586)*SQRT(252)</f>
        <v>0.13968097297667137</v>
      </c>
      <c r="W586" s="802">
        <f>STDEV(L$2:L586)*SQRT(252)</f>
        <v>0.28504987730153164</v>
      </c>
      <c r="X586" s="801">
        <f t="shared" si="257"/>
        <v>0.85653179754406417</v>
      </c>
      <c r="Y586" s="801">
        <f t="shared" si="275"/>
        <v>0.17790880212019669</v>
      </c>
      <c r="Z586" s="807">
        <f t="shared" si="283"/>
        <v>-0.17229719219858816</v>
      </c>
    </row>
    <row r="587" spans="1:26" ht="20.100000000000001" customHeight="1" x14ac:dyDescent="0.2">
      <c r="A587" s="776">
        <f t="shared" si="281"/>
        <v>914</v>
      </c>
      <c r="B587" s="795">
        <v>43147</v>
      </c>
      <c r="C587" s="820">
        <v>2732.22</v>
      </c>
      <c r="D587" s="792">
        <f t="shared" si="278"/>
        <v>3.7346221441124117E-4</v>
      </c>
      <c r="E587" s="819">
        <f t="shared" si="271"/>
        <v>0.29954719278552527</v>
      </c>
      <c r="F587" s="816">
        <v>7239.46</v>
      </c>
      <c r="G587" s="792">
        <f t="shared" si="279"/>
        <v>-2.3386155451096827E-3</v>
      </c>
      <c r="H587" s="797">
        <f t="shared" si="276"/>
        <v>0.42181589645894302</v>
      </c>
      <c r="I587" s="799">
        <v>447551.93</v>
      </c>
      <c r="J587" s="800">
        <v>400000</v>
      </c>
      <c r="K587" s="800">
        <f t="shared" si="277"/>
        <v>-3154.0100000000093</v>
      </c>
      <c r="L587" s="792">
        <f t="shared" si="274"/>
        <v>-6.9979330647384173E-3</v>
      </c>
      <c r="M587" s="817">
        <f t="shared" si="272"/>
        <v>47551.929999999993</v>
      </c>
      <c r="N587" s="802">
        <f t="shared" si="280"/>
        <v>0.11887982499999998</v>
      </c>
      <c r="O587" s="786">
        <f t="shared" si="282"/>
        <v>4.7506407091083142E-2</v>
      </c>
      <c r="P587" s="817" t="b">
        <f t="shared" si="273"/>
        <v>0</v>
      </c>
      <c r="Q587" s="802">
        <f>COUNTIF(P$2:P587, TRUE)/(COUNTIF(P$2:P587,FALSE) + COUNTIF(P$2:P587, TRUE))</f>
        <v>0.48293515358361777</v>
      </c>
      <c r="R587" s="800">
        <v>312866.87</v>
      </c>
      <c r="S587" s="800">
        <f t="shared" si="268"/>
        <v>134685.06</v>
      </c>
      <c r="T587" s="800">
        <v>-31310</v>
      </c>
      <c r="U587" s="800">
        <f t="shared" si="269"/>
        <v>78861.929999999993</v>
      </c>
      <c r="V587" s="802">
        <f>STDEV(D$2:D587)*SQRT(252)</f>
        <v>0.13956135167754313</v>
      </c>
      <c r="W587" s="802">
        <f>STDEV(L$2:L587)*SQRT(252)</f>
        <v>0.28484907912566382</v>
      </c>
      <c r="X587" s="801">
        <f t="shared" si="257"/>
        <v>0.85771719333403895</v>
      </c>
      <c r="Y587" s="801">
        <f t="shared" si="275"/>
        <v>0.16677746418174394</v>
      </c>
      <c r="Z587" s="807">
        <f t="shared" si="283"/>
        <v>-0.18066736778552528</v>
      </c>
    </row>
    <row r="588" spans="1:26" ht="20.100000000000001" customHeight="1" x14ac:dyDescent="0.2">
      <c r="A588" s="776">
        <f t="shared" si="281"/>
        <v>918</v>
      </c>
      <c r="B588" s="795">
        <v>43151</v>
      </c>
      <c r="C588" s="820">
        <v>2716.26</v>
      </c>
      <c r="D588" s="792">
        <f t="shared" si="278"/>
        <v>-5.8414036936994766E-3</v>
      </c>
      <c r="E588" s="819">
        <f t="shared" si="271"/>
        <v>0.29195601301345109</v>
      </c>
      <c r="F588" s="816">
        <v>7234.3</v>
      </c>
      <c r="G588" s="792">
        <f t="shared" si="279"/>
        <v>-7.1276034400353822E-4</v>
      </c>
      <c r="H588" s="797">
        <f t="shared" si="276"/>
        <v>0.42080248247147328</v>
      </c>
      <c r="I588" s="799">
        <v>445228.37</v>
      </c>
      <c r="J588" s="800">
        <v>400000</v>
      </c>
      <c r="K588" s="800">
        <f t="shared" si="277"/>
        <v>-2323.5599999999977</v>
      </c>
      <c r="L588" s="792">
        <f t="shared" si="274"/>
        <v>-5.191710378726325E-3</v>
      </c>
      <c r="M588" s="817">
        <f t="shared" si="272"/>
        <v>45228.369999999995</v>
      </c>
      <c r="N588" s="802">
        <f t="shared" si="280"/>
        <v>0.11307092499999999</v>
      </c>
      <c r="O588" s="786">
        <f t="shared" si="282"/>
        <v>4.4988186662581697E-2</v>
      </c>
      <c r="P588" s="817" t="b">
        <f t="shared" si="273"/>
        <v>1</v>
      </c>
      <c r="Q588" s="802">
        <f>COUNTIF(P$2:P588, TRUE)/(COUNTIF(P$2:P588,FALSE) + COUNTIF(P$2:P588, TRUE))</f>
        <v>0.48381601362862009</v>
      </c>
      <c r="R588" s="800"/>
      <c r="S588" s="800"/>
      <c r="T588" s="800"/>
      <c r="U588" s="800"/>
      <c r="V588" s="802">
        <f>STDEV(D$2:D588)*SQRT(252)</f>
        <v>0.13950374983937611</v>
      </c>
      <c r="W588" s="802">
        <f>STDEV(L$2:L588)*SQRT(252)</f>
        <v>0.28463051579206888</v>
      </c>
      <c r="X588" s="801">
        <f t="shared" si="257"/>
        <v>0.83268182638552635</v>
      </c>
      <c r="Y588" s="801">
        <f t="shared" si="275"/>
        <v>0.15805819884557604</v>
      </c>
      <c r="Z588" s="807">
        <f t="shared" si="283"/>
        <v>-0.1788850880134511</v>
      </c>
    </row>
    <row r="589" spans="1:26" ht="20.100000000000001" customHeight="1" x14ac:dyDescent="0.2">
      <c r="A589" s="776">
        <f t="shared" si="281"/>
        <v>919</v>
      </c>
      <c r="B589" s="795">
        <v>43152</v>
      </c>
      <c r="C589" s="820">
        <v>2701.33</v>
      </c>
      <c r="D589" s="792">
        <f t="shared" si="278"/>
        <v>-5.496528314668069E-3</v>
      </c>
      <c r="E589" s="819">
        <f t="shared" si="271"/>
        <v>0.284854740206617</v>
      </c>
      <c r="F589" s="816">
        <v>7218.22</v>
      </c>
      <c r="G589" s="792">
        <f t="shared" si="279"/>
        <v>-2.2227444258601284E-3</v>
      </c>
      <c r="H589" s="797">
        <f t="shared" si="276"/>
        <v>0.41764440167331157</v>
      </c>
      <c r="I589" s="799">
        <v>442526.81</v>
      </c>
      <c r="J589" s="800">
        <v>400000</v>
      </c>
      <c r="K589" s="800">
        <f t="shared" si="277"/>
        <v>-2701.5599999999977</v>
      </c>
      <c r="L589" s="792">
        <f t="shared" si="274"/>
        <v>-6.0678074040969084E-3</v>
      </c>
      <c r="M589" s="817">
        <f t="shared" si="272"/>
        <v>42526.81</v>
      </c>
      <c r="N589" s="802">
        <f t="shared" si="280"/>
        <v>0.106317025</v>
      </c>
      <c r="O589" s="786">
        <f t="shared" si="282"/>
        <v>4.2254943831610443E-2</v>
      </c>
      <c r="P589" s="817" t="b">
        <f t="shared" si="273"/>
        <v>0</v>
      </c>
      <c r="Q589" s="802">
        <f>COUNTIF(P$2:P589, TRUE)/(COUNTIF(P$2:P589,FALSE) + COUNTIF(P$2:P589, TRUE))</f>
        <v>0.48299319727891155</v>
      </c>
      <c r="R589" s="800">
        <v>327182.61</v>
      </c>
      <c r="S589" s="800">
        <f t="shared" ref="S589:S606" si="284">I589-R589</f>
        <v>115344.20000000001</v>
      </c>
      <c r="T589" s="800">
        <v>-31702</v>
      </c>
      <c r="U589" s="800">
        <f>M589-T589</f>
        <v>74228.81</v>
      </c>
      <c r="V589" s="802">
        <f>STDEV(D$2:D589)*SQRT(252)</f>
        <v>0.13943958663784506</v>
      </c>
      <c r="W589" s="802">
        <f>STDEV(L$2:L589)*SQRT(252)</f>
        <v>0.28442061992708212</v>
      </c>
      <c r="X589" s="801">
        <f t="shared" si="257"/>
        <v>0.81191782747081387</v>
      </c>
      <c r="Y589" s="801">
        <f t="shared" si="275"/>
        <v>0.14856498042386479</v>
      </c>
      <c r="Z589" s="807">
        <f t="shared" si="283"/>
        <v>-0.17853771520661699</v>
      </c>
    </row>
    <row r="590" spans="1:26" ht="20.100000000000001" customHeight="1" x14ac:dyDescent="0.2">
      <c r="A590" s="776">
        <f t="shared" si="281"/>
        <v>920</v>
      </c>
      <c r="B590" s="795">
        <v>43153</v>
      </c>
      <c r="C590" s="820">
        <v>2703.96</v>
      </c>
      <c r="D590" s="792">
        <f t="shared" si="278"/>
        <v>9.735944886408211E-4</v>
      </c>
      <c r="E590" s="819">
        <f t="shared" si="271"/>
        <v>0.2861056677003862</v>
      </c>
      <c r="F590" s="816">
        <v>7210.08</v>
      </c>
      <c r="G590" s="792">
        <f t="shared" si="279"/>
        <v>-1.1277018433907982E-3</v>
      </c>
      <c r="H590" s="797">
        <f t="shared" si="276"/>
        <v>0.41604572146827196</v>
      </c>
      <c r="I590" s="799">
        <v>441168.86</v>
      </c>
      <c r="J590" s="800">
        <v>400000</v>
      </c>
      <c r="K590" s="800">
        <f t="shared" si="277"/>
        <v>-1357.9500000000116</v>
      </c>
      <c r="L590" s="792">
        <f t="shared" ref="L590:L621" si="285">K590/I589</f>
        <v>-3.0686276386282939E-3</v>
      </c>
      <c r="M590" s="817">
        <f t="shared" si="272"/>
        <v>41168.859999999986</v>
      </c>
      <c r="N590" s="802">
        <f t="shared" si="280"/>
        <v>0.10292214999999996</v>
      </c>
      <c r="O590" s="786">
        <f t="shared" si="282"/>
        <v>4.0861212269021729E-2</v>
      </c>
      <c r="P590" s="817" t="b">
        <f t="shared" si="273"/>
        <v>0</v>
      </c>
      <c r="Q590" s="802">
        <f>COUNTIF(P$2:P590, TRUE)/(COUNTIF(P$2:P590,FALSE) + COUNTIF(P$2:P590, TRUE))</f>
        <v>0.48217317487266553</v>
      </c>
      <c r="R590" s="800">
        <v>325824.65000000002</v>
      </c>
      <c r="S590" s="800">
        <f t="shared" si="284"/>
        <v>115344.20999999996</v>
      </c>
      <c r="T590" s="800">
        <v>-31901</v>
      </c>
      <c r="U590" s="800">
        <f>M590-T590</f>
        <v>73069.859999999986</v>
      </c>
      <c r="V590" s="802">
        <f>STDEV(D$2:D590)*SQRT(252)</f>
        <v>0.13932115984802981</v>
      </c>
      <c r="W590" s="802">
        <f>STDEV(L$2:L590)*SQRT(252)</f>
        <v>0.2841880695419704</v>
      </c>
      <c r="X590" s="801">
        <f t="shared" si="257"/>
        <v>0.81528936483996495</v>
      </c>
      <c r="Y590" s="801">
        <f t="shared" si="275"/>
        <v>0.14378229295437445</v>
      </c>
      <c r="Z590" s="807">
        <f t="shared" si="283"/>
        <v>-0.18318351770038624</v>
      </c>
    </row>
    <row r="591" spans="1:26" ht="20.100000000000001" customHeight="1" x14ac:dyDescent="0.2">
      <c r="A591" s="776">
        <f t="shared" si="281"/>
        <v>921</v>
      </c>
      <c r="B591" s="795">
        <v>43154</v>
      </c>
      <c r="C591" s="820">
        <v>2747.3</v>
      </c>
      <c r="D591" s="792">
        <f t="shared" si="278"/>
        <v>1.6028343614550564E-2</v>
      </c>
      <c r="E591" s="819">
        <f t="shared" si="271"/>
        <v>0.306719811266909</v>
      </c>
      <c r="F591" s="816">
        <v>7337.39</v>
      </c>
      <c r="G591" s="792">
        <f t="shared" si="279"/>
        <v>1.7657224330381964E-2</v>
      </c>
      <c r="H591" s="797">
        <f t="shared" si="276"/>
        <v>0.4410491584343148</v>
      </c>
      <c r="I591" s="799">
        <v>446261.7</v>
      </c>
      <c r="J591" s="800">
        <v>400000</v>
      </c>
      <c r="K591" s="800">
        <f t="shared" si="277"/>
        <v>5092.8400000000256</v>
      </c>
      <c r="L591" s="792">
        <f t="shared" si="285"/>
        <v>1.154396980784189E-2</v>
      </c>
      <c r="M591" s="817">
        <f t="shared" si="272"/>
        <v>46261.700000000012</v>
      </c>
      <c r="N591" s="802">
        <f t="shared" si="280"/>
        <v>0.11565425000000003</v>
      </c>
      <c r="O591" s="786">
        <f t="shared" si="282"/>
        <v>4.5866139861563529E-2</v>
      </c>
      <c r="P591" s="817" t="b">
        <f t="shared" si="273"/>
        <v>0</v>
      </c>
      <c r="Q591" s="802">
        <f>COUNTIF(P$2:P591, TRUE)/(COUNTIF(P$2:P591,FALSE) + COUNTIF(P$2:P591, TRUE))</f>
        <v>0.48135593220338985</v>
      </c>
      <c r="R591" s="800">
        <v>328333.55</v>
      </c>
      <c r="S591" s="800">
        <f t="shared" si="284"/>
        <v>117928.15000000002</v>
      </c>
      <c r="T591" s="800">
        <v>-31711</v>
      </c>
      <c r="U591" s="800">
        <f>M591-T591</f>
        <v>77972.700000000012</v>
      </c>
      <c r="V591" s="802">
        <f>STDEV(D$2:D591)*SQRT(252)</f>
        <v>0.13957430470539237</v>
      </c>
      <c r="W591" s="802">
        <f>STDEV(L$2:L591)*SQRT(252)</f>
        <v>0.28403762341097771</v>
      </c>
      <c r="X591" s="801">
        <f t="shared" si="257"/>
        <v>0.87149911342020359</v>
      </c>
      <c r="Y591" s="801">
        <f t="shared" si="275"/>
        <v>0.16147910023595438</v>
      </c>
      <c r="Z591" s="807">
        <f t="shared" si="283"/>
        <v>-0.19106556126690899</v>
      </c>
    </row>
    <row r="592" spans="1:26" ht="20.100000000000001" customHeight="1" x14ac:dyDescent="0.2">
      <c r="A592" s="776">
        <f t="shared" si="281"/>
        <v>924</v>
      </c>
      <c r="B592" s="795">
        <v>43157</v>
      </c>
      <c r="C592" s="820">
        <v>2779.6</v>
      </c>
      <c r="D592" s="792">
        <f t="shared" si="278"/>
        <v>1.175699777963809E-2</v>
      </c>
      <c r="E592" s="819">
        <f t="shared" si="271"/>
        <v>0.32208291318658311</v>
      </c>
      <c r="F592" s="816">
        <v>7421.46</v>
      </c>
      <c r="G592" s="792">
        <f t="shared" si="279"/>
        <v>1.1457752688626296E-2</v>
      </c>
      <c r="H592" s="797">
        <f t="shared" si="276"/>
        <v>0.45756034330380824</v>
      </c>
      <c r="I592" s="799">
        <v>445461.4</v>
      </c>
      <c r="J592" s="800">
        <v>400000</v>
      </c>
      <c r="K592" s="800">
        <f t="shared" si="277"/>
        <v>-800.29999999998836</v>
      </c>
      <c r="L592" s="792">
        <f t="shared" si="285"/>
        <v>-1.7933423370188129E-3</v>
      </c>
      <c r="M592" s="817">
        <f t="shared" si="272"/>
        <v>45461.400000000023</v>
      </c>
      <c r="N592" s="802">
        <f t="shared" si="280"/>
        <v>0.11365350000000006</v>
      </c>
      <c r="O592" s="786">
        <f t="shared" si="282"/>
        <v>4.4926342938311707E-2</v>
      </c>
      <c r="P592" s="817" t="b">
        <f t="shared" si="273"/>
        <v>0</v>
      </c>
      <c r="Q592" s="802">
        <f>COUNTIF(P$2:P592, TRUE)/(COUNTIF(P$2:P592,FALSE) + COUNTIF(P$2:P592, TRUE))</f>
        <v>0.48054145516074448</v>
      </c>
      <c r="R592" s="800">
        <v>330526.96000000002</v>
      </c>
      <c r="S592" s="800">
        <f t="shared" si="284"/>
        <v>114934.44</v>
      </c>
      <c r="T592" s="800">
        <v>-31425</v>
      </c>
      <c r="U592" s="800">
        <f>M592-T592</f>
        <v>76886.400000000023</v>
      </c>
      <c r="V592" s="802">
        <f>STDEV(D$2:D592)*SQRT(252)</f>
        <v>0.13964993647213261</v>
      </c>
      <c r="W592" s="802">
        <f>STDEV(L$2:L592)*SQRT(252)</f>
        <v>0.28380054359843188</v>
      </c>
      <c r="X592" s="801">
        <f t="shared" si="257"/>
        <v>0.91168581284014205</v>
      </c>
      <c r="Y592" s="801">
        <f t="shared" si="275"/>
        <v>0.15830252602292741</v>
      </c>
      <c r="Z592" s="807">
        <f t="shared" si="283"/>
        <v>-0.20842941318658303</v>
      </c>
    </row>
    <row r="593" spans="1:26" ht="20.100000000000001" customHeight="1" x14ac:dyDescent="0.2">
      <c r="A593" s="776">
        <f t="shared" si="281"/>
        <v>925</v>
      </c>
      <c r="B593" s="795">
        <v>43158</v>
      </c>
      <c r="C593" s="820">
        <v>2744.28</v>
      </c>
      <c r="D593" s="792">
        <f t="shared" si="278"/>
        <v>-1.270686429702105E-2</v>
      </c>
      <c r="E593" s="819">
        <f t="shared" si="271"/>
        <v>0.30528338501931096</v>
      </c>
      <c r="F593" s="816">
        <v>7330.35</v>
      </c>
      <c r="G593" s="792">
        <f t="shared" si="279"/>
        <v>-1.2276560137762606E-2</v>
      </c>
      <c r="H593" s="797">
        <f t="shared" si="276"/>
        <v>0.4396665160948211</v>
      </c>
      <c r="I593" s="799">
        <v>439475.96</v>
      </c>
      <c r="J593" s="800">
        <v>400000</v>
      </c>
      <c r="K593" s="800">
        <f t="shared" si="277"/>
        <v>-5985.4400000000023</v>
      </c>
      <c r="L593" s="792">
        <f t="shared" si="285"/>
        <v>-1.3436495283317482E-2</v>
      </c>
      <c r="M593" s="817">
        <f t="shared" si="272"/>
        <v>39475.960000000021</v>
      </c>
      <c r="N593" s="802">
        <f t="shared" si="280"/>
        <v>9.8689900000000053E-2</v>
      </c>
      <c r="O593" s="786">
        <f t="shared" si="282"/>
        <v>3.8969174027027043E-2</v>
      </c>
      <c r="P593" s="817" t="b">
        <f t="shared" si="273"/>
        <v>0</v>
      </c>
      <c r="Q593" s="802">
        <f>COUNTIF(P$2:P593, TRUE)/(COUNTIF(P$2:P593,FALSE) + COUNTIF(P$2:P593, TRUE))</f>
        <v>0.47972972972972971</v>
      </c>
      <c r="R593" s="800">
        <v>324541.51</v>
      </c>
      <c r="S593" s="800">
        <f t="shared" si="284"/>
        <v>114934.45000000001</v>
      </c>
      <c r="T593" s="800">
        <v>-31811</v>
      </c>
      <c r="U593" s="800">
        <f>M593-T593</f>
        <v>71286.960000000021</v>
      </c>
      <c r="V593" s="802">
        <f>STDEV(D$2:D593)*SQRT(252)</f>
        <v>0.139798275476226</v>
      </c>
      <c r="W593" s="802">
        <f>STDEV(L$2:L593)*SQRT(252)</f>
        <v>0.28370694512028866</v>
      </c>
      <c r="X593" s="801">
        <f t="shared" si="257"/>
        <v>0.86228304434011871</v>
      </c>
      <c r="Y593" s="801">
        <f t="shared" si="275"/>
        <v>0.13735713805139502</v>
      </c>
      <c r="Z593" s="807">
        <f t="shared" si="283"/>
        <v>-0.20659348501931091</v>
      </c>
    </row>
    <row r="594" spans="1:26" ht="20.100000000000001" customHeight="1" x14ac:dyDescent="0.2">
      <c r="A594" s="776">
        <f t="shared" si="281"/>
        <v>926</v>
      </c>
      <c r="B594" s="795">
        <v>43159</v>
      </c>
      <c r="C594" s="820">
        <v>2713.83</v>
      </c>
      <c r="D594" s="792">
        <f t="shared" si="278"/>
        <v>-1.1095806550352104E-2</v>
      </c>
      <c r="E594" s="819">
        <f t="shared" si="271"/>
        <v>0.29080021308574794</v>
      </c>
      <c r="F594" s="816">
        <v>7273</v>
      </c>
      <c r="G594" s="792">
        <f t="shared" si="279"/>
        <v>-7.8236373433738307E-3</v>
      </c>
      <c r="H594" s="797">
        <f t="shared" si="276"/>
        <v>0.42840308737749677</v>
      </c>
      <c r="I594" s="823">
        <v>434359.8</v>
      </c>
      <c r="J594" s="800">
        <v>400000</v>
      </c>
      <c r="K594" s="800">
        <f t="shared" si="277"/>
        <v>-5116.1600000000326</v>
      </c>
      <c r="L594" s="792">
        <f t="shared" si="285"/>
        <v>-1.1641501391794064E-2</v>
      </c>
      <c r="M594" s="823">
        <f t="shared" si="272"/>
        <v>34359.799999999988</v>
      </c>
      <c r="N594" s="802">
        <f t="shared" si="280"/>
        <v>8.5899499999999976E-2</v>
      </c>
      <c r="O594" s="786">
        <f t="shared" si="282"/>
        <v>3.3882065199784005E-2</v>
      </c>
      <c r="P594" s="817" t="b">
        <f t="shared" si="273"/>
        <v>0</v>
      </c>
      <c r="Q594" s="802">
        <f>COUNTIF(P$2:P594, TRUE)/(COUNTIF(P$2:P594,FALSE) + COUNTIF(P$2:P594, TRUE))</f>
        <v>0.47892074198988194</v>
      </c>
      <c r="R594" s="800">
        <v>325325.34999999998</v>
      </c>
      <c r="S594" s="800">
        <f t="shared" si="284"/>
        <v>109034.45000000001</v>
      </c>
      <c r="T594" s="800"/>
      <c r="U594" s="800"/>
      <c r="V594" s="802">
        <f>STDEV(D$2:D594)*SQRT(252)</f>
        <v>0.13988432434963807</v>
      </c>
      <c r="W594" s="802">
        <f>STDEV(L$2:L594)*SQRT(252)</f>
        <v>0.28357793902623352</v>
      </c>
      <c r="X594" s="801">
        <f t="shared" si="257"/>
        <v>0.81998311366562426</v>
      </c>
      <c r="Y594" s="801">
        <f t="shared" si="275"/>
        <v>0.11948061021999884</v>
      </c>
      <c r="Z594" s="807">
        <f t="shared" si="283"/>
        <v>-0.20490071308574798</v>
      </c>
    </row>
    <row r="595" spans="1:26" ht="20.100000000000001" customHeight="1" x14ac:dyDescent="0.2">
      <c r="A595" s="776">
        <f t="shared" si="281"/>
        <v>927</v>
      </c>
      <c r="B595" s="795">
        <v>43160</v>
      </c>
      <c r="C595" s="820">
        <v>2677.67</v>
      </c>
      <c r="D595" s="792">
        <f t="shared" si="278"/>
        <v>-1.3324342350110308E-2</v>
      </c>
      <c r="E595" s="819">
        <f t="shared" si="271"/>
        <v>0.27360114914099809</v>
      </c>
      <c r="F595" s="816">
        <v>7180.56</v>
      </c>
      <c r="G595" s="792">
        <f t="shared" si="279"/>
        <v>-1.2710023374123415E-2</v>
      </c>
      <c r="H595" s="797">
        <f t="shared" si="276"/>
        <v>0.41024805074925874</v>
      </c>
      <c r="I595" s="799">
        <v>432219.29</v>
      </c>
      <c r="J595" s="800">
        <v>400000</v>
      </c>
      <c r="K595" s="800">
        <f t="shared" si="277"/>
        <v>-2140.5100000000093</v>
      </c>
      <c r="L595" s="792">
        <f t="shared" si="285"/>
        <v>-4.9279652490861478E-3</v>
      </c>
      <c r="M595" s="817">
        <f t="shared" si="272"/>
        <v>32219.289999999979</v>
      </c>
      <c r="N595" s="802">
        <f t="shared" si="280"/>
        <v>8.0548224999999946E-2</v>
      </c>
      <c r="O595" s="786">
        <f t="shared" si="282"/>
        <v>3.1737043345469236E-2</v>
      </c>
      <c r="P595" s="817" t="b">
        <f t="shared" si="273"/>
        <v>1</v>
      </c>
      <c r="Q595" s="802">
        <f>COUNTIF(P$2:P595, TRUE)/(COUNTIF(P$2:P595,FALSE) + COUNTIF(P$2:P595, TRUE))</f>
        <v>0.47979797979797978</v>
      </c>
      <c r="R595" s="800">
        <v>330616.65000000002</v>
      </c>
      <c r="S595" s="800">
        <f t="shared" si="284"/>
        <v>101602.63999999996</v>
      </c>
      <c r="T595" s="800">
        <v>-32527</v>
      </c>
      <c r="U595" s="800">
        <f t="shared" ref="U595:U604" si="286">M595-T595</f>
        <v>64746.289999999979</v>
      </c>
      <c r="V595" s="802">
        <f>STDEV(D$2:D595)*SQRT(252)</f>
        <v>0.14005511018347203</v>
      </c>
      <c r="W595" s="802">
        <f>STDEV(L$2:L595)*SQRT(252)</f>
        <v>0.28336045846644775</v>
      </c>
      <c r="X595" s="801">
        <f t="shared" si="257"/>
        <v>0.76971411027259673</v>
      </c>
      <c r="Y595" s="801">
        <f t="shared" si="275"/>
        <v>0.1120023715278791</v>
      </c>
      <c r="Z595" s="807">
        <f t="shared" si="283"/>
        <v>-0.19305292414099814</v>
      </c>
    </row>
    <row r="596" spans="1:26" ht="20.100000000000001" customHeight="1" x14ac:dyDescent="0.2">
      <c r="A596" s="776">
        <f t="shared" si="281"/>
        <v>928</v>
      </c>
      <c r="B596" s="795">
        <v>43161</v>
      </c>
      <c r="C596" s="820">
        <v>2691.25</v>
      </c>
      <c r="D596" s="792">
        <f t="shared" si="278"/>
        <v>5.0715734201749758E-3</v>
      </c>
      <c r="E596" s="819">
        <f t="shared" si="271"/>
        <v>0.28006031087688588</v>
      </c>
      <c r="F596" s="816">
        <v>7257.86</v>
      </c>
      <c r="G596" s="792">
        <f t="shared" si="279"/>
        <v>1.076517708925199E-2</v>
      </c>
      <c r="H596" s="797">
        <f t="shared" si="276"/>
        <v>0.4254296207553469</v>
      </c>
      <c r="I596" s="799">
        <v>435569.11</v>
      </c>
      <c r="J596" s="800">
        <v>400000</v>
      </c>
      <c r="K596" s="800">
        <f t="shared" si="277"/>
        <v>3349.820000000007</v>
      </c>
      <c r="L596" s="792">
        <f t="shared" si="285"/>
        <v>7.7502787994492501E-3</v>
      </c>
      <c r="M596" s="817">
        <f t="shared" si="272"/>
        <v>35569.109999999986</v>
      </c>
      <c r="N596" s="802">
        <f t="shared" si="280"/>
        <v>8.8922774999999968E-2</v>
      </c>
      <c r="O596" s="786">
        <f t="shared" si="282"/>
        <v>3.4998969362877143E-2</v>
      </c>
      <c r="P596" s="817" t="b">
        <f t="shared" si="273"/>
        <v>1</v>
      </c>
      <c r="Q596" s="802">
        <f>COUNTIF(P$2:P596, TRUE)/(COUNTIF(P$2:P596,FALSE) + COUNTIF(P$2:P596, TRUE))</f>
        <v>0.48067226890756304</v>
      </c>
      <c r="R596" s="800">
        <v>340478.65</v>
      </c>
      <c r="S596" s="800">
        <f t="shared" si="284"/>
        <v>95090.459999999963</v>
      </c>
      <c r="T596" s="800">
        <v>-31997</v>
      </c>
      <c r="U596" s="800">
        <f t="shared" si="286"/>
        <v>67566.109999999986</v>
      </c>
      <c r="V596" s="802">
        <f>STDEV(D$2:D596)*SQRT(252)</f>
        <v>0.13996938804181233</v>
      </c>
      <c r="W596" s="802">
        <f>STDEV(L$2:L596)*SQRT(252)</f>
        <v>0.28316087017865788</v>
      </c>
      <c r="X596" s="801">
        <f t="shared" si="257"/>
        <v>0.78751847515137252</v>
      </c>
      <c r="Y596" s="801">
        <f t="shared" si="275"/>
        <v>0.1236010093513092</v>
      </c>
      <c r="Z596" s="807">
        <f t="shared" si="283"/>
        <v>-0.19113753587688592</v>
      </c>
    </row>
    <row r="597" spans="1:26" ht="20.100000000000001" customHeight="1" x14ac:dyDescent="0.2">
      <c r="A597" s="776">
        <f t="shared" si="281"/>
        <v>931</v>
      </c>
      <c r="B597" s="795">
        <v>43164</v>
      </c>
      <c r="C597" s="820">
        <v>2720.94</v>
      </c>
      <c r="D597" s="792">
        <f t="shared" si="278"/>
        <v>1.1032048304691148E-2</v>
      </c>
      <c r="E597" s="819">
        <f t="shared" si="271"/>
        <v>0.29418199805939765</v>
      </c>
      <c r="F597" s="816">
        <v>7330.7</v>
      </c>
      <c r="G597" s="792">
        <f t="shared" si="279"/>
        <v>1.0036016125965526E-2</v>
      </c>
      <c r="H597" s="797">
        <f t="shared" si="276"/>
        <v>0.43973525541567648</v>
      </c>
      <c r="I597" s="799">
        <v>441211.16</v>
      </c>
      <c r="J597" s="800">
        <v>400000</v>
      </c>
      <c r="K597" s="800">
        <f t="shared" si="277"/>
        <v>5642.0499999999884</v>
      </c>
      <c r="L597" s="792">
        <f t="shared" si="285"/>
        <v>1.2953283119640851E-2</v>
      </c>
      <c r="M597" s="817">
        <f t="shared" si="272"/>
        <v>41211.159999999974</v>
      </c>
      <c r="N597" s="802">
        <f t="shared" si="280"/>
        <v>0.10302789999999994</v>
      </c>
      <c r="O597" s="786">
        <f t="shared" si="282"/>
        <v>4.0419914581095569E-2</v>
      </c>
      <c r="P597" s="817" t="b">
        <f t="shared" si="273"/>
        <v>1</v>
      </c>
      <c r="Q597" s="802">
        <f>COUNTIF(P$2:P597, TRUE)/(COUNTIF(P$2:P597,FALSE) + COUNTIF(P$2:P597, TRUE))</f>
        <v>0.48154362416107382</v>
      </c>
      <c r="R597" s="800">
        <v>346120.7</v>
      </c>
      <c r="S597" s="800">
        <f t="shared" si="284"/>
        <v>95090.459999999963</v>
      </c>
      <c r="T597" s="800">
        <v>-31972</v>
      </c>
      <c r="U597" s="800">
        <f t="shared" si="286"/>
        <v>73183.159999999974</v>
      </c>
      <c r="V597" s="802">
        <f>STDEV(D$2:D597)*SQRT(252)</f>
        <v>0.14002083127496495</v>
      </c>
      <c r="W597" s="802">
        <f>STDEV(L$2:L597)*SQRT(252)</f>
        <v>0.28303833628625708</v>
      </c>
      <c r="X597" s="801">
        <f t="shared" si="257"/>
        <v>0.82425954557302428</v>
      </c>
      <c r="Y597" s="801">
        <f t="shared" ref="Y597:Y630" si="287">O597/W597</f>
        <v>0.14280720806744707</v>
      </c>
      <c r="Z597" s="807">
        <f t="shared" si="283"/>
        <v>-0.1911540980593977</v>
      </c>
    </row>
    <row r="598" spans="1:26" ht="20.100000000000001" customHeight="1" x14ac:dyDescent="0.2">
      <c r="A598" s="776">
        <f t="shared" si="281"/>
        <v>932</v>
      </c>
      <c r="B598" s="795">
        <v>43165</v>
      </c>
      <c r="C598" s="820">
        <v>2728.12</v>
      </c>
      <c r="D598" s="792">
        <f t="shared" si="278"/>
        <v>2.6387939462097056E-3</v>
      </c>
      <c r="E598" s="819">
        <f t="shared" si="271"/>
        <v>0.29759707768117039</v>
      </c>
      <c r="F598" s="816">
        <v>7372</v>
      </c>
      <c r="G598" s="792">
        <f t="shared" si="279"/>
        <v>5.6338412429918269E-3</v>
      </c>
      <c r="H598" s="797">
        <f t="shared" si="276"/>
        <v>0.44784649527662673</v>
      </c>
      <c r="I598" s="799">
        <v>440897.46</v>
      </c>
      <c r="J598" s="800">
        <v>400000</v>
      </c>
      <c r="K598" s="800">
        <f t="shared" si="277"/>
        <v>-313.69999999995343</v>
      </c>
      <c r="L598" s="792">
        <f t="shared" si="285"/>
        <v>-7.1099742807945621E-4</v>
      </c>
      <c r="M598" s="817">
        <f t="shared" si="272"/>
        <v>40897.460000000021</v>
      </c>
      <c r="N598" s="802">
        <f t="shared" si="280"/>
        <v>0.10224365000000005</v>
      </c>
      <c r="O598" s="786">
        <f t="shared" si="282"/>
        <v>4.0069198672210322E-2</v>
      </c>
      <c r="P598" s="817" t="b">
        <f t="shared" si="273"/>
        <v>0</v>
      </c>
      <c r="Q598" s="802">
        <f>COUNTIF(P$2:P598, TRUE)/(COUNTIF(P$2:P598,FALSE) + COUNTIF(P$2:P598, TRUE))</f>
        <v>0.48073701842546063</v>
      </c>
      <c r="R598" s="800">
        <v>355214.01</v>
      </c>
      <c r="S598" s="800">
        <f t="shared" si="284"/>
        <v>85683.450000000012</v>
      </c>
      <c r="T598" s="800">
        <v>-32140</v>
      </c>
      <c r="U598" s="800">
        <f t="shared" si="286"/>
        <v>73037.460000000021</v>
      </c>
      <c r="V598" s="802">
        <f>STDEV(D$2:D598)*SQRT(252)</f>
        <v>0.13991020947866528</v>
      </c>
      <c r="W598" s="802">
        <f>STDEV(L$2:L598)*SQRT(252)</f>
        <v>0.28280153709709011</v>
      </c>
      <c r="X598" s="801">
        <f t="shared" si="257"/>
        <v>0.8335920568605808</v>
      </c>
      <c r="Y598" s="801">
        <f t="shared" si="287"/>
        <v>0.14168663679665203</v>
      </c>
      <c r="Z598" s="807">
        <f t="shared" si="283"/>
        <v>-0.19535342768117034</v>
      </c>
    </row>
    <row r="599" spans="1:26" ht="20.100000000000001" customHeight="1" x14ac:dyDescent="0.2">
      <c r="A599" s="776">
        <f t="shared" si="281"/>
        <v>933</v>
      </c>
      <c r="B599" s="795">
        <v>43166</v>
      </c>
      <c r="C599" s="820">
        <v>2726.8</v>
      </c>
      <c r="D599" s="792">
        <f t="shared" si="278"/>
        <v>-4.8384968403138753E-4</v>
      </c>
      <c r="E599" s="819">
        <f t="shared" si="271"/>
        <v>0.29696923574513429</v>
      </c>
      <c r="F599" s="816">
        <v>7396.64</v>
      </c>
      <c r="G599" s="792">
        <f t="shared" si="279"/>
        <v>3.3423765599566368E-3</v>
      </c>
      <c r="H599" s="797">
        <f t="shared" si="276"/>
        <v>0.45268574346485468</v>
      </c>
      <c r="I599" s="799">
        <v>435779.16</v>
      </c>
      <c r="J599" s="800">
        <v>400000</v>
      </c>
      <c r="K599" s="800">
        <f t="shared" si="277"/>
        <v>-5118.3000000000466</v>
      </c>
      <c r="L599" s="792">
        <f t="shared" si="285"/>
        <v>-1.1608821697453295E-2</v>
      </c>
      <c r="M599" s="817">
        <f t="shared" si="272"/>
        <v>35779.159999999974</v>
      </c>
      <c r="N599" s="802">
        <f t="shared" si="280"/>
        <v>8.9447899999999941E-2</v>
      </c>
      <c r="O599" s="786">
        <f t="shared" si="282"/>
        <v>3.5016983360128595E-2</v>
      </c>
      <c r="P599" s="817" t="b">
        <f t="shared" si="273"/>
        <v>0</v>
      </c>
      <c r="Q599" s="802">
        <f>COUNTIF(P$2:P599, TRUE)/(COUNTIF(P$2:P599,FALSE) + COUNTIF(P$2:P599, TRUE))</f>
        <v>0.47993311036789299</v>
      </c>
      <c r="R599" s="800">
        <v>358173.46</v>
      </c>
      <c r="S599" s="800">
        <f t="shared" si="284"/>
        <v>77605.699999999953</v>
      </c>
      <c r="T599" s="800">
        <v>-33468</v>
      </c>
      <c r="U599" s="800">
        <f t="shared" si="286"/>
        <v>69247.159999999974</v>
      </c>
      <c r="V599" s="802">
        <f>STDEV(D$2:D599)*SQRT(252)</f>
        <v>0.13979417676369779</v>
      </c>
      <c r="W599" s="802">
        <f>STDEV(L$2:L599)*SQRT(252)</f>
        <v>0.28267415895687487</v>
      </c>
      <c r="X599" s="801">
        <f t="shared" si="257"/>
        <v>0.83163155814580803</v>
      </c>
      <c r="Y599" s="801">
        <f t="shared" si="287"/>
        <v>0.12387755389225667</v>
      </c>
      <c r="Z599" s="807">
        <f t="shared" si="283"/>
        <v>-0.20752133574513434</v>
      </c>
    </row>
    <row r="600" spans="1:26" ht="20.100000000000001" customHeight="1" x14ac:dyDescent="0.2">
      <c r="A600" s="776">
        <f t="shared" si="281"/>
        <v>934</v>
      </c>
      <c r="B600" s="795">
        <v>43167</v>
      </c>
      <c r="C600" s="820">
        <v>2738.97</v>
      </c>
      <c r="D600" s="792">
        <f t="shared" si="278"/>
        <v>4.4631069385358728E-3</v>
      </c>
      <c r="E600" s="819">
        <f t="shared" si="271"/>
        <v>0.30275774814025597</v>
      </c>
      <c r="F600" s="816">
        <v>7427.94</v>
      </c>
      <c r="G600" s="792">
        <f t="shared" si="279"/>
        <v>4.2316511280796783E-3</v>
      </c>
      <c r="H600" s="797">
        <f t="shared" si="276"/>
        <v>0.45883300272993299</v>
      </c>
      <c r="I600" s="799">
        <v>429670.56</v>
      </c>
      <c r="J600" s="800">
        <v>400000</v>
      </c>
      <c r="K600" s="800">
        <f t="shared" si="277"/>
        <v>-6108.5999999999767</v>
      </c>
      <c r="L600" s="792">
        <f t="shared" si="285"/>
        <v>-1.4017650591643659E-2</v>
      </c>
      <c r="M600" s="817">
        <f t="shared" si="272"/>
        <v>29670.559999999998</v>
      </c>
      <c r="N600" s="802">
        <f t="shared" si="280"/>
        <v>7.417639999999999E-2</v>
      </c>
      <c r="O600" s="786">
        <f t="shared" si="282"/>
        <v>2.9007419807280513E-2</v>
      </c>
      <c r="P600" s="817" t="b">
        <f t="shared" si="273"/>
        <v>0</v>
      </c>
      <c r="Q600" s="802">
        <f>COUNTIF(P$2:P600, TRUE)/(COUNTIF(P$2:P600,FALSE) + COUNTIF(P$2:P600, TRUE))</f>
        <v>0.47913188647746241</v>
      </c>
      <c r="R600" s="800">
        <v>369341.21</v>
      </c>
      <c r="S600" s="800">
        <f t="shared" si="284"/>
        <v>60329.349999999977</v>
      </c>
      <c r="T600" s="800">
        <v>-40317</v>
      </c>
      <c r="U600" s="800">
        <f t="shared" si="286"/>
        <v>69987.56</v>
      </c>
      <c r="V600" s="802">
        <f>STDEV(D$2:D600)*SQRT(252)</f>
        <v>0.13970104530269922</v>
      </c>
      <c r="W600" s="802">
        <f>STDEV(L$2:L600)*SQRT(252)</f>
        <v>0.28259463012255009</v>
      </c>
      <c r="X600" s="801">
        <f t="shared" si="257"/>
        <v>0.84749854065243946</v>
      </c>
      <c r="Y600" s="801">
        <f t="shared" si="287"/>
        <v>0.10264674808116893</v>
      </c>
      <c r="Z600" s="807">
        <f t="shared" si="283"/>
        <v>-0.22858134814025599</v>
      </c>
    </row>
    <row r="601" spans="1:26" ht="20.100000000000001" customHeight="1" x14ac:dyDescent="0.2">
      <c r="A601" s="776">
        <f t="shared" si="281"/>
        <v>935</v>
      </c>
      <c r="B601" s="795">
        <v>43168</v>
      </c>
      <c r="C601" s="820">
        <v>2786.57</v>
      </c>
      <c r="D601" s="792">
        <f t="shared" si="278"/>
        <v>1.7378795678667663E-2</v>
      </c>
      <c r="E601" s="819">
        <f t="shared" si="271"/>
        <v>0.32539810886398662</v>
      </c>
      <c r="F601" s="816">
        <v>7560.81</v>
      </c>
      <c r="G601" s="792">
        <f t="shared" si="279"/>
        <v>1.7887866622509175E-2</v>
      </c>
      <c r="H601" s="797">
        <f t="shared" si="276"/>
        <v>0.48492841290728061</v>
      </c>
      <c r="I601" s="799">
        <v>438280.9</v>
      </c>
      <c r="J601" s="800">
        <v>400000</v>
      </c>
      <c r="K601" s="800">
        <f t="shared" si="277"/>
        <v>8610.3400000000256</v>
      </c>
      <c r="L601" s="792">
        <f t="shared" si="285"/>
        <v>2.0039399487830921E-2</v>
      </c>
      <c r="M601" s="817">
        <f t="shared" si="272"/>
        <v>38280.900000000023</v>
      </c>
      <c r="N601" s="802">
        <f t="shared" si="280"/>
        <v>9.5702250000000058E-2</v>
      </c>
      <c r="O601" s="786">
        <f t="shared" si="282"/>
        <v>3.7385290708556174E-2</v>
      </c>
      <c r="P601" s="817" t="b">
        <f t="shared" si="273"/>
        <v>1</v>
      </c>
      <c r="Q601" s="802">
        <f>COUNTIF(P$2:P601, TRUE)/(COUNTIF(P$2:P601,FALSE) + COUNTIF(P$2:P601, TRUE))</f>
        <v>0.48</v>
      </c>
      <c r="R601" s="800">
        <v>374980.71</v>
      </c>
      <c r="S601" s="800">
        <f t="shared" si="284"/>
        <v>63300.19</v>
      </c>
      <c r="T601" s="800">
        <v>-37017</v>
      </c>
      <c r="U601" s="800">
        <f t="shared" si="286"/>
        <v>75297.900000000023</v>
      </c>
      <c r="V601" s="802">
        <f>STDEV(D$2:D601)*SQRT(252)</f>
        <v>0.14001382261721679</v>
      </c>
      <c r="W601" s="802">
        <f>STDEV(L$2:L601)*SQRT(252)</f>
        <v>0.2826430633070916</v>
      </c>
      <c r="X601" s="801">
        <f t="shared" si="257"/>
        <v>0.90786803546627559</v>
      </c>
      <c r="Y601" s="801">
        <f t="shared" si="287"/>
        <v>0.13227032806369307</v>
      </c>
      <c r="Z601" s="807">
        <f t="shared" si="283"/>
        <v>-0.22969585886398658</v>
      </c>
    </row>
    <row r="602" spans="1:26" ht="20.100000000000001" customHeight="1" x14ac:dyDescent="0.2">
      <c r="A602" s="776">
        <f t="shared" si="281"/>
        <v>938</v>
      </c>
      <c r="B602" s="795">
        <v>43171</v>
      </c>
      <c r="C602" s="820">
        <v>2783.02</v>
      </c>
      <c r="D602" s="792">
        <f t="shared" si="278"/>
        <v>-1.273967637633428E-3</v>
      </c>
      <c r="E602" s="819">
        <f t="shared" si="271"/>
        <v>0.32370959456631337</v>
      </c>
      <c r="F602" s="816">
        <v>7588.32</v>
      </c>
      <c r="G602" s="792">
        <f t="shared" si="279"/>
        <v>3.6384990497049003E-3</v>
      </c>
      <c r="H602" s="797">
        <f t="shared" si="276"/>
        <v>0.49033132352652353</v>
      </c>
      <c r="I602" s="799">
        <v>437286.12</v>
      </c>
      <c r="J602" s="800">
        <v>400000</v>
      </c>
      <c r="K602" s="800">
        <f t="shared" si="277"/>
        <v>-994.78000000002794</v>
      </c>
      <c r="L602" s="792">
        <f t="shared" si="285"/>
        <v>-2.2697315808195792E-3</v>
      </c>
      <c r="M602" s="817">
        <f t="shared" si="272"/>
        <v>37286.119999999995</v>
      </c>
      <c r="N602" s="802">
        <f t="shared" si="280"/>
        <v>9.3215299999999987E-2</v>
      </c>
      <c r="O602" s="786">
        <f t="shared" si="282"/>
        <v>3.6297322308102335E-2</v>
      </c>
      <c r="P602" s="817" t="b">
        <f t="shared" si="273"/>
        <v>0</v>
      </c>
      <c r="Q602" s="802">
        <f>COUNTIF(P$2:P602, TRUE)/(COUNTIF(P$2:P602,FALSE) + COUNTIF(P$2:P602, TRUE))</f>
        <v>0.47920133111480867</v>
      </c>
      <c r="R602" s="800">
        <v>373985.93</v>
      </c>
      <c r="S602" s="800">
        <f t="shared" si="284"/>
        <v>63300.19</v>
      </c>
      <c r="T602" s="800">
        <v>-37287</v>
      </c>
      <c r="U602" s="800">
        <f t="shared" si="286"/>
        <v>74573.119999999995</v>
      </c>
      <c r="V602" s="802">
        <f>STDEV(D$2:D602)*SQRT(252)</f>
        <v>0.13990167405306719</v>
      </c>
      <c r="W602" s="802">
        <f>STDEV(L$2:L602)*SQRT(252)</f>
        <v>0.28241279907260419</v>
      </c>
      <c r="X602" s="801">
        <f t="shared" si="257"/>
        <v>0.90099015764336643</v>
      </c>
      <c r="Y602" s="801">
        <f t="shared" si="287"/>
        <v>0.1285257694668818</v>
      </c>
      <c r="Z602" s="807">
        <f t="shared" si="283"/>
        <v>-0.23049429456631337</v>
      </c>
    </row>
    <row r="603" spans="1:26" ht="20.100000000000001" customHeight="1" x14ac:dyDescent="0.2">
      <c r="A603" s="776">
        <f t="shared" si="281"/>
        <v>939</v>
      </c>
      <c r="B603" s="795">
        <v>43172</v>
      </c>
      <c r="C603" s="820">
        <v>2765.31</v>
      </c>
      <c r="D603" s="792">
        <f t="shared" si="278"/>
        <v>-6.3635906317597562E-3</v>
      </c>
      <c r="E603" s="819">
        <f t="shared" si="271"/>
        <v>0.31528604859116066</v>
      </c>
      <c r="F603" s="816">
        <v>7511.01</v>
      </c>
      <c r="G603" s="792">
        <f t="shared" si="279"/>
        <v>-1.0188025808083936E-2</v>
      </c>
      <c r="H603" s="797">
        <f t="shared" si="276"/>
        <v>0.47514778953983944</v>
      </c>
      <c r="I603" s="799">
        <v>435615.49</v>
      </c>
      <c r="J603" s="800">
        <v>400000</v>
      </c>
      <c r="K603" s="800">
        <f t="shared" si="277"/>
        <v>-1670.6300000000047</v>
      </c>
      <c r="L603" s="792">
        <f t="shared" si="285"/>
        <v>-3.8204505553480744E-3</v>
      </c>
      <c r="M603" s="817">
        <f t="shared" si="272"/>
        <v>35615.489999999991</v>
      </c>
      <c r="N603" s="802">
        <f t="shared" si="280"/>
        <v>8.9038724999999971E-2</v>
      </c>
      <c r="O603" s="786">
        <f t="shared" si="282"/>
        <v>3.463407274361021E-2</v>
      </c>
      <c r="P603" s="817" t="b">
        <f t="shared" si="273"/>
        <v>1</v>
      </c>
      <c r="Q603" s="802">
        <f>COUNTIF(P$2:P603, TRUE)/(COUNTIF(P$2:P603,FALSE) + COUNTIF(P$2:P603, TRUE))</f>
        <v>0.48006644518272423</v>
      </c>
      <c r="R603" s="800">
        <v>378952.58</v>
      </c>
      <c r="S603" s="800">
        <f t="shared" si="284"/>
        <v>56662.909999999974</v>
      </c>
      <c r="T603" s="800">
        <v>-37227</v>
      </c>
      <c r="U603" s="800">
        <f t="shared" si="286"/>
        <v>72842.489999999991</v>
      </c>
      <c r="V603" s="802">
        <f>STDEV(D$2:D603)*SQRT(252)</f>
        <v>0.13985580631771188</v>
      </c>
      <c r="W603" s="802">
        <f>STDEV(L$2:L603)*SQRT(252)</f>
        <v>0.28219128709643676</v>
      </c>
      <c r="X603" s="801">
        <f t="shared" ref="X603:X638" si="288">E603/(A603/365.25)/V603</f>
        <v>0.87689760622217827</v>
      </c>
      <c r="Y603" s="801">
        <f t="shared" si="287"/>
        <v>0.12273260843724872</v>
      </c>
      <c r="Z603" s="807">
        <f t="shared" si="283"/>
        <v>-0.22624732359116068</v>
      </c>
    </row>
    <row r="604" spans="1:26" ht="20.100000000000001" customHeight="1" x14ac:dyDescent="0.2">
      <c r="A604" s="776">
        <f t="shared" si="281"/>
        <v>940</v>
      </c>
      <c r="B604" s="795">
        <v>43173</v>
      </c>
      <c r="C604" s="820">
        <v>2749.48</v>
      </c>
      <c r="D604" s="792">
        <f t="shared" si="278"/>
        <v>-5.7244938180529229E-3</v>
      </c>
      <c r="E604" s="819">
        <f t="shared" si="271"/>
        <v>0.30775670173702935</v>
      </c>
      <c r="F604" s="816">
        <v>7496.81</v>
      </c>
      <c r="G604" s="792">
        <f t="shared" si="279"/>
        <v>-1.8905579941978267E-3</v>
      </c>
      <c r="H604" s="797">
        <f t="shared" si="276"/>
        <v>0.47235893709370164</v>
      </c>
      <c r="I604" s="799">
        <v>429341.77</v>
      </c>
      <c r="J604" s="800">
        <v>400000</v>
      </c>
      <c r="K604" s="800">
        <f t="shared" si="277"/>
        <v>-6273.7199999999721</v>
      </c>
      <c r="L604" s="792">
        <f t="shared" si="285"/>
        <v>-1.4401967202773189E-2</v>
      </c>
      <c r="M604" s="817">
        <f t="shared" si="272"/>
        <v>29341.770000000019</v>
      </c>
      <c r="N604" s="802">
        <f t="shared" si="280"/>
        <v>7.3354425000000043E-2</v>
      </c>
      <c r="O604" s="786">
        <f t="shared" si="282"/>
        <v>2.8502876309840441E-2</v>
      </c>
      <c r="P604" s="817" t="b">
        <f t="shared" si="273"/>
        <v>0</v>
      </c>
      <c r="Q604" s="802">
        <f>COUNTIF(P$2:P604, TRUE)/(COUNTIF(P$2:P604,FALSE) + COUNTIF(P$2:P604, TRUE))</f>
        <v>0.4792703150912106</v>
      </c>
      <c r="R604" s="800">
        <v>372630.86</v>
      </c>
      <c r="S604" s="800">
        <f t="shared" si="284"/>
        <v>56710.910000000033</v>
      </c>
      <c r="T604" s="800">
        <v>-38937</v>
      </c>
      <c r="U604" s="800">
        <f t="shared" si="286"/>
        <v>68278.770000000019</v>
      </c>
      <c r="V604" s="802">
        <f>STDEV(D$2:D604)*SQRT(252)</f>
        <v>0.1397973286660589</v>
      </c>
      <c r="W604" s="802">
        <f>STDEV(L$2:L604)*SQRT(252)</f>
        <v>0.28212127314780289</v>
      </c>
      <c r="X604" s="801">
        <f t="shared" si="288"/>
        <v>0.8554034888269002</v>
      </c>
      <c r="Y604" s="801">
        <f t="shared" si="287"/>
        <v>0.10103058160703758</v>
      </c>
      <c r="Z604" s="807">
        <f t="shared" si="283"/>
        <v>-0.23440227673702929</v>
      </c>
    </row>
    <row r="605" spans="1:26" ht="20.100000000000001" customHeight="1" x14ac:dyDescent="0.2">
      <c r="A605" s="776">
        <f t="shared" si="281"/>
        <v>941</v>
      </c>
      <c r="B605" s="795">
        <v>43174</v>
      </c>
      <c r="C605" s="820">
        <v>2747.33</v>
      </c>
      <c r="D605" s="792">
        <f t="shared" si="278"/>
        <v>-7.8196604448844541E-4</v>
      </c>
      <c r="E605" s="819">
        <f t="shared" si="271"/>
        <v>0.30673408040181876</v>
      </c>
      <c r="F605" s="816">
        <v>7481.74</v>
      </c>
      <c r="G605" s="792">
        <f t="shared" si="279"/>
        <v>-2.0101883334379044E-3</v>
      </c>
      <c r="H605" s="797">
        <f t="shared" si="276"/>
        <v>0.46939921833572285</v>
      </c>
      <c r="I605" s="799">
        <v>429379.29</v>
      </c>
      <c r="J605" s="800">
        <v>400000</v>
      </c>
      <c r="K605" s="800">
        <f t="shared" si="277"/>
        <v>37.519999999960419</v>
      </c>
      <c r="L605" s="792">
        <f t="shared" si="285"/>
        <v>8.7389587088068359E-5</v>
      </c>
      <c r="M605" s="817">
        <f t="shared" si="272"/>
        <v>29379.289999999979</v>
      </c>
      <c r="N605" s="802">
        <f t="shared" si="280"/>
        <v>7.344822499999995E-2</v>
      </c>
      <c r="O605" s="786">
        <f t="shared" si="282"/>
        <v>2.8508994879117941E-2</v>
      </c>
      <c r="P605" s="817" t="b">
        <f t="shared" si="273"/>
        <v>1</v>
      </c>
      <c r="Q605" s="802">
        <f>COUNTIF(P$2:P605, TRUE)/(COUNTIF(P$2:P605,FALSE) + COUNTIF(P$2:P605, TRUE))</f>
        <v>0.48013245033112584</v>
      </c>
      <c r="R605" s="800">
        <v>376490.31</v>
      </c>
      <c r="S605" s="800">
        <f t="shared" si="284"/>
        <v>52888.979999999981</v>
      </c>
      <c r="T605" s="800"/>
      <c r="U605" s="800"/>
      <c r="V605" s="802">
        <f>STDEV(D$2:D605)*SQRT(252)</f>
        <v>0.13968356910665927</v>
      </c>
      <c r="W605" s="802">
        <f>STDEV(L$2:L605)*SQRT(252)</f>
        <v>0.2818869686749797</v>
      </c>
      <c r="X605" s="801">
        <f t="shared" si="288"/>
        <v>0.85234871317056815</v>
      </c>
      <c r="Y605" s="801">
        <f t="shared" si="287"/>
        <v>0.10113626398951872</v>
      </c>
      <c r="Z605" s="807">
        <f t="shared" si="283"/>
        <v>-0.23328585540181881</v>
      </c>
    </row>
    <row r="606" spans="1:26" ht="20.100000000000001" customHeight="1" x14ac:dyDescent="0.2">
      <c r="A606" s="776">
        <f t="shared" si="281"/>
        <v>942</v>
      </c>
      <c r="B606" s="795">
        <v>43175</v>
      </c>
      <c r="C606" s="820">
        <v>2752.02</v>
      </c>
      <c r="D606" s="792">
        <f t="shared" si="278"/>
        <v>1.707111996010692E-3</v>
      </c>
      <c r="E606" s="819">
        <f t="shared" si="271"/>
        <v>0.30896482182606871</v>
      </c>
      <c r="F606" s="816">
        <v>7481.98</v>
      </c>
      <c r="G606" s="792">
        <f t="shared" si="279"/>
        <v>3.2078099479503662E-5</v>
      </c>
      <c r="H606" s="797">
        <f t="shared" si="276"/>
        <v>0.46944635387002376</v>
      </c>
      <c r="I606" s="799">
        <v>432834.68</v>
      </c>
      <c r="J606" s="800">
        <v>400000</v>
      </c>
      <c r="K606" s="800">
        <f t="shared" si="277"/>
        <v>3455.390000000014</v>
      </c>
      <c r="L606" s="792">
        <f t="shared" si="285"/>
        <v>8.0474072235761866E-3</v>
      </c>
      <c r="M606" s="817">
        <f t="shared" si="272"/>
        <v>32834.679999999993</v>
      </c>
      <c r="N606" s="802">
        <f t="shared" si="280"/>
        <v>8.2086699999999985E-2</v>
      </c>
      <c r="O606" s="786">
        <f t="shared" si="282"/>
        <v>3.1828202945859869E-2</v>
      </c>
      <c r="P606" s="817" t="b">
        <f t="shared" si="273"/>
        <v>1</v>
      </c>
      <c r="Q606" s="802">
        <f>COUNTIF(P$2:P606, TRUE)/(COUNTIF(P$2:P606,FALSE) + COUNTIF(P$2:P606, TRUE))</f>
        <v>0.4809917355371901</v>
      </c>
      <c r="R606" s="800">
        <v>369896.1</v>
      </c>
      <c r="S606" s="800">
        <f t="shared" si="284"/>
        <v>62938.580000000016</v>
      </c>
      <c r="T606" s="800"/>
      <c r="U606" s="800"/>
      <c r="V606" s="802">
        <f>STDEV(D$2:D606)*SQRT(252)</f>
        <v>0.13956993901998668</v>
      </c>
      <c r="W606" s="802">
        <f>STDEV(L$2:L606)*SQRT(252)</f>
        <v>0.28169557911049675</v>
      </c>
      <c r="X606" s="801">
        <f t="shared" si="288"/>
        <v>0.85833429912511727</v>
      </c>
      <c r="Y606" s="801">
        <f t="shared" si="287"/>
        <v>0.112987939130472</v>
      </c>
      <c r="Z606" s="807">
        <f t="shared" si="283"/>
        <v>-0.22687812182606873</v>
      </c>
    </row>
    <row r="607" spans="1:26" ht="20.100000000000001" customHeight="1" x14ac:dyDescent="0.2">
      <c r="A607" s="776">
        <f t="shared" si="281"/>
        <v>945</v>
      </c>
      <c r="B607" s="795">
        <v>43178</v>
      </c>
      <c r="C607" s="820">
        <v>2712.92</v>
      </c>
      <c r="D607" s="792">
        <f t="shared" si="278"/>
        <v>-1.4207745583244275E-2</v>
      </c>
      <c r="E607" s="819">
        <f t="shared" si="271"/>
        <v>0.29036738266014728</v>
      </c>
      <c r="F607" s="816">
        <v>7324.44</v>
      </c>
      <c r="G607" s="792">
        <f t="shared" si="279"/>
        <v>-2.1055923699341613E-2</v>
      </c>
      <c r="H607" s="797">
        <f t="shared" ref="H607:H629" si="289">(F607-F$2)/F$2</f>
        <v>0.43850580356266078</v>
      </c>
      <c r="I607" s="799">
        <v>436840.3</v>
      </c>
      <c r="J607" s="800">
        <v>410000</v>
      </c>
      <c r="K607" s="800">
        <f t="shared" ref="K607:K629" si="290">I607-I606-J607+J606</f>
        <v>-5994.3800000000047</v>
      </c>
      <c r="L607" s="792">
        <f t="shared" si="285"/>
        <v>-1.3849121331959825E-2</v>
      </c>
      <c r="M607" s="817">
        <f t="shared" si="272"/>
        <v>26840.299999999988</v>
      </c>
      <c r="N607" s="802">
        <f t="shared" si="280"/>
        <v>6.5464146341463386E-2</v>
      </c>
      <c r="O607" s="786">
        <f t="shared" si="282"/>
        <v>2.5302412117692595E-2</v>
      </c>
      <c r="P607" s="817" t="b">
        <f t="shared" si="273"/>
        <v>1</v>
      </c>
      <c r="Q607" s="802">
        <f>COUNTIF(P$2:P607, TRUE)/(COUNTIF(P$2:P607,FALSE) + COUNTIF(P$2:P607, TRUE))</f>
        <v>0.48184818481848185</v>
      </c>
      <c r="R607" s="800"/>
      <c r="S607" s="800"/>
      <c r="T607" s="800"/>
      <c r="U607" s="800"/>
      <c r="V607" s="802">
        <f>STDEV(D$2:D607)*SQRT(252)</f>
        <v>0.13977635246668721</v>
      </c>
      <c r="W607" s="802">
        <f>STDEV(L$2:L607)*SQRT(252)</f>
        <v>0.28161437917604071</v>
      </c>
      <c r="X607" s="801">
        <f t="shared" si="288"/>
        <v>0.80292049349285621</v>
      </c>
      <c r="Y607" s="801">
        <f t="shared" si="287"/>
        <v>8.9847727916889275E-2</v>
      </c>
      <c r="Z607" s="807">
        <f t="shared" si="283"/>
        <v>-0.22490323631868389</v>
      </c>
    </row>
    <row r="608" spans="1:26" ht="20.100000000000001" customHeight="1" x14ac:dyDescent="0.2">
      <c r="A608" s="776">
        <f t="shared" si="281"/>
        <v>946</v>
      </c>
      <c r="B608" s="795">
        <v>43179</v>
      </c>
      <c r="C608" s="820">
        <v>2716.94</v>
      </c>
      <c r="D608" s="792">
        <f t="shared" ref="D608:D629" si="291">(C608-C607)/C607</f>
        <v>1.4817982100467325E-3</v>
      </c>
      <c r="E608" s="819">
        <f t="shared" si="271"/>
        <v>0.29227944673807577</v>
      </c>
      <c r="F608" s="816">
        <v>7364.3</v>
      </c>
      <c r="G608" s="792">
        <f t="shared" ref="G608:G629" si="292">(F608-F607)/F607</f>
        <v>5.4420542730912649E-3</v>
      </c>
      <c r="H608" s="797">
        <f t="shared" si="289"/>
        <v>0.44633423021780555</v>
      </c>
      <c r="I608" s="799">
        <v>437944.26</v>
      </c>
      <c r="J608" s="800">
        <v>410000</v>
      </c>
      <c r="K608" s="800">
        <f t="shared" si="290"/>
        <v>1103.960000000021</v>
      </c>
      <c r="L608" s="792">
        <f t="shared" si="285"/>
        <v>2.5271477929120116E-3</v>
      </c>
      <c r="M608" s="817">
        <f t="shared" si="272"/>
        <v>27944.260000000009</v>
      </c>
      <c r="N608" s="802">
        <f t="shared" si="280"/>
        <v>6.8156731707317092E-2</v>
      </c>
      <c r="O608" s="786">
        <f t="shared" si="282"/>
        <v>2.6315270883824068E-2</v>
      </c>
      <c r="P608" s="817" t="b">
        <f t="shared" si="273"/>
        <v>1</v>
      </c>
      <c r="Q608" s="802">
        <f>COUNTIF(P$2:P608, TRUE)/(COUNTIF(P$2:P608,FALSE) + COUNTIF(P$2:P608, TRUE))</f>
        <v>0.48270181219110381</v>
      </c>
      <c r="R608" s="800">
        <v>408998.53</v>
      </c>
      <c r="S608" s="800">
        <f t="shared" ref="S608:S615" si="293">I608-R608</f>
        <v>28945.729999999981</v>
      </c>
      <c r="T608" s="800">
        <v>-39027</v>
      </c>
      <c r="U608" s="800">
        <f t="shared" ref="U608:U615" si="294">M608-T608</f>
        <v>66971.260000000009</v>
      </c>
      <c r="V608" s="802">
        <f>STDEV(D$2:D608)*SQRT(252)</f>
        <v>0.13966234092312027</v>
      </c>
      <c r="W608" s="802">
        <f>STDEV(L$2:L608)*SQRT(252)</f>
        <v>0.28138468339100431</v>
      </c>
      <c r="X608" s="801">
        <f t="shared" si="288"/>
        <v>0.8080124410173406</v>
      </c>
      <c r="Y608" s="801">
        <f t="shared" si="287"/>
        <v>9.3520622966023703E-2</v>
      </c>
      <c r="Z608" s="807">
        <f t="shared" si="283"/>
        <v>-0.22412271503075867</v>
      </c>
    </row>
    <row r="609" spans="1:26" ht="20.100000000000001" customHeight="1" x14ac:dyDescent="0.2">
      <c r="A609" s="776">
        <f t="shared" si="281"/>
        <v>947</v>
      </c>
      <c r="B609" s="795">
        <v>43180</v>
      </c>
      <c r="C609" s="820">
        <v>2711.93</v>
      </c>
      <c r="D609" s="792">
        <f t="shared" si="291"/>
        <v>-1.8439862492363535E-3</v>
      </c>
      <c r="E609" s="819">
        <f t="shared" si="271"/>
        <v>0.28989650120811999</v>
      </c>
      <c r="F609" s="816">
        <v>7345.28</v>
      </c>
      <c r="G609" s="792">
        <f t="shared" si="292"/>
        <v>-2.582730198389587E-3</v>
      </c>
      <c r="H609" s="797">
        <f t="shared" si="289"/>
        <v>0.44259873912445746</v>
      </c>
      <c r="I609" s="799">
        <v>444291.72</v>
      </c>
      <c r="J609" s="800">
        <v>410000</v>
      </c>
      <c r="K609" s="800">
        <f t="shared" si="290"/>
        <v>6347.4599999999627</v>
      </c>
      <c r="L609" s="792">
        <f t="shared" si="285"/>
        <v>1.4493762288378806E-2</v>
      </c>
      <c r="M609" s="817">
        <f t="shared" si="272"/>
        <v>34291.719999999972</v>
      </c>
      <c r="N609" s="802">
        <f t="shared" si="280"/>
        <v>8.3638341463414562E-2</v>
      </c>
      <c r="O609" s="786">
        <f t="shared" si="282"/>
        <v>3.2258610580266286E-2</v>
      </c>
      <c r="P609" s="817" t="b">
        <f t="shared" si="273"/>
        <v>1</v>
      </c>
      <c r="Q609" s="802">
        <f>COUNTIF(P$2:P609, TRUE)/(COUNTIF(P$2:P609,FALSE) + COUNTIF(P$2:P609, TRUE))</f>
        <v>0.48355263157894735</v>
      </c>
      <c r="R609" s="800">
        <v>388465.73</v>
      </c>
      <c r="S609" s="800">
        <f t="shared" si="293"/>
        <v>55825.989999999991</v>
      </c>
      <c r="T609" s="800">
        <v>-38907</v>
      </c>
      <c r="U609" s="800">
        <f t="shared" si="294"/>
        <v>73198.719999999972</v>
      </c>
      <c r="V609" s="802">
        <f>STDEV(D$2:D609)*SQRT(252)</f>
        <v>0.13955496906364678</v>
      </c>
      <c r="W609" s="802">
        <f>STDEV(L$2:L609)*SQRT(252)</f>
        <v>0.28129760062211118</v>
      </c>
      <c r="X609" s="801">
        <f t="shared" si="288"/>
        <v>0.80119441759034837</v>
      </c>
      <c r="Y609" s="801">
        <f t="shared" si="287"/>
        <v>0.11467787321656459</v>
      </c>
      <c r="Z609" s="807">
        <f t="shared" si="283"/>
        <v>-0.20625815974470543</v>
      </c>
    </row>
    <row r="610" spans="1:26" ht="20.100000000000001" customHeight="1" x14ac:dyDescent="0.2">
      <c r="A610" s="776">
        <f t="shared" si="281"/>
        <v>948</v>
      </c>
      <c r="B610" s="795">
        <v>43181</v>
      </c>
      <c r="C610" s="820">
        <v>2643.69</v>
      </c>
      <c r="D610" s="792">
        <f t="shared" si="291"/>
        <v>-2.5162891372564847E-2</v>
      </c>
      <c r="E610" s="819">
        <f t="shared" si="271"/>
        <v>0.25743897566636859</v>
      </c>
      <c r="F610" s="816">
        <v>7166.67</v>
      </c>
      <c r="G610" s="792">
        <f t="shared" si="292"/>
        <v>-2.4316295634747714E-2</v>
      </c>
      <c r="H610" s="797">
        <f t="shared" si="289"/>
        <v>0.40752008170159287</v>
      </c>
      <c r="I610" s="799">
        <v>436497.12</v>
      </c>
      <c r="J610" s="800">
        <v>410000</v>
      </c>
      <c r="K610" s="800">
        <f t="shared" si="290"/>
        <v>-7794.5999999999767</v>
      </c>
      <c r="L610" s="792">
        <f t="shared" si="285"/>
        <v>-1.7543878603004298E-2</v>
      </c>
      <c r="M610" s="817">
        <f t="shared" si="272"/>
        <v>26497.119999999995</v>
      </c>
      <c r="N610" s="802">
        <f t="shared" si="280"/>
        <v>6.4627121951219502E-2</v>
      </c>
      <c r="O610" s="786">
        <f t="shared" si="282"/>
        <v>2.4899848410003086E-2</v>
      </c>
      <c r="P610" s="817" t="b">
        <f t="shared" si="273"/>
        <v>1</v>
      </c>
      <c r="Q610" s="802">
        <f>COUNTIF(P$2:P610, TRUE)/(COUNTIF(P$2:P610,FALSE) + COUNTIF(P$2:P610, TRUE))</f>
        <v>0.48440065681444994</v>
      </c>
      <c r="R610" s="800">
        <v>405000.68</v>
      </c>
      <c r="S610" s="800">
        <f t="shared" si="293"/>
        <v>31496.440000000002</v>
      </c>
      <c r="T610" s="800">
        <v>-39087</v>
      </c>
      <c r="U610" s="800">
        <f t="shared" si="294"/>
        <v>65584.12</v>
      </c>
      <c r="V610" s="802">
        <f>STDEV(D$2:D610)*SQRT(252)</f>
        <v>0.1404121731089179</v>
      </c>
      <c r="W610" s="802">
        <f>STDEV(L$2:L610)*SQRT(252)</f>
        <v>0.28130554779717615</v>
      </c>
      <c r="X610" s="801">
        <f t="shared" si="288"/>
        <v>0.706401194872605</v>
      </c>
      <c r="Y610" s="801">
        <f t="shared" si="287"/>
        <v>8.8515312282273592E-2</v>
      </c>
      <c r="Z610" s="807">
        <f t="shared" si="283"/>
        <v>-0.19281185371514908</v>
      </c>
    </row>
    <row r="611" spans="1:26" ht="20.100000000000001" customHeight="1" x14ac:dyDescent="0.2">
      <c r="A611" s="776">
        <f t="shared" ref="A611:A642" si="295">B611-$B$2</f>
        <v>949</v>
      </c>
      <c r="B611" s="795">
        <v>43182</v>
      </c>
      <c r="C611" s="820">
        <v>2588.2800000000002</v>
      </c>
      <c r="D611" s="792">
        <f t="shared" si="291"/>
        <v>-2.0959340921212342E-2</v>
      </c>
      <c r="E611" s="819">
        <f t="shared" si="271"/>
        <v>0.23108388348775716</v>
      </c>
      <c r="F611" s="816">
        <v>6992.66</v>
      </c>
      <c r="G611" s="792">
        <f t="shared" si="292"/>
        <v>-2.4280453823044765E-2</v>
      </c>
      <c r="H611" s="797">
        <f t="shared" si="289"/>
        <v>0.37334485535282913</v>
      </c>
      <c r="I611" s="799">
        <v>432731.74</v>
      </c>
      <c r="J611" s="800">
        <v>410000</v>
      </c>
      <c r="K611" s="800">
        <f t="shared" si="290"/>
        <v>-3765.3800000000047</v>
      </c>
      <c r="L611" s="792">
        <f t="shared" si="285"/>
        <v>-8.6263570307176483E-3</v>
      </c>
      <c r="M611" s="817">
        <f t="shared" si="272"/>
        <v>22731.739999999991</v>
      </c>
      <c r="N611" s="802">
        <f t="shared" si="280"/>
        <v>5.5443268292682903E-2</v>
      </c>
      <c r="O611" s="786">
        <f t="shared" ref="O611:O642" si="296">N611/(A611/365.25)</f>
        <v>2.1338939666915101E-2</v>
      </c>
      <c r="P611" s="817" t="b">
        <f t="shared" si="273"/>
        <v>1</v>
      </c>
      <c r="Q611" s="802">
        <f>COUNTIF(P$2:P611, TRUE)/(COUNTIF(P$2:P611,FALSE) + COUNTIF(P$2:P611, TRUE))</f>
        <v>0.48524590163934428</v>
      </c>
      <c r="R611" s="800">
        <v>410695.78</v>
      </c>
      <c r="S611" s="800">
        <f t="shared" si="293"/>
        <v>22035.959999999963</v>
      </c>
      <c r="T611" s="800">
        <v>-38588</v>
      </c>
      <c r="U611" s="800">
        <f t="shared" si="294"/>
        <v>61319.739999999991</v>
      </c>
      <c r="V611" s="802">
        <f>STDEV(D$2:D611)*SQRT(252)</f>
        <v>0.14096884043280336</v>
      </c>
      <c r="W611" s="802">
        <f>STDEV(L$2:L611)*SQRT(252)</f>
        <v>0.28113491852881572</v>
      </c>
      <c r="X611" s="801">
        <f t="shared" si="288"/>
        <v>0.63091454878179509</v>
      </c>
      <c r="Y611" s="801">
        <f t="shared" si="287"/>
        <v>7.5902843298805325E-2</v>
      </c>
      <c r="Z611" s="807">
        <f t="shared" si="283"/>
        <v>-0.17564061519507426</v>
      </c>
    </row>
    <row r="612" spans="1:26" ht="20.100000000000001" customHeight="1" x14ac:dyDescent="0.2">
      <c r="A612" s="776">
        <f t="shared" si="295"/>
        <v>952</v>
      </c>
      <c r="B612" s="795">
        <v>43185</v>
      </c>
      <c r="C612" s="820">
        <v>2658.55</v>
      </c>
      <c r="D612" s="792">
        <f t="shared" si="291"/>
        <v>2.7149303784752801E-2</v>
      </c>
      <c r="E612" s="819">
        <f t="shared" si="271"/>
        <v>0.26450695382507949</v>
      </c>
      <c r="F612" s="816">
        <v>7220.54</v>
      </c>
      <c r="G612" s="792">
        <f t="shared" si="292"/>
        <v>3.2588457039238301E-2</v>
      </c>
      <c r="H612" s="797">
        <f t="shared" si="289"/>
        <v>0.41810004517155375</v>
      </c>
      <c r="I612" s="799">
        <v>442155.65</v>
      </c>
      <c r="J612" s="800">
        <v>410000</v>
      </c>
      <c r="K612" s="800">
        <f t="shared" si="290"/>
        <v>9423.9100000000326</v>
      </c>
      <c r="L612" s="792">
        <f t="shared" si="285"/>
        <v>2.1777718454394013E-2</v>
      </c>
      <c r="M612" s="817">
        <f t="shared" si="272"/>
        <v>32155.650000000023</v>
      </c>
      <c r="N612" s="802">
        <f t="shared" si="280"/>
        <v>7.8428414634146404E-2</v>
      </c>
      <c r="O612" s="786">
        <f t="shared" si="296"/>
        <v>3.0090313492775182E-2</v>
      </c>
      <c r="P612" s="817" t="b">
        <f t="shared" si="273"/>
        <v>0</v>
      </c>
      <c r="Q612" s="802">
        <f>COUNTIF(P$2:P612, TRUE)/(COUNTIF(P$2:P612,FALSE) + COUNTIF(P$2:P612, TRUE))</f>
        <v>0.48445171849427171</v>
      </c>
      <c r="R612" s="800">
        <v>420120.18</v>
      </c>
      <c r="S612" s="800">
        <f t="shared" si="293"/>
        <v>22035.47000000003</v>
      </c>
      <c r="T612" s="800">
        <v>-36818</v>
      </c>
      <c r="U612" s="800">
        <f t="shared" si="294"/>
        <v>68973.650000000023</v>
      </c>
      <c r="V612" s="802">
        <f>STDEV(D$2:D612)*SQRT(252)</f>
        <v>0.14189996990715831</v>
      </c>
      <c r="W612" s="802">
        <f>STDEV(L$2:L612)*SQRT(252)</f>
        <v>0.28123835873909325</v>
      </c>
      <c r="X612" s="801">
        <f t="shared" si="288"/>
        <v>0.71516798856025343</v>
      </c>
      <c r="Y612" s="801">
        <f t="shared" si="287"/>
        <v>0.10699220983823964</v>
      </c>
      <c r="Z612" s="807">
        <f t="shared" si="283"/>
        <v>-0.18607853919093309</v>
      </c>
    </row>
    <row r="613" spans="1:26" ht="20.100000000000001" customHeight="1" x14ac:dyDescent="0.2">
      <c r="A613" s="776">
        <f t="shared" si="295"/>
        <v>953</v>
      </c>
      <c r="B613" s="795">
        <v>43186</v>
      </c>
      <c r="C613" s="820">
        <v>2612.62</v>
      </c>
      <c r="D613" s="792">
        <f t="shared" si="291"/>
        <v>-1.7276334844182086E-2</v>
      </c>
      <c r="E613" s="819">
        <f t="shared" si="271"/>
        <v>0.24266090827800071</v>
      </c>
      <c r="F613" s="816">
        <v>7008.8</v>
      </c>
      <c r="G613" s="792">
        <f t="shared" si="292"/>
        <v>-2.9324676547737398E-2</v>
      </c>
      <c r="H613" s="797">
        <f t="shared" si="289"/>
        <v>0.37651472003456615</v>
      </c>
      <c r="I613" s="799">
        <v>435282.26</v>
      </c>
      <c r="J613" s="800">
        <v>410000</v>
      </c>
      <c r="K613" s="800">
        <f t="shared" si="290"/>
        <v>-6873.390000000014</v>
      </c>
      <c r="L613" s="792">
        <f t="shared" si="285"/>
        <v>-1.5545181883348124E-2</v>
      </c>
      <c r="M613" s="817">
        <f t="shared" si="272"/>
        <v>25282.260000000009</v>
      </c>
      <c r="N613" s="802">
        <f t="shared" si="280"/>
        <v>6.1664048780487826E-2</v>
      </c>
      <c r="O613" s="786">
        <f t="shared" si="296"/>
        <v>2.363357168633072E-2</v>
      </c>
      <c r="P613" s="817" t="b">
        <f t="shared" si="273"/>
        <v>1</v>
      </c>
      <c r="Q613" s="802">
        <f>COUNTIF(P$2:P613, TRUE)/(COUNTIF(P$2:P613,FALSE) + COUNTIF(P$2:P613, TRUE))</f>
        <v>0.48529411764705882</v>
      </c>
      <c r="R613" s="800">
        <v>416208.39</v>
      </c>
      <c r="S613" s="800">
        <f t="shared" si="293"/>
        <v>19073.869999999995</v>
      </c>
      <c r="T613" s="800">
        <v>-38018</v>
      </c>
      <c r="U613" s="800">
        <f t="shared" si="294"/>
        <v>63300.260000000009</v>
      </c>
      <c r="V613" s="802">
        <f>STDEV(D$2:D613)*SQRT(252)</f>
        <v>0.14223860281970682</v>
      </c>
      <c r="W613" s="802">
        <f>STDEV(L$2:L613)*SQRT(252)</f>
        <v>0.28119620130080319</v>
      </c>
      <c r="X613" s="801">
        <f t="shared" si="288"/>
        <v>0.65385231411549516</v>
      </c>
      <c r="Y613" s="801">
        <f t="shared" si="287"/>
        <v>8.4046553890140388E-2</v>
      </c>
      <c r="Z613" s="807">
        <f t="shared" si="283"/>
        <v>-0.18099685949751287</v>
      </c>
    </row>
    <row r="614" spans="1:26" ht="20.100000000000001" customHeight="1" x14ac:dyDescent="0.2">
      <c r="A614" s="776">
        <f t="shared" si="295"/>
        <v>954</v>
      </c>
      <c r="B614" s="795">
        <v>43187</v>
      </c>
      <c r="C614" s="820">
        <v>2605</v>
      </c>
      <c r="D614" s="792">
        <f t="shared" si="291"/>
        <v>-2.9166124426820168E-3</v>
      </c>
      <c r="E614" s="819">
        <f t="shared" si="271"/>
        <v>0.23903654801088256</v>
      </c>
      <c r="F614" s="816">
        <v>6949.22</v>
      </c>
      <c r="G614" s="792">
        <f t="shared" si="292"/>
        <v>-8.5007419244378397E-3</v>
      </c>
      <c r="H614" s="797">
        <f t="shared" si="289"/>
        <v>0.36481332364436247</v>
      </c>
      <c r="I614" s="799">
        <v>434900.1</v>
      </c>
      <c r="J614" s="800">
        <v>410000</v>
      </c>
      <c r="K614" s="800">
        <f t="shared" si="290"/>
        <v>-382.1600000000326</v>
      </c>
      <c r="L614" s="792">
        <f t="shared" si="285"/>
        <v>-8.7795905121433755E-4</v>
      </c>
      <c r="M614" s="817">
        <f t="shared" si="272"/>
        <v>24900.099999999977</v>
      </c>
      <c r="N614" s="802">
        <f t="shared" si="280"/>
        <v>6.0731951219512137E-2</v>
      </c>
      <c r="O614" s="786">
        <f t="shared" si="296"/>
        <v>2.325193415401133E-2</v>
      </c>
      <c r="P614" s="817" t="b">
        <f t="shared" si="273"/>
        <v>1</v>
      </c>
      <c r="Q614" s="802">
        <f>COUNTIF(P$2:P614, TRUE)/(COUNTIF(P$2:P614,FALSE) + COUNTIF(P$2:P614, TRUE))</f>
        <v>0.48613376835236544</v>
      </c>
      <c r="R614" s="800">
        <v>423639.23</v>
      </c>
      <c r="S614" s="800">
        <f t="shared" si="293"/>
        <v>11260.869999999995</v>
      </c>
      <c r="T614" s="800">
        <v>-37568</v>
      </c>
      <c r="U614" s="800">
        <f t="shared" si="294"/>
        <v>62468.099999999977</v>
      </c>
      <c r="V614" s="802">
        <f>STDEV(D$2:D614)*SQRT(252)</f>
        <v>0.14213804976079963</v>
      </c>
      <c r="W614" s="802">
        <f>STDEV(L$2:L614)*SQRT(252)</f>
        <v>0.28096730052537355</v>
      </c>
      <c r="X614" s="801">
        <f t="shared" si="288"/>
        <v>0.64386646505164302</v>
      </c>
      <c r="Y614" s="801">
        <f t="shared" si="287"/>
        <v>8.2756726887908791E-2</v>
      </c>
      <c r="Z614" s="807">
        <f t="shared" si="283"/>
        <v>-0.17830459679137042</v>
      </c>
    </row>
    <row r="615" spans="1:26" ht="20.100000000000001" customHeight="1" x14ac:dyDescent="0.2">
      <c r="A615" s="776">
        <f t="shared" si="295"/>
        <v>955</v>
      </c>
      <c r="B615" s="795">
        <v>43188</v>
      </c>
      <c r="C615" s="820">
        <v>2640.87</v>
      </c>
      <c r="D615" s="792">
        <f t="shared" si="291"/>
        <v>1.3769673704414545E-2</v>
      </c>
      <c r="E615" s="819">
        <f t="shared" si="271"/>
        <v>0.2560976769848366</v>
      </c>
      <c r="F615" s="816">
        <v>7063.44</v>
      </c>
      <c r="G615" s="792">
        <f t="shared" si="292"/>
        <v>1.6436377032242374E-2</v>
      </c>
      <c r="H615" s="797">
        <f t="shared" si="289"/>
        <v>0.38724591001040909</v>
      </c>
      <c r="I615" s="823">
        <v>442598.74</v>
      </c>
      <c r="J615" s="800">
        <v>410000</v>
      </c>
      <c r="K615" s="800">
        <f t="shared" si="290"/>
        <v>7698.640000000014</v>
      </c>
      <c r="L615" s="792">
        <f t="shared" si="285"/>
        <v>1.770208836466125E-2</v>
      </c>
      <c r="M615" s="823">
        <f t="shared" si="272"/>
        <v>32598.739999999991</v>
      </c>
      <c r="N615" s="802">
        <f t="shared" si="280"/>
        <v>7.9509121951219494E-2</v>
      </c>
      <c r="O615" s="786">
        <f t="shared" si="296"/>
        <v>3.0409117060400961E-2</v>
      </c>
      <c r="P615" s="817" t="b">
        <f t="shared" si="273"/>
        <v>1</v>
      </c>
      <c r="Q615" s="802">
        <f>COUNTIF(P$2:P615, TRUE)/(COUNTIF(P$2:P615,FALSE) + COUNTIF(P$2:P615, TRUE))</f>
        <v>0.48697068403908794</v>
      </c>
      <c r="R615" s="800">
        <v>415205.93</v>
      </c>
      <c r="S615" s="800">
        <f t="shared" si="293"/>
        <v>27392.809999999998</v>
      </c>
      <c r="T615" s="800">
        <v>-36608</v>
      </c>
      <c r="U615" s="800">
        <f t="shared" si="294"/>
        <v>69206.739999999991</v>
      </c>
      <c r="V615" s="802">
        <f>STDEV(D$2:D615)*SQRT(252)</f>
        <v>0.1422807158227519</v>
      </c>
      <c r="W615" s="802">
        <f>STDEV(L$2:L615)*SQRT(252)</f>
        <v>0.28095538225453753</v>
      </c>
      <c r="X615" s="801">
        <f t="shared" si="288"/>
        <v>0.68840885912616945</v>
      </c>
      <c r="Y615" s="801">
        <f t="shared" si="287"/>
        <v>0.10823468415654401</v>
      </c>
      <c r="Z615" s="807">
        <f t="shared" si="283"/>
        <v>-0.17658855503361709</v>
      </c>
    </row>
    <row r="616" spans="1:26" ht="20.100000000000001" customHeight="1" x14ac:dyDescent="0.2">
      <c r="A616" s="776">
        <f t="shared" si="295"/>
        <v>959</v>
      </c>
      <c r="B616" s="795">
        <v>43192</v>
      </c>
      <c r="C616" s="820">
        <v>2581.88</v>
      </c>
      <c r="D616" s="792">
        <f t="shared" si="291"/>
        <v>-2.2337335802216612E-2</v>
      </c>
      <c r="E616" s="819">
        <f t="shared" si="271"/>
        <v>0.22803980137364208</v>
      </c>
      <c r="F616" s="816">
        <v>6870.11</v>
      </c>
      <c r="G616" s="792">
        <f t="shared" si="292"/>
        <v>-2.737051634897443E-2</v>
      </c>
      <c r="H616" s="797">
        <f t="shared" si="289"/>
        <v>0.34927627315042126</v>
      </c>
      <c r="I616" s="799">
        <v>431276</v>
      </c>
      <c r="J616" s="800">
        <v>410000</v>
      </c>
      <c r="K616" s="800">
        <f t="shared" si="290"/>
        <v>-11322.739999999991</v>
      </c>
      <c r="L616" s="792">
        <f t="shared" si="285"/>
        <v>-2.558240450481172E-2</v>
      </c>
      <c r="M616" s="817">
        <f t="shared" si="272"/>
        <v>21276</v>
      </c>
      <c r="N616" s="802">
        <f t="shared" si="280"/>
        <v>5.1892682926829269E-2</v>
      </c>
      <c r="O616" s="786">
        <f t="shared" si="296"/>
        <v>1.9764131844655256E-2</v>
      </c>
      <c r="P616" s="817" t="b">
        <f t="shared" si="273"/>
        <v>0</v>
      </c>
      <c r="Q616" s="802">
        <f>COUNTIF(P$2:P616, TRUE)/(COUNTIF(P$2:P616,FALSE) + COUNTIF(P$2:P616, TRUE))</f>
        <v>0.48617886178861791</v>
      </c>
      <c r="R616" s="800"/>
      <c r="S616" s="800"/>
      <c r="T616" s="800"/>
      <c r="U616" s="800"/>
      <c r="V616" s="802">
        <f>STDEV(D$2:D616)*SQRT(252)</f>
        <v>0.14290971909934441</v>
      </c>
      <c r="W616" s="802">
        <f>STDEV(L$2:L616)*SQRT(252)</f>
        <v>0.28122231314673968</v>
      </c>
      <c r="X616" s="801">
        <f t="shared" si="288"/>
        <v>0.60774375647435264</v>
      </c>
      <c r="Y616" s="801">
        <f t="shared" si="287"/>
        <v>7.0279387234619906E-2</v>
      </c>
      <c r="Z616" s="807">
        <f t="shared" si="283"/>
        <v>-0.1761471184468128</v>
      </c>
    </row>
    <row r="617" spans="1:26" ht="20.100000000000001" customHeight="1" x14ac:dyDescent="0.2">
      <c r="A617" s="776">
        <f t="shared" si="295"/>
        <v>960</v>
      </c>
      <c r="B617" s="795">
        <v>43193</v>
      </c>
      <c r="C617" s="820">
        <v>2614.4499999999998</v>
      </c>
      <c r="D617" s="792">
        <f t="shared" si="291"/>
        <v>1.2614838799634261E-2</v>
      </c>
      <c r="E617" s="819">
        <f t="shared" si="271"/>
        <v>0.24353132550750545</v>
      </c>
      <c r="F617" s="816">
        <v>6941.28</v>
      </c>
      <c r="G617" s="792">
        <f t="shared" si="292"/>
        <v>1.0359368336169301E-2</v>
      </c>
      <c r="H617" s="797">
        <f t="shared" si="289"/>
        <v>0.36325392305124027</v>
      </c>
      <c r="I617" s="799">
        <v>437107.28</v>
      </c>
      <c r="J617" s="800">
        <v>410000</v>
      </c>
      <c r="K617" s="800">
        <f t="shared" si="290"/>
        <v>5831.2800000000279</v>
      </c>
      <c r="L617" s="792">
        <f t="shared" si="285"/>
        <v>1.3520993516912669E-2</v>
      </c>
      <c r="M617" s="817">
        <f t="shared" si="272"/>
        <v>27107.280000000028</v>
      </c>
      <c r="N617" s="802">
        <f t="shared" si="280"/>
        <v>6.6115317073170796E-2</v>
      </c>
      <c r="O617" s="786">
        <f t="shared" si="296"/>
        <v>2.5154812042682953E-2</v>
      </c>
      <c r="P617" s="817" t="b">
        <f t="shared" si="273"/>
        <v>1</v>
      </c>
      <c r="Q617" s="802">
        <f>COUNTIF(P$2:P617, TRUE)/(COUNTIF(P$2:P617,FALSE) + COUNTIF(P$2:P617, TRUE))</f>
        <v>0.48701298701298701</v>
      </c>
      <c r="R617" s="800">
        <v>418088.69</v>
      </c>
      <c r="S617" s="800">
        <f t="shared" ref="S617:S648" si="297">I617-R617</f>
        <v>19018.590000000026</v>
      </c>
      <c r="T617" s="800">
        <v>-37594</v>
      </c>
      <c r="U617" s="800">
        <f t="shared" ref="U617:U662" si="298">M617-T617</f>
        <v>64701.280000000028</v>
      </c>
      <c r="V617" s="802">
        <f>STDEV(D$2:D617)*SQRT(252)</f>
        <v>0.14300808205246943</v>
      </c>
      <c r="W617" s="802">
        <f>STDEV(L$2:L617)*SQRT(252)</f>
        <v>0.28111794508373883</v>
      </c>
      <c r="X617" s="801">
        <f t="shared" si="288"/>
        <v>0.64790785018491726</v>
      </c>
      <c r="Y617" s="801">
        <f t="shared" si="287"/>
        <v>8.9481345757524977E-2</v>
      </c>
      <c r="Z617" s="807">
        <f t="shared" si="283"/>
        <v>-0.17741600843433464</v>
      </c>
    </row>
    <row r="618" spans="1:26" ht="20.100000000000001" customHeight="1" x14ac:dyDescent="0.2">
      <c r="A618" s="776">
        <f t="shared" si="295"/>
        <v>961</v>
      </c>
      <c r="B618" s="795">
        <v>43194</v>
      </c>
      <c r="C618" s="820">
        <v>2644.69</v>
      </c>
      <c r="D618" s="792">
        <f t="shared" si="291"/>
        <v>1.1566486259060314E-2</v>
      </c>
      <c r="E618" s="819">
        <f t="shared" ref="E618:E685" si="299">(C618-$C$2)/$C$2</f>
        <v>0.25791461349669909</v>
      </c>
      <c r="F618" s="816">
        <v>7042.1</v>
      </c>
      <c r="G618" s="792">
        <f t="shared" si="292"/>
        <v>1.452469861466482E-2</v>
      </c>
      <c r="H618" s="797">
        <f t="shared" si="289"/>
        <v>0.38305477541881899</v>
      </c>
      <c r="I618" s="799">
        <v>442334.44</v>
      </c>
      <c r="J618" s="800">
        <v>410000</v>
      </c>
      <c r="K618" s="800">
        <f t="shared" si="290"/>
        <v>5227.1599999999744</v>
      </c>
      <c r="L618" s="792">
        <f t="shared" si="285"/>
        <v>1.1958528807847753E-2</v>
      </c>
      <c r="M618" s="817">
        <f t="shared" ref="M618:M685" si="300">I618-J618</f>
        <v>32334.440000000002</v>
      </c>
      <c r="N618" s="802">
        <f t="shared" ref="N618:N623" si="301">M618/J618</f>
        <v>7.886448780487805E-2</v>
      </c>
      <c r="O618" s="786">
        <f t="shared" si="296"/>
        <v>2.9974249917514788E-2</v>
      </c>
      <c r="P618" s="817" t="b">
        <f t="shared" ref="P618:P685" si="302">L618&gt;D618</f>
        <v>1</v>
      </c>
      <c r="Q618" s="802">
        <f>COUNTIF(P$2:P618, TRUE)/(COUNTIF(P$2:P618,FALSE) + COUNTIF(P$2:P618, TRUE))</f>
        <v>0.4878444084278768</v>
      </c>
      <c r="R618" s="800">
        <v>400282.39</v>
      </c>
      <c r="S618" s="800">
        <f t="shared" si="297"/>
        <v>42052.049999999988</v>
      </c>
      <c r="T618" s="800">
        <v>-36222</v>
      </c>
      <c r="U618" s="800">
        <f t="shared" si="298"/>
        <v>68556.44</v>
      </c>
      <c r="V618" s="802">
        <f>STDEV(D$2:D618)*SQRT(252)</f>
        <v>0.14307030762480688</v>
      </c>
      <c r="W618" s="802">
        <f>STDEV(L$2:L618)*SQRT(252)</f>
        <v>0.28098554360281597</v>
      </c>
      <c r="X618" s="801">
        <f t="shared" si="288"/>
        <v>0.68516201202440108</v>
      </c>
      <c r="Y618" s="801">
        <f t="shared" si="287"/>
        <v>0.10667541658258604</v>
      </c>
      <c r="Z618" s="807">
        <f t="shared" ref="Z618:Z623" si="303">-(E618-N618)</f>
        <v>-0.17905012569182105</v>
      </c>
    </row>
    <row r="619" spans="1:26" ht="20.100000000000001" customHeight="1" x14ac:dyDescent="0.2">
      <c r="A619" s="776">
        <f t="shared" si="295"/>
        <v>962</v>
      </c>
      <c r="B619" s="795">
        <v>43195</v>
      </c>
      <c r="C619" s="820">
        <v>2662.84</v>
      </c>
      <c r="D619" s="792">
        <f t="shared" si="291"/>
        <v>6.8628081173975368E-3</v>
      </c>
      <c r="E619" s="819">
        <f t="shared" si="299"/>
        <v>0.26654744011719722</v>
      </c>
      <c r="F619" s="816">
        <v>7076.55</v>
      </c>
      <c r="G619" s="792">
        <f t="shared" si="292"/>
        <v>4.8920066457448508E-3</v>
      </c>
      <c r="H619" s="797">
        <f t="shared" si="289"/>
        <v>0.38982068857159702</v>
      </c>
      <c r="I619" s="799">
        <v>448428.71</v>
      </c>
      <c r="J619" s="800">
        <v>410000</v>
      </c>
      <c r="K619" s="800">
        <f t="shared" si="290"/>
        <v>6094.2700000000186</v>
      </c>
      <c r="L619" s="792">
        <f t="shared" si="285"/>
        <v>1.3777516396869343E-2</v>
      </c>
      <c r="M619" s="817">
        <f t="shared" si="300"/>
        <v>38428.710000000021</v>
      </c>
      <c r="N619" s="802">
        <f t="shared" si="301"/>
        <v>9.3728560975609804E-2</v>
      </c>
      <c r="O619" s="786">
        <f t="shared" si="296"/>
        <v>3.5586649580396555E-2</v>
      </c>
      <c r="P619" s="817" t="b">
        <f t="shared" si="302"/>
        <v>1</v>
      </c>
      <c r="Q619" s="802">
        <f>COUNTIF(P$2:P619, TRUE)/(COUNTIF(P$2:P619,FALSE) + COUNTIF(P$2:P619, TRUE))</f>
        <v>0.48867313915857608</v>
      </c>
      <c r="R619" s="800">
        <v>387887.09</v>
      </c>
      <c r="S619" s="800">
        <f t="shared" si="297"/>
        <v>60541.619999999995</v>
      </c>
      <c r="T619" s="800">
        <v>-36897</v>
      </c>
      <c r="U619" s="800">
        <f t="shared" si="298"/>
        <v>75325.710000000021</v>
      </c>
      <c r="V619" s="802">
        <f>STDEV(D$2:D619)*SQRT(252)</f>
        <v>0.14301354420635809</v>
      </c>
      <c r="W619" s="802">
        <f>STDEV(L$2:L619)*SQRT(252)</f>
        <v>0.28088596589043324</v>
      </c>
      <c r="X619" s="801">
        <f t="shared" si="288"/>
        <v>0.70764020387309212</v>
      </c>
      <c r="Y619" s="801">
        <f t="shared" si="287"/>
        <v>0.1266942955572157</v>
      </c>
      <c r="Z619" s="807">
        <f t="shared" si="303"/>
        <v>-0.17281887914158742</v>
      </c>
    </row>
    <row r="620" spans="1:26" ht="20.100000000000001" customHeight="1" x14ac:dyDescent="0.2">
      <c r="A620" s="776">
        <f t="shared" si="295"/>
        <v>963</v>
      </c>
      <c r="B620" s="795">
        <v>43196</v>
      </c>
      <c r="C620" s="820">
        <v>2604.4699999999998</v>
      </c>
      <c r="D620" s="792">
        <f t="shared" si="291"/>
        <v>-2.1920205494885287E-2</v>
      </c>
      <c r="E620" s="819">
        <f t="shared" si="299"/>
        <v>0.23878445996080733</v>
      </c>
      <c r="F620" s="816">
        <v>6915.11</v>
      </c>
      <c r="G620" s="792">
        <f t="shared" si="292"/>
        <v>-2.2813376574743412E-2</v>
      </c>
      <c r="H620" s="797">
        <f t="shared" si="289"/>
        <v>0.35811418583184396</v>
      </c>
      <c r="I620" s="799">
        <v>452280.76</v>
      </c>
      <c r="J620" s="800">
        <v>420000</v>
      </c>
      <c r="K620" s="800">
        <f t="shared" si="290"/>
        <v>-6147.9500000000116</v>
      </c>
      <c r="L620" s="792">
        <f t="shared" si="285"/>
        <v>-1.3709983020489503E-2</v>
      </c>
      <c r="M620" s="817">
        <f t="shared" si="300"/>
        <v>32280.760000000009</v>
      </c>
      <c r="N620" s="802">
        <f t="shared" si="301"/>
        <v>7.6858952380952403E-2</v>
      </c>
      <c r="O620" s="786">
        <f t="shared" si="296"/>
        <v>2.9151331627354997E-2</v>
      </c>
      <c r="P620" s="817" t="b">
        <f t="shared" si="302"/>
        <v>1</v>
      </c>
      <c r="Q620" s="802">
        <f>COUNTIF(P$2:P620, TRUE)/(COUNTIF(P$2:P620,FALSE) + COUNTIF(P$2:P620, TRUE))</f>
        <v>0.48949919224555732</v>
      </c>
      <c r="R620" s="800">
        <v>405076.57</v>
      </c>
      <c r="S620" s="800">
        <f t="shared" si="297"/>
        <v>47204.19</v>
      </c>
      <c r="T620" s="800">
        <v>-36997</v>
      </c>
      <c r="U620" s="800">
        <f t="shared" si="298"/>
        <v>69277.760000000009</v>
      </c>
      <c r="V620" s="802">
        <f>STDEV(D$2:D620)*SQRT(252)</f>
        <v>0.14360814849494091</v>
      </c>
      <c r="W620" s="802">
        <f>STDEV(L$2:L620)*SQRT(252)</f>
        <v>0.28080493083804442</v>
      </c>
      <c r="X620" s="801">
        <f t="shared" si="288"/>
        <v>0.63065365068171264</v>
      </c>
      <c r="Y620" s="801">
        <f t="shared" si="287"/>
        <v>0.10381346061251384</v>
      </c>
      <c r="Z620" s="807">
        <f t="shared" si="303"/>
        <v>-0.16192550757985491</v>
      </c>
    </row>
    <row r="621" spans="1:26" ht="20.100000000000001" customHeight="1" x14ac:dyDescent="0.2">
      <c r="A621" s="776">
        <f t="shared" si="295"/>
        <v>966</v>
      </c>
      <c r="B621" s="795">
        <v>43199</v>
      </c>
      <c r="C621" s="820">
        <v>2613.16</v>
      </c>
      <c r="D621" s="792">
        <f t="shared" si="291"/>
        <v>3.3365713561684545E-3</v>
      </c>
      <c r="E621" s="819">
        <f t="shared" si="299"/>
        <v>0.24291775270637916</v>
      </c>
      <c r="F621" s="816">
        <v>6950.34</v>
      </c>
      <c r="G621" s="792">
        <f t="shared" si="292"/>
        <v>5.0946405769395535E-3</v>
      </c>
      <c r="H621" s="797">
        <f t="shared" si="289"/>
        <v>0.36503328947110009</v>
      </c>
      <c r="I621" s="799">
        <v>451911.76</v>
      </c>
      <c r="J621" s="800">
        <v>420000</v>
      </c>
      <c r="K621" s="800">
        <f t="shared" si="290"/>
        <v>-369</v>
      </c>
      <c r="L621" s="792">
        <f t="shared" si="285"/>
        <v>-8.1586490656821212E-4</v>
      </c>
      <c r="M621" s="817">
        <f t="shared" si="300"/>
        <v>31911.760000000009</v>
      </c>
      <c r="N621" s="802">
        <f t="shared" si="301"/>
        <v>7.598038095238098E-2</v>
      </c>
      <c r="O621" s="786">
        <f t="shared" si="296"/>
        <v>2.8728606773144049E-2</v>
      </c>
      <c r="P621" s="817" t="b">
        <f t="shared" si="302"/>
        <v>0</v>
      </c>
      <c r="Q621" s="802">
        <f>COUNTIF(P$2:P621, TRUE)/(COUNTIF(P$2:P621,FALSE) + COUNTIF(P$2:P621, TRUE))</f>
        <v>0.48870967741935484</v>
      </c>
      <c r="R621" s="800">
        <v>397094.35</v>
      </c>
      <c r="S621" s="800">
        <f t="shared" si="297"/>
        <v>54817.410000000033</v>
      </c>
      <c r="T621" s="800"/>
      <c r="U621" s="800">
        <f t="shared" si="298"/>
        <v>31911.760000000009</v>
      </c>
      <c r="V621" s="802">
        <f>STDEV(D$2:D621)*SQRT(252)</f>
        <v>0.14350425117553484</v>
      </c>
      <c r="W621" s="802">
        <f>STDEV(L$2:L621)*SQRT(252)</f>
        <v>0.28057886587067182</v>
      </c>
      <c r="X621" s="801">
        <f t="shared" si="288"/>
        <v>0.64004069197405311</v>
      </c>
      <c r="Y621" s="801">
        <f t="shared" si="287"/>
        <v>0.10239048719509054</v>
      </c>
      <c r="Z621" s="807">
        <f t="shared" si="303"/>
        <v>-0.1669373717539982</v>
      </c>
    </row>
    <row r="622" spans="1:26" ht="20.100000000000001" customHeight="1" x14ac:dyDescent="0.2">
      <c r="A622" s="776">
        <f t="shared" si="295"/>
        <v>967</v>
      </c>
      <c r="B622" s="795">
        <v>43200</v>
      </c>
      <c r="C622" s="820">
        <v>2656.87</v>
      </c>
      <c r="D622" s="792">
        <f t="shared" si="291"/>
        <v>1.6726874741692065E-2</v>
      </c>
      <c r="E622" s="819">
        <f t="shared" si="299"/>
        <v>0.26370788227012415</v>
      </c>
      <c r="F622" s="816">
        <v>7094.3</v>
      </c>
      <c r="G622" s="792">
        <f t="shared" si="292"/>
        <v>2.0712655783745836E-2</v>
      </c>
      <c r="H622" s="797">
        <f t="shared" si="289"/>
        <v>0.3933067541292693</v>
      </c>
      <c r="I622" s="799">
        <v>439634.82</v>
      </c>
      <c r="J622" s="800">
        <v>400000</v>
      </c>
      <c r="K622" s="800">
        <f t="shared" si="290"/>
        <v>7723.0599999999977</v>
      </c>
      <c r="L622" s="792">
        <f t="shared" ref="L622:L629" si="304">K622/I621</f>
        <v>1.7089752211803467E-2</v>
      </c>
      <c r="M622" s="817">
        <f t="shared" si="300"/>
        <v>39634.820000000007</v>
      </c>
      <c r="N622" s="802">
        <f t="shared" si="301"/>
        <v>9.9087050000000024E-2</v>
      </c>
      <c r="O622" s="786">
        <f t="shared" si="296"/>
        <v>3.7426623591003107E-2</v>
      </c>
      <c r="P622" s="817" t="b">
        <f t="shared" si="302"/>
        <v>1</v>
      </c>
      <c r="Q622" s="802">
        <f>COUNTIF(P$2:P622, TRUE)/(COUNTIF(P$2:P622,FALSE) + COUNTIF(P$2:P622, TRUE))</f>
        <v>0.48953301127214172</v>
      </c>
      <c r="R622" s="800">
        <v>379508.19</v>
      </c>
      <c r="S622" s="800">
        <f t="shared" si="297"/>
        <v>60126.630000000005</v>
      </c>
      <c r="T622" s="800">
        <v>-37772</v>
      </c>
      <c r="U622" s="800">
        <f t="shared" si="298"/>
        <v>77406.820000000007</v>
      </c>
      <c r="V622" s="802">
        <f>STDEV(D$2:D622)*SQRT(252)</f>
        <v>0.14376596078910708</v>
      </c>
      <c r="W622" s="802">
        <f>STDEV(L$2:L622)*SQRT(252)</f>
        <v>0.28055213722502925</v>
      </c>
      <c r="X622" s="801">
        <f t="shared" si="288"/>
        <v>0.69283655017163581</v>
      </c>
      <c r="Y622" s="801">
        <f t="shared" si="287"/>
        <v>0.13340345206845966</v>
      </c>
      <c r="Z622" s="807">
        <f t="shared" si="303"/>
        <v>-0.16462083227012414</v>
      </c>
    </row>
    <row r="623" spans="1:26" ht="20.100000000000001" customHeight="1" x14ac:dyDescent="0.2">
      <c r="A623" s="776">
        <f t="shared" si="295"/>
        <v>968</v>
      </c>
      <c r="B623" s="795">
        <v>43201</v>
      </c>
      <c r="C623" s="820">
        <v>2642.19</v>
      </c>
      <c r="D623" s="792">
        <f t="shared" si="291"/>
        <v>-5.5252985656053313E-3</v>
      </c>
      <c r="E623" s="819">
        <f t="shared" si="299"/>
        <v>0.25672551892087286</v>
      </c>
      <c r="F623" s="816">
        <v>7069.02</v>
      </c>
      <c r="G623" s="792">
        <f t="shared" si="292"/>
        <v>-3.56342415742212E-3</v>
      </c>
      <c r="H623" s="797">
        <f t="shared" si="289"/>
        <v>0.38834181118290567</v>
      </c>
      <c r="I623" s="799">
        <v>440157.4</v>
      </c>
      <c r="J623" s="800">
        <v>400000</v>
      </c>
      <c r="K623" s="800">
        <f t="shared" si="290"/>
        <v>522.5800000000163</v>
      </c>
      <c r="L623" s="792">
        <f t="shared" si="304"/>
        <v>1.1886683588893535E-3</v>
      </c>
      <c r="M623" s="817">
        <f t="shared" si="300"/>
        <v>40157.400000000023</v>
      </c>
      <c r="N623" s="802">
        <f t="shared" si="301"/>
        <v>0.10039350000000005</v>
      </c>
      <c r="O623" s="786">
        <f t="shared" si="296"/>
        <v>3.7880915160123985E-2</v>
      </c>
      <c r="P623" s="817" t="b">
        <f t="shared" si="302"/>
        <v>1</v>
      </c>
      <c r="Q623" s="802">
        <f>COUNTIF(P$2:P623, TRUE)/(COUNTIF(P$2:P623,FALSE) + COUNTIF(P$2:P623, TRUE))</f>
        <v>0.49035369774919613</v>
      </c>
      <c r="R623" s="800">
        <v>380030.77</v>
      </c>
      <c r="S623" s="800">
        <f t="shared" si="297"/>
        <v>60126.630000000005</v>
      </c>
      <c r="T623" s="800">
        <v>-37722</v>
      </c>
      <c r="U623" s="800">
        <f t="shared" si="298"/>
        <v>77879.400000000023</v>
      </c>
      <c r="V623" s="802">
        <f>STDEV(D$2:D623)*SQRT(252)</f>
        <v>0.14369986563516796</v>
      </c>
      <c r="W623" s="802">
        <f>STDEV(L$2:L623)*SQRT(252)</f>
        <v>0.28032613427425968</v>
      </c>
      <c r="X623" s="801">
        <f t="shared" si="288"/>
        <v>0.67410499565368898</v>
      </c>
      <c r="Y623" s="801">
        <f t="shared" si="287"/>
        <v>0.13513158613696302</v>
      </c>
      <c r="Z623" s="807">
        <f t="shared" si="303"/>
        <v>-0.15633201892087281</v>
      </c>
    </row>
    <row r="624" spans="1:26" ht="20.100000000000001" customHeight="1" x14ac:dyDescent="0.2">
      <c r="A624" s="776">
        <f t="shared" si="295"/>
        <v>969</v>
      </c>
      <c r="B624" s="795">
        <v>43202</v>
      </c>
      <c r="C624" s="820">
        <v>2663.99</v>
      </c>
      <c r="D624" s="792">
        <f t="shared" si="291"/>
        <v>8.2507314008454079E-3</v>
      </c>
      <c r="E624" s="819">
        <f t="shared" si="299"/>
        <v>0.26709442362207708</v>
      </c>
      <c r="F624" s="816">
        <v>7140.24</v>
      </c>
      <c r="G624" s="792">
        <f t="shared" si="292"/>
        <v>1.0074946739434792E-2</v>
      </c>
      <c r="H624" s="797">
        <f t="shared" si="289"/>
        <v>0.40232928098670384</v>
      </c>
      <c r="I624" s="799">
        <v>442188.11</v>
      </c>
      <c r="J624" s="800">
        <v>400000</v>
      </c>
      <c r="K624" s="800">
        <f t="shared" si="290"/>
        <v>2030.7099999999627</v>
      </c>
      <c r="L624" s="792">
        <f t="shared" si="304"/>
        <v>4.6135995896012709E-3</v>
      </c>
      <c r="M624" s="817">
        <f t="shared" si="300"/>
        <v>42188.109999999986</v>
      </c>
      <c r="N624" s="802">
        <f t="shared" ref="N624:N655" si="305">M624/J624</f>
        <v>0.10547027499999996</v>
      </c>
      <c r="O624" s="786">
        <f t="shared" si="296"/>
        <v>3.9755436474458186E-2</v>
      </c>
      <c r="P624" s="817" t="b">
        <f t="shared" si="302"/>
        <v>0</v>
      </c>
      <c r="Q624" s="802">
        <f>COUNTIF(P$2:P624, TRUE)/(COUNTIF(P$2:P624,FALSE) + COUNTIF(P$2:P624, TRUE))</f>
        <v>0.4895666131621188</v>
      </c>
      <c r="R624" s="800">
        <v>378301.55</v>
      </c>
      <c r="S624" s="800">
        <f t="shared" si="297"/>
        <v>63886.559999999998</v>
      </c>
      <c r="T624" s="800">
        <v>-37422</v>
      </c>
      <c r="U624" s="800">
        <f t="shared" si="298"/>
        <v>79610.109999999986</v>
      </c>
      <c r="V624" s="802">
        <f>STDEV(D$2:D624)*SQRT(252)</f>
        <v>0.14367084903913591</v>
      </c>
      <c r="W624" s="802">
        <f>STDEV(L$2:L624)*SQRT(252)</f>
        <v>0.28011254999585899</v>
      </c>
      <c r="X624" s="801">
        <f t="shared" si="288"/>
        <v>0.70074919934505686</v>
      </c>
      <c r="Y624" s="801">
        <f t="shared" si="287"/>
        <v>0.14192665225119655</v>
      </c>
      <c r="Z624" s="807">
        <f t="shared" ref="Z624:Z655" si="306">-(E624-N624)</f>
        <v>-0.16162414862207714</v>
      </c>
    </row>
    <row r="625" spans="1:26" ht="20.100000000000001" customHeight="1" x14ac:dyDescent="0.2">
      <c r="A625" s="776">
        <f t="shared" si="295"/>
        <v>970</v>
      </c>
      <c r="B625" s="795">
        <v>43203</v>
      </c>
      <c r="C625" s="820">
        <v>2656.3</v>
      </c>
      <c r="D625" s="792">
        <f t="shared" si="291"/>
        <v>-2.8866474724002721E-3</v>
      </c>
      <c r="E625" s="819">
        <f t="shared" si="299"/>
        <v>0.26343676870683591</v>
      </c>
      <c r="F625" s="816">
        <v>7106.65</v>
      </c>
      <c r="G625" s="792">
        <f t="shared" si="292"/>
        <v>-4.70432366419058E-3</v>
      </c>
      <c r="H625" s="797">
        <f t="shared" si="289"/>
        <v>0.39573227016517076</v>
      </c>
      <c r="I625" s="799">
        <v>443860.83</v>
      </c>
      <c r="J625" s="800">
        <v>400000</v>
      </c>
      <c r="K625" s="800">
        <f t="shared" si="290"/>
        <v>1672.7200000000303</v>
      </c>
      <c r="L625" s="792">
        <f t="shared" si="304"/>
        <v>3.7828244635524696E-3</v>
      </c>
      <c r="M625" s="817">
        <f t="shared" si="300"/>
        <v>43860.830000000016</v>
      </c>
      <c r="N625" s="802">
        <f t="shared" si="305"/>
        <v>0.10965207500000004</v>
      </c>
      <c r="O625" s="786">
        <f t="shared" si="296"/>
        <v>4.1289093189433003E-2</v>
      </c>
      <c r="P625" s="817" t="b">
        <f t="shared" si="302"/>
        <v>1</v>
      </c>
      <c r="Q625" s="802">
        <f>COUNTIF(P$2:P625, TRUE)/(COUNTIF(P$2:P625,FALSE) + COUNTIF(P$2:P625, TRUE))</f>
        <v>0.49038461538461536</v>
      </c>
      <c r="R625" s="800">
        <v>379974.29</v>
      </c>
      <c r="S625" s="800">
        <f t="shared" si="297"/>
        <v>63886.540000000037</v>
      </c>
      <c r="T625" s="800">
        <v>-37097</v>
      </c>
      <c r="U625" s="800">
        <f t="shared" si="298"/>
        <v>80957.830000000016</v>
      </c>
      <c r="V625" s="802">
        <f>STDEV(D$2:D625)*SQRT(252)</f>
        <v>0.14357072949050406</v>
      </c>
      <c r="W625" s="802">
        <f>STDEV(L$2:L625)*SQRT(252)</f>
        <v>0.27989502416613538</v>
      </c>
      <c r="X625" s="801">
        <f t="shared" si="288"/>
        <v>0.690921924430831</v>
      </c>
      <c r="Y625" s="801">
        <f t="shared" si="287"/>
        <v>0.14751635300570873</v>
      </c>
      <c r="Z625" s="807">
        <f t="shared" si="306"/>
        <v>-0.15378469370683587</v>
      </c>
    </row>
    <row r="626" spans="1:26" ht="20.100000000000001" customHeight="1" x14ac:dyDescent="0.2">
      <c r="A626" s="776">
        <f t="shared" si="295"/>
        <v>973</v>
      </c>
      <c r="B626" s="795">
        <v>43206</v>
      </c>
      <c r="C626" s="820">
        <v>2677.84</v>
      </c>
      <c r="D626" s="792">
        <f t="shared" si="291"/>
        <v>8.1090238301396531E-3</v>
      </c>
      <c r="E626" s="819">
        <f t="shared" si="299"/>
        <v>0.27368200757215427</v>
      </c>
      <c r="F626" s="816">
        <v>7156.28</v>
      </c>
      <c r="G626" s="792">
        <f t="shared" si="292"/>
        <v>6.9835998677295367E-3</v>
      </c>
      <c r="H626" s="797">
        <f t="shared" si="289"/>
        <v>0.4054795058624821</v>
      </c>
      <c r="I626" s="799">
        <v>447856.68</v>
      </c>
      <c r="J626" s="800">
        <v>400000</v>
      </c>
      <c r="K626" s="800">
        <f t="shared" si="290"/>
        <v>3995.8499999999767</v>
      </c>
      <c r="L626" s="792">
        <f t="shared" si="304"/>
        <v>9.0024839542610161E-3</v>
      </c>
      <c r="M626" s="817">
        <f t="shared" si="300"/>
        <v>47856.679999999993</v>
      </c>
      <c r="N626" s="802">
        <f t="shared" si="305"/>
        <v>0.11964169999999998</v>
      </c>
      <c r="O626" s="786">
        <f t="shared" si="296"/>
        <v>4.4911748124357651E-2</v>
      </c>
      <c r="P626" s="817" t="b">
        <f t="shared" si="302"/>
        <v>1</v>
      </c>
      <c r="Q626" s="802">
        <f>COUNTIF(P$2:P626, TRUE)/(COUNTIF(P$2:P626,FALSE) + COUNTIF(P$2:P626, TRUE))</f>
        <v>0.49120000000000003</v>
      </c>
      <c r="R626" s="800">
        <v>377596.34</v>
      </c>
      <c r="S626" s="800">
        <f t="shared" si="297"/>
        <v>70260.339999999967</v>
      </c>
      <c r="T626" s="800">
        <v>-35997</v>
      </c>
      <c r="U626" s="800">
        <f t="shared" si="298"/>
        <v>83853.679999999993</v>
      </c>
      <c r="V626" s="802">
        <f>STDEV(D$2:D626)*SQRT(252)</f>
        <v>0.14353873169966588</v>
      </c>
      <c r="W626" s="802">
        <f>STDEV(L$2:L626)*SQRT(252)</f>
        <v>0.27972229117666914</v>
      </c>
      <c r="X626" s="801">
        <f t="shared" si="288"/>
        <v>0.7157387438230991</v>
      </c>
      <c r="Y626" s="801">
        <f t="shared" si="287"/>
        <v>0.16055834497648935</v>
      </c>
      <c r="Z626" s="807">
        <f t="shared" si="306"/>
        <v>-0.15404030757215431</v>
      </c>
    </row>
    <row r="627" spans="1:26" ht="20.100000000000001" customHeight="1" x14ac:dyDescent="0.2">
      <c r="A627" s="776">
        <f t="shared" si="295"/>
        <v>974</v>
      </c>
      <c r="B627" s="795">
        <v>43207</v>
      </c>
      <c r="C627" s="820">
        <v>2706.39</v>
      </c>
      <c r="D627" s="792">
        <f t="shared" si="291"/>
        <v>1.0661577988229217E-2</v>
      </c>
      <c r="E627" s="819">
        <f t="shared" si="299"/>
        <v>0.28726146762808918</v>
      </c>
      <c r="F627" s="816">
        <v>7281.09</v>
      </c>
      <c r="G627" s="792">
        <f t="shared" si="292"/>
        <v>1.7440625576416853E-2</v>
      </c>
      <c r="H627" s="797">
        <f t="shared" si="289"/>
        <v>0.42999194767955701</v>
      </c>
      <c r="I627" s="799">
        <v>449537.42</v>
      </c>
      <c r="J627" s="800">
        <v>400000</v>
      </c>
      <c r="K627" s="800">
        <f t="shared" si="290"/>
        <v>1680.7399999999907</v>
      </c>
      <c r="L627" s="792">
        <f t="shared" si="304"/>
        <v>3.7528523633944474E-3</v>
      </c>
      <c r="M627" s="817">
        <f t="shared" si="300"/>
        <v>49537.419999999984</v>
      </c>
      <c r="N627" s="802">
        <f t="shared" si="305"/>
        <v>0.12384354999999996</v>
      </c>
      <c r="O627" s="786">
        <f t="shared" si="296"/>
        <v>4.6441331249999988E-2</v>
      </c>
      <c r="P627" s="817" t="b">
        <f t="shared" si="302"/>
        <v>0</v>
      </c>
      <c r="Q627" s="802">
        <f>COUNTIF(P$2:P627, TRUE)/(COUNTIF(P$2:P627,FALSE) + COUNTIF(P$2:P627, TRUE))</f>
        <v>0.49041533546325877</v>
      </c>
      <c r="R627" s="800">
        <v>379256.65</v>
      </c>
      <c r="S627" s="800">
        <f t="shared" si="297"/>
        <v>70280.76999999996</v>
      </c>
      <c r="T627" s="800">
        <v>-35847</v>
      </c>
      <c r="U627" s="800">
        <f t="shared" si="298"/>
        <v>85384.419999999984</v>
      </c>
      <c r="V627" s="802">
        <f>STDEV(D$2:D627)*SQRT(252)</f>
        <v>0.14357078410269888</v>
      </c>
      <c r="W627" s="802">
        <f>STDEV(L$2:L627)*SQRT(252)</f>
        <v>0.279505557722312</v>
      </c>
      <c r="X627" s="801">
        <f t="shared" si="288"/>
        <v>0.75031317153967148</v>
      </c>
      <c r="Y627" s="801">
        <f t="shared" si="287"/>
        <v>0.16615530520555633</v>
      </c>
      <c r="Z627" s="807">
        <f t="shared" si="306"/>
        <v>-0.16341791762808922</v>
      </c>
    </row>
    <row r="628" spans="1:26" ht="20.100000000000001" customHeight="1" x14ac:dyDescent="0.2">
      <c r="A628" s="776">
        <f t="shared" si="295"/>
        <v>975</v>
      </c>
      <c r="B628" s="795">
        <v>43208</v>
      </c>
      <c r="C628" s="820">
        <v>2708.64</v>
      </c>
      <c r="D628" s="792">
        <f t="shared" si="291"/>
        <v>8.3136576768314994E-4</v>
      </c>
      <c r="E628" s="819">
        <f t="shared" si="299"/>
        <v>0.28833165274633271</v>
      </c>
      <c r="F628" s="816">
        <v>7295.23</v>
      </c>
      <c r="G628" s="792">
        <f t="shared" si="292"/>
        <v>1.9420169232902515E-3</v>
      </c>
      <c r="H628" s="797">
        <f t="shared" si="289"/>
        <v>0.4327690162421195</v>
      </c>
      <c r="I628" s="799">
        <v>450989.65</v>
      </c>
      <c r="J628" s="800">
        <v>400000</v>
      </c>
      <c r="K628" s="800">
        <f t="shared" si="290"/>
        <v>1452.2300000000396</v>
      </c>
      <c r="L628" s="792">
        <f t="shared" si="304"/>
        <v>3.230498586747327E-3</v>
      </c>
      <c r="M628" s="817">
        <f t="shared" si="300"/>
        <v>50989.650000000023</v>
      </c>
      <c r="N628" s="802">
        <f t="shared" si="305"/>
        <v>0.12747412500000005</v>
      </c>
      <c r="O628" s="786">
        <f t="shared" si="296"/>
        <v>4.7753768365384634E-2</v>
      </c>
      <c r="P628" s="817" t="b">
        <f t="shared" si="302"/>
        <v>1</v>
      </c>
      <c r="Q628" s="802">
        <f>COUNTIF(P$2:P628, TRUE)/(COUNTIF(P$2:P628,FALSE) + COUNTIF(P$2:P628, TRUE))</f>
        <v>0.49122807017543857</v>
      </c>
      <c r="R628" s="800">
        <v>368369.17</v>
      </c>
      <c r="S628" s="800">
        <f t="shared" si="297"/>
        <v>82620.48000000004</v>
      </c>
      <c r="T628" s="800">
        <v>-34922</v>
      </c>
      <c r="U628" s="800">
        <f t="shared" si="298"/>
        <v>85911.650000000023</v>
      </c>
      <c r="V628" s="802">
        <f>STDEV(D$2:D628)*SQRT(252)</f>
        <v>0.14345609099216267</v>
      </c>
      <c r="W628" s="802">
        <f>STDEV(L$2:L628)*SQRT(252)</f>
        <v>0.27928710037433652</v>
      </c>
      <c r="X628" s="801">
        <f t="shared" si="288"/>
        <v>0.75293751728016878</v>
      </c>
      <c r="Y628" s="801">
        <f t="shared" si="287"/>
        <v>0.1709845112838326</v>
      </c>
      <c r="Z628" s="807">
        <f t="shared" si="306"/>
        <v>-0.16085752774633266</v>
      </c>
    </row>
    <row r="629" spans="1:26" ht="20.100000000000001" customHeight="1" x14ac:dyDescent="0.2">
      <c r="A629" s="776">
        <f t="shared" si="295"/>
        <v>976</v>
      </c>
      <c r="B629" s="795">
        <v>43209</v>
      </c>
      <c r="C629" s="820">
        <v>2693.13</v>
      </c>
      <c r="D629" s="792">
        <f t="shared" si="291"/>
        <v>-5.726120857699718E-3</v>
      </c>
      <c r="E629" s="819">
        <f t="shared" si="299"/>
        <v>0.28095450999790722</v>
      </c>
      <c r="F629" s="816">
        <v>7238.05</v>
      </c>
      <c r="G629" s="792">
        <f t="shared" si="292"/>
        <v>-7.8379982536533298E-3</v>
      </c>
      <c r="H629" s="797">
        <f t="shared" si="289"/>
        <v>0.42153897519492517</v>
      </c>
      <c r="I629" s="799">
        <v>446018.81</v>
      </c>
      <c r="J629" s="800">
        <v>400000</v>
      </c>
      <c r="K629" s="800">
        <f t="shared" si="290"/>
        <v>-4970.8400000000256</v>
      </c>
      <c r="L629" s="792">
        <f t="shared" si="304"/>
        <v>-1.1022071127352978E-2</v>
      </c>
      <c r="M629" s="817">
        <f t="shared" si="300"/>
        <v>46018.81</v>
      </c>
      <c r="N629" s="802">
        <f t="shared" si="305"/>
        <v>0.115047025</v>
      </c>
      <c r="O629" s="786">
        <f t="shared" si="296"/>
        <v>4.3054227337346311E-2</v>
      </c>
      <c r="P629" s="817" t="b">
        <f t="shared" si="302"/>
        <v>0</v>
      </c>
      <c r="Q629" s="802">
        <f>COUNTIF(P$2:P629, TRUE)/(COUNTIF(P$2:P629,FALSE) + COUNTIF(P$2:P629, TRUE))</f>
        <v>0.49044585987261147</v>
      </c>
      <c r="R629" s="800">
        <v>381521.33</v>
      </c>
      <c r="S629" s="800">
        <f t="shared" si="297"/>
        <v>64497.479999999981</v>
      </c>
      <c r="T629" s="800">
        <v>-35722</v>
      </c>
      <c r="U629" s="800">
        <f t="shared" si="298"/>
        <v>81740.81</v>
      </c>
      <c r="V629" s="802">
        <f>STDEV(D$2:D629)*SQRT(252)</f>
        <v>0.14339485353266779</v>
      </c>
      <c r="W629" s="802">
        <f>STDEV(L$2:L629)*SQRT(252)</f>
        <v>0.27916017460324782</v>
      </c>
      <c r="X629" s="801">
        <f t="shared" si="288"/>
        <v>0.73323443093213536</v>
      </c>
      <c r="Y629" s="801">
        <f t="shared" si="287"/>
        <v>0.15422768451315264</v>
      </c>
      <c r="Z629" s="807">
        <f t="shared" si="306"/>
        <v>-0.16590748499790722</v>
      </c>
    </row>
    <row r="630" spans="1:26" ht="20.100000000000001" customHeight="1" x14ac:dyDescent="0.2">
      <c r="A630" s="776">
        <f t="shared" si="295"/>
        <v>977</v>
      </c>
      <c r="B630" s="795">
        <v>43210</v>
      </c>
      <c r="C630" s="820">
        <v>2670.14</v>
      </c>
      <c r="D630" s="792">
        <f t="shared" ref="D630:D635" si="307">(C630-C629)/C629</f>
        <v>-8.536535555283345E-3</v>
      </c>
      <c r="E630" s="819">
        <f t="shared" si="299"/>
        <v>0.2700195962786095</v>
      </c>
      <c r="F630" s="816">
        <v>7146.13</v>
      </c>
      <c r="G630" s="792">
        <f t="shared" ref="G630:G635" si="308">(F630-F629)/F629</f>
        <v>-1.2699553056417139E-2</v>
      </c>
      <c r="H630" s="797">
        <f t="shared" ref="H630:H635" si="309">(F630-F$2)/F$2</f>
        <v>0.40348606555767236</v>
      </c>
      <c r="I630" s="799">
        <v>445087.3</v>
      </c>
      <c r="J630" s="800">
        <v>400000</v>
      </c>
      <c r="K630" s="800">
        <f t="shared" ref="K630:K635" si="310">I630-I629-J630+J629</f>
        <v>-931.51000000000931</v>
      </c>
      <c r="L630" s="792">
        <f t="shared" ref="L630:L635" si="311">K630/I629</f>
        <v>-2.0884993617197654E-3</v>
      </c>
      <c r="M630" s="817">
        <f t="shared" si="300"/>
        <v>45087.299999999988</v>
      </c>
      <c r="N630" s="802">
        <f t="shared" si="305"/>
        <v>0.11271824999999996</v>
      </c>
      <c r="O630" s="786">
        <f t="shared" si="296"/>
        <v>4.2139550473387903E-2</v>
      </c>
      <c r="P630" s="817" t="b">
        <f t="shared" si="302"/>
        <v>1</v>
      </c>
      <c r="Q630" s="802">
        <f>COUNTIF(P$2:P630, TRUE)/(COUNTIF(P$2:P630,FALSE) + COUNTIF(P$2:P630, TRUE))</f>
        <v>0.49125596184419712</v>
      </c>
      <c r="R630" s="800">
        <v>367205.37</v>
      </c>
      <c r="S630" s="800">
        <f t="shared" si="297"/>
        <v>77881.929999999993</v>
      </c>
      <c r="T630" s="800">
        <v>-35573</v>
      </c>
      <c r="U630" s="800">
        <f t="shared" si="298"/>
        <v>80660.299999999988</v>
      </c>
      <c r="V630" s="802">
        <f>STDEV(D$2:D630)*SQRT(252)</f>
        <v>0.14339314066387959</v>
      </c>
      <c r="W630" s="802">
        <f>STDEV(L$2:L630)*SQRT(252)</f>
        <v>0.27894236718958543</v>
      </c>
      <c r="X630" s="801">
        <f t="shared" si="288"/>
        <v>0.70398364144780734</v>
      </c>
      <c r="Y630" s="801">
        <f t="shared" si="287"/>
        <v>0.15106902152568102</v>
      </c>
      <c r="Z630" s="807">
        <f t="shared" si="306"/>
        <v>-0.15730134627860953</v>
      </c>
    </row>
    <row r="631" spans="1:26" ht="20.100000000000001" customHeight="1" x14ac:dyDescent="0.2">
      <c r="A631" s="776">
        <f t="shared" si="295"/>
        <v>980</v>
      </c>
      <c r="B631" s="795">
        <v>43213</v>
      </c>
      <c r="C631" s="820">
        <v>2670.29</v>
      </c>
      <c r="D631" s="792">
        <f t="shared" si="307"/>
        <v>5.6176829679376721E-5</v>
      </c>
      <c r="E631" s="819">
        <f t="shared" si="299"/>
        <v>0.27009094195315914</v>
      </c>
      <c r="F631" s="816">
        <v>7128.6</v>
      </c>
      <c r="G631" s="792">
        <f t="shared" si="308"/>
        <v>-2.4530760005765E-3</v>
      </c>
      <c r="H631" s="797">
        <f t="shared" si="309"/>
        <v>0.40004320757310929</v>
      </c>
      <c r="I631" s="799">
        <v>449342.79</v>
      </c>
      <c r="J631" s="800">
        <v>400000</v>
      </c>
      <c r="K631" s="800">
        <f t="shared" si="310"/>
        <v>4255.4899999999907</v>
      </c>
      <c r="L631" s="792">
        <f t="shared" si="311"/>
        <v>9.5610231970222267E-3</v>
      </c>
      <c r="M631" s="817">
        <f t="shared" si="300"/>
        <v>49342.789999999979</v>
      </c>
      <c r="N631" s="802">
        <f t="shared" si="305"/>
        <v>0.12335697499999995</v>
      </c>
      <c r="O631" s="786">
        <f t="shared" si="296"/>
        <v>4.5975648080357125E-2</v>
      </c>
      <c r="P631" s="817" t="b">
        <f t="shared" si="302"/>
        <v>1</v>
      </c>
      <c r="Q631" s="802">
        <f>COUNTIF(P$2:P631, TRUE)/(COUNTIF(P$2:P631,FALSE) + COUNTIF(P$2:P631, TRUE))</f>
        <v>0.49206349206349204</v>
      </c>
      <c r="R631" s="800">
        <v>356708.25</v>
      </c>
      <c r="S631" s="800">
        <f t="shared" si="297"/>
        <v>92634.539999999979</v>
      </c>
      <c r="T631" s="800">
        <v>-33898</v>
      </c>
      <c r="U631" s="800">
        <f t="shared" si="298"/>
        <v>83240.789999999979</v>
      </c>
      <c r="V631" s="802">
        <f>STDEV(D$2:D631)*SQRT(252)</f>
        <v>0.14327911519808631</v>
      </c>
      <c r="W631" s="802">
        <f>STDEV(L$2:L631)*SQRT(252)</f>
        <v>0.27877897541972796</v>
      </c>
      <c r="X631" s="801">
        <f t="shared" si="288"/>
        <v>0.70257271158312462</v>
      </c>
      <c r="Y631" s="801">
        <f t="shared" ref="Y631:Y636" si="312">O631/W631</f>
        <v>0.16491791754072008</v>
      </c>
      <c r="Z631" s="807">
        <f t="shared" si="306"/>
        <v>-0.14673396695315918</v>
      </c>
    </row>
    <row r="632" spans="1:26" ht="20.100000000000001" customHeight="1" x14ac:dyDescent="0.2">
      <c r="A632" s="776">
        <f t="shared" si="295"/>
        <v>981</v>
      </c>
      <c r="B632" s="795">
        <v>43214</v>
      </c>
      <c r="C632" s="820">
        <v>2634.56</v>
      </c>
      <c r="D632" s="792">
        <f t="shared" si="307"/>
        <v>-1.3380569151665182E-2</v>
      </c>
      <c r="E632" s="819">
        <f t="shared" si="299"/>
        <v>0.25309640227545133</v>
      </c>
      <c r="F632" s="816">
        <v>7007.35</v>
      </c>
      <c r="G632" s="792">
        <f t="shared" si="308"/>
        <v>-1.70089498639284E-2</v>
      </c>
      <c r="H632" s="797">
        <f t="shared" si="309"/>
        <v>0.3762299428481648</v>
      </c>
      <c r="I632" s="799">
        <v>448523.78</v>
      </c>
      <c r="J632" s="800">
        <v>400000</v>
      </c>
      <c r="K632" s="800">
        <f t="shared" si="310"/>
        <v>-819.00999999995111</v>
      </c>
      <c r="L632" s="792">
        <f t="shared" si="311"/>
        <v>-1.8226841917279926E-3</v>
      </c>
      <c r="M632" s="817">
        <f t="shared" si="300"/>
        <v>48523.780000000028</v>
      </c>
      <c r="N632" s="802">
        <f t="shared" si="305"/>
        <v>0.12130945000000007</v>
      </c>
      <c r="O632" s="786">
        <f t="shared" si="296"/>
        <v>4.5166438952599412E-2</v>
      </c>
      <c r="P632" s="817" t="b">
        <f t="shared" si="302"/>
        <v>1</v>
      </c>
      <c r="Q632" s="802">
        <f>COUNTIF(P$2:P632, TRUE)/(COUNTIF(P$2:P632,FALSE) + COUNTIF(P$2:P632, TRUE))</f>
        <v>0.49286846275752771</v>
      </c>
      <c r="R632" s="800">
        <v>339733.33</v>
      </c>
      <c r="S632" s="800">
        <f t="shared" si="297"/>
        <v>108790.45000000001</v>
      </c>
      <c r="T632" s="800">
        <v>-32782</v>
      </c>
      <c r="U632" s="800">
        <f t="shared" si="298"/>
        <v>81305.780000000028</v>
      </c>
      <c r="V632" s="802">
        <f>STDEV(D$2:D632)*SQRT(252)</f>
        <v>0.14343102619616427</v>
      </c>
      <c r="W632" s="802">
        <f>STDEV(L$2:L632)*SQRT(252)</f>
        <v>0.27856125991838609</v>
      </c>
      <c r="X632" s="801">
        <f t="shared" si="288"/>
        <v>0.65699805424017199</v>
      </c>
      <c r="Y632" s="801">
        <f t="shared" si="312"/>
        <v>0.16214185334253745</v>
      </c>
      <c r="Z632" s="807">
        <f t="shared" si="306"/>
        <v>-0.13178695227545126</v>
      </c>
    </row>
    <row r="633" spans="1:26" ht="20.100000000000001" customHeight="1" x14ac:dyDescent="0.2">
      <c r="A633" s="776">
        <f t="shared" si="295"/>
        <v>982</v>
      </c>
      <c r="B633" s="795">
        <v>43215</v>
      </c>
      <c r="C633" s="820">
        <v>2639.4</v>
      </c>
      <c r="D633" s="792">
        <f t="shared" si="307"/>
        <v>1.8371189116968851E-3</v>
      </c>
      <c r="E633" s="819">
        <f t="shared" si="299"/>
        <v>0.25539848937425086</v>
      </c>
      <c r="F633" s="816">
        <v>7003.73</v>
      </c>
      <c r="G633" s="792">
        <f t="shared" si="308"/>
        <v>-5.1660042669494173E-4</v>
      </c>
      <c r="H633" s="797">
        <f t="shared" si="309"/>
        <v>0.37551898187245908</v>
      </c>
      <c r="I633" s="799">
        <v>451776.44</v>
      </c>
      <c r="J633" s="800">
        <v>400000</v>
      </c>
      <c r="K633" s="800">
        <f t="shared" si="310"/>
        <v>3252.6599999999744</v>
      </c>
      <c r="L633" s="792">
        <f t="shared" si="311"/>
        <v>7.2519231867705525E-3</v>
      </c>
      <c r="M633" s="817">
        <f t="shared" si="300"/>
        <v>51776.44</v>
      </c>
      <c r="N633" s="802">
        <f t="shared" si="305"/>
        <v>0.1294411</v>
      </c>
      <c r="O633" s="786">
        <f t="shared" si="296"/>
        <v>4.8144971257637476E-2</v>
      </c>
      <c r="P633" s="817" t="b">
        <f t="shared" si="302"/>
        <v>1</v>
      </c>
      <c r="Q633" s="802">
        <f>COUNTIF(P$2:P633, TRUE)/(COUNTIF(P$2:P633,FALSE) + COUNTIF(P$2:P633, TRUE))</f>
        <v>0.49367088607594939</v>
      </c>
      <c r="R633" s="800">
        <v>342985.99</v>
      </c>
      <c r="S633" s="800">
        <f t="shared" si="297"/>
        <v>108790.45000000001</v>
      </c>
      <c r="T633" s="800">
        <v>-32687</v>
      </c>
      <c r="U633" s="800">
        <f t="shared" si="298"/>
        <v>84463.44</v>
      </c>
      <c r="V633" s="802">
        <f>STDEV(D$2:D633)*SQRT(252)</f>
        <v>0.14332002858767423</v>
      </c>
      <c r="W633" s="802">
        <f>STDEV(L$2:L633)*SQRT(252)</f>
        <v>0.27837253154363339</v>
      </c>
      <c r="X633" s="801">
        <f t="shared" si="288"/>
        <v>0.66281171352818635</v>
      </c>
      <c r="Y633" s="801">
        <f t="shared" si="312"/>
        <v>0.17295158753869727</v>
      </c>
      <c r="Z633" s="807">
        <f t="shared" si="306"/>
        <v>-0.12595738937425086</v>
      </c>
    </row>
    <row r="634" spans="1:26" ht="20.100000000000001" customHeight="1" x14ac:dyDescent="0.2">
      <c r="A634" s="776">
        <f t="shared" si="295"/>
        <v>983</v>
      </c>
      <c r="B634" s="795">
        <v>43216</v>
      </c>
      <c r="C634" s="820">
        <v>2666.94</v>
      </c>
      <c r="D634" s="792">
        <f t="shared" si="307"/>
        <v>1.0434189588542836E-2</v>
      </c>
      <c r="E634" s="819">
        <f t="shared" si="299"/>
        <v>0.26849755522155211</v>
      </c>
      <c r="F634" s="816">
        <v>7118.67</v>
      </c>
      <c r="G634" s="792">
        <f t="shared" si="308"/>
        <v>1.6411255145472557E-2</v>
      </c>
      <c r="H634" s="797">
        <f t="shared" si="309"/>
        <v>0.39809297484140865</v>
      </c>
      <c r="I634" s="799">
        <v>455463.88</v>
      </c>
      <c r="J634" s="800">
        <v>400000</v>
      </c>
      <c r="K634" s="800">
        <f t="shared" si="310"/>
        <v>3687.4400000000023</v>
      </c>
      <c r="L634" s="792">
        <f t="shared" si="311"/>
        <v>8.1620900815456473E-3</v>
      </c>
      <c r="M634" s="817">
        <f t="shared" si="300"/>
        <v>55463.880000000005</v>
      </c>
      <c r="N634" s="802">
        <f t="shared" si="305"/>
        <v>0.13865970000000002</v>
      </c>
      <c r="O634" s="786">
        <f t="shared" si="296"/>
        <v>5.1521317828077326E-2</v>
      </c>
      <c r="P634" s="817" t="b">
        <f t="shared" si="302"/>
        <v>0</v>
      </c>
      <c r="Q634" s="802">
        <f>COUNTIF(P$2:P634, TRUE)/(COUNTIF(P$2:P634,FALSE) + COUNTIF(P$2:P634, TRUE))</f>
        <v>0.49289099526066349</v>
      </c>
      <c r="R634" s="800">
        <v>346752.53</v>
      </c>
      <c r="S634" s="800">
        <f t="shared" si="297"/>
        <v>108711.34999999998</v>
      </c>
      <c r="T634" s="800">
        <v>-32492</v>
      </c>
      <c r="U634" s="800">
        <f t="shared" si="298"/>
        <v>87955.88</v>
      </c>
      <c r="V634" s="802">
        <f>STDEV(D$2:D634)*SQRT(252)</f>
        <v>0.1433464849778508</v>
      </c>
      <c r="W634" s="802">
        <f>STDEV(L$2:L634)*SQRT(252)</f>
        <v>0.27819352385926271</v>
      </c>
      <c r="X634" s="801">
        <f t="shared" si="288"/>
        <v>0.69596915831272854</v>
      </c>
      <c r="Y634" s="801">
        <f t="shared" si="312"/>
        <v>0.18519955861424656</v>
      </c>
      <c r="Z634" s="807">
        <f t="shared" si="306"/>
        <v>-0.12983785522155208</v>
      </c>
    </row>
    <row r="635" spans="1:26" ht="20.100000000000001" customHeight="1" x14ac:dyDescent="0.2">
      <c r="A635" s="776">
        <f t="shared" si="295"/>
        <v>984</v>
      </c>
      <c r="B635" s="795">
        <v>43217</v>
      </c>
      <c r="C635" s="820">
        <v>2669.91</v>
      </c>
      <c r="D635" s="792">
        <f t="shared" si="307"/>
        <v>1.1136358523250616E-3</v>
      </c>
      <c r="E635" s="819">
        <f t="shared" si="299"/>
        <v>0.26991019957763351</v>
      </c>
      <c r="F635" s="816">
        <v>7119.79</v>
      </c>
      <c r="G635" s="792">
        <f t="shared" si="308"/>
        <v>1.5733276019254874E-4</v>
      </c>
      <c r="H635" s="797">
        <f t="shared" si="309"/>
        <v>0.39831294066814626</v>
      </c>
      <c r="I635" s="799">
        <f>455928.5</f>
        <v>455928.5</v>
      </c>
      <c r="J635" s="800">
        <v>400000</v>
      </c>
      <c r="K635" s="800">
        <f t="shared" si="310"/>
        <v>464.61999999999534</v>
      </c>
      <c r="L635" s="792">
        <f t="shared" si="311"/>
        <v>1.0201028454770011E-3</v>
      </c>
      <c r="M635" s="817">
        <f t="shared" si="300"/>
        <v>55928.5</v>
      </c>
      <c r="N635" s="802">
        <f t="shared" si="305"/>
        <v>0.13982125000000001</v>
      </c>
      <c r="O635" s="786">
        <f t="shared" si="296"/>
        <v>5.1900113376524393E-2</v>
      </c>
      <c r="P635" s="817" t="b">
        <f t="shared" si="302"/>
        <v>0</v>
      </c>
      <c r="Q635" s="802">
        <f>COUNTIF(P$2:P635, TRUE)/(COUNTIF(P$2:P635,FALSE) + COUNTIF(P$2:P635, TRUE))</f>
        <v>0.49211356466876971</v>
      </c>
      <c r="R635" s="800">
        <v>343587.98</v>
      </c>
      <c r="S635" s="800">
        <f t="shared" si="297"/>
        <v>112340.52000000002</v>
      </c>
      <c r="T635" s="800">
        <v>-32412</v>
      </c>
      <c r="U635" s="800">
        <f t="shared" si="298"/>
        <v>88340.5</v>
      </c>
      <c r="V635" s="802">
        <f>STDEV(D$2:D635)*SQRT(252)</f>
        <v>0.14323370726891749</v>
      </c>
      <c r="W635" s="802">
        <f>STDEV(L$2:L635)*SQRT(252)</f>
        <v>0.27797350516495312</v>
      </c>
      <c r="X635" s="801">
        <f t="shared" si="288"/>
        <v>0.69947015660285927</v>
      </c>
      <c r="Y635" s="801">
        <f t="shared" si="312"/>
        <v>0.18670884962840681</v>
      </c>
      <c r="Z635" s="807">
        <f t="shared" si="306"/>
        <v>-0.13008894957763351</v>
      </c>
    </row>
    <row r="636" spans="1:26" ht="20.100000000000001" customHeight="1" x14ac:dyDescent="0.2">
      <c r="A636" s="776">
        <f t="shared" si="295"/>
        <v>987</v>
      </c>
      <c r="B636" s="795">
        <v>43220</v>
      </c>
      <c r="C636" s="820">
        <v>2648.05</v>
      </c>
      <c r="D636" s="792">
        <f t="shared" ref="D636:D660" si="313">(C636-C635)/C635</f>
        <v>-8.1875419021613747E-3</v>
      </c>
      <c r="E636" s="819">
        <f t="shared" si="299"/>
        <v>0.2595127566066095</v>
      </c>
      <c r="F636" s="816">
        <v>7066.27</v>
      </c>
      <c r="G636" s="792">
        <f t="shared" ref="G636:G667" si="314">(F636-F635)/F635</f>
        <v>-7.5170756440849414E-3</v>
      </c>
      <c r="H636" s="797">
        <f t="shared" ref="H636:H667" si="315">(F636-F$2)/F$2</f>
        <v>0.38780171651904094</v>
      </c>
      <c r="I636" s="822">
        <v>453815.46</v>
      </c>
      <c r="J636" s="800">
        <v>400000</v>
      </c>
      <c r="K636" s="800">
        <f t="shared" ref="K636:K667" si="316">I636-I635-J636+J635</f>
        <v>-2113.039999999979</v>
      </c>
      <c r="L636" s="792">
        <f t="shared" ref="L636:L667" si="317">K636/I635</f>
        <v>-4.6345863441306671E-3</v>
      </c>
      <c r="M636" s="822">
        <f t="shared" si="300"/>
        <v>53815.460000000021</v>
      </c>
      <c r="N636" s="802">
        <f t="shared" si="305"/>
        <v>0.13453865000000007</v>
      </c>
      <c r="O636" s="786">
        <f t="shared" si="296"/>
        <v>4.978747914133741E-2</v>
      </c>
      <c r="P636" s="817" t="b">
        <f t="shared" si="302"/>
        <v>1</v>
      </c>
      <c r="Q636" s="802">
        <f>COUNTIF(P$2:P636, TRUE)/(COUNTIF(P$2:P636,FALSE) + COUNTIF(P$2:P636, TRUE))</f>
        <v>0.49291338582677163</v>
      </c>
      <c r="R636" s="800">
        <v>338183.41</v>
      </c>
      <c r="S636" s="800">
        <f t="shared" si="297"/>
        <v>115632.05000000005</v>
      </c>
      <c r="T636" s="800">
        <v>-32877</v>
      </c>
      <c r="U636" s="800">
        <f t="shared" si="298"/>
        <v>86692.460000000021</v>
      </c>
      <c r="V636" s="802">
        <f>STDEV(D$2:D636)*SQRT(252)</f>
        <v>0.14322332561157627</v>
      </c>
      <c r="W636" s="802">
        <f>STDEV(L$2:L636)*SQRT(252)</f>
        <v>0.27777308803681044</v>
      </c>
      <c r="X636" s="801">
        <f t="shared" si="288"/>
        <v>0.67052971564394903</v>
      </c>
      <c r="Y636" s="801">
        <f t="shared" si="312"/>
        <v>0.17923795099523673</v>
      </c>
      <c r="Z636" s="807">
        <f t="shared" si="306"/>
        <v>-0.12497410660660943</v>
      </c>
    </row>
    <row r="637" spans="1:26" ht="20.100000000000001" customHeight="1" x14ac:dyDescent="0.2">
      <c r="A637" s="776">
        <f t="shared" si="295"/>
        <v>988</v>
      </c>
      <c r="B637" s="795">
        <v>43221</v>
      </c>
      <c r="C637" s="820">
        <v>2654.8</v>
      </c>
      <c r="D637" s="792">
        <f t="shared" si="313"/>
        <v>2.5490455240648776E-3</v>
      </c>
      <c r="E637" s="819">
        <f t="shared" si="299"/>
        <v>0.26272331196134019</v>
      </c>
      <c r="F637" s="816">
        <v>7130.7</v>
      </c>
      <c r="G637" s="792">
        <f t="shared" si="314"/>
        <v>9.1179646404679383E-3</v>
      </c>
      <c r="H637" s="797">
        <f t="shared" si="315"/>
        <v>0.40045564349824225</v>
      </c>
      <c r="I637" s="841">
        <v>452706.55</v>
      </c>
      <c r="J637" s="800">
        <v>400000</v>
      </c>
      <c r="K637" s="800">
        <f t="shared" si="316"/>
        <v>-1108.9100000000326</v>
      </c>
      <c r="L637" s="792">
        <f t="shared" si="317"/>
        <v>-2.4435262738735971E-3</v>
      </c>
      <c r="M637" s="817">
        <f t="shared" si="300"/>
        <v>52706.549999999988</v>
      </c>
      <c r="N637" s="802">
        <f t="shared" si="305"/>
        <v>0.13176637499999996</v>
      </c>
      <c r="O637" s="786">
        <f t="shared" si="296"/>
        <v>4.8712215049342096E-2</v>
      </c>
      <c r="P637" s="817" t="b">
        <f t="shared" si="302"/>
        <v>0</v>
      </c>
      <c r="Q637" s="802">
        <f>COUNTIF(P$2:P637, TRUE)/(COUNTIF(P$2:P637,FALSE) + COUNTIF(P$2:P637, TRUE))</f>
        <v>0.49213836477987422</v>
      </c>
      <c r="R637" s="800">
        <v>348970.59</v>
      </c>
      <c r="S637" s="800">
        <f t="shared" si="297"/>
        <v>103735.95999999996</v>
      </c>
      <c r="T637" s="800">
        <v>-33575</v>
      </c>
      <c r="U637" s="800">
        <f t="shared" si="298"/>
        <v>86281.549999999988</v>
      </c>
      <c r="V637" s="802">
        <f>STDEV(D$2:D637)*SQRT(252)</f>
        <v>0.14311670464868867</v>
      </c>
      <c r="W637" s="802">
        <f>STDEV(L$2:L637)*SQRT(252)</f>
        <v>0.2775603122196989</v>
      </c>
      <c r="X637" s="801">
        <f t="shared" si="288"/>
        <v>0.67864329489886477</v>
      </c>
      <c r="Y637" s="801">
        <f t="shared" ref="Y637:Y663" si="318">O637/W637</f>
        <v>0.1755013699897579</v>
      </c>
      <c r="Z637" s="807">
        <f t="shared" si="306"/>
        <v>-0.13095693696134023</v>
      </c>
    </row>
    <row r="638" spans="1:26" ht="20.100000000000001" customHeight="1" x14ac:dyDescent="0.2">
      <c r="A638" s="776">
        <f t="shared" si="295"/>
        <v>989</v>
      </c>
      <c r="B638" s="795">
        <v>43222</v>
      </c>
      <c r="C638" s="820">
        <v>2635.67</v>
      </c>
      <c r="D638" s="792">
        <f t="shared" si="313"/>
        <v>-7.2058158806690177E-3</v>
      </c>
      <c r="E638" s="819">
        <f t="shared" si="299"/>
        <v>0.25362436026711821</v>
      </c>
      <c r="F638" s="816">
        <v>7100.89</v>
      </c>
      <c r="G638" s="792">
        <f t="shared" si="314"/>
        <v>-4.1805152369331893E-3</v>
      </c>
      <c r="H638" s="797">
        <f t="shared" si="315"/>
        <v>0.3946010173419488</v>
      </c>
      <c r="I638" s="841">
        <v>450912.32</v>
      </c>
      <c r="J638" s="800">
        <v>400000</v>
      </c>
      <c r="K638" s="800">
        <f t="shared" si="316"/>
        <v>-1794.2299999999814</v>
      </c>
      <c r="L638" s="792">
        <f t="shared" si="317"/>
        <v>-3.9633400488682602E-3</v>
      </c>
      <c r="M638" s="817">
        <f t="shared" si="300"/>
        <v>50912.320000000007</v>
      </c>
      <c r="N638" s="802">
        <f t="shared" si="305"/>
        <v>0.12728080000000003</v>
      </c>
      <c r="O638" s="786">
        <f t="shared" si="296"/>
        <v>4.7006382406471196E-2</v>
      </c>
      <c r="P638" s="817" t="b">
        <f t="shared" si="302"/>
        <v>1</v>
      </c>
      <c r="Q638" s="802">
        <f>COUNTIF(P$2:P638, TRUE)/(COUNTIF(P$2:P638,FALSE) + COUNTIF(P$2:P638, TRUE))</f>
        <v>0.49293563579277866</v>
      </c>
      <c r="R638" s="800">
        <v>354993.37</v>
      </c>
      <c r="S638" s="800">
        <f t="shared" si="297"/>
        <v>95918.950000000012</v>
      </c>
      <c r="T638" s="800">
        <v>-33995</v>
      </c>
      <c r="U638" s="800">
        <f t="shared" si="298"/>
        <v>84907.32</v>
      </c>
      <c r="V638" s="802">
        <f>STDEV(D$2:D638)*SQRT(252)</f>
        <v>0.14308425772624728</v>
      </c>
      <c r="W638" s="802">
        <f>STDEV(L$2:L638)*SQRT(252)</f>
        <v>0.27735614722341684</v>
      </c>
      <c r="X638" s="801">
        <f t="shared" si="288"/>
        <v>0.65462568707262703</v>
      </c>
      <c r="Y638" s="801">
        <f t="shared" si="318"/>
        <v>0.16948022561261805</v>
      </c>
      <c r="Z638" s="807">
        <f t="shared" si="306"/>
        <v>-0.12634356026711818</v>
      </c>
    </row>
    <row r="639" spans="1:26" ht="20.100000000000001" customHeight="1" x14ac:dyDescent="0.2">
      <c r="A639" s="776">
        <f t="shared" si="295"/>
        <v>990</v>
      </c>
      <c r="B639" s="795">
        <v>43223</v>
      </c>
      <c r="C639" s="820">
        <v>2629.373</v>
      </c>
      <c r="D639" s="792">
        <f t="shared" si="313"/>
        <v>-2.3891458338866495E-3</v>
      </c>
      <c r="E639" s="819">
        <f t="shared" si="299"/>
        <v>0.25062926884952719</v>
      </c>
      <c r="F639" s="816">
        <v>7088.15</v>
      </c>
      <c r="G639" s="792">
        <f t="shared" si="314"/>
        <v>-1.7941412977810797E-3</v>
      </c>
      <c r="H639" s="797">
        <f t="shared" si="315"/>
        <v>0.39209890606280806</v>
      </c>
      <c r="I639" s="841">
        <v>452277.59</v>
      </c>
      <c r="J639" s="800">
        <v>400000</v>
      </c>
      <c r="K639" s="800">
        <f t="shared" si="316"/>
        <v>1365.2700000000186</v>
      </c>
      <c r="L639" s="792">
        <f t="shared" si="317"/>
        <v>3.0277948493401523E-3</v>
      </c>
      <c r="M639" s="817">
        <f t="shared" si="300"/>
        <v>52277.590000000026</v>
      </c>
      <c r="N639" s="802">
        <f t="shared" si="305"/>
        <v>0.13069397500000007</v>
      </c>
      <c r="O639" s="786">
        <f t="shared" si="296"/>
        <v>4.8218155928030325E-2</v>
      </c>
      <c r="P639" s="817" t="b">
        <f t="shared" si="302"/>
        <v>1</v>
      </c>
      <c r="Q639" s="802">
        <f>COUNTIF(P$2:P639, TRUE)/(COUNTIF(P$2:P639,FALSE) + COUNTIF(P$2:P639, TRUE))</f>
        <v>0.49373040752351099</v>
      </c>
      <c r="R639" s="800">
        <v>347978.77</v>
      </c>
      <c r="S639" s="800">
        <f t="shared" si="297"/>
        <v>104298.82</v>
      </c>
      <c r="T639" s="800">
        <v>-35355</v>
      </c>
      <c r="U639" s="800">
        <f t="shared" si="298"/>
        <v>87632.590000000026</v>
      </c>
      <c r="V639" s="802">
        <f>STDEV(D$2:D639)*SQRT(252)</f>
        <v>0.14298245766560941</v>
      </c>
      <c r="W639" s="802">
        <f>STDEV(L$2:L639)*SQRT(252)</f>
        <v>0.27714246426885808</v>
      </c>
      <c r="X639" s="801">
        <f t="shared" ref="X639:X644" si="319">E639/(A639/365.25)/V639</f>
        <v>0.6467017846977352</v>
      </c>
      <c r="Y639" s="801">
        <f t="shared" si="318"/>
        <v>0.17398328349008801</v>
      </c>
      <c r="Z639" s="807">
        <f t="shared" si="306"/>
        <v>-0.11993529384952711</v>
      </c>
    </row>
    <row r="640" spans="1:26" ht="20.100000000000001" customHeight="1" x14ac:dyDescent="0.2">
      <c r="A640" s="776">
        <f t="shared" si="295"/>
        <v>991</v>
      </c>
      <c r="B640" s="795">
        <v>43224</v>
      </c>
      <c r="C640" s="820">
        <v>2663.42</v>
      </c>
      <c r="D640" s="792">
        <f t="shared" si="313"/>
        <v>1.2948714389324004E-2</v>
      </c>
      <c r="E640" s="819">
        <f t="shared" si="299"/>
        <v>0.26682331005878884</v>
      </c>
      <c r="F640" s="816">
        <v>7209.61</v>
      </c>
      <c r="G640" s="792">
        <f t="shared" si="314"/>
        <v>1.7135641881167871E-2</v>
      </c>
      <c r="H640" s="797">
        <f t="shared" si="315"/>
        <v>0.4159534143802659</v>
      </c>
      <c r="I640" s="841">
        <v>457844.7</v>
      </c>
      <c r="J640" s="800">
        <v>400000</v>
      </c>
      <c r="K640" s="800">
        <f t="shared" si="316"/>
        <v>5567.109999999986</v>
      </c>
      <c r="L640" s="792">
        <f t="shared" si="317"/>
        <v>1.2309055595701715E-2</v>
      </c>
      <c r="M640" s="817">
        <f t="shared" si="300"/>
        <v>57844.700000000012</v>
      </c>
      <c r="N640" s="802">
        <f t="shared" si="305"/>
        <v>0.14461175000000004</v>
      </c>
      <c r="O640" s="786">
        <f t="shared" si="296"/>
        <v>5.3299133892532803E-2</v>
      </c>
      <c r="P640" s="817" t="b">
        <f t="shared" si="302"/>
        <v>0</v>
      </c>
      <c r="Q640" s="802">
        <f>COUNTIF(P$2:P640, TRUE)/(COUNTIF(P$2:P640,FALSE) + COUNTIF(P$2:P640, TRUE))</f>
        <v>0.49295774647887325</v>
      </c>
      <c r="R640" s="800">
        <v>341507.01</v>
      </c>
      <c r="S640" s="800">
        <f t="shared" si="297"/>
        <v>116337.69</v>
      </c>
      <c r="T640" s="800">
        <v>-34815</v>
      </c>
      <c r="U640" s="800">
        <f t="shared" si="298"/>
        <v>92659.700000000012</v>
      </c>
      <c r="V640" s="802">
        <f>STDEV(D$2:D640)*SQRT(252)</f>
        <v>0.14308797968431308</v>
      </c>
      <c r="W640" s="802">
        <f>STDEV(L$2:L640)*SQRT(252)</f>
        <v>0.27702369325517084</v>
      </c>
      <c r="X640" s="801">
        <f t="shared" si="319"/>
        <v>0.68728550691537571</v>
      </c>
      <c r="Y640" s="801">
        <f t="shared" si="318"/>
        <v>0.19239918891500063</v>
      </c>
      <c r="Z640" s="807">
        <f t="shared" si="306"/>
        <v>-0.1222115600587888</v>
      </c>
    </row>
    <row r="641" spans="1:26" ht="20.100000000000001" customHeight="1" x14ac:dyDescent="0.2">
      <c r="A641" s="776">
        <f t="shared" si="295"/>
        <v>994</v>
      </c>
      <c r="B641" s="795">
        <v>43227</v>
      </c>
      <c r="C641" s="820">
        <v>2672.63</v>
      </c>
      <c r="D641" s="792">
        <f t="shared" si="313"/>
        <v>3.4579600663808322E-3</v>
      </c>
      <c r="E641" s="819">
        <f t="shared" si="299"/>
        <v>0.2712039344761325</v>
      </c>
      <c r="F641" s="816">
        <v>7265.21</v>
      </c>
      <c r="G641" s="792">
        <f t="shared" si="314"/>
        <v>7.711928939290803E-3</v>
      </c>
      <c r="H641" s="797">
        <f t="shared" si="315"/>
        <v>0.42687314649331271</v>
      </c>
      <c r="I641" s="841">
        <v>456957.86</v>
      </c>
      <c r="J641" s="800">
        <v>400000</v>
      </c>
      <c r="K641" s="800">
        <f t="shared" si="316"/>
        <v>-886.84000000002561</v>
      </c>
      <c r="L641" s="792">
        <f t="shared" si="317"/>
        <v>-1.9369886776018715E-3</v>
      </c>
      <c r="M641" s="817">
        <f t="shared" si="300"/>
        <v>56957.859999999986</v>
      </c>
      <c r="N641" s="802">
        <f t="shared" si="305"/>
        <v>0.14239464999999996</v>
      </c>
      <c r="O641" s="786">
        <f t="shared" si="296"/>
        <v>5.2323587437122718E-2</v>
      </c>
      <c r="P641" s="817" t="b">
        <f t="shared" si="302"/>
        <v>0</v>
      </c>
      <c r="Q641" s="802">
        <f>COUNTIF(P$2:P641, TRUE)/(COUNTIF(P$2:P641,FALSE) + COUNTIF(P$2:P641, TRUE))</f>
        <v>0.4921875</v>
      </c>
      <c r="R641" s="800">
        <v>326723.28999999998</v>
      </c>
      <c r="S641" s="800">
        <f t="shared" si="297"/>
        <v>130234.57</v>
      </c>
      <c r="T641" s="800">
        <v>-35135</v>
      </c>
      <c r="U641" s="800">
        <f t="shared" si="298"/>
        <v>92092.859999999986</v>
      </c>
      <c r="V641" s="802">
        <f>STDEV(D$2:D641)*SQRT(252)</f>
        <v>0.14298859813162662</v>
      </c>
      <c r="W641" s="802">
        <f>STDEV(L$2:L641)*SQRT(252)</f>
        <v>0.27681092205628688</v>
      </c>
      <c r="X641" s="801">
        <f t="shared" si="319"/>
        <v>0.69694485698870945</v>
      </c>
      <c r="Y641" s="801">
        <f t="shared" si="318"/>
        <v>0.18902284291543675</v>
      </c>
      <c r="Z641" s="807">
        <f t="shared" si="306"/>
        <v>-0.12880928447613255</v>
      </c>
    </row>
    <row r="642" spans="1:26" ht="20.100000000000001" customHeight="1" x14ac:dyDescent="0.2">
      <c r="A642" s="776">
        <f t="shared" si="295"/>
        <v>995</v>
      </c>
      <c r="B642" s="795">
        <v>43228</v>
      </c>
      <c r="C642" s="820">
        <v>2671.92</v>
      </c>
      <c r="D642" s="792">
        <f t="shared" si="313"/>
        <v>-2.6565592693340878E-4</v>
      </c>
      <c r="E642" s="819">
        <f t="shared" si="299"/>
        <v>0.27086623161659784</v>
      </c>
      <c r="F642" s="816">
        <v>7266.9</v>
      </c>
      <c r="G642" s="792">
        <f t="shared" si="314"/>
        <v>2.3261543713114967E-4</v>
      </c>
      <c r="H642" s="797">
        <f t="shared" si="315"/>
        <v>0.42720505921401497</v>
      </c>
      <c r="I642" s="841">
        <v>457631.51</v>
      </c>
      <c r="J642" s="800">
        <v>400000</v>
      </c>
      <c r="K642" s="800">
        <f t="shared" si="316"/>
        <v>673.65000000002328</v>
      </c>
      <c r="L642" s="792">
        <f t="shared" si="317"/>
        <v>1.4742059585100982E-3</v>
      </c>
      <c r="M642" s="817">
        <f t="shared" si="300"/>
        <v>57631.510000000009</v>
      </c>
      <c r="N642" s="802">
        <f t="shared" si="305"/>
        <v>0.14407877500000002</v>
      </c>
      <c r="O642" s="786">
        <f t="shared" si="296"/>
        <v>5.2889218662060311E-2</v>
      </c>
      <c r="P642" s="817" t="b">
        <f t="shared" si="302"/>
        <v>1</v>
      </c>
      <c r="Q642" s="802">
        <f>COUNTIF(P$2:P642, TRUE)/(COUNTIF(P$2:P642,FALSE) + COUNTIF(P$2:P642, TRUE))</f>
        <v>0.49297971918876754</v>
      </c>
      <c r="R642" s="800">
        <v>348824.93</v>
      </c>
      <c r="S642" s="800">
        <f t="shared" si="297"/>
        <v>108806.58000000002</v>
      </c>
      <c r="T642" s="800">
        <v>-34915</v>
      </c>
      <c r="U642" s="800">
        <f t="shared" si="298"/>
        <v>92546.510000000009</v>
      </c>
      <c r="V642" s="802">
        <f>STDEV(D$2:D642)*SQRT(252)</f>
        <v>0.14287731014679592</v>
      </c>
      <c r="W642" s="802">
        <f>STDEV(L$2:L642)*SQRT(252)</f>
        <v>0.27659484922159572</v>
      </c>
      <c r="X642" s="801">
        <f t="shared" si="319"/>
        <v>0.69591908069554453</v>
      </c>
      <c r="Y642" s="801">
        <f t="shared" si="318"/>
        <v>0.19121548651720474</v>
      </c>
      <c r="Z642" s="807">
        <f t="shared" si="306"/>
        <v>-0.12678745661659782</v>
      </c>
    </row>
    <row r="643" spans="1:26" ht="20.100000000000001" customHeight="1" x14ac:dyDescent="0.2">
      <c r="A643" s="776">
        <f t="shared" ref="A643:A674" si="320">B643-$B$2</f>
        <v>996</v>
      </c>
      <c r="B643" s="795">
        <v>43229</v>
      </c>
      <c r="C643" s="820">
        <v>2697.79</v>
      </c>
      <c r="D643" s="792">
        <f t="shared" si="313"/>
        <v>9.6821761130572361E-3</v>
      </c>
      <c r="E643" s="819">
        <f t="shared" si="299"/>
        <v>0.28317098228724713</v>
      </c>
      <c r="F643" s="816">
        <v>7339.9</v>
      </c>
      <c r="G643" s="792">
        <f t="shared" si="314"/>
        <v>1.0045548996133153E-2</v>
      </c>
      <c r="H643" s="797">
        <f t="shared" si="315"/>
        <v>0.44154211756387846</v>
      </c>
      <c r="I643" s="841">
        <v>461579.02</v>
      </c>
      <c r="J643" s="800">
        <v>400000</v>
      </c>
      <c r="K643" s="800">
        <f t="shared" si="316"/>
        <v>3947.5100000000093</v>
      </c>
      <c r="L643" s="792">
        <f t="shared" si="317"/>
        <v>8.6259575963202554E-3</v>
      </c>
      <c r="M643" s="817">
        <f t="shared" si="300"/>
        <v>61579.020000000019</v>
      </c>
      <c r="N643" s="802">
        <f t="shared" si="305"/>
        <v>0.15394755000000004</v>
      </c>
      <c r="O643" s="786">
        <f t="shared" ref="O643:O674" si="321">N643/(A643/365.25)</f>
        <v>5.6455163290662663E-2</v>
      </c>
      <c r="P643" s="817" t="b">
        <f t="shared" si="302"/>
        <v>0</v>
      </c>
      <c r="Q643" s="802">
        <f>COUNTIF(P$2:P643, TRUE)/(COUNTIF(P$2:P643,FALSE) + COUNTIF(P$2:P643, TRUE))</f>
        <v>0.49221183800623053</v>
      </c>
      <c r="R643" s="800">
        <v>351633.55</v>
      </c>
      <c r="S643" s="800">
        <f t="shared" si="297"/>
        <v>109945.47000000003</v>
      </c>
      <c r="T643" s="800">
        <v>-34375</v>
      </c>
      <c r="U643" s="800">
        <f t="shared" si="298"/>
        <v>95954.020000000019</v>
      </c>
      <c r="V643" s="802">
        <f>STDEV(D$2:D643)*SQRT(252)</f>
        <v>0.14288383857583484</v>
      </c>
      <c r="W643" s="802">
        <f>STDEV(L$2:L643)*SQRT(252)</f>
        <v>0.27642504992045575</v>
      </c>
      <c r="X643" s="801">
        <f t="shared" si="319"/>
        <v>0.72676921769310943</v>
      </c>
      <c r="Y643" s="801">
        <f t="shared" si="318"/>
        <v>0.20423316666455604</v>
      </c>
      <c r="Z643" s="807">
        <f t="shared" si="306"/>
        <v>-0.12922343228724709</v>
      </c>
    </row>
    <row r="644" spans="1:26" ht="20.100000000000001" customHeight="1" x14ac:dyDescent="0.2">
      <c r="A644" s="776">
        <f t="shared" si="320"/>
        <v>997</v>
      </c>
      <c r="B644" s="795">
        <v>43230</v>
      </c>
      <c r="C644" s="820">
        <v>2723.07</v>
      </c>
      <c r="D644" s="792">
        <f t="shared" si="313"/>
        <v>9.3706329996034541E-3</v>
      </c>
      <c r="E644" s="819">
        <f t="shared" si="299"/>
        <v>0.29519510663800158</v>
      </c>
      <c r="F644" s="816">
        <v>7404.97</v>
      </c>
      <c r="G644" s="792">
        <f t="shared" si="314"/>
        <v>8.8652433956866745E-3</v>
      </c>
      <c r="H644" s="797">
        <f t="shared" si="315"/>
        <v>0.45432173930121583</v>
      </c>
      <c r="I644" s="841">
        <v>464024.89</v>
      </c>
      <c r="J644" s="800">
        <v>400000</v>
      </c>
      <c r="K644" s="800">
        <f t="shared" si="316"/>
        <v>2445.8699999999953</v>
      </c>
      <c r="L644" s="792">
        <f t="shared" si="317"/>
        <v>5.2989193486306964E-3</v>
      </c>
      <c r="M644" s="817">
        <f t="shared" si="300"/>
        <v>64024.890000000014</v>
      </c>
      <c r="N644" s="802">
        <f t="shared" si="305"/>
        <v>0.16006222500000003</v>
      </c>
      <c r="O644" s="786">
        <f t="shared" si="321"/>
        <v>5.8638643612086268E-2</v>
      </c>
      <c r="P644" s="817" t="b">
        <f t="shared" si="302"/>
        <v>0</v>
      </c>
      <c r="Q644" s="802">
        <f>COUNTIF(P$2:P644, TRUE)/(COUNTIF(P$2:P644,FALSE) + COUNTIF(P$2:P644, TRUE))</f>
        <v>0.49144634525660963</v>
      </c>
      <c r="R644" s="800">
        <v>347226.42</v>
      </c>
      <c r="S644" s="800">
        <f t="shared" si="297"/>
        <v>116798.47000000003</v>
      </c>
      <c r="T644" s="800">
        <v>-34375</v>
      </c>
      <c r="U644" s="800">
        <f t="shared" si="298"/>
        <v>98399.890000000014</v>
      </c>
      <c r="V644" s="802">
        <f>STDEV(D$2:D644)*SQRT(252)</f>
        <v>0.14288219336570368</v>
      </c>
      <c r="W644" s="802">
        <f>STDEV(L$2:L644)*SQRT(252)</f>
        <v>0.2762252800180221</v>
      </c>
      <c r="X644" s="801">
        <f t="shared" si="319"/>
        <v>0.75687840094146508</v>
      </c>
      <c r="Y644" s="801">
        <f t="shared" si="318"/>
        <v>0.21228557939468987</v>
      </c>
      <c r="Z644" s="807">
        <f t="shared" si="306"/>
        <v>-0.13513288163800155</v>
      </c>
    </row>
    <row r="645" spans="1:26" ht="20.100000000000001" customHeight="1" x14ac:dyDescent="0.2">
      <c r="A645" s="776">
        <f t="shared" si="320"/>
        <v>998</v>
      </c>
      <c r="B645" s="795">
        <v>43231</v>
      </c>
      <c r="C645" s="820">
        <v>2727.72</v>
      </c>
      <c r="D645" s="792">
        <f t="shared" si="313"/>
        <v>1.7076314600798495E-3</v>
      </c>
      <c r="E645" s="819">
        <f t="shared" si="299"/>
        <v>0.29740682254903811</v>
      </c>
      <c r="F645" s="816">
        <v>7402.88</v>
      </c>
      <c r="G645" s="792">
        <f t="shared" si="314"/>
        <v>-2.8224287201705686E-4</v>
      </c>
      <c r="H645" s="797">
        <f t="shared" si="315"/>
        <v>0.45391126735667858</v>
      </c>
      <c r="I645" s="841">
        <v>464999.67</v>
      </c>
      <c r="J645" s="800">
        <v>400000</v>
      </c>
      <c r="K645" s="800">
        <f t="shared" si="316"/>
        <v>974.77999999996973</v>
      </c>
      <c r="L645" s="792">
        <f t="shared" si="317"/>
        <v>2.1007062789238952E-3</v>
      </c>
      <c r="M645" s="817">
        <f t="shared" si="300"/>
        <v>64999.669999999984</v>
      </c>
      <c r="N645" s="802">
        <f t="shared" si="305"/>
        <v>0.16249917499999997</v>
      </c>
      <c r="O645" s="786">
        <f t="shared" si="321"/>
        <v>5.9471767203156299E-2</v>
      </c>
      <c r="P645" s="817" t="b">
        <f t="shared" si="302"/>
        <v>1</v>
      </c>
      <c r="Q645" s="802">
        <f>COUNTIF(P$2:P645, TRUE)/(COUNTIF(P$2:P645,FALSE) + COUNTIF(P$2:P645, TRUE))</f>
        <v>0.49223602484472051</v>
      </c>
      <c r="R645" s="800">
        <v>348195.75</v>
      </c>
      <c r="S645" s="800">
        <f t="shared" si="297"/>
        <v>116803.91999999998</v>
      </c>
      <c r="T645" s="800">
        <v>-33955</v>
      </c>
      <c r="U645" s="800">
        <f t="shared" si="298"/>
        <v>98954.669999999984</v>
      </c>
      <c r="V645" s="802">
        <f>STDEV(D$2:D645)*SQRT(252)</f>
        <v>0.14277306456679006</v>
      </c>
      <c r="W645" s="802">
        <f>STDEV(L$2:L645)*SQRT(252)</f>
        <v>0.27601172944324498</v>
      </c>
      <c r="X645" s="801">
        <f t="shared" ref="X645:X685" si="322">E645/(A645/365.25)/V645</f>
        <v>0.76236742085984766</v>
      </c>
      <c r="Y645" s="801">
        <f t="shared" si="318"/>
        <v>0.21546826043632036</v>
      </c>
      <c r="Z645" s="807">
        <f t="shared" si="306"/>
        <v>-0.13490764754903814</v>
      </c>
    </row>
    <row r="646" spans="1:26" ht="20.100000000000001" customHeight="1" x14ac:dyDescent="0.2">
      <c r="A646" s="776">
        <f t="shared" si="320"/>
        <v>1001</v>
      </c>
      <c r="B646" s="795">
        <v>43234</v>
      </c>
      <c r="C646" s="820">
        <v>2730.13</v>
      </c>
      <c r="D646" s="792">
        <f t="shared" si="313"/>
        <v>8.8352176909664831E-4</v>
      </c>
      <c r="E646" s="819">
        <f t="shared" si="299"/>
        <v>0.29855310972013471</v>
      </c>
      <c r="F646" s="816">
        <v>7411.31</v>
      </c>
      <c r="G646" s="792">
        <f t="shared" si="314"/>
        <v>1.1387460015561904E-3</v>
      </c>
      <c r="H646" s="797">
        <f t="shared" si="315"/>
        <v>0.45556690299899849</v>
      </c>
      <c r="I646" s="841">
        <v>467579.22</v>
      </c>
      <c r="J646" s="800">
        <v>400000</v>
      </c>
      <c r="K646" s="800">
        <f t="shared" si="316"/>
        <v>2579.5499999999884</v>
      </c>
      <c r="L646" s="792">
        <f t="shared" si="317"/>
        <v>5.5474232917197309E-3</v>
      </c>
      <c r="M646" s="817">
        <f t="shared" si="300"/>
        <v>67579.219999999972</v>
      </c>
      <c r="N646" s="802">
        <f t="shared" si="305"/>
        <v>0.16894804999999993</v>
      </c>
      <c r="O646" s="786">
        <f t="shared" si="321"/>
        <v>6.1646628633866114E-2</v>
      </c>
      <c r="P646" s="817" t="b">
        <f t="shared" si="302"/>
        <v>1</v>
      </c>
      <c r="Q646" s="802">
        <f>COUNTIF(P$2:P646, TRUE)/(COUNTIF(P$2:P646,FALSE) + COUNTIF(P$2:P646, TRUE))</f>
        <v>0.49302325581395351</v>
      </c>
      <c r="R646" s="800">
        <v>330265.8</v>
      </c>
      <c r="S646" s="800">
        <f t="shared" si="297"/>
        <v>137313.41999999998</v>
      </c>
      <c r="T646" s="800">
        <v>-33635</v>
      </c>
      <c r="U646" s="800">
        <f t="shared" si="298"/>
        <v>101214.21999999997</v>
      </c>
      <c r="V646" s="802">
        <f>STDEV(D$2:D646)*SQRT(252)</f>
        <v>0.14266226356718267</v>
      </c>
      <c r="W646" s="802">
        <f>STDEV(L$2:L646)*SQRT(252)</f>
        <v>0.27581457099278633</v>
      </c>
      <c r="X646" s="801">
        <f t="shared" si="322"/>
        <v>0.76360477547195693</v>
      </c>
      <c r="Y646" s="801">
        <f t="shared" si="318"/>
        <v>0.223507512355025</v>
      </c>
      <c r="Z646" s="807">
        <f t="shared" si="306"/>
        <v>-0.12960505972013478</v>
      </c>
    </row>
    <row r="647" spans="1:26" ht="20.100000000000001" customHeight="1" x14ac:dyDescent="0.2">
      <c r="A647" s="776">
        <f t="shared" si="320"/>
        <v>1002</v>
      </c>
      <c r="B647" s="795">
        <v>43235</v>
      </c>
      <c r="C647" s="820">
        <v>2711.45</v>
      </c>
      <c r="D647" s="792">
        <f t="shared" si="313"/>
        <v>-6.8421650251088012E-3</v>
      </c>
      <c r="E647" s="819">
        <f t="shared" si="299"/>
        <v>0.28966819504956132</v>
      </c>
      <c r="F647" s="816">
        <v>7351.62</v>
      </c>
      <c r="G647" s="792">
        <f t="shared" si="314"/>
        <v>-8.0539067992029083E-3</v>
      </c>
      <c r="H647" s="797">
        <f t="shared" si="315"/>
        <v>0.44384390282224012</v>
      </c>
      <c r="I647" s="841">
        <v>466861.67</v>
      </c>
      <c r="J647" s="800">
        <v>400000</v>
      </c>
      <c r="K647" s="800">
        <f t="shared" si="316"/>
        <v>-717.54999999998836</v>
      </c>
      <c r="L647" s="792">
        <f t="shared" si="317"/>
        <v>-1.5346062641534591E-3</v>
      </c>
      <c r="M647" s="817">
        <f t="shared" si="300"/>
        <v>66861.669999999984</v>
      </c>
      <c r="N647" s="802">
        <f t="shared" si="305"/>
        <v>0.16715417499999996</v>
      </c>
      <c r="O647" s="786">
        <f t="shared" si="321"/>
        <v>6.0931200018712564E-2</v>
      </c>
      <c r="P647" s="817" t="b">
        <f t="shared" si="302"/>
        <v>1</v>
      </c>
      <c r="Q647" s="802">
        <f>COUNTIF(P$2:P647, TRUE)/(COUNTIF(P$2:P647,FALSE) + COUNTIF(P$2:P647, TRUE))</f>
        <v>0.4938080495356037</v>
      </c>
      <c r="R647" s="800">
        <v>329544.32000000001</v>
      </c>
      <c r="S647" s="800">
        <f t="shared" si="297"/>
        <v>137317.34999999998</v>
      </c>
      <c r="T647" s="800">
        <v>-33595</v>
      </c>
      <c r="U647" s="800">
        <f t="shared" si="298"/>
        <v>100456.66999999998</v>
      </c>
      <c r="V647" s="802">
        <f>STDEV(D$2:D647)*SQRT(252)</f>
        <v>0.1426242316403005</v>
      </c>
      <c r="W647" s="802">
        <f>STDEV(L$2:L647)*SQRT(252)</f>
        <v>0.27560351789719828</v>
      </c>
      <c r="X647" s="801">
        <f t="shared" si="322"/>
        <v>0.74033792695325229</v>
      </c>
      <c r="Y647" s="801">
        <f t="shared" si="318"/>
        <v>0.22108280940535838</v>
      </c>
      <c r="Z647" s="807">
        <f t="shared" si="306"/>
        <v>-0.12251402004956136</v>
      </c>
    </row>
    <row r="648" spans="1:26" ht="20.100000000000001" customHeight="1" x14ac:dyDescent="0.2">
      <c r="A648" s="776">
        <f t="shared" si="320"/>
        <v>1003</v>
      </c>
      <c r="B648" s="795">
        <v>43236</v>
      </c>
      <c r="C648" s="820">
        <v>2722.46</v>
      </c>
      <c r="D648" s="792">
        <f t="shared" si="313"/>
        <v>4.0605580040200704E-3</v>
      </c>
      <c r="E648" s="819">
        <f t="shared" si="299"/>
        <v>0.29490496756149998</v>
      </c>
      <c r="F648" s="816">
        <v>7398.29</v>
      </c>
      <c r="G648" s="792">
        <f t="shared" si="314"/>
        <v>6.3482606554745857E-3</v>
      </c>
      <c r="H648" s="797">
        <f t="shared" si="315"/>
        <v>0.45300980026317345</v>
      </c>
      <c r="I648" s="841">
        <v>469460.39</v>
      </c>
      <c r="J648" s="800">
        <v>400000</v>
      </c>
      <c r="K648" s="800">
        <f t="shared" si="316"/>
        <v>2598.7200000000303</v>
      </c>
      <c r="L648" s="792">
        <f t="shared" si="317"/>
        <v>5.5663597313526086E-3</v>
      </c>
      <c r="M648" s="817">
        <f t="shared" si="300"/>
        <v>69460.390000000014</v>
      </c>
      <c r="N648" s="802">
        <f t="shared" si="305"/>
        <v>0.17365097500000004</v>
      </c>
      <c r="O648" s="786">
        <f t="shared" si="321"/>
        <v>6.323630968968097E-2</v>
      </c>
      <c r="P648" s="817" t="b">
        <f t="shared" si="302"/>
        <v>1</v>
      </c>
      <c r="Q648" s="802">
        <f>COUNTIF(P$2:P648, TRUE)/(COUNTIF(P$2:P648,FALSE) + COUNTIF(P$2:P648, TRUE))</f>
        <v>0.49459041731066461</v>
      </c>
      <c r="R648" s="800">
        <v>329098.73</v>
      </c>
      <c r="S648" s="800">
        <f t="shared" si="297"/>
        <v>140361.66000000003</v>
      </c>
      <c r="T648" s="800">
        <v>-33215</v>
      </c>
      <c r="U648" s="800">
        <f t="shared" si="298"/>
        <v>102675.39000000001</v>
      </c>
      <c r="V648" s="802">
        <f>STDEV(D$2:D648)*SQRT(252)</f>
        <v>0.14253161835311137</v>
      </c>
      <c r="W648" s="802">
        <f>STDEV(L$2:L648)*SQRT(252)</f>
        <v>0.2754074158314333</v>
      </c>
      <c r="X648" s="801">
        <f t="shared" si="322"/>
        <v>0.75345993437295689</v>
      </c>
      <c r="Y648" s="801">
        <f t="shared" si="318"/>
        <v>0.22961004698720813</v>
      </c>
      <c r="Z648" s="807">
        <f t="shared" si="306"/>
        <v>-0.12125399256149993</v>
      </c>
    </row>
    <row r="649" spans="1:26" ht="20.100000000000001" customHeight="1" x14ac:dyDescent="0.2">
      <c r="A649" s="776">
        <f t="shared" si="320"/>
        <v>1004</v>
      </c>
      <c r="B649" s="795">
        <v>43237</v>
      </c>
      <c r="C649" s="820">
        <v>2720.13</v>
      </c>
      <c r="D649" s="792">
        <f t="shared" si="313"/>
        <v>-8.5584361202733085E-4</v>
      </c>
      <c r="E649" s="819">
        <f t="shared" si="299"/>
        <v>0.29379673141682999</v>
      </c>
      <c r="F649" s="816">
        <v>7382.47</v>
      </c>
      <c r="G649" s="792">
        <f t="shared" si="314"/>
        <v>-2.1383319659001891E-3</v>
      </c>
      <c r="H649" s="797">
        <f t="shared" si="315"/>
        <v>0.44990278296050445</v>
      </c>
      <c r="I649" s="841">
        <v>471759.89</v>
      </c>
      <c r="J649" s="800">
        <v>400000</v>
      </c>
      <c r="K649" s="800">
        <f t="shared" si="316"/>
        <v>2299.5</v>
      </c>
      <c r="L649" s="792">
        <f t="shared" si="317"/>
        <v>4.8981768195608582E-3</v>
      </c>
      <c r="M649" s="817">
        <f t="shared" si="300"/>
        <v>71759.890000000014</v>
      </c>
      <c r="N649" s="802">
        <f t="shared" si="305"/>
        <v>0.17939972500000004</v>
      </c>
      <c r="O649" s="786">
        <f t="shared" si="321"/>
        <v>6.5264690793077701E-2</v>
      </c>
      <c r="P649" s="817" t="b">
        <f t="shared" si="302"/>
        <v>1</v>
      </c>
      <c r="Q649" s="802">
        <f>COUNTIF(P$2:P649, TRUE)/(COUNTIF(P$2:P649,FALSE) + COUNTIF(P$2:P649, TRUE))</f>
        <v>0.49537037037037035</v>
      </c>
      <c r="R649" s="800">
        <v>334075.42</v>
      </c>
      <c r="S649" s="800">
        <f t="shared" ref="S649:S680" si="323">I649-R649</f>
        <v>137684.47000000003</v>
      </c>
      <c r="T649" s="800">
        <v>-32602</v>
      </c>
      <c r="U649" s="800">
        <f t="shared" si="298"/>
        <v>104361.89000000001</v>
      </c>
      <c r="V649" s="802">
        <f>STDEV(D$2:D649)*SQRT(252)</f>
        <v>0.14242355455399155</v>
      </c>
      <c r="W649" s="802">
        <f>STDEV(L$2:L649)*SQRT(252)</f>
        <v>0.27520733292205884</v>
      </c>
      <c r="X649" s="801">
        <f t="shared" si="322"/>
        <v>0.75044980844476061</v>
      </c>
      <c r="Y649" s="801">
        <f t="shared" si="318"/>
        <v>0.23714735396080902</v>
      </c>
      <c r="Z649" s="807">
        <f t="shared" si="306"/>
        <v>-0.11439700641682995</v>
      </c>
    </row>
    <row r="650" spans="1:26" ht="20.100000000000001" customHeight="1" x14ac:dyDescent="0.2">
      <c r="A650" s="776">
        <f t="shared" si="320"/>
        <v>1005</v>
      </c>
      <c r="B650" s="795">
        <v>43238</v>
      </c>
      <c r="C650" s="820">
        <v>2712.97</v>
      </c>
      <c r="D650" s="792">
        <f t="shared" si="313"/>
        <v>-2.6322271362031629E-3</v>
      </c>
      <c r="E650" s="819">
        <f t="shared" si="299"/>
        <v>0.29039116455166364</v>
      </c>
      <c r="F650" s="816">
        <v>7354.33</v>
      </c>
      <c r="G650" s="792">
        <f t="shared" si="314"/>
        <v>-3.8117323876697535E-3</v>
      </c>
      <c r="H650" s="797">
        <f t="shared" si="315"/>
        <v>0.44437614156372141</v>
      </c>
      <c r="I650" s="841">
        <v>368892.97</v>
      </c>
      <c r="J650" s="800">
        <v>300000</v>
      </c>
      <c r="K650" s="800">
        <f t="shared" si="316"/>
        <v>-2866.9200000000419</v>
      </c>
      <c r="L650" s="792">
        <f t="shared" si="317"/>
        <v>-6.0770745049988075E-3</v>
      </c>
      <c r="M650" s="817">
        <f t="shared" si="300"/>
        <v>68892.969999999972</v>
      </c>
      <c r="N650" s="802">
        <f t="shared" si="305"/>
        <v>0.22964323333333325</v>
      </c>
      <c r="O650" s="786">
        <f t="shared" si="321"/>
        <v>8.3459891517412899E-2</v>
      </c>
      <c r="P650" s="817" t="b">
        <f t="shared" si="302"/>
        <v>0</v>
      </c>
      <c r="Q650" s="802">
        <f>COUNTIF(P$2:P650, TRUE)/(COUNTIF(P$2:P650,FALSE) + COUNTIF(P$2:P650, TRUE))</f>
        <v>0.49460708782742679</v>
      </c>
      <c r="R650" s="800">
        <v>331208.48</v>
      </c>
      <c r="S650" s="800">
        <f t="shared" si="323"/>
        <v>37684.489999999991</v>
      </c>
      <c r="T650" s="800">
        <v>-33172</v>
      </c>
      <c r="U650" s="800">
        <f t="shared" si="298"/>
        <v>102064.96999999997</v>
      </c>
      <c r="V650" s="802">
        <f>STDEV(D$2:D650)*SQRT(252)</f>
        <v>0.14232632938568604</v>
      </c>
      <c r="W650" s="802">
        <f>STDEV(L$2:L650)*SQRT(252)</f>
        <v>0.27502601707498364</v>
      </c>
      <c r="X650" s="801">
        <f t="shared" si="322"/>
        <v>0.74151904911669486</v>
      </c>
      <c r="Y650" s="801">
        <f t="shared" si="318"/>
        <v>0.30346180483229784</v>
      </c>
      <c r="Z650" s="807">
        <f t="shared" si="306"/>
        <v>-6.0747931218330387E-2</v>
      </c>
    </row>
    <row r="651" spans="1:26" ht="20.100000000000001" customHeight="1" x14ac:dyDescent="0.2">
      <c r="A651" s="776">
        <f t="shared" si="320"/>
        <v>1008</v>
      </c>
      <c r="B651" s="795">
        <v>43241</v>
      </c>
      <c r="C651" s="820">
        <v>2733.01</v>
      </c>
      <c r="D651" s="792">
        <f t="shared" si="313"/>
        <v>7.386738519040174E-3</v>
      </c>
      <c r="E651" s="819">
        <f t="shared" si="299"/>
        <v>0.29992294667148656</v>
      </c>
      <c r="F651" s="816">
        <v>7394.03</v>
      </c>
      <c r="G651" s="792">
        <f t="shared" si="314"/>
        <v>5.3981803916875936E-3</v>
      </c>
      <c r="H651" s="797">
        <f t="shared" si="315"/>
        <v>0.45217314452933205</v>
      </c>
      <c r="I651" s="841">
        <v>370544.71</v>
      </c>
      <c r="J651" s="800">
        <v>300000</v>
      </c>
      <c r="K651" s="800">
        <f t="shared" si="316"/>
        <v>1651.7400000000489</v>
      </c>
      <c r="L651" s="792">
        <f t="shared" si="317"/>
        <v>4.4775588973681151E-3</v>
      </c>
      <c r="M651" s="817">
        <f t="shared" si="300"/>
        <v>70544.710000000021</v>
      </c>
      <c r="N651" s="802">
        <f t="shared" si="305"/>
        <v>0.2351490333333334</v>
      </c>
      <c r="O651" s="786">
        <f t="shared" si="321"/>
        <v>8.5206532167658749E-2</v>
      </c>
      <c r="P651" s="817" t="b">
        <f t="shared" si="302"/>
        <v>0</v>
      </c>
      <c r="Q651" s="802">
        <f>COUNTIF(P$2:P651, TRUE)/(COUNTIF(P$2:P651,FALSE) + COUNTIF(P$2:P651, TRUE))</f>
        <v>0.49384615384615382</v>
      </c>
      <c r="R651" s="800">
        <v>310980.52</v>
      </c>
      <c r="S651" s="800">
        <f t="shared" si="323"/>
        <v>59564.19</v>
      </c>
      <c r="T651" s="800">
        <v>-33411</v>
      </c>
      <c r="U651" s="800">
        <f t="shared" si="298"/>
        <v>103955.71000000002</v>
      </c>
      <c r="V651" s="802">
        <f>STDEV(D$2:D651)*SQRT(252)</f>
        <v>0.14228245000566273</v>
      </c>
      <c r="W651" s="802">
        <f>STDEV(L$2:L651)*SQRT(252)</f>
        <v>0.27482444645236265</v>
      </c>
      <c r="X651" s="801">
        <f t="shared" si="322"/>
        <v>0.76381476965862527</v>
      </c>
      <c r="Y651" s="801">
        <f t="shared" si="318"/>
        <v>0.31003985732553174</v>
      </c>
      <c r="Z651" s="807">
        <f t="shared" si="306"/>
        <v>-6.4773913338153161E-2</v>
      </c>
    </row>
    <row r="652" spans="1:26" ht="20.100000000000001" customHeight="1" x14ac:dyDescent="0.2">
      <c r="A652" s="776">
        <f t="shared" si="320"/>
        <v>1009</v>
      </c>
      <c r="B652" s="795">
        <v>43242</v>
      </c>
      <c r="C652" s="820">
        <v>2724.44</v>
      </c>
      <c r="D652" s="792">
        <f t="shared" si="313"/>
        <v>-3.1357367883762454E-3</v>
      </c>
      <c r="E652" s="819">
        <f t="shared" si="299"/>
        <v>0.29584673046555432</v>
      </c>
      <c r="F652" s="816">
        <v>7378.45</v>
      </c>
      <c r="G652" s="792">
        <f t="shared" si="314"/>
        <v>-2.1071053268650422E-3</v>
      </c>
      <c r="H652" s="797">
        <f t="shared" si="315"/>
        <v>0.44911326276096392</v>
      </c>
      <c r="I652" s="841">
        <v>369224.1</v>
      </c>
      <c r="J652" s="800">
        <v>300000</v>
      </c>
      <c r="K652" s="800">
        <f t="shared" si="316"/>
        <v>-1320.6100000000442</v>
      </c>
      <c r="L652" s="792">
        <f t="shared" si="317"/>
        <v>-3.5639693790259323E-3</v>
      </c>
      <c r="M652" s="817">
        <f t="shared" si="300"/>
        <v>69224.099999999977</v>
      </c>
      <c r="N652" s="802">
        <f t="shared" si="305"/>
        <v>0.23074699999999992</v>
      </c>
      <c r="O652" s="786">
        <f t="shared" si="321"/>
        <v>8.3528584489593632E-2</v>
      </c>
      <c r="P652" s="817" t="b">
        <f t="shared" si="302"/>
        <v>0</v>
      </c>
      <c r="Q652" s="802">
        <f>COUNTIF(P$2:P652, TRUE)/(COUNTIF(P$2:P652,FALSE) + COUNTIF(P$2:P652, TRUE))</f>
        <v>0.49308755760368661</v>
      </c>
      <c r="R652" s="800">
        <v>309642.99</v>
      </c>
      <c r="S652" s="800">
        <f t="shared" si="323"/>
        <v>59581.109999999986</v>
      </c>
      <c r="T652" s="800">
        <v>-33552</v>
      </c>
      <c r="U652" s="800">
        <f t="shared" si="298"/>
        <v>102776.09999999998</v>
      </c>
      <c r="V652" s="802">
        <f>STDEV(D$2:D652)*SQRT(252)</f>
        <v>0.14219026559539735</v>
      </c>
      <c r="W652" s="802">
        <f>STDEV(L$2:L652)*SQRT(252)</f>
        <v>0.27462480184217142</v>
      </c>
      <c r="X652" s="801">
        <f t="shared" si="322"/>
        <v>0.75317512290461208</v>
      </c>
      <c r="Y652" s="801">
        <f t="shared" si="318"/>
        <v>0.30415528360616906</v>
      </c>
      <c r="Z652" s="807">
        <f t="shared" si="306"/>
        <v>-6.5099730465554395E-2</v>
      </c>
    </row>
    <row r="653" spans="1:26" ht="20.100000000000001" customHeight="1" x14ac:dyDescent="0.2">
      <c r="A653" s="776">
        <f t="shared" si="320"/>
        <v>1010</v>
      </c>
      <c r="B653" s="795">
        <v>43243</v>
      </c>
      <c r="C653" s="820">
        <v>2733.29</v>
      </c>
      <c r="D653" s="792">
        <f t="shared" si="313"/>
        <v>3.2483739777715453E-3</v>
      </c>
      <c r="E653" s="819">
        <f t="shared" si="299"/>
        <v>0.30005612526397896</v>
      </c>
      <c r="F653" s="816">
        <v>7425.95</v>
      </c>
      <c r="G653" s="792">
        <f t="shared" si="314"/>
        <v>6.4376664475601243E-3</v>
      </c>
      <c r="H653" s="797">
        <f t="shared" si="315"/>
        <v>0.45844217059135456</v>
      </c>
      <c r="I653" s="841">
        <v>369307.32</v>
      </c>
      <c r="J653" s="800">
        <v>300000</v>
      </c>
      <c r="K653" s="800">
        <f t="shared" si="316"/>
        <v>83.220000000030268</v>
      </c>
      <c r="L653" s="792">
        <f t="shared" si="317"/>
        <v>2.2539157113533561E-4</v>
      </c>
      <c r="M653" s="817">
        <f t="shared" si="300"/>
        <v>69307.320000000007</v>
      </c>
      <c r="N653" s="802">
        <f t="shared" si="305"/>
        <v>0.23102440000000002</v>
      </c>
      <c r="O653" s="786">
        <f t="shared" si="321"/>
        <v>8.3546200099009912E-2</v>
      </c>
      <c r="P653" s="817" t="b">
        <f t="shared" si="302"/>
        <v>0</v>
      </c>
      <c r="Q653" s="802">
        <f>COUNTIF(P$2:P653, TRUE)/(COUNTIF(P$2:P653,FALSE) + COUNTIF(P$2:P653, TRUE))</f>
        <v>0.49233128834355827</v>
      </c>
      <c r="R653" s="800">
        <v>304541.98</v>
      </c>
      <c r="S653" s="800">
        <f t="shared" si="323"/>
        <v>64765.340000000026</v>
      </c>
      <c r="T653" s="800">
        <v>-33811</v>
      </c>
      <c r="U653" s="800">
        <f t="shared" si="298"/>
        <v>103118.32</v>
      </c>
      <c r="V653" s="802">
        <f>STDEV(D$2:D653)*SQRT(252)</f>
        <v>0.1420915986337544</v>
      </c>
      <c r="W653" s="802">
        <f>STDEV(L$2:L653)*SQRT(252)</f>
        <v>0.27441355998676326</v>
      </c>
      <c r="X653" s="801">
        <f t="shared" si="322"/>
        <v>0.76366510643891128</v>
      </c>
      <c r="Y653" s="801">
        <f t="shared" si="318"/>
        <v>0.30445361411090577</v>
      </c>
      <c r="Z653" s="807">
        <f t="shared" si="306"/>
        <v>-6.9031725263978938E-2</v>
      </c>
    </row>
    <row r="654" spans="1:26" ht="20.100000000000001" customHeight="1" x14ac:dyDescent="0.2">
      <c r="A654" s="776">
        <f t="shared" si="320"/>
        <v>1011</v>
      </c>
      <c r="B654" s="795">
        <v>43244</v>
      </c>
      <c r="C654" s="820">
        <v>2727.76</v>
      </c>
      <c r="D654" s="792">
        <f t="shared" si="313"/>
        <v>-2.0232028068736742E-3</v>
      </c>
      <c r="E654" s="819">
        <f t="shared" si="299"/>
        <v>0.29742584806225153</v>
      </c>
      <c r="F654" s="816">
        <v>7424.42</v>
      </c>
      <c r="G654" s="792">
        <f t="shared" si="314"/>
        <v>-2.0603424477672828E-4</v>
      </c>
      <c r="H654" s="797">
        <f t="shared" si="315"/>
        <v>0.45814168156018625</v>
      </c>
      <c r="I654" s="841">
        <v>369717.91</v>
      </c>
      <c r="J654" s="800">
        <v>300000</v>
      </c>
      <c r="K654" s="800">
        <f t="shared" si="316"/>
        <v>410.5899999999674</v>
      </c>
      <c r="L654" s="792">
        <f t="shared" si="317"/>
        <v>1.1117840826982996E-3</v>
      </c>
      <c r="M654" s="817">
        <f t="shared" si="300"/>
        <v>69717.909999999974</v>
      </c>
      <c r="N654" s="802">
        <f t="shared" si="305"/>
        <v>0.23239303333333325</v>
      </c>
      <c r="O654" s="786">
        <f t="shared" si="321"/>
        <v>8.3958017235410451E-2</v>
      </c>
      <c r="P654" s="817" t="b">
        <f t="shared" si="302"/>
        <v>1</v>
      </c>
      <c r="Q654" s="802">
        <f>COUNTIF(P$2:P654, TRUE)/(COUNTIF(P$2:P654,FALSE) + COUNTIF(P$2:P654, TRUE))</f>
        <v>0.49310872894333846</v>
      </c>
      <c r="R654" s="800">
        <v>306982</v>
      </c>
      <c r="S654" s="800">
        <f t="shared" si="323"/>
        <v>62735.909999999974</v>
      </c>
      <c r="T654" s="800">
        <v>-33834</v>
      </c>
      <c r="U654" s="800">
        <f t="shared" si="298"/>
        <v>103551.90999999997</v>
      </c>
      <c r="V654" s="802">
        <f>STDEV(D$2:D654)*SQRT(252)</f>
        <v>0.14199070268800965</v>
      </c>
      <c r="W654" s="802">
        <f>STDEV(L$2:L654)*SQRT(252)</f>
        <v>0.27420291468288271</v>
      </c>
      <c r="X654" s="801">
        <f t="shared" si="322"/>
        <v>0.75675947832872026</v>
      </c>
      <c r="Y654" s="801">
        <f t="shared" si="318"/>
        <v>0.30618936830962717</v>
      </c>
      <c r="Z654" s="807">
        <f t="shared" si="306"/>
        <v>-6.5032814728918281E-2</v>
      </c>
    </row>
    <row r="655" spans="1:26" ht="20.100000000000001" customHeight="1" x14ac:dyDescent="0.2">
      <c r="A655" s="776">
        <f t="shared" si="320"/>
        <v>1012</v>
      </c>
      <c r="B655" s="795">
        <v>43245</v>
      </c>
      <c r="C655" s="820">
        <v>2721.33</v>
      </c>
      <c r="D655" s="792">
        <f t="shared" si="313"/>
        <v>-2.3572455054697958E-3</v>
      </c>
      <c r="E655" s="819">
        <f t="shared" si="299"/>
        <v>0.29436749681322649</v>
      </c>
      <c r="F655" s="816">
        <v>7433.85</v>
      </c>
      <c r="G655" s="792">
        <f t="shared" si="314"/>
        <v>1.2701328858012197E-3</v>
      </c>
      <c r="H655" s="797">
        <f t="shared" si="315"/>
        <v>0.45999371526209332</v>
      </c>
      <c r="I655" s="841">
        <v>370226.78</v>
      </c>
      <c r="J655" s="800">
        <v>300000</v>
      </c>
      <c r="K655" s="800">
        <f t="shared" si="316"/>
        <v>508.87000000005355</v>
      </c>
      <c r="L655" s="792">
        <f t="shared" si="317"/>
        <v>1.3763736790572401E-3</v>
      </c>
      <c r="M655" s="817">
        <f t="shared" si="300"/>
        <v>70226.780000000028</v>
      </c>
      <c r="N655" s="802">
        <f t="shared" si="305"/>
        <v>0.23408926666666677</v>
      </c>
      <c r="O655" s="786">
        <f t="shared" si="321"/>
        <v>8.448725755928857E-2</v>
      </c>
      <c r="P655" s="817" t="b">
        <f t="shared" si="302"/>
        <v>1</v>
      </c>
      <c r="Q655" s="802">
        <f>COUNTIF(P$2:P655, TRUE)/(COUNTIF(P$2:P655,FALSE) + COUNTIF(P$2:P655, TRUE))</f>
        <v>0.49388379204892968</v>
      </c>
      <c r="R655" s="800">
        <v>324879.32</v>
      </c>
      <c r="S655" s="800">
        <f t="shared" si="323"/>
        <v>45347.460000000021</v>
      </c>
      <c r="T655" s="800">
        <v>-33723</v>
      </c>
      <c r="U655" s="800">
        <f t="shared" si="298"/>
        <v>103949.78000000003</v>
      </c>
      <c r="V655" s="802">
        <f>STDEV(D$2:D655)*SQRT(252)</f>
        <v>0.14189240854304816</v>
      </c>
      <c r="W655" s="802">
        <f>STDEV(L$2:L655)*SQRT(252)</f>
        <v>0.27399300064676285</v>
      </c>
      <c r="X655" s="801">
        <f t="shared" si="322"/>
        <v>0.74875615636297466</v>
      </c>
      <c r="Y655" s="801">
        <f t="shared" si="318"/>
        <v>0.3083555322940939</v>
      </c>
      <c r="Z655" s="807">
        <f t="shared" si="306"/>
        <v>-6.0278230146559725E-2</v>
      </c>
    </row>
    <row r="656" spans="1:26" ht="20.100000000000001" customHeight="1" x14ac:dyDescent="0.2">
      <c r="A656" s="776">
        <f t="shared" si="320"/>
        <v>1015</v>
      </c>
      <c r="B656" s="795">
        <v>43248</v>
      </c>
      <c r="C656" s="820">
        <v>2689.86</v>
      </c>
      <c r="D656" s="792">
        <f t="shared" si="313"/>
        <v>-1.1564198388288007E-2</v>
      </c>
      <c r="E656" s="819">
        <f t="shared" si="299"/>
        <v>0.27939917429272659</v>
      </c>
      <c r="F656" s="816">
        <v>7396.59</v>
      </c>
      <c r="G656" s="792">
        <f t="shared" si="314"/>
        <v>-5.0122076716641066E-3</v>
      </c>
      <c r="H656" s="797">
        <f t="shared" si="315"/>
        <v>0.4526759235618753</v>
      </c>
      <c r="I656" s="841">
        <v>367527</v>
      </c>
      <c r="J656" s="800">
        <v>300000</v>
      </c>
      <c r="K656" s="800">
        <f t="shared" si="316"/>
        <v>-2699.7800000000279</v>
      </c>
      <c r="L656" s="792">
        <f t="shared" si="317"/>
        <v>-7.292233155040885E-3</v>
      </c>
      <c r="M656" s="817">
        <f t="shared" si="300"/>
        <v>67527</v>
      </c>
      <c r="N656" s="802">
        <f t="shared" ref="N656:N685" si="324">M656/J656</f>
        <v>0.22509000000000001</v>
      </c>
      <c r="O656" s="786">
        <f t="shared" si="321"/>
        <v>8.0999135467980307E-2</v>
      </c>
      <c r="P656" s="817" t="b">
        <f t="shared" si="302"/>
        <v>1</v>
      </c>
      <c r="Q656" s="802">
        <f>COUNTIF(P$2:P656, TRUE)/(COUNTIF(P$2:P656,FALSE) + COUNTIF(P$2:P656, TRUE))</f>
        <v>0.4946564885496183</v>
      </c>
      <c r="R656" s="800">
        <v>334136.78000000003</v>
      </c>
      <c r="S656" s="800">
        <f t="shared" si="323"/>
        <v>33390.219999999972</v>
      </c>
      <c r="T656" s="800">
        <v>-33965</v>
      </c>
      <c r="U656" s="800">
        <f t="shared" si="298"/>
        <v>101492</v>
      </c>
      <c r="V656" s="802">
        <f>STDEV(D$2:D656)*SQRT(252)</f>
        <v>0.14197923510555985</v>
      </c>
      <c r="W656" s="802">
        <f>STDEV(L$2:L656)*SQRT(252)</f>
        <v>0.27382676083750657</v>
      </c>
      <c r="X656" s="801">
        <f t="shared" si="322"/>
        <v>0.70814871028331094</v>
      </c>
      <c r="Y656" s="801">
        <f t="shared" si="318"/>
        <v>0.29580430787787965</v>
      </c>
      <c r="Z656" s="807">
        <f t="shared" ref="Z656:Z685" si="325">-(E656-N656)</f>
        <v>-5.4309174292726581E-2</v>
      </c>
    </row>
    <row r="657" spans="1:26" ht="20.100000000000001" customHeight="1" x14ac:dyDescent="0.2">
      <c r="A657" s="776">
        <f t="shared" si="320"/>
        <v>1016</v>
      </c>
      <c r="B657" s="795">
        <v>43249</v>
      </c>
      <c r="C657" s="820">
        <v>2724.01</v>
      </c>
      <c r="D657" s="792">
        <f t="shared" si="313"/>
        <v>1.2695828035659882E-2</v>
      </c>
      <c r="E657" s="819">
        <f t="shared" si="299"/>
        <v>0.29564220619851228</v>
      </c>
      <c r="F657" s="816">
        <v>7462.45</v>
      </c>
      <c r="G657" s="792">
        <f t="shared" si="314"/>
        <v>8.9041031069722228E-3</v>
      </c>
      <c r="H657" s="797">
        <f t="shared" si="315"/>
        <v>0.46561069976628633</v>
      </c>
      <c r="I657" s="841">
        <v>372747.09</v>
      </c>
      <c r="J657" s="800">
        <v>300000</v>
      </c>
      <c r="K657" s="800">
        <f t="shared" si="316"/>
        <v>5220.0900000000256</v>
      </c>
      <c r="L657" s="792">
        <f t="shared" si="317"/>
        <v>1.420328302410442E-2</v>
      </c>
      <c r="M657" s="817">
        <f t="shared" si="300"/>
        <v>72747.090000000026</v>
      </c>
      <c r="N657" s="802">
        <f t="shared" si="324"/>
        <v>0.24249030000000008</v>
      </c>
      <c r="O657" s="786">
        <f t="shared" si="321"/>
        <v>8.7174785506889799E-2</v>
      </c>
      <c r="P657" s="817" t="b">
        <f t="shared" si="302"/>
        <v>1</v>
      </c>
      <c r="Q657" s="802">
        <f>COUNTIF(P$2:P657, TRUE)/(COUNTIF(P$2:P657,FALSE) + COUNTIF(P$2:P657, TRUE))</f>
        <v>0.49542682926829268</v>
      </c>
      <c r="R657" s="800">
        <v>332957.99</v>
      </c>
      <c r="S657" s="800">
        <f t="shared" si="323"/>
        <v>39789.100000000035</v>
      </c>
      <c r="T657" s="800">
        <v>-33334</v>
      </c>
      <c r="U657" s="800">
        <f t="shared" si="298"/>
        <v>106081.09000000003</v>
      </c>
      <c r="V657" s="802">
        <f>STDEV(D$2:D657)*SQRT(252)</f>
        <v>0.14207494036026391</v>
      </c>
      <c r="W657" s="802">
        <f>STDEV(L$2:L657)*SQRT(252)</f>
        <v>0.27374796229721837</v>
      </c>
      <c r="X657" s="801">
        <f t="shared" si="322"/>
        <v>0.74807556410732035</v>
      </c>
      <c r="Y657" s="801">
        <f t="shared" si="318"/>
        <v>0.31844907547564094</v>
      </c>
      <c r="Z657" s="807">
        <f t="shared" si="325"/>
        <v>-5.3151906198512205E-2</v>
      </c>
    </row>
    <row r="658" spans="1:26" ht="20.100000000000001" customHeight="1" x14ac:dyDescent="0.2">
      <c r="A658" s="776">
        <f t="shared" si="320"/>
        <v>1017</v>
      </c>
      <c r="B658" s="795">
        <v>43250</v>
      </c>
      <c r="C658" s="820">
        <v>2705.27</v>
      </c>
      <c r="D658" s="792">
        <f t="shared" si="313"/>
        <v>-6.8795635845684249E-3</v>
      </c>
      <c r="E658" s="819">
        <f t="shared" si="299"/>
        <v>0.28672875325811908</v>
      </c>
      <c r="F658" s="816">
        <v>7442.11</v>
      </c>
      <c r="G658" s="792">
        <f t="shared" si="314"/>
        <v>-2.7256464029909943E-3</v>
      </c>
      <c r="H658" s="797">
        <f t="shared" si="315"/>
        <v>0.46161596323428322</v>
      </c>
      <c r="I658" s="842">
        <v>367531.04</v>
      </c>
      <c r="J658" s="800">
        <v>300000</v>
      </c>
      <c r="K658" s="800">
        <f t="shared" si="316"/>
        <v>-5216.0500000000466</v>
      </c>
      <c r="L658" s="792">
        <f t="shared" si="317"/>
        <v>-1.3993536475362011E-2</v>
      </c>
      <c r="M658" s="822">
        <f t="shared" si="300"/>
        <v>67531.039999999979</v>
      </c>
      <c r="N658" s="802">
        <f t="shared" si="324"/>
        <v>0.22510346666666659</v>
      </c>
      <c r="O658" s="786">
        <f t="shared" si="321"/>
        <v>8.0844681612585997E-2</v>
      </c>
      <c r="P658" s="817" t="b">
        <f t="shared" si="302"/>
        <v>0</v>
      </c>
      <c r="Q658" s="802">
        <f>COUNTIF(P$2:P658, TRUE)/(COUNTIF(P$2:P658,FALSE) + COUNTIF(P$2:P658, TRUE))</f>
        <v>0.49467275494672752</v>
      </c>
      <c r="R658" s="800">
        <v>334660.08</v>
      </c>
      <c r="S658" s="800">
        <f t="shared" si="323"/>
        <v>32870.959999999963</v>
      </c>
      <c r="T658" s="800">
        <v>-34339</v>
      </c>
      <c r="U658" s="800">
        <f t="shared" si="298"/>
        <v>101870.03999999998</v>
      </c>
      <c r="V658" s="802">
        <f>STDEV(D$2:D658)*SQRT(252)</f>
        <v>0.14203882295195239</v>
      </c>
      <c r="W658" s="802">
        <f>STDEV(L$2:L658)*SQRT(252)</f>
        <v>0.27368824315462342</v>
      </c>
      <c r="X658" s="801">
        <f t="shared" si="322"/>
        <v>0.72499239889895384</v>
      </c>
      <c r="Y658" s="801">
        <f t="shared" si="318"/>
        <v>0.29538967651932285</v>
      </c>
      <c r="Z658" s="807">
        <f t="shared" si="325"/>
        <v>-6.1625286591452499E-2</v>
      </c>
    </row>
    <row r="659" spans="1:26" ht="20.100000000000001" customHeight="1" x14ac:dyDescent="0.2">
      <c r="A659" s="776">
        <f t="shared" si="320"/>
        <v>1019</v>
      </c>
      <c r="B659" s="795">
        <v>43252</v>
      </c>
      <c r="C659" s="820">
        <v>2734.62</v>
      </c>
      <c r="D659" s="792">
        <f t="shared" si="313"/>
        <v>1.0849194350286629E-2</v>
      </c>
      <c r="E659" s="819">
        <f t="shared" si="299"/>
        <v>0.30068872357831844</v>
      </c>
      <c r="F659" s="816">
        <v>7555.33</v>
      </c>
      <c r="G659" s="792">
        <f t="shared" si="314"/>
        <v>1.5213427374763375E-2</v>
      </c>
      <c r="H659" s="797">
        <f t="shared" si="315"/>
        <v>0.48385215154074279</v>
      </c>
      <c r="I659" s="841">
        <v>369254.27</v>
      </c>
      <c r="J659" s="800">
        <v>300000</v>
      </c>
      <c r="K659" s="800">
        <f t="shared" si="316"/>
        <v>1723.2300000000396</v>
      </c>
      <c r="L659" s="792">
        <f t="shared" si="317"/>
        <v>4.6886652077061022E-3</v>
      </c>
      <c r="M659" s="817">
        <f t="shared" si="300"/>
        <v>69254.270000000019</v>
      </c>
      <c r="N659" s="802">
        <f t="shared" si="324"/>
        <v>0.23084756666666673</v>
      </c>
      <c r="O659" s="786">
        <f t="shared" si="321"/>
        <v>8.2744920240431813E-2</v>
      </c>
      <c r="P659" s="817" t="b">
        <f t="shared" si="302"/>
        <v>0</v>
      </c>
      <c r="Q659" s="802">
        <f>COUNTIF(P$2:P659, TRUE)/(COUNTIF(P$2:P659,FALSE) + COUNTIF(P$2:P659, TRUE))</f>
        <v>0.4939209726443769</v>
      </c>
      <c r="R659" s="800">
        <v>331627.31</v>
      </c>
      <c r="S659" s="800">
        <f t="shared" si="323"/>
        <v>37626.960000000021</v>
      </c>
      <c r="T659" s="800">
        <v>-34339</v>
      </c>
      <c r="U659" s="800">
        <f t="shared" si="298"/>
        <v>103593.27000000002</v>
      </c>
      <c r="V659" s="802">
        <f>STDEV(D$2:D659)*SQRT(252)</f>
        <v>0.14207729241612863</v>
      </c>
      <c r="W659" s="802">
        <f>STDEV(L$2:L659)*SQRT(252)</f>
        <v>0.27349145962953619</v>
      </c>
      <c r="X659" s="801">
        <f t="shared" si="322"/>
        <v>0.75859243948823241</v>
      </c>
      <c r="Y659" s="801">
        <f t="shared" si="318"/>
        <v>0.30255028933084693</v>
      </c>
      <c r="Z659" s="807">
        <f t="shared" si="325"/>
        <v>-6.9841156911651714E-2</v>
      </c>
    </row>
    <row r="660" spans="1:26" ht="20.100000000000001" customHeight="1" x14ac:dyDescent="0.2">
      <c r="A660" s="776">
        <f t="shared" si="320"/>
        <v>1022</v>
      </c>
      <c r="B660" s="795">
        <v>43255</v>
      </c>
      <c r="C660" s="820">
        <v>2746.87</v>
      </c>
      <c r="D660" s="792">
        <f t="shared" si="313"/>
        <v>4.4795986279629347E-3</v>
      </c>
      <c r="E660" s="819">
        <f t="shared" si="299"/>
        <v>0.30651528699986674</v>
      </c>
      <c r="F660" s="816">
        <v>7606.46</v>
      </c>
      <c r="G660" s="792">
        <f t="shared" si="314"/>
        <v>6.7674079093831916E-3</v>
      </c>
      <c r="H660" s="797">
        <f t="shared" si="315"/>
        <v>0.49389398432743492</v>
      </c>
      <c r="I660" s="841">
        <v>371020.96</v>
      </c>
      <c r="J660" s="800">
        <v>300000</v>
      </c>
      <c r="K660" s="800">
        <f t="shared" si="316"/>
        <v>1766.6900000000023</v>
      </c>
      <c r="L660" s="792">
        <f t="shared" si="317"/>
        <v>4.7844808944254111E-3</v>
      </c>
      <c r="M660" s="817">
        <f t="shared" si="300"/>
        <v>71020.960000000021</v>
      </c>
      <c r="N660" s="802">
        <f t="shared" si="324"/>
        <v>0.23673653333333342</v>
      </c>
      <c r="O660" s="786">
        <f t="shared" si="321"/>
        <v>8.460667201565561E-2</v>
      </c>
      <c r="P660" s="817" t="b">
        <f t="shared" si="302"/>
        <v>1</v>
      </c>
      <c r="Q660" s="802">
        <f>COUNTIF(P$2:P660, TRUE)/(COUNTIF(P$2:P660,FALSE) + COUNTIF(P$2:P660, TRUE))</f>
        <v>0.49468892261001518</v>
      </c>
      <c r="R660" s="800">
        <v>333393.40999999997</v>
      </c>
      <c r="S660" s="800">
        <f t="shared" si="323"/>
        <v>37627.550000000047</v>
      </c>
      <c r="T660" s="800">
        <v>-33454</v>
      </c>
      <c r="U660" s="800">
        <f t="shared" si="298"/>
        <v>104474.96000000002</v>
      </c>
      <c r="V660" s="802">
        <f>STDEV(D$2:D660)*SQRT(252)</f>
        <v>0.14199113164686064</v>
      </c>
      <c r="W660" s="802">
        <f>STDEV(L$2:L660)*SQRT(252)</f>
        <v>0.27329565666030325</v>
      </c>
      <c r="X660" s="801">
        <f t="shared" si="322"/>
        <v>0.7714899047863113</v>
      </c>
      <c r="Y660" s="801">
        <f t="shared" si="318"/>
        <v>0.30957927780322791</v>
      </c>
      <c r="Z660" s="807">
        <f t="shared" si="325"/>
        <v>-6.9778753666533327E-2</v>
      </c>
    </row>
    <row r="661" spans="1:26" ht="20.100000000000001" customHeight="1" x14ac:dyDescent="0.2">
      <c r="A661" s="776">
        <f t="shared" si="320"/>
        <v>1023</v>
      </c>
      <c r="B661" s="795">
        <v>43256</v>
      </c>
      <c r="C661" s="820">
        <v>2748.8</v>
      </c>
      <c r="D661" s="792">
        <f t="shared" ref="D661:D667" si="326">(C661-C660)/C660</f>
        <v>7.0261788872436309E-4</v>
      </c>
      <c r="E661" s="819">
        <f t="shared" si="299"/>
        <v>0.30743326801240467</v>
      </c>
      <c r="F661" s="816">
        <v>7637.86</v>
      </c>
      <c r="G661" s="792">
        <f t="shared" si="314"/>
        <v>4.1280700877937481E-3</v>
      </c>
      <c r="H661" s="797">
        <f t="shared" si="315"/>
        <v>0.50006088339847199</v>
      </c>
      <c r="I661" s="841">
        <v>370163.04</v>
      </c>
      <c r="J661" s="800">
        <v>300000</v>
      </c>
      <c r="K661" s="800">
        <f t="shared" si="316"/>
        <v>-857.92000000004191</v>
      </c>
      <c r="L661" s="792">
        <f t="shared" si="317"/>
        <v>-2.3123221933338805E-3</v>
      </c>
      <c r="M661" s="817">
        <f t="shared" si="300"/>
        <v>70163.039999999979</v>
      </c>
      <c r="N661" s="802">
        <f t="shared" si="324"/>
        <v>0.23387679999999994</v>
      </c>
      <c r="O661" s="786">
        <f t="shared" si="321"/>
        <v>8.3502933724340159E-2</v>
      </c>
      <c r="P661" s="817" t="b">
        <f t="shared" si="302"/>
        <v>0</v>
      </c>
      <c r="Q661" s="802">
        <f>COUNTIF(P$2:P661, TRUE)/(COUNTIF(P$2:P661,FALSE) + COUNTIF(P$2:P661, TRUE))</f>
        <v>0.49393939393939396</v>
      </c>
      <c r="R661" s="800">
        <v>329615.94</v>
      </c>
      <c r="S661" s="800">
        <f t="shared" si="323"/>
        <v>40547.099999999977</v>
      </c>
      <c r="T661" s="800">
        <v>-33418</v>
      </c>
      <c r="U661" s="800">
        <f t="shared" si="298"/>
        <v>103581.03999999998</v>
      </c>
      <c r="V661" s="802">
        <f>STDEV(D$2:D661)*SQRT(252)</f>
        <v>0.14188328311500059</v>
      </c>
      <c r="W661" s="802">
        <f>STDEV(L$2:L661)*SQRT(252)</f>
        <v>0.27309377092885773</v>
      </c>
      <c r="X661" s="801">
        <f t="shared" si="322"/>
        <v>0.77363164003842477</v>
      </c>
      <c r="Y661" s="801">
        <f t="shared" si="318"/>
        <v>0.30576652642177288</v>
      </c>
      <c r="Z661" s="807">
        <f t="shared" si="325"/>
        <v>-7.355646801240473E-2</v>
      </c>
    </row>
    <row r="662" spans="1:26" ht="20.100000000000001" customHeight="1" x14ac:dyDescent="0.2">
      <c r="A662" s="776">
        <f t="shared" si="320"/>
        <v>1024</v>
      </c>
      <c r="B662" s="795">
        <v>43257</v>
      </c>
      <c r="C662" s="820">
        <v>2772.35</v>
      </c>
      <c r="D662" s="792">
        <f t="shared" si="326"/>
        <v>8.5673748544818559E-3</v>
      </c>
      <c r="E662" s="819">
        <f t="shared" si="299"/>
        <v>0.31863453891668719</v>
      </c>
      <c r="F662" s="816">
        <v>7689.24</v>
      </c>
      <c r="G662" s="792">
        <f t="shared" si="314"/>
        <v>6.7270151586962985E-3</v>
      </c>
      <c r="H662" s="797">
        <f t="shared" si="315"/>
        <v>0.51015181570006085</v>
      </c>
      <c r="I662" s="841">
        <v>374822.41</v>
      </c>
      <c r="J662" s="800">
        <v>300000</v>
      </c>
      <c r="K662" s="800">
        <f t="shared" si="316"/>
        <v>4659.3699999999953</v>
      </c>
      <c r="L662" s="792">
        <f t="shared" si="317"/>
        <v>1.2587345295197477E-2</v>
      </c>
      <c r="M662" s="817">
        <f t="shared" si="300"/>
        <v>74822.409999999974</v>
      </c>
      <c r="N662" s="802">
        <f t="shared" si="324"/>
        <v>0.24940803333333325</v>
      </c>
      <c r="O662" s="786">
        <f t="shared" si="321"/>
        <v>8.8961215014648404E-2</v>
      </c>
      <c r="P662" s="817" t="b">
        <f t="shared" si="302"/>
        <v>1</v>
      </c>
      <c r="Q662" s="802">
        <f>COUNTIF(P$2:P662, TRUE)/(COUNTIF(P$2:P662,FALSE) + COUNTIF(P$2:P662, TRUE))</f>
        <v>0.49470499243570348</v>
      </c>
      <c r="R662" s="800">
        <v>325869.38</v>
      </c>
      <c r="S662" s="800">
        <f t="shared" si="323"/>
        <v>48953.02999999997</v>
      </c>
      <c r="T662" s="800">
        <v>-33319</v>
      </c>
      <c r="U662" s="800">
        <f t="shared" si="298"/>
        <v>108141.40999999997</v>
      </c>
      <c r="V662" s="802">
        <f>STDEV(D$2:D662)*SQRT(252)</f>
        <v>0.14186436211681544</v>
      </c>
      <c r="W662" s="802">
        <f>STDEV(L$2:L662)*SQRT(252)</f>
        <v>0.27298737663475708</v>
      </c>
      <c r="X662" s="801">
        <f t="shared" si="322"/>
        <v>0.80114256841576503</v>
      </c>
      <c r="Y662" s="801">
        <f t="shared" si="318"/>
        <v>0.32588032498540725</v>
      </c>
      <c r="Z662" s="807">
        <f t="shared" si="325"/>
        <v>-6.9226505583353942E-2</v>
      </c>
    </row>
    <row r="663" spans="1:26" ht="20.100000000000001" customHeight="1" x14ac:dyDescent="0.2">
      <c r="A663" s="776">
        <f t="shared" si="320"/>
        <v>1025</v>
      </c>
      <c r="B663" s="795">
        <v>43258</v>
      </c>
      <c r="C663" s="820">
        <v>2770.37</v>
      </c>
      <c r="D663" s="792">
        <f t="shared" si="326"/>
        <v>-7.1419553808141768E-4</v>
      </c>
      <c r="E663" s="819">
        <f t="shared" si="299"/>
        <v>0.31769277601263285</v>
      </c>
      <c r="F663" s="816">
        <v>7635.07</v>
      </c>
      <c r="G663" s="792">
        <f t="shared" si="314"/>
        <v>-7.0449095099125629E-3</v>
      </c>
      <c r="H663" s="797">
        <f t="shared" si="315"/>
        <v>0.49951293281222381</v>
      </c>
      <c r="I663" s="841">
        <v>377198.67</v>
      </c>
      <c r="J663" s="800">
        <v>300000</v>
      </c>
      <c r="K663" s="800">
        <f t="shared" si="316"/>
        <v>2376.2600000000093</v>
      </c>
      <c r="L663" s="792">
        <f t="shared" si="317"/>
        <v>6.3396956441318687E-3</v>
      </c>
      <c r="M663" s="817">
        <f t="shared" si="300"/>
        <v>77198.669999999984</v>
      </c>
      <c r="N663" s="802">
        <f t="shared" si="324"/>
        <v>0.25732889999999997</v>
      </c>
      <c r="O663" s="786">
        <f t="shared" si="321"/>
        <v>9.1696956804878035E-2</v>
      </c>
      <c r="P663" s="817" t="b">
        <f t="shared" si="302"/>
        <v>1</v>
      </c>
      <c r="Q663" s="802">
        <f>COUNTIF(P$2:P663, TRUE)/(COUNTIF(P$2:P663,FALSE) + COUNTIF(P$2:P663, TRUE))</f>
        <v>0.49546827794561932</v>
      </c>
      <c r="R663" s="800">
        <v>322890.77</v>
      </c>
      <c r="S663" s="800">
        <f t="shared" si="323"/>
        <v>54307.899999999965</v>
      </c>
      <c r="T663" s="800"/>
      <c r="U663" s="800"/>
      <c r="V663" s="802">
        <f>STDEV(D$2:D663)*SQRT(252)</f>
        <v>0.14175869937017727</v>
      </c>
      <c r="W663" s="802">
        <f>STDEV(L$2:L663)*SQRT(252)</f>
        <v>0.27280354449400568</v>
      </c>
      <c r="X663" s="801">
        <f t="shared" si="322"/>
        <v>0.79859020450645668</v>
      </c>
      <c r="Y663" s="801">
        <f t="shared" si="318"/>
        <v>0.3361281722895389</v>
      </c>
      <c r="Z663" s="807">
        <f t="shared" si="325"/>
        <v>-6.0363876012632878E-2</v>
      </c>
    </row>
    <row r="664" spans="1:26" ht="20.100000000000001" customHeight="1" x14ac:dyDescent="0.2">
      <c r="A664" s="776">
        <f t="shared" si="320"/>
        <v>1026</v>
      </c>
      <c r="B664" s="795">
        <v>43259</v>
      </c>
      <c r="C664" s="820">
        <v>2779.03</v>
      </c>
      <c r="D664" s="792">
        <f t="shared" si="326"/>
        <v>3.1259362467830325E-3</v>
      </c>
      <c r="E664" s="819">
        <f t="shared" si="299"/>
        <v>0.32181179962329493</v>
      </c>
      <c r="F664" s="816">
        <v>7645.51</v>
      </c>
      <c r="G664" s="792">
        <f t="shared" si="314"/>
        <v>1.3673744968940049E-3</v>
      </c>
      <c r="H664" s="797">
        <f t="shared" si="315"/>
        <v>0.50156332855431396</v>
      </c>
      <c r="I664" s="841">
        <v>379330.1</v>
      </c>
      <c r="J664" s="800">
        <v>300000</v>
      </c>
      <c r="K664" s="800">
        <f t="shared" si="316"/>
        <v>2131.429999999993</v>
      </c>
      <c r="L664" s="792">
        <f t="shared" si="317"/>
        <v>5.6506827025662445E-3</v>
      </c>
      <c r="M664" s="817">
        <f t="shared" si="300"/>
        <v>79330.099999999977</v>
      </c>
      <c r="N664" s="802">
        <f t="shared" si="324"/>
        <v>0.26443366666666657</v>
      </c>
      <c r="O664" s="786">
        <f t="shared" si="321"/>
        <v>9.41368389376218E-2</v>
      </c>
      <c r="P664" s="817" t="b">
        <f t="shared" si="302"/>
        <v>1</v>
      </c>
      <c r="Q664" s="802">
        <f>COUNTIF(P$2:P664, TRUE)/(COUNTIF(P$2:P664,FALSE) + COUNTIF(P$2:P664, TRUE))</f>
        <v>0.4962292609351433</v>
      </c>
      <c r="R664" s="800">
        <v>307315.24</v>
      </c>
      <c r="S664" s="800">
        <f t="shared" si="323"/>
        <v>72014.859999999986</v>
      </c>
      <c r="T664" s="800">
        <v>-33130</v>
      </c>
      <c r="U664" s="800">
        <f t="shared" ref="U664:U675" si="327">M664-T664</f>
        <v>112460.09999999998</v>
      </c>
      <c r="V664" s="802">
        <f>STDEV(D$2:D664)*SQRT(252)</f>
        <v>0.14166099718805908</v>
      </c>
      <c r="W664" s="802">
        <f>STDEV(L$2:L664)*SQRT(252)</f>
        <v>0.27261488916591109</v>
      </c>
      <c r="X664" s="801">
        <f t="shared" si="322"/>
        <v>0.80871320264291569</v>
      </c>
      <c r="Y664" s="801">
        <f t="shared" ref="Y664:Y669" si="328">O664/W664</f>
        <v>0.3453107026752707</v>
      </c>
      <c r="Z664" s="807">
        <f t="shared" si="325"/>
        <v>-5.7378132956628358E-2</v>
      </c>
    </row>
    <row r="665" spans="1:26" ht="20.100000000000001" customHeight="1" x14ac:dyDescent="0.2">
      <c r="A665" s="776">
        <f t="shared" si="320"/>
        <v>1029</v>
      </c>
      <c r="B665" s="795">
        <v>43262</v>
      </c>
      <c r="C665" s="820">
        <v>2782</v>
      </c>
      <c r="D665" s="792">
        <f t="shared" si="326"/>
        <v>1.0687182218255291E-3</v>
      </c>
      <c r="E665" s="819">
        <f t="shared" si="299"/>
        <v>0.32322444397937633</v>
      </c>
      <c r="F665" s="816">
        <v>7659.92</v>
      </c>
      <c r="G665" s="792">
        <f t="shared" si="314"/>
        <v>1.8847663530621049E-3</v>
      </c>
      <c r="H665" s="797">
        <f t="shared" si="315"/>
        <v>0.5043934245929651</v>
      </c>
      <c r="I665" s="841">
        <v>382027.21</v>
      </c>
      <c r="J665" s="800">
        <v>300000</v>
      </c>
      <c r="K665" s="800">
        <f t="shared" si="316"/>
        <v>2697.1100000000442</v>
      </c>
      <c r="L665" s="792">
        <f t="shared" si="317"/>
        <v>7.1101924155242214E-3</v>
      </c>
      <c r="M665" s="817">
        <f t="shared" si="300"/>
        <v>82027.210000000021</v>
      </c>
      <c r="N665" s="802">
        <f t="shared" si="324"/>
        <v>0.27342403333333343</v>
      </c>
      <c r="O665" s="786">
        <f t="shared" si="321"/>
        <v>9.7053574514091398E-2</v>
      </c>
      <c r="P665" s="817" t="b">
        <f t="shared" si="302"/>
        <v>1</v>
      </c>
      <c r="Q665" s="802">
        <f>COUNTIF(P$2:P665, TRUE)/(COUNTIF(P$2:P665,FALSE) + COUNTIF(P$2:P665, TRUE))</f>
        <v>0.49698795180722893</v>
      </c>
      <c r="R665" s="800">
        <v>300485.96000000002</v>
      </c>
      <c r="S665" s="800">
        <f t="shared" si="323"/>
        <v>81541.25</v>
      </c>
      <c r="T665" s="800">
        <v>-32866</v>
      </c>
      <c r="U665" s="800">
        <f t="shared" si="327"/>
        <v>114893.21000000002</v>
      </c>
      <c r="V665" s="802">
        <f>STDEV(D$2:D665)*SQRT(252)</f>
        <v>0.1415544573663266</v>
      </c>
      <c r="W665" s="802">
        <f>STDEV(L$2:L665)*SQRT(252)</f>
        <v>0.27243836617833139</v>
      </c>
      <c r="X665" s="801">
        <f t="shared" si="322"/>
        <v>0.81050462534007905</v>
      </c>
      <c r="Y665" s="801">
        <f t="shared" si="328"/>
        <v>0.35624048064714403</v>
      </c>
      <c r="Z665" s="807">
        <f t="shared" si="325"/>
        <v>-4.9800410646042903E-2</v>
      </c>
    </row>
    <row r="666" spans="1:26" ht="20.100000000000001" customHeight="1" x14ac:dyDescent="0.2">
      <c r="A666" s="776">
        <f t="shared" si="320"/>
        <v>1030</v>
      </c>
      <c r="B666" s="795">
        <v>43263</v>
      </c>
      <c r="C666" s="820">
        <v>2786.85</v>
      </c>
      <c r="D666" s="792">
        <f t="shared" si="326"/>
        <v>1.7433501078360566E-3</v>
      </c>
      <c r="E666" s="819">
        <f t="shared" si="299"/>
        <v>0.32553128745647908</v>
      </c>
      <c r="F666" s="816">
        <v>7703.79</v>
      </c>
      <c r="G666" s="792">
        <f t="shared" si="314"/>
        <v>5.7272138612413561E-3</v>
      </c>
      <c r="H666" s="797">
        <f t="shared" si="315"/>
        <v>0.51300940746705426</v>
      </c>
      <c r="I666" s="841">
        <v>383351.38</v>
      </c>
      <c r="J666" s="800">
        <v>300000</v>
      </c>
      <c r="K666" s="800">
        <f t="shared" si="316"/>
        <v>1324.1699999999837</v>
      </c>
      <c r="L666" s="792">
        <f t="shared" si="317"/>
        <v>3.4661667162398813E-3</v>
      </c>
      <c r="M666" s="817">
        <f t="shared" si="300"/>
        <v>83351.38</v>
      </c>
      <c r="N666" s="802">
        <f t="shared" si="324"/>
        <v>0.27783793333333334</v>
      </c>
      <c r="O666" s="786">
        <f t="shared" si="321"/>
        <v>9.8524568106796107E-2</v>
      </c>
      <c r="P666" s="817" t="b">
        <f t="shared" si="302"/>
        <v>1</v>
      </c>
      <c r="Q666" s="802">
        <f>COUNTIF(P$2:P666, TRUE)/(COUNTIF(P$2:P666,FALSE) + COUNTIF(P$2:P666, TRUE))</f>
        <v>0.49774436090225566</v>
      </c>
      <c r="R666" s="800">
        <v>298240.19</v>
      </c>
      <c r="S666" s="800">
        <f t="shared" si="323"/>
        <v>85111.19</v>
      </c>
      <c r="T666" s="800">
        <v>-32722</v>
      </c>
      <c r="U666" s="800">
        <f t="shared" si="327"/>
        <v>116073.38</v>
      </c>
      <c r="V666" s="802">
        <f>STDEV(D$2:D666)*SQRT(252)</f>
        <v>0.14144986592538053</v>
      </c>
      <c r="W666" s="802">
        <f>STDEV(L$2:L666)*SQRT(252)</f>
        <v>0.27223846906338528</v>
      </c>
      <c r="X666" s="801">
        <f t="shared" si="322"/>
        <v>0.81609965746088553</v>
      </c>
      <c r="Y666" s="801">
        <f t="shared" si="328"/>
        <v>0.36190538554584889</v>
      </c>
      <c r="Z666" s="807">
        <f t="shared" si="325"/>
        <v>-4.7693354123145737E-2</v>
      </c>
    </row>
    <row r="667" spans="1:26" ht="20.100000000000001" customHeight="1" x14ac:dyDescent="0.2">
      <c r="A667" s="776">
        <f t="shared" si="320"/>
        <v>1031</v>
      </c>
      <c r="B667" s="795">
        <v>43264</v>
      </c>
      <c r="C667" s="820">
        <v>2775.63</v>
      </c>
      <c r="D667" s="792">
        <f t="shared" si="326"/>
        <v>-4.0260509177027113E-3</v>
      </c>
      <c r="E667" s="819">
        <f t="shared" si="299"/>
        <v>0.32019463100017126</v>
      </c>
      <c r="F667" s="816">
        <v>7695.69</v>
      </c>
      <c r="G667" s="792">
        <f t="shared" si="314"/>
        <v>-1.0514305296484411E-3</v>
      </c>
      <c r="H667" s="797">
        <f t="shared" si="315"/>
        <v>0.51141858318439815</v>
      </c>
      <c r="I667" s="841">
        <v>383566.49</v>
      </c>
      <c r="J667" s="800">
        <v>300000</v>
      </c>
      <c r="K667" s="800">
        <f t="shared" si="316"/>
        <v>215.10999999998603</v>
      </c>
      <c r="L667" s="792">
        <f t="shared" si="317"/>
        <v>5.6113010470964272E-4</v>
      </c>
      <c r="M667" s="817">
        <f t="shared" si="300"/>
        <v>83566.489999999991</v>
      </c>
      <c r="N667" s="802">
        <f t="shared" si="324"/>
        <v>0.27855496666666663</v>
      </c>
      <c r="O667" s="786">
        <f t="shared" si="321"/>
        <v>9.8683027715809876E-2</v>
      </c>
      <c r="P667" s="817" t="b">
        <f t="shared" si="302"/>
        <v>1</v>
      </c>
      <c r="Q667" s="802">
        <f>COUNTIF(P$2:P667, TRUE)/(COUNTIF(P$2:P667,FALSE) + COUNTIF(P$2:P667, TRUE))</f>
        <v>0.49849849849849848</v>
      </c>
      <c r="R667" s="800">
        <v>285646.46000000002</v>
      </c>
      <c r="S667" s="800">
        <f t="shared" si="323"/>
        <v>97920.02999999997</v>
      </c>
      <c r="T667" s="800">
        <v>-32818</v>
      </c>
      <c r="U667" s="800">
        <f t="shared" si="327"/>
        <v>116384.48999999999</v>
      </c>
      <c r="V667" s="802">
        <f>STDEV(D$2:D667)*SQRT(252)</f>
        <v>0.14137033731973925</v>
      </c>
      <c r="W667" s="802">
        <f>STDEV(L$2:L667)*SQRT(252)</f>
        <v>0.27203339591623577</v>
      </c>
      <c r="X667" s="801">
        <f t="shared" si="322"/>
        <v>0.80239333109858757</v>
      </c>
      <c r="Y667" s="801">
        <f t="shared" si="328"/>
        <v>0.3627607095203717</v>
      </c>
      <c r="Z667" s="807">
        <f t="shared" si="325"/>
        <v>-4.1639664333504633E-2</v>
      </c>
    </row>
    <row r="668" spans="1:26" ht="20.100000000000001" customHeight="1" x14ac:dyDescent="0.2">
      <c r="A668" s="776">
        <f t="shared" si="320"/>
        <v>1032</v>
      </c>
      <c r="B668" s="795">
        <v>43265</v>
      </c>
      <c r="C668" s="820">
        <v>2782.49</v>
      </c>
      <c r="D668" s="792">
        <f t="shared" ref="D668:D685" si="329">(C668-C667)/C667</f>
        <v>2.4715109722836517E-3</v>
      </c>
      <c r="E668" s="819">
        <f t="shared" si="299"/>
        <v>0.32345750651623811</v>
      </c>
      <c r="F668" s="816">
        <v>7761.04</v>
      </c>
      <c r="G668" s="792">
        <f t="shared" ref="G668:G685" si="330">(F668-F667)/F667</f>
        <v>8.4917661704149161E-3</v>
      </c>
      <c r="H668" s="797">
        <f t="shared" ref="H668:H685" si="331">(F668-F$2)/F$2</f>
        <v>0.52425319637841983</v>
      </c>
      <c r="I668" s="841">
        <v>383755.49</v>
      </c>
      <c r="J668" s="800">
        <v>300000</v>
      </c>
      <c r="K668" s="800">
        <f t="shared" ref="K668:K685" si="332">I668-I667-J668+J667</f>
        <v>189</v>
      </c>
      <c r="L668" s="792">
        <f t="shared" ref="L668:L685" si="333">K668/I667</f>
        <v>4.9274377435839091E-4</v>
      </c>
      <c r="M668" s="817">
        <f t="shared" si="300"/>
        <v>83755.489999999991</v>
      </c>
      <c r="N668" s="802">
        <f t="shared" si="324"/>
        <v>0.27918496666666665</v>
      </c>
      <c r="O668" s="786">
        <f t="shared" si="321"/>
        <v>9.8810377010658909E-2</v>
      </c>
      <c r="P668" s="817" t="b">
        <f t="shared" si="302"/>
        <v>0</v>
      </c>
      <c r="Q668" s="802">
        <f>COUNTIF(P$2:P668, TRUE)/(COUNTIF(P$2:P668,FALSE) + COUNTIF(P$2:P668, TRUE))</f>
        <v>0.49775112443778113</v>
      </c>
      <c r="R668" s="800">
        <v>277509.56</v>
      </c>
      <c r="S668" s="800">
        <f t="shared" si="323"/>
        <v>106245.93</v>
      </c>
      <c r="T668" s="800">
        <v>-32800</v>
      </c>
      <c r="U668" s="800">
        <f t="shared" si="327"/>
        <v>116555.48999999999</v>
      </c>
      <c r="V668" s="802">
        <f>STDEV(D$2:D668)*SQRT(252)</f>
        <v>0.14126943660076133</v>
      </c>
      <c r="W668" s="802">
        <f>STDEV(L$2:L668)*SQRT(252)</f>
        <v>0.27182879493933965</v>
      </c>
      <c r="X668" s="801">
        <f t="shared" si="322"/>
        <v>0.81036289725284272</v>
      </c>
      <c r="Y668" s="801">
        <f t="shared" si="328"/>
        <v>0.36350224424424604</v>
      </c>
      <c r="Z668" s="807">
        <f t="shared" si="325"/>
        <v>-4.4272539849571468E-2</v>
      </c>
    </row>
    <row r="669" spans="1:26" ht="20.100000000000001" customHeight="1" x14ac:dyDescent="0.2">
      <c r="A669" s="776">
        <f t="shared" si="320"/>
        <v>1033</v>
      </c>
      <c r="B669" s="795">
        <v>43266</v>
      </c>
      <c r="C669" s="820">
        <v>2779.66</v>
      </c>
      <c r="D669" s="792">
        <f t="shared" si="329"/>
        <v>-1.0170746345898557E-3</v>
      </c>
      <c r="E669" s="819">
        <f t="shared" si="299"/>
        <v>0.32211145145640291</v>
      </c>
      <c r="F669" s="816">
        <v>7746.37</v>
      </c>
      <c r="G669" s="792">
        <f t="shared" si="330"/>
        <v>-1.8902105903332636E-3</v>
      </c>
      <c r="H669" s="797">
        <f t="shared" si="331"/>
        <v>0.52137203684427602</v>
      </c>
      <c r="I669" s="841">
        <v>382086.2</v>
      </c>
      <c r="J669" s="800">
        <v>300000</v>
      </c>
      <c r="K669" s="800">
        <f t="shared" si="332"/>
        <v>-1669.289999999979</v>
      </c>
      <c r="L669" s="792">
        <f t="shared" si="333"/>
        <v>-4.3498791378853733E-3</v>
      </c>
      <c r="M669" s="817">
        <f t="shared" si="300"/>
        <v>82086.200000000012</v>
      </c>
      <c r="N669" s="802">
        <f t="shared" si="324"/>
        <v>0.27362066666666668</v>
      </c>
      <c r="O669" s="786">
        <f t="shared" si="321"/>
        <v>9.6747287996127779E-2</v>
      </c>
      <c r="P669" s="817" t="b">
        <f t="shared" si="302"/>
        <v>0</v>
      </c>
      <c r="Q669" s="802">
        <f>COUNTIF(P$2:P669, TRUE)/(COUNTIF(P$2:P669,FALSE) + COUNTIF(P$2:P669, TRUE))</f>
        <v>0.49700598802395207</v>
      </c>
      <c r="R669" s="800">
        <v>298822.90999999997</v>
      </c>
      <c r="S669" s="800">
        <f t="shared" si="323"/>
        <v>83263.290000000037</v>
      </c>
      <c r="T669" s="800">
        <v>-32770</v>
      </c>
      <c r="U669" s="800">
        <f t="shared" si="327"/>
        <v>114856.20000000001</v>
      </c>
      <c r="V669" s="802">
        <f>STDEV(D$2:D669)*SQRT(252)</f>
        <v>0.14116625992619064</v>
      </c>
      <c r="W669" s="802">
        <f>STDEV(L$2:L669)*SQRT(252)</f>
        <v>0.27164186009172409</v>
      </c>
      <c r="X669" s="801">
        <f t="shared" si="322"/>
        <v>0.80679864333878126</v>
      </c>
      <c r="Y669" s="801">
        <f t="shared" si="328"/>
        <v>0.35615750813758806</v>
      </c>
      <c r="Z669" s="807">
        <f t="shared" si="325"/>
        <v>-4.849078478973623E-2</v>
      </c>
    </row>
    <row r="670" spans="1:26" ht="20.100000000000001" customHeight="1" x14ac:dyDescent="0.2">
      <c r="A670" s="776">
        <f t="shared" si="320"/>
        <v>1036</v>
      </c>
      <c r="B670" s="795">
        <v>43269</v>
      </c>
      <c r="C670" s="820">
        <v>2773.75</v>
      </c>
      <c r="D670" s="792">
        <f t="shared" si="329"/>
        <v>-2.1261593144484775E-3</v>
      </c>
      <c r="E670" s="819">
        <f t="shared" si="299"/>
        <v>0.31930043187914992</v>
      </c>
      <c r="F670" s="816">
        <v>7747.02</v>
      </c>
      <c r="G670" s="792">
        <f t="shared" si="330"/>
        <v>8.3910270229868404E-5</v>
      </c>
      <c r="H670" s="797">
        <f t="shared" si="331"/>
        <v>0.52149969558300779</v>
      </c>
      <c r="I670" s="841">
        <v>381438.85</v>
      </c>
      <c r="J670" s="800">
        <v>300000</v>
      </c>
      <c r="K670" s="800">
        <f t="shared" si="332"/>
        <v>-647.35000000003492</v>
      </c>
      <c r="L670" s="792">
        <f t="shared" si="333"/>
        <v>-1.6942511925320384E-3</v>
      </c>
      <c r="M670" s="817">
        <f t="shared" si="300"/>
        <v>81438.849999999977</v>
      </c>
      <c r="N670" s="802">
        <f t="shared" si="324"/>
        <v>0.27146283333333326</v>
      </c>
      <c r="O670" s="786">
        <f t="shared" si="321"/>
        <v>9.5706370535714264E-2</v>
      </c>
      <c r="P670" s="817" t="b">
        <f t="shared" si="302"/>
        <v>1</v>
      </c>
      <c r="Q670" s="802">
        <f>COUNTIF(P$2:P670, TRUE)/(COUNTIF(P$2:P670,FALSE) + COUNTIF(P$2:P670, TRUE))</f>
        <v>0.49775784753363228</v>
      </c>
      <c r="R670" s="800">
        <v>287048.14</v>
      </c>
      <c r="S670" s="800">
        <f t="shared" si="323"/>
        <v>94390.709999999963</v>
      </c>
      <c r="T670" s="800">
        <v>-33106</v>
      </c>
      <c r="U670" s="800">
        <f t="shared" si="327"/>
        <v>114544.84999999998</v>
      </c>
      <c r="V670" s="802">
        <f>STDEV(D$2:D670)*SQRT(252)</f>
        <v>0.14106932916582796</v>
      </c>
      <c r="W670" s="802">
        <f>STDEV(L$2:L670)*SQRT(252)</f>
        <v>0.27144187055309588</v>
      </c>
      <c r="X670" s="801">
        <f t="shared" si="322"/>
        <v>0.79798986219092249</v>
      </c>
      <c r="Y670" s="801">
        <f t="shared" ref="Y670:Y685" si="334">O670/W670</f>
        <v>0.35258514222842952</v>
      </c>
      <c r="Z670" s="807">
        <f t="shared" si="325"/>
        <v>-4.7837598545816651E-2</v>
      </c>
    </row>
    <row r="671" spans="1:26" ht="20.100000000000001" customHeight="1" x14ac:dyDescent="0.2">
      <c r="A671" s="776">
        <f t="shared" si="320"/>
        <v>1037</v>
      </c>
      <c r="B671" s="795">
        <v>43270</v>
      </c>
      <c r="C671" s="820">
        <v>2762.59</v>
      </c>
      <c r="D671" s="792">
        <f t="shared" si="329"/>
        <v>-4.023433979269889E-3</v>
      </c>
      <c r="E671" s="819">
        <f t="shared" si="299"/>
        <v>0.3139923136926619</v>
      </c>
      <c r="F671" s="816">
        <v>7725.58</v>
      </c>
      <c r="G671" s="792">
        <f t="shared" si="330"/>
        <v>-2.7675157673531896E-3</v>
      </c>
      <c r="H671" s="797">
        <f t="shared" si="331"/>
        <v>0.51728892118545877</v>
      </c>
      <c r="I671" s="841">
        <v>382081.51</v>
      </c>
      <c r="J671" s="800">
        <v>300000</v>
      </c>
      <c r="K671" s="800">
        <f t="shared" si="332"/>
        <v>642.6600000000326</v>
      </c>
      <c r="L671" s="792">
        <f t="shared" si="333"/>
        <v>1.6848310024006013E-3</v>
      </c>
      <c r="M671" s="817">
        <f t="shared" si="300"/>
        <v>82081.510000000009</v>
      </c>
      <c r="N671" s="802">
        <f t="shared" si="324"/>
        <v>0.27360503333333336</v>
      </c>
      <c r="O671" s="786">
        <f t="shared" si="321"/>
        <v>9.636860021697205E-2</v>
      </c>
      <c r="P671" s="817" t="b">
        <f t="shared" si="302"/>
        <v>1</v>
      </c>
      <c r="Q671" s="802">
        <f>COUNTIF(P$2:P671, TRUE)/(COUNTIF(P$2:P671,FALSE) + COUNTIF(P$2:P671, TRUE))</f>
        <v>0.49850746268656715</v>
      </c>
      <c r="R671" s="800">
        <v>293330.78999999998</v>
      </c>
      <c r="S671" s="800">
        <f t="shared" si="323"/>
        <v>88750.72000000003</v>
      </c>
      <c r="T671" s="800">
        <v>-32722</v>
      </c>
      <c r="U671" s="800">
        <f t="shared" si="327"/>
        <v>114803.51000000001</v>
      </c>
      <c r="V671" s="802">
        <f>STDEV(D$2:D671)*SQRT(252)</f>
        <v>0.14099048564823533</v>
      </c>
      <c r="W671" s="802">
        <f>STDEV(L$2:L671)*SQRT(252)</f>
        <v>0.2712394142936202</v>
      </c>
      <c r="X671" s="801">
        <f t="shared" si="322"/>
        <v>0.78440558773622837</v>
      </c>
      <c r="Y671" s="801">
        <f t="shared" si="334"/>
        <v>0.35528981091461798</v>
      </c>
      <c r="Z671" s="807">
        <f t="shared" si="325"/>
        <v>-4.0387280359328537E-2</v>
      </c>
    </row>
    <row r="672" spans="1:26" ht="20.100000000000001" customHeight="1" x14ac:dyDescent="0.2">
      <c r="A672" s="776">
        <f t="shared" si="320"/>
        <v>1038</v>
      </c>
      <c r="B672" s="795">
        <v>43271</v>
      </c>
      <c r="C672" s="820">
        <v>2767.32</v>
      </c>
      <c r="D672" s="792">
        <f t="shared" si="329"/>
        <v>1.712161413745803E-3</v>
      </c>
      <c r="E672" s="819">
        <f t="shared" si="299"/>
        <v>0.31624208063012504</v>
      </c>
      <c r="F672" s="816">
        <v>7781.51</v>
      </c>
      <c r="G672" s="792">
        <f t="shared" si="330"/>
        <v>7.2395858951690732E-3</v>
      </c>
      <c r="H672" s="797">
        <f t="shared" si="331"/>
        <v>0.52827346465816927</v>
      </c>
      <c r="I672" s="841">
        <v>384754.19</v>
      </c>
      <c r="J672" s="800">
        <v>300000</v>
      </c>
      <c r="K672" s="800">
        <f t="shared" si="332"/>
        <v>2672.679999999993</v>
      </c>
      <c r="L672" s="792">
        <f t="shared" si="333"/>
        <v>6.9950519196806801E-3</v>
      </c>
      <c r="M672" s="817">
        <f t="shared" si="300"/>
        <v>84754.19</v>
      </c>
      <c r="N672" s="802">
        <f t="shared" si="324"/>
        <v>0.28251396666666667</v>
      </c>
      <c r="O672" s="786">
        <f t="shared" si="321"/>
        <v>9.9410622663776496E-2</v>
      </c>
      <c r="P672" s="817" t="b">
        <f t="shared" si="302"/>
        <v>1</v>
      </c>
      <c r="Q672" s="802">
        <f>COUNTIF(P$2:P672, TRUE)/(COUNTIF(P$2:P672,FALSE) + COUNTIF(P$2:P672, TRUE))</f>
        <v>0.49925484351713861</v>
      </c>
      <c r="R672" s="800">
        <v>272761.78000000003</v>
      </c>
      <c r="S672" s="800">
        <f t="shared" si="323"/>
        <v>111992.40999999997</v>
      </c>
      <c r="T672" s="800">
        <v>-32680</v>
      </c>
      <c r="U672" s="800">
        <f t="shared" si="327"/>
        <v>117434.19</v>
      </c>
      <c r="V672" s="802">
        <f>STDEV(D$2:D672)*SQRT(252)</f>
        <v>0.14088720655990541</v>
      </c>
      <c r="W672" s="802">
        <f>STDEV(L$2:L672)*SQRT(252)</f>
        <v>0.27106484707651579</v>
      </c>
      <c r="X672" s="801">
        <f t="shared" si="322"/>
        <v>0.78984336003195033</v>
      </c>
      <c r="Y672" s="801">
        <f t="shared" si="334"/>
        <v>0.36674110913288216</v>
      </c>
      <c r="Z672" s="807">
        <f t="shared" si="325"/>
        <v>-3.3728113963458373E-2</v>
      </c>
    </row>
    <row r="673" spans="1:26" ht="20.100000000000001" customHeight="1" x14ac:dyDescent="0.2">
      <c r="A673" s="776">
        <f t="shared" si="320"/>
        <v>1039</v>
      </c>
      <c r="B673" s="795">
        <v>43272</v>
      </c>
      <c r="C673" s="820">
        <v>2749.76</v>
      </c>
      <c r="D673" s="792">
        <f t="shared" si="329"/>
        <v>-6.3454894988653077E-3</v>
      </c>
      <c r="E673" s="819">
        <f t="shared" si="299"/>
        <v>0.30788988032952197</v>
      </c>
      <c r="F673" s="816">
        <v>7712.95</v>
      </c>
      <c r="G673" s="792">
        <f t="shared" si="330"/>
        <v>-8.8106292994547843E-3</v>
      </c>
      <c r="H673" s="797">
        <f t="shared" si="331"/>
        <v>0.51480841369287278</v>
      </c>
      <c r="I673" s="841">
        <v>386790.11</v>
      </c>
      <c r="J673" s="800">
        <v>300000</v>
      </c>
      <c r="K673" s="800">
        <f t="shared" si="332"/>
        <v>2035.9199999999837</v>
      </c>
      <c r="L673" s="792">
        <f t="shared" si="333"/>
        <v>5.2914823357738706E-3</v>
      </c>
      <c r="M673" s="817">
        <f t="shared" si="300"/>
        <v>86790.109999999986</v>
      </c>
      <c r="N673" s="802">
        <f t="shared" si="324"/>
        <v>0.28930036666666664</v>
      </c>
      <c r="O673" s="786">
        <f t="shared" si="321"/>
        <v>0.10170063419153032</v>
      </c>
      <c r="P673" s="817" t="b">
        <f t="shared" si="302"/>
        <v>1</v>
      </c>
      <c r="Q673" s="802">
        <f>COUNTIF(P$2:P673, TRUE)/(COUNTIF(P$2:P673,FALSE) + COUNTIF(P$2:P673, TRUE))</f>
        <v>0.5</v>
      </c>
      <c r="R673" s="800">
        <v>273521.84000000003</v>
      </c>
      <c r="S673" s="800">
        <f t="shared" si="323"/>
        <v>113268.26999999996</v>
      </c>
      <c r="T673" s="800">
        <v>-31908</v>
      </c>
      <c r="U673" s="800">
        <f t="shared" si="327"/>
        <v>118698.10999999999</v>
      </c>
      <c r="V673" s="802">
        <f>STDEV(D$2:D673)*SQRT(252)</f>
        <v>0.1408436003599591</v>
      </c>
      <c r="W673" s="802">
        <f>STDEV(L$2:L673)*SQRT(252)</f>
        <v>0.27087757391976441</v>
      </c>
      <c r="X673" s="801">
        <f t="shared" si="322"/>
        <v>0.76848071530722506</v>
      </c>
      <c r="Y673" s="801">
        <f t="shared" si="334"/>
        <v>0.37544870444555395</v>
      </c>
      <c r="Z673" s="807">
        <f t="shared" si="325"/>
        <v>-1.8589513662855328E-2</v>
      </c>
    </row>
    <row r="674" spans="1:26" ht="20.100000000000001" customHeight="1" x14ac:dyDescent="0.2">
      <c r="A674" s="776">
        <f t="shared" si="320"/>
        <v>1040</v>
      </c>
      <c r="B674" s="795">
        <v>43273</v>
      </c>
      <c r="C674" s="820">
        <v>2754.88</v>
      </c>
      <c r="D674" s="792">
        <f t="shared" si="329"/>
        <v>1.8619806819503849E-3</v>
      </c>
      <c r="E674" s="819">
        <f t="shared" si="299"/>
        <v>0.3103251460208139</v>
      </c>
      <c r="F674" s="816">
        <v>7692.81</v>
      </c>
      <c r="G674" s="792">
        <f t="shared" si="330"/>
        <v>-2.6111928639495157E-3</v>
      </c>
      <c r="H674" s="797">
        <f t="shared" si="331"/>
        <v>0.51085295677278719</v>
      </c>
      <c r="I674" s="841">
        <v>393809.39</v>
      </c>
      <c r="J674" s="800">
        <v>300000</v>
      </c>
      <c r="K674" s="800">
        <f t="shared" si="332"/>
        <v>7019.2800000000279</v>
      </c>
      <c r="L674" s="792">
        <f t="shared" si="333"/>
        <v>1.8147516750105189E-2</v>
      </c>
      <c r="M674" s="817">
        <f t="shared" si="300"/>
        <v>93809.390000000014</v>
      </c>
      <c r="N674" s="802">
        <f t="shared" si="324"/>
        <v>0.31269796666666672</v>
      </c>
      <c r="O674" s="786">
        <f t="shared" si="321"/>
        <v>0.10982012723557695</v>
      </c>
      <c r="P674" s="817" t="b">
        <f t="shared" si="302"/>
        <v>1</v>
      </c>
      <c r="Q674" s="802">
        <f>COUNTIF(P$2:P674, TRUE)/(COUNTIF(P$2:P674,FALSE) + COUNTIF(P$2:P674, TRUE))</f>
        <v>0.50074294205052006</v>
      </c>
      <c r="R674" s="800">
        <v>274378.59000000003</v>
      </c>
      <c r="S674" s="800">
        <f t="shared" si="323"/>
        <v>119430.79999999999</v>
      </c>
      <c r="T674" s="800">
        <v>-31374</v>
      </c>
      <c r="U674" s="800">
        <f t="shared" si="327"/>
        <v>125183.39000000001</v>
      </c>
      <c r="V674" s="802">
        <f>STDEV(D$2:D674)*SQRT(252)</f>
        <v>0.14074130676281663</v>
      </c>
      <c r="W674" s="802">
        <f>STDEV(L$2:L674)*SQRT(252)</f>
        <v>0.27088806472355031</v>
      </c>
      <c r="X674" s="801">
        <f t="shared" si="322"/>
        <v>0.77437669557314881</v>
      </c>
      <c r="Y674" s="801">
        <f>O674/W674</f>
        <v>0.40540777367822317</v>
      </c>
      <c r="Z674" s="807">
        <f t="shared" si="325"/>
        <v>2.3728206458528134E-3</v>
      </c>
    </row>
    <row r="675" spans="1:26" ht="20.100000000000001" customHeight="1" x14ac:dyDescent="0.2">
      <c r="A675" s="776">
        <f t="shared" ref="A675:A685" si="335">B675-$B$2</f>
        <v>1041</v>
      </c>
      <c r="B675" s="795">
        <v>43274</v>
      </c>
      <c r="C675" s="820">
        <v>2717.07</v>
      </c>
      <c r="D675" s="792">
        <f t="shared" si="329"/>
        <v>-1.3724735741665679E-2</v>
      </c>
      <c r="E675" s="819">
        <f t="shared" si="299"/>
        <v>0.29234127965601875</v>
      </c>
      <c r="F675" s="816">
        <v>7532</v>
      </c>
      <c r="G675" s="792">
        <f t="shared" si="330"/>
        <v>-2.0903934973046313E-2</v>
      </c>
      <c r="H675" s="797">
        <f t="shared" si="331"/>
        <v>0.47927018481057415</v>
      </c>
      <c r="I675" s="841">
        <v>389217.82</v>
      </c>
      <c r="J675" s="800">
        <v>300000</v>
      </c>
      <c r="K675" s="800">
        <f t="shared" si="332"/>
        <v>-4591.570000000007</v>
      </c>
      <c r="L675" s="792">
        <f t="shared" si="333"/>
        <v>-1.1659371555360848E-2</v>
      </c>
      <c r="M675" s="817">
        <f t="shared" si="300"/>
        <v>89217.82</v>
      </c>
      <c r="N675" s="802">
        <f t="shared" si="324"/>
        <v>0.29739273333333338</v>
      </c>
      <c r="O675" s="786">
        <f t="shared" ref="O675:O685" si="336">N675/(A675/365.25)</f>
        <v>0.10434456853986554</v>
      </c>
      <c r="P675" s="817" t="b">
        <f t="shared" si="302"/>
        <v>1</v>
      </c>
      <c r="Q675" s="802">
        <f>COUNTIF(P$2:P675, TRUE)/(COUNTIF(P$2:P675,FALSE) + COUNTIF(P$2:P675, TRUE))</f>
        <v>0.50148367952522255</v>
      </c>
      <c r="R675" s="800">
        <v>277550.8</v>
      </c>
      <c r="S675" s="800">
        <f t="shared" si="323"/>
        <v>111667.02000000002</v>
      </c>
      <c r="T675" s="800">
        <v>-31574</v>
      </c>
      <c r="U675" s="800">
        <f t="shared" si="327"/>
        <v>120791.82</v>
      </c>
      <c r="V675" s="802">
        <f>STDEV(D$2:D675)*SQRT(252)</f>
        <v>0.14090345423327139</v>
      </c>
      <c r="W675" s="802">
        <f>STDEV(L$2:L675)*SQRT(252)</f>
        <v>0.27079136945867271</v>
      </c>
      <c r="X675" s="801">
        <f t="shared" si="322"/>
        <v>0.72796080876750646</v>
      </c>
      <c r="Y675" s="801">
        <f t="shared" si="334"/>
        <v>0.38533195776680862</v>
      </c>
      <c r="Z675" s="807">
        <f t="shared" si="325"/>
        <v>5.0514536773146324E-3</v>
      </c>
    </row>
    <row r="676" spans="1:26" ht="20.100000000000001" customHeight="1" x14ac:dyDescent="0.2">
      <c r="A676" s="776">
        <f t="shared" si="335"/>
        <v>1044</v>
      </c>
      <c r="B676" s="795">
        <v>43277</v>
      </c>
      <c r="C676" s="820">
        <v>2723.06</v>
      </c>
      <c r="D676" s="792">
        <f t="shared" si="329"/>
        <v>2.2045806696182951E-3</v>
      </c>
      <c r="E676" s="819">
        <f t="shared" si="299"/>
        <v>0.2951903502596982</v>
      </c>
      <c r="F676" s="816">
        <v>7561.62</v>
      </c>
      <c r="G676" s="792">
        <f t="shared" si="330"/>
        <v>3.9325544344131561E-3</v>
      </c>
      <c r="H676" s="797">
        <f t="shared" si="331"/>
        <v>0.48508749533554613</v>
      </c>
      <c r="I676" s="841">
        <v>389379.96</v>
      </c>
      <c r="J676" s="800">
        <v>300000</v>
      </c>
      <c r="K676" s="800">
        <f t="shared" si="332"/>
        <v>162.14000000001397</v>
      </c>
      <c r="L676" s="792">
        <f t="shared" si="333"/>
        <v>4.165790764667814E-4</v>
      </c>
      <c r="M676" s="817">
        <f t="shared" si="300"/>
        <v>89379.960000000021</v>
      </c>
      <c r="N676" s="802">
        <f t="shared" si="324"/>
        <v>0.29793320000000006</v>
      </c>
      <c r="O676" s="786">
        <f t="shared" si="336"/>
        <v>0.10423381350574715</v>
      </c>
      <c r="P676" s="817" t="b">
        <f t="shared" si="302"/>
        <v>0</v>
      </c>
      <c r="Q676" s="802">
        <f>COUNTIF(P$2:P676, TRUE)/(COUNTIF(P$2:P676,FALSE) + COUNTIF(P$2:P676, TRUE))</f>
        <v>0.50074074074074071</v>
      </c>
      <c r="R676" s="800">
        <v>280070.89</v>
      </c>
      <c r="S676" s="800">
        <f t="shared" si="323"/>
        <v>109309.07</v>
      </c>
      <c r="T676" s="800"/>
      <c r="U676" s="800"/>
      <c r="V676" s="802">
        <f>STDEV(D$2:D676)*SQRT(252)</f>
        <v>0.14080295835010456</v>
      </c>
      <c r="W676" s="802">
        <f>STDEV(L$2:L676)*SQRT(252)</f>
        <v>0.27059014708609302</v>
      </c>
      <c r="X676" s="801">
        <f t="shared" si="322"/>
        <v>0.73346619555718418</v>
      </c>
      <c r="Y676" s="801">
        <f t="shared" si="334"/>
        <v>0.38520919785221641</v>
      </c>
      <c r="Z676" s="807">
        <f t="shared" si="325"/>
        <v>2.742849740301867E-3</v>
      </c>
    </row>
    <row r="677" spans="1:26" ht="20.100000000000001" customHeight="1" x14ac:dyDescent="0.2">
      <c r="A677" s="776">
        <f t="shared" si="335"/>
        <v>1045</v>
      </c>
      <c r="B677" s="795">
        <v>43278</v>
      </c>
      <c r="C677" s="820">
        <v>2699.23</v>
      </c>
      <c r="D677" s="792">
        <f t="shared" si="329"/>
        <v>-8.7511843293941113E-3</v>
      </c>
      <c r="E677" s="819">
        <f t="shared" si="299"/>
        <v>0.28385590076292305</v>
      </c>
      <c r="F677" s="816">
        <v>7445.08</v>
      </c>
      <c r="G677" s="792">
        <f t="shared" si="330"/>
        <v>-1.5412041335057827E-2</v>
      </c>
      <c r="H677" s="797">
        <f t="shared" si="331"/>
        <v>0.46219926547125717</v>
      </c>
      <c r="I677" s="841">
        <v>389218.36</v>
      </c>
      <c r="J677" s="800">
        <v>300000</v>
      </c>
      <c r="K677" s="800">
        <f t="shared" si="332"/>
        <v>-161.60000000003492</v>
      </c>
      <c r="L677" s="792">
        <f t="shared" si="333"/>
        <v>-4.1501879038673411E-4</v>
      </c>
      <c r="M677" s="817">
        <f t="shared" si="300"/>
        <v>89218.359999999986</v>
      </c>
      <c r="N677" s="802">
        <f t="shared" si="324"/>
        <v>0.29739453333333327</v>
      </c>
      <c r="O677" s="786">
        <f t="shared" si="336"/>
        <v>0.10394579263157892</v>
      </c>
      <c r="P677" s="817" t="b">
        <f t="shared" si="302"/>
        <v>1</v>
      </c>
      <c r="Q677" s="802">
        <f>COUNTIF(P$2:P677, TRUE)/(COUNTIF(P$2:P677,FALSE) + COUNTIF(P$2:P677, TRUE))</f>
        <v>0.50147928994082835</v>
      </c>
      <c r="R677" s="800">
        <v>287521.32</v>
      </c>
      <c r="S677" s="800">
        <f t="shared" si="323"/>
        <v>101697.03999999998</v>
      </c>
      <c r="T677" s="800">
        <v>-31552</v>
      </c>
      <c r="U677" s="800">
        <f t="shared" ref="U677:U685" si="337">M677-T677</f>
        <v>120770.35999999999</v>
      </c>
      <c r="V677" s="802">
        <f>STDEV(D$2:D677)*SQRT(252)</f>
        <v>0.14081008898410585</v>
      </c>
      <c r="W677" s="802">
        <f>STDEV(L$2:L677)*SQRT(252)</f>
        <v>0.27039010703840782</v>
      </c>
      <c r="X677" s="801">
        <f t="shared" si="322"/>
        <v>0.70459261663957362</v>
      </c>
      <c r="Y677" s="801">
        <f t="shared" si="334"/>
        <v>0.38442897844932561</v>
      </c>
      <c r="Z677" s="807">
        <f t="shared" si="325"/>
        <v>1.3538632570410214E-2</v>
      </c>
    </row>
    <row r="678" spans="1:26" ht="20.100000000000001" customHeight="1" x14ac:dyDescent="0.2">
      <c r="A678" s="776">
        <f t="shared" si="335"/>
        <v>1046</v>
      </c>
      <c r="B678" s="795">
        <v>43279</v>
      </c>
      <c r="C678" s="820">
        <v>2716.31</v>
      </c>
      <c r="D678" s="792">
        <f t="shared" si="329"/>
        <v>6.3277305009206055E-3</v>
      </c>
      <c r="E678" s="819">
        <f t="shared" si="299"/>
        <v>0.2919797949049675</v>
      </c>
      <c r="F678" s="816">
        <v>7503.68</v>
      </c>
      <c r="G678" s="792">
        <f t="shared" si="330"/>
        <v>7.870969821680944E-3</v>
      </c>
      <c r="H678" s="797">
        <f t="shared" si="331"/>
        <v>0.4737081917630655</v>
      </c>
      <c r="I678" s="841">
        <v>385956.85</v>
      </c>
      <c r="J678" s="800">
        <v>300000</v>
      </c>
      <c r="K678" s="800">
        <f t="shared" si="332"/>
        <v>-3261.5100000000093</v>
      </c>
      <c r="L678" s="792">
        <f t="shared" si="333"/>
        <v>-8.3796406726548284E-3</v>
      </c>
      <c r="M678" s="817">
        <f t="shared" si="300"/>
        <v>85956.849999999977</v>
      </c>
      <c r="N678" s="802">
        <f t="shared" si="324"/>
        <v>0.28652283333333328</v>
      </c>
      <c r="O678" s="786">
        <f t="shared" si="336"/>
        <v>0.10005015762428296</v>
      </c>
      <c r="P678" s="817" t="b">
        <f t="shared" si="302"/>
        <v>0</v>
      </c>
      <c r="Q678" s="802">
        <f>COUNTIF(P$2:P678, TRUE)/(COUNTIF(P$2:P678,FALSE) + COUNTIF(P$2:P678, TRUE))</f>
        <v>0.50073855243722309</v>
      </c>
      <c r="R678" s="800">
        <v>300734.57</v>
      </c>
      <c r="S678" s="800">
        <f t="shared" si="323"/>
        <v>85222.27999999997</v>
      </c>
      <c r="T678" s="800">
        <v>-31828</v>
      </c>
      <c r="U678" s="800">
        <f t="shared" si="337"/>
        <v>117784.84999999998</v>
      </c>
      <c r="V678" s="802">
        <f>STDEV(D$2:D678)*SQRT(252)</f>
        <v>0.14075213595058755</v>
      </c>
      <c r="W678" s="802">
        <f>STDEV(L$2:L678)*SQRT(252)</f>
        <v>0.27024584552699632</v>
      </c>
      <c r="X678" s="801">
        <f t="shared" si="322"/>
        <v>0.7243631441355034</v>
      </c>
      <c r="Y678" s="801">
        <f t="shared" si="334"/>
        <v>0.37021904047841658</v>
      </c>
      <c r="Z678" s="807">
        <f t="shared" si="325"/>
        <v>-5.4569615716342224E-3</v>
      </c>
    </row>
    <row r="679" spans="1:26" ht="20.100000000000001" customHeight="1" x14ac:dyDescent="0.2">
      <c r="A679" s="776">
        <f t="shared" si="335"/>
        <v>1047</v>
      </c>
      <c r="B679" s="795">
        <v>43280</v>
      </c>
      <c r="C679" s="820">
        <v>2718.37</v>
      </c>
      <c r="D679" s="792">
        <f t="shared" si="329"/>
        <v>7.5838177527599773E-4</v>
      </c>
      <c r="E679" s="819">
        <f t="shared" si="299"/>
        <v>0.29295960883544825</v>
      </c>
      <c r="F679" s="816">
        <v>7510.3</v>
      </c>
      <c r="G679" s="792">
        <f t="shared" si="330"/>
        <v>8.8223378395665736E-4</v>
      </c>
      <c r="H679" s="797">
        <f t="shared" si="331"/>
        <v>0.47500834691753252</v>
      </c>
      <c r="I679" s="842">
        <v>386037.42</v>
      </c>
      <c r="J679" s="800">
        <v>300000</v>
      </c>
      <c r="K679" s="800">
        <f t="shared" si="332"/>
        <v>80.570000000006985</v>
      </c>
      <c r="L679" s="792">
        <f t="shared" si="333"/>
        <v>2.087539060389963E-4</v>
      </c>
      <c r="M679" s="822">
        <f t="shared" si="300"/>
        <v>86037.419999999984</v>
      </c>
      <c r="N679" s="802">
        <f t="shared" si="324"/>
        <v>0.28679139999999992</v>
      </c>
      <c r="O679" s="786">
        <f t="shared" si="336"/>
        <v>0.1000482892550143</v>
      </c>
      <c r="P679" s="817" t="b">
        <f t="shared" si="302"/>
        <v>0</v>
      </c>
      <c r="Q679" s="802">
        <f>COUNTIF(P$2:P679, TRUE)/(COUNTIF(P$2:P679,FALSE) + COUNTIF(P$2:P679, TRUE))</f>
        <v>0.5</v>
      </c>
      <c r="R679" s="800">
        <v>296502.8</v>
      </c>
      <c r="S679" s="800">
        <f t="shared" si="323"/>
        <v>89534.62</v>
      </c>
      <c r="T679" s="800">
        <v>-31984</v>
      </c>
      <c r="U679" s="800">
        <f t="shared" si="337"/>
        <v>118021.41999999998</v>
      </c>
      <c r="V679" s="802">
        <f>STDEV(D$2:D679)*SQRT(252)</f>
        <v>0.14064814386240324</v>
      </c>
      <c r="W679" s="802">
        <f>STDEV(L$2:L679)*SQRT(252)</f>
        <v>0.27004600526294353</v>
      </c>
      <c r="X679" s="801">
        <f t="shared" si="322"/>
        <v>0.72663662641063287</v>
      </c>
      <c r="Y679" s="801">
        <f t="shared" si="334"/>
        <v>0.37048609238858166</v>
      </c>
      <c r="Z679" s="807">
        <f t="shared" si="325"/>
        <v>-6.16820883544833E-3</v>
      </c>
    </row>
    <row r="680" spans="1:26" ht="20.100000000000001" customHeight="1" x14ac:dyDescent="0.2">
      <c r="A680" s="776">
        <f t="shared" si="335"/>
        <v>1050</v>
      </c>
      <c r="B680" s="795">
        <v>43283</v>
      </c>
      <c r="C680" s="820">
        <v>2726.71</v>
      </c>
      <c r="D680" s="792">
        <f t="shared" si="329"/>
        <v>3.0680150237091144E-3</v>
      </c>
      <c r="E680" s="819">
        <f t="shared" si="299"/>
        <v>0.29692642834040445</v>
      </c>
      <c r="F680" s="816">
        <v>7567.68</v>
      </c>
      <c r="G680" s="792">
        <f t="shared" si="330"/>
        <v>7.6401741608191562E-3</v>
      </c>
      <c r="H680" s="797">
        <f t="shared" si="331"/>
        <v>0.48627766757664448</v>
      </c>
      <c r="I680" s="841">
        <v>385840.77</v>
      </c>
      <c r="J680" s="800">
        <v>300000</v>
      </c>
      <c r="K680" s="800">
        <f t="shared" si="332"/>
        <v>-196.64999999996508</v>
      </c>
      <c r="L680" s="792">
        <f t="shared" si="333"/>
        <v>-5.0940657514487867E-4</v>
      </c>
      <c r="M680" s="817">
        <f t="shared" si="300"/>
        <v>85840.770000000019</v>
      </c>
      <c r="N680" s="802">
        <f t="shared" si="324"/>
        <v>0.28613590000000005</v>
      </c>
      <c r="O680" s="786">
        <f t="shared" si="336"/>
        <v>9.9534416642857157E-2</v>
      </c>
      <c r="P680" s="817" t="b">
        <f t="shared" si="302"/>
        <v>0</v>
      </c>
      <c r="Q680" s="802">
        <f>COUNTIF(P$2:P680, TRUE)/(COUNTIF(P$2:P680,FALSE) + COUNTIF(P$2:P680, TRUE))</f>
        <v>0.49926362297496318</v>
      </c>
      <c r="R680" s="800">
        <v>302561.11</v>
      </c>
      <c r="S680" s="800">
        <f t="shared" si="323"/>
        <v>83279.660000000033</v>
      </c>
      <c r="T680" s="800">
        <v>-32060</v>
      </c>
      <c r="U680" s="800">
        <f t="shared" si="337"/>
        <v>117900.77000000002</v>
      </c>
      <c r="V680" s="802">
        <f>STDEV(D$2:D680)*SQRT(252)</f>
        <v>0.14055350948419473</v>
      </c>
      <c r="W680" s="802">
        <f>STDEV(L$2:L680)*SQRT(252)</f>
        <v>0.26984737448960039</v>
      </c>
      <c r="X680" s="801">
        <f t="shared" si="322"/>
        <v>0.73486588403460684</v>
      </c>
      <c r="Y680" s="801">
        <f t="shared" si="334"/>
        <v>0.36885449351182442</v>
      </c>
      <c r="Z680" s="807">
        <f t="shared" si="325"/>
        <v>-1.0790528340404393E-2</v>
      </c>
    </row>
    <row r="681" spans="1:26" ht="20.100000000000001" customHeight="1" x14ac:dyDescent="0.2">
      <c r="A681" s="776">
        <f t="shared" si="335"/>
        <v>1051</v>
      </c>
      <c r="B681" s="795">
        <v>43284</v>
      </c>
      <c r="C681" s="820">
        <v>2713.22</v>
      </c>
      <c r="D681" s="792">
        <f t="shared" si="329"/>
        <v>-4.9473541374037708E-3</v>
      </c>
      <c r="E681" s="819">
        <f t="shared" si="299"/>
        <v>0.29051007400924628</v>
      </c>
      <c r="F681" s="816">
        <v>7502.67</v>
      </c>
      <c r="G681" s="792">
        <f t="shared" si="330"/>
        <v>-8.5904795128758371E-3</v>
      </c>
      <c r="H681" s="797">
        <f t="shared" si="331"/>
        <v>0.47350982972288241</v>
      </c>
      <c r="I681" s="841">
        <v>389787.46</v>
      </c>
      <c r="J681" s="800">
        <v>300000</v>
      </c>
      <c r="K681" s="800">
        <f t="shared" si="332"/>
        <v>3946.6900000000023</v>
      </c>
      <c r="L681" s="792">
        <f t="shared" si="333"/>
        <v>1.0228805006790759E-2</v>
      </c>
      <c r="M681" s="817">
        <f t="shared" si="300"/>
        <v>89787.460000000021</v>
      </c>
      <c r="N681" s="802">
        <f t="shared" si="324"/>
        <v>0.29929153333333341</v>
      </c>
      <c r="O681" s="786">
        <f t="shared" si="336"/>
        <v>0.10401163896289252</v>
      </c>
      <c r="P681" s="817" t="b">
        <f t="shared" si="302"/>
        <v>1</v>
      </c>
      <c r="Q681" s="802">
        <f>COUNTIF(P$2:P681, TRUE)/(COUNTIF(P$2:P681,FALSE) + COUNTIF(P$2:P681, TRUE))</f>
        <v>0.5</v>
      </c>
      <c r="R681" s="800">
        <v>288376.77</v>
      </c>
      <c r="S681" s="800">
        <f t="shared" ref="S681:S711" si="338">I681-R681</f>
        <v>101410.69</v>
      </c>
      <c r="T681" s="800">
        <v>-31900</v>
      </c>
      <c r="U681" s="800">
        <f t="shared" si="337"/>
        <v>121687.46000000002</v>
      </c>
      <c r="V681" s="802">
        <f>STDEV(D$2:D681)*SQRT(252)</f>
        <v>0.14048791411058481</v>
      </c>
      <c r="W681" s="802">
        <f>STDEV(L$2:L681)*SQRT(252)</f>
        <v>0.26971178795215239</v>
      </c>
      <c r="X681" s="801">
        <f t="shared" si="322"/>
        <v>0.71863727720044857</v>
      </c>
      <c r="Y681" s="801">
        <f t="shared" si="334"/>
        <v>0.38563994459650563</v>
      </c>
      <c r="Z681" s="807">
        <f t="shared" si="325"/>
        <v>8.7814593240871375E-3</v>
      </c>
    </row>
    <row r="682" spans="1:26" ht="20.100000000000001" customHeight="1" x14ac:dyDescent="0.2">
      <c r="A682" s="776">
        <f t="shared" si="335"/>
        <v>1053</v>
      </c>
      <c r="B682" s="795">
        <v>43286</v>
      </c>
      <c r="C682" s="820">
        <v>2736.61</v>
      </c>
      <c r="D682" s="792">
        <f t="shared" si="329"/>
        <v>8.6207532009937738E-3</v>
      </c>
      <c r="E682" s="819">
        <f t="shared" si="299"/>
        <v>0.30163524286067617</v>
      </c>
      <c r="F682" s="816">
        <v>7586.42</v>
      </c>
      <c r="G682" s="792">
        <f t="shared" si="330"/>
        <v>1.1162692748048361E-2</v>
      </c>
      <c r="H682" s="797">
        <f t="shared" si="331"/>
        <v>0.48995816721330798</v>
      </c>
      <c r="I682" s="841">
        <v>390550.57</v>
      </c>
      <c r="J682" s="800">
        <v>300000</v>
      </c>
      <c r="K682" s="800">
        <f t="shared" si="332"/>
        <v>763.10999999998603</v>
      </c>
      <c r="L682" s="792">
        <f t="shared" si="333"/>
        <v>1.9577592362770881E-3</v>
      </c>
      <c r="M682" s="817">
        <f t="shared" si="300"/>
        <v>90550.57</v>
      </c>
      <c r="N682" s="802">
        <f t="shared" si="324"/>
        <v>0.30183523333333334</v>
      </c>
      <c r="O682" s="786">
        <f t="shared" si="336"/>
        <v>0.10469640928300096</v>
      </c>
      <c r="P682" s="817" t="b">
        <f t="shared" si="302"/>
        <v>0</v>
      </c>
      <c r="Q682" s="802">
        <f>COUNTIF(P$2:P682, TRUE)/(COUNTIF(P$2:P682,FALSE) + COUNTIF(P$2:P682, TRUE))</f>
        <v>0.49926578560939794</v>
      </c>
      <c r="R682" s="800">
        <v>262947.86</v>
      </c>
      <c r="S682" s="800">
        <f t="shared" si="338"/>
        <v>127602.71000000002</v>
      </c>
      <c r="T682" s="800">
        <v>-31952</v>
      </c>
      <c r="U682" s="800">
        <f t="shared" si="337"/>
        <v>122502.57</v>
      </c>
      <c r="V682" s="802">
        <f>STDEV(D$2:D682)*SQRT(252)</f>
        <v>0.14047327528724421</v>
      </c>
      <c r="W682" s="802">
        <f>STDEV(L$2:L682)*SQRT(252)</f>
        <v>0.26951430387366743</v>
      </c>
      <c r="X682" s="801">
        <f t="shared" si="322"/>
        <v>0.74481810973934559</v>
      </c>
      <c r="Y682" s="801">
        <f t="shared" si="334"/>
        <v>0.38846327552275861</v>
      </c>
      <c r="Z682" s="807">
        <f t="shared" si="325"/>
        <v>1.999904726571744E-4</v>
      </c>
    </row>
    <row r="683" spans="1:26" ht="20.100000000000001" customHeight="1" x14ac:dyDescent="0.2">
      <c r="A683" s="776">
        <f t="shared" si="335"/>
        <v>1054</v>
      </c>
      <c r="B683" s="795">
        <v>43287</v>
      </c>
      <c r="C683" s="820">
        <v>2759.82</v>
      </c>
      <c r="D683" s="792">
        <f t="shared" si="329"/>
        <v>8.4812962022356251E-3</v>
      </c>
      <c r="E683" s="819">
        <f t="shared" si="299"/>
        <v>0.31267479690264649</v>
      </c>
      <c r="F683" s="816">
        <v>7688.38</v>
      </c>
      <c r="G683" s="792">
        <f t="shared" si="330"/>
        <v>1.3439804281861541E-2</v>
      </c>
      <c r="H683" s="797">
        <f t="shared" si="331"/>
        <v>0.50998291336881596</v>
      </c>
      <c r="I683" s="841">
        <v>394408.13</v>
      </c>
      <c r="J683" s="800">
        <v>300000</v>
      </c>
      <c r="K683" s="800">
        <f t="shared" si="332"/>
        <v>3857.5599999999977</v>
      </c>
      <c r="L683" s="792">
        <f t="shared" si="333"/>
        <v>9.8772356163761271E-3</v>
      </c>
      <c r="M683" s="817">
        <f t="shared" si="300"/>
        <v>94408.13</v>
      </c>
      <c r="N683" s="802">
        <f t="shared" si="324"/>
        <v>0.31469376666666671</v>
      </c>
      <c r="O683" s="786">
        <f t="shared" si="336"/>
        <v>0.10905303441650856</v>
      </c>
      <c r="P683" s="817" t="b">
        <f t="shared" si="302"/>
        <v>1</v>
      </c>
      <c r="Q683" s="802">
        <f>COUNTIF(P$2:P683, TRUE)/(COUNTIF(P$2:P683,FALSE) + COUNTIF(P$2:P683, TRUE))</f>
        <v>0.5</v>
      </c>
      <c r="R683" s="800">
        <v>226076.88</v>
      </c>
      <c r="S683" s="800">
        <f t="shared" si="338"/>
        <v>168331.25</v>
      </c>
      <c r="T683" s="800">
        <v>-31820</v>
      </c>
      <c r="U683" s="800">
        <f t="shared" si="337"/>
        <v>126228.13</v>
      </c>
      <c r="V683" s="802">
        <f>STDEV(D$2:D683)*SQRT(252)</f>
        <v>0.14045543259882526</v>
      </c>
      <c r="W683" s="802">
        <f>STDEV(L$2:L683)*SQRT(252)</f>
        <v>0.2693746812100854</v>
      </c>
      <c r="X683" s="801">
        <f t="shared" si="322"/>
        <v>0.77144318794023969</v>
      </c>
      <c r="Y683" s="801">
        <f t="shared" si="334"/>
        <v>0.40483772983645061</v>
      </c>
      <c r="Z683" s="807">
        <f t="shared" si="325"/>
        <v>2.0189697640202175E-3</v>
      </c>
    </row>
    <row r="684" spans="1:26" ht="20.100000000000001" customHeight="1" x14ac:dyDescent="0.2">
      <c r="A684" s="776">
        <f t="shared" si="335"/>
        <v>1057</v>
      </c>
      <c r="B684" s="795">
        <v>43290</v>
      </c>
      <c r="C684" s="820">
        <v>2784.17</v>
      </c>
      <c r="D684" s="792">
        <f t="shared" si="329"/>
        <v>8.8230391837148467E-3</v>
      </c>
      <c r="E684" s="819">
        <f t="shared" si="299"/>
        <v>0.32425657807119346</v>
      </c>
      <c r="F684" s="816">
        <v>7756.2</v>
      </c>
      <c r="G684" s="792">
        <f t="shared" si="330"/>
        <v>8.821104055730819E-3</v>
      </c>
      <c r="H684" s="797">
        <f t="shared" si="331"/>
        <v>0.52330262977001785</v>
      </c>
      <c r="I684" s="841">
        <v>396269.68</v>
      </c>
      <c r="J684" s="800">
        <v>300000</v>
      </c>
      <c r="K684" s="800">
        <f t="shared" si="332"/>
        <v>1861.5499999999884</v>
      </c>
      <c r="L684" s="792">
        <f t="shared" si="333"/>
        <v>4.7198570678550376E-3</v>
      </c>
      <c r="M684" s="817">
        <f t="shared" si="300"/>
        <v>96269.68</v>
      </c>
      <c r="N684" s="802">
        <f t="shared" si="324"/>
        <v>0.3208989333333333</v>
      </c>
      <c r="O684" s="786">
        <f t="shared" si="336"/>
        <v>0.11088773453169345</v>
      </c>
      <c r="P684" s="817" t="b">
        <f t="shared" si="302"/>
        <v>0</v>
      </c>
      <c r="Q684" s="802">
        <f>COUNTIF(P$2:P684, TRUE)/(COUNTIF(P$2:P684,FALSE) + COUNTIF(P$2:P684, TRUE))</f>
        <v>0.49926793557833088</v>
      </c>
      <c r="R684" s="800">
        <v>221497.05</v>
      </c>
      <c r="S684" s="800">
        <f t="shared" si="338"/>
        <v>174772.63</v>
      </c>
      <c r="T684" s="800">
        <v>-31748</v>
      </c>
      <c r="U684" s="800">
        <f t="shared" si="337"/>
        <v>128017.68</v>
      </c>
      <c r="V684" s="802">
        <f>STDEV(D$2:D684)*SQRT(252)</f>
        <v>0.14044477475064268</v>
      </c>
      <c r="W684" s="802">
        <f>STDEV(L$2:L684)*SQRT(252)</f>
        <v>0.2691881821835182</v>
      </c>
      <c r="X684" s="801">
        <f t="shared" si="322"/>
        <v>0.79780810973079075</v>
      </c>
      <c r="Y684" s="801">
        <f t="shared" si="334"/>
        <v>0.41193388815299509</v>
      </c>
      <c r="Z684" s="807">
        <f t="shared" si="325"/>
        <v>-3.3576447378601548E-3</v>
      </c>
    </row>
    <row r="685" spans="1:26" ht="20.100000000000001" customHeight="1" x14ac:dyDescent="0.2">
      <c r="A685" s="776">
        <f t="shared" si="335"/>
        <v>1058</v>
      </c>
      <c r="B685" s="795">
        <v>43291</v>
      </c>
      <c r="C685" s="820">
        <v>2793.84</v>
      </c>
      <c r="D685" s="792">
        <f t="shared" si="329"/>
        <v>3.4732074550045695E-3</v>
      </c>
      <c r="E685" s="819">
        <f t="shared" si="299"/>
        <v>0.32885599589048919</v>
      </c>
      <c r="F685" s="816">
        <v>7759.19</v>
      </c>
      <c r="G685" s="792">
        <f t="shared" si="330"/>
        <v>3.8549805317033881E-4</v>
      </c>
      <c r="H685" s="797">
        <f t="shared" si="331"/>
        <v>0.52388985996818349</v>
      </c>
      <c r="I685" s="841">
        <v>397186.29</v>
      </c>
      <c r="J685" s="800">
        <v>300000</v>
      </c>
      <c r="K685" s="800">
        <f t="shared" si="332"/>
        <v>916.60999999998603</v>
      </c>
      <c r="L685" s="792">
        <f t="shared" si="333"/>
        <v>2.3130964751075229E-3</v>
      </c>
      <c r="M685" s="817">
        <f t="shared" si="300"/>
        <v>97186.289999999979</v>
      </c>
      <c r="N685" s="802">
        <f t="shared" si="324"/>
        <v>0.32395429999999992</v>
      </c>
      <c r="O685" s="786">
        <f t="shared" si="336"/>
        <v>0.11183772029773154</v>
      </c>
      <c r="P685" s="817" t="b">
        <f t="shared" si="302"/>
        <v>0</v>
      </c>
      <c r="Q685" s="802">
        <f>COUNTIF(P$2:P685, TRUE)/(COUNTIF(P$2:P685,FALSE) + COUNTIF(P$2:P685, TRUE))</f>
        <v>0.49853801169590645</v>
      </c>
      <c r="R685" s="800">
        <v>201287.05</v>
      </c>
      <c r="S685" s="800">
        <f t="shared" si="338"/>
        <v>195899.24</v>
      </c>
      <c r="T685" s="800">
        <v>-31788</v>
      </c>
      <c r="U685" s="800">
        <f t="shared" si="337"/>
        <v>128974.28999999998</v>
      </c>
      <c r="V685" s="802">
        <f>STDEV(D$2:D685)*SQRT(252)</f>
        <v>0.14035377759574863</v>
      </c>
      <c r="W685" s="802">
        <f>STDEV(L$2:L685)*SQRT(252)</f>
        <v>0.26899263458634343</v>
      </c>
      <c r="X685" s="801">
        <f t="shared" si="322"/>
        <v>0.80888394484710457</v>
      </c>
      <c r="Y685" s="801">
        <f t="shared" si="334"/>
        <v>0.41576499099953224</v>
      </c>
      <c r="Z685" s="807">
        <f t="shared" si="325"/>
        <v>-4.9016958904892771E-3</v>
      </c>
    </row>
    <row r="686" spans="1:26" ht="20.100000000000001" customHeight="1" x14ac:dyDescent="0.2">
      <c r="A686" s="776">
        <f t="shared" ref="A686:A712" si="339">B686-$B$2</f>
        <v>1059</v>
      </c>
      <c r="B686" s="795">
        <v>43292</v>
      </c>
      <c r="C686" s="820">
        <v>2774.02</v>
      </c>
      <c r="D686" s="792">
        <f t="shared" ref="D686:D712" si="340">(C686-C685)/C685</f>
        <v>-7.094178621538872E-3</v>
      </c>
      <c r="E686" s="819">
        <f t="shared" ref="E686:E711" si="341">(C686-$C$2)/$C$2</f>
        <v>0.3194288540933391</v>
      </c>
      <c r="F686" s="816">
        <v>7716.61</v>
      </c>
      <c r="G686" s="792">
        <f t="shared" ref="G686:G712" si="342">(F686-F685)/F685</f>
        <v>-5.4876862146693052E-3</v>
      </c>
      <c r="H686" s="797">
        <f t="shared" ref="H686:H711" si="343">(F686-F$2)/F$2</f>
        <v>0.51552723059096173</v>
      </c>
      <c r="I686" s="841">
        <v>394153.65</v>
      </c>
      <c r="J686" s="800">
        <v>300000</v>
      </c>
      <c r="K686" s="800">
        <f t="shared" ref="K686:K711" si="344">I686-I685-J686+J685</f>
        <v>-3032.6399999999558</v>
      </c>
      <c r="L686" s="792">
        <f t="shared" ref="L686:L711" si="345">K686/I685</f>
        <v>-7.6353088622468715E-3</v>
      </c>
      <c r="M686" s="817">
        <f t="shared" ref="M686:M711" si="346">I686-J686</f>
        <v>94153.650000000023</v>
      </c>
      <c r="N686" s="802">
        <f t="shared" ref="N686:N711" si="347">M686/J686</f>
        <v>0.31384550000000005</v>
      </c>
      <c r="O686" s="786">
        <f t="shared" ref="O686:O711" si="348">N686/(A686/365.25)</f>
        <v>0.10824557967422098</v>
      </c>
      <c r="P686" s="817" t="b">
        <f t="shared" ref="P686:P711" si="349">L686&gt;D686</f>
        <v>0</v>
      </c>
      <c r="Q686" s="802">
        <f>COUNTIF(P$2:P686, TRUE)/(COUNTIF(P$2:P686,FALSE) + COUNTIF(P$2:P686, TRUE))</f>
        <v>0.49781021897810218</v>
      </c>
      <c r="R686" s="800">
        <v>218821.94</v>
      </c>
      <c r="S686" s="800">
        <f t="shared" si="338"/>
        <v>175331.71000000002</v>
      </c>
      <c r="T686" s="800">
        <v>-31948</v>
      </c>
      <c r="U686" s="800">
        <f t="shared" ref="U686:U711" si="350">M686-T686</f>
        <v>126101.65000000002</v>
      </c>
      <c r="V686" s="802">
        <f>STDEV(D$2:D686)*SQRT(252)</f>
        <v>0.1403258328218375</v>
      </c>
      <c r="W686" s="802">
        <f>STDEV(L$2:L686)*SQRT(252)</f>
        <v>0.26884281071905403</v>
      </c>
      <c r="X686" s="801">
        <f t="shared" ref="X686:X711" si="351">E686/(A686/365.25)/V686</f>
        <v>0.78511048914244463</v>
      </c>
      <c r="Y686" s="801">
        <f t="shared" ref="Y686:Y711" si="352">O686/W686</f>
        <v>0.40263520301958056</v>
      </c>
      <c r="Z686" s="807">
        <f t="shared" ref="Z686:Z711" si="353">-(E686-N686)</f>
        <v>-5.5833540933390435E-3</v>
      </c>
    </row>
    <row r="687" spans="1:26" ht="20.100000000000001" customHeight="1" x14ac:dyDescent="0.2">
      <c r="A687" s="776">
        <f t="shared" si="339"/>
        <v>1060</v>
      </c>
      <c r="B687" s="795">
        <v>43293</v>
      </c>
      <c r="C687" s="820">
        <v>2798.29</v>
      </c>
      <c r="D687" s="792">
        <f t="shared" si="340"/>
        <v>8.749035695488851E-3</v>
      </c>
      <c r="E687" s="819">
        <f t="shared" si="341"/>
        <v>0.33097258423545972</v>
      </c>
      <c r="F687" s="816">
        <v>7823.91</v>
      </c>
      <c r="G687" s="792">
        <f t="shared" si="342"/>
        <v>1.3905069713254939E-2</v>
      </c>
      <c r="H687" s="797">
        <f t="shared" si="343"/>
        <v>0.53660074238466526</v>
      </c>
      <c r="I687" s="841">
        <v>395295.9</v>
      </c>
      <c r="J687" s="800">
        <v>300000</v>
      </c>
      <c r="K687" s="800">
        <f t="shared" si="344"/>
        <v>1142.25</v>
      </c>
      <c r="L687" s="792">
        <f t="shared" si="345"/>
        <v>2.8979815358807408E-3</v>
      </c>
      <c r="M687" s="817">
        <f t="shared" si="346"/>
        <v>95295.900000000023</v>
      </c>
      <c r="N687" s="802">
        <f t="shared" si="347"/>
        <v>0.31765300000000007</v>
      </c>
      <c r="O687" s="786">
        <f t="shared" si="348"/>
        <v>0.10945543231132078</v>
      </c>
      <c r="P687" s="817" t="b">
        <f t="shared" si="349"/>
        <v>0</v>
      </c>
      <c r="Q687" s="802">
        <f>COUNTIF(P$2:P687, TRUE)/(COUNTIF(P$2:P687,FALSE) + COUNTIF(P$2:P687, TRUE))</f>
        <v>0.49708454810495628</v>
      </c>
      <c r="R687" s="800">
        <v>215692.65</v>
      </c>
      <c r="S687" s="800">
        <f t="shared" si="338"/>
        <v>179603.25000000003</v>
      </c>
      <c r="T687" s="800">
        <v>-31904</v>
      </c>
      <c r="U687" s="800">
        <f t="shared" si="350"/>
        <v>127199.90000000002</v>
      </c>
      <c r="V687" s="802">
        <f>STDEV(D$2:D687)*SQRT(252)</f>
        <v>0.14031365874172999</v>
      </c>
      <c r="W687" s="802">
        <f>STDEV(L$2:L687)*SQRT(252)</f>
        <v>0.26864967909317089</v>
      </c>
      <c r="X687" s="801">
        <f t="shared" si="351"/>
        <v>0.81278640550593428</v>
      </c>
      <c r="Y687" s="801">
        <f t="shared" si="352"/>
        <v>0.40742811486240538</v>
      </c>
      <c r="Z687" s="807">
        <f t="shared" si="353"/>
        <v>-1.3319584235459647E-2</v>
      </c>
    </row>
    <row r="688" spans="1:26" ht="20.100000000000001" customHeight="1" x14ac:dyDescent="0.2">
      <c r="A688" s="776">
        <f t="shared" si="339"/>
        <v>1061</v>
      </c>
      <c r="B688" s="795">
        <v>43294</v>
      </c>
      <c r="C688" s="820">
        <v>2801.31</v>
      </c>
      <c r="D688" s="792">
        <f t="shared" si="340"/>
        <v>1.0792305300737172E-3</v>
      </c>
      <c r="E688" s="819">
        <f t="shared" si="341"/>
        <v>0.33240901048305771</v>
      </c>
      <c r="F688" s="816">
        <v>7825.97</v>
      </c>
      <c r="G688" s="792">
        <f t="shared" si="342"/>
        <v>2.6329546224335403E-4</v>
      </c>
      <c r="H688" s="797">
        <f t="shared" si="343"/>
        <v>0.53700532238741494</v>
      </c>
      <c r="I688" s="841">
        <v>396222.85</v>
      </c>
      <c r="J688" s="800">
        <v>300000</v>
      </c>
      <c r="K688" s="800">
        <f t="shared" si="344"/>
        <v>926.94999999995343</v>
      </c>
      <c r="L688" s="792">
        <f t="shared" si="345"/>
        <v>2.3449522243968466E-3</v>
      </c>
      <c r="M688" s="817">
        <f t="shared" si="346"/>
        <v>96222.849999999977</v>
      </c>
      <c r="N688" s="802">
        <f t="shared" si="347"/>
        <v>0.32074283333333325</v>
      </c>
      <c r="O688" s="786">
        <f t="shared" si="348"/>
        <v>0.11041594710179073</v>
      </c>
      <c r="P688" s="817" t="b">
        <f t="shared" si="349"/>
        <v>1</v>
      </c>
      <c r="Q688" s="802">
        <f>COUNTIF(P$2:P688, TRUE)/(COUNTIF(P$2:P688,FALSE) + COUNTIF(P$2:P688, TRUE))</f>
        <v>0.49781659388646288</v>
      </c>
      <c r="R688" s="800">
        <v>226261.05</v>
      </c>
      <c r="S688" s="800">
        <f t="shared" si="338"/>
        <v>169961.8</v>
      </c>
      <c r="T688" s="800">
        <v>-32319</v>
      </c>
      <c r="U688" s="800">
        <f t="shared" si="350"/>
        <v>128541.84999999998</v>
      </c>
      <c r="V688" s="802">
        <f>STDEV(D$2:D688)*SQRT(252)</f>
        <v>0.14021171061753313</v>
      </c>
      <c r="W688" s="802">
        <f>STDEV(L$2:L688)*SQRT(252)</f>
        <v>0.26845547284380461</v>
      </c>
      <c r="X688" s="801">
        <f t="shared" si="351"/>
        <v>0.81613751325179795</v>
      </c>
      <c r="Y688" s="801">
        <f t="shared" si="352"/>
        <v>0.41130078642886903</v>
      </c>
      <c r="Z688" s="807">
        <f t="shared" si="353"/>
        <v>-1.1666177149724455E-2</v>
      </c>
    </row>
    <row r="689" spans="1:26" ht="20.100000000000001" customHeight="1" x14ac:dyDescent="0.2">
      <c r="A689" s="776">
        <f t="shared" si="339"/>
        <v>1064</v>
      </c>
      <c r="B689" s="795">
        <v>43297</v>
      </c>
      <c r="C689" s="820">
        <v>2798.43</v>
      </c>
      <c r="D689" s="792">
        <f t="shared" si="340"/>
        <v>-1.0280904291207003E-3</v>
      </c>
      <c r="E689" s="819">
        <f t="shared" si="341"/>
        <v>0.33103917353170592</v>
      </c>
      <c r="F689" s="816">
        <v>7805.71</v>
      </c>
      <c r="G689" s="792">
        <f t="shared" si="342"/>
        <v>-2.5888164662016618E-3</v>
      </c>
      <c r="H689" s="797">
        <f t="shared" si="343"/>
        <v>0.53302629770017873</v>
      </c>
      <c r="I689" s="841">
        <v>392316.49</v>
      </c>
      <c r="J689" s="800">
        <v>300000</v>
      </c>
      <c r="K689" s="800">
        <f t="shared" si="344"/>
        <v>-3906.359999999986</v>
      </c>
      <c r="L689" s="792">
        <f t="shared" si="345"/>
        <v>-9.8589972789302448E-3</v>
      </c>
      <c r="M689" s="817">
        <f t="shared" si="346"/>
        <v>92316.489999999991</v>
      </c>
      <c r="N689" s="802">
        <f t="shared" si="347"/>
        <v>0.3077216333333333</v>
      </c>
      <c r="O689" s="786">
        <f t="shared" si="348"/>
        <v>0.10563470542763156</v>
      </c>
      <c r="P689" s="817" t="b">
        <f t="shared" si="349"/>
        <v>0</v>
      </c>
      <c r="Q689" s="802">
        <f>COUNTIF(P$2:P689, TRUE)/(COUNTIF(P$2:P689,FALSE) + COUNTIF(P$2:P689, TRUE))</f>
        <v>0.49709302325581395</v>
      </c>
      <c r="R689" s="800">
        <v>248251.44</v>
      </c>
      <c r="S689" s="800">
        <f t="shared" si="338"/>
        <v>144065.04999999999</v>
      </c>
      <c r="T689" s="800">
        <v>-32475</v>
      </c>
      <c r="U689" s="800">
        <f t="shared" si="350"/>
        <v>124791.48999999999</v>
      </c>
      <c r="V689" s="802">
        <f>STDEV(D$2:D689)*SQRT(252)</f>
        <v>0.14011236678602129</v>
      </c>
      <c r="W689" s="802">
        <f>STDEV(L$2:L689)*SQRT(252)</f>
        <v>0.2683352993857776</v>
      </c>
      <c r="X689" s="801">
        <f t="shared" si="351"/>
        <v>0.81105726058911287</v>
      </c>
      <c r="Y689" s="801">
        <f t="shared" si="352"/>
        <v>0.39366682530934449</v>
      </c>
      <c r="Z689" s="807">
        <f t="shared" si="353"/>
        <v>-2.3317540198372622E-2</v>
      </c>
    </row>
    <row r="690" spans="1:26" ht="20.100000000000001" customHeight="1" x14ac:dyDescent="0.2">
      <c r="A690" s="776">
        <f t="shared" si="339"/>
        <v>1065</v>
      </c>
      <c r="B690" s="795">
        <v>43298</v>
      </c>
      <c r="C690" s="820">
        <v>2809.55</v>
      </c>
      <c r="D690" s="792">
        <f t="shared" si="340"/>
        <v>3.9736566574830696E-3</v>
      </c>
      <c r="E690" s="819">
        <f t="shared" si="341"/>
        <v>0.33632826620498091</v>
      </c>
      <c r="F690" s="816">
        <v>7855.11</v>
      </c>
      <c r="G690" s="792">
        <f t="shared" si="342"/>
        <v>6.3287004000916807E-3</v>
      </c>
      <c r="H690" s="797">
        <f t="shared" si="343"/>
        <v>0.54272836184378492</v>
      </c>
      <c r="I690" s="841">
        <v>393640.6</v>
      </c>
      <c r="J690" s="800">
        <v>300000</v>
      </c>
      <c r="K690" s="800">
        <f t="shared" si="344"/>
        <v>1324.109999999986</v>
      </c>
      <c r="L690" s="792">
        <f t="shared" si="345"/>
        <v>3.3751066645197249E-3</v>
      </c>
      <c r="M690" s="817">
        <f t="shared" si="346"/>
        <v>93640.599999999977</v>
      </c>
      <c r="N690" s="802">
        <f t="shared" si="347"/>
        <v>0.31213533333333326</v>
      </c>
      <c r="O690" s="786">
        <f t="shared" si="348"/>
        <v>0.10704923051643191</v>
      </c>
      <c r="P690" s="817" t="b">
        <f t="shared" si="349"/>
        <v>0</v>
      </c>
      <c r="Q690" s="802">
        <f>COUNTIF(P$2:P690, TRUE)/(COUNTIF(P$2:P690,FALSE) + COUNTIF(P$2:P690, TRUE))</f>
        <v>0.49637155297532654</v>
      </c>
      <c r="R690" s="800">
        <v>254153.13</v>
      </c>
      <c r="S690" s="800">
        <f t="shared" si="338"/>
        <v>139487.46999999997</v>
      </c>
      <c r="T690" s="800">
        <v>-32387</v>
      </c>
      <c r="U690" s="800">
        <f t="shared" si="350"/>
        <v>126027.59999999998</v>
      </c>
      <c r="V690" s="802">
        <f>STDEV(D$2:D690)*SQRT(252)</f>
        <v>0.14002654726015454</v>
      </c>
      <c r="W690" s="802">
        <f>STDEV(L$2:L690)*SQRT(252)</f>
        <v>0.26814504427740948</v>
      </c>
      <c r="X690" s="801">
        <f t="shared" si="351"/>
        <v>0.82374654315017448</v>
      </c>
      <c r="Y690" s="801">
        <f t="shared" si="352"/>
        <v>0.39922136470918373</v>
      </c>
      <c r="Z690" s="807">
        <f t="shared" si="353"/>
        <v>-2.4192932871647643E-2</v>
      </c>
    </row>
    <row r="691" spans="1:26" ht="20.100000000000001" customHeight="1" x14ac:dyDescent="0.2">
      <c r="A691" s="776">
        <f t="shared" si="339"/>
        <v>1066</v>
      </c>
      <c r="B691" s="795">
        <v>43299</v>
      </c>
      <c r="C691" s="820">
        <v>2815.62</v>
      </c>
      <c r="D691" s="792">
        <f t="shared" si="340"/>
        <v>2.1604883344306771E-3</v>
      </c>
      <c r="E691" s="819">
        <f t="shared" si="341"/>
        <v>0.33921538783508676</v>
      </c>
      <c r="F691" s="816">
        <v>7854.44</v>
      </c>
      <c r="G691" s="792">
        <f t="shared" si="342"/>
        <v>-8.5294795362518509E-5</v>
      </c>
      <c r="H691" s="797">
        <f t="shared" si="343"/>
        <v>0.54259677514386151</v>
      </c>
      <c r="I691" s="841">
        <v>393399.1</v>
      </c>
      <c r="J691" s="800">
        <v>300000</v>
      </c>
      <c r="K691" s="800">
        <f t="shared" si="344"/>
        <v>-241.5</v>
      </c>
      <c r="L691" s="792">
        <f t="shared" si="345"/>
        <v>-6.1350379000540088E-4</v>
      </c>
      <c r="M691" s="817">
        <f t="shared" si="346"/>
        <v>93399.099999999977</v>
      </c>
      <c r="N691" s="802">
        <f t="shared" si="347"/>
        <v>0.31133033333333326</v>
      </c>
      <c r="O691" s="786">
        <f t="shared" si="348"/>
        <v>0.1066729871013133</v>
      </c>
      <c r="P691" s="817" t="b">
        <f t="shared" si="349"/>
        <v>0</v>
      </c>
      <c r="Q691" s="802">
        <f>COUNTIF(P$2:P691, TRUE)/(COUNTIF(P$2:P691,FALSE) + COUNTIF(P$2:P691, TRUE))</f>
        <v>0.4956521739130435</v>
      </c>
      <c r="R691" s="800">
        <v>247098.07</v>
      </c>
      <c r="S691" s="800">
        <f t="shared" si="338"/>
        <v>146301.02999999997</v>
      </c>
      <c r="T691" s="800">
        <v>-32575</v>
      </c>
      <c r="U691" s="800">
        <f t="shared" si="350"/>
        <v>125974.09999999998</v>
      </c>
      <c r="V691" s="802">
        <f>STDEV(D$2:D691)*SQRT(252)</f>
        <v>0.13992852439635978</v>
      </c>
      <c r="W691" s="802">
        <f>STDEV(L$2:L691)*SQRT(252)</f>
        <v>0.26795117899797427</v>
      </c>
      <c r="X691" s="801">
        <f t="shared" si="351"/>
        <v>0.8306198594230717</v>
      </c>
      <c r="Y691" s="801">
        <f t="shared" si="352"/>
        <v>0.39810605611151184</v>
      </c>
      <c r="Z691" s="807">
        <f t="shared" si="353"/>
        <v>-2.7885054501753492E-2</v>
      </c>
    </row>
    <row r="692" spans="1:26" ht="20.100000000000001" customHeight="1" x14ac:dyDescent="0.2">
      <c r="A692" s="776">
        <f t="shared" si="339"/>
        <v>1067</v>
      </c>
      <c r="B692" s="795">
        <v>43300</v>
      </c>
      <c r="C692" s="820">
        <v>2804.49</v>
      </c>
      <c r="D692" s="792">
        <f t="shared" si="340"/>
        <v>-3.9529481961344606E-3</v>
      </c>
      <c r="E692" s="819">
        <f t="shared" si="341"/>
        <v>0.33392153878350855</v>
      </c>
      <c r="F692" s="816">
        <v>7825.29</v>
      </c>
      <c r="G692" s="792">
        <f t="shared" si="342"/>
        <v>-3.7112766791775908E-3</v>
      </c>
      <c r="H692" s="797">
        <f t="shared" si="343"/>
        <v>0.5368717717068956</v>
      </c>
      <c r="I692" s="841">
        <v>394279.56</v>
      </c>
      <c r="J692" s="800">
        <v>300000</v>
      </c>
      <c r="K692" s="800">
        <f t="shared" si="344"/>
        <v>880.46000000002095</v>
      </c>
      <c r="L692" s="792">
        <f t="shared" si="345"/>
        <v>2.2380834119854901E-3</v>
      </c>
      <c r="M692" s="817">
        <f t="shared" si="346"/>
        <v>94279.56</v>
      </c>
      <c r="N692" s="802">
        <f t="shared" si="347"/>
        <v>0.31426519999999997</v>
      </c>
      <c r="O692" s="786">
        <f t="shared" si="348"/>
        <v>0.10757766101218369</v>
      </c>
      <c r="P692" s="817" t="b">
        <f t="shared" si="349"/>
        <v>1</v>
      </c>
      <c r="Q692" s="802">
        <f>COUNTIF(P$2:P692, TRUE)/(COUNTIF(P$2:P692,FALSE) + COUNTIF(P$2:P692, TRUE))</f>
        <v>0.49638205499276411</v>
      </c>
      <c r="R692" s="800">
        <v>255684.16</v>
      </c>
      <c r="S692" s="800">
        <f t="shared" si="338"/>
        <v>138595.4</v>
      </c>
      <c r="T692" s="800">
        <v>-32295</v>
      </c>
      <c r="U692" s="800">
        <f t="shared" si="350"/>
        <v>126574.56</v>
      </c>
      <c r="V692" s="802">
        <f>STDEV(D$2:D692)*SQRT(252)</f>
        <v>0.13985240552391423</v>
      </c>
      <c r="W692" s="802">
        <f>STDEV(L$2:L692)*SQRT(252)</f>
        <v>0.26775839705405224</v>
      </c>
      <c r="X692" s="801">
        <f t="shared" si="351"/>
        <v>0.81733537768142361</v>
      </c>
      <c r="Y692" s="801">
        <f t="shared" si="352"/>
        <v>0.40177138119954853</v>
      </c>
      <c r="Z692" s="807">
        <f t="shared" si="353"/>
        <v>-1.9656338783508587E-2</v>
      </c>
    </row>
    <row r="693" spans="1:26" ht="20.100000000000001" customHeight="1" x14ac:dyDescent="0.2">
      <c r="A693" s="776">
        <f t="shared" si="339"/>
        <v>1068</v>
      </c>
      <c r="B693" s="795">
        <v>43301</v>
      </c>
      <c r="C693" s="820">
        <v>2801.83</v>
      </c>
      <c r="D693" s="792">
        <f t="shared" si="340"/>
        <v>-9.4847904610102177E-4</v>
      </c>
      <c r="E693" s="819">
        <f t="shared" si="341"/>
        <v>0.33265634215482953</v>
      </c>
      <c r="F693" s="816">
        <v>7820.19</v>
      </c>
      <c r="G693" s="792">
        <f t="shared" si="342"/>
        <v>-6.5173303481409176E-4</v>
      </c>
      <c r="H693" s="797">
        <f t="shared" si="343"/>
        <v>0.53587014160300095</v>
      </c>
      <c r="I693" s="841">
        <v>393654.11</v>
      </c>
      <c r="J693" s="800">
        <v>300000</v>
      </c>
      <c r="K693" s="800">
        <f t="shared" si="344"/>
        <v>-625.45000000001164</v>
      </c>
      <c r="L693" s="792">
        <f t="shared" si="345"/>
        <v>-1.5863109921295734E-3</v>
      </c>
      <c r="M693" s="817">
        <f t="shared" si="346"/>
        <v>93654.109999999986</v>
      </c>
      <c r="N693" s="802">
        <f t="shared" si="347"/>
        <v>0.3121803666666666</v>
      </c>
      <c r="O693" s="786">
        <f t="shared" si="348"/>
        <v>0.10676393157771534</v>
      </c>
      <c r="P693" s="817" t="b">
        <f t="shared" si="349"/>
        <v>0</v>
      </c>
      <c r="Q693" s="802">
        <f>COUNTIF(P$2:P693, TRUE)/(COUNTIF(P$2:P693,FALSE) + COUNTIF(P$2:P693, TRUE))</f>
        <v>0.49566473988439308</v>
      </c>
      <c r="R693" s="800">
        <v>264730.7</v>
      </c>
      <c r="S693" s="800">
        <f t="shared" si="338"/>
        <v>128923.40999999997</v>
      </c>
      <c r="T693" s="800">
        <v>-31596</v>
      </c>
      <c r="U693" s="800">
        <f t="shared" si="350"/>
        <v>125250.10999999999</v>
      </c>
      <c r="V693" s="802">
        <f>STDEV(D$2:D693)*SQRT(252)</f>
        <v>0.13975360173239254</v>
      </c>
      <c r="W693" s="802">
        <f>STDEV(L$2:L693)*SQRT(252)</f>
        <v>0.26756768889690702</v>
      </c>
      <c r="X693" s="801">
        <f t="shared" si="351"/>
        <v>0.81405129278129884</v>
      </c>
      <c r="Y693" s="801">
        <f t="shared" si="352"/>
        <v>0.39901653304204138</v>
      </c>
      <c r="Z693" s="807">
        <f t="shared" si="353"/>
        <v>-2.0475975488162934E-2</v>
      </c>
    </row>
    <row r="694" spans="1:26" ht="20.100000000000001" customHeight="1" x14ac:dyDescent="0.2">
      <c r="A694" s="776">
        <f t="shared" si="339"/>
        <v>1071</v>
      </c>
      <c r="B694" s="795">
        <v>43304</v>
      </c>
      <c r="C694" s="820">
        <v>2806.98</v>
      </c>
      <c r="D694" s="792">
        <f t="shared" si="340"/>
        <v>1.8380843948419751E-3</v>
      </c>
      <c r="E694" s="819">
        <f t="shared" si="341"/>
        <v>0.33510587698103156</v>
      </c>
      <c r="F694" s="816">
        <v>7841.87</v>
      </c>
      <c r="G694" s="792">
        <f t="shared" si="342"/>
        <v>2.7723111586803253E-3</v>
      </c>
      <c r="H694" s="797">
        <f t="shared" si="343"/>
        <v>0.54012805153485088</v>
      </c>
      <c r="I694" s="841">
        <v>395267.72</v>
      </c>
      <c r="J694" s="800">
        <v>300000</v>
      </c>
      <c r="K694" s="800">
        <f t="shared" si="344"/>
        <v>1613.609999999986</v>
      </c>
      <c r="L694" s="792">
        <f t="shared" si="345"/>
        <v>4.0990553864660171E-3</v>
      </c>
      <c r="M694" s="817">
        <f t="shared" si="346"/>
        <v>95267.719999999972</v>
      </c>
      <c r="N694" s="802">
        <f t="shared" si="347"/>
        <v>0.31755906666666656</v>
      </c>
      <c r="O694" s="786">
        <f t="shared" si="348"/>
        <v>0.10829920550887018</v>
      </c>
      <c r="P694" s="817" t="b">
        <f t="shared" si="349"/>
        <v>1</v>
      </c>
      <c r="Q694" s="802">
        <f>COUNTIF(P$2:P694, TRUE)/(COUNTIF(P$2:P694,FALSE) + COUNTIF(P$2:P694, TRUE))</f>
        <v>0.49639249639249639</v>
      </c>
      <c r="R694" s="800">
        <v>262282.39</v>
      </c>
      <c r="S694" s="800">
        <f t="shared" si="338"/>
        <v>132985.32999999996</v>
      </c>
      <c r="T694" s="800">
        <v>-31343</v>
      </c>
      <c r="U694" s="800">
        <f t="shared" si="350"/>
        <v>126610.71999999997</v>
      </c>
      <c r="V694" s="802">
        <f>STDEV(D$2:D694)*SQRT(252)</f>
        <v>0.13965493723627229</v>
      </c>
      <c r="W694" s="802">
        <f>STDEV(L$2:L694)*SQRT(252)</f>
        <v>0.2673821540591399</v>
      </c>
      <c r="X694" s="801">
        <f t="shared" si="351"/>
        <v>0.81832629083639241</v>
      </c>
      <c r="Y694" s="801">
        <f t="shared" si="352"/>
        <v>0.40503527952324159</v>
      </c>
      <c r="Z694" s="807">
        <f t="shared" si="353"/>
        <v>-1.7546810314365002E-2</v>
      </c>
    </row>
    <row r="695" spans="1:26" ht="20.100000000000001" customHeight="1" x14ac:dyDescent="0.2">
      <c r="A695" s="776">
        <f t="shared" si="339"/>
        <v>1072</v>
      </c>
      <c r="B695" s="795">
        <v>43305</v>
      </c>
      <c r="C695" s="820">
        <v>2820.4</v>
      </c>
      <c r="D695" s="792">
        <f t="shared" si="340"/>
        <v>4.7809389450584163E-3</v>
      </c>
      <c r="E695" s="819">
        <f t="shared" si="341"/>
        <v>0.34148893666406654</v>
      </c>
      <c r="F695" s="816">
        <v>7840.76</v>
      </c>
      <c r="G695" s="792">
        <f t="shared" si="342"/>
        <v>-1.4154787059714999E-4</v>
      </c>
      <c r="H695" s="797">
        <f t="shared" si="343"/>
        <v>0.53991004968870915</v>
      </c>
      <c r="I695" s="841">
        <v>396061.88</v>
      </c>
      <c r="J695" s="800">
        <v>300000</v>
      </c>
      <c r="K695" s="800">
        <f t="shared" si="344"/>
        <v>794.1600000000326</v>
      </c>
      <c r="L695" s="792">
        <f t="shared" si="345"/>
        <v>2.0091698861724218E-3</v>
      </c>
      <c r="M695" s="817">
        <f t="shared" si="346"/>
        <v>96061.88</v>
      </c>
      <c r="N695" s="802">
        <f t="shared" si="347"/>
        <v>0.32020626666666668</v>
      </c>
      <c r="O695" s="786">
        <f t="shared" si="348"/>
        <v>0.10910012957089553</v>
      </c>
      <c r="P695" s="817" t="b">
        <f t="shared" si="349"/>
        <v>0</v>
      </c>
      <c r="Q695" s="802">
        <f>COUNTIF(P$2:P695, TRUE)/(COUNTIF(P$2:P695,FALSE) + COUNTIF(P$2:P695, TRUE))</f>
        <v>0.49567723342939479</v>
      </c>
      <c r="R695" s="800">
        <v>258956.66</v>
      </c>
      <c r="S695" s="800">
        <f t="shared" si="338"/>
        <v>137105.22</v>
      </c>
      <c r="T695" s="800">
        <v>-31316</v>
      </c>
      <c r="U695" s="800">
        <f t="shared" si="350"/>
        <v>127377.88</v>
      </c>
      <c r="V695" s="802">
        <f>STDEV(D$2:D695)*SQRT(252)</f>
        <v>0.13957835749612202</v>
      </c>
      <c r="W695" s="802">
        <f>STDEV(L$2:L695)*SQRT(252)</f>
        <v>0.26719015389352224</v>
      </c>
      <c r="X695" s="801">
        <f t="shared" si="351"/>
        <v>0.8335928753545212</v>
      </c>
      <c r="Y695" s="801">
        <f t="shared" si="352"/>
        <v>0.40832391456450506</v>
      </c>
      <c r="Z695" s="807">
        <f t="shared" si="353"/>
        <v>-2.1282669997399861E-2</v>
      </c>
    </row>
    <row r="696" spans="1:26" ht="20.100000000000001" customHeight="1" x14ac:dyDescent="0.2">
      <c r="A696" s="776">
        <f t="shared" si="339"/>
        <v>1073</v>
      </c>
      <c r="B696" s="795">
        <v>43306</v>
      </c>
      <c r="C696" s="820">
        <v>2846.07</v>
      </c>
      <c r="D696" s="792">
        <f t="shared" si="340"/>
        <v>9.1015458800170444E-3</v>
      </c>
      <c r="E696" s="819">
        <f t="shared" si="341"/>
        <v>0.35369855976864978</v>
      </c>
      <c r="F696" s="816">
        <v>7932.23</v>
      </c>
      <c r="G696" s="792">
        <f t="shared" si="342"/>
        <v>1.16659609527647E-2</v>
      </c>
      <c r="H696" s="797">
        <f t="shared" si="343"/>
        <v>0.5578745801991476</v>
      </c>
      <c r="I696" s="841">
        <v>397194.94</v>
      </c>
      <c r="J696" s="800">
        <v>300000</v>
      </c>
      <c r="K696" s="800">
        <f t="shared" si="344"/>
        <v>1133.0599999999977</v>
      </c>
      <c r="L696" s="792">
        <f t="shared" si="345"/>
        <v>2.8608155877056325E-3</v>
      </c>
      <c r="M696" s="817">
        <f t="shared" si="346"/>
        <v>97194.94</v>
      </c>
      <c r="N696" s="802">
        <f t="shared" si="347"/>
        <v>0.32398313333333334</v>
      </c>
      <c r="O696" s="786">
        <f t="shared" si="348"/>
        <v>0.11028410013979496</v>
      </c>
      <c r="P696" s="817" t="b">
        <f t="shared" si="349"/>
        <v>0</v>
      </c>
      <c r="Q696" s="802">
        <f>COUNTIF(P$2:P696, TRUE)/(COUNTIF(P$2:P696,FALSE) + COUNTIF(P$2:P696, TRUE))</f>
        <v>0.49496402877697843</v>
      </c>
      <c r="R696" s="800">
        <v>311104.62</v>
      </c>
      <c r="S696" s="800">
        <f t="shared" si="338"/>
        <v>86090.32</v>
      </c>
      <c r="T696" s="800">
        <v>-31452</v>
      </c>
      <c r="U696" s="800">
        <f t="shared" si="350"/>
        <v>128646.94</v>
      </c>
      <c r="V696" s="802">
        <f>STDEV(D$2:D696)*SQRT(252)</f>
        <v>0.13957472754547251</v>
      </c>
      <c r="W696" s="802">
        <f>STDEV(L$2:L696)*SQRT(252)</f>
        <v>0.26700063672614199</v>
      </c>
      <c r="X696" s="801">
        <f t="shared" si="351"/>
        <v>0.86261499893794014</v>
      </c>
      <c r="Y696" s="801">
        <f t="shared" si="352"/>
        <v>0.41304807918084285</v>
      </c>
      <c r="Z696" s="807">
        <f t="shared" si="353"/>
        <v>-2.9715426435316439E-2</v>
      </c>
    </row>
    <row r="697" spans="1:26" ht="20.100000000000001" customHeight="1" x14ac:dyDescent="0.2">
      <c r="A697" s="776">
        <f t="shared" si="339"/>
        <v>1074</v>
      </c>
      <c r="B697" s="795">
        <v>43307</v>
      </c>
      <c r="C697" s="820">
        <v>2837.44</v>
      </c>
      <c r="D697" s="792">
        <f t="shared" si="340"/>
        <v>-3.0322514906520599E-3</v>
      </c>
      <c r="E697" s="819">
        <f t="shared" si="341"/>
        <v>0.34959380529289774</v>
      </c>
      <c r="F697" s="816">
        <v>7852.18</v>
      </c>
      <c r="G697" s="792">
        <f t="shared" si="342"/>
        <v>-1.0091739649505785E-2</v>
      </c>
      <c r="H697" s="797">
        <f t="shared" si="343"/>
        <v>0.54215291552919465</v>
      </c>
      <c r="I697" s="841">
        <v>399108.12</v>
      </c>
      <c r="J697" s="800">
        <v>300000</v>
      </c>
      <c r="K697" s="800">
        <f t="shared" si="344"/>
        <v>1913.179999999993</v>
      </c>
      <c r="L697" s="792">
        <f t="shared" si="345"/>
        <v>4.8167280278041636E-3</v>
      </c>
      <c r="M697" s="817">
        <f t="shared" si="346"/>
        <v>99108.12</v>
      </c>
      <c r="N697" s="802">
        <f t="shared" si="347"/>
        <v>0.3303604</v>
      </c>
      <c r="O697" s="786">
        <f t="shared" si="348"/>
        <v>0.11235021983240223</v>
      </c>
      <c r="P697" s="817" t="b">
        <f t="shared" si="349"/>
        <v>1</v>
      </c>
      <c r="Q697" s="802">
        <f>COUNTIF(P$2:P697, TRUE)/(COUNTIF(P$2:P697,FALSE) + COUNTIF(P$2:P697, TRUE))</f>
        <v>0.49568965517241381</v>
      </c>
      <c r="R697" s="800">
        <v>302471.34000000003</v>
      </c>
      <c r="S697" s="800">
        <f t="shared" si="338"/>
        <v>96636.77999999997</v>
      </c>
      <c r="T697" s="800">
        <v>-31624</v>
      </c>
      <c r="U697" s="800">
        <f t="shared" si="350"/>
        <v>130732.12</v>
      </c>
      <c r="V697" s="802">
        <f>STDEV(D$2:D697)*SQRT(252)</f>
        <v>0.13949012206949335</v>
      </c>
      <c r="W697" s="802">
        <f>STDEV(L$2:L697)*SQRT(252)</f>
        <v>0.26681999531144557</v>
      </c>
      <c r="X697" s="801">
        <f t="shared" si="351"/>
        <v>0.85232694334176662</v>
      </c>
      <c r="Y697" s="801">
        <f t="shared" si="352"/>
        <v>0.42107121582571599</v>
      </c>
      <c r="Z697" s="807">
        <f t="shared" si="353"/>
        <v>-1.9233405292897743E-2</v>
      </c>
    </row>
    <row r="698" spans="1:26" ht="20.100000000000001" customHeight="1" x14ac:dyDescent="0.2">
      <c r="A698" s="776">
        <f t="shared" si="339"/>
        <v>1075</v>
      </c>
      <c r="B698" s="795">
        <v>43308</v>
      </c>
      <c r="C698" s="820">
        <v>2818.85</v>
      </c>
      <c r="D698" s="792">
        <f t="shared" si="340"/>
        <v>-6.5516803879553916E-3</v>
      </c>
      <c r="E698" s="819">
        <f t="shared" si="341"/>
        <v>0.34075169802705418</v>
      </c>
      <c r="F698" s="816">
        <v>7737.41</v>
      </c>
      <c r="G698" s="792">
        <f t="shared" si="342"/>
        <v>-1.461632311027007E-2</v>
      </c>
      <c r="H698" s="797">
        <f t="shared" si="343"/>
        <v>0.51961231023037491</v>
      </c>
      <c r="I698" s="841">
        <v>400512.23</v>
      </c>
      <c r="J698" s="800">
        <v>300000</v>
      </c>
      <c r="K698" s="800">
        <f t="shared" si="344"/>
        <v>1404.109999999986</v>
      </c>
      <c r="L698" s="792">
        <f t="shared" si="345"/>
        <v>3.5181193507162574E-3</v>
      </c>
      <c r="M698" s="817">
        <f t="shared" si="346"/>
        <v>100512.22999999998</v>
      </c>
      <c r="N698" s="802">
        <f t="shared" si="347"/>
        <v>0.3350407666666666</v>
      </c>
      <c r="O698" s="786">
        <f t="shared" si="348"/>
        <v>0.11383594420930231</v>
      </c>
      <c r="P698" s="817" t="b">
        <f t="shared" si="349"/>
        <v>1</v>
      </c>
      <c r="Q698" s="802">
        <f>COUNTIF(P$2:P698, TRUE)/(COUNTIF(P$2:P698,FALSE) + COUNTIF(P$2:P698, TRUE))</f>
        <v>0.4964131994261119</v>
      </c>
      <c r="R698" s="800">
        <v>303807.39</v>
      </c>
      <c r="S698" s="800">
        <f t="shared" si="338"/>
        <v>96704.839999999967</v>
      </c>
      <c r="T698" s="800">
        <v>-31335</v>
      </c>
      <c r="U698" s="800">
        <f t="shared" si="350"/>
        <v>131847.22999999998</v>
      </c>
      <c r="V698" s="802">
        <f>STDEV(D$2:D698)*SQRT(252)</f>
        <v>0.13945375345080335</v>
      </c>
      <c r="W698" s="802">
        <f>STDEV(L$2:L698)*SQRT(252)</f>
        <v>0.26663352765470749</v>
      </c>
      <c r="X698" s="801">
        <f t="shared" si="351"/>
        <v>0.83021309848863689</v>
      </c>
      <c r="Y698" s="801">
        <f t="shared" si="352"/>
        <v>0.42693784690393755</v>
      </c>
      <c r="Z698" s="807">
        <f t="shared" si="353"/>
        <v>-5.7109313603875833E-3</v>
      </c>
    </row>
    <row r="699" spans="1:26" ht="20.100000000000001" customHeight="1" x14ac:dyDescent="0.2">
      <c r="A699" s="776">
        <f t="shared" si="339"/>
        <v>1078</v>
      </c>
      <c r="B699" s="795">
        <v>43311</v>
      </c>
      <c r="C699" s="820">
        <v>2802.6</v>
      </c>
      <c r="D699" s="792">
        <f t="shared" si="340"/>
        <v>-5.7647622257303516E-3</v>
      </c>
      <c r="E699" s="819">
        <f t="shared" si="341"/>
        <v>0.33302258328418399</v>
      </c>
      <c r="F699" s="816">
        <v>7630</v>
      </c>
      <c r="G699" s="792">
        <f t="shared" si="342"/>
        <v>-1.3881906219264568E-2</v>
      </c>
      <c r="H699" s="797">
        <f t="shared" si="343"/>
        <v>0.4985171946501169</v>
      </c>
      <c r="I699" s="841">
        <v>404801.42</v>
      </c>
      <c r="J699" s="800">
        <v>300000</v>
      </c>
      <c r="K699" s="800">
        <f t="shared" si="344"/>
        <v>4289.1900000000023</v>
      </c>
      <c r="L699" s="792">
        <f t="shared" si="345"/>
        <v>1.0709260988110158E-2</v>
      </c>
      <c r="M699" s="817">
        <f t="shared" si="346"/>
        <v>104801.41999999998</v>
      </c>
      <c r="N699" s="802">
        <f t="shared" si="347"/>
        <v>0.34933806666666661</v>
      </c>
      <c r="O699" s="786">
        <f t="shared" si="348"/>
        <v>0.11836338483302411</v>
      </c>
      <c r="P699" s="817" t="b">
        <f t="shared" si="349"/>
        <v>1</v>
      </c>
      <c r="Q699" s="802">
        <f>COUNTIF(P$2:P699, TRUE)/(COUNTIF(P$2:P699,FALSE) + COUNTIF(P$2:P699, TRUE))</f>
        <v>0.49713467048710602</v>
      </c>
      <c r="R699" s="800">
        <v>290391.89</v>
      </c>
      <c r="S699" s="800">
        <f t="shared" si="338"/>
        <v>114409.52999999997</v>
      </c>
      <c r="T699" s="800">
        <v>-31137</v>
      </c>
      <c r="U699" s="800">
        <f t="shared" si="350"/>
        <v>135938.41999999998</v>
      </c>
      <c r="V699" s="802">
        <f>STDEV(D$2:D699)*SQRT(252)</f>
        <v>0.13940379006719908</v>
      </c>
      <c r="W699" s="802">
        <f>STDEV(L$2:L699)*SQRT(252)</f>
        <v>0.26651040634496115</v>
      </c>
      <c r="X699" s="801">
        <f t="shared" si="351"/>
        <v>0.8094137313172598</v>
      </c>
      <c r="Y699" s="801">
        <f t="shared" si="352"/>
        <v>0.44412293859857371</v>
      </c>
      <c r="Z699" s="807">
        <f t="shared" si="353"/>
        <v>1.6315483382482621E-2</v>
      </c>
    </row>
    <row r="700" spans="1:26" ht="20.100000000000001" customHeight="1" x14ac:dyDescent="0.2">
      <c r="A700" s="776">
        <f t="shared" si="339"/>
        <v>1079</v>
      </c>
      <c r="B700" s="795">
        <v>43312</v>
      </c>
      <c r="C700" s="820">
        <v>2816.29</v>
      </c>
      <c r="D700" s="792">
        <f t="shared" si="340"/>
        <v>4.884749875115983E-3</v>
      </c>
      <c r="E700" s="819">
        <f t="shared" si="341"/>
        <v>0.33953406518140822</v>
      </c>
      <c r="F700" s="816">
        <v>7671.78</v>
      </c>
      <c r="G700" s="792">
        <f t="shared" si="342"/>
        <v>5.4757536041939378E-3</v>
      </c>
      <c r="H700" s="797">
        <f t="shared" si="343"/>
        <v>0.50672270557966892</v>
      </c>
      <c r="I700" s="842">
        <v>404183.05</v>
      </c>
      <c r="J700" s="800">
        <v>300000</v>
      </c>
      <c r="K700" s="800">
        <f t="shared" si="344"/>
        <v>-618.36999999999534</v>
      </c>
      <c r="L700" s="792">
        <f t="shared" si="345"/>
        <v>-1.5275885148821745E-3</v>
      </c>
      <c r="M700" s="822">
        <f t="shared" si="346"/>
        <v>104183.04999999999</v>
      </c>
      <c r="N700" s="802">
        <f t="shared" si="347"/>
        <v>0.34727683333333331</v>
      </c>
      <c r="O700" s="786">
        <f t="shared" si="348"/>
        <v>0.1175559438137164</v>
      </c>
      <c r="P700" s="817" t="b">
        <f t="shared" si="349"/>
        <v>0</v>
      </c>
      <c r="Q700" s="802">
        <f>COUNTIF(P$2:P700, TRUE)/(COUNTIF(P$2:P700,FALSE) + COUNTIF(P$2:P700, TRUE))</f>
        <v>0.49642346208869814</v>
      </c>
      <c r="R700" s="800">
        <v>292466.09999999998</v>
      </c>
      <c r="S700" s="800">
        <f t="shared" si="338"/>
        <v>111716.95000000001</v>
      </c>
      <c r="T700" s="800">
        <v>-31145</v>
      </c>
      <c r="U700" s="800">
        <f t="shared" si="350"/>
        <v>135328.04999999999</v>
      </c>
      <c r="V700" s="802">
        <f>STDEV(D$2:D700)*SQRT(252)</f>
        <v>0.13932922287713678</v>
      </c>
      <c r="W700" s="802">
        <f>STDEV(L$2:L700)*SQRT(252)</f>
        <v>0.26632244353509082</v>
      </c>
      <c r="X700" s="801">
        <f t="shared" si="351"/>
        <v>0.82491636302824856</v>
      </c>
      <c r="Y700" s="801">
        <f t="shared" si="352"/>
        <v>0.44140457053979809</v>
      </c>
      <c r="Z700" s="807">
        <f t="shared" si="353"/>
        <v>7.7427681519250946E-3</v>
      </c>
    </row>
    <row r="701" spans="1:26" ht="20.100000000000001" customHeight="1" x14ac:dyDescent="0.2">
      <c r="A701" s="776">
        <f t="shared" si="339"/>
        <v>1080</v>
      </c>
      <c r="B701" s="795">
        <v>43313</v>
      </c>
      <c r="C701" s="820">
        <v>2813.36</v>
      </c>
      <c r="D701" s="792">
        <f t="shared" si="340"/>
        <v>-1.0403758135702774E-3</v>
      </c>
      <c r="E701" s="819">
        <f t="shared" si="341"/>
        <v>0.33814044633854001</v>
      </c>
      <c r="F701" s="816">
        <v>7707.28</v>
      </c>
      <c r="G701" s="792">
        <f t="shared" si="342"/>
        <v>4.6273485423200351E-3</v>
      </c>
      <c r="H701" s="797">
        <f t="shared" si="343"/>
        <v>0.51369483669501348</v>
      </c>
      <c r="I701" s="841">
        <v>400088.38</v>
      </c>
      <c r="J701" s="800">
        <v>300000</v>
      </c>
      <c r="K701" s="800">
        <f t="shared" si="344"/>
        <v>-4094.6699999999837</v>
      </c>
      <c r="L701" s="792">
        <f t="shared" si="345"/>
        <v>-1.0130731607869215E-2</v>
      </c>
      <c r="M701" s="817">
        <f t="shared" si="346"/>
        <v>100088.38</v>
      </c>
      <c r="N701" s="802">
        <f t="shared" si="347"/>
        <v>0.33362793333333335</v>
      </c>
      <c r="O701" s="786">
        <f t="shared" si="348"/>
        <v>0.11283111356481483</v>
      </c>
      <c r="P701" s="817" t="b">
        <f t="shared" si="349"/>
        <v>0</v>
      </c>
      <c r="Q701" s="802">
        <f>COUNTIF(P$2:P701, TRUE)/(COUNTIF(P$2:P701,FALSE) + COUNTIF(P$2:P701, TRUE))</f>
        <v>0.49571428571428572</v>
      </c>
      <c r="R701" s="800">
        <v>307659.33</v>
      </c>
      <c r="S701" s="800">
        <f t="shared" si="338"/>
        <v>92429.049999999988</v>
      </c>
      <c r="T701" s="800">
        <v>-31149</v>
      </c>
      <c r="U701" s="800">
        <f t="shared" si="350"/>
        <v>131237.38</v>
      </c>
      <c r="V701" s="802">
        <f>STDEV(D$2:D701)*SQRT(252)</f>
        <v>0.13923228528742781</v>
      </c>
      <c r="W701" s="802">
        <f>STDEV(L$2:L701)*SQRT(252)</f>
        <v>0.26621063577113346</v>
      </c>
      <c r="X701" s="801">
        <f t="shared" si="351"/>
        <v>0.82134125829783444</v>
      </c>
      <c r="Y701" s="801">
        <f t="shared" si="352"/>
        <v>0.42384149392820641</v>
      </c>
      <c r="Z701" s="807">
        <f t="shared" si="353"/>
        <v>-4.5125130052066642E-3</v>
      </c>
    </row>
    <row r="702" spans="1:26" ht="20.100000000000001" customHeight="1" x14ac:dyDescent="0.2">
      <c r="A702" s="776">
        <f t="shared" si="339"/>
        <v>1081</v>
      </c>
      <c r="B702" s="795">
        <v>43314</v>
      </c>
      <c r="C702" s="820">
        <v>2827.22</v>
      </c>
      <c r="D702" s="792">
        <f t="shared" si="340"/>
        <v>4.926493587738388E-3</v>
      </c>
      <c r="E702" s="819">
        <f t="shared" si="341"/>
        <v>0.3447327866669202</v>
      </c>
      <c r="F702" s="816">
        <v>7802.68</v>
      </c>
      <c r="G702" s="792">
        <f t="shared" si="342"/>
        <v>1.2377907640568469E-2</v>
      </c>
      <c r="H702" s="797">
        <f t="shared" si="343"/>
        <v>0.53243121157962969</v>
      </c>
      <c r="I702" s="841">
        <v>403196.94</v>
      </c>
      <c r="J702" s="800">
        <v>300000</v>
      </c>
      <c r="K702" s="800">
        <f t="shared" si="344"/>
        <v>3108.5599999999977</v>
      </c>
      <c r="L702" s="792">
        <f t="shared" si="345"/>
        <v>7.7696832884774046E-3</v>
      </c>
      <c r="M702" s="817">
        <f t="shared" si="346"/>
        <v>103196.94</v>
      </c>
      <c r="N702" s="802">
        <f t="shared" si="347"/>
        <v>0.34398980000000001</v>
      </c>
      <c r="O702" s="786">
        <f t="shared" si="348"/>
        <v>0.11622782095282147</v>
      </c>
      <c r="P702" s="817" t="b">
        <f t="shared" si="349"/>
        <v>1</v>
      </c>
      <c r="Q702" s="802">
        <f>COUNTIF(P$2:P702, TRUE)/(COUNTIF(P$2:P702,FALSE) + COUNTIF(P$2:P702, TRUE))</f>
        <v>0.49643366619115548</v>
      </c>
      <c r="R702" s="800">
        <v>309280.24</v>
      </c>
      <c r="S702" s="800">
        <f t="shared" si="338"/>
        <v>93916.700000000012</v>
      </c>
      <c r="T702" s="800">
        <v>-31192</v>
      </c>
      <c r="U702" s="800">
        <f t="shared" si="350"/>
        <v>134388.94</v>
      </c>
      <c r="V702" s="802">
        <f>STDEV(D$2:D702)*SQRT(252)</f>
        <v>0.13915851795625786</v>
      </c>
      <c r="W702" s="802">
        <f>STDEV(L$2:L702)*SQRT(252)</f>
        <v>0.2660543756926837</v>
      </c>
      <c r="X702" s="801">
        <f t="shared" si="351"/>
        <v>0.83702287276898191</v>
      </c>
      <c r="Y702" s="801">
        <f t="shared" si="352"/>
        <v>0.43685739296795056</v>
      </c>
      <c r="Z702" s="807">
        <f t="shared" si="353"/>
        <v>-7.4298666692018678E-4</v>
      </c>
    </row>
    <row r="703" spans="1:26" ht="20.100000000000001" customHeight="1" x14ac:dyDescent="0.2">
      <c r="A703" s="776">
        <f t="shared" si="339"/>
        <v>1082</v>
      </c>
      <c r="B703" s="795">
        <v>43315</v>
      </c>
      <c r="C703" s="820">
        <v>2840.35</v>
      </c>
      <c r="D703" s="792">
        <f t="shared" si="340"/>
        <v>4.6441380578802179E-3</v>
      </c>
      <c r="E703" s="819">
        <f t="shared" si="341"/>
        <v>0.3509779113791594</v>
      </c>
      <c r="F703" s="816">
        <v>7812.01</v>
      </c>
      <c r="G703" s="792">
        <f t="shared" si="342"/>
        <v>1.1957430011226818E-3</v>
      </c>
      <c r="H703" s="797">
        <f t="shared" si="343"/>
        <v>0.53426360547557805</v>
      </c>
      <c r="I703" s="841">
        <v>406121.93</v>
      </c>
      <c r="J703" s="800">
        <v>300000</v>
      </c>
      <c r="K703" s="800">
        <f t="shared" si="344"/>
        <v>2924.9899999999907</v>
      </c>
      <c r="L703" s="792">
        <f t="shared" si="345"/>
        <v>7.2544945405587421E-3</v>
      </c>
      <c r="M703" s="817">
        <f t="shared" si="346"/>
        <v>106121.93</v>
      </c>
      <c r="N703" s="802">
        <f t="shared" si="347"/>
        <v>0.35373976666666662</v>
      </c>
      <c r="O703" s="786">
        <f t="shared" si="348"/>
        <v>0.11941169110443622</v>
      </c>
      <c r="P703" s="817" t="b">
        <f t="shared" si="349"/>
        <v>1</v>
      </c>
      <c r="Q703" s="802">
        <f>COUNTIF(P$2:P703, TRUE)/(COUNTIF(P$2:P703,FALSE) + COUNTIF(P$2:P703, TRUE))</f>
        <v>0.49715099715099714</v>
      </c>
      <c r="R703" s="800">
        <v>312205.21999999997</v>
      </c>
      <c r="S703" s="800">
        <f t="shared" si="338"/>
        <v>93916.710000000021</v>
      </c>
      <c r="T703" s="800">
        <v>-31000</v>
      </c>
      <c r="U703" s="800">
        <f t="shared" si="350"/>
        <v>137121.93</v>
      </c>
      <c r="V703" s="802">
        <f>STDEV(D$2:D703)*SQRT(252)</f>
        <v>0.1390816932746255</v>
      </c>
      <c r="W703" s="802">
        <f>STDEV(L$2:L703)*SQRT(252)</f>
        <v>0.2658936052973383</v>
      </c>
      <c r="X703" s="801">
        <f t="shared" si="351"/>
        <v>0.85186893195189872</v>
      </c>
      <c r="Y703" s="801">
        <f t="shared" si="352"/>
        <v>0.44909576133244294</v>
      </c>
      <c r="Z703" s="807">
        <f t="shared" si="353"/>
        <v>2.76185528750722E-3</v>
      </c>
    </row>
    <row r="704" spans="1:26" ht="20.100000000000001" customHeight="1" x14ac:dyDescent="0.2">
      <c r="A704" s="776">
        <f t="shared" si="339"/>
        <v>1085</v>
      </c>
      <c r="B704" s="795">
        <v>43318</v>
      </c>
      <c r="C704" s="820">
        <v>2850.4</v>
      </c>
      <c r="D704" s="792">
        <f t="shared" si="340"/>
        <v>3.5382963367191307E-3</v>
      </c>
      <c r="E704" s="819">
        <f t="shared" si="341"/>
        <v>0.35575807157398071</v>
      </c>
      <c r="F704" s="816">
        <v>7859.67</v>
      </c>
      <c r="G704" s="792">
        <f t="shared" si="342"/>
        <v>6.1008626461051445E-3</v>
      </c>
      <c r="H704" s="797">
        <f t="shared" si="343"/>
        <v>0.5436239369955026</v>
      </c>
      <c r="I704" s="841">
        <v>404173.08</v>
      </c>
      <c r="J704" s="800">
        <v>300000</v>
      </c>
      <c r="K704" s="800">
        <f t="shared" si="344"/>
        <v>-1948.8499999999767</v>
      </c>
      <c r="L704" s="792">
        <f t="shared" si="345"/>
        <v>-4.7986820115820308E-3</v>
      </c>
      <c r="M704" s="817">
        <f t="shared" si="346"/>
        <v>104173.08000000002</v>
      </c>
      <c r="N704" s="802">
        <f t="shared" si="347"/>
        <v>0.34724360000000004</v>
      </c>
      <c r="O704" s="786">
        <f t="shared" si="348"/>
        <v>0.11689467732718894</v>
      </c>
      <c r="P704" s="817" t="b">
        <f t="shared" si="349"/>
        <v>0</v>
      </c>
      <c r="Q704" s="802">
        <f>COUNTIF(P$2:P704, TRUE)/(COUNTIF(P$2:P704,FALSE) + COUNTIF(P$2:P704, TRUE))</f>
        <v>0.49644381223328593</v>
      </c>
      <c r="R704" s="800">
        <v>313010.24</v>
      </c>
      <c r="S704" s="800">
        <f t="shared" si="338"/>
        <v>91162.840000000026</v>
      </c>
      <c r="T704" s="800">
        <v>-32858</v>
      </c>
      <c r="U704" s="800">
        <f t="shared" si="350"/>
        <v>137031.08000000002</v>
      </c>
      <c r="V704" s="802">
        <f>STDEV(D$2:D704)*SQRT(252)</f>
        <v>0.13899463239959842</v>
      </c>
      <c r="W704" s="802">
        <f>STDEV(L$2:L704)*SQRT(252)</f>
        <v>0.26572413352504948</v>
      </c>
      <c r="X704" s="801">
        <f t="shared" si="351"/>
        <v>0.86162287306763052</v>
      </c>
      <c r="Y704" s="801">
        <f t="shared" si="352"/>
        <v>0.43990990120650608</v>
      </c>
      <c r="Z704" s="807">
        <f t="shared" si="353"/>
        <v>-8.5144715739806642E-3</v>
      </c>
    </row>
    <row r="705" spans="1:26" ht="20.100000000000001" customHeight="1" x14ac:dyDescent="0.2">
      <c r="A705" s="776">
        <f t="shared" si="339"/>
        <v>1086</v>
      </c>
      <c r="B705" s="795">
        <v>43319</v>
      </c>
      <c r="C705" s="820">
        <v>2858.45</v>
      </c>
      <c r="D705" s="792">
        <f t="shared" si="340"/>
        <v>2.8241650294694525E-3</v>
      </c>
      <c r="E705" s="819">
        <f t="shared" si="341"/>
        <v>0.3595869561081409</v>
      </c>
      <c r="F705" s="816">
        <v>7883.66</v>
      </c>
      <c r="G705" s="792">
        <f t="shared" si="342"/>
        <v>3.0522909994948619E-3</v>
      </c>
      <c r="H705" s="797">
        <f t="shared" si="343"/>
        <v>0.54833552644499872</v>
      </c>
      <c r="I705" s="841">
        <v>403006.24</v>
      </c>
      <c r="J705" s="800">
        <v>300000</v>
      </c>
      <c r="K705" s="800">
        <f t="shared" si="344"/>
        <v>-1166.8400000000256</v>
      </c>
      <c r="L705" s="792">
        <f t="shared" si="345"/>
        <v>-2.8869809933903209E-3</v>
      </c>
      <c r="M705" s="817">
        <f t="shared" si="346"/>
        <v>103006.23999999999</v>
      </c>
      <c r="N705" s="802">
        <f t="shared" si="347"/>
        <v>0.34335413333333331</v>
      </c>
      <c r="O705" s="786">
        <f t="shared" si="348"/>
        <v>0.11547891086556168</v>
      </c>
      <c r="P705" s="817" t="b">
        <f t="shared" si="349"/>
        <v>0</v>
      </c>
      <c r="Q705" s="802">
        <f>COUNTIF(P$2:P705, TRUE)/(COUNTIF(P$2:P705,FALSE) + COUNTIF(P$2:P705, TRUE))</f>
        <v>0.49573863636363635</v>
      </c>
      <c r="R705" s="800">
        <v>318253</v>
      </c>
      <c r="S705" s="800">
        <f t="shared" si="338"/>
        <v>84753.239999999991</v>
      </c>
      <c r="T705" s="800">
        <v>-33618</v>
      </c>
      <c r="U705" s="800">
        <f t="shared" si="350"/>
        <v>136624.24</v>
      </c>
      <c r="V705" s="802">
        <f>STDEV(D$2:D705)*SQRT(252)</f>
        <v>0.13890273764231756</v>
      </c>
      <c r="W705" s="802">
        <f>STDEV(L$2:L705)*SQRT(252)</f>
        <v>0.26554333708806838</v>
      </c>
      <c r="X705" s="801">
        <f t="shared" si="351"/>
        <v>0.87066988550967461</v>
      </c>
      <c r="Y705" s="801">
        <f t="shared" si="352"/>
        <v>0.43487783249203765</v>
      </c>
      <c r="Z705" s="807">
        <f t="shared" si="353"/>
        <v>-1.6232822774807587E-2</v>
      </c>
    </row>
    <row r="706" spans="1:26" ht="20.100000000000001" customHeight="1" x14ac:dyDescent="0.2">
      <c r="A706" s="776">
        <f t="shared" si="339"/>
        <v>1087</v>
      </c>
      <c r="B706" s="795">
        <v>43320</v>
      </c>
      <c r="C706" s="820">
        <v>2857.7</v>
      </c>
      <c r="D706" s="792">
        <f t="shared" si="340"/>
        <v>-2.6237996116776574E-4</v>
      </c>
      <c r="E706" s="819">
        <f t="shared" si="341"/>
        <v>0.35923022773539304</v>
      </c>
      <c r="F706" s="816">
        <v>7888.32</v>
      </c>
      <c r="G706" s="792">
        <f t="shared" si="342"/>
        <v>5.9109601378038302E-4</v>
      </c>
      <c r="H706" s="797">
        <f t="shared" si="343"/>
        <v>0.54925074140267494</v>
      </c>
      <c r="I706" s="841">
        <v>400744.76</v>
      </c>
      <c r="J706" s="800">
        <v>300000</v>
      </c>
      <c r="K706" s="800">
        <f t="shared" si="344"/>
        <v>-2261.4799999999814</v>
      </c>
      <c r="L706" s="792">
        <f t="shared" si="345"/>
        <v>-5.6115260150810106E-3</v>
      </c>
      <c r="M706" s="817">
        <f t="shared" si="346"/>
        <v>100744.76000000001</v>
      </c>
      <c r="N706" s="802">
        <f t="shared" si="347"/>
        <v>0.33581586666666668</v>
      </c>
      <c r="O706" s="786">
        <f t="shared" si="348"/>
        <v>0.11283969208831647</v>
      </c>
      <c r="P706" s="817" t="b">
        <f t="shared" si="349"/>
        <v>0</v>
      </c>
      <c r="Q706" s="802">
        <f>COUNTIF(P$2:P706, TRUE)/(COUNTIF(P$2:P706,FALSE) + COUNTIF(P$2:P706, TRUE))</f>
        <v>0.49503546099290779</v>
      </c>
      <c r="R706" s="800">
        <v>294990.73</v>
      </c>
      <c r="S706" s="800">
        <f t="shared" si="338"/>
        <v>105754.03000000003</v>
      </c>
      <c r="T706" s="800">
        <v>-34252</v>
      </c>
      <c r="U706" s="800">
        <f t="shared" si="350"/>
        <v>134996.76</v>
      </c>
      <c r="V706" s="802">
        <f>STDEV(D$2:D706)*SQRT(252)</f>
        <v>0.13880461129455129</v>
      </c>
      <c r="W706" s="802">
        <f>STDEV(L$2:L706)*SQRT(252)</f>
        <v>0.2653809631222358</v>
      </c>
      <c r="X706" s="801">
        <f t="shared" si="351"/>
        <v>0.86962028140096148</v>
      </c>
      <c r="Y706" s="801">
        <f t="shared" si="352"/>
        <v>0.42519889430178132</v>
      </c>
      <c r="Z706" s="807">
        <f t="shared" si="353"/>
        <v>-2.3414361068726353E-2</v>
      </c>
    </row>
    <row r="707" spans="1:26" ht="20.100000000000001" customHeight="1" x14ac:dyDescent="0.2">
      <c r="A707" s="776">
        <f t="shared" si="339"/>
        <v>1088</v>
      </c>
      <c r="B707" s="795">
        <v>43321</v>
      </c>
      <c r="C707" s="820">
        <v>2853.58</v>
      </c>
      <c r="D707" s="792">
        <f t="shared" si="340"/>
        <v>-1.4417188648213218E-3</v>
      </c>
      <c r="E707" s="819">
        <f t="shared" si="341"/>
        <v>0.35727059987443155</v>
      </c>
      <c r="F707" s="816">
        <v>7891.78</v>
      </c>
      <c r="G707" s="792">
        <f t="shared" si="342"/>
        <v>4.3862317958703965E-4</v>
      </c>
      <c r="H707" s="797">
        <f t="shared" si="343"/>
        <v>0.54993027868884659</v>
      </c>
      <c r="I707" s="841">
        <v>401364.9</v>
      </c>
      <c r="J707" s="800">
        <v>300000</v>
      </c>
      <c r="K707" s="800">
        <f t="shared" si="344"/>
        <v>620.14000000001397</v>
      </c>
      <c r="L707" s="792">
        <f t="shared" si="345"/>
        <v>1.5474687679010799E-3</v>
      </c>
      <c r="M707" s="817">
        <f t="shared" si="346"/>
        <v>101364.90000000002</v>
      </c>
      <c r="N707" s="802">
        <f t="shared" si="347"/>
        <v>0.3378830000000001</v>
      </c>
      <c r="O707" s="786">
        <f t="shared" si="348"/>
        <v>0.11342993175551473</v>
      </c>
      <c r="P707" s="817" t="b">
        <f t="shared" si="349"/>
        <v>1</v>
      </c>
      <c r="Q707" s="802">
        <f>COUNTIF(P$2:P707, TRUE)/(COUNTIF(P$2:P707,FALSE) + COUNTIF(P$2:P707, TRUE))</f>
        <v>0.49575070821529743</v>
      </c>
      <c r="R707" s="800">
        <v>304574.90999999997</v>
      </c>
      <c r="S707" s="800">
        <f t="shared" si="338"/>
        <v>96789.990000000049</v>
      </c>
      <c r="T707" s="800">
        <v>-34162</v>
      </c>
      <c r="U707" s="800">
        <f t="shared" si="350"/>
        <v>135526.90000000002</v>
      </c>
      <c r="V707" s="802">
        <f>STDEV(D$2:D707)*SQRT(252)</f>
        <v>0.13871072335629728</v>
      </c>
      <c r="W707" s="802">
        <f>STDEV(L$2:L707)*SQRT(252)</f>
        <v>0.26519295255991954</v>
      </c>
      <c r="X707" s="801">
        <f t="shared" si="351"/>
        <v>0.8646663777317245</v>
      </c>
      <c r="Y707" s="801">
        <f t="shared" si="352"/>
        <v>0.42772604121101443</v>
      </c>
      <c r="Z707" s="807">
        <f t="shared" si="353"/>
        <v>-1.9387599874431449E-2</v>
      </c>
    </row>
    <row r="708" spans="1:26" ht="20.100000000000001" customHeight="1" x14ac:dyDescent="0.2">
      <c r="A708" s="776">
        <f t="shared" si="339"/>
        <v>1089</v>
      </c>
      <c r="B708" s="795">
        <v>43322</v>
      </c>
      <c r="C708" s="820">
        <v>2833.28</v>
      </c>
      <c r="D708" s="792">
        <f t="shared" si="340"/>
        <v>-7.1138709971333303E-3</v>
      </c>
      <c r="E708" s="819">
        <f t="shared" si="341"/>
        <v>0.34761515191872305</v>
      </c>
      <c r="F708" s="816">
        <v>7839.11</v>
      </c>
      <c r="G708" s="792">
        <f t="shared" si="342"/>
        <v>-6.6740329811525506E-3</v>
      </c>
      <c r="H708" s="797">
        <f t="shared" si="343"/>
        <v>0.53958599289039022</v>
      </c>
      <c r="I708" s="841">
        <v>400580.36</v>
      </c>
      <c r="J708" s="800">
        <v>300000</v>
      </c>
      <c r="K708" s="800">
        <f t="shared" si="344"/>
        <v>-784.54000000003725</v>
      </c>
      <c r="L708" s="792">
        <f t="shared" si="345"/>
        <v>-1.9546801426832223E-3</v>
      </c>
      <c r="M708" s="817">
        <f t="shared" si="346"/>
        <v>100580.35999999999</v>
      </c>
      <c r="N708" s="802">
        <f t="shared" si="347"/>
        <v>0.33526786666666664</v>
      </c>
      <c r="O708" s="786">
        <f t="shared" si="348"/>
        <v>0.11244865775941229</v>
      </c>
      <c r="P708" s="817" t="b">
        <f t="shared" si="349"/>
        <v>1</v>
      </c>
      <c r="Q708" s="802">
        <f>COUNTIF(P$2:P708, TRUE)/(COUNTIF(P$2:P708,FALSE) + COUNTIF(P$2:P708, TRUE))</f>
        <v>0.49646393210749645</v>
      </c>
      <c r="R708" s="800">
        <v>303790.27</v>
      </c>
      <c r="S708" s="800">
        <f t="shared" si="338"/>
        <v>96790.089999999967</v>
      </c>
      <c r="T708" s="800">
        <v>-34222</v>
      </c>
      <c r="U708" s="800">
        <f t="shared" si="350"/>
        <v>134802.35999999999</v>
      </c>
      <c r="V708" s="802">
        <f>STDEV(D$2:D708)*SQRT(252)</f>
        <v>0.13868637564219252</v>
      </c>
      <c r="W708" s="802">
        <f>STDEV(L$2:L708)*SQRT(252)</f>
        <v>0.26500939544091756</v>
      </c>
      <c r="X708" s="801">
        <f t="shared" si="351"/>
        <v>0.84067328092010429</v>
      </c>
      <c r="Y708" s="801">
        <f t="shared" si="352"/>
        <v>0.42431951354902858</v>
      </c>
      <c r="Z708" s="807">
        <f t="shared" si="353"/>
        <v>-1.2347285252056417E-2</v>
      </c>
    </row>
    <row r="709" spans="1:26" ht="20.100000000000001" customHeight="1" x14ac:dyDescent="0.2">
      <c r="A709" s="776">
        <f t="shared" si="339"/>
        <v>1092</v>
      </c>
      <c r="B709" s="795">
        <v>43325</v>
      </c>
      <c r="C709" s="820">
        <v>2821.93</v>
      </c>
      <c r="D709" s="792">
        <f t="shared" si="340"/>
        <v>-4.0059577592050071E-3</v>
      </c>
      <c r="E709" s="819">
        <f t="shared" si="341"/>
        <v>0.34221666254447203</v>
      </c>
      <c r="F709" s="816">
        <v>7819.7</v>
      </c>
      <c r="G709" s="792">
        <f t="shared" si="342"/>
        <v>-2.4760463879190181E-3</v>
      </c>
      <c r="H709" s="797">
        <f t="shared" si="343"/>
        <v>0.5357739065538033</v>
      </c>
      <c r="I709" s="841">
        <v>398850.59</v>
      </c>
      <c r="J709" s="800">
        <v>300000</v>
      </c>
      <c r="K709" s="800">
        <f t="shared" si="344"/>
        <v>-1729.7699999999604</v>
      </c>
      <c r="L709" s="792">
        <f t="shared" si="345"/>
        <v>-4.3181597819722381E-3</v>
      </c>
      <c r="M709" s="817">
        <f t="shared" si="346"/>
        <v>98850.590000000026</v>
      </c>
      <c r="N709" s="802">
        <f t="shared" si="347"/>
        <v>0.32950196666666676</v>
      </c>
      <c r="O709" s="786">
        <f t="shared" si="348"/>
        <v>0.11021116604853483</v>
      </c>
      <c r="P709" s="817" t="b">
        <f t="shared" si="349"/>
        <v>0</v>
      </c>
      <c r="Q709" s="802">
        <f>COUNTIF(P$2:P709, TRUE)/(COUNTIF(P$2:P709,FALSE) + COUNTIF(P$2:P709, TRUE))</f>
        <v>0.49576271186440679</v>
      </c>
      <c r="R709" s="800">
        <v>330648.52</v>
      </c>
      <c r="S709" s="800">
        <f t="shared" si="338"/>
        <v>68202.070000000007</v>
      </c>
      <c r="T709" s="800">
        <v>-34607</v>
      </c>
      <c r="U709" s="800">
        <f t="shared" si="350"/>
        <v>133457.59000000003</v>
      </c>
      <c r="V709" s="802">
        <f>STDEV(D$2:D709)*SQRT(252)</f>
        <v>0.13861377569377581</v>
      </c>
      <c r="W709" s="802">
        <f>STDEV(L$2:L709)*SQRT(252)</f>
        <v>0.26483827026358581</v>
      </c>
      <c r="X709" s="801">
        <f t="shared" si="351"/>
        <v>0.82577616692779432</v>
      </c>
      <c r="Y709" s="801">
        <f t="shared" si="352"/>
        <v>0.41614516640229099</v>
      </c>
      <c r="Z709" s="807">
        <f t="shared" si="353"/>
        <v>-1.2714695877805271E-2</v>
      </c>
    </row>
    <row r="710" spans="1:26" ht="20.100000000000001" customHeight="1" x14ac:dyDescent="0.2">
      <c r="A710" s="776">
        <f t="shared" si="339"/>
        <v>1093</v>
      </c>
      <c r="B710" s="795">
        <v>43326</v>
      </c>
      <c r="C710" s="820">
        <v>2839.96</v>
      </c>
      <c r="D710" s="792">
        <f t="shared" si="340"/>
        <v>6.3892442406438855E-3</v>
      </c>
      <c r="E710" s="819">
        <f t="shared" si="341"/>
        <v>0.35079241262533056</v>
      </c>
      <c r="F710" s="816">
        <v>7870.89</v>
      </c>
      <c r="G710" s="792">
        <f t="shared" si="342"/>
        <v>6.5462869419543601E-3</v>
      </c>
      <c r="H710" s="797">
        <f t="shared" si="343"/>
        <v>0.54582752322407069</v>
      </c>
      <c r="I710" s="841">
        <v>402192.82</v>
      </c>
      <c r="J710" s="800">
        <v>300000</v>
      </c>
      <c r="K710" s="800">
        <f t="shared" si="344"/>
        <v>3342.2299999999814</v>
      </c>
      <c r="L710" s="792">
        <f t="shared" si="345"/>
        <v>8.3796541456789154E-3</v>
      </c>
      <c r="M710" s="817">
        <f t="shared" si="346"/>
        <v>102192.82</v>
      </c>
      <c r="N710" s="802">
        <f t="shared" si="347"/>
        <v>0.34064273333333334</v>
      </c>
      <c r="O710" s="786">
        <f t="shared" si="348"/>
        <v>0.11383326473010065</v>
      </c>
      <c r="P710" s="817" t="b">
        <f t="shared" si="349"/>
        <v>1</v>
      </c>
      <c r="Q710" s="802">
        <f>COUNTIF(P$2:P710, TRUE)/(COUNTIF(P$2:P710,FALSE) + COUNTIF(P$2:P710, TRUE))</f>
        <v>0.49647390691114246</v>
      </c>
      <c r="R710" s="800">
        <v>322081.89</v>
      </c>
      <c r="S710" s="800">
        <f t="shared" si="338"/>
        <v>80110.929999999993</v>
      </c>
      <c r="T710" s="800">
        <v>-34307</v>
      </c>
      <c r="U710" s="800">
        <f t="shared" si="350"/>
        <v>136499.82</v>
      </c>
      <c r="V710" s="802">
        <f>STDEV(D$2:D710)*SQRT(252)</f>
        <v>0.1385609570709799</v>
      </c>
      <c r="W710" s="802">
        <f>STDEV(L$2:L710)*SQRT(252)</f>
        <v>0.26469113136530925</v>
      </c>
      <c r="X710" s="801">
        <f t="shared" si="351"/>
        <v>0.84601756420865371</v>
      </c>
      <c r="Y710" s="801">
        <f t="shared" si="352"/>
        <v>0.43006074341416251</v>
      </c>
      <c r="Z710" s="807">
        <f t="shared" si="353"/>
        <v>-1.0149679291997227E-2</v>
      </c>
    </row>
    <row r="711" spans="1:26" ht="20.100000000000001" customHeight="1" x14ac:dyDescent="0.2">
      <c r="A711" s="776">
        <f t="shared" si="339"/>
        <v>1094</v>
      </c>
      <c r="B711" s="795">
        <v>43327</v>
      </c>
      <c r="C711" s="820">
        <v>2818.37</v>
      </c>
      <c r="D711" s="792">
        <f t="shared" si="340"/>
        <v>-7.6022197495739892E-3</v>
      </c>
      <c r="E711" s="819">
        <f t="shared" si="341"/>
        <v>0.34052339186849556</v>
      </c>
      <c r="F711" s="816">
        <v>7774.11</v>
      </c>
      <c r="G711" s="792">
        <f t="shared" si="342"/>
        <v>-1.2295941119746388E-2</v>
      </c>
      <c r="H711" s="797">
        <f t="shared" si="343"/>
        <v>0.52682011901722414</v>
      </c>
      <c r="I711" s="841">
        <v>438277.71</v>
      </c>
      <c r="J711" s="800">
        <v>340000</v>
      </c>
      <c r="K711" s="800">
        <f t="shared" si="344"/>
        <v>-3915.109999999986</v>
      </c>
      <c r="L711" s="792">
        <f t="shared" si="345"/>
        <v>-9.7344104750551885E-3</v>
      </c>
      <c r="M711" s="817">
        <f t="shared" si="346"/>
        <v>98277.710000000021</v>
      </c>
      <c r="N711" s="802">
        <f t="shared" si="347"/>
        <v>0.28905208823529416</v>
      </c>
      <c r="O711" s="786">
        <f t="shared" si="348"/>
        <v>9.6504821963383183E-2</v>
      </c>
      <c r="P711" s="817" t="b">
        <f t="shared" si="349"/>
        <v>0</v>
      </c>
      <c r="Q711" s="802">
        <f>COUNTIF(P$2:P711, TRUE)/(COUNTIF(P$2:P711,FALSE) + COUNTIF(P$2:P711, TRUE))</f>
        <v>0.49577464788732395</v>
      </c>
      <c r="R711" s="800">
        <v>355153.09</v>
      </c>
      <c r="S711" s="800">
        <f t="shared" si="338"/>
        <v>83124.62</v>
      </c>
      <c r="T711" s="800">
        <v>-33947</v>
      </c>
      <c r="U711" s="800">
        <f t="shared" si="350"/>
        <v>132224.71000000002</v>
      </c>
      <c r="V711" s="802">
        <f>STDEV(D$2:D711)*SQRT(252)</f>
        <v>0.1385465281537335</v>
      </c>
      <c r="W711" s="802">
        <f>STDEV(L$2:L711)*SQRT(252)</f>
        <v>0.26457666476506175</v>
      </c>
      <c r="X711" s="801">
        <f t="shared" si="351"/>
        <v>0.82058619424279822</v>
      </c>
      <c r="Y711" s="801">
        <f t="shared" si="352"/>
        <v>0.3647518274110732</v>
      </c>
      <c r="Z711" s="807">
        <f t="shared" si="353"/>
        <v>-5.1471303633201404E-2</v>
      </c>
    </row>
    <row r="712" spans="1:26" ht="20.100000000000001" customHeight="1" x14ac:dyDescent="0.2">
      <c r="A712" s="776">
        <f t="shared" si="339"/>
        <v>1095</v>
      </c>
      <c r="B712" s="795">
        <v>43328</v>
      </c>
      <c r="C712" s="820">
        <v>2840.69</v>
      </c>
      <c r="D712" s="792">
        <f t="shared" si="340"/>
        <v>7.9194711836984375E-3</v>
      </c>
      <c r="E712" s="819">
        <f t="shared" ref="E712:E737" si="354">(C712-$C$2)/$C$2</f>
        <v>0.35113962824147182</v>
      </c>
      <c r="F712" s="816">
        <v>7806.52</v>
      </c>
      <c r="G712" s="792">
        <f t="shared" si="342"/>
        <v>4.1689659652359903E-3</v>
      </c>
      <c r="H712" s="797">
        <f t="shared" ref="H712:H737" si="355">(F712-F$2)/F$2</f>
        <v>0.53318538012844452</v>
      </c>
      <c r="I712" s="841">
        <v>442870.6</v>
      </c>
      <c r="J712" s="800">
        <v>340000</v>
      </c>
      <c r="K712" s="800">
        <f t="shared" ref="K712:K737" si="356">I712-I711-J712+J711</f>
        <v>4592.8899999999558</v>
      </c>
      <c r="L712" s="792">
        <f t="shared" ref="L712:L737" si="357">K712/I711</f>
        <v>1.0479405854338236E-2</v>
      </c>
      <c r="M712" s="817">
        <f t="shared" ref="M712:M737" si="358">I712-J712</f>
        <v>102870.59999999998</v>
      </c>
      <c r="N712" s="802">
        <f t="shared" ref="N712:N737" si="359">M712/J712</f>
        <v>0.30256058823529403</v>
      </c>
      <c r="O712" s="786">
        <f t="shared" ref="O712:O737" si="360">N712/(A712/365.25)</f>
        <v>0.10092260717163576</v>
      </c>
      <c r="P712" s="817" t="b">
        <f t="shared" ref="P712:P737" si="361">L712&gt;D712</f>
        <v>1</v>
      </c>
      <c r="Q712" s="802">
        <f>COUNTIF(P$2:P712, TRUE)/(COUNTIF(P$2:P712,FALSE) + COUNTIF(P$2:P712, TRUE))</f>
        <v>0.49648382559774967</v>
      </c>
      <c r="R712" s="800">
        <v>353121.13</v>
      </c>
      <c r="S712" s="800">
        <f t="shared" ref="S712:S737" si="362">I712-R712</f>
        <v>89749.469999999972</v>
      </c>
      <c r="T712" s="800">
        <v>-33317</v>
      </c>
      <c r="U712" s="800">
        <f t="shared" ref="U712:U737" si="363">M712-T712</f>
        <v>136187.59999999998</v>
      </c>
      <c r="V712" s="802">
        <f>STDEV(D$2:D712)*SQRT(252)</f>
        <v>0.13852025737304866</v>
      </c>
      <c r="W712" s="802">
        <f>STDEV(L$2:L712)*SQRT(252)</f>
        <v>0.26445497109682869</v>
      </c>
      <c r="X712" s="801">
        <f t="shared" ref="X712:X737" si="364">E712/(A712/365.25)/V712</f>
        <v>0.84555655492769455</v>
      </c>
      <c r="Y712" s="801">
        <f t="shared" ref="Y712:Y737" si="365">O712/W712</f>
        <v>0.38162491993649655</v>
      </c>
      <c r="Z712" s="807">
        <f t="shared" ref="Z712:Z737" si="366">-(E712-N712)</f>
        <v>-4.8579040006177798E-2</v>
      </c>
    </row>
    <row r="713" spans="1:26" ht="20.100000000000001" customHeight="1" x14ac:dyDescent="0.2">
      <c r="A713" s="776">
        <f t="shared" ref="A713:A737" si="367">B713-$B$2</f>
        <v>1096</v>
      </c>
      <c r="B713" s="795">
        <v>43329</v>
      </c>
      <c r="C713" s="820">
        <v>2850.13</v>
      </c>
      <c r="D713" s="792">
        <f t="shared" ref="D713:D737" si="368">(C713-C712)/C712</f>
        <v>3.3231362802699535E-3</v>
      </c>
      <c r="E713" s="819">
        <f t="shared" si="354"/>
        <v>0.35562964935979152</v>
      </c>
      <c r="F713" s="816">
        <v>7816.33</v>
      </c>
      <c r="G713" s="792">
        <f t="shared" ref="G713:G737" si="369">(F713-F712)/F712</f>
        <v>1.2566418839635959E-3</v>
      </c>
      <c r="H713" s="797">
        <f t="shared" si="355"/>
        <v>0.53511204509299448</v>
      </c>
      <c r="I713" s="841">
        <v>446704.3</v>
      </c>
      <c r="J713" s="800">
        <v>340000</v>
      </c>
      <c r="K713" s="800">
        <f t="shared" si="356"/>
        <v>3833.7000000000116</v>
      </c>
      <c r="L713" s="792">
        <f t="shared" si="357"/>
        <v>8.656478890222136E-3</v>
      </c>
      <c r="M713" s="817">
        <f t="shared" si="358"/>
        <v>106704.29999999999</v>
      </c>
      <c r="N713" s="802">
        <f t="shared" si="359"/>
        <v>0.3138361764705882</v>
      </c>
      <c r="O713" s="786">
        <f t="shared" si="360"/>
        <v>0.10458819658383424</v>
      </c>
      <c r="P713" s="817" t="b">
        <f t="shared" si="361"/>
        <v>1</v>
      </c>
      <c r="Q713" s="802">
        <f>COUNTIF(P$2:P713, TRUE)/(COUNTIF(P$2:P713,FALSE) + COUNTIF(P$2:P713, TRUE))</f>
        <v>0.49719101123595505</v>
      </c>
      <c r="R713" s="800">
        <v>328982.65000000002</v>
      </c>
      <c r="S713" s="800">
        <f t="shared" si="362"/>
        <v>117721.64999999997</v>
      </c>
      <c r="T713" s="800">
        <v>-33012</v>
      </c>
      <c r="U713" s="800">
        <f t="shared" si="363"/>
        <v>139716.29999999999</v>
      </c>
      <c r="V713" s="802">
        <f>STDEV(D$2:D713)*SQRT(252)</f>
        <v>0.13843315342520635</v>
      </c>
      <c r="W713" s="802">
        <f>STDEV(L$2:L713)*SQRT(252)</f>
        <v>0.2643115961929387</v>
      </c>
      <c r="X713" s="801">
        <f t="shared" si="364"/>
        <v>0.85612567187555921</v>
      </c>
      <c r="Y713" s="801">
        <f t="shared" si="365"/>
        <v>0.39570037066208902</v>
      </c>
      <c r="Z713" s="807">
        <f t="shared" si="366"/>
        <v>-4.179347288920332E-2</v>
      </c>
    </row>
    <row r="714" spans="1:26" ht="20.100000000000001" customHeight="1" x14ac:dyDescent="0.2">
      <c r="A714" s="776">
        <f t="shared" si="367"/>
        <v>1099</v>
      </c>
      <c r="B714" s="795">
        <v>43332</v>
      </c>
      <c r="C714" s="820">
        <v>2857.05</v>
      </c>
      <c r="D714" s="792">
        <f t="shared" si="368"/>
        <v>2.4279594264121542E-3</v>
      </c>
      <c r="E714" s="819">
        <f t="shared" si="354"/>
        <v>0.3589210631456784</v>
      </c>
      <c r="F714" s="816">
        <v>7821</v>
      </c>
      <c r="G714" s="792">
        <f t="shared" si="369"/>
        <v>5.9746709773001816E-4</v>
      </c>
      <c r="H714" s="797">
        <f t="shared" si="355"/>
        <v>0.53602922403126663</v>
      </c>
      <c r="I714" s="841">
        <v>448608.02</v>
      </c>
      <c r="J714" s="800">
        <v>340000</v>
      </c>
      <c r="K714" s="800">
        <f t="shared" si="356"/>
        <v>1903.7200000000303</v>
      </c>
      <c r="L714" s="792">
        <f t="shared" si="357"/>
        <v>4.2617006373120436E-3</v>
      </c>
      <c r="M714" s="817">
        <f t="shared" si="358"/>
        <v>108608.02000000002</v>
      </c>
      <c r="N714" s="802">
        <f t="shared" si="359"/>
        <v>0.31943535294117653</v>
      </c>
      <c r="O714" s="786">
        <f t="shared" si="360"/>
        <v>0.1061635693009688</v>
      </c>
      <c r="P714" s="817" t="b">
        <f t="shared" si="361"/>
        <v>1</v>
      </c>
      <c r="Q714" s="802">
        <f>COUNTIF(P$2:P714, TRUE)/(COUNTIF(P$2:P714,FALSE) + COUNTIF(P$2:P714, TRUE))</f>
        <v>0.49789621318373073</v>
      </c>
      <c r="R714" s="800">
        <v>318233.58</v>
      </c>
      <c r="S714" s="800">
        <f t="shared" si="362"/>
        <v>130374.44</v>
      </c>
      <c r="T714" s="800">
        <v>-32687</v>
      </c>
      <c r="U714" s="800">
        <f t="shared" si="363"/>
        <v>141295.02000000002</v>
      </c>
      <c r="V714" s="802">
        <f>STDEV(D$2:D714)*SQRT(252)</f>
        <v>0.13834069219200648</v>
      </c>
      <c r="W714" s="802">
        <f>STDEV(L$2:L714)*SQRT(252)</f>
        <v>0.26413431736495274</v>
      </c>
      <c r="X714" s="801">
        <f t="shared" si="364"/>
        <v>0.86226653912250995</v>
      </c>
      <c r="Y714" s="801">
        <f t="shared" si="365"/>
        <v>0.40193023897869073</v>
      </c>
      <c r="Z714" s="807">
        <f t="shared" si="366"/>
        <v>-3.9485710204501867E-2</v>
      </c>
    </row>
    <row r="715" spans="1:26" ht="20.100000000000001" customHeight="1" x14ac:dyDescent="0.2">
      <c r="A715" s="776">
        <f t="shared" si="367"/>
        <v>1100</v>
      </c>
      <c r="B715" s="795">
        <v>43333</v>
      </c>
      <c r="C715" s="820">
        <v>2862.96</v>
      </c>
      <c r="D715" s="792">
        <f t="shared" si="368"/>
        <v>2.0685672284348729E-3</v>
      </c>
      <c r="E715" s="819">
        <f t="shared" si="354"/>
        <v>0.36173208272293145</v>
      </c>
      <c r="F715" s="816">
        <v>7859.19</v>
      </c>
      <c r="G715" s="792">
        <f t="shared" si="369"/>
        <v>4.8830072880705283E-3</v>
      </c>
      <c r="H715" s="797">
        <f t="shared" si="355"/>
        <v>0.54352966592690066</v>
      </c>
      <c r="I715" s="841">
        <v>450054.3</v>
      </c>
      <c r="J715" s="800">
        <v>340000</v>
      </c>
      <c r="K715" s="800">
        <f t="shared" si="356"/>
        <v>1446.2799999999697</v>
      </c>
      <c r="L715" s="792">
        <f t="shared" si="357"/>
        <v>3.2239280965150148E-3</v>
      </c>
      <c r="M715" s="817">
        <f t="shared" si="358"/>
        <v>110054.29999999999</v>
      </c>
      <c r="N715" s="802">
        <f t="shared" si="359"/>
        <v>0.32368911764705877</v>
      </c>
      <c r="O715" s="786">
        <f t="shared" si="360"/>
        <v>0.10747950020053473</v>
      </c>
      <c r="P715" s="817" t="b">
        <f t="shared" si="361"/>
        <v>1</v>
      </c>
      <c r="Q715" s="802">
        <f>COUNTIF(P$2:P715, TRUE)/(COUNTIF(P$2:P715,FALSE) + COUNTIF(P$2:P715, TRUE))</f>
        <v>0.49859943977591037</v>
      </c>
      <c r="R715" s="800">
        <v>321964.31</v>
      </c>
      <c r="S715" s="800">
        <f t="shared" si="362"/>
        <v>128089.98999999999</v>
      </c>
      <c r="T715" s="800">
        <v>-32637</v>
      </c>
      <c r="U715" s="800">
        <f t="shared" si="363"/>
        <v>142691.29999999999</v>
      </c>
      <c r="V715" s="802">
        <f>STDEV(D$2:D715)*SQRT(252)</f>
        <v>0.13824678029914197</v>
      </c>
      <c r="W715" s="802">
        <f>STDEV(L$2:L715)*SQRT(252)</f>
        <v>0.2639531260054746</v>
      </c>
      <c r="X715" s="801">
        <f t="shared" si="364"/>
        <v>0.86881946596882298</v>
      </c>
      <c r="Y715" s="801">
        <f t="shared" si="365"/>
        <v>0.40719161703849466</v>
      </c>
      <c r="Z715" s="807">
        <f t="shared" si="366"/>
        <v>-3.8042965075872681E-2</v>
      </c>
    </row>
    <row r="716" spans="1:26" ht="20.100000000000001" customHeight="1" x14ac:dyDescent="0.2">
      <c r="A716" s="776">
        <f t="shared" si="367"/>
        <v>1101</v>
      </c>
      <c r="B716" s="795">
        <v>43334</v>
      </c>
      <c r="C716" s="820">
        <v>2861.82</v>
      </c>
      <c r="D716" s="792">
        <f t="shared" si="368"/>
        <v>-3.9818928661241253E-4</v>
      </c>
      <c r="E716" s="819">
        <f t="shared" si="354"/>
        <v>0.36118985559635475</v>
      </c>
      <c r="F716" s="816">
        <v>7889.09</v>
      </c>
      <c r="G716" s="792">
        <f t="shared" si="369"/>
        <v>3.8044633098322533E-3</v>
      </c>
      <c r="H716" s="797">
        <f t="shared" si="355"/>
        <v>0.54940196790855711</v>
      </c>
      <c r="I716" s="841">
        <v>449791.66</v>
      </c>
      <c r="J716" s="800">
        <v>340000</v>
      </c>
      <c r="K716" s="800">
        <f t="shared" si="356"/>
        <v>-262.64000000001397</v>
      </c>
      <c r="L716" s="792">
        <f t="shared" si="357"/>
        <v>-5.8357402651194304E-4</v>
      </c>
      <c r="M716" s="817">
        <f t="shared" si="358"/>
        <v>109791.65999999997</v>
      </c>
      <c r="N716" s="802">
        <f t="shared" si="359"/>
        <v>0.32291664705882345</v>
      </c>
      <c r="O716" s="786">
        <f t="shared" si="360"/>
        <v>0.10712561792755246</v>
      </c>
      <c r="P716" s="817" t="b">
        <f t="shared" si="361"/>
        <v>0</v>
      </c>
      <c r="Q716" s="802">
        <f>COUNTIF(P$2:P716, TRUE)/(COUNTIF(P$2:P716,FALSE) + COUNTIF(P$2:P716, TRUE))</f>
        <v>0.49790209790209788</v>
      </c>
      <c r="R716" s="800">
        <v>304054.08</v>
      </c>
      <c r="S716" s="800">
        <f t="shared" si="362"/>
        <v>145737.57999999996</v>
      </c>
      <c r="T716" s="800">
        <v>-32787</v>
      </c>
      <c r="U716" s="800">
        <f t="shared" si="363"/>
        <v>142578.65999999997</v>
      </c>
      <c r="V716" s="802">
        <f>STDEV(D$2:D716)*SQRT(252)</f>
        <v>0.13815076411124269</v>
      </c>
      <c r="W716" s="802">
        <f>STDEV(L$2:L716)*SQRT(252)</f>
        <v>0.26376902077554487</v>
      </c>
      <c r="X716" s="801">
        <f t="shared" si="364"/>
        <v>0.86733157782886172</v>
      </c>
      <c r="Y716" s="801">
        <f t="shared" si="365"/>
        <v>0.40613419124269096</v>
      </c>
      <c r="Z716" s="807">
        <f t="shared" si="366"/>
        <v>-3.82732085375313E-2</v>
      </c>
    </row>
    <row r="717" spans="1:26" ht="20.100000000000001" customHeight="1" x14ac:dyDescent="0.2">
      <c r="A717" s="776">
        <f t="shared" si="367"/>
        <v>1102</v>
      </c>
      <c r="B717" s="795">
        <v>43335</v>
      </c>
      <c r="C717" s="820">
        <v>2856.98</v>
      </c>
      <c r="D717" s="792">
        <f t="shared" si="368"/>
        <v>-1.6912314541096733E-3</v>
      </c>
      <c r="E717" s="819">
        <f t="shared" si="354"/>
        <v>0.35888776849755522</v>
      </c>
      <c r="F717" s="816">
        <v>7878.45</v>
      </c>
      <c r="G717" s="792">
        <f t="shared" si="369"/>
        <v>-1.3486980120648044E-3</v>
      </c>
      <c r="H717" s="797">
        <f t="shared" si="355"/>
        <v>0.54731229255454961</v>
      </c>
      <c r="I717" s="841">
        <v>448763.14</v>
      </c>
      <c r="J717" s="800">
        <v>340000</v>
      </c>
      <c r="K717" s="800">
        <f t="shared" si="356"/>
        <v>-1028.5199999999604</v>
      </c>
      <c r="L717" s="792">
        <f t="shared" si="357"/>
        <v>-2.2866586721504807E-3</v>
      </c>
      <c r="M717" s="817">
        <f t="shared" si="358"/>
        <v>108763.14000000001</v>
      </c>
      <c r="N717" s="802">
        <f t="shared" si="359"/>
        <v>0.31989158823529418</v>
      </c>
      <c r="O717" s="786">
        <f t="shared" si="360"/>
        <v>0.10602577368687949</v>
      </c>
      <c r="P717" s="817" t="b">
        <f t="shared" si="361"/>
        <v>0</v>
      </c>
      <c r="Q717" s="802">
        <f>COUNTIF(P$2:P717, TRUE)/(COUNTIF(P$2:P717,FALSE) + COUNTIF(P$2:P717, TRUE))</f>
        <v>0.4972067039106145</v>
      </c>
      <c r="R717" s="800">
        <v>302965.34000000003</v>
      </c>
      <c r="S717" s="800">
        <f t="shared" si="362"/>
        <v>145797.79999999999</v>
      </c>
      <c r="T717" s="800">
        <v>-32727</v>
      </c>
      <c r="U717" s="800">
        <f t="shared" si="363"/>
        <v>141490.14000000001</v>
      </c>
      <c r="V717" s="802">
        <f>STDEV(D$2:D717)*SQRT(252)</f>
        <v>0.13805994708907388</v>
      </c>
      <c r="W717" s="802">
        <f>STDEV(L$2:L717)*SQRT(252)</f>
        <v>0.26359010186642334</v>
      </c>
      <c r="X717" s="801">
        <f t="shared" si="364"/>
        <v>0.86158788691166666</v>
      </c>
      <c r="Y717" s="801">
        <f t="shared" si="365"/>
        <v>0.40223731064305673</v>
      </c>
      <c r="Z717" s="807">
        <f t="shared" si="366"/>
        <v>-3.8996180262261038E-2</v>
      </c>
    </row>
    <row r="718" spans="1:26" ht="20.100000000000001" customHeight="1" x14ac:dyDescent="0.2">
      <c r="A718" s="776">
        <f t="shared" si="367"/>
        <v>1103</v>
      </c>
      <c r="B718" s="795">
        <v>43336</v>
      </c>
      <c r="C718" s="820">
        <v>2874.69</v>
      </c>
      <c r="D718" s="792">
        <f t="shared" si="368"/>
        <v>6.1988533346400872E-3</v>
      </c>
      <c r="E718" s="819">
        <f t="shared" si="354"/>
        <v>0.36731131447270787</v>
      </c>
      <c r="F718" s="816">
        <v>7945.97</v>
      </c>
      <c r="G718" s="792">
        <f t="shared" si="369"/>
        <v>8.5702136841638195E-3</v>
      </c>
      <c r="H718" s="797">
        <f t="shared" si="355"/>
        <v>0.56057308953787544</v>
      </c>
      <c r="I718" s="841">
        <v>448975.99</v>
      </c>
      <c r="J718" s="800">
        <v>340000</v>
      </c>
      <c r="K718" s="800">
        <f t="shared" si="356"/>
        <v>212.84999999997672</v>
      </c>
      <c r="L718" s="792">
        <f t="shared" si="357"/>
        <v>4.743036605011203E-4</v>
      </c>
      <c r="M718" s="817">
        <f t="shared" si="358"/>
        <v>108975.98999999999</v>
      </c>
      <c r="N718" s="802">
        <f t="shared" si="359"/>
        <v>0.32051761764705877</v>
      </c>
      <c r="O718" s="786">
        <f t="shared" si="360"/>
        <v>0.10613695362247345</v>
      </c>
      <c r="P718" s="817" t="b">
        <f t="shared" si="361"/>
        <v>0</v>
      </c>
      <c r="Q718" s="802">
        <f>COUNTIF(P$2:P718, TRUE)/(COUNTIF(P$2:P718,FALSE) + COUNTIF(P$2:P718, TRUE))</f>
        <v>0.49651324965132498</v>
      </c>
      <c r="R718" s="800">
        <v>313051.68</v>
      </c>
      <c r="S718" s="800">
        <f t="shared" si="362"/>
        <v>135924.31</v>
      </c>
      <c r="T718" s="800">
        <v>-32757</v>
      </c>
      <c r="U718" s="800">
        <f t="shared" si="363"/>
        <v>141732.99</v>
      </c>
      <c r="V718" s="802">
        <f>STDEV(D$2:D718)*SQRT(252)</f>
        <v>0.13800527156812348</v>
      </c>
      <c r="W718" s="802">
        <f>STDEV(L$2:L718)*SQRT(252)</f>
        <v>0.26340573402898931</v>
      </c>
      <c r="X718" s="801">
        <f t="shared" si="364"/>
        <v>0.88136001227500682</v>
      </c>
      <c r="Y718" s="801">
        <f t="shared" si="365"/>
        <v>0.40294093829708533</v>
      </c>
      <c r="Z718" s="807">
        <f t="shared" si="366"/>
        <v>-4.67936968256491E-2</v>
      </c>
    </row>
    <row r="719" spans="1:26" ht="20.100000000000001" customHeight="1" x14ac:dyDescent="0.2">
      <c r="A719" s="776">
        <f t="shared" si="367"/>
        <v>1106</v>
      </c>
      <c r="B719" s="795">
        <v>43339</v>
      </c>
      <c r="C719" s="820">
        <v>2896.74</v>
      </c>
      <c r="D719" s="792">
        <f t="shared" si="368"/>
        <v>7.6703922857768057E-3</v>
      </c>
      <c r="E719" s="819">
        <f t="shared" si="354"/>
        <v>0.37779912863149467</v>
      </c>
      <c r="F719" s="816">
        <v>8017.89</v>
      </c>
      <c r="G719" s="792">
        <f t="shared" si="369"/>
        <v>9.0511290629086277E-3</v>
      </c>
      <c r="H719" s="797">
        <f t="shared" si="355"/>
        <v>0.57469803798338481</v>
      </c>
      <c r="I719" s="841">
        <v>412623.99</v>
      </c>
      <c r="J719" s="800">
        <v>300000</v>
      </c>
      <c r="K719" s="800">
        <f t="shared" si="356"/>
        <v>3648</v>
      </c>
      <c r="L719" s="792">
        <f t="shared" si="357"/>
        <v>8.125156091309026E-3</v>
      </c>
      <c r="M719" s="817">
        <f t="shared" si="358"/>
        <v>112623.98999999999</v>
      </c>
      <c r="N719" s="802">
        <f t="shared" si="359"/>
        <v>0.37541329999999995</v>
      </c>
      <c r="O719" s="786">
        <f t="shared" si="360"/>
        <v>0.12397803600813742</v>
      </c>
      <c r="P719" s="817" t="b">
        <f t="shared" si="361"/>
        <v>1</v>
      </c>
      <c r="Q719" s="802">
        <f>COUNTIF(P$2:P719, TRUE)/(COUNTIF(P$2:P719,FALSE) + COUNTIF(P$2:P719, TRUE))</f>
        <v>0.49721448467966572</v>
      </c>
      <c r="R719" s="800">
        <v>291432.21000000002</v>
      </c>
      <c r="S719" s="800">
        <f t="shared" si="362"/>
        <v>121191.77999999997</v>
      </c>
      <c r="T719" s="800">
        <v>-32107</v>
      </c>
      <c r="U719" s="800">
        <f t="shared" si="363"/>
        <v>144730.99</v>
      </c>
      <c r="V719" s="802">
        <f>STDEV(D$2:D719)*SQRT(252)</f>
        <v>0.13797482705192232</v>
      </c>
      <c r="W719" s="802">
        <f>STDEV(L$2:L719)*SQRT(252)</f>
        <v>0.26325884026684176</v>
      </c>
      <c r="X719" s="801">
        <f t="shared" si="364"/>
        <v>0.90426597777245354</v>
      </c>
      <c r="Y719" s="801">
        <f t="shared" si="365"/>
        <v>0.4709358891138169</v>
      </c>
      <c r="Z719" s="807">
        <f t="shared" si="366"/>
        <v>-2.3858286314947241E-3</v>
      </c>
    </row>
    <row r="720" spans="1:26" ht="20.100000000000001" customHeight="1" x14ac:dyDescent="0.2">
      <c r="A720" s="776">
        <f t="shared" si="367"/>
        <v>1107</v>
      </c>
      <c r="B720" s="795">
        <v>43340</v>
      </c>
      <c r="C720" s="820">
        <v>2897.52</v>
      </c>
      <c r="D720" s="792">
        <f t="shared" si="368"/>
        <v>2.6926821185201301E-4</v>
      </c>
      <c r="E720" s="819">
        <f t="shared" si="354"/>
        <v>0.37817012613915257</v>
      </c>
      <c r="F720" s="816">
        <v>8030.03</v>
      </c>
      <c r="G720" s="792">
        <f t="shared" si="369"/>
        <v>1.5141140624278229E-3</v>
      </c>
      <c r="H720" s="797">
        <f t="shared" si="355"/>
        <v>0.57708231042677294</v>
      </c>
      <c r="I720" s="841">
        <v>411952.19</v>
      </c>
      <c r="J720" s="800">
        <v>300000</v>
      </c>
      <c r="K720" s="800">
        <f t="shared" si="356"/>
        <v>-671.79999999998836</v>
      </c>
      <c r="L720" s="792">
        <f t="shared" si="357"/>
        <v>-1.6281166783346465E-3</v>
      </c>
      <c r="M720" s="817">
        <f t="shared" si="358"/>
        <v>111952.19</v>
      </c>
      <c r="N720" s="802">
        <f t="shared" si="359"/>
        <v>0.37317396666666669</v>
      </c>
      <c r="O720" s="786">
        <f t="shared" si="360"/>
        <v>0.12312718276874436</v>
      </c>
      <c r="P720" s="817" t="b">
        <f t="shared" si="361"/>
        <v>0</v>
      </c>
      <c r="Q720" s="802">
        <f>COUNTIF(P$2:P720, TRUE)/(COUNTIF(P$2:P720,FALSE) + COUNTIF(P$2:P720, TRUE))</f>
        <v>0.49652294853963841</v>
      </c>
      <c r="R720" s="800">
        <v>295278.77</v>
      </c>
      <c r="S720" s="800">
        <f t="shared" si="362"/>
        <v>116673.41999999998</v>
      </c>
      <c r="T720" s="800">
        <v>-31977</v>
      </c>
      <c r="U720" s="800">
        <f t="shared" si="363"/>
        <v>143929.19</v>
      </c>
      <c r="V720" s="802">
        <f>STDEV(D$2:D720)*SQRT(252)</f>
        <v>0.13787863585854168</v>
      </c>
      <c r="W720" s="802">
        <f>STDEV(L$2:L720)*SQRT(252)</f>
        <v>0.2630787445338289</v>
      </c>
      <c r="X720" s="801">
        <f t="shared" si="364"/>
        <v>0.90496721136789093</v>
      </c>
      <c r="Y720" s="801">
        <f t="shared" si="365"/>
        <v>0.4680240624795578</v>
      </c>
      <c r="Z720" s="807">
        <f t="shared" si="366"/>
        <v>-4.9961594724858838E-3</v>
      </c>
    </row>
    <row r="721" spans="1:26" ht="20.100000000000001" customHeight="1" x14ac:dyDescent="0.2">
      <c r="A721" s="776">
        <f t="shared" si="367"/>
        <v>1108</v>
      </c>
      <c r="B721" s="795">
        <v>43341</v>
      </c>
      <c r="C721" s="820">
        <v>2914.04</v>
      </c>
      <c r="D721" s="792">
        <f t="shared" si="368"/>
        <v>5.7014274275932458E-3</v>
      </c>
      <c r="E721" s="819">
        <f t="shared" si="354"/>
        <v>0.38602766309621195</v>
      </c>
      <c r="F721" s="816">
        <v>8109.68</v>
      </c>
      <c r="G721" s="792">
        <f t="shared" si="369"/>
        <v>9.9190164918438097E-3</v>
      </c>
      <c r="H721" s="797">
        <f t="shared" si="355"/>
        <v>0.59272541587289129</v>
      </c>
      <c r="I721" s="841">
        <v>414525.25</v>
      </c>
      <c r="J721" s="800">
        <v>300000</v>
      </c>
      <c r="K721" s="800">
        <f t="shared" si="356"/>
        <v>2573.0599999999977</v>
      </c>
      <c r="L721" s="792">
        <f t="shared" si="357"/>
        <v>6.2460160728845682E-3</v>
      </c>
      <c r="M721" s="817">
        <f t="shared" si="358"/>
        <v>114525.25</v>
      </c>
      <c r="N721" s="802">
        <f t="shared" si="359"/>
        <v>0.38175083333333332</v>
      </c>
      <c r="O721" s="786">
        <f t="shared" si="360"/>
        <v>0.12584340421931409</v>
      </c>
      <c r="P721" s="817" t="b">
        <f t="shared" si="361"/>
        <v>1</v>
      </c>
      <c r="Q721" s="802">
        <f>COUNTIF(P$2:P721, TRUE)/(COUNTIF(P$2:P721,FALSE) + COUNTIF(P$2:P721, TRUE))</f>
        <v>0.49722222222222223</v>
      </c>
      <c r="R721" s="800">
        <v>300005.48</v>
      </c>
      <c r="S721" s="800">
        <f t="shared" si="362"/>
        <v>114519.77000000002</v>
      </c>
      <c r="T721" s="800">
        <v>-31937</v>
      </c>
      <c r="U721" s="800">
        <f t="shared" si="363"/>
        <v>146462.25</v>
      </c>
      <c r="V721" s="802">
        <f>STDEV(D$2:D721)*SQRT(252)</f>
        <v>0.1378171980906662</v>
      </c>
      <c r="W721" s="802">
        <f>STDEV(L$2:L721)*SQRT(252)</f>
        <v>0.26291615689456543</v>
      </c>
      <c r="X721" s="801">
        <f t="shared" si="364"/>
        <v>0.92334813377231995</v>
      </c>
      <c r="Y721" s="801">
        <f t="shared" si="365"/>
        <v>0.47864462080122283</v>
      </c>
      <c r="Z721" s="807">
        <f t="shared" si="366"/>
        <v>-4.2768297628786311E-3</v>
      </c>
    </row>
    <row r="722" spans="1:26" ht="20.100000000000001" customHeight="1" x14ac:dyDescent="0.2">
      <c r="A722" s="776">
        <f t="shared" si="367"/>
        <v>1109</v>
      </c>
      <c r="B722" s="795">
        <v>43342</v>
      </c>
      <c r="C722" s="820">
        <v>2901.13</v>
      </c>
      <c r="D722" s="792">
        <f t="shared" si="368"/>
        <v>-4.4302754938160957E-3</v>
      </c>
      <c r="E722" s="819">
        <f t="shared" si="354"/>
        <v>0.37988717870664562</v>
      </c>
      <c r="F722" s="816">
        <v>8088.36</v>
      </c>
      <c r="G722" s="792">
        <f t="shared" si="369"/>
        <v>-2.6289569995364328E-3</v>
      </c>
      <c r="H722" s="797">
        <f t="shared" si="355"/>
        <v>0.58853820924249267</v>
      </c>
      <c r="I722" s="841">
        <v>412063.95</v>
      </c>
      <c r="J722" s="800">
        <v>300000</v>
      </c>
      <c r="K722" s="800">
        <f t="shared" si="356"/>
        <v>-2461.2999999999884</v>
      </c>
      <c r="L722" s="792">
        <f t="shared" si="357"/>
        <v>-5.9376358858718213E-3</v>
      </c>
      <c r="M722" s="817">
        <f t="shared" si="358"/>
        <v>112063.95000000001</v>
      </c>
      <c r="N722" s="802">
        <f t="shared" si="359"/>
        <v>0.37354650000000006</v>
      </c>
      <c r="O722" s="786">
        <f t="shared" si="360"/>
        <v>0.12302782608205594</v>
      </c>
      <c r="P722" s="817" t="b">
        <f t="shared" si="361"/>
        <v>0</v>
      </c>
      <c r="Q722" s="802">
        <f>COUNTIF(P$2:P722, TRUE)/(COUNTIF(P$2:P722,FALSE) + COUNTIF(P$2:P722, TRUE))</f>
        <v>0.49653259361997226</v>
      </c>
      <c r="R722" s="800">
        <v>302724.15000000002</v>
      </c>
      <c r="S722" s="800">
        <f t="shared" si="362"/>
        <v>109339.79999999999</v>
      </c>
      <c r="T722" s="800">
        <v>-32577</v>
      </c>
      <c r="U722" s="800">
        <f t="shared" si="363"/>
        <v>144640.95000000001</v>
      </c>
      <c r="V722" s="802">
        <f>STDEV(D$2:D722)*SQRT(252)</f>
        <v>0.13775210603753521</v>
      </c>
      <c r="W722" s="802">
        <f>STDEV(L$2:L722)*SQRT(252)</f>
        <v>0.26276246137940545</v>
      </c>
      <c r="X722" s="801">
        <f t="shared" si="364"/>
        <v>0.90827020415826132</v>
      </c>
      <c r="Y722" s="801">
        <f t="shared" si="365"/>
        <v>0.4682092922870546</v>
      </c>
      <c r="Z722" s="807">
        <f t="shared" si="366"/>
        <v>-6.3406787066455639E-3</v>
      </c>
    </row>
    <row r="723" spans="1:26" ht="20.100000000000001" customHeight="1" x14ac:dyDescent="0.2">
      <c r="A723" s="776">
        <f t="shared" si="367"/>
        <v>1110</v>
      </c>
      <c r="B723" s="795">
        <v>43343</v>
      </c>
      <c r="C723" s="820">
        <v>2901.52</v>
      </c>
      <c r="D723" s="792">
        <f t="shared" si="368"/>
        <v>1.3443037712886796E-4</v>
      </c>
      <c r="E723" s="819">
        <f t="shared" si="354"/>
        <v>0.38007267746047446</v>
      </c>
      <c r="F723" s="816">
        <v>8109.53</v>
      </c>
      <c r="G723" s="792">
        <f t="shared" si="369"/>
        <v>2.6173414635352623E-3</v>
      </c>
      <c r="H723" s="797">
        <f t="shared" si="355"/>
        <v>0.5926959561639531</v>
      </c>
      <c r="I723" s="842">
        <v>412813.75</v>
      </c>
      <c r="J723" s="800">
        <v>300000</v>
      </c>
      <c r="K723" s="800">
        <f t="shared" si="356"/>
        <v>749.79999999998836</v>
      </c>
      <c r="L723" s="792">
        <f t="shared" si="357"/>
        <v>1.819620473957958E-3</v>
      </c>
      <c r="M723" s="822">
        <f t="shared" si="358"/>
        <v>112813.75</v>
      </c>
      <c r="N723" s="802">
        <f t="shared" si="359"/>
        <v>0.37604583333333336</v>
      </c>
      <c r="O723" s="786">
        <f t="shared" si="360"/>
        <v>0.12373940596846847</v>
      </c>
      <c r="P723" s="817" t="b">
        <f t="shared" si="361"/>
        <v>1</v>
      </c>
      <c r="Q723" s="802">
        <f>COUNTIF(P$2:P723, TRUE)/(COUNTIF(P$2:P723,FALSE) + COUNTIF(P$2:P723, TRUE))</f>
        <v>0.49722991689750695</v>
      </c>
      <c r="R723" s="800">
        <v>301872.03000000003</v>
      </c>
      <c r="S723" s="800">
        <f t="shared" si="362"/>
        <v>110941.71999999997</v>
      </c>
      <c r="T723" s="800">
        <v>-32717</v>
      </c>
      <c r="U723" s="800">
        <f t="shared" si="363"/>
        <v>145530.75</v>
      </c>
      <c r="V723" s="802">
        <f>STDEV(D$2:D723)*SQRT(252)</f>
        <v>0.13765656757867564</v>
      </c>
      <c r="W723" s="802">
        <f>STDEV(L$2:L723)*SQRT(252)</f>
        <v>0.26258079637782822</v>
      </c>
      <c r="X723" s="801">
        <f t="shared" si="364"/>
        <v>0.90852516195472632</v>
      </c>
      <c r="Y723" s="801">
        <f t="shared" si="365"/>
        <v>0.4712431665810759</v>
      </c>
      <c r="Z723" s="807">
        <f t="shared" si="366"/>
        <v>-4.0268441271411048E-3</v>
      </c>
    </row>
    <row r="724" spans="1:26" ht="20.100000000000001" customHeight="1" x14ac:dyDescent="0.2">
      <c r="A724" s="776">
        <f t="shared" si="367"/>
        <v>1114</v>
      </c>
      <c r="B724" s="795">
        <v>43347</v>
      </c>
      <c r="C724" s="820">
        <v>2896.72</v>
      </c>
      <c r="D724" s="792">
        <f t="shared" si="368"/>
        <v>-1.6543053296203996E-3</v>
      </c>
      <c r="E724" s="819">
        <f t="shared" si="354"/>
        <v>0.37778961587488807</v>
      </c>
      <c r="F724" s="816">
        <v>8091.24</v>
      </c>
      <c r="G724" s="792">
        <f t="shared" si="369"/>
        <v>-2.255371149746035E-3</v>
      </c>
      <c r="H724" s="797">
        <f t="shared" si="355"/>
        <v>0.58910383565410374</v>
      </c>
      <c r="I724" s="841">
        <v>410071.63</v>
      </c>
      <c r="J724" s="800">
        <v>300000</v>
      </c>
      <c r="K724" s="800">
        <f t="shared" si="356"/>
        <v>-2742.1199999999953</v>
      </c>
      <c r="L724" s="792">
        <f t="shared" si="357"/>
        <v>-6.6425113020096719E-3</v>
      </c>
      <c r="M724" s="817">
        <f t="shared" si="358"/>
        <v>110071.63</v>
      </c>
      <c r="N724" s="802">
        <f t="shared" si="359"/>
        <v>0.36690543333333336</v>
      </c>
      <c r="O724" s="786">
        <f t="shared" si="360"/>
        <v>0.12029821321813286</v>
      </c>
      <c r="P724" s="817" t="b">
        <f t="shared" si="361"/>
        <v>0</v>
      </c>
      <c r="Q724" s="802">
        <f>COUNTIF(P$2:P724, TRUE)/(COUNTIF(P$2:P724,FALSE) + COUNTIF(P$2:P724, TRUE))</f>
        <v>0.49654218533886585</v>
      </c>
      <c r="R724" s="800">
        <v>315748.28000000003</v>
      </c>
      <c r="S724" s="800">
        <f t="shared" si="362"/>
        <v>94323.349999999977</v>
      </c>
      <c r="T724" s="800">
        <v>-33049</v>
      </c>
      <c r="U724" s="800">
        <f t="shared" si="363"/>
        <v>143120.63</v>
      </c>
      <c r="V724" s="802">
        <f>STDEV(D$2:D724)*SQRT(252)</f>
        <v>0.13756687517396576</v>
      </c>
      <c r="W724" s="802">
        <f>STDEV(L$2:L724)*SQRT(252)</f>
        <v>0.26243426115951046</v>
      </c>
      <c r="X724" s="801">
        <f t="shared" si="364"/>
        <v>0.90041180003406041</v>
      </c>
      <c r="Y724" s="801">
        <f t="shared" si="365"/>
        <v>0.45839370471911922</v>
      </c>
      <c r="Z724" s="807">
        <f t="shared" si="366"/>
        <v>-1.088418254155471E-2</v>
      </c>
    </row>
    <row r="725" spans="1:26" ht="20.100000000000001" customHeight="1" x14ac:dyDescent="0.2">
      <c r="A725" s="776">
        <f t="shared" si="367"/>
        <v>1115</v>
      </c>
      <c r="B725" s="795">
        <v>43348</v>
      </c>
      <c r="C725" s="820">
        <v>2888.6</v>
      </c>
      <c r="D725" s="792">
        <f t="shared" si="368"/>
        <v>-2.8031704824766947E-3</v>
      </c>
      <c r="E725" s="819">
        <f t="shared" si="354"/>
        <v>0.3739274366926047</v>
      </c>
      <c r="F725" s="816">
        <v>7995.17</v>
      </c>
      <c r="G725" s="792">
        <f t="shared" si="369"/>
        <v>-1.1873334618673986E-2</v>
      </c>
      <c r="H725" s="797">
        <f t="shared" si="355"/>
        <v>0.57023587406956422</v>
      </c>
      <c r="I725" s="841">
        <v>412285.82</v>
      </c>
      <c r="J725" s="800">
        <v>300000</v>
      </c>
      <c r="K725" s="800">
        <f t="shared" si="356"/>
        <v>2214.1900000000023</v>
      </c>
      <c r="L725" s="792">
        <f t="shared" si="357"/>
        <v>5.3995200789676732E-3</v>
      </c>
      <c r="M725" s="817">
        <f t="shared" si="358"/>
        <v>112285.82</v>
      </c>
      <c r="N725" s="802">
        <f t="shared" si="359"/>
        <v>0.37428606666666669</v>
      </c>
      <c r="O725" s="786">
        <f t="shared" si="360"/>
        <v>0.12260805905829597</v>
      </c>
      <c r="P725" s="817" t="b">
        <f t="shared" si="361"/>
        <v>1</v>
      </c>
      <c r="Q725" s="802">
        <f>COUNTIF(P$2:P725, TRUE)/(COUNTIF(P$2:P725,FALSE) + COUNTIF(P$2:P725, TRUE))</f>
        <v>0.49723756906077349</v>
      </c>
      <c r="R725" s="800">
        <v>315534.5</v>
      </c>
      <c r="S725" s="800">
        <f t="shared" si="362"/>
        <v>96751.32</v>
      </c>
      <c r="T725" s="800">
        <v>-32449</v>
      </c>
      <c r="U725" s="800">
        <f t="shared" si="363"/>
        <v>144734.82</v>
      </c>
      <c r="V725" s="802">
        <f>STDEV(D$2:D725)*SQRT(252)</f>
        <v>0.13748525083439084</v>
      </c>
      <c r="W725" s="802">
        <f>STDEV(L$2:L725)*SQRT(252)</f>
        <v>0.2622673448272777</v>
      </c>
      <c r="X725" s="801">
        <f t="shared" si="364"/>
        <v>0.8909361466396859</v>
      </c>
      <c r="Y725" s="801">
        <f t="shared" si="365"/>
        <v>0.46749266150172974</v>
      </c>
      <c r="Z725" s="807">
        <f t="shared" si="366"/>
        <v>3.5862997406199693E-4</v>
      </c>
    </row>
    <row r="726" spans="1:26" ht="20.100000000000001" customHeight="1" x14ac:dyDescent="0.2">
      <c r="A726" s="776">
        <f t="shared" si="367"/>
        <v>1116</v>
      </c>
      <c r="B726" s="795">
        <v>43349</v>
      </c>
      <c r="C726" s="820">
        <v>2878.05</v>
      </c>
      <c r="D726" s="792">
        <f t="shared" si="368"/>
        <v>-3.652288305753558E-3</v>
      </c>
      <c r="E726" s="819">
        <f t="shared" si="354"/>
        <v>0.36890945758261834</v>
      </c>
      <c r="F726" s="816">
        <v>7922.72</v>
      </c>
      <c r="G726" s="792">
        <f t="shared" si="369"/>
        <v>-9.0617210140622167E-3</v>
      </c>
      <c r="H726" s="797">
        <f t="shared" si="355"/>
        <v>0.55600683465247369</v>
      </c>
      <c r="I726" s="841">
        <v>409892.48</v>
      </c>
      <c r="J726" s="800">
        <v>300000</v>
      </c>
      <c r="K726" s="800">
        <f t="shared" si="356"/>
        <v>-2393.3400000000256</v>
      </c>
      <c r="L726" s="792">
        <f t="shared" si="357"/>
        <v>-5.8050504865775534E-3</v>
      </c>
      <c r="M726" s="817">
        <f t="shared" si="358"/>
        <v>109892.47999999998</v>
      </c>
      <c r="N726" s="802">
        <f t="shared" si="359"/>
        <v>0.3663082666666666</v>
      </c>
      <c r="O726" s="786">
        <f t="shared" si="360"/>
        <v>0.11988718136200714</v>
      </c>
      <c r="P726" s="817" t="b">
        <f t="shared" si="361"/>
        <v>0</v>
      </c>
      <c r="Q726" s="802">
        <f>COUNTIF(P$2:P726, TRUE)/(COUNTIF(P$2:P726,FALSE) + COUNTIF(P$2:P726, TRUE))</f>
        <v>0.49655172413793103</v>
      </c>
      <c r="R726" s="800">
        <v>324213.15999999997</v>
      </c>
      <c r="S726" s="800">
        <f t="shared" si="362"/>
        <v>85679.32</v>
      </c>
      <c r="T726" s="800">
        <v>-33169</v>
      </c>
      <c r="U726" s="800">
        <f t="shared" si="363"/>
        <v>143061.47999999998</v>
      </c>
      <c r="V726" s="802">
        <f>STDEV(D$2:D726)*SQRT(252)</f>
        <v>0.13741173460493136</v>
      </c>
      <c r="W726" s="802">
        <f>STDEV(L$2:L726)*SQRT(252)</f>
        <v>0.26211377023163424</v>
      </c>
      <c r="X726" s="801">
        <f t="shared" si="364"/>
        <v>0.87866230885024021</v>
      </c>
      <c r="Y726" s="801">
        <f t="shared" si="365"/>
        <v>0.45738604750166645</v>
      </c>
      <c r="Z726" s="807">
        <f t="shared" si="366"/>
        <v>-2.6011909159517344E-3</v>
      </c>
    </row>
    <row r="727" spans="1:26" ht="20.100000000000001" customHeight="1" x14ac:dyDescent="0.2">
      <c r="A727" s="776">
        <f t="shared" si="367"/>
        <v>1117</v>
      </c>
      <c r="B727" s="795">
        <v>43350</v>
      </c>
      <c r="C727" s="820">
        <v>2871.68</v>
      </c>
      <c r="D727" s="792">
        <f t="shared" si="368"/>
        <v>-2.2133041469051423E-3</v>
      </c>
      <c r="E727" s="819">
        <f t="shared" si="354"/>
        <v>0.36587964460341305</v>
      </c>
      <c r="F727" s="816">
        <v>7902.54</v>
      </c>
      <c r="G727" s="792">
        <f t="shared" si="369"/>
        <v>-2.5471050346346064E-3</v>
      </c>
      <c r="H727" s="797">
        <f t="shared" si="355"/>
        <v>0.5520435218100046</v>
      </c>
      <c r="I727" s="841">
        <v>409918.35</v>
      </c>
      <c r="J727" s="800">
        <v>300000</v>
      </c>
      <c r="K727" s="800">
        <f t="shared" si="356"/>
        <v>25.869999999995343</v>
      </c>
      <c r="L727" s="792">
        <f t="shared" si="357"/>
        <v>6.3114112266698195E-5</v>
      </c>
      <c r="M727" s="817">
        <f t="shared" si="358"/>
        <v>109918.34999999998</v>
      </c>
      <c r="N727" s="802">
        <f t="shared" si="359"/>
        <v>0.3663944999999999</v>
      </c>
      <c r="O727" s="786">
        <f t="shared" si="360"/>
        <v>0.11980804935093999</v>
      </c>
      <c r="P727" s="817" t="b">
        <f t="shared" si="361"/>
        <v>1</v>
      </c>
      <c r="Q727" s="802">
        <f>COUNTIF(P$2:P727, TRUE)/(COUNTIF(P$2:P727,FALSE) + COUNTIF(P$2:P727, TRUE))</f>
        <v>0.49724517906336091</v>
      </c>
      <c r="R727" s="800">
        <v>312175.2</v>
      </c>
      <c r="S727" s="800">
        <f t="shared" si="362"/>
        <v>97743.149999999965</v>
      </c>
      <c r="T727" s="800">
        <v>-33049</v>
      </c>
      <c r="U727" s="800">
        <f t="shared" si="363"/>
        <v>142967.34999999998</v>
      </c>
      <c r="V727" s="802">
        <f>STDEV(D$2:D727)*SQRT(252)</f>
        <v>0.13732592506285154</v>
      </c>
      <c r="W727" s="802">
        <f>STDEV(L$2:L727)*SQRT(252)</f>
        <v>0.26193292929655376</v>
      </c>
      <c r="X727" s="801">
        <f t="shared" si="364"/>
        <v>0.87120982967958671</v>
      </c>
      <c r="Y727" s="801">
        <f t="shared" si="365"/>
        <v>0.45739972317606686</v>
      </c>
      <c r="Z727" s="807">
        <f t="shared" si="366"/>
        <v>5.148553965868552E-4</v>
      </c>
    </row>
    <row r="728" spans="1:26" ht="20.100000000000001" customHeight="1" x14ac:dyDescent="0.2">
      <c r="A728" s="776">
        <f t="shared" si="367"/>
        <v>1120</v>
      </c>
      <c r="B728" s="795">
        <v>43353</v>
      </c>
      <c r="C728" s="820">
        <v>2877.13</v>
      </c>
      <c r="D728" s="792">
        <f t="shared" si="368"/>
        <v>1.897843770893788E-3</v>
      </c>
      <c r="E728" s="819">
        <f t="shared" si="354"/>
        <v>0.36847187077871429</v>
      </c>
      <c r="F728" s="816">
        <v>7924.16</v>
      </c>
      <c r="G728" s="792">
        <f t="shared" si="369"/>
        <v>2.7358292397127873E-3</v>
      </c>
      <c r="H728" s="797">
        <f t="shared" si="355"/>
        <v>0.55628964785827917</v>
      </c>
      <c r="I728" s="841">
        <v>410285.83</v>
      </c>
      <c r="J728" s="800">
        <v>300000</v>
      </c>
      <c r="K728" s="800">
        <f t="shared" si="356"/>
        <v>367.48000000003958</v>
      </c>
      <c r="L728" s="792">
        <f t="shared" si="357"/>
        <v>8.9647121188900084E-4</v>
      </c>
      <c r="M728" s="817">
        <f t="shared" si="358"/>
        <v>110285.83000000002</v>
      </c>
      <c r="N728" s="802">
        <f t="shared" si="359"/>
        <v>0.36761943333333341</v>
      </c>
      <c r="O728" s="786">
        <f t="shared" si="360"/>
        <v>0.11988660537946431</v>
      </c>
      <c r="P728" s="817" t="b">
        <f t="shared" si="361"/>
        <v>0</v>
      </c>
      <c r="Q728" s="802">
        <f>COUNTIF(P$2:P728, TRUE)/(COUNTIF(P$2:P728,FALSE) + COUNTIF(P$2:P728, TRUE))</f>
        <v>0.49656121045392021</v>
      </c>
      <c r="R728" s="800">
        <v>325406.15999999997</v>
      </c>
      <c r="S728" s="800">
        <f t="shared" si="362"/>
        <v>84879.670000000042</v>
      </c>
      <c r="T728" s="800">
        <v>-32761</v>
      </c>
      <c r="U728" s="800">
        <f t="shared" si="363"/>
        <v>143046.83000000002</v>
      </c>
      <c r="V728" s="802">
        <f>STDEV(D$2:D728)*SQRT(252)</f>
        <v>0.13723377207884299</v>
      </c>
      <c r="W728" s="802">
        <f>STDEV(L$2:L728)*SQRT(252)</f>
        <v>0.26175225971231963</v>
      </c>
      <c r="X728" s="801">
        <f t="shared" si="364"/>
        <v>0.87561973346658473</v>
      </c>
      <c r="Y728" s="801">
        <f t="shared" si="365"/>
        <v>0.45801555070136318</v>
      </c>
      <c r="Z728" s="807">
        <f t="shared" si="366"/>
        <v>-8.5243744538088251E-4</v>
      </c>
    </row>
    <row r="729" spans="1:26" ht="20.100000000000001" customHeight="1" x14ac:dyDescent="0.2">
      <c r="A729" s="776">
        <f t="shared" si="367"/>
        <v>1121</v>
      </c>
      <c r="B729" s="795">
        <v>43354</v>
      </c>
      <c r="C729" s="820">
        <v>2887.89</v>
      </c>
      <c r="D729" s="792">
        <f t="shared" si="368"/>
        <v>3.7398379635260703E-3</v>
      </c>
      <c r="E729" s="819">
        <f t="shared" si="354"/>
        <v>0.37358973383307004</v>
      </c>
      <c r="F729" s="816">
        <v>7972.47</v>
      </c>
      <c r="G729" s="792">
        <f t="shared" si="369"/>
        <v>6.0965452489601928E-3</v>
      </c>
      <c r="H729" s="797">
        <f t="shared" si="355"/>
        <v>0.56577763811693549</v>
      </c>
      <c r="I729" s="841">
        <v>411136.15</v>
      </c>
      <c r="J729" s="800">
        <v>300000</v>
      </c>
      <c r="K729" s="800">
        <f t="shared" si="356"/>
        <v>850.32000000000698</v>
      </c>
      <c r="L729" s="792">
        <f t="shared" si="357"/>
        <v>2.072506379272243E-3</v>
      </c>
      <c r="M729" s="817">
        <f t="shared" si="358"/>
        <v>111136.15000000002</v>
      </c>
      <c r="N729" s="802">
        <f t="shared" si="359"/>
        <v>0.37045383333333343</v>
      </c>
      <c r="O729" s="786">
        <f t="shared" si="360"/>
        <v>0.12070317807760932</v>
      </c>
      <c r="P729" s="817" t="b">
        <f t="shared" si="361"/>
        <v>0</v>
      </c>
      <c r="Q729" s="802">
        <f>COUNTIF(P$2:P729, TRUE)/(COUNTIF(P$2:P729,FALSE) + COUNTIF(P$2:P729, TRUE))</f>
        <v>0.49587912087912089</v>
      </c>
      <c r="R729" s="800">
        <v>330490.48</v>
      </c>
      <c r="S729" s="800">
        <f t="shared" si="362"/>
        <v>80645.670000000042</v>
      </c>
      <c r="T729" s="800">
        <v>-32941</v>
      </c>
      <c r="U729" s="800">
        <f t="shared" si="363"/>
        <v>144077.15000000002</v>
      </c>
      <c r="V729" s="802">
        <f>STDEV(D$2:D729)*SQRT(252)</f>
        <v>0.13715274152410675</v>
      </c>
      <c r="W729" s="802">
        <f>STDEV(L$2:L729)*SQRT(252)</f>
        <v>0.26157324325497439</v>
      </c>
      <c r="X729" s="801">
        <f t="shared" si="364"/>
        <v>0.88751367267484249</v>
      </c>
      <c r="Y729" s="801">
        <f t="shared" si="365"/>
        <v>0.46145078363367303</v>
      </c>
      <c r="Z729" s="807">
        <f t="shared" si="366"/>
        <v>-3.1359004997366102E-3</v>
      </c>
    </row>
    <row r="730" spans="1:26" ht="20.100000000000001" customHeight="1" x14ac:dyDescent="0.2">
      <c r="A730" s="776">
        <f t="shared" si="367"/>
        <v>1122</v>
      </c>
      <c r="B730" s="795">
        <v>43355</v>
      </c>
      <c r="C730" s="820">
        <v>2888.92</v>
      </c>
      <c r="D730" s="792">
        <f t="shared" si="368"/>
        <v>3.5666178420930164E-4</v>
      </c>
      <c r="E730" s="819">
        <f t="shared" si="354"/>
        <v>0.37407964079831052</v>
      </c>
      <c r="F730" s="816">
        <v>7954.22</v>
      </c>
      <c r="G730" s="792">
        <f t="shared" si="369"/>
        <v>-2.2891274598712819E-3</v>
      </c>
      <c r="H730" s="797">
        <f t="shared" si="355"/>
        <v>0.56219337352946963</v>
      </c>
      <c r="I730" s="841">
        <v>415391.37</v>
      </c>
      <c r="J730" s="800">
        <v>300000</v>
      </c>
      <c r="K730" s="800">
        <f t="shared" si="356"/>
        <v>4255.2199999999721</v>
      </c>
      <c r="L730" s="792">
        <f t="shared" si="357"/>
        <v>1.0349904769989144E-2</v>
      </c>
      <c r="M730" s="817">
        <f t="shared" si="358"/>
        <v>115391.37</v>
      </c>
      <c r="N730" s="802">
        <f t="shared" si="359"/>
        <v>0.38463789999999998</v>
      </c>
      <c r="O730" s="786">
        <f t="shared" si="360"/>
        <v>0.12521300621657755</v>
      </c>
      <c r="P730" s="817" t="b">
        <f t="shared" si="361"/>
        <v>1</v>
      </c>
      <c r="Q730" s="802">
        <f>COUNTIF(P$2:P730, TRUE)/(COUNTIF(P$2:P730,FALSE) + COUNTIF(P$2:P730, TRUE))</f>
        <v>0.49657064471879286</v>
      </c>
      <c r="R730" s="800">
        <v>291962.92</v>
      </c>
      <c r="S730" s="800">
        <f t="shared" si="362"/>
        <v>123428.45000000001</v>
      </c>
      <c r="T730" s="800">
        <v>-32617</v>
      </c>
      <c r="U730" s="800">
        <f t="shared" si="363"/>
        <v>148008.37</v>
      </c>
      <c r="V730" s="802">
        <f>STDEV(D$2:D730)*SQRT(252)</f>
        <v>0.13705839856990906</v>
      </c>
      <c r="W730" s="802">
        <f>STDEV(L$2:L730)*SQRT(252)</f>
        <v>0.26145537814371811</v>
      </c>
      <c r="X730" s="801">
        <f t="shared" si="364"/>
        <v>0.88849663441820503</v>
      </c>
      <c r="Y730" s="801">
        <f t="shared" si="365"/>
        <v>0.47890774749238407</v>
      </c>
      <c r="Z730" s="807">
        <f t="shared" si="366"/>
        <v>1.0558259201689457E-2</v>
      </c>
    </row>
    <row r="731" spans="1:26" ht="20.100000000000001" customHeight="1" x14ac:dyDescent="0.2">
      <c r="A731" s="776">
        <f t="shared" si="367"/>
        <v>1123</v>
      </c>
      <c r="B731" s="795">
        <v>43356</v>
      </c>
      <c r="C731" s="820">
        <v>2904.18</v>
      </c>
      <c r="D731" s="792">
        <f t="shared" si="368"/>
        <v>5.2822508065296942E-3</v>
      </c>
      <c r="E731" s="819">
        <f t="shared" si="354"/>
        <v>0.38133787408915343</v>
      </c>
      <c r="F731" s="816">
        <v>8013.71</v>
      </c>
      <c r="G731" s="792">
        <f t="shared" si="369"/>
        <v>7.4790488570846397E-3</v>
      </c>
      <c r="H731" s="797">
        <f t="shared" si="355"/>
        <v>0.57387709409431042</v>
      </c>
      <c r="I731" s="841">
        <v>415289.92</v>
      </c>
      <c r="J731" s="800">
        <v>300000</v>
      </c>
      <c r="K731" s="800">
        <f t="shared" si="356"/>
        <v>-101.45000000001164</v>
      </c>
      <c r="L731" s="792">
        <f t="shared" si="357"/>
        <v>-2.4422751007083184E-4</v>
      </c>
      <c r="M731" s="817">
        <f t="shared" si="358"/>
        <v>115289.91999999998</v>
      </c>
      <c r="N731" s="802">
        <f t="shared" si="359"/>
        <v>0.38429973333333328</v>
      </c>
      <c r="O731" s="786">
        <f t="shared" si="360"/>
        <v>0.12499152056990202</v>
      </c>
      <c r="P731" s="817" t="b">
        <f t="shared" si="361"/>
        <v>0</v>
      </c>
      <c r="Q731" s="802">
        <f>COUNTIF(P$2:P731, TRUE)/(COUNTIF(P$2:P731,FALSE) + COUNTIF(P$2:P731, TRUE))</f>
        <v>0.49589041095890413</v>
      </c>
      <c r="R731" s="800">
        <v>297561.46999999997</v>
      </c>
      <c r="S731" s="800">
        <f t="shared" si="362"/>
        <v>117728.45000000001</v>
      </c>
      <c r="T731" s="800">
        <v>-32317</v>
      </c>
      <c r="U731" s="800">
        <f t="shared" si="363"/>
        <v>147606.91999999998</v>
      </c>
      <c r="V731" s="802">
        <f>STDEV(D$2:D731)*SQRT(252)</f>
        <v>0.13699340643062369</v>
      </c>
      <c r="W731" s="802">
        <f>STDEV(L$2:L731)*SQRT(252)</f>
        <v>0.26127630871836671</v>
      </c>
      <c r="X731" s="801">
        <f t="shared" si="364"/>
        <v>0.90535883622176583</v>
      </c>
      <c r="Y731" s="801">
        <f t="shared" si="365"/>
        <v>0.47838826712999871</v>
      </c>
      <c r="Z731" s="807">
        <f t="shared" si="366"/>
        <v>2.9618592441798541E-3</v>
      </c>
    </row>
    <row r="732" spans="1:26" ht="20.100000000000001" customHeight="1" x14ac:dyDescent="0.2">
      <c r="A732" s="776">
        <f t="shared" si="367"/>
        <v>1124</v>
      </c>
      <c r="B732" s="795">
        <v>43357</v>
      </c>
      <c r="C732" s="820">
        <v>2904.98</v>
      </c>
      <c r="D732" s="792">
        <f t="shared" si="368"/>
        <v>2.7546501938591341E-4</v>
      </c>
      <c r="E732" s="819">
        <f t="shared" si="354"/>
        <v>0.38171838435341793</v>
      </c>
      <c r="F732" s="816">
        <v>8010.04</v>
      </c>
      <c r="G732" s="792">
        <f t="shared" si="369"/>
        <v>-4.579651622032832E-4</v>
      </c>
      <c r="H732" s="797">
        <f t="shared" si="355"/>
        <v>0.57315631321562543</v>
      </c>
      <c r="I732" s="841">
        <v>415230.06</v>
      </c>
      <c r="J732" s="800">
        <v>300000</v>
      </c>
      <c r="K732" s="800">
        <f t="shared" si="356"/>
        <v>-59.85999999998603</v>
      </c>
      <c r="L732" s="792">
        <f t="shared" si="357"/>
        <v>-1.4414026711745382E-4</v>
      </c>
      <c r="M732" s="817">
        <f t="shared" si="358"/>
        <v>115230.06</v>
      </c>
      <c r="N732" s="802">
        <f t="shared" si="359"/>
        <v>0.3841002</v>
      </c>
      <c r="O732" s="786">
        <f t="shared" si="360"/>
        <v>0.12481547869217081</v>
      </c>
      <c r="P732" s="817" t="b">
        <f t="shared" si="361"/>
        <v>0</v>
      </c>
      <c r="Q732" s="802">
        <f>COUNTIF(P$2:P732, TRUE)/(COUNTIF(P$2:P732,FALSE) + COUNTIF(P$2:P732, TRUE))</f>
        <v>0.49521203830369359</v>
      </c>
      <c r="R732" s="800">
        <v>299931.61</v>
      </c>
      <c r="S732" s="800">
        <f t="shared" si="362"/>
        <v>115298.45000000001</v>
      </c>
      <c r="T732" s="800">
        <v>-32423</v>
      </c>
      <c r="U732" s="800">
        <f t="shared" si="363"/>
        <v>147653.06</v>
      </c>
      <c r="V732" s="802">
        <f>STDEV(D$2:D732)*SQRT(252)</f>
        <v>0.13689946734645103</v>
      </c>
      <c r="W732" s="802">
        <f>STDEV(L$2:L732)*SQRT(252)</f>
        <v>0.2610974913994204</v>
      </c>
      <c r="X732" s="801">
        <f t="shared" si="364"/>
        <v>0.90607726212530504</v>
      </c>
      <c r="Y732" s="801">
        <f t="shared" si="365"/>
        <v>0.47804166184511987</v>
      </c>
      <c r="Z732" s="807">
        <f t="shared" si="366"/>
        <v>2.381815646582075E-3</v>
      </c>
    </row>
    <row r="733" spans="1:26" ht="20.100000000000001" customHeight="1" x14ac:dyDescent="0.2">
      <c r="A733" s="776">
        <f t="shared" si="367"/>
        <v>1127</v>
      </c>
      <c r="B733" s="795">
        <v>43360</v>
      </c>
      <c r="C733" s="820">
        <v>2888.8</v>
      </c>
      <c r="D733" s="792">
        <f t="shared" si="368"/>
        <v>-5.5697457469586148E-3</v>
      </c>
      <c r="E733" s="819">
        <f t="shared" si="354"/>
        <v>0.37402256425867092</v>
      </c>
      <c r="F733" s="816">
        <v>7895.79</v>
      </c>
      <c r="G733" s="792">
        <f t="shared" si="369"/>
        <v>-1.4263349496382041E-2</v>
      </c>
      <c r="H733" s="797">
        <f t="shared" si="355"/>
        <v>0.55071783490779114</v>
      </c>
      <c r="I733" s="841">
        <v>416438.79</v>
      </c>
      <c r="J733" s="800">
        <v>300000</v>
      </c>
      <c r="K733" s="800">
        <f t="shared" si="356"/>
        <v>1208.7299999999814</v>
      </c>
      <c r="L733" s="792">
        <f t="shared" si="357"/>
        <v>2.9109886697508878E-3</v>
      </c>
      <c r="M733" s="817">
        <f t="shared" si="358"/>
        <v>116438.78999999998</v>
      </c>
      <c r="N733" s="802">
        <f t="shared" si="359"/>
        <v>0.38812929999999995</v>
      </c>
      <c r="O733" s="786">
        <f t="shared" si="360"/>
        <v>0.12578902114019519</v>
      </c>
      <c r="P733" s="817" t="b">
        <f t="shared" si="361"/>
        <v>1</v>
      </c>
      <c r="Q733" s="802">
        <f>COUNTIF(P$2:P733, TRUE)/(COUNTIF(P$2:P733,FALSE) + COUNTIF(P$2:P733, TRUE))</f>
        <v>0.49590163934426229</v>
      </c>
      <c r="R733" s="800">
        <v>295230.53999999998</v>
      </c>
      <c r="S733" s="800">
        <f t="shared" si="362"/>
        <v>121208.25</v>
      </c>
      <c r="T733" s="800">
        <v>-32591</v>
      </c>
      <c r="U733" s="800">
        <f t="shared" si="363"/>
        <v>149029.78999999998</v>
      </c>
      <c r="V733" s="802">
        <f>STDEV(D$2:D733)*SQRT(252)</f>
        <v>0.13685177611451066</v>
      </c>
      <c r="W733" s="802">
        <f>STDEV(L$2:L733)*SQRT(252)</f>
        <v>0.26092189563988533</v>
      </c>
      <c r="X733" s="801">
        <f t="shared" si="364"/>
        <v>0.88575512470974904</v>
      </c>
      <c r="Y733" s="801">
        <f t="shared" si="365"/>
        <v>0.48209453956215503</v>
      </c>
      <c r="Z733" s="807">
        <f t="shared" si="366"/>
        <v>1.4106735741329035E-2</v>
      </c>
    </row>
    <row r="734" spans="1:26" ht="20.100000000000001" customHeight="1" x14ac:dyDescent="0.2">
      <c r="A734" s="776">
        <f t="shared" si="367"/>
        <v>1128</v>
      </c>
      <c r="B734" s="795">
        <v>43361</v>
      </c>
      <c r="C734" s="820">
        <v>2904.31</v>
      </c>
      <c r="D734" s="792">
        <f t="shared" si="368"/>
        <v>5.3690113541954316E-3</v>
      </c>
      <c r="E734" s="819">
        <f t="shared" si="354"/>
        <v>0.38139970700709647</v>
      </c>
      <c r="F734" s="816">
        <v>7956.1</v>
      </c>
      <c r="G734" s="792">
        <f t="shared" si="369"/>
        <v>7.6382477244202798E-3</v>
      </c>
      <c r="H734" s="797">
        <f t="shared" si="355"/>
        <v>0.56256260188149354</v>
      </c>
      <c r="I734" s="841">
        <v>418074.92</v>
      </c>
      <c r="J734" s="800">
        <v>300000</v>
      </c>
      <c r="K734" s="800">
        <f t="shared" si="356"/>
        <v>1636.1300000000047</v>
      </c>
      <c r="L734" s="792">
        <f t="shared" si="357"/>
        <v>3.9288607096375546E-3</v>
      </c>
      <c r="M734" s="817">
        <f t="shared" si="358"/>
        <v>118074.91999999998</v>
      </c>
      <c r="N734" s="802">
        <f t="shared" si="359"/>
        <v>0.39358306666666659</v>
      </c>
      <c r="O734" s="786">
        <f t="shared" si="360"/>
        <v>0.12744345310283686</v>
      </c>
      <c r="P734" s="817" t="b">
        <f t="shared" si="361"/>
        <v>0</v>
      </c>
      <c r="Q734" s="802">
        <f>COUNTIF(P$2:P734, TRUE)/(COUNTIF(P$2:P734,FALSE) + COUNTIF(P$2:P734, TRUE))</f>
        <v>0.495225102319236</v>
      </c>
      <c r="R734" s="800">
        <v>288104.34000000003</v>
      </c>
      <c r="S734" s="800">
        <f t="shared" si="362"/>
        <v>129970.57999999996</v>
      </c>
      <c r="T734" s="800">
        <v>-32639</v>
      </c>
      <c r="U734" s="800">
        <f t="shared" si="363"/>
        <v>150713.91999999998</v>
      </c>
      <c r="V734" s="802">
        <f>STDEV(D$2:D734)*SQRT(252)</f>
        <v>0.13678831974223632</v>
      </c>
      <c r="W734" s="802">
        <f>STDEV(L$2:L734)*SQRT(252)</f>
        <v>0.2607503367308307</v>
      </c>
      <c r="X734" s="801">
        <f t="shared" si="364"/>
        <v>0.90284347811805543</v>
      </c>
      <c r="Y734" s="801">
        <f t="shared" si="365"/>
        <v>0.48875661945700627</v>
      </c>
      <c r="Z734" s="807">
        <f t="shared" si="366"/>
        <v>1.2183359659570125E-2</v>
      </c>
    </row>
    <row r="735" spans="1:26" ht="20.100000000000001" customHeight="1" x14ac:dyDescent="0.2">
      <c r="A735" s="776">
        <f t="shared" si="367"/>
        <v>1129</v>
      </c>
      <c r="B735" s="795">
        <v>43362</v>
      </c>
      <c r="C735" s="820">
        <v>2907.95</v>
      </c>
      <c r="D735" s="792">
        <f t="shared" si="368"/>
        <v>1.2533097362195746E-3</v>
      </c>
      <c r="E735" s="819">
        <f t="shared" si="354"/>
        <v>0.38313102870949933</v>
      </c>
      <c r="F735" s="816">
        <v>7950.03</v>
      </c>
      <c r="G735" s="792">
        <f t="shared" si="369"/>
        <v>-7.6293661467309593E-4</v>
      </c>
      <c r="H735" s="797">
        <f t="shared" si="355"/>
        <v>0.56137046565979931</v>
      </c>
      <c r="I735" s="841">
        <v>419431.72</v>
      </c>
      <c r="J735" s="800">
        <v>300000</v>
      </c>
      <c r="K735" s="800">
        <f t="shared" si="356"/>
        <v>1356.7999999999884</v>
      </c>
      <c r="L735" s="792">
        <f t="shared" si="357"/>
        <v>3.2453513355931237E-3</v>
      </c>
      <c r="M735" s="817">
        <f t="shared" si="358"/>
        <v>119431.71999999997</v>
      </c>
      <c r="N735" s="802">
        <f t="shared" si="359"/>
        <v>0.39810573333333327</v>
      </c>
      <c r="O735" s="786">
        <f t="shared" si="360"/>
        <v>0.12879372816651902</v>
      </c>
      <c r="P735" s="817" t="b">
        <f t="shared" si="361"/>
        <v>1</v>
      </c>
      <c r="Q735" s="802">
        <f>COUNTIF(P$2:P735, TRUE)/(COUNTIF(P$2:P735,FALSE) + COUNTIF(P$2:P735, TRUE))</f>
        <v>0.49591280653950953</v>
      </c>
      <c r="R735" s="800">
        <v>277922.09000000003</v>
      </c>
      <c r="S735" s="800">
        <f t="shared" si="362"/>
        <v>141509.62999999995</v>
      </c>
      <c r="T735" s="800">
        <v>-32495</v>
      </c>
      <c r="U735" s="800">
        <f t="shared" si="363"/>
        <v>151926.71999999997</v>
      </c>
      <c r="V735" s="802">
        <f>STDEV(D$2:D735)*SQRT(252)</f>
        <v>0.13669560794570593</v>
      </c>
      <c r="W735" s="802">
        <f>STDEV(L$2:L735)*SQRT(252)</f>
        <v>0.2605764967656935</v>
      </c>
      <c r="X735" s="801">
        <f t="shared" si="364"/>
        <v>0.90675309693708506</v>
      </c>
      <c r="Y735" s="801">
        <f t="shared" si="365"/>
        <v>0.49426456248020101</v>
      </c>
      <c r="Z735" s="807">
        <f t="shared" si="366"/>
        <v>1.4974704623833934E-2</v>
      </c>
    </row>
    <row r="736" spans="1:26" ht="20.100000000000001" customHeight="1" x14ac:dyDescent="0.2">
      <c r="A736" s="776">
        <f t="shared" si="367"/>
        <v>1130</v>
      </c>
      <c r="B736" s="795">
        <v>43363</v>
      </c>
      <c r="C736" s="820">
        <v>2930.75</v>
      </c>
      <c r="D736" s="792">
        <f t="shared" si="368"/>
        <v>7.8405749754982667E-3</v>
      </c>
      <c r="E736" s="819">
        <f t="shared" si="354"/>
        <v>0.39397557124103422</v>
      </c>
      <c r="F736" s="816">
        <v>8028.23</v>
      </c>
      <c r="G736" s="792">
        <f t="shared" si="369"/>
        <v>9.8364408687765734E-3</v>
      </c>
      <c r="H736" s="797">
        <f t="shared" si="355"/>
        <v>0.57672879391951604</v>
      </c>
      <c r="I736" s="841">
        <v>420883.98</v>
      </c>
      <c r="J736" s="800">
        <v>300000</v>
      </c>
      <c r="K736" s="800">
        <f t="shared" si="356"/>
        <v>1452.2600000000093</v>
      </c>
      <c r="L736" s="792">
        <f t="shared" si="357"/>
        <v>3.4624467601067689E-3</v>
      </c>
      <c r="M736" s="817">
        <f t="shared" si="358"/>
        <v>120883.97999999998</v>
      </c>
      <c r="N736" s="802">
        <f t="shared" si="359"/>
        <v>0.40294659999999993</v>
      </c>
      <c r="O736" s="786">
        <f t="shared" si="360"/>
        <v>0.13024446517699112</v>
      </c>
      <c r="P736" s="817" t="b">
        <f t="shared" si="361"/>
        <v>0</v>
      </c>
      <c r="Q736" s="802">
        <f>COUNTIF(P$2:P736, TRUE)/(COUNTIF(P$2:P736,FALSE) + COUNTIF(P$2:P736, TRUE))</f>
        <v>0.49523809523809526</v>
      </c>
      <c r="R736" s="800">
        <v>267594.75</v>
      </c>
      <c r="S736" s="800">
        <f t="shared" si="362"/>
        <v>153289.22999999998</v>
      </c>
      <c r="T736" s="800">
        <v>-32007</v>
      </c>
      <c r="U736" s="800">
        <f t="shared" si="363"/>
        <v>152890.97999999998</v>
      </c>
      <c r="V736" s="802">
        <f>STDEV(D$2:D736)*SQRT(252)</f>
        <v>0.13667040524290835</v>
      </c>
      <c r="W736" s="802">
        <f>STDEV(L$2:L736)*SQRT(252)</f>
        <v>0.26040376705486901</v>
      </c>
      <c r="X736" s="801">
        <f t="shared" si="364"/>
        <v>0.93176542888711478</v>
      </c>
      <c r="Y736" s="801">
        <f t="shared" si="365"/>
        <v>0.50016352163426137</v>
      </c>
      <c r="Z736" s="807">
        <f t="shared" si="366"/>
        <v>8.9710287589657156E-3</v>
      </c>
    </row>
    <row r="737" spans="1:26" ht="20.100000000000001" customHeight="1" x14ac:dyDescent="0.2">
      <c r="A737" s="776">
        <f t="shared" si="367"/>
        <v>1131</v>
      </c>
      <c r="B737" s="795">
        <v>43364</v>
      </c>
      <c r="C737" s="820">
        <v>2929.67</v>
      </c>
      <c r="D737" s="792">
        <f t="shared" si="368"/>
        <v>-3.6850635502855148E-4</v>
      </c>
      <c r="E737" s="819">
        <f t="shared" si="354"/>
        <v>0.39346188238427732</v>
      </c>
      <c r="F737" s="816">
        <v>7986.95</v>
      </c>
      <c r="G737" s="792">
        <f t="shared" si="369"/>
        <v>-5.1418556767805291E-3</v>
      </c>
      <c r="H737" s="797">
        <f t="shared" si="355"/>
        <v>0.56862148201975771</v>
      </c>
      <c r="I737" s="841">
        <v>421490.01</v>
      </c>
      <c r="J737" s="800">
        <v>300000</v>
      </c>
      <c r="K737" s="800">
        <f t="shared" si="356"/>
        <v>606.03000000002794</v>
      </c>
      <c r="L737" s="792">
        <f t="shared" si="357"/>
        <v>1.4398979975432373E-3</v>
      </c>
      <c r="M737" s="817">
        <f t="shared" si="358"/>
        <v>121490.01000000001</v>
      </c>
      <c r="N737" s="802">
        <f t="shared" si="359"/>
        <v>0.40496670000000001</v>
      </c>
      <c r="O737" s="786">
        <f t="shared" si="360"/>
        <v>0.13078168627320955</v>
      </c>
      <c r="P737" s="817" t="b">
        <f t="shared" si="361"/>
        <v>1</v>
      </c>
      <c r="Q737" s="802">
        <f>COUNTIF(P$2:P737, TRUE)/(COUNTIF(P$2:P737,FALSE) + COUNTIF(P$2:P737, TRUE))</f>
        <v>0.49592391304347827</v>
      </c>
      <c r="R737" s="800">
        <v>265208.83</v>
      </c>
      <c r="S737" s="800">
        <f t="shared" si="362"/>
        <v>156281.18</v>
      </c>
      <c r="T737" s="800">
        <v>-32167</v>
      </c>
      <c r="U737" s="800">
        <f t="shared" si="363"/>
        <v>153657.01</v>
      </c>
      <c r="V737" s="802">
        <f>STDEV(D$2:D737)*SQRT(252)</f>
        <v>0.13657819814952279</v>
      </c>
      <c r="W737" s="802">
        <f>STDEV(L$2:L737)*SQRT(252)</f>
        <v>0.26022668937948867</v>
      </c>
      <c r="X737" s="801">
        <f t="shared" si="364"/>
        <v>0.93035545026103961</v>
      </c>
      <c r="Y737" s="801">
        <f t="shared" si="365"/>
        <v>0.50256830529204699</v>
      </c>
      <c r="Z737" s="807">
        <f t="shared" si="366"/>
        <v>1.1504817615722696E-2</v>
      </c>
    </row>
    <row r="738" spans="1:26" ht="20.100000000000001" customHeight="1" x14ac:dyDescent="0.2">
      <c r="A738" s="776">
        <f t="shared" ref="A738:A771" si="370">B738-$B$2</f>
        <v>1134</v>
      </c>
      <c r="B738" s="795">
        <v>43367</v>
      </c>
      <c r="C738" s="820">
        <v>2919.37</v>
      </c>
      <c r="D738" s="792">
        <f t="shared" ref="D738:D771" si="371">(C738-C737)/C737</f>
        <v>-3.5157543341059511E-3</v>
      </c>
      <c r="E738" s="819">
        <f t="shared" ref="E738:E770" si="372">(C738-$C$2)/$C$2</f>
        <v>0.38856281273187337</v>
      </c>
      <c r="F738" s="816">
        <v>7993.24</v>
      </c>
      <c r="G738" s="792">
        <f t="shared" ref="G738:G771" si="373">(F738-F737)/F737</f>
        <v>7.8753466592378367E-4</v>
      </c>
      <c r="H738" s="797">
        <f t="shared" ref="H738:H770" si="374">(F738-F$2)/F$2</f>
        <v>0.56985682581456099</v>
      </c>
      <c r="I738" s="841">
        <v>418954.22</v>
      </c>
      <c r="J738" s="800">
        <v>300000</v>
      </c>
      <c r="K738" s="800">
        <f t="shared" ref="K738:K770" si="375">I738-I737-J738+J737</f>
        <v>-2535.7900000000373</v>
      </c>
      <c r="L738" s="792">
        <f t="shared" ref="L738:L770" si="376">K738/I737</f>
        <v>-6.0162517256341077E-3</v>
      </c>
      <c r="M738" s="817">
        <f t="shared" ref="M738:M770" si="377">I738-J738</f>
        <v>118954.21999999997</v>
      </c>
      <c r="N738" s="802">
        <f t="shared" ref="N738:N770" si="378">M738/J738</f>
        <v>0.39651406666666655</v>
      </c>
      <c r="O738" s="786">
        <f t="shared" ref="O738:O745" si="379">N738/(A738/365.25)</f>
        <v>0.1277131947530864</v>
      </c>
      <c r="P738" s="817" t="b">
        <f t="shared" ref="P738:P770" si="380">L738&gt;D738</f>
        <v>0</v>
      </c>
      <c r="Q738" s="802">
        <f>COUNTIF(P$2:P738, TRUE)/(COUNTIF(P$2:P738,FALSE) + COUNTIF(P$2:P738, TRUE))</f>
        <v>0.49525101763907736</v>
      </c>
      <c r="R738" s="800">
        <v>264787.38</v>
      </c>
      <c r="S738" s="800">
        <f>I738-R738</f>
        <v>154166.83999999997</v>
      </c>
      <c r="T738" s="800">
        <v>-33650</v>
      </c>
      <c r="U738" s="800">
        <f t="shared" ref="U738:U770" si="381">M738-T738</f>
        <v>152604.21999999997</v>
      </c>
      <c r="V738" s="802">
        <f>STDEV(D$2:D738)*SQRT(252)</f>
        <v>0.13650536639100233</v>
      </c>
      <c r="W738" s="802">
        <f>STDEV(L$2:L738)*SQRT(252)</f>
        <v>0.26007922673864475</v>
      </c>
      <c r="X738" s="801">
        <f t="shared" ref="X738:X770" si="382">E738/(A738/365.25)/V738</f>
        <v>0.91682971228726329</v>
      </c>
      <c r="Y738" s="801">
        <f t="shared" ref="Y738:Y770" si="383">O738/W738</f>
        <v>0.49105496180756564</v>
      </c>
      <c r="Z738" s="807">
        <f t="shared" ref="Z738:Z770" si="384">-(E738-N738)</f>
        <v>7.9512539347931788E-3</v>
      </c>
    </row>
    <row r="739" spans="1:26" ht="20.100000000000001" customHeight="1" x14ac:dyDescent="0.2">
      <c r="A739" s="776">
        <f t="shared" si="370"/>
        <v>1135</v>
      </c>
      <c r="B739" s="795">
        <v>43368</v>
      </c>
      <c r="C739" s="820">
        <v>2915.56</v>
      </c>
      <c r="D739" s="792">
        <f t="shared" si="371"/>
        <v>-1.3050760951849015E-3</v>
      </c>
      <c r="E739" s="819">
        <f t="shared" si="372"/>
        <v>0.38675063259831427</v>
      </c>
      <c r="F739" s="816">
        <v>8007.47</v>
      </c>
      <c r="G739" s="792">
        <f t="shared" si="373"/>
        <v>1.7802543148961465E-3</v>
      </c>
      <c r="H739" s="797">
        <f t="shared" si="374"/>
        <v>0.57265157020248647</v>
      </c>
      <c r="I739" s="841">
        <v>417620.33</v>
      </c>
      <c r="J739" s="800">
        <v>300000</v>
      </c>
      <c r="K739" s="800">
        <f t="shared" si="375"/>
        <v>-1333.8899999999558</v>
      </c>
      <c r="L739" s="792">
        <f t="shared" si="376"/>
        <v>-3.1838562218085686E-3</v>
      </c>
      <c r="M739" s="817">
        <f t="shared" si="377"/>
        <v>117620.33000000002</v>
      </c>
      <c r="N739" s="802">
        <f t="shared" si="378"/>
        <v>0.39206776666666671</v>
      </c>
      <c r="O739" s="786">
        <f t="shared" si="379"/>
        <v>0.12616982535242294</v>
      </c>
      <c r="P739" s="817" t="b">
        <f t="shared" si="380"/>
        <v>0</v>
      </c>
      <c r="Q739" s="802">
        <f>COUNTIF(P$2:P739, TRUE)/(COUNTIF(P$2:P739,FALSE) + COUNTIF(P$2:P739, TRUE))</f>
        <v>0.49457994579945802</v>
      </c>
      <c r="R739" s="800">
        <v>271578.69</v>
      </c>
      <c r="S739" s="800">
        <f>I739-R739</f>
        <v>146041.64000000001</v>
      </c>
      <c r="T739" s="800">
        <v>-33481</v>
      </c>
      <c r="U739" s="800">
        <f t="shared" si="381"/>
        <v>151101.33000000002</v>
      </c>
      <c r="V739" s="802">
        <f>STDEV(D$2:D739)*SQRT(252)</f>
        <v>0.13641660742721073</v>
      </c>
      <c r="W739" s="802">
        <f>STDEV(L$2:L739)*SQRT(252)</f>
        <v>0.25991231713034102</v>
      </c>
      <c r="X739" s="801">
        <f t="shared" si="382"/>
        <v>0.91234301426780873</v>
      </c>
      <c r="Y739" s="801">
        <f t="shared" si="383"/>
        <v>0.48543226710241361</v>
      </c>
      <c r="Z739" s="807">
        <f t="shared" si="384"/>
        <v>5.317134068352436E-3</v>
      </c>
    </row>
    <row r="740" spans="1:26" ht="20.100000000000001" customHeight="1" x14ac:dyDescent="0.2">
      <c r="A740" s="776">
        <f t="shared" si="370"/>
        <v>1136</v>
      </c>
      <c r="B740" s="795">
        <v>43369</v>
      </c>
      <c r="C740" s="820">
        <v>2905.97</v>
      </c>
      <c r="D740" s="792">
        <f t="shared" si="371"/>
        <v>-3.2892480346829239E-3</v>
      </c>
      <c r="E740" s="819">
        <f t="shared" si="372"/>
        <v>0.38218926580544499</v>
      </c>
      <c r="F740" s="816">
        <v>7990.36</v>
      </c>
      <c r="G740" s="792">
        <f t="shared" si="373"/>
        <v>-2.1367548052007167E-3</v>
      </c>
      <c r="H740" s="797">
        <f t="shared" si="374"/>
        <v>0.56929119940294992</v>
      </c>
      <c r="I740" s="841">
        <v>416840.38</v>
      </c>
      <c r="J740" s="800">
        <v>300000</v>
      </c>
      <c r="K740" s="800">
        <f t="shared" si="375"/>
        <v>-779.95000000001164</v>
      </c>
      <c r="L740" s="792">
        <f t="shared" si="376"/>
        <v>-1.8676054396106903E-3</v>
      </c>
      <c r="M740" s="817">
        <f t="shared" si="377"/>
        <v>116840.38</v>
      </c>
      <c r="N740" s="802">
        <f t="shared" si="378"/>
        <v>0.38946793333333335</v>
      </c>
      <c r="O740" s="786">
        <f t="shared" si="379"/>
        <v>0.12522285444542253</v>
      </c>
      <c r="P740" s="817" t="b">
        <f t="shared" si="380"/>
        <v>1</v>
      </c>
      <c r="Q740" s="802">
        <f>COUNTIF(P$2:P740, TRUE)/(COUNTIF(P$2:P740,FALSE) + COUNTIF(P$2:P740, TRUE))</f>
        <v>0.49526387009472261</v>
      </c>
      <c r="R740" s="800">
        <v>272989.78999999998</v>
      </c>
      <c r="S740" s="800">
        <f>I740-R740</f>
        <v>143850.59000000003</v>
      </c>
      <c r="T740" s="800">
        <v>-33533</v>
      </c>
      <c r="U740" s="800">
        <f t="shared" si="381"/>
        <v>150373.38</v>
      </c>
      <c r="V740" s="802">
        <f>STDEV(D$2:D740)*SQRT(252)</f>
        <v>0.1363418252525197</v>
      </c>
      <c r="W740" s="802">
        <f>STDEV(L$2:L740)*SQRT(252)</f>
        <v>0.25974018410209759</v>
      </c>
      <c r="X740" s="801">
        <f t="shared" si="382"/>
        <v>0.90128319771569054</v>
      </c>
      <c r="Y740" s="801">
        <f t="shared" si="383"/>
        <v>0.48210813000810243</v>
      </c>
      <c r="Z740" s="807">
        <f t="shared" si="384"/>
        <v>7.2786675278883606E-3</v>
      </c>
    </row>
    <row r="741" spans="1:26" ht="20.100000000000001" customHeight="1" x14ac:dyDescent="0.2">
      <c r="A741" s="776">
        <f t="shared" si="370"/>
        <v>1137</v>
      </c>
      <c r="B741" s="795">
        <v>43370</v>
      </c>
      <c r="C741" s="820">
        <v>2914</v>
      </c>
      <c r="D741" s="792">
        <f t="shared" si="371"/>
        <v>2.7632769780831187E-3</v>
      </c>
      <c r="E741" s="819">
        <f t="shared" si="372"/>
        <v>0.38600863758299875</v>
      </c>
      <c r="F741" s="816">
        <v>8041.96</v>
      </c>
      <c r="G741" s="792">
        <f t="shared" si="373"/>
        <v>6.4577816268604126E-3</v>
      </c>
      <c r="H741" s="797">
        <f t="shared" si="374"/>
        <v>0.57942533927764805</v>
      </c>
      <c r="I741" s="841">
        <v>416479.53</v>
      </c>
      <c r="J741" s="800">
        <v>300000</v>
      </c>
      <c r="K741" s="800">
        <f t="shared" si="375"/>
        <v>-360.84999999997672</v>
      </c>
      <c r="L741" s="792">
        <f t="shared" si="376"/>
        <v>-8.6567908800000784E-4</v>
      </c>
      <c r="M741" s="817">
        <f t="shared" si="377"/>
        <v>116479.53000000003</v>
      </c>
      <c r="N741" s="802">
        <f t="shared" si="378"/>
        <v>0.38826510000000009</v>
      </c>
      <c r="O741" s="786">
        <f t="shared" si="379"/>
        <v>0.12472632170184698</v>
      </c>
      <c r="P741" s="817" t="b">
        <f t="shared" si="380"/>
        <v>0</v>
      </c>
      <c r="Q741" s="802">
        <f>COUNTIF(P$2:P741, TRUE)/(COUNTIF(P$2:P741,FALSE) + COUNTIF(P$2:P741, TRUE))</f>
        <v>0.49459459459459459</v>
      </c>
      <c r="R741" s="800">
        <v>272628.99</v>
      </c>
      <c r="S741" s="800">
        <f>I741-R741</f>
        <v>143850.54000000004</v>
      </c>
      <c r="T741" s="800">
        <v>-33650</v>
      </c>
      <c r="U741" s="800">
        <f t="shared" si="381"/>
        <v>150129.53000000003</v>
      </c>
      <c r="V741" s="802">
        <f>STDEV(D$2:D741)*SQRT(252)</f>
        <v>0.13625597083804902</v>
      </c>
      <c r="W741" s="802">
        <f>STDEV(L$2:L741)*SQRT(252)</f>
        <v>0.25956570616493319</v>
      </c>
      <c r="X741" s="801">
        <f t="shared" si="382"/>
        <v>0.91006254415262233</v>
      </c>
      <c r="Y741" s="801">
        <f t="shared" si="383"/>
        <v>0.48051926251996252</v>
      </c>
      <c r="Z741" s="807">
        <f t="shared" si="384"/>
        <v>2.256462417001337E-3</v>
      </c>
    </row>
    <row r="742" spans="1:26" ht="20.100000000000001" customHeight="1" x14ac:dyDescent="0.2">
      <c r="A742" s="776">
        <f t="shared" si="370"/>
        <v>1138</v>
      </c>
      <c r="B742" s="795">
        <v>43371</v>
      </c>
      <c r="C742" s="820">
        <v>2913.98</v>
      </c>
      <c r="D742" s="792">
        <f t="shared" si="371"/>
        <v>-6.8634179821488707E-6</v>
      </c>
      <c r="E742" s="819">
        <f t="shared" si="372"/>
        <v>0.38599912482639215</v>
      </c>
      <c r="F742" s="816">
        <v>8046.35</v>
      </c>
      <c r="G742" s="792">
        <f t="shared" si="373"/>
        <v>5.4588682361020541E-4</v>
      </c>
      <c r="H742" s="797">
        <f t="shared" si="374"/>
        <v>0.58028752675923578</v>
      </c>
      <c r="I742" s="843">
        <v>416216.28</v>
      </c>
      <c r="J742" s="800">
        <v>300000</v>
      </c>
      <c r="K742" s="800">
        <f t="shared" si="375"/>
        <v>-263.25</v>
      </c>
      <c r="L742" s="792">
        <f t="shared" si="376"/>
        <v>-6.3208388657180813E-4</v>
      </c>
      <c r="M742" s="822">
        <f t="shared" si="377"/>
        <v>116216.28000000003</v>
      </c>
      <c r="N742" s="802">
        <f t="shared" si="378"/>
        <v>0.38738760000000011</v>
      </c>
      <c r="O742" s="786">
        <f t="shared" si="379"/>
        <v>0.12433507987697719</v>
      </c>
      <c r="P742" s="817" t="b">
        <f t="shared" si="380"/>
        <v>0</v>
      </c>
      <c r="Q742" s="802">
        <f>COUNTIF(P$2:P742, TRUE)/(COUNTIF(P$2:P742,FALSE) + COUNTIF(P$2:P742, TRUE))</f>
        <v>0.49392712550607287</v>
      </c>
      <c r="R742" s="800">
        <v>267675.40000000002</v>
      </c>
      <c r="S742" s="800">
        <f t="shared" ref="S742:S747" si="385">I742-R742</f>
        <v>148540.88</v>
      </c>
      <c r="T742" s="800">
        <v>-33845</v>
      </c>
      <c r="U742" s="800">
        <f t="shared" si="381"/>
        <v>150061.28000000003</v>
      </c>
      <c r="V742" s="802">
        <f>STDEV(D$2:D742)*SQRT(252)</f>
        <v>0.1361640449257997</v>
      </c>
      <c r="W742" s="802">
        <f>STDEV(L$2:L742)*SQRT(252)</f>
        <v>0.25939114357403653</v>
      </c>
      <c r="X742" s="801">
        <f t="shared" si="382"/>
        <v>0.90985427157821597</v>
      </c>
      <c r="Y742" s="801">
        <f t="shared" si="383"/>
        <v>0.47933432947562815</v>
      </c>
      <c r="Z742" s="807">
        <f t="shared" si="384"/>
        <v>1.3884751736079615E-3</v>
      </c>
    </row>
    <row r="743" spans="1:26" ht="20.100000000000001" customHeight="1" x14ac:dyDescent="0.2">
      <c r="A743" s="776">
        <f t="shared" si="370"/>
        <v>1141</v>
      </c>
      <c r="B743" s="795">
        <v>43374</v>
      </c>
      <c r="C743" s="820">
        <v>2924.59</v>
      </c>
      <c r="D743" s="792">
        <f t="shared" si="371"/>
        <v>3.6410682297064933E-3</v>
      </c>
      <c r="E743" s="819">
        <f t="shared" si="372"/>
        <v>0.39104564220619853</v>
      </c>
      <c r="F743" s="816">
        <v>8037.3</v>
      </c>
      <c r="G743" s="792">
        <f t="shared" si="373"/>
        <v>-1.1247335748507312E-3</v>
      </c>
      <c r="H743" s="797">
        <f t="shared" si="374"/>
        <v>0.57851012431997184</v>
      </c>
      <c r="I743" s="841">
        <v>417593.36</v>
      </c>
      <c r="J743" s="800">
        <v>300000</v>
      </c>
      <c r="K743" s="800">
        <f t="shared" si="375"/>
        <v>1377.0799999999581</v>
      </c>
      <c r="L743" s="792">
        <f t="shared" si="376"/>
        <v>3.3085683241413765E-3</v>
      </c>
      <c r="M743" s="817">
        <f t="shared" si="377"/>
        <v>117593.35999999999</v>
      </c>
      <c r="N743" s="802">
        <f t="shared" si="378"/>
        <v>0.39197786666666662</v>
      </c>
      <c r="O743" s="786">
        <f t="shared" si="379"/>
        <v>0.12547757738825591</v>
      </c>
      <c r="P743" s="817" t="b">
        <f t="shared" si="380"/>
        <v>0</v>
      </c>
      <c r="Q743" s="802">
        <f>COUNTIF(P$2:P743, TRUE)/(COUNTIF(P$2:P743,FALSE) + COUNTIF(P$2:P743, TRUE))</f>
        <v>0.49326145552560646</v>
      </c>
      <c r="R743" s="800">
        <v>262455.67999999999</v>
      </c>
      <c r="S743" s="800">
        <f t="shared" si="385"/>
        <v>155137.68</v>
      </c>
      <c r="T743" s="800">
        <v>-33676</v>
      </c>
      <c r="U743" s="800">
        <f t="shared" si="381"/>
        <v>151269.35999999999</v>
      </c>
      <c r="V743" s="802">
        <f>STDEV(D$2:D743)*SQRT(252)</f>
        <v>0.13608451347021563</v>
      </c>
      <c r="W743" s="802">
        <f>STDEV(L$2:L743)*SQRT(252)</f>
        <v>0.2592203859750481</v>
      </c>
      <c r="X743" s="801">
        <f t="shared" si="382"/>
        <v>0.91986337133927398</v>
      </c>
      <c r="Y743" s="801">
        <f t="shared" si="383"/>
        <v>0.48405752084766229</v>
      </c>
      <c r="Z743" s="807">
        <f t="shared" si="384"/>
        <v>9.322244604680896E-4</v>
      </c>
    </row>
    <row r="744" spans="1:26" ht="20.100000000000001" customHeight="1" x14ac:dyDescent="0.2">
      <c r="A744" s="776">
        <f t="shared" si="370"/>
        <v>1142</v>
      </c>
      <c r="B744" s="795">
        <v>43375</v>
      </c>
      <c r="C744" s="820">
        <v>2923.43</v>
      </c>
      <c r="D744" s="792">
        <f t="shared" si="371"/>
        <v>-3.9663679353355827E-4</v>
      </c>
      <c r="E744" s="819">
        <f t="shared" si="372"/>
        <v>0.39049390232301506</v>
      </c>
      <c r="F744" s="816">
        <v>7999.54</v>
      </c>
      <c r="G744" s="792">
        <f t="shared" si="373"/>
        <v>-4.6980951314496431E-3</v>
      </c>
      <c r="H744" s="797">
        <f t="shared" si="374"/>
        <v>0.5710941335899602</v>
      </c>
      <c r="I744" s="841">
        <v>417774.27</v>
      </c>
      <c r="J744" s="800">
        <v>300000</v>
      </c>
      <c r="K744" s="800">
        <f t="shared" si="375"/>
        <v>180.9100000000326</v>
      </c>
      <c r="L744" s="792">
        <f t="shared" si="376"/>
        <v>4.3322048990441944E-4</v>
      </c>
      <c r="M744" s="817">
        <f t="shared" si="377"/>
        <v>117774.27000000002</v>
      </c>
      <c r="N744" s="802">
        <f t="shared" si="378"/>
        <v>0.39258090000000007</v>
      </c>
      <c r="O744" s="786">
        <f t="shared" si="379"/>
        <v>0.12556057243870405</v>
      </c>
      <c r="P744" s="817" t="b">
        <f t="shared" si="380"/>
        <v>1</v>
      </c>
      <c r="Q744" s="802">
        <f>COUNTIF(P$2:P744, TRUE)/(COUNTIF(P$2:P744,FALSE) + COUNTIF(P$2:P744, TRUE))</f>
        <v>0.4939434724091521</v>
      </c>
      <c r="R744" s="800">
        <v>262636.63</v>
      </c>
      <c r="S744" s="800">
        <f t="shared" si="385"/>
        <v>155137.64000000001</v>
      </c>
      <c r="T744" s="800">
        <v>-33702</v>
      </c>
      <c r="U744" s="800">
        <f t="shared" si="381"/>
        <v>151476.27000000002</v>
      </c>
      <c r="V744" s="802">
        <f>STDEV(D$2:D744)*SQRT(252)</f>
        <v>0.13599362203592741</v>
      </c>
      <c r="W744" s="802">
        <f>STDEV(L$2:L744)*SQRT(252)</f>
        <v>0.25904545233684084</v>
      </c>
      <c r="X744" s="801">
        <f t="shared" si="382"/>
        <v>0.9183745423947578</v>
      </c>
      <c r="Y744" s="801">
        <f t="shared" si="383"/>
        <v>0.48470479333269934</v>
      </c>
      <c r="Z744" s="807">
        <f t="shared" si="384"/>
        <v>2.0869976769850029E-3</v>
      </c>
    </row>
    <row r="745" spans="1:26" ht="20.100000000000001" customHeight="1" x14ac:dyDescent="0.2">
      <c r="A745" s="776">
        <f t="shared" si="370"/>
        <v>1143</v>
      </c>
      <c r="B745" s="795">
        <v>43376</v>
      </c>
      <c r="C745" s="820">
        <v>2925.51</v>
      </c>
      <c r="D745" s="792">
        <f t="shared" si="371"/>
        <v>7.1149300650276632E-4</v>
      </c>
      <c r="E745" s="819">
        <f t="shared" si="372"/>
        <v>0.39148322901010263</v>
      </c>
      <c r="F745" s="816">
        <v>8025.08</v>
      </c>
      <c r="G745" s="792">
        <f t="shared" si="373"/>
        <v>3.1926835793058056E-3</v>
      </c>
      <c r="H745" s="797">
        <f t="shared" si="374"/>
        <v>0.57611014003181649</v>
      </c>
      <c r="I745" s="841">
        <v>417130.14</v>
      </c>
      <c r="J745" s="800">
        <v>300000</v>
      </c>
      <c r="K745" s="800">
        <f t="shared" si="375"/>
        <v>-644.13000000000466</v>
      </c>
      <c r="L745" s="792">
        <f t="shared" si="376"/>
        <v>-1.54181347740732E-3</v>
      </c>
      <c r="M745" s="817">
        <f t="shared" si="377"/>
        <v>117130.14000000001</v>
      </c>
      <c r="N745" s="802">
        <f t="shared" si="378"/>
        <v>0.39043380000000005</v>
      </c>
      <c r="O745" s="786">
        <f t="shared" si="379"/>
        <v>0.12476460669291341</v>
      </c>
      <c r="P745" s="817" t="b">
        <f t="shared" si="380"/>
        <v>0</v>
      </c>
      <c r="Q745" s="802">
        <f>COUNTIF(P$2:P745, TRUE)/(COUNTIF(P$2:P745,FALSE) + COUNTIF(P$2:P745, TRUE))</f>
        <v>0.49327956989247312</v>
      </c>
      <c r="R745" s="800">
        <v>261985.21</v>
      </c>
      <c r="S745" s="800">
        <f t="shared" si="385"/>
        <v>155144.93000000002</v>
      </c>
      <c r="T745" s="800">
        <v>-33690</v>
      </c>
      <c r="U745" s="800">
        <f t="shared" si="381"/>
        <v>150820.14000000001</v>
      </c>
      <c r="V745" s="802">
        <f>STDEV(D$2:D745)*SQRT(252)</f>
        <v>0.13590201750235897</v>
      </c>
      <c r="W745" s="802">
        <f>STDEV(L$2:L745)*SQRT(252)</f>
        <v>0.25887404950468873</v>
      </c>
      <c r="X745" s="801">
        <f t="shared" si="382"/>
        <v>0.9205158100379941</v>
      </c>
      <c r="Y745" s="801">
        <f t="shared" si="383"/>
        <v>0.48195099868692581</v>
      </c>
      <c r="Z745" s="807">
        <f t="shared" si="384"/>
        <v>-1.0494290101025761E-3</v>
      </c>
    </row>
    <row r="746" spans="1:26" ht="20.100000000000001" customHeight="1" x14ac:dyDescent="0.2">
      <c r="A746" s="776">
        <f t="shared" si="370"/>
        <v>1144</v>
      </c>
      <c r="B746" s="795">
        <v>43377</v>
      </c>
      <c r="C746" s="820">
        <v>2901.61</v>
      </c>
      <c r="D746" s="792">
        <f t="shared" si="371"/>
        <v>-8.1695157425543206E-3</v>
      </c>
      <c r="E746" s="819">
        <f t="shared" si="372"/>
        <v>0.38011548486520425</v>
      </c>
      <c r="F746" s="816">
        <v>7879.51</v>
      </c>
      <c r="G746" s="792">
        <f t="shared" si="373"/>
        <v>-1.8139383034187787E-2</v>
      </c>
      <c r="H746" s="797">
        <f t="shared" si="374"/>
        <v>0.54752047449771202</v>
      </c>
      <c r="I746" s="841">
        <v>415878.56</v>
      </c>
      <c r="J746" s="800">
        <v>300000</v>
      </c>
      <c r="K746" s="800">
        <f t="shared" si="375"/>
        <v>-1251.5800000000163</v>
      </c>
      <c r="L746" s="792">
        <f t="shared" si="376"/>
        <v>-3.0004544864583897E-3</v>
      </c>
      <c r="M746" s="817">
        <f t="shared" si="377"/>
        <v>115878.56</v>
      </c>
      <c r="N746" s="802">
        <f t="shared" si="378"/>
        <v>0.38626186666666668</v>
      </c>
      <c r="O746" s="786">
        <f t="shared" ref="O746:O751" si="386">N746/(A746/365.25)</f>
        <v>0.12332355489510489</v>
      </c>
      <c r="P746" s="817" t="b">
        <f t="shared" si="380"/>
        <v>1</v>
      </c>
      <c r="Q746" s="802">
        <f>COUNTIF(P$2:P746, TRUE)/(COUNTIF(P$2:P746,FALSE) + COUNTIF(P$2:P746, TRUE))</f>
        <v>0.49395973154362416</v>
      </c>
      <c r="R746" s="800">
        <v>272527.87</v>
      </c>
      <c r="S746" s="800">
        <f t="shared" si="385"/>
        <v>143350.69</v>
      </c>
      <c r="T746" s="800">
        <v>-34275</v>
      </c>
      <c r="U746" s="800">
        <f t="shared" si="381"/>
        <v>150153.56</v>
      </c>
      <c r="V746" s="802">
        <f>STDEV(D$2:D746)*SQRT(252)</f>
        <v>0.13590382160138992</v>
      </c>
      <c r="W746" s="802">
        <f>STDEV(L$2:L746)*SQRT(252)</f>
        <v>0.25870860408644841</v>
      </c>
      <c r="X746" s="801">
        <f t="shared" si="382"/>
        <v>0.89299307877467815</v>
      </c>
      <c r="Y746" s="801">
        <f t="shared" si="383"/>
        <v>0.47668903525874184</v>
      </c>
      <c r="Z746" s="807">
        <f t="shared" si="384"/>
        <v>6.1463818014624305E-3</v>
      </c>
    </row>
    <row r="747" spans="1:26" ht="20.100000000000001" customHeight="1" x14ac:dyDescent="0.2">
      <c r="A747" s="776">
        <f t="shared" si="370"/>
        <v>1145</v>
      </c>
      <c r="B747" s="795">
        <v>43378</v>
      </c>
      <c r="C747" s="820">
        <v>2885.57</v>
      </c>
      <c r="D747" s="792">
        <f t="shared" si="371"/>
        <v>-5.5279655088037206E-3</v>
      </c>
      <c r="E747" s="819">
        <f t="shared" si="372"/>
        <v>0.37248625406670349</v>
      </c>
      <c r="F747" s="816">
        <v>7788.44</v>
      </c>
      <c r="G747" s="792">
        <f t="shared" si="373"/>
        <v>-1.1557825296243119E-2</v>
      </c>
      <c r="H747" s="797">
        <f t="shared" si="374"/>
        <v>0.52963450321110828</v>
      </c>
      <c r="I747" s="841">
        <v>413387.15</v>
      </c>
      <c r="J747" s="800">
        <v>300000</v>
      </c>
      <c r="K747" s="800">
        <f t="shared" si="375"/>
        <v>-2491.4099999999744</v>
      </c>
      <c r="L747" s="792">
        <f t="shared" si="376"/>
        <v>-5.9907151741603951E-3</v>
      </c>
      <c r="M747" s="817">
        <f t="shared" si="377"/>
        <v>113387.15000000002</v>
      </c>
      <c r="N747" s="802">
        <f t="shared" si="378"/>
        <v>0.37795716666666673</v>
      </c>
      <c r="O747" s="786">
        <f t="shared" si="386"/>
        <v>0.12056668569868999</v>
      </c>
      <c r="P747" s="817" t="b">
        <f t="shared" si="380"/>
        <v>0</v>
      </c>
      <c r="Q747" s="802">
        <f>COUNTIF(P$2:P747, TRUE)/(COUNTIF(P$2:P747,FALSE) + COUNTIF(P$2:P747, TRUE))</f>
        <v>0.49329758713136729</v>
      </c>
      <c r="R747" s="844">
        <v>282588.67</v>
      </c>
      <c r="S747" s="800">
        <f t="shared" si="385"/>
        <v>130798.48000000004</v>
      </c>
      <c r="T747" s="800">
        <v>-35819</v>
      </c>
      <c r="U747" s="800">
        <f t="shared" si="381"/>
        <v>149206.15000000002</v>
      </c>
      <c r="V747" s="802">
        <f>STDEV(D$2:D747)*SQRT(252)</f>
        <v>0.1358572466290649</v>
      </c>
      <c r="W747" s="802">
        <f>STDEV(L$2:L747)*SQRT(252)</f>
        <v>0.25856366506134476</v>
      </c>
      <c r="X747" s="801">
        <f t="shared" si="382"/>
        <v>0.87460545107447674</v>
      </c>
      <c r="Y747" s="801">
        <f t="shared" si="383"/>
        <v>0.46629400024201118</v>
      </c>
      <c r="Z747" s="807">
        <f t="shared" si="384"/>
        <v>5.4709125999632402E-3</v>
      </c>
    </row>
    <row r="748" spans="1:26" ht="20.100000000000001" customHeight="1" x14ac:dyDescent="0.2">
      <c r="A748" s="776">
        <f t="shared" si="370"/>
        <v>1148</v>
      </c>
      <c r="B748" s="795">
        <v>43381</v>
      </c>
      <c r="C748" s="820">
        <v>2884.43</v>
      </c>
      <c r="D748" s="792">
        <f t="shared" si="371"/>
        <v>-3.9506925841352919E-4</v>
      </c>
      <c r="E748" s="819">
        <f t="shared" si="372"/>
        <v>0.37194402694012657</v>
      </c>
      <c r="F748" s="816">
        <v>7735.94</v>
      </c>
      <c r="G748" s="792">
        <f t="shared" si="373"/>
        <v>-6.7407593818531054E-3</v>
      </c>
      <c r="H748" s="797">
        <f t="shared" si="374"/>
        <v>0.51932360508278175</v>
      </c>
      <c r="I748" s="841">
        <v>415077.53</v>
      </c>
      <c r="J748" s="800">
        <v>300000</v>
      </c>
      <c r="K748" s="800">
        <f t="shared" si="375"/>
        <v>1690.3800000000047</v>
      </c>
      <c r="L748" s="792">
        <f t="shared" si="376"/>
        <v>4.0890966252821468E-3</v>
      </c>
      <c r="M748" s="817">
        <f t="shared" si="377"/>
        <v>115077.53000000003</v>
      </c>
      <c r="N748" s="802">
        <f t="shared" si="378"/>
        <v>0.38359176666666678</v>
      </c>
      <c r="O748" s="786">
        <f t="shared" si="386"/>
        <v>0.12204433168554012</v>
      </c>
      <c r="P748" s="817" t="b">
        <f t="shared" si="380"/>
        <v>1</v>
      </c>
      <c r="Q748" s="802">
        <f>COUNTIF(P$2:P748, TRUE)/(COUNTIF(P$2:P748,FALSE) + COUNTIF(P$2:P748, TRUE))</f>
        <v>0.49397590361445781</v>
      </c>
      <c r="R748" s="844">
        <v>283178.14</v>
      </c>
      <c r="S748" s="800">
        <f t="shared" ref="S748:S770" si="387">I748-R748</f>
        <v>131899.39000000001</v>
      </c>
      <c r="T748" s="800">
        <v>-35084</v>
      </c>
      <c r="U748" s="800">
        <f t="shared" si="381"/>
        <v>150161.53000000003</v>
      </c>
      <c r="V748" s="802">
        <f>STDEV(D$2:D748)*SQRT(252)</f>
        <v>0.13576694979485771</v>
      </c>
      <c r="W748" s="802">
        <f>STDEV(L$2:L748)*SQRT(252)</f>
        <v>0.25839777521285073</v>
      </c>
      <c r="X748" s="801">
        <f t="shared" si="382"/>
        <v>0.87162938737274376</v>
      </c>
      <c r="Y748" s="801">
        <f t="shared" si="383"/>
        <v>0.47231185169844514</v>
      </c>
      <c r="Z748" s="807">
        <f t="shared" si="384"/>
        <v>1.1647739726540207E-2</v>
      </c>
    </row>
    <row r="749" spans="1:26" ht="20.100000000000001" customHeight="1" x14ac:dyDescent="0.2">
      <c r="A749" s="776">
        <f t="shared" si="370"/>
        <v>1149</v>
      </c>
      <c r="B749" s="795">
        <v>43382</v>
      </c>
      <c r="C749" s="820">
        <v>2880.34</v>
      </c>
      <c r="D749" s="792">
        <f t="shared" si="371"/>
        <v>-1.4179577940874595E-3</v>
      </c>
      <c r="E749" s="819">
        <f t="shared" si="372"/>
        <v>0.36999866821407512</v>
      </c>
      <c r="F749" s="816">
        <v>7738.01</v>
      </c>
      <c r="G749" s="792">
        <f t="shared" si="373"/>
        <v>2.6758222013105308E-4</v>
      </c>
      <c r="H749" s="797">
        <f t="shared" si="374"/>
        <v>0.51973014906612736</v>
      </c>
      <c r="I749" s="841">
        <v>410358.85</v>
      </c>
      <c r="J749" s="800">
        <v>300000</v>
      </c>
      <c r="K749" s="800">
        <f t="shared" si="375"/>
        <v>-4718.6800000000512</v>
      </c>
      <c r="L749" s="792">
        <f t="shared" si="376"/>
        <v>-1.1368189456075956E-2</v>
      </c>
      <c r="M749" s="817">
        <f t="shared" si="377"/>
        <v>110358.84999999998</v>
      </c>
      <c r="N749" s="802">
        <f t="shared" si="378"/>
        <v>0.36786283333333325</v>
      </c>
      <c r="O749" s="786">
        <f t="shared" si="386"/>
        <v>0.11693811999564835</v>
      </c>
      <c r="P749" s="817" t="b">
        <f t="shared" si="380"/>
        <v>0</v>
      </c>
      <c r="Q749" s="802">
        <f>COUNTIF(P$2:P749, TRUE)/(COUNTIF(P$2:P749,FALSE) + COUNTIF(P$2:P749, TRUE))</f>
        <v>0.49331550802139035</v>
      </c>
      <c r="R749" s="844">
        <v>279861.53999999998</v>
      </c>
      <c r="S749" s="800">
        <f t="shared" si="387"/>
        <v>130497.31</v>
      </c>
      <c r="T749" s="800">
        <v>-35969</v>
      </c>
      <c r="U749" s="800">
        <f t="shared" si="381"/>
        <v>146327.84999999998</v>
      </c>
      <c r="V749" s="802">
        <f>STDEV(D$2:D749)*SQRT(252)</f>
        <v>0.13568030952855945</v>
      </c>
      <c r="W749" s="802">
        <f>STDEV(L$2:L749)*SQRT(252)</f>
        <v>0.25831903556755864</v>
      </c>
      <c r="X749" s="801">
        <f t="shared" si="382"/>
        <v>0.86686911701732472</v>
      </c>
      <c r="Y749" s="801">
        <f t="shared" si="383"/>
        <v>0.4526887449030651</v>
      </c>
      <c r="Z749" s="807">
        <f t="shared" si="384"/>
        <v>-2.1358348807418714E-3</v>
      </c>
    </row>
    <row r="750" spans="1:26" ht="20.100000000000001" customHeight="1" x14ac:dyDescent="0.2">
      <c r="A750" s="776">
        <f t="shared" si="370"/>
        <v>1150</v>
      </c>
      <c r="B750" s="795">
        <v>43383</v>
      </c>
      <c r="C750" s="820">
        <v>2785.68</v>
      </c>
      <c r="D750" s="792">
        <f t="shared" si="371"/>
        <v>-3.2864175757028789E-2</v>
      </c>
      <c r="E750" s="819">
        <f t="shared" si="372"/>
        <v>0.3249747911949924</v>
      </c>
      <c r="F750" s="816">
        <v>7422.05</v>
      </c>
      <c r="G750" s="792">
        <f t="shared" si="373"/>
        <v>-4.0832203628581511E-2</v>
      </c>
      <c r="H750" s="797">
        <f t="shared" si="374"/>
        <v>0.4576762181589647</v>
      </c>
      <c r="I750" s="841">
        <v>403954.59</v>
      </c>
      <c r="J750" s="800">
        <v>300000</v>
      </c>
      <c r="K750" s="800">
        <f t="shared" si="375"/>
        <v>-6404.2599999999511</v>
      </c>
      <c r="L750" s="792">
        <f t="shared" si="376"/>
        <v>-1.5606486859001461E-2</v>
      </c>
      <c r="M750" s="817">
        <f t="shared" si="377"/>
        <v>103954.59000000003</v>
      </c>
      <c r="N750" s="802">
        <f t="shared" si="378"/>
        <v>0.34651530000000008</v>
      </c>
      <c r="O750" s="786">
        <f t="shared" si="386"/>
        <v>0.11005627245652176</v>
      </c>
      <c r="P750" s="817" t="b">
        <f t="shared" si="380"/>
        <v>1</v>
      </c>
      <c r="Q750" s="802">
        <f>COUNTIF(P$2:P750, TRUE)/(COUNTIF(P$2:P750,FALSE) + COUNTIF(P$2:P750, TRUE))</f>
        <v>0.49399198931909211</v>
      </c>
      <c r="R750" s="844">
        <v>338467.68</v>
      </c>
      <c r="S750" s="800">
        <f t="shared" si="387"/>
        <v>65486.910000000033</v>
      </c>
      <c r="T750" s="800">
        <v>-36944</v>
      </c>
      <c r="U750" s="800">
        <f t="shared" si="381"/>
        <v>140898.59000000003</v>
      </c>
      <c r="V750" s="802">
        <f>STDEV(D$2:D750)*SQRT(252)</f>
        <v>0.13696197828439696</v>
      </c>
      <c r="W750" s="802">
        <f>STDEV(L$2:L750)*SQRT(252)</f>
        <v>0.25831836082290399</v>
      </c>
      <c r="X750" s="801">
        <f t="shared" si="382"/>
        <v>0.7536019911815014</v>
      </c>
      <c r="Y750" s="801">
        <f t="shared" si="383"/>
        <v>0.42604897346795001</v>
      </c>
      <c r="Z750" s="807">
        <f t="shared" si="384"/>
        <v>2.1540508805007685E-2</v>
      </c>
    </row>
    <row r="751" spans="1:26" ht="20.100000000000001" customHeight="1" x14ac:dyDescent="0.2">
      <c r="A751" s="776">
        <f t="shared" si="370"/>
        <v>1151</v>
      </c>
      <c r="B751" s="795">
        <v>43384</v>
      </c>
      <c r="C751" s="820">
        <v>2728.37</v>
      </c>
      <c r="D751" s="792">
        <f t="shared" si="371"/>
        <v>-2.0573073719881662E-2</v>
      </c>
      <c r="E751" s="819">
        <f t="shared" si="372"/>
        <v>0.29771598713875297</v>
      </c>
      <c r="F751" s="816">
        <v>7329.06</v>
      </c>
      <c r="G751" s="792">
        <f t="shared" si="373"/>
        <v>-1.2528883529483064E-2</v>
      </c>
      <c r="H751" s="797">
        <f t="shared" si="374"/>
        <v>0.43941316259795365</v>
      </c>
      <c r="I751" s="841">
        <v>394351.69</v>
      </c>
      <c r="J751" s="800">
        <v>300000</v>
      </c>
      <c r="K751" s="800">
        <f t="shared" si="375"/>
        <v>-9602.9000000000233</v>
      </c>
      <c r="L751" s="792">
        <f t="shared" si="376"/>
        <v>-2.3772226477238499E-2</v>
      </c>
      <c r="M751" s="817">
        <f t="shared" si="377"/>
        <v>94351.69</v>
      </c>
      <c r="N751" s="802">
        <f t="shared" si="378"/>
        <v>0.31450563333333337</v>
      </c>
      <c r="O751" s="786">
        <f t="shared" si="386"/>
        <v>9.9802938814074718E-2</v>
      </c>
      <c r="P751" s="817" t="b">
        <f t="shared" si="380"/>
        <v>0</v>
      </c>
      <c r="Q751" s="802">
        <f>COUNTIF(P$2:P751, TRUE)/(COUNTIF(P$2:P751,FALSE) + COUNTIF(P$2:P751, TRUE))</f>
        <v>0.49333333333333335</v>
      </c>
      <c r="R751" s="844">
        <v>363372.5</v>
      </c>
      <c r="S751" s="800">
        <f t="shared" si="387"/>
        <v>30979.190000000002</v>
      </c>
      <c r="T751" s="800">
        <v>-37544</v>
      </c>
      <c r="U751" s="800">
        <f t="shared" si="381"/>
        <v>131895.69</v>
      </c>
      <c r="V751" s="802">
        <f>STDEV(D$2:D751)*SQRT(252)</f>
        <v>0.13741065749556494</v>
      </c>
      <c r="W751" s="802">
        <f>STDEV(L$2:L751)*SQRT(252)</f>
        <v>0.25853317657038244</v>
      </c>
      <c r="X751" s="801">
        <f t="shared" si="382"/>
        <v>0.68753789457256964</v>
      </c>
      <c r="Y751" s="801">
        <f t="shared" si="383"/>
        <v>0.38603532489728493</v>
      </c>
      <c r="Z751" s="807">
        <f t="shared" si="384"/>
        <v>1.6789646194580399E-2</v>
      </c>
    </row>
    <row r="752" spans="1:26" ht="20.100000000000001" customHeight="1" x14ac:dyDescent="0.2">
      <c r="A752" s="776">
        <f t="shared" si="370"/>
        <v>1152</v>
      </c>
      <c r="B752" s="795">
        <v>43385</v>
      </c>
      <c r="C752" s="820">
        <v>2767.13</v>
      </c>
      <c r="D752" s="792">
        <f t="shared" si="371"/>
        <v>1.4206284338267984E-2</v>
      </c>
      <c r="E752" s="819">
        <f t="shared" si="372"/>
        <v>0.31615170944236221</v>
      </c>
      <c r="F752" s="816">
        <v>7496.89</v>
      </c>
      <c r="G752" s="792">
        <f t="shared" si="373"/>
        <v>2.289925311022149E-2</v>
      </c>
      <c r="H752" s="797">
        <f t="shared" si="374"/>
        <v>0.47237464893846859</v>
      </c>
      <c r="I752" s="841">
        <v>399150.6</v>
      </c>
      <c r="J752" s="800">
        <v>300000</v>
      </c>
      <c r="K752" s="800">
        <f t="shared" si="375"/>
        <v>4798.9099999999744</v>
      </c>
      <c r="L752" s="792">
        <f t="shared" si="376"/>
        <v>1.2169112296691246E-2</v>
      </c>
      <c r="M752" s="817">
        <f t="shared" si="377"/>
        <v>99150.599999999977</v>
      </c>
      <c r="N752" s="802">
        <f t="shared" si="378"/>
        <v>0.33050199999999991</v>
      </c>
      <c r="O752" s="786">
        <f t="shared" ref="O752:O770" si="388">N752/(A752/365.25)</f>
        <v>0.10478806901041664</v>
      </c>
      <c r="P752" s="817" t="b">
        <f t="shared" si="380"/>
        <v>0</v>
      </c>
      <c r="Q752" s="802">
        <f>COUNTIF(P$2:P752, TRUE)/(COUNTIF(P$2:P752,FALSE) + COUNTIF(P$2:P752, TRUE))</f>
        <v>0.49267643142476697</v>
      </c>
      <c r="R752" s="844">
        <v>363373.5</v>
      </c>
      <c r="S752" s="800">
        <f t="shared" si="387"/>
        <v>35777.099999999977</v>
      </c>
      <c r="T752" s="800">
        <v>-37543</v>
      </c>
      <c r="U752" s="800">
        <f t="shared" si="381"/>
        <v>136693.59999999998</v>
      </c>
      <c r="V752" s="802">
        <f>STDEV(D$2:D752)*SQRT(252)</f>
        <v>0.13755239317681453</v>
      </c>
      <c r="W752" s="802">
        <f>STDEV(L$2:L752)*SQRT(252)</f>
        <v>0.25844768892939957</v>
      </c>
      <c r="X752" s="801">
        <f t="shared" si="382"/>
        <v>0.72872745022133256</v>
      </c>
      <c r="Y752" s="801">
        <f t="shared" si="383"/>
        <v>0.40545175483864243</v>
      </c>
      <c r="Z752" s="807">
        <f t="shared" si="384"/>
        <v>1.4350290557637702E-2</v>
      </c>
    </row>
    <row r="753" spans="1:26" ht="20.100000000000001" customHeight="1" x14ac:dyDescent="0.2">
      <c r="A753" s="776">
        <f t="shared" si="370"/>
        <v>1155</v>
      </c>
      <c r="B753" s="795">
        <v>43388</v>
      </c>
      <c r="C753" s="820">
        <v>2750.79</v>
      </c>
      <c r="D753" s="792">
        <f t="shared" si="371"/>
        <v>-5.9050351808553067E-3</v>
      </c>
      <c r="E753" s="819">
        <f t="shared" si="372"/>
        <v>0.30837978729476223</v>
      </c>
      <c r="F753" s="816">
        <v>7430.74</v>
      </c>
      <c r="G753" s="792">
        <f t="shared" si="373"/>
        <v>-8.8236588772144901E-3</v>
      </c>
      <c r="H753" s="797">
        <f t="shared" si="374"/>
        <v>0.4593829172967771</v>
      </c>
      <c r="I753" s="841">
        <v>400317.06</v>
      </c>
      <c r="J753" s="800">
        <v>300000</v>
      </c>
      <c r="K753" s="800">
        <f t="shared" si="375"/>
        <v>1166.460000000021</v>
      </c>
      <c r="L753" s="792">
        <f t="shared" si="376"/>
        <v>2.9223556221637174E-3</v>
      </c>
      <c r="M753" s="817">
        <f t="shared" si="377"/>
        <v>100317.06</v>
      </c>
      <c r="N753" s="802">
        <f t="shared" si="378"/>
        <v>0.33439019999999997</v>
      </c>
      <c r="O753" s="786">
        <f t="shared" si="388"/>
        <v>0.10574547233766232</v>
      </c>
      <c r="P753" s="817" t="b">
        <f t="shared" si="380"/>
        <v>1</v>
      </c>
      <c r="Q753" s="802">
        <f>COUNTIF(P$2:P753, TRUE)/(COUNTIF(P$2:P753,FALSE) + COUNTIF(P$2:P753, TRUE))</f>
        <v>0.49335106382978722</v>
      </c>
      <c r="R753" s="844">
        <v>357352.57</v>
      </c>
      <c r="S753" s="800">
        <f t="shared" si="387"/>
        <v>42964.489999999991</v>
      </c>
      <c r="T753" s="800">
        <v>-37904</v>
      </c>
      <c r="U753" s="800">
        <f t="shared" si="381"/>
        <v>138221.06</v>
      </c>
      <c r="V753" s="802">
        <f>STDEV(D$2:D753)*SQRT(252)</f>
        <v>0.13750923270259074</v>
      </c>
      <c r="W753" s="802">
        <f>STDEV(L$2:L753)*SQRT(252)</f>
        <v>0.25827881749426812</v>
      </c>
      <c r="X753" s="801">
        <f t="shared" si="382"/>
        <v>0.70918948240740975</v>
      </c>
      <c r="Y753" s="801">
        <f t="shared" si="383"/>
        <v>0.40942371257375409</v>
      </c>
      <c r="Z753" s="807">
        <f t="shared" si="384"/>
        <v>2.601041270523774E-2</v>
      </c>
    </row>
    <row r="754" spans="1:26" ht="20.100000000000001" customHeight="1" x14ac:dyDescent="0.2">
      <c r="A754" s="776">
        <f t="shared" si="370"/>
        <v>1156</v>
      </c>
      <c r="B754" s="795">
        <v>43389</v>
      </c>
      <c r="C754" s="820">
        <v>2809.92</v>
      </c>
      <c r="D754" s="792">
        <f t="shared" si="371"/>
        <v>2.1495643069809077E-2</v>
      </c>
      <c r="E754" s="819">
        <f t="shared" si="372"/>
        <v>0.33650425220220315</v>
      </c>
      <c r="F754" s="816">
        <v>7645.48</v>
      </c>
      <c r="G754" s="792">
        <f t="shared" si="373"/>
        <v>2.8898871444835883E-2</v>
      </c>
      <c r="H754" s="797">
        <f t="shared" si="374"/>
        <v>0.50155743661252628</v>
      </c>
      <c r="I754" s="841">
        <v>406323.52</v>
      </c>
      <c r="J754" s="800">
        <v>300000</v>
      </c>
      <c r="K754" s="800">
        <f t="shared" si="375"/>
        <v>6006.460000000021</v>
      </c>
      <c r="L754" s="792">
        <f t="shared" si="376"/>
        <v>1.5004256875787459E-2</v>
      </c>
      <c r="M754" s="817">
        <f t="shared" si="377"/>
        <v>106323.52000000002</v>
      </c>
      <c r="N754" s="802">
        <f t="shared" si="378"/>
        <v>0.35441173333333342</v>
      </c>
      <c r="O754" s="786">
        <f t="shared" si="388"/>
        <v>0.11198000484429069</v>
      </c>
      <c r="P754" s="817" t="b">
        <f t="shared" si="380"/>
        <v>0</v>
      </c>
      <c r="Q754" s="802">
        <f>COUNTIF(P$2:P754, TRUE)/(COUNTIF(P$2:P754,FALSE) + COUNTIF(P$2:P754, TRUE))</f>
        <v>0.49269588313413015</v>
      </c>
      <c r="R754" s="844">
        <v>360682.34</v>
      </c>
      <c r="S754" s="800">
        <f t="shared" si="387"/>
        <v>45641.179999999993</v>
      </c>
      <c r="T754" s="800">
        <v>-37049</v>
      </c>
      <c r="U754" s="800">
        <f t="shared" si="381"/>
        <v>143372.52000000002</v>
      </c>
      <c r="V754" s="802">
        <f>STDEV(D$2:D754)*SQRT(252)</f>
        <v>0.13795943645893607</v>
      </c>
      <c r="W754" s="802">
        <f>STDEV(L$2:L754)*SQRT(252)</f>
        <v>0.25824128288061354</v>
      </c>
      <c r="X754" s="801">
        <f t="shared" si="382"/>
        <v>0.77067546894430505</v>
      </c>
      <c r="Y754" s="801">
        <f t="shared" si="383"/>
        <v>0.43362549781035475</v>
      </c>
      <c r="Z754" s="807">
        <f t="shared" si="384"/>
        <v>1.7907481131130276E-2</v>
      </c>
    </row>
    <row r="755" spans="1:26" ht="20.100000000000001" customHeight="1" x14ac:dyDescent="0.2">
      <c r="A755" s="776">
        <f t="shared" si="370"/>
        <v>1157</v>
      </c>
      <c r="B755" s="795">
        <v>43390</v>
      </c>
      <c r="C755" s="820">
        <v>2809.21</v>
      </c>
      <c r="D755" s="792">
        <f t="shared" si="371"/>
        <v>-2.5267623277532329E-4</v>
      </c>
      <c r="E755" s="819">
        <f t="shared" si="372"/>
        <v>0.33616654934266849</v>
      </c>
      <c r="F755" s="816">
        <v>7642.7</v>
      </c>
      <c r="G755" s="792">
        <f t="shared" si="373"/>
        <v>-3.6361353374801133E-4</v>
      </c>
      <c r="H755" s="797">
        <f t="shared" si="374"/>
        <v>0.50101145000687397</v>
      </c>
      <c r="I755" s="841">
        <v>404984.75</v>
      </c>
      <c r="J755" s="800">
        <v>300000</v>
      </c>
      <c r="K755" s="800">
        <f t="shared" si="375"/>
        <v>-1338.7700000000186</v>
      </c>
      <c r="L755" s="792">
        <f t="shared" si="376"/>
        <v>-3.2948375717950528E-3</v>
      </c>
      <c r="M755" s="817">
        <f t="shared" si="377"/>
        <v>104984.75</v>
      </c>
      <c r="N755" s="802">
        <f t="shared" si="378"/>
        <v>0.34994916666666664</v>
      </c>
      <c r="O755" s="786">
        <f t="shared" si="388"/>
        <v>0.1104744452247191</v>
      </c>
      <c r="P755" s="817" t="b">
        <f t="shared" si="380"/>
        <v>0</v>
      </c>
      <c r="Q755" s="802">
        <f>COUNTIF(P$2:P755, TRUE)/(COUNTIF(P$2:P755,FALSE) + COUNTIF(P$2:P755, TRUE))</f>
        <v>0.49204244031830241</v>
      </c>
      <c r="R755" s="844">
        <v>359343.5</v>
      </c>
      <c r="S755" s="800">
        <f t="shared" si="387"/>
        <v>45641.25</v>
      </c>
      <c r="T755" s="800">
        <v>-37299</v>
      </c>
      <c r="U755" s="800">
        <f t="shared" si="381"/>
        <v>142283.75</v>
      </c>
      <c r="V755" s="802">
        <f>STDEV(D$2:D755)*SQRT(252)</f>
        <v>0.13786823256243061</v>
      </c>
      <c r="W755" s="802">
        <f>STDEV(L$2:L755)*SQRT(252)</f>
        <v>0.25807950320983214</v>
      </c>
      <c r="X755" s="801">
        <f t="shared" si="382"/>
        <v>0.76974549145581883</v>
      </c>
      <c r="Y755" s="801">
        <f t="shared" si="383"/>
        <v>0.42806361547781496</v>
      </c>
      <c r="Z755" s="807">
        <f t="shared" si="384"/>
        <v>1.3782617323998159E-2</v>
      </c>
    </row>
    <row r="756" spans="1:26" ht="20.100000000000001" customHeight="1" x14ac:dyDescent="0.2">
      <c r="A756" s="776">
        <f t="shared" si="370"/>
        <v>1158</v>
      </c>
      <c r="B756" s="795">
        <v>43391</v>
      </c>
      <c r="C756" s="820">
        <v>2768.78</v>
      </c>
      <c r="D756" s="792">
        <f t="shared" si="371"/>
        <v>-1.4391946490294365E-2</v>
      </c>
      <c r="E756" s="819">
        <f t="shared" si="372"/>
        <v>0.31693651186240757</v>
      </c>
      <c r="F756" s="816">
        <v>7485.13</v>
      </c>
      <c r="G756" s="792">
        <f t="shared" si="373"/>
        <v>-2.0617059416174876E-2</v>
      </c>
      <c r="H756" s="797">
        <f t="shared" si="374"/>
        <v>0.47006500775772342</v>
      </c>
      <c r="I756" s="841">
        <v>398417.9</v>
      </c>
      <c r="J756" s="800">
        <v>300000</v>
      </c>
      <c r="K756" s="800">
        <f t="shared" si="375"/>
        <v>-6566.8499999999767</v>
      </c>
      <c r="L756" s="792">
        <f t="shared" si="376"/>
        <v>-1.6215055011330616E-2</v>
      </c>
      <c r="M756" s="817">
        <f t="shared" si="377"/>
        <v>98417.900000000023</v>
      </c>
      <c r="N756" s="802">
        <f t="shared" si="378"/>
        <v>0.32805966666666675</v>
      </c>
      <c r="O756" s="786">
        <f t="shared" si="388"/>
        <v>0.10347477828151989</v>
      </c>
      <c r="P756" s="817" t="b">
        <f t="shared" si="380"/>
        <v>0</v>
      </c>
      <c r="Q756" s="802">
        <f>COUNTIF(P$2:P756, TRUE)/(COUNTIF(P$2:P756,FALSE) + COUNTIF(P$2:P756, TRUE))</f>
        <v>0.49139072847682119</v>
      </c>
      <c r="R756" s="844">
        <v>360606.71999999997</v>
      </c>
      <c r="S756" s="800">
        <f t="shared" si="387"/>
        <v>37811.180000000051</v>
      </c>
      <c r="T756" s="800">
        <v>-39134</v>
      </c>
      <c r="U756" s="800">
        <f t="shared" si="381"/>
        <v>137551.90000000002</v>
      </c>
      <c r="V756" s="802">
        <f>STDEV(D$2:D756)*SQRT(252)</f>
        <v>0.13804259581395359</v>
      </c>
      <c r="W756" s="802">
        <f>STDEV(L$2:L756)*SQRT(252)</f>
        <v>0.25809172420010795</v>
      </c>
      <c r="X756" s="801">
        <f t="shared" si="382"/>
        <v>0.72417048733850098</v>
      </c>
      <c r="Y756" s="801">
        <f t="shared" si="383"/>
        <v>0.40092249607078495</v>
      </c>
      <c r="Z756" s="807">
        <f t="shared" si="384"/>
        <v>1.1123154804259183E-2</v>
      </c>
    </row>
    <row r="757" spans="1:26" ht="20.100000000000001" customHeight="1" x14ac:dyDescent="0.2">
      <c r="A757" s="776">
        <f t="shared" si="370"/>
        <v>1159</v>
      </c>
      <c r="B757" s="795">
        <v>43392</v>
      </c>
      <c r="C757" s="820">
        <v>2767.78</v>
      </c>
      <c r="D757" s="792">
        <f t="shared" si="371"/>
        <v>-3.6116990154508479E-4</v>
      </c>
      <c r="E757" s="819">
        <f t="shared" si="372"/>
        <v>0.31646087403207707</v>
      </c>
      <c r="F757" s="816">
        <v>7449.02</v>
      </c>
      <c r="G757" s="792">
        <f t="shared" si="373"/>
        <v>-4.8242315096731353E-3</v>
      </c>
      <c r="H757" s="797">
        <f t="shared" si="374"/>
        <v>0.46297307382603076</v>
      </c>
      <c r="I757" s="841">
        <v>401358.47</v>
      </c>
      <c r="J757" s="800">
        <v>300000</v>
      </c>
      <c r="K757" s="800">
        <f t="shared" si="375"/>
        <v>2940.5699999999488</v>
      </c>
      <c r="L757" s="792">
        <f t="shared" si="376"/>
        <v>7.3806171861252939E-3</v>
      </c>
      <c r="M757" s="817">
        <f t="shared" si="377"/>
        <v>101358.46999999997</v>
      </c>
      <c r="N757" s="802">
        <f t="shared" si="378"/>
        <v>0.33786156666666656</v>
      </c>
      <c r="O757" s="786">
        <f t="shared" si="388"/>
        <v>0.1064744928602243</v>
      </c>
      <c r="P757" s="817" t="b">
        <f t="shared" si="380"/>
        <v>1</v>
      </c>
      <c r="Q757" s="802">
        <f>COUNTIF(P$2:P757, TRUE)/(COUNTIF(P$2:P757,FALSE) + COUNTIF(P$2:P757, TRUE))</f>
        <v>0.49206349206349204</v>
      </c>
      <c r="R757" s="844">
        <v>363547.23</v>
      </c>
      <c r="S757" s="800">
        <f t="shared" si="387"/>
        <v>37811.239999999991</v>
      </c>
      <c r="T757" s="800">
        <v>-38624</v>
      </c>
      <c r="U757" s="800">
        <f t="shared" si="381"/>
        <v>139982.46999999997</v>
      </c>
      <c r="V757" s="802">
        <f>STDEV(D$2:D757)*SQRT(252)</f>
        <v>0.13795173166869251</v>
      </c>
      <c r="W757" s="802">
        <f>STDEV(L$2:L757)*SQRT(252)</f>
        <v>0.2579502579046023</v>
      </c>
      <c r="X757" s="801">
        <f t="shared" si="382"/>
        <v>0.72293567310446494</v>
      </c>
      <c r="Y757" s="801">
        <f t="shared" si="383"/>
        <v>0.41277141463297834</v>
      </c>
      <c r="Z757" s="807">
        <f t="shared" si="384"/>
        <v>2.1400692634589491E-2</v>
      </c>
    </row>
    <row r="758" spans="1:26" ht="20.100000000000001" customHeight="1" x14ac:dyDescent="0.2">
      <c r="A758" s="776">
        <f t="shared" si="370"/>
        <v>1162</v>
      </c>
      <c r="B758" s="795">
        <v>43395</v>
      </c>
      <c r="C758" s="820">
        <v>2755.88</v>
      </c>
      <c r="D758" s="792">
        <f t="shared" si="371"/>
        <v>-4.2994746692295235E-3</v>
      </c>
      <c r="E758" s="819">
        <f t="shared" si="372"/>
        <v>0.3108007838511444</v>
      </c>
      <c r="F758" s="816">
        <v>7468.62</v>
      </c>
      <c r="G758" s="792">
        <f t="shared" si="373"/>
        <v>2.6312186032524348E-3</v>
      </c>
      <c r="H758" s="797">
        <f t="shared" si="374"/>
        <v>0.46682247579393921</v>
      </c>
      <c r="I758" s="841">
        <v>397031.87</v>
      </c>
      <c r="J758" s="800">
        <v>300000</v>
      </c>
      <c r="K758" s="800">
        <f t="shared" si="375"/>
        <v>-4326.5999999999767</v>
      </c>
      <c r="L758" s="792">
        <f t="shared" si="376"/>
        <v>-1.0779889608409103E-2</v>
      </c>
      <c r="M758" s="817">
        <f t="shared" si="377"/>
        <v>97031.87</v>
      </c>
      <c r="N758" s="802">
        <f t="shared" si="378"/>
        <v>0.32343956666666668</v>
      </c>
      <c r="O758" s="786">
        <f t="shared" si="388"/>
        <v>0.10166635260327024</v>
      </c>
      <c r="P758" s="817" t="b">
        <f t="shared" si="380"/>
        <v>0</v>
      </c>
      <c r="Q758" s="802">
        <f>COUNTIF(P$2:P758, TRUE)/(COUNTIF(P$2:P758,FALSE) + COUNTIF(P$2:P758, TRUE))</f>
        <v>0.4914134742404227</v>
      </c>
      <c r="R758" s="844">
        <v>359220.63</v>
      </c>
      <c r="S758" s="800">
        <f t="shared" si="387"/>
        <v>37811.239999999991</v>
      </c>
      <c r="T758" s="800">
        <v>-39569</v>
      </c>
      <c r="U758" s="800">
        <f t="shared" si="381"/>
        <v>136600.87</v>
      </c>
      <c r="V758" s="802">
        <f>STDEV(D$2:D758)*SQRT(252)</f>
        <v>0.13788706222905875</v>
      </c>
      <c r="W758" s="802">
        <f>STDEV(L$2:L758)*SQRT(252)</f>
        <v>0.25786323561379038</v>
      </c>
      <c r="X758" s="801">
        <f t="shared" si="382"/>
        <v>0.70850461458546476</v>
      </c>
      <c r="Y758" s="801">
        <f t="shared" si="383"/>
        <v>0.3942646277639168</v>
      </c>
      <c r="Z758" s="807">
        <f t="shared" si="384"/>
        <v>1.2638782815522276E-2</v>
      </c>
    </row>
    <row r="759" spans="1:26" ht="20.100000000000001" customHeight="1" x14ac:dyDescent="0.2">
      <c r="A759" s="776">
        <f t="shared" si="370"/>
        <v>1163</v>
      </c>
      <c r="B759" s="795">
        <v>43396</v>
      </c>
      <c r="C759" s="820">
        <v>2740.69</v>
      </c>
      <c r="D759" s="792">
        <f t="shared" si="371"/>
        <v>-5.5118510239923557E-3</v>
      </c>
      <c r="E759" s="819">
        <f t="shared" si="372"/>
        <v>0.30357584520842451</v>
      </c>
      <c r="F759" s="816">
        <v>7437.53</v>
      </c>
      <c r="G759" s="792">
        <f t="shared" si="373"/>
        <v>-4.1627502805069942E-3</v>
      </c>
      <c r="H759" s="797">
        <f t="shared" si="374"/>
        <v>0.46071646012137402</v>
      </c>
      <c r="I759" s="841">
        <v>395838.43</v>
      </c>
      <c r="J759" s="800">
        <v>300000</v>
      </c>
      <c r="K759" s="800">
        <f t="shared" si="375"/>
        <v>-1193.4400000000023</v>
      </c>
      <c r="L759" s="792">
        <f t="shared" si="376"/>
        <v>-3.0059047904643079E-3</v>
      </c>
      <c r="M759" s="817">
        <f t="shared" si="377"/>
        <v>95838.43</v>
      </c>
      <c r="N759" s="802">
        <f t="shared" si="378"/>
        <v>0.31946143333333332</v>
      </c>
      <c r="O759" s="786">
        <f t="shared" si="388"/>
        <v>0.10032956880911435</v>
      </c>
      <c r="P759" s="817" t="b">
        <f t="shared" si="380"/>
        <v>1</v>
      </c>
      <c r="Q759" s="802">
        <f>COUNTIF(P$2:P759, TRUE)/(COUNTIF(P$2:P759,FALSE) + COUNTIF(P$2:P759, TRUE))</f>
        <v>0.4920844327176781</v>
      </c>
      <c r="R759" s="844">
        <v>373075.01</v>
      </c>
      <c r="S759" s="800">
        <f t="shared" si="387"/>
        <v>22763.419999999984</v>
      </c>
      <c r="T759" s="800">
        <v>-39404</v>
      </c>
      <c r="U759" s="800">
        <f t="shared" si="381"/>
        <v>135242.43</v>
      </c>
      <c r="V759" s="802">
        <f>STDEV(D$2:D759)*SQRT(252)</f>
        <v>0.13783798661094573</v>
      </c>
      <c r="W759" s="802">
        <f>STDEV(L$2:L759)*SQRT(252)</f>
        <v>0.25770100934758433</v>
      </c>
      <c r="X759" s="801">
        <f t="shared" si="382"/>
        <v>0.6916857076923989</v>
      </c>
      <c r="Y759" s="801">
        <f t="shared" si="383"/>
        <v>0.38932547863555672</v>
      </c>
      <c r="Z759" s="807">
        <f t="shared" si="384"/>
        <v>1.5885588124908812E-2</v>
      </c>
    </row>
    <row r="760" spans="1:26" ht="20.100000000000001" customHeight="1" x14ac:dyDescent="0.2">
      <c r="A760" s="776">
        <f t="shared" si="370"/>
        <v>1164</v>
      </c>
      <c r="B760" s="795">
        <v>43397</v>
      </c>
      <c r="C760" s="820">
        <v>2656.1</v>
      </c>
      <c r="D760" s="792">
        <f t="shared" si="371"/>
        <v>-3.0864490329077766E-2</v>
      </c>
      <c r="E760" s="819">
        <f t="shared" si="372"/>
        <v>0.26334164114076969</v>
      </c>
      <c r="F760" s="816">
        <v>7108.4</v>
      </c>
      <c r="G760" s="792">
        <f t="shared" si="373"/>
        <v>-4.4252594611383096E-2</v>
      </c>
      <c r="H760" s="797">
        <f t="shared" si="374"/>
        <v>0.39607596676944828</v>
      </c>
      <c r="I760" s="841">
        <v>381951.73</v>
      </c>
      <c r="J760" s="800">
        <v>300000</v>
      </c>
      <c r="K760" s="800">
        <f t="shared" si="375"/>
        <v>-13886.700000000012</v>
      </c>
      <c r="L760" s="792">
        <f t="shared" si="376"/>
        <v>-3.5081737768614361E-2</v>
      </c>
      <c r="M760" s="817">
        <f t="shared" si="377"/>
        <v>81951.729999999981</v>
      </c>
      <c r="N760" s="802">
        <f t="shared" si="378"/>
        <v>0.2731724333333333</v>
      </c>
      <c r="O760" s="786">
        <f t="shared" si="388"/>
        <v>8.5718411748281778E-2</v>
      </c>
      <c r="P760" s="817" t="b">
        <f t="shared" si="380"/>
        <v>0</v>
      </c>
      <c r="Q760" s="802">
        <f>COUNTIF(P$2:P760, TRUE)/(COUNTIF(P$2:P760,FALSE) + COUNTIF(P$2:P760, TRUE))</f>
        <v>0.49143610013175232</v>
      </c>
      <c r="R760" s="844">
        <v>369043.4</v>
      </c>
      <c r="S760" s="800">
        <f t="shared" si="387"/>
        <v>12908.329999999958</v>
      </c>
      <c r="T760" s="800">
        <v>-40139</v>
      </c>
      <c r="U760" s="800">
        <f t="shared" si="381"/>
        <v>122090.72999999998</v>
      </c>
      <c r="V760" s="802">
        <f>STDEV(D$2:D760)*SQRT(252)</f>
        <v>0.13892057070548908</v>
      </c>
      <c r="W760" s="802">
        <f>STDEV(L$2:L760)*SQRT(252)</f>
        <v>0.25835077818336272</v>
      </c>
      <c r="X760" s="801">
        <f t="shared" si="382"/>
        <v>0.59482638331977933</v>
      </c>
      <c r="Y760" s="801">
        <f t="shared" si="383"/>
        <v>0.33179080144842343</v>
      </c>
      <c r="Z760" s="807">
        <f t="shared" si="384"/>
        <v>9.8307921925636088E-3</v>
      </c>
    </row>
    <row r="761" spans="1:26" ht="20.100000000000001" customHeight="1" x14ac:dyDescent="0.2">
      <c r="A761" s="776">
        <f t="shared" si="370"/>
        <v>1165</v>
      </c>
      <c r="B761" s="795">
        <v>43398</v>
      </c>
      <c r="C761" s="820">
        <v>2705.57</v>
      </c>
      <c r="D761" s="792">
        <f t="shared" si="371"/>
        <v>1.8625051767629328E-2</v>
      </c>
      <c r="E761" s="819">
        <f t="shared" si="372"/>
        <v>0.28687144460721831</v>
      </c>
      <c r="F761" s="816">
        <v>7318.33</v>
      </c>
      <c r="G761" s="792">
        <f t="shared" si="373"/>
        <v>2.9532665578751942E-2</v>
      </c>
      <c r="H761" s="797">
        <f t="shared" si="374"/>
        <v>0.43730581141858321</v>
      </c>
      <c r="I761" s="841">
        <v>387671.37</v>
      </c>
      <c r="J761" s="800">
        <v>300000</v>
      </c>
      <c r="K761" s="800">
        <f t="shared" si="375"/>
        <v>5719.640000000014</v>
      </c>
      <c r="L761" s="792">
        <f t="shared" si="376"/>
        <v>1.4974771812134519E-2</v>
      </c>
      <c r="M761" s="817">
        <f t="shared" si="377"/>
        <v>87671.37</v>
      </c>
      <c r="N761" s="802">
        <f t="shared" si="378"/>
        <v>0.29223789999999999</v>
      </c>
      <c r="O761" s="786">
        <f t="shared" si="388"/>
        <v>9.1622225729613732E-2</v>
      </c>
      <c r="P761" s="817" t="b">
        <f t="shared" si="380"/>
        <v>0</v>
      </c>
      <c r="Q761" s="802">
        <f>COUNTIF(P$2:P761, TRUE)/(COUNTIF(P$2:P761,FALSE) + COUNTIF(P$2:P761, TRUE))</f>
        <v>0.49078947368421055</v>
      </c>
      <c r="R761" s="844">
        <v>374715.12</v>
      </c>
      <c r="S761" s="800">
        <f t="shared" si="387"/>
        <v>12956.25</v>
      </c>
      <c r="T761" s="800">
        <v>-39449</v>
      </c>
      <c r="U761" s="800">
        <f t="shared" si="381"/>
        <v>127120.37</v>
      </c>
      <c r="V761" s="802">
        <f>STDEV(D$2:D761)*SQRT(252)</f>
        <v>0.13922783596607022</v>
      </c>
      <c r="W761" s="802">
        <f>STDEV(L$2:L761)*SQRT(252)</f>
        <v>0.25831418937183692</v>
      </c>
      <c r="X761" s="801">
        <f t="shared" si="382"/>
        <v>0.64598963056429815</v>
      </c>
      <c r="Y761" s="801">
        <f t="shared" si="383"/>
        <v>0.35469296499901443</v>
      </c>
      <c r="Z761" s="807">
        <f t="shared" si="384"/>
        <v>5.3664553927816883E-3</v>
      </c>
    </row>
    <row r="762" spans="1:26" ht="20.100000000000001" customHeight="1" x14ac:dyDescent="0.2">
      <c r="A762" s="776">
        <f t="shared" si="370"/>
        <v>1166</v>
      </c>
      <c r="B762" s="795">
        <v>43399</v>
      </c>
      <c r="C762" s="820">
        <v>2658.69</v>
      </c>
      <c r="D762" s="792">
        <f t="shared" si="371"/>
        <v>-1.7327217554896052E-2</v>
      </c>
      <c r="E762" s="819">
        <f t="shared" si="372"/>
        <v>0.26457354312132569</v>
      </c>
      <c r="F762" s="816">
        <v>7167.21</v>
      </c>
      <c r="G762" s="792">
        <f t="shared" si="373"/>
        <v>-2.0649519767487922E-2</v>
      </c>
      <c r="H762" s="797">
        <f t="shared" si="374"/>
        <v>0.4076261366537699</v>
      </c>
      <c r="I762" s="841">
        <v>386488.67</v>
      </c>
      <c r="J762" s="800">
        <v>305000</v>
      </c>
      <c r="K762" s="800">
        <f t="shared" si="375"/>
        <v>-6182.7000000000116</v>
      </c>
      <c r="L762" s="792">
        <f t="shared" si="376"/>
        <v>-1.5948301779416963E-2</v>
      </c>
      <c r="M762" s="817">
        <f t="shared" si="377"/>
        <v>81488.669999999984</v>
      </c>
      <c r="N762" s="802">
        <f t="shared" si="378"/>
        <v>0.26717596721311471</v>
      </c>
      <c r="O762" s="786">
        <f t="shared" si="388"/>
        <v>8.3692986298962393E-2</v>
      </c>
      <c r="P762" s="817" t="b">
        <f t="shared" si="380"/>
        <v>1</v>
      </c>
      <c r="Q762" s="802">
        <f>COUNTIF(P$2:P762, TRUE)/(COUNTIF(P$2:P762,FALSE) + COUNTIF(P$2:P762, TRUE))</f>
        <v>0.49145860709592643</v>
      </c>
      <c r="R762" s="844">
        <v>368443.97</v>
      </c>
      <c r="S762" s="800">
        <f t="shared" si="387"/>
        <v>18044.700000000012</v>
      </c>
      <c r="T762" s="800">
        <v>-40604</v>
      </c>
      <c r="U762" s="800">
        <f t="shared" si="381"/>
        <v>122092.66999999998</v>
      </c>
      <c r="V762" s="802">
        <f>STDEV(D$2:D762)*SQRT(252)</f>
        <v>0.13950880979423808</v>
      </c>
      <c r="W762" s="802">
        <f>STDEV(L$2:L762)*SQRT(252)</f>
        <v>0.25831897595423781</v>
      </c>
      <c r="X762" s="801">
        <f t="shared" si="382"/>
        <v>0.59406840298102914</v>
      </c>
      <c r="Y762" s="801">
        <f t="shared" si="383"/>
        <v>0.32399085661360366</v>
      </c>
      <c r="Z762" s="807">
        <f t="shared" si="384"/>
        <v>2.6024240917890129E-3</v>
      </c>
    </row>
    <row r="763" spans="1:26" ht="20.100000000000001" customHeight="1" x14ac:dyDescent="0.2">
      <c r="A763" s="776">
        <f t="shared" si="370"/>
        <v>1167</v>
      </c>
      <c r="B763" s="795">
        <v>43400</v>
      </c>
      <c r="C763" s="820">
        <v>2641.25</v>
      </c>
      <c r="D763" s="792">
        <f t="shared" si="371"/>
        <v>-6.5596214677153238E-3</v>
      </c>
      <c r="E763" s="819">
        <f t="shared" si="372"/>
        <v>0.25627841936036222</v>
      </c>
      <c r="F763" s="816">
        <v>7050.09</v>
      </c>
      <c r="G763" s="792">
        <f t="shared" si="373"/>
        <v>-1.6341086699008387E-2</v>
      </c>
      <c r="H763" s="797">
        <f t="shared" si="374"/>
        <v>0.38462399591492041</v>
      </c>
      <c r="I763" s="841">
        <v>380872.48</v>
      </c>
      <c r="J763" s="800">
        <v>300000</v>
      </c>
      <c r="K763" s="800">
        <f t="shared" si="375"/>
        <v>-616.19000000000233</v>
      </c>
      <c r="L763" s="792">
        <f t="shared" si="376"/>
        <v>-1.5943287548377612E-3</v>
      </c>
      <c r="M763" s="817">
        <f t="shared" si="377"/>
        <v>80872.479999999981</v>
      </c>
      <c r="N763" s="802">
        <f t="shared" si="378"/>
        <v>0.26957493333333327</v>
      </c>
      <c r="O763" s="786">
        <f t="shared" si="388"/>
        <v>8.4372103170522683E-2</v>
      </c>
      <c r="P763" s="817" t="b">
        <f t="shared" si="380"/>
        <v>1</v>
      </c>
      <c r="Q763" s="802">
        <f>COUNTIF(P$2:P763, TRUE)/(COUNTIF(P$2:P763,FALSE) + COUNTIF(P$2:P763, TRUE))</f>
        <v>0.49212598425196852</v>
      </c>
      <c r="R763" s="844">
        <v>352706.52</v>
      </c>
      <c r="S763" s="800">
        <f t="shared" si="387"/>
        <v>28165.959999999963</v>
      </c>
      <c r="T763" s="800">
        <v>-40949</v>
      </c>
      <c r="U763" s="800">
        <f t="shared" si="381"/>
        <v>121821.47999999998</v>
      </c>
      <c r="V763" s="802">
        <f>STDEV(D$2:D763)*SQRT(252)</f>
        <v>0.13947364456120845</v>
      </c>
      <c r="W763" s="802">
        <f>STDEV(L$2:L763)*SQRT(252)</f>
        <v>0.2581518960532464</v>
      </c>
      <c r="X763" s="801">
        <f t="shared" si="382"/>
        <v>0.57509455509116691</v>
      </c>
      <c r="Y763" s="801">
        <f t="shared" si="383"/>
        <v>0.32683123564244554</v>
      </c>
      <c r="Z763" s="807">
        <f t="shared" si="384"/>
        <v>1.3296513972971047E-2</v>
      </c>
    </row>
    <row r="764" spans="1:26" ht="20.100000000000001" customHeight="1" x14ac:dyDescent="0.2">
      <c r="A764" s="776">
        <f t="shared" si="370"/>
        <v>1170</v>
      </c>
      <c r="B764" s="795">
        <v>43403</v>
      </c>
      <c r="C764" s="820">
        <v>2682.63</v>
      </c>
      <c r="D764" s="792">
        <f t="shared" si="371"/>
        <v>1.56668244202556E-2</v>
      </c>
      <c r="E764" s="819">
        <f t="shared" si="372"/>
        <v>0.27596031277943722</v>
      </c>
      <c r="F764" s="816">
        <v>7161.65</v>
      </c>
      <c r="G764" s="792">
        <f t="shared" si="373"/>
        <v>1.5823911467796794E-2</v>
      </c>
      <c r="H764" s="797">
        <f t="shared" si="374"/>
        <v>0.40653416344246518</v>
      </c>
      <c r="I764" s="841">
        <v>390321.89</v>
      </c>
      <c r="J764" s="800">
        <v>300000</v>
      </c>
      <c r="K764" s="800">
        <f t="shared" si="375"/>
        <v>9449.4100000000326</v>
      </c>
      <c r="L764" s="792">
        <f t="shared" si="376"/>
        <v>2.4809904879449503E-2</v>
      </c>
      <c r="M764" s="817">
        <f t="shared" si="377"/>
        <v>90321.890000000014</v>
      </c>
      <c r="N764" s="802">
        <f t="shared" si="378"/>
        <v>0.30107296666666672</v>
      </c>
      <c r="O764" s="786">
        <f t="shared" si="388"/>
        <v>9.3988804337606854E-2</v>
      </c>
      <c r="P764" s="817" t="b">
        <f t="shared" si="380"/>
        <v>1</v>
      </c>
      <c r="Q764" s="802">
        <f>COUNTIF(P$2:P764, TRUE)/(COUNTIF(P$2:P764,FALSE) + COUNTIF(P$2:P764, TRUE))</f>
        <v>0.49279161205766708</v>
      </c>
      <c r="R764" s="844">
        <v>356114.53</v>
      </c>
      <c r="S764" s="800">
        <f t="shared" si="387"/>
        <v>34207.359999999986</v>
      </c>
      <c r="T764" s="800">
        <v>-40109</v>
      </c>
      <c r="U764" s="800">
        <f t="shared" si="381"/>
        <v>130430.89000000001</v>
      </c>
      <c r="V764" s="802">
        <f>STDEV(D$2:D764)*SQRT(252)</f>
        <v>0.13966043960093341</v>
      </c>
      <c r="W764" s="802">
        <f>STDEV(L$2:L764)*SQRT(252)</f>
        <v>0.25835956536901572</v>
      </c>
      <c r="X764" s="801">
        <f t="shared" si="382"/>
        <v>0.61684718429598739</v>
      </c>
      <c r="Y764" s="801">
        <f t="shared" si="383"/>
        <v>0.36379068916361729</v>
      </c>
      <c r="Z764" s="807">
        <f t="shared" si="384"/>
        <v>2.5112653887229497E-2</v>
      </c>
    </row>
    <row r="765" spans="1:26" ht="20.100000000000001" customHeight="1" x14ac:dyDescent="0.2">
      <c r="A765" s="776">
        <f t="shared" si="370"/>
        <v>1171</v>
      </c>
      <c r="B765" s="795">
        <v>43404</v>
      </c>
      <c r="C765" s="820">
        <v>2711.74</v>
      </c>
      <c r="D765" s="792">
        <f t="shared" si="371"/>
        <v>1.0851291456518294E-2</v>
      </c>
      <c r="E765" s="819">
        <f t="shared" si="372"/>
        <v>0.28980613002035716</v>
      </c>
      <c r="F765" s="816">
        <v>7305.89</v>
      </c>
      <c r="G765" s="792">
        <f t="shared" si="373"/>
        <v>2.0140610054945537E-2</v>
      </c>
      <c r="H765" s="797">
        <f t="shared" si="374"/>
        <v>0.43486261955731886</v>
      </c>
      <c r="I765" s="845">
        <v>392394.69</v>
      </c>
      <c r="J765" s="800">
        <v>300000</v>
      </c>
      <c r="K765" s="800">
        <f t="shared" si="375"/>
        <v>2072.7999999999884</v>
      </c>
      <c r="L765" s="792">
        <f t="shared" si="376"/>
        <v>5.310488735335823E-3</v>
      </c>
      <c r="M765" s="823">
        <f t="shared" si="377"/>
        <v>92394.69</v>
      </c>
      <c r="N765" s="802">
        <f t="shared" si="378"/>
        <v>0.30798229999999999</v>
      </c>
      <c r="O765" s="786">
        <f t="shared" si="388"/>
        <v>9.6063650789923141E-2</v>
      </c>
      <c r="P765" s="817" t="b">
        <f t="shared" si="380"/>
        <v>0</v>
      </c>
      <c r="Q765" s="802">
        <f>COUNTIF(P$2:P765, TRUE)/(COUNTIF(P$2:P765,FALSE) + COUNTIF(P$2:P765, TRUE))</f>
        <v>0.49214659685863876</v>
      </c>
      <c r="R765" s="844">
        <v>352107.55</v>
      </c>
      <c r="S765" s="846">
        <f t="shared" si="387"/>
        <v>40287.140000000014</v>
      </c>
      <c r="T765" s="800">
        <v>-40229</v>
      </c>
      <c r="U765" s="800">
        <f t="shared" si="381"/>
        <v>132623.69</v>
      </c>
      <c r="V765" s="802">
        <f>STDEV(D$2:D765)*SQRT(252)</f>
        <v>0.13969897542483761</v>
      </c>
      <c r="W765" s="802">
        <f>STDEV(L$2:L765)*SQRT(252)</f>
        <v>0.25820435870061342</v>
      </c>
      <c r="X765" s="801">
        <f t="shared" si="382"/>
        <v>0.64706465253135703</v>
      </c>
      <c r="Y765" s="801">
        <f t="shared" si="383"/>
        <v>0.37204503933765282</v>
      </c>
      <c r="Z765" s="807">
        <f t="shared" si="384"/>
        <v>1.8176169979642831E-2</v>
      </c>
    </row>
    <row r="766" spans="1:26" ht="20.100000000000001" customHeight="1" x14ac:dyDescent="0.2">
      <c r="A766" s="776">
        <f t="shared" si="370"/>
        <v>1172</v>
      </c>
      <c r="B766" s="795">
        <v>43405</v>
      </c>
      <c r="C766" s="820">
        <v>2740.37</v>
      </c>
      <c r="D766" s="792">
        <f t="shared" si="371"/>
        <v>1.0557796838930027E-2</v>
      </c>
      <c r="E766" s="819">
        <f t="shared" si="372"/>
        <v>0.30342364110271863</v>
      </c>
      <c r="F766" s="816">
        <v>7434.05</v>
      </c>
      <c r="G766" s="792">
        <f t="shared" si="373"/>
        <v>1.754201062430448E-2</v>
      </c>
      <c r="H766" s="797">
        <f t="shared" si="374"/>
        <v>0.46003299487401073</v>
      </c>
      <c r="I766" s="841">
        <v>401445.79</v>
      </c>
      <c r="J766" s="800">
        <v>300000</v>
      </c>
      <c r="K766" s="800">
        <f t="shared" si="375"/>
        <v>9051.0999999999767</v>
      </c>
      <c r="L766" s="792">
        <f t="shared" si="376"/>
        <v>2.306631621340232E-2</v>
      </c>
      <c r="M766" s="817">
        <f t="shared" si="377"/>
        <v>101445.78999999998</v>
      </c>
      <c r="N766" s="802">
        <f t="shared" si="378"/>
        <v>0.33815263333333329</v>
      </c>
      <c r="O766" s="786">
        <f t="shared" si="388"/>
        <v>0.10538417177901023</v>
      </c>
      <c r="P766" s="817" t="b">
        <f t="shared" si="380"/>
        <v>1</v>
      </c>
      <c r="Q766" s="802">
        <f>COUNTIF(P$2:P766, TRUE)/(COUNTIF(P$2:P766,FALSE) + COUNTIF(P$2:P766, TRUE))</f>
        <v>0.49281045751633989</v>
      </c>
      <c r="R766" s="844">
        <v>351624.4</v>
      </c>
      <c r="S766" s="846">
        <f t="shared" si="387"/>
        <v>49821.389999999956</v>
      </c>
      <c r="T766" s="800">
        <v>-39224</v>
      </c>
      <c r="U766" s="800">
        <f t="shared" si="381"/>
        <v>140669.78999999998</v>
      </c>
      <c r="V766" s="802">
        <f>STDEV(D$2:D766)*SQRT(252)</f>
        <v>0.13972990133605417</v>
      </c>
      <c r="W766" s="802">
        <f>STDEV(L$2:L766)*SQRT(252)</f>
        <v>0.2583581958790987</v>
      </c>
      <c r="X766" s="801">
        <f t="shared" si="382"/>
        <v>0.67674129194045574</v>
      </c>
      <c r="Y766" s="801">
        <f t="shared" si="383"/>
        <v>0.40789947236017166</v>
      </c>
      <c r="Z766" s="807">
        <f t="shared" si="384"/>
        <v>3.4728992230614653E-2</v>
      </c>
    </row>
    <row r="767" spans="1:26" ht="20.100000000000001" customHeight="1" x14ac:dyDescent="0.2">
      <c r="A767" s="776">
        <f t="shared" si="370"/>
        <v>1173</v>
      </c>
      <c r="B767" s="795">
        <v>43406</v>
      </c>
      <c r="C767" s="820">
        <v>2723.06</v>
      </c>
      <c r="D767" s="792">
        <f t="shared" si="371"/>
        <v>-6.3166652678287773E-3</v>
      </c>
      <c r="E767" s="819">
        <f t="shared" si="372"/>
        <v>0.2951903502596982</v>
      </c>
      <c r="F767" s="816">
        <v>7356.99</v>
      </c>
      <c r="G767" s="792">
        <f t="shared" si="373"/>
        <v>-1.0365816748609492E-2</v>
      </c>
      <c r="H767" s="797">
        <f t="shared" si="374"/>
        <v>0.44489856040222325</v>
      </c>
      <c r="I767" s="841">
        <v>400476</v>
      </c>
      <c r="J767" s="800">
        <v>300000</v>
      </c>
      <c r="K767" s="800">
        <f t="shared" si="375"/>
        <v>-969.78999999997905</v>
      </c>
      <c r="L767" s="792">
        <f t="shared" si="376"/>
        <v>-2.4157433560331497E-3</v>
      </c>
      <c r="M767" s="817">
        <f t="shared" si="377"/>
        <v>100476</v>
      </c>
      <c r="N767" s="802">
        <f t="shared" si="378"/>
        <v>0.33492</v>
      </c>
      <c r="O767" s="786">
        <f t="shared" si="388"/>
        <v>0.10428774936061382</v>
      </c>
      <c r="P767" s="817" t="b">
        <f t="shared" si="380"/>
        <v>1</v>
      </c>
      <c r="Q767" s="802">
        <f>COUNTIF(P$2:P767, TRUE)/(COUNTIF(P$2:P767,FALSE) + COUNTIF(P$2:P767, TRUE))</f>
        <v>0.49347258485639689</v>
      </c>
      <c r="R767" s="844">
        <v>350654.6</v>
      </c>
      <c r="S767" s="846">
        <f t="shared" si="387"/>
        <v>49821.400000000023</v>
      </c>
      <c r="T767" s="800">
        <v>-35564</v>
      </c>
      <c r="U767" s="800">
        <f t="shared" si="381"/>
        <v>136040</v>
      </c>
      <c r="V767" s="802">
        <f>STDEV(D$2:D767)*SQRT(252)</f>
        <v>0.13969139995219287</v>
      </c>
      <c r="W767" s="802">
        <f>STDEV(L$2:L767)*SQRT(252)</f>
        <v>0.25819487917742606</v>
      </c>
      <c r="X767" s="801">
        <f t="shared" si="382"/>
        <v>0.65799819015047123</v>
      </c>
      <c r="Y767" s="801">
        <f t="shared" si="383"/>
        <v>0.40391099038393197</v>
      </c>
      <c r="Z767" s="807">
        <f t="shared" si="384"/>
        <v>3.9729649740301798E-2</v>
      </c>
    </row>
    <row r="768" spans="1:26" ht="20.100000000000001" customHeight="1" x14ac:dyDescent="0.2">
      <c r="A768" s="776">
        <f t="shared" si="370"/>
        <v>1176</v>
      </c>
      <c r="B768" s="795">
        <v>43409</v>
      </c>
      <c r="C768" s="820">
        <v>2738.31</v>
      </c>
      <c r="D768" s="792">
        <f t="shared" si="371"/>
        <v>5.6003172901074524E-3</v>
      </c>
      <c r="E768" s="819">
        <f t="shared" si="372"/>
        <v>0.30244382717223789</v>
      </c>
      <c r="F768" s="816">
        <v>7328.85</v>
      </c>
      <c r="G768" s="792">
        <f t="shared" si="373"/>
        <v>-3.824933838431127E-3</v>
      </c>
      <c r="H768" s="797">
        <f t="shared" si="374"/>
        <v>0.43937191900544037</v>
      </c>
      <c r="I768" s="841">
        <v>405572.13</v>
      </c>
      <c r="J768" s="800">
        <v>300000</v>
      </c>
      <c r="K768" s="800">
        <f t="shared" si="375"/>
        <v>5096.1300000000047</v>
      </c>
      <c r="L768" s="792">
        <f t="shared" si="376"/>
        <v>1.272518203338029E-2</v>
      </c>
      <c r="M768" s="817">
        <f t="shared" si="377"/>
        <v>105572.13</v>
      </c>
      <c r="N768" s="802">
        <f t="shared" si="378"/>
        <v>0.35190710000000003</v>
      </c>
      <c r="O768" s="786">
        <f t="shared" si="388"/>
        <v>0.10929767710459184</v>
      </c>
      <c r="P768" s="817" t="b">
        <f t="shared" si="380"/>
        <v>1</v>
      </c>
      <c r="Q768" s="802">
        <f>COUNTIF(P$2:P768, TRUE)/(COUNTIF(P$2:P768,FALSE) + COUNTIF(P$2:P768, TRUE))</f>
        <v>0.49413298565840941</v>
      </c>
      <c r="R768" s="844">
        <v>348434.83</v>
      </c>
      <c r="S768" s="846">
        <f t="shared" si="387"/>
        <v>57137.299999999988</v>
      </c>
      <c r="T768" s="800">
        <v>-34094</v>
      </c>
      <c r="U768" s="800">
        <f t="shared" si="381"/>
        <v>139666.13</v>
      </c>
      <c r="V768" s="802">
        <f>STDEV(D$2:D768)*SQRT(252)</f>
        <v>0.13963221400780843</v>
      </c>
      <c r="W768" s="802">
        <f>STDEV(L$2:L768)*SQRT(252)</f>
        <v>0.25811975955253785</v>
      </c>
      <c r="X768" s="801">
        <f t="shared" si="382"/>
        <v>0.67273187191955452</v>
      </c>
      <c r="Y768" s="801">
        <f t="shared" si="383"/>
        <v>0.42343785417305618</v>
      </c>
      <c r="Z768" s="807">
        <f t="shared" si="384"/>
        <v>4.9463272827762139E-2</v>
      </c>
    </row>
    <row r="769" spans="1:26" ht="20.100000000000001" customHeight="1" x14ac:dyDescent="0.2">
      <c r="A769" s="776">
        <f t="shared" si="370"/>
        <v>1177</v>
      </c>
      <c r="B769" s="795">
        <v>43410</v>
      </c>
      <c r="C769" s="820">
        <v>2755.45</v>
      </c>
      <c r="D769" s="792">
        <f t="shared" si="371"/>
        <v>6.2593351373657008E-3</v>
      </c>
      <c r="E769" s="819">
        <f t="shared" si="372"/>
        <v>0.31059625958410214</v>
      </c>
      <c r="F769" s="816">
        <v>7375.96</v>
      </c>
      <c r="G769" s="792">
        <f t="shared" si="373"/>
        <v>6.4280207672417463E-3</v>
      </c>
      <c r="H769" s="797">
        <f t="shared" si="374"/>
        <v>0.4486242315925919</v>
      </c>
      <c r="I769" s="841">
        <v>410029.68</v>
      </c>
      <c r="J769" s="800">
        <v>300000</v>
      </c>
      <c r="K769" s="800">
        <f t="shared" si="375"/>
        <v>4457.5499999999884</v>
      </c>
      <c r="L769" s="792">
        <f t="shared" si="376"/>
        <v>1.0990770001873621E-2</v>
      </c>
      <c r="M769" s="817">
        <f t="shared" si="377"/>
        <v>110029.68</v>
      </c>
      <c r="N769" s="802">
        <f t="shared" si="378"/>
        <v>0.36676559999999997</v>
      </c>
      <c r="O769" s="786">
        <f t="shared" si="388"/>
        <v>0.11381574800339846</v>
      </c>
      <c r="P769" s="817" t="b">
        <f t="shared" si="380"/>
        <v>1</v>
      </c>
      <c r="Q769" s="802">
        <f>COUNTIF(P$2:P769, TRUE)/(COUNTIF(P$2:P769,FALSE) + COUNTIF(P$2:P769, TRUE))</f>
        <v>0.49479166666666669</v>
      </c>
      <c r="R769" s="844">
        <v>349807.43</v>
      </c>
      <c r="S769" s="846">
        <f t="shared" si="387"/>
        <v>60222.25</v>
      </c>
      <c r="T769" s="800">
        <v>-34178</v>
      </c>
      <c r="U769" s="800">
        <f t="shared" si="381"/>
        <v>144207.67999999999</v>
      </c>
      <c r="V769" s="802">
        <f>STDEV(D$2:D769)*SQRT(252)</f>
        <v>0.13958167740728689</v>
      </c>
      <c r="W769" s="802">
        <f>STDEV(L$2:L769)*SQRT(252)</f>
        <v>0.25801974526519544</v>
      </c>
      <c r="X769" s="801">
        <f t="shared" si="382"/>
        <v>0.69052843989554591</v>
      </c>
      <c r="Y769" s="801">
        <f t="shared" si="383"/>
        <v>0.44111255084922829</v>
      </c>
      <c r="Z769" s="807">
        <f t="shared" si="384"/>
        <v>5.6169340415897828E-2</v>
      </c>
    </row>
    <row r="770" spans="1:26" ht="20.100000000000001" customHeight="1" x14ac:dyDescent="0.2">
      <c r="A770" s="776">
        <f t="shared" si="370"/>
        <v>1178</v>
      </c>
      <c r="B770" s="795">
        <v>43411</v>
      </c>
      <c r="C770" s="820">
        <v>2813.89</v>
      </c>
      <c r="D770" s="792">
        <f t="shared" si="371"/>
        <v>2.1208876952947816E-2</v>
      </c>
      <c r="E770" s="819">
        <f t="shared" si="372"/>
        <v>0.33839253438861505</v>
      </c>
      <c r="F770" s="816">
        <v>7570.75</v>
      </c>
      <c r="G770" s="792">
        <f t="shared" si="373"/>
        <v>2.6408765774217861E-2</v>
      </c>
      <c r="H770" s="797">
        <f t="shared" si="374"/>
        <v>0.48688060961957702</v>
      </c>
      <c r="I770" s="841">
        <v>413975.81</v>
      </c>
      <c r="J770" s="800">
        <v>300000</v>
      </c>
      <c r="K770" s="800">
        <f t="shared" si="375"/>
        <v>3946.1300000000047</v>
      </c>
      <c r="L770" s="792">
        <f t="shared" si="376"/>
        <v>9.6240106325961687E-3</v>
      </c>
      <c r="M770" s="817">
        <f t="shared" si="377"/>
        <v>113975.81</v>
      </c>
      <c r="N770" s="802">
        <f t="shared" si="378"/>
        <v>0.37991936666666665</v>
      </c>
      <c r="O770" s="786">
        <f t="shared" si="388"/>
        <v>0.11779757952037351</v>
      </c>
      <c r="P770" s="817" t="b">
        <f t="shared" si="380"/>
        <v>0</v>
      </c>
      <c r="Q770" s="802">
        <f>COUNTIF(P$2:P770, TRUE)/(COUNTIF(P$2:P770,FALSE) + COUNTIF(P$2:P770, TRUE))</f>
        <v>0.49414824447334199</v>
      </c>
      <c r="R770" s="844">
        <v>343603.51</v>
      </c>
      <c r="S770" s="846">
        <f t="shared" si="387"/>
        <v>70372.299999999988</v>
      </c>
      <c r="T770" s="800">
        <v>-33892</v>
      </c>
      <c r="U770" s="800">
        <f t="shared" si="381"/>
        <v>147867.81</v>
      </c>
      <c r="V770" s="802">
        <f>STDEV(D$2:D770)*SQRT(252)</f>
        <v>0.13999943692669356</v>
      </c>
      <c r="W770" s="802">
        <f>STDEV(L$2:L770)*SQRT(252)</f>
        <v>0.25790294822831933</v>
      </c>
      <c r="X770" s="801">
        <f t="shared" si="382"/>
        <v>0.74944439905516358</v>
      </c>
      <c r="Y770" s="801">
        <f t="shared" si="383"/>
        <v>0.4567515816689629</v>
      </c>
      <c r="Z770" s="807">
        <f t="shared" si="384"/>
        <v>4.1526832278051595E-2</v>
      </c>
    </row>
    <row r="771" spans="1:26" ht="20.100000000000001" customHeight="1" x14ac:dyDescent="0.2">
      <c r="A771" s="776">
        <f t="shared" si="370"/>
        <v>1180</v>
      </c>
      <c r="B771" s="795">
        <v>43413</v>
      </c>
      <c r="C771" s="820">
        <v>2781.01</v>
      </c>
      <c r="D771" s="792">
        <f t="shared" si="371"/>
        <v>-1.1684891733507584E-2</v>
      </c>
      <c r="E771" s="819">
        <f t="shared" ref="E771:E785" si="389">(C771-$C$2)/$C$2</f>
        <v>0.32275356252734927</v>
      </c>
      <c r="F771" s="816">
        <v>7406.9</v>
      </c>
      <c r="G771" s="792">
        <f t="shared" si="373"/>
        <v>-2.1642505696265281E-2</v>
      </c>
      <c r="H771" s="797">
        <f t="shared" ref="H771:H785" si="390">(F771-F$2)/F$2</f>
        <v>0.4547007875562189</v>
      </c>
      <c r="I771" s="841">
        <v>409057.68</v>
      </c>
      <c r="J771" s="800">
        <v>300000</v>
      </c>
      <c r="K771" s="800">
        <f t="shared" ref="K771:K785" si="391">I771-I770-J771+J770</f>
        <v>-4918.1300000000047</v>
      </c>
      <c r="L771" s="792">
        <f t="shared" ref="L771:L785" si="392">K771/I770</f>
        <v>-1.188023522437218E-2</v>
      </c>
      <c r="M771" s="817">
        <f t="shared" ref="M771:M785" si="393">I771-J771</f>
        <v>109057.68</v>
      </c>
      <c r="N771" s="802">
        <f t="shared" ref="N771:N785" si="394">M771/J771</f>
        <v>0.3635256</v>
      </c>
      <c r="O771" s="786">
        <f t="shared" ref="O771:O785" si="395">N771/(A771/365.25)</f>
        <v>0.11252349610169492</v>
      </c>
      <c r="P771" s="817" t="b">
        <f t="shared" ref="P771:P785" si="396">L771&gt;D771</f>
        <v>0</v>
      </c>
      <c r="Q771" s="802">
        <f>COUNTIF(P$2:P771, TRUE)/(COUNTIF(P$2:P771,FALSE) + COUNTIF(P$2:P771, TRUE))</f>
        <v>0.4935064935064935</v>
      </c>
      <c r="R771" s="844">
        <v>332951.45</v>
      </c>
      <c r="S771" s="846">
        <f t="shared" ref="S771:S785" si="397">I771-R771</f>
        <v>76106.229999999981</v>
      </c>
      <c r="T771" s="800">
        <v>-34243</v>
      </c>
      <c r="U771" s="800">
        <f t="shared" ref="U771:U785" si="398">M771-T771</f>
        <v>143300.68</v>
      </c>
      <c r="V771" s="802">
        <f>STDEV(D$2:D771)*SQRT(252)</f>
        <v>0.14007971517341553</v>
      </c>
      <c r="W771" s="802">
        <f>STDEV(L$2:L771)*SQRT(252)</f>
        <v>0.25783465784296999</v>
      </c>
      <c r="X771" s="801">
        <f t="shared" ref="X771:X785" si="399">E771/(A771/365.25)/V771</f>
        <v>0.71318797498457553</v>
      </c>
      <c r="Y771" s="801">
        <f t="shared" ref="Y771:Y785" si="400">O771/W771</f>
        <v>0.4364172646263309</v>
      </c>
      <c r="Z771" s="807">
        <f t="shared" ref="Z771:Z777" si="401">-(E771-N771)</f>
        <v>4.0772037472650735E-2</v>
      </c>
    </row>
    <row r="772" spans="1:26" ht="20.100000000000001" customHeight="1" x14ac:dyDescent="0.2">
      <c r="A772" s="776">
        <f t="shared" ref="A772:A785" si="402">B772-$B$2</f>
        <v>1183</v>
      </c>
      <c r="B772" s="795">
        <v>43416</v>
      </c>
      <c r="C772" s="820">
        <v>2726.22</v>
      </c>
      <c r="D772" s="792">
        <f t="shared" ref="D772:D785" si="403">(C772-C771)/C771</f>
        <v>-1.970147536326745E-2</v>
      </c>
      <c r="E772" s="819">
        <f t="shared" si="389"/>
        <v>0.29669336580354244</v>
      </c>
      <c r="F772" s="816">
        <v>7200.86</v>
      </c>
      <c r="G772" s="792">
        <f t="shared" ref="G772:G785" si="404">(F772-F771)/F771</f>
        <v>-2.7817305485425749E-2</v>
      </c>
      <c r="H772" s="797">
        <f t="shared" si="390"/>
        <v>0.41423493135887818</v>
      </c>
      <c r="I772" s="841">
        <v>406425.49</v>
      </c>
      <c r="J772" s="800">
        <v>300000</v>
      </c>
      <c r="K772" s="800">
        <f t="shared" si="391"/>
        <v>-2632.1900000000023</v>
      </c>
      <c r="L772" s="792">
        <f t="shared" si="392"/>
        <v>-6.4347648967255731E-3</v>
      </c>
      <c r="M772" s="817">
        <f t="shared" si="393"/>
        <v>106425.48999999999</v>
      </c>
      <c r="N772" s="802">
        <f t="shared" si="394"/>
        <v>0.35475163333333332</v>
      </c>
      <c r="O772" s="786">
        <f t="shared" si="395"/>
        <v>0.10952919194843617</v>
      </c>
      <c r="P772" s="817" t="b">
        <f t="shared" si="396"/>
        <v>1</v>
      </c>
      <c r="Q772" s="802">
        <f>COUNTIF(P$2:P772, TRUE)/(COUNTIF(P$2:P772,FALSE) + COUNTIF(P$2:P772, TRUE))</f>
        <v>0.49416342412451364</v>
      </c>
      <c r="R772" s="844">
        <v>343162.34</v>
      </c>
      <c r="S772" s="846">
        <f t="shared" si="397"/>
        <v>63263.149999999965</v>
      </c>
      <c r="T772" s="800">
        <v>-33801</v>
      </c>
      <c r="U772" s="800">
        <f t="shared" si="398"/>
        <v>140226.49</v>
      </c>
      <c r="V772" s="802">
        <f>STDEV(D$2:D772)*SQRT(252)</f>
        <v>0.14046026693746491</v>
      </c>
      <c r="W772" s="802">
        <f>STDEV(L$2:L772)*SQRT(252)</f>
        <v>0.25769861871465011</v>
      </c>
      <c r="X772" s="801">
        <f t="shared" si="399"/>
        <v>0.65216851136865051</v>
      </c>
      <c r="Y772" s="801">
        <f t="shared" si="400"/>
        <v>0.42502824615337942</v>
      </c>
      <c r="Z772" s="807">
        <f t="shared" si="401"/>
        <v>5.8058267529790875E-2</v>
      </c>
    </row>
    <row r="773" spans="1:26" ht="20.100000000000001" customHeight="1" x14ac:dyDescent="0.2">
      <c r="A773" s="776">
        <f t="shared" si="402"/>
        <v>1184</v>
      </c>
      <c r="B773" s="795">
        <v>43417</v>
      </c>
      <c r="C773" s="820">
        <v>2722.18</v>
      </c>
      <c r="D773" s="792">
        <f t="shared" si="403"/>
        <v>-1.4819053487979562E-3</v>
      </c>
      <c r="E773" s="819">
        <f t="shared" si="389"/>
        <v>0.29477178896900735</v>
      </c>
      <c r="F773" s="816">
        <v>7200.87</v>
      </c>
      <c r="G773" s="792">
        <f t="shared" si="404"/>
        <v>1.3887230136703504E-6</v>
      </c>
      <c r="H773" s="797">
        <f t="shared" si="390"/>
        <v>0.41423689533947405</v>
      </c>
      <c r="I773" s="841">
        <v>406411.58</v>
      </c>
      <c r="J773" s="800">
        <v>300000</v>
      </c>
      <c r="K773" s="800">
        <f t="shared" si="391"/>
        <v>-13.909999999974389</v>
      </c>
      <c r="L773" s="792">
        <f t="shared" si="392"/>
        <v>-3.4225215549286507E-5</v>
      </c>
      <c r="M773" s="817">
        <f t="shared" si="393"/>
        <v>106411.58000000002</v>
      </c>
      <c r="N773" s="802">
        <f t="shared" si="394"/>
        <v>0.35470526666666674</v>
      </c>
      <c r="O773" s="786">
        <f t="shared" si="395"/>
        <v>0.10942238061655409</v>
      </c>
      <c r="P773" s="817" t="b">
        <f t="shared" si="396"/>
        <v>1</v>
      </c>
      <c r="Q773" s="802">
        <f>COUNTIF(P$2:P773, TRUE)/(COUNTIF(P$2:P773,FALSE) + COUNTIF(P$2:P773, TRUE))</f>
        <v>0.49481865284974091</v>
      </c>
      <c r="R773" s="844">
        <v>337244.45</v>
      </c>
      <c r="S773" s="846">
        <f t="shared" si="397"/>
        <v>69167.13</v>
      </c>
      <c r="T773" s="800">
        <v>-33424</v>
      </c>
      <c r="U773" s="800">
        <f t="shared" si="398"/>
        <v>139835.58000000002</v>
      </c>
      <c r="V773" s="802">
        <f>STDEV(D$2:D773)*SQRT(252)</f>
        <v>0.14037305068685352</v>
      </c>
      <c r="W773" s="802">
        <f>STDEV(L$2:L773)*SQRT(252)</f>
        <v>0.25753149648917045</v>
      </c>
      <c r="X773" s="801">
        <f t="shared" si="399"/>
        <v>0.64779963799861073</v>
      </c>
      <c r="Y773" s="801">
        <f t="shared" si="400"/>
        <v>0.42488931298993732</v>
      </c>
      <c r="Z773" s="807">
        <f t="shared" si="401"/>
        <v>5.9933477697659387E-2</v>
      </c>
    </row>
    <row r="774" spans="1:26" ht="20.100000000000001" customHeight="1" x14ac:dyDescent="0.2">
      <c r="A774" s="776">
        <f t="shared" si="402"/>
        <v>1185</v>
      </c>
      <c r="B774" s="795">
        <v>43418</v>
      </c>
      <c r="C774" s="820">
        <v>2701.58</v>
      </c>
      <c r="D774" s="792">
        <f t="shared" si="403"/>
        <v>-7.5674643116913319E-3</v>
      </c>
      <c r="E774" s="819">
        <f t="shared" si="389"/>
        <v>0.28497364966419964</v>
      </c>
      <c r="F774" s="816">
        <v>7136.39</v>
      </c>
      <c r="G774" s="792">
        <f t="shared" si="404"/>
        <v>-8.9544735566673972E-3</v>
      </c>
      <c r="H774" s="797">
        <f t="shared" si="390"/>
        <v>0.40157314845729336</v>
      </c>
      <c r="I774" s="841">
        <v>407328.9</v>
      </c>
      <c r="J774" s="800">
        <v>300000</v>
      </c>
      <c r="K774" s="800">
        <f t="shared" si="391"/>
        <v>917.32000000000698</v>
      </c>
      <c r="L774" s="792">
        <f t="shared" si="392"/>
        <v>2.2571207247588931E-3</v>
      </c>
      <c r="M774" s="817">
        <f t="shared" si="393"/>
        <v>107328.90000000002</v>
      </c>
      <c r="N774" s="802">
        <f t="shared" si="394"/>
        <v>0.35776300000000005</v>
      </c>
      <c r="O774" s="786">
        <f t="shared" si="395"/>
        <v>0.11027251962025318</v>
      </c>
      <c r="P774" s="817" t="b">
        <f t="shared" si="396"/>
        <v>1</v>
      </c>
      <c r="Q774" s="802">
        <f>COUNTIF(P$2:P774, TRUE)/(COUNTIF(P$2:P774,FALSE) + COUNTIF(P$2:P774, TRUE))</f>
        <v>0.49547218628719275</v>
      </c>
      <c r="R774" s="844">
        <v>323932.96000000002</v>
      </c>
      <c r="S774" s="846">
        <f t="shared" si="397"/>
        <v>83395.94</v>
      </c>
      <c r="T774" s="800">
        <v>-33320</v>
      </c>
      <c r="U774" s="800">
        <f t="shared" si="398"/>
        <v>140648.90000000002</v>
      </c>
      <c r="V774" s="802">
        <f>STDEV(D$2:D774)*SQRT(252)</f>
        <v>0.14035534831421267</v>
      </c>
      <c r="W774" s="802">
        <f>STDEV(L$2:L774)*SQRT(252)</f>
        <v>0.25736613915990925</v>
      </c>
      <c r="X774" s="801">
        <f t="shared" si="399"/>
        <v>0.62581736896067919</v>
      </c>
      <c r="Y774" s="801">
        <f t="shared" si="400"/>
        <v>0.4284655315582816</v>
      </c>
      <c r="Z774" s="807">
        <f t="shared" si="401"/>
        <v>7.2789350335800418E-2</v>
      </c>
    </row>
    <row r="775" spans="1:26" ht="20.100000000000001" customHeight="1" x14ac:dyDescent="0.2">
      <c r="A775" s="776">
        <f t="shared" si="402"/>
        <v>1186</v>
      </c>
      <c r="B775" s="795">
        <v>43419</v>
      </c>
      <c r="C775" s="820">
        <v>2730.2</v>
      </c>
      <c r="D775" s="792">
        <f t="shared" si="403"/>
        <v>1.0593800664796116E-2</v>
      </c>
      <c r="E775" s="819">
        <f t="shared" si="389"/>
        <v>0.29858640436825773</v>
      </c>
      <c r="F775" s="816">
        <v>7259.03</v>
      </c>
      <c r="G775" s="792">
        <f t="shared" si="404"/>
        <v>1.7185159443359938E-2</v>
      </c>
      <c r="H775" s="797">
        <f t="shared" si="390"/>
        <v>0.42565940648506395</v>
      </c>
      <c r="I775" s="841">
        <v>410478.11</v>
      </c>
      <c r="J775" s="800">
        <v>300000</v>
      </c>
      <c r="K775" s="800">
        <f t="shared" si="391"/>
        <v>3149.2099999999627</v>
      </c>
      <c r="L775" s="792">
        <f t="shared" si="392"/>
        <v>7.7313689257009818E-3</v>
      </c>
      <c r="M775" s="817">
        <f t="shared" si="393"/>
        <v>110478.10999999999</v>
      </c>
      <c r="N775" s="802">
        <f t="shared" si="394"/>
        <v>0.36826036666666662</v>
      </c>
      <c r="O775" s="786">
        <f t="shared" si="395"/>
        <v>0.11341239369730184</v>
      </c>
      <c r="P775" s="817" t="b">
        <f t="shared" si="396"/>
        <v>0</v>
      </c>
      <c r="Q775" s="802">
        <f>COUNTIF(P$2:P775, TRUE)/(COUNTIF(P$2:P775,FALSE) + COUNTIF(P$2:P775, TRUE))</f>
        <v>0.49483204134366926</v>
      </c>
      <c r="R775" s="844">
        <v>316375.09000000003</v>
      </c>
      <c r="S775" s="846">
        <f t="shared" si="397"/>
        <v>94103.01999999996</v>
      </c>
      <c r="T775" s="800">
        <v>-33321</v>
      </c>
      <c r="U775" s="800">
        <f t="shared" si="398"/>
        <v>143799.10999999999</v>
      </c>
      <c r="V775" s="802">
        <f>STDEV(D$2:D775)*SQRT(252)</f>
        <v>0.14038597691913626</v>
      </c>
      <c r="W775" s="802">
        <f>STDEV(L$2:L775)*SQRT(252)</f>
        <v>0.25723146304485106</v>
      </c>
      <c r="X775" s="801">
        <f t="shared" si="399"/>
        <v>0.65501589057580378</v>
      </c>
      <c r="Y775" s="801">
        <f t="shared" si="400"/>
        <v>0.4408962743314459</v>
      </c>
      <c r="Z775" s="807">
        <f t="shared" si="401"/>
        <v>6.9673962298408887E-2</v>
      </c>
    </row>
    <row r="776" spans="1:26" ht="20.100000000000001" customHeight="1" x14ac:dyDescent="0.2">
      <c r="A776" s="776">
        <f t="shared" si="402"/>
        <v>1187</v>
      </c>
      <c r="B776" s="795">
        <v>43420</v>
      </c>
      <c r="C776" s="820">
        <v>2736.27</v>
      </c>
      <c r="D776" s="792">
        <f t="shared" si="403"/>
        <v>2.2232803457622754E-3</v>
      </c>
      <c r="E776" s="819">
        <f t="shared" si="389"/>
        <v>0.30147352599836374</v>
      </c>
      <c r="F776" s="816">
        <v>7247.87</v>
      </c>
      <c r="G776" s="792">
        <f t="shared" si="404"/>
        <v>-1.5373954922351684E-3</v>
      </c>
      <c r="H776" s="797">
        <f t="shared" si="390"/>
        <v>0.42346760414007112</v>
      </c>
      <c r="I776" s="841">
        <v>411834.34</v>
      </c>
      <c r="J776" s="800">
        <v>300000</v>
      </c>
      <c r="K776" s="800">
        <f t="shared" si="391"/>
        <v>1356.2300000000396</v>
      </c>
      <c r="L776" s="792">
        <f t="shared" si="392"/>
        <v>3.3040251525228463E-3</v>
      </c>
      <c r="M776" s="817">
        <f t="shared" si="393"/>
        <v>111834.34000000003</v>
      </c>
      <c r="N776" s="802">
        <f t="shared" si="394"/>
        <v>0.3727811333333334</v>
      </c>
      <c r="O776" s="786">
        <f t="shared" si="395"/>
        <v>0.1147079266638585</v>
      </c>
      <c r="P776" s="817" t="b">
        <f t="shared" si="396"/>
        <v>1</v>
      </c>
      <c r="Q776" s="802">
        <f>COUNTIF(P$2:P776, TRUE)/(COUNTIF(P$2:P776,FALSE) + COUNTIF(P$2:P776, TRUE))</f>
        <v>0.49548387096774194</v>
      </c>
      <c r="R776" s="844">
        <v>306960.53999999998</v>
      </c>
      <c r="S776" s="846">
        <f t="shared" si="397"/>
        <v>104873.80000000005</v>
      </c>
      <c r="T776" s="800">
        <v>-32054</v>
      </c>
      <c r="U776" s="800">
        <f t="shared" si="398"/>
        <v>143888.34000000003</v>
      </c>
      <c r="V776" s="802">
        <f>STDEV(D$2:D776)*SQRT(252)</f>
        <v>0.14029909623346137</v>
      </c>
      <c r="W776" s="802">
        <f>STDEV(L$2:L776)*SQRT(252)</f>
        <v>0.25706956152341037</v>
      </c>
      <c r="X776" s="801">
        <f t="shared" si="399"/>
        <v>0.66120147336577295</v>
      </c>
      <c r="Y776" s="801">
        <f t="shared" si="400"/>
        <v>0.44621356952605401</v>
      </c>
      <c r="Z776" s="807">
        <f t="shared" si="401"/>
        <v>7.1307607334969658E-2</v>
      </c>
    </row>
    <row r="777" spans="1:26" ht="20.100000000000001" customHeight="1" x14ac:dyDescent="0.2">
      <c r="A777" s="776">
        <f t="shared" si="402"/>
        <v>1190</v>
      </c>
      <c r="B777" s="795">
        <v>43423</v>
      </c>
      <c r="C777" s="820">
        <v>2690.73</v>
      </c>
      <c r="D777" s="792">
        <f t="shared" si="403"/>
        <v>-1.6643094431470565E-2</v>
      </c>
      <c r="E777" s="819">
        <f t="shared" si="389"/>
        <v>0.27981297920511405</v>
      </c>
      <c r="F777" s="816">
        <v>7028.47</v>
      </c>
      <c r="G777" s="792">
        <f t="shared" si="404"/>
        <v>-3.0270962365494918E-2</v>
      </c>
      <c r="H777" s="797">
        <f t="shared" si="390"/>
        <v>0.38037786986664579</v>
      </c>
      <c r="I777" s="841">
        <v>409587.48</v>
      </c>
      <c r="J777" s="800">
        <v>300000</v>
      </c>
      <c r="K777" s="800">
        <f t="shared" si="391"/>
        <v>-2246.8600000000442</v>
      </c>
      <c r="L777" s="792">
        <f t="shared" si="392"/>
        <v>-5.4557373724591404E-3</v>
      </c>
      <c r="M777" s="817">
        <f t="shared" si="393"/>
        <v>109587.47999999998</v>
      </c>
      <c r="N777" s="802">
        <f t="shared" si="394"/>
        <v>0.36529159999999994</v>
      </c>
      <c r="O777" s="786">
        <f t="shared" si="395"/>
        <v>0.11211996378151258</v>
      </c>
      <c r="P777" s="817" t="b">
        <f t="shared" si="396"/>
        <v>1</v>
      </c>
      <c r="Q777" s="802">
        <f>COUNTIF(P$2:P777, TRUE)/(COUNTIF(P$2:P777,FALSE) + COUNTIF(P$2:P777, TRUE))</f>
        <v>0.49613402061855671</v>
      </c>
      <c r="R777" s="844">
        <v>317672.28000000003</v>
      </c>
      <c r="S777" s="846">
        <f t="shared" si="397"/>
        <v>91915.199999999953</v>
      </c>
      <c r="T777" s="800">
        <v>-32184</v>
      </c>
      <c r="U777" s="800">
        <f t="shared" si="398"/>
        <v>141771.47999999998</v>
      </c>
      <c r="V777" s="802">
        <f>STDEV(D$2:D777)*SQRT(252)</f>
        <v>0.14054403945239702</v>
      </c>
      <c r="W777" s="802">
        <f>STDEV(L$2:L777)*SQRT(252)</f>
        <v>0.25692688467355634</v>
      </c>
      <c r="X777" s="801">
        <f t="shared" si="399"/>
        <v>0.6110808682745601</v>
      </c>
      <c r="Y777" s="801">
        <f t="shared" si="400"/>
        <v>0.43638860107601768</v>
      </c>
      <c r="Z777" s="807">
        <f t="shared" si="401"/>
        <v>8.5478620794885884E-2</v>
      </c>
    </row>
    <row r="778" spans="1:26" ht="20.100000000000001" customHeight="1" x14ac:dyDescent="0.2">
      <c r="A778" s="776">
        <f t="shared" si="402"/>
        <v>1191</v>
      </c>
      <c r="B778" s="795">
        <v>43424</v>
      </c>
      <c r="C778" s="820">
        <v>2641.89</v>
      </c>
      <c r="D778" s="792">
        <f t="shared" si="403"/>
        <v>-1.8151208036480862E-2</v>
      </c>
      <c r="E778" s="819">
        <f t="shared" si="389"/>
        <v>0.25658282757177364</v>
      </c>
      <c r="F778" s="816">
        <v>6908.82</v>
      </c>
      <c r="G778" s="792">
        <f t="shared" si="404"/>
        <v>-1.7023619649795835E-2</v>
      </c>
      <c r="H778" s="797">
        <f t="shared" si="390"/>
        <v>0.35687884203704068</v>
      </c>
      <c r="I778" s="841">
        <v>402621.49</v>
      </c>
      <c r="J778" s="800">
        <v>300000</v>
      </c>
      <c r="K778" s="800">
        <f t="shared" si="391"/>
        <v>-6965.9899999999907</v>
      </c>
      <c r="L778" s="792">
        <f t="shared" si="392"/>
        <v>-1.7007331376437559E-2</v>
      </c>
      <c r="M778" s="817">
        <f t="shared" si="393"/>
        <v>102621.48999999999</v>
      </c>
      <c r="N778" s="802">
        <f t="shared" si="394"/>
        <v>0.34207163333333329</v>
      </c>
      <c r="O778" s="786">
        <f t="shared" si="395"/>
        <v>0.10490483969353483</v>
      </c>
      <c r="P778" s="817" t="b">
        <f t="shared" si="396"/>
        <v>1</v>
      </c>
      <c r="Q778" s="802">
        <f>COUNTIF(P$2:P778, TRUE)/(COUNTIF(P$2:P778,FALSE) + COUNTIF(P$2:P778, TRUE))</f>
        <v>0.49678249678249681</v>
      </c>
      <c r="R778" s="844">
        <v>335553.9</v>
      </c>
      <c r="S778" s="846">
        <f t="shared" si="397"/>
        <v>67067.589999999967</v>
      </c>
      <c r="T778" s="800">
        <v>-32094</v>
      </c>
      <c r="U778" s="800">
        <f t="shared" si="398"/>
        <v>134715.49</v>
      </c>
      <c r="V778" s="802">
        <f>STDEV(D$2:D778)*SQRT(252)</f>
        <v>0.14084881356005374</v>
      </c>
      <c r="W778" s="802">
        <f>STDEV(L$2:L778)*SQRT(252)</f>
        <v>0.25695755532405573</v>
      </c>
      <c r="X778" s="801">
        <f t="shared" si="399"/>
        <v>0.55866679181953094</v>
      </c>
      <c r="Y778" s="801">
        <f t="shared" si="400"/>
        <v>0.40825746322670547</v>
      </c>
      <c r="Z778" s="807">
        <f t="shared" ref="Z778:Z783" si="405">-(E778-N778)</f>
        <v>8.548880576155965E-2</v>
      </c>
    </row>
    <row r="779" spans="1:26" ht="20.100000000000001" customHeight="1" x14ac:dyDescent="0.2">
      <c r="A779" s="776">
        <f t="shared" si="402"/>
        <v>1192</v>
      </c>
      <c r="B779" s="795">
        <v>43425</v>
      </c>
      <c r="C779" s="820">
        <v>2649.93</v>
      </c>
      <c r="D779" s="792">
        <f t="shared" si="403"/>
        <v>3.0432758366169539E-3</v>
      </c>
      <c r="E779" s="819">
        <f t="shared" si="389"/>
        <v>0.26040695572763062</v>
      </c>
      <c r="F779" s="816">
        <v>6972.25</v>
      </c>
      <c r="G779" s="792">
        <f t="shared" si="404"/>
        <v>9.1810178872803599E-3</v>
      </c>
      <c r="H779" s="797">
        <f t="shared" si="390"/>
        <v>0.369336370956655</v>
      </c>
      <c r="I779" s="841">
        <v>406305.97</v>
      </c>
      <c r="J779" s="800">
        <v>300000</v>
      </c>
      <c r="K779" s="800">
        <f t="shared" si="391"/>
        <v>3684.4799999999814</v>
      </c>
      <c r="L779" s="792">
        <f t="shared" si="392"/>
        <v>9.1512253854109521E-3</v>
      </c>
      <c r="M779" s="817">
        <f t="shared" si="393"/>
        <v>106305.96999999997</v>
      </c>
      <c r="N779" s="802">
        <f t="shared" si="394"/>
        <v>0.35435323333333324</v>
      </c>
      <c r="O779" s="786">
        <f t="shared" si="395"/>
        <v>0.10858013294882547</v>
      </c>
      <c r="P779" s="817" t="b">
        <f t="shared" si="396"/>
        <v>1</v>
      </c>
      <c r="Q779" s="802">
        <f>COUNTIF(P$2:P779, TRUE)/(COUNTIF(P$2:P779,FALSE) + COUNTIF(P$2:P779, TRUE))</f>
        <v>0.49742930591259638</v>
      </c>
      <c r="R779" s="844">
        <v>339238.40000000002</v>
      </c>
      <c r="S779" s="846">
        <f t="shared" si="397"/>
        <v>67067.569999999949</v>
      </c>
      <c r="T779" s="800">
        <v>-32009</v>
      </c>
      <c r="U779" s="800">
        <f t="shared" si="398"/>
        <v>138314.96999999997</v>
      </c>
      <c r="V779" s="802">
        <f>STDEV(D$2:D779)*SQRT(252)</f>
        <v>0.14076648906391917</v>
      </c>
      <c r="W779" s="802">
        <f>STDEV(L$2:L779)*SQRT(252)</f>
        <v>0.25683810810658303</v>
      </c>
      <c r="X779" s="801">
        <f t="shared" si="399"/>
        <v>0.56684885134551122</v>
      </c>
      <c r="Y779" s="801">
        <f t="shared" si="400"/>
        <v>0.42275709687040186</v>
      </c>
      <c r="Z779" s="807">
        <f t="shared" si="405"/>
        <v>9.3946277605702622E-2</v>
      </c>
    </row>
    <row r="780" spans="1:26" ht="20.100000000000001" customHeight="1" x14ac:dyDescent="0.2">
      <c r="A780" s="776">
        <f t="shared" si="402"/>
        <v>1194</v>
      </c>
      <c r="B780" s="795">
        <v>43427</v>
      </c>
      <c r="C780" s="820">
        <v>2632.56</v>
      </c>
      <c r="D780" s="792">
        <f t="shared" si="403"/>
        <v>-6.5548901291731824E-3</v>
      </c>
      <c r="E780" s="819">
        <f t="shared" si="389"/>
        <v>0.25214512661479038</v>
      </c>
      <c r="F780" s="816">
        <v>6938.98</v>
      </c>
      <c r="G780" s="792">
        <f t="shared" si="404"/>
        <v>-4.7717738176342554E-3</v>
      </c>
      <c r="H780" s="797">
        <f t="shared" si="390"/>
        <v>0.36280220751418973</v>
      </c>
      <c r="I780" s="841">
        <v>403083.15</v>
      </c>
      <c r="J780" s="800">
        <v>300000</v>
      </c>
      <c r="K780" s="800">
        <f t="shared" si="391"/>
        <v>-3222.8199999999488</v>
      </c>
      <c r="L780" s="792">
        <f t="shared" si="392"/>
        <v>-7.9320025743159737E-3</v>
      </c>
      <c r="M780" s="817">
        <f t="shared" si="393"/>
        <v>103083.15000000002</v>
      </c>
      <c r="N780" s="802">
        <f t="shared" si="394"/>
        <v>0.3436105000000001</v>
      </c>
      <c r="O780" s="786">
        <f t="shared" si="395"/>
        <v>0.10511200596733671</v>
      </c>
      <c r="P780" s="817" t="b">
        <f t="shared" si="396"/>
        <v>0</v>
      </c>
      <c r="Q780" s="802">
        <f>COUNTIF(P$2:P780, TRUE)/(COUNTIF(P$2:P780,FALSE) + COUNTIF(P$2:P780, TRUE))</f>
        <v>0.496790757381258</v>
      </c>
      <c r="R780" s="844">
        <v>340042.77</v>
      </c>
      <c r="S780" s="846">
        <f t="shared" si="397"/>
        <v>63040.380000000005</v>
      </c>
      <c r="T780" s="800">
        <v>-32024</v>
      </c>
      <c r="U780" s="800">
        <f t="shared" si="398"/>
        <v>135107.15000000002</v>
      </c>
      <c r="V780" s="802">
        <f>STDEV(D$2:D780)*SQRT(252)</f>
        <v>0.14073055163912401</v>
      </c>
      <c r="W780" s="802">
        <f>STDEV(L$2:L780)*SQRT(252)</f>
        <v>0.25671882677048874</v>
      </c>
      <c r="X780" s="801">
        <f t="shared" si="399"/>
        <v>0.5480852145318037</v>
      </c>
      <c r="Y780" s="801">
        <f t="shared" si="400"/>
        <v>0.4094440882643513</v>
      </c>
      <c r="Z780" s="807">
        <f t="shared" si="405"/>
        <v>9.1465373385209714E-2</v>
      </c>
    </row>
    <row r="781" spans="1:26" ht="20.100000000000001" customHeight="1" x14ac:dyDescent="0.2">
      <c r="A781" s="776">
        <f t="shared" si="402"/>
        <v>1197</v>
      </c>
      <c r="B781" s="795">
        <v>43430</v>
      </c>
      <c r="C781" s="820">
        <v>2673.45</v>
      </c>
      <c r="D781" s="792">
        <f t="shared" si="403"/>
        <v>1.5532409517731742E-2</v>
      </c>
      <c r="E781" s="819">
        <f t="shared" si="389"/>
        <v>0.27159395749700338</v>
      </c>
      <c r="F781" s="816">
        <v>7081.85</v>
      </c>
      <c r="G781" s="792">
        <f t="shared" si="404"/>
        <v>2.0589481451164408E-2</v>
      </c>
      <c r="H781" s="797">
        <f t="shared" si="390"/>
        <v>0.39086159828740902</v>
      </c>
      <c r="I781" s="841">
        <v>409353.88</v>
      </c>
      <c r="J781" s="800">
        <v>300000</v>
      </c>
      <c r="K781" s="800">
        <f t="shared" si="391"/>
        <v>6270.7299999999814</v>
      </c>
      <c r="L781" s="792">
        <f t="shared" si="392"/>
        <v>1.5556914249578483E-2</v>
      </c>
      <c r="M781" s="817">
        <f t="shared" si="393"/>
        <v>109353.88</v>
      </c>
      <c r="N781" s="802">
        <f t="shared" si="394"/>
        <v>0.36451293333333334</v>
      </c>
      <c r="O781" s="786">
        <f t="shared" si="395"/>
        <v>0.11122669081035924</v>
      </c>
      <c r="P781" s="817" t="b">
        <f t="shared" si="396"/>
        <v>1</v>
      </c>
      <c r="Q781" s="802">
        <f>COUNTIF(P$2:P781, TRUE)/(COUNTIF(P$2:P781,FALSE) + COUNTIF(P$2:P781, TRUE))</f>
        <v>0.49743589743589745</v>
      </c>
      <c r="R781" s="844">
        <v>322254.05</v>
      </c>
      <c r="S781" s="846">
        <f t="shared" si="397"/>
        <v>87099.830000000016</v>
      </c>
      <c r="T781" s="800">
        <v>-31333</v>
      </c>
      <c r="U781" s="800">
        <f t="shared" si="398"/>
        <v>140686.88</v>
      </c>
      <c r="V781" s="802">
        <f>STDEV(D$2:D781)*SQRT(252)</f>
        <v>0.14090568207330634</v>
      </c>
      <c r="W781" s="802">
        <f>STDEV(L$2:L781)*SQRT(252)</f>
        <v>0.25669478490584341</v>
      </c>
      <c r="X781" s="801">
        <f t="shared" si="399"/>
        <v>0.58814941726080083</v>
      </c>
      <c r="Y781" s="801">
        <f t="shared" si="400"/>
        <v>0.43330327435813548</v>
      </c>
      <c r="Z781" s="807">
        <f t="shared" si="405"/>
        <v>9.2918975836329964E-2</v>
      </c>
    </row>
    <row r="782" spans="1:26" ht="20.100000000000001" customHeight="1" x14ac:dyDescent="0.2">
      <c r="A782" s="776">
        <f t="shared" si="402"/>
        <v>1198</v>
      </c>
      <c r="B782" s="795">
        <v>43431</v>
      </c>
      <c r="C782" s="820">
        <v>2682.17</v>
      </c>
      <c r="D782" s="792">
        <f t="shared" si="403"/>
        <v>3.2617030428847577E-3</v>
      </c>
      <c r="E782" s="819">
        <f t="shared" si="389"/>
        <v>0.2757415193774852</v>
      </c>
      <c r="F782" s="816">
        <v>7082.7</v>
      </c>
      <c r="G782" s="792">
        <f t="shared" si="404"/>
        <v>1.2002513467518435E-4</v>
      </c>
      <c r="H782" s="797">
        <f t="shared" si="390"/>
        <v>0.39102853663805803</v>
      </c>
      <c r="I782" s="841">
        <v>410089.31</v>
      </c>
      <c r="J782" s="800">
        <v>300000</v>
      </c>
      <c r="K782" s="800">
        <f t="shared" si="391"/>
        <v>735.42999999999302</v>
      </c>
      <c r="L782" s="792">
        <f t="shared" si="392"/>
        <v>1.7965629151969757E-3</v>
      </c>
      <c r="M782" s="817">
        <f t="shared" si="393"/>
        <v>110089.31</v>
      </c>
      <c r="N782" s="802">
        <f t="shared" si="394"/>
        <v>0.36696436666666665</v>
      </c>
      <c r="O782" s="786">
        <f t="shared" si="395"/>
        <v>0.1118812478505843</v>
      </c>
      <c r="P782" s="817" t="b">
        <f t="shared" si="396"/>
        <v>0</v>
      </c>
      <c r="Q782" s="802">
        <f>COUNTIF(P$2:P782, TRUE)/(COUNTIF(P$2:P782,FALSE) + COUNTIF(P$2:P782, TRUE))</f>
        <v>0.49679897567221509</v>
      </c>
      <c r="R782" s="844">
        <v>312321.01</v>
      </c>
      <c r="S782" s="846">
        <f t="shared" si="397"/>
        <v>97768.299999999988</v>
      </c>
      <c r="T782" s="800">
        <v>-31315</v>
      </c>
      <c r="U782" s="800">
        <f t="shared" si="398"/>
        <v>141404.31</v>
      </c>
      <c r="V782" s="802">
        <f>STDEV(D$2:D782)*SQRT(252)</f>
        <v>0.14082495256612623</v>
      </c>
      <c r="W782" s="802">
        <f>STDEV(L$2:L782)*SQRT(252)</f>
        <v>0.25653084551820676</v>
      </c>
      <c r="X782" s="801">
        <f t="shared" si="399"/>
        <v>0.5969747429583796</v>
      </c>
      <c r="Y782" s="801">
        <f t="shared" si="400"/>
        <v>0.43613175493410111</v>
      </c>
      <c r="Z782" s="807">
        <f t="shared" si="405"/>
        <v>9.1222847289181452E-2</v>
      </c>
    </row>
    <row r="783" spans="1:26" ht="20.100000000000001" customHeight="1" x14ac:dyDescent="0.2">
      <c r="A783" s="776">
        <f t="shared" si="402"/>
        <v>1199</v>
      </c>
      <c r="B783" s="795">
        <v>43432</v>
      </c>
      <c r="C783" s="820">
        <v>2743.79</v>
      </c>
      <c r="D783" s="792">
        <f t="shared" si="403"/>
        <v>2.2973935283744092E-2</v>
      </c>
      <c r="E783" s="819">
        <f t="shared" si="389"/>
        <v>0.3050503224824489</v>
      </c>
      <c r="F783" s="816">
        <v>7291.59</v>
      </c>
      <c r="G783" s="792">
        <f t="shared" si="404"/>
        <v>2.9492989961455423E-2</v>
      </c>
      <c r="H783" s="797">
        <f t="shared" si="390"/>
        <v>0.4320541273052223</v>
      </c>
      <c r="I783" s="841">
        <v>414246.66</v>
      </c>
      <c r="J783" s="800">
        <v>300000</v>
      </c>
      <c r="K783" s="800">
        <f t="shared" si="391"/>
        <v>4157.3499999999767</v>
      </c>
      <c r="L783" s="792">
        <f t="shared" si="392"/>
        <v>1.0137669767592764E-2</v>
      </c>
      <c r="M783" s="817">
        <f t="shared" si="393"/>
        <v>114246.65999999997</v>
      </c>
      <c r="N783" s="802">
        <f t="shared" si="394"/>
        <v>0.38082219999999989</v>
      </c>
      <c r="O783" s="786">
        <f t="shared" si="395"/>
        <v>0.11600943165137612</v>
      </c>
      <c r="P783" s="817" t="b">
        <f t="shared" si="396"/>
        <v>0</v>
      </c>
      <c r="Q783" s="802">
        <f>COUNTIF(P$2:P783, TRUE)/(COUNTIF(P$2:P783,FALSE) + COUNTIF(P$2:P783, TRUE))</f>
        <v>0.49616368286445012</v>
      </c>
      <c r="R783" s="844">
        <v>299603.09000000003</v>
      </c>
      <c r="S783" s="846">
        <f t="shared" si="397"/>
        <v>114643.56999999995</v>
      </c>
      <c r="T783" s="800">
        <v>-31283</v>
      </c>
      <c r="U783" s="800">
        <f t="shared" si="398"/>
        <v>145529.65999999997</v>
      </c>
      <c r="V783" s="802">
        <f>STDEV(D$2:D783)*SQRT(252)</f>
        <v>0.14132010283971275</v>
      </c>
      <c r="W783" s="802">
        <f>STDEV(L$2:L783)*SQRT(252)</f>
        <v>0.25642333940628448</v>
      </c>
      <c r="X783" s="801">
        <f t="shared" si="399"/>
        <v>0.65756484261109904</v>
      </c>
      <c r="Y783" s="801">
        <f t="shared" si="400"/>
        <v>0.45241369962648936</v>
      </c>
      <c r="Z783" s="807">
        <f t="shared" si="405"/>
        <v>7.577187751755099E-2</v>
      </c>
    </row>
    <row r="784" spans="1:26" ht="20.100000000000001" customHeight="1" x14ac:dyDescent="0.2">
      <c r="A784" s="776">
        <f t="shared" si="402"/>
        <v>1200</v>
      </c>
      <c r="B784" s="795">
        <v>43433</v>
      </c>
      <c r="C784" s="820">
        <v>2737.76</v>
      </c>
      <c r="D784" s="792">
        <f t="shared" si="403"/>
        <v>-2.1976900564546651E-3</v>
      </c>
      <c r="E784" s="819">
        <f t="shared" si="389"/>
        <v>0.30218222636555631</v>
      </c>
      <c r="F784" s="816">
        <v>7273.08</v>
      </c>
      <c r="G784" s="792">
        <f t="shared" si="404"/>
        <v>-2.5385409766594414E-3</v>
      </c>
      <c r="H784" s="797">
        <f t="shared" si="390"/>
        <v>0.42841879922226372</v>
      </c>
      <c r="I784" s="841">
        <v>414192.78</v>
      </c>
      <c r="J784" s="800">
        <v>300000</v>
      </c>
      <c r="K784" s="800">
        <f t="shared" si="391"/>
        <v>-53.879999999946449</v>
      </c>
      <c r="L784" s="792">
        <f t="shared" si="392"/>
        <v>-1.3006743373608965E-4</v>
      </c>
      <c r="M784" s="817">
        <f t="shared" si="393"/>
        <v>114192.78000000003</v>
      </c>
      <c r="N784" s="802">
        <f t="shared" si="394"/>
        <v>0.38064260000000011</v>
      </c>
      <c r="O784" s="786">
        <f t="shared" si="395"/>
        <v>0.11585809137500004</v>
      </c>
      <c r="P784" s="817" t="b">
        <f t="shared" si="396"/>
        <v>1</v>
      </c>
      <c r="Q784" s="802">
        <f>COUNTIF(P$2:P784, TRUE)/(COUNTIF(P$2:P784,FALSE) + COUNTIF(P$2:P784, TRUE))</f>
        <v>0.49680715197956576</v>
      </c>
      <c r="R784" s="844">
        <v>308537.21000000002</v>
      </c>
      <c r="S784" s="846">
        <f t="shared" si="397"/>
        <v>105655.57</v>
      </c>
      <c r="T784" s="800">
        <v>-31278</v>
      </c>
      <c r="U784" s="800">
        <f t="shared" si="398"/>
        <v>145470.78000000003</v>
      </c>
      <c r="V784" s="802">
        <f>STDEV(D$2:D784)*SQRT(252)</f>
        <v>0.14123718368532329</v>
      </c>
      <c r="W784" s="802">
        <f>STDEV(L$2:L784)*SQRT(252)</f>
        <v>0.25625948948857508</v>
      </c>
      <c r="X784" s="801">
        <f t="shared" si="399"/>
        <v>0.65122167371264283</v>
      </c>
      <c r="Y784" s="801">
        <f t="shared" si="400"/>
        <v>0.45211239437892264</v>
      </c>
      <c r="Z784" s="807">
        <f t="shared" ref="Z784:Z789" si="406">-(E784-N784)</f>
        <v>7.8460373634443803E-2</v>
      </c>
    </row>
    <row r="785" spans="1:26" ht="20.100000000000001" customHeight="1" x14ac:dyDescent="0.2">
      <c r="A785" s="776">
        <f t="shared" si="402"/>
        <v>1201</v>
      </c>
      <c r="B785" s="795">
        <v>43434</v>
      </c>
      <c r="C785" s="820">
        <v>2760.17</v>
      </c>
      <c r="D785" s="792">
        <f t="shared" si="403"/>
        <v>8.1855239319735297E-3</v>
      </c>
      <c r="E785" s="819">
        <f t="shared" si="389"/>
        <v>0.31284127014326213</v>
      </c>
      <c r="F785" s="816">
        <v>7330.53</v>
      </c>
      <c r="G785" s="792">
        <f t="shared" si="404"/>
        <v>7.8989918988928796E-3</v>
      </c>
      <c r="H785" s="797">
        <f t="shared" si="390"/>
        <v>0.43970186774554665</v>
      </c>
      <c r="I785" s="842">
        <v>414816.13</v>
      </c>
      <c r="J785" s="800">
        <v>300000</v>
      </c>
      <c r="K785" s="800">
        <f t="shared" si="391"/>
        <v>623.34999999997672</v>
      </c>
      <c r="L785" s="792">
        <f t="shared" si="392"/>
        <v>1.5049755333735578E-3</v>
      </c>
      <c r="M785" s="822">
        <f t="shared" si="393"/>
        <v>114816.13</v>
      </c>
      <c r="N785" s="802">
        <f t="shared" si="394"/>
        <v>0.38272043333333333</v>
      </c>
      <c r="O785" s="786">
        <f t="shared" si="395"/>
        <v>0.11639353728143215</v>
      </c>
      <c r="P785" s="817" t="b">
        <f t="shared" si="396"/>
        <v>0</v>
      </c>
      <c r="Q785" s="802">
        <f>COUNTIF(P$2:P785, TRUE)/(COUNTIF(P$2:P785,FALSE) + COUNTIF(P$2:P785, TRUE))</f>
        <v>0.49617346938775508</v>
      </c>
      <c r="R785" s="844">
        <v>324403.93</v>
      </c>
      <c r="S785" s="846">
        <f t="shared" si="397"/>
        <v>90412.200000000012</v>
      </c>
      <c r="T785" s="800">
        <v>-31318</v>
      </c>
      <c r="U785" s="800">
        <f t="shared" si="398"/>
        <v>146134.13</v>
      </c>
      <c r="V785" s="802">
        <f>STDEV(D$2:D785)*SQRT(252)</f>
        <v>0.14121634234290364</v>
      </c>
      <c r="W785" s="802">
        <f>STDEV(L$2:L785)*SQRT(252)</f>
        <v>0.25609606710112842</v>
      </c>
      <c r="X785" s="801">
        <f t="shared" si="399"/>
        <v>0.67373064057163079</v>
      </c>
      <c r="Y785" s="801">
        <f t="shared" si="400"/>
        <v>0.45449170148899676</v>
      </c>
      <c r="Z785" s="807">
        <f t="shared" si="406"/>
        <v>6.9879163190071203E-2</v>
      </c>
    </row>
    <row r="786" spans="1:26" ht="20.100000000000001" customHeight="1" x14ac:dyDescent="0.2">
      <c r="A786" s="776">
        <f t="shared" ref="A786:A817" si="407">B786-$B$2</f>
        <v>1204</v>
      </c>
      <c r="B786" s="795">
        <v>43437</v>
      </c>
      <c r="C786" s="820">
        <v>2790.37</v>
      </c>
      <c r="D786" s="792">
        <f t="shared" ref="D786:D817" si="408">(C786-C785)/C785</f>
        <v>1.0941355061463539E-2</v>
      </c>
      <c r="E786" s="819">
        <f t="shared" ref="E786:E817" si="409">(C786-$C$2)/$C$2</f>
        <v>0.32720553261924235</v>
      </c>
      <c r="F786" s="816">
        <v>7441.51</v>
      </c>
      <c r="G786" s="792">
        <f t="shared" ref="G786:G817" si="410">(F786-F785)/F785</f>
        <v>1.5139423752443613E-2</v>
      </c>
      <c r="H786" s="797">
        <f t="shared" ref="H786:H817" si="411">(F786-F$2)/F$2</f>
        <v>0.46149812439853105</v>
      </c>
      <c r="I786" s="841">
        <v>421570.64</v>
      </c>
      <c r="J786" s="800">
        <v>300000</v>
      </c>
      <c r="K786" s="800">
        <f t="shared" ref="K786:K817" si="412">I786-I785-J786+J785</f>
        <v>6754.5100000000093</v>
      </c>
      <c r="L786" s="792">
        <f t="shared" ref="L786:L817" si="413">K786/I785</f>
        <v>1.6283142123716378E-2</v>
      </c>
      <c r="M786" s="817">
        <f t="shared" ref="M786:M817" si="414">I786-J786</f>
        <v>121570.64000000001</v>
      </c>
      <c r="N786" s="802">
        <f t="shared" ref="N786:N817" si="415">M786/J786</f>
        <v>0.40523546666666671</v>
      </c>
      <c r="O786" s="786">
        <f t="shared" ref="O786:O793" si="416">N786/(A786/365.25)</f>
        <v>0.12293376594684387</v>
      </c>
      <c r="P786" s="817" t="b">
        <f t="shared" ref="P786:P817" si="417">L786&gt;D786</f>
        <v>1</v>
      </c>
      <c r="Q786" s="802">
        <f>COUNTIF(P$2:P786, TRUE)/(COUNTIF(P$2:P786,FALSE) + COUNTIF(P$2:P786, TRUE))</f>
        <v>0.49681528662420382</v>
      </c>
      <c r="R786" s="844">
        <v>335205</v>
      </c>
      <c r="S786" s="846">
        <f t="shared" ref="S786:S817" si="418">I786-R786</f>
        <v>86365.640000000014</v>
      </c>
      <c r="T786" s="800">
        <v>-31163</v>
      </c>
      <c r="U786" s="800">
        <f t="shared" ref="U786:U791" si="419">M786-T786</f>
        <v>152733.64000000001</v>
      </c>
      <c r="V786" s="802">
        <f>STDEV(D$2:D786)*SQRT(252)</f>
        <v>0.14125293018736088</v>
      </c>
      <c r="W786" s="802">
        <f>STDEV(L$2:L786)*SQRT(252)</f>
        <v>0.25608623353884191</v>
      </c>
      <c r="X786" s="801">
        <f t="shared" ref="X786:X817" si="420">E786/(A786/365.25)/V786</f>
        <v>0.70272743718590269</v>
      </c>
      <c r="Y786" s="801">
        <f t="shared" ref="Y786:Y817" si="421">O786/W786</f>
        <v>0.48004831906826367</v>
      </c>
      <c r="Z786" s="807">
        <f t="shared" si="406"/>
        <v>7.8029934047424365E-2</v>
      </c>
    </row>
    <row r="787" spans="1:26" ht="20.100000000000001" customHeight="1" x14ac:dyDescent="0.2">
      <c r="A787" s="776">
        <f t="shared" si="407"/>
        <v>1205</v>
      </c>
      <c r="B787" s="795">
        <v>43438</v>
      </c>
      <c r="C787" s="820">
        <v>2700.06</v>
      </c>
      <c r="D787" s="792">
        <f t="shared" si="408"/>
        <v>-3.236488351007212E-2</v>
      </c>
      <c r="E787" s="819">
        <f t="shared" si="409"/>
        <v>0.28425068016209731</v>
      </c>
      <c r="F787" s="816">
        <v>7158.42</v>
      </c>
      <c r="G787" s="792">
        <f t="shared" si="410"/>
        <v>-3.8042010290922156E-2</v>
      </c>
      <c r="H787" s="797">
        <f t="shared" si="411"/>
        <v>0.40589979770999868</v>
      </c>
      <c r="I787" s="841">
        <v>410018.82</v>
      </c>
      <c r="J787" s="800">
        <v>300000</v>
      </c>
      <c r="K787" s="800">
        <f t="shared" si="412"/>
        <v>-11551.820000000007</v>
      </c>
      <c r="L787" s="792">
        <f t="shared" si="413"/>
        <v>-2.7401860812697978E-2</v>
      </c>
      <c r="M787" s="817">
        <f t="shared" si="414"/>
        <v>110018.82</v>
      </c>
      <c r="N787" s="802">
        <f t="shared" si="415"/>
        <v>0.36672940000000004</v>
      </c>
      <c r="O787" s="786">
        <f t="shared" si="416"/>
        <v>0.11116009406639005</v>
      </c>
      <c r="P787" s="817" t="b">
        <f t="shared" si="417"/>
        <v>1</v>
      </c>
      <c r="Q787" s="802">
        <f>COUNTIF(P$2:P787, TRUE)/(COUNTIF(P$2:P787,FALSE) + COUNTIF(P$2:P787, TRUE))</f>
        <v>0.49745547073791346</v>
      </c>
      <c r="R787" s="844">
        <v>330837.59000000003</v>
      </c>
      <c r="S787" s="846">
        <f t="shared" si="418"/>
        <v>79181.229999999981</v>
      </c>
      <c r="T787" s="800">
        <v>-31883</v>
      </c>
      <c r="U787" s="800">
        <f t="shared" si="419"/>
        <v>141901.82</v>
      </c>
      <c r="V787" s="802">
        <f>STDEV(D$2:D787)*SQRT(252)</f>
        <v>0.14237830466833196</v>
      </c>
      <c r="W787" s="802">
        <f>STDEV(L$2:L787)*SQRT(252)</f>
        <v>0.25641602783691181</v>
      </c>
      <c r="X787" s="801">
        <f t="shared" si="420"/>
        <v>0.60514698360616659</v>
      </c>
      <c r="Y787" s="801">
        <f t="shared" si="421"/>
        <v>0.43351460906761713</v>
      </c>
      <c r="Z787" s="807">
        <f t="shared" si="406"/>
        <v>8.2478719837902725E-2</v>
      </c>
    </row>
    <row r="788" spans="1:26" ht="20.100000000000001" customHeight="1" x14ac:dyDescent="0.2">
      <c r="A788" s="776">
        <f t="shared" si="407"/>
        <v>1207</v>
      </c>
      <c r="B788" s="795">
        <v>43440</v>
      </c>
      <c r="C788" s="820">
        <v>2695.95</v>
      </c>
      <c r="D788" s="792">
        <f t="shared" si="408"/>
        <v>-1.5221883958134736E-3</v>
      </c>
      <c r="E788" s="819">
        <f t="shared" si="409"/>
        <v>0.28229580867943899</v>
      </c>
      <c r="F788" s="816">
        <v>7188.25</v>
      </c>
      <c r="G788" s="792">
        <f t="shared" si="410"/>
        <v>4.1671206774679228E-3</v>
      </c>
      <c r="H788" s="797">
        <f t="shared" si="411"/>
        <v>0.41175835182748399</v>
      </c>
      <c r="I788" s="841">
        <v>407546.45</v>
      </c>
      <c r="J788" s="800">
        <v>300000</v>
      </c>
      <c r="K788" s="800">
        <f t="shared" si="412"/>
        <v>-2472.3699999999953</v>
      </c>
      <c r="L788" s="792">
        <f t="shared" si="413"/>
        <v>-6.0298939448681773E-3</v>
      </c>
      <c r="M788" s="817">
        <f t="shared" si="414"/>
        <v>107546.45000000001</v>
      </c>
      <c r="N788" s="802">
        <f t="shared" si="415"/>
        <v>0.35848816666666672</v>
      </c>
      <c r="O788" s="786">
        <f t="shared" si="416"/>
        <v>0.10848202392294948</v>
      </c>
      <c r="P788" s="817" t="b">
        <f t="shared" si="417"/>
        <v>0</v>
      </c>
      <c r="Q788" s="802">
        <f>COUNTIF(P$2:P788, TRUE)/(COUNTIF(P$2:P788,FALSE) + COUNTIF(P$2:P788, TRUE))</f>
        <v>0.49682337992376113</v>
      </c>
      <c r="R788" s="844">
        <v>373437.24</v>
      </c>
      <c r="S788" s="846">
        <f t="shared" si="418"/>
        <v>34109.210000000021</v>
      </c>
      <c r="T788" s="800">
        <v>-32113</v>
      </c>
      <c r="U788" s="800">
        <f t="shared" si="419"/>
        <v>139659.45000000001</v>
      </c>
      <c r="V788" s="802">
        <f>STDEV(D$2:D788)*SQRT(252)</f>
        <v>0.14229157572570017</v>
      </c>
      <c r="W788" s="802">
        <f>STDEV(L$2:L788)*SQRT(252)</f>
        <v>0.25628029389269719</v>
      </c>
      <c r="X788" s="801">
        <f t="shared" si="420"/>
        <v>0.60035508835020446</v>
      </c>
      <c r="Y788" s="801">
        <f t="shared" si="421"/>
        <v>0.42329444170362224</v>
      </c>
      <c r="Z788" s="807">
        <f t="shared" si="406"/>
        <v>7.6192357987227732E-2</v>
      </c>
    </row>
    <row r="789" spans="1:26" ht="20.100000000000001" customHeight="1" x14ac:dyDescent="0.2">
      <c r="A789" s="776">
        <f t="shared" si="407"/>
        <v>1208</v>
      </c>
      <c r="B789" s="795">
        <v>43441</v>
      </c>
      <c r="C789" s="820">
        <v>2633.08</v>
      </c>
      <c r="D789" s="792">
        <f t="shared" si="408"/>
        <v>-2.3320165433335149E-2</v>
      </c>
      <c r="E789" s="819">
        <f t="shared" si="409"/>
        <v>0.2523924582865622</v>
      </c>
      <c r="F789" s="816">
        <v>6969.25</v>
      </c>
      <c r="G789" s="792">
        <f t="shared" si="410"/>
        <v>-3.0466386116231349E-2</v>
      </c>
      <c r="H789" s="797">
        <f t="shared" si="411"/>
        <v>0.36874717677789348</v>
      </c>
      <c r="I789" s="841">
        <v>400207.22</v>
      </c>
      <c r="J789" s="800">
        <v>300000</v>
      </c>
      <c r="K789" s="800">
        <f t="shared" si="412"/>
        <v>-7339.2300000000396</v>
      </c>
      <c r="L789" s="792">
        <f t="shared" si="413"/>
        <v>-1.8008327639708405E-2</v>
      </c>
      <c r="M789" s="817">
        <f t="shared" si="414"/>
        <v>100207.21999999997</v>
      </c>
      <c r="N789" s="802">
        <f t="shared" si="415"/>
        <v>0.33402406666666656</v>
      </c>
      <c r="O789" s="786">
        <f t="shared" si="416"/>
        <v>0.10099527346854302</v>
      </c>
      <c r="P789" s="817" t="b">
        <f t="shared" si="417"/>
        <v>1</v>
      </c>
      <c r="Q789" s="802">
        <f>COUNTIF(P$2:P789, TRUE)/(COUNTIF(P$2:P789,FALSE) + COUNTIF(P$2:P789, TRUE))</f>
        <v>0.49746192893401014</v>
      </c>
      <c r="R789" s="844">
        <v>376330.48</v>
      </c>
      <c r="S789" s="846">
        <f t="shared" si="418"/>
        <v>23876.739999999991</v>
      </c>
      <c r="T789" s="800">
        <v>-32518</v>
      </c>
      <c r="U789" s="800">
        <f t="shared" si="419"/>
        <v>132725.21999999997</v>
      </c>
      <c r="V789" s="802">
        <f>STDEV(D$2:D789)*SQRT(252)</f>
        <v>0.14283079204781629</v>
      </c>
      <c r="W789" s="802">
        <f>STDEV(L$2:L789)*SQRT(252)</f>
        <v>0.25633378715539085</v>
      </c>
      <c r="X789" s="801">
        <f t="shared" si="420"/>
        <v>0.53429095177124997</v>
      </c>
      <c r="Y789" s="801">
        <f t="shared" si="421"/>
        <v>0.39399906890666414</v>
      </c>
      <c r="Z789" s="807">
        <f t="shared" si="406"/>
        <v>8.1631608380104359E-2</v>
      </c>
    </row>
    <row r="790" spans="1:26" ht="20.100000000000001" customHeight="1" x14ac:dyDescent="0.2">
      <c r="A790" s="776">
        <f t="shared" si="407"/>
        <v>1211</v>
      </c>
      <c r="B790" s="795">
        <v>43444</v>
      </c>
      <c r="C790" s="820">
        <v>2637.72</v>
      </c>
      <c r="D790" s="792">
        <f t="shared" si="408"/>
        <v>1.7621948440608994E-3</v>
      </c>
      <c r="E790" s="819">
        <f t="shared" si="409"/>
        <v>0.25459941781929557</v>
      </c>
      <c r="F790" s="816">
        <v>7020.52</v>
      </c>
      <c r="G790" s="792">
        <f t="shared" si="410"/>
        <v>7.356602216881363E-3</v>
      </c>
      <c r="H790" s="797">
        <f t="shared" si="411"/>
        <v>0.37881650529292782</v>
      </c>
      <c r="I790" s="841">
        <v>394920</v>
      </c>
      <c r="J790" s="800">
        <v>300000</v>
      </c>
      <c r="K790" s="800">
        <f t="shared" si="412"/>
        <v>-5287.2199999999721</v>
      </c>
      <c r="L790" s="792">
        <f t="shared" si="413"/>
        <v>-1.3211205934765427E-2</v>
      </c>
      <c r="M790" s="817">
        <f t="shared" si="414"/>
        <v>94920</v>
      </c>
      <c r="N790" s="802">
        <f t="shared" si="415"/>
        <v>0.31640000000000001</v>
      </c>
      <c r="O790" s="786">
        <f t="shared" si="416"/>
        <v>9.542947976878613E-2</v>
      </c>
      <c r="P790" s="817" t="b">
        <f t="shared" si="417"/>
        <v>0</v>
      </c>
      <c r="Q790" s="802">
        <f>COUNTIF(P$2:P790, TRUE)/(COUNTIF(P$2:P790,FALSE) + COUNTIF(P$2:P790, TRUE))</f>
        <v>0.49683143219264891</v>
      </c>
      <c r="R790" s="844">
        <v>380977.24</v>
      </c>
      <c r="S790" s="846">
        <f t="shared" si="418"/>
        <v>13942.760000000009</v>
      </c>
      <c r="T790" s="800">
        <v>-32738</v>
      </c>
      <c r="U790" s="800">
        <f t="shared" si="419"/>
        <v>127658</v>
      </c>
      <c r="V790" s="802">
        <f>STDEV(D$2:D790)*SQRT(252)</f>
        <v>0.14274232840004178</v>
      </c>
      <c r="W790" s="802">
        <f>STDEV(L$2:L790)*SQRT(252)</f>
        <v>0.25628966236844403</v>
      </c>
      <c r="X790" s="801">
        <f t="shared" si="420"/>
        <v>0.53796089946479109</v>
      </c>
      <c r="Y790" s="801">
        <f t="shared" si="421"/>
        <v>0.37235009358901089</v>
      </c>
      <c r="Z790" s="807">
        <f t="shared" ref="Z790:Z810" si="422">-(E790-N790)</f>
        <v>6.1800582180704444E-2</v>
      </c>
    </row>
    <row r="791" spans="1:26" ht="20.100000000000001" customHeight="1" x14ac:dyDescent="0.2">
      <c r="A791" s="776">
        <f t="shared" si="407"/>
        <v>1212</v>
      </c>
      <c r="B791" s="795">
        <v>43445</v>
      </c>
      <c r="C791" s="820">
        <v>2636.78</v>
      </c>
      <c r="D791" s="792">
        <f t="shared" si="408"/>
        <v>-3.5636837875119417E-4</v>
      </c>
      <c r="E791" s="819">
        <f t="shared" si="409"/>
        <v>0.25415231825878509</v>
      </c>
      <c r="F791" s="816">
        <v>7031.83</v>
      </c>
      <c r="G791" s="792">
        <f t="shared" si="410"/>
        <v>1.6109917783867136E-3</v>
      </c>
      <c r="H791" s="797">
        <f t="shared" si="411"/>
        <v>0.38103776734685862</v>
      </c>
      <c r="I791" s="841">
        <v>394934.34</v>
      </c>
      <c r="J791" s="800">
        <v>300000</v>
      </c>
      <c r="K791" s="800">
        <f t="shared" si="412"/>
        <v>14.340000000025611</v>
      </c>
      <c r="L791" s="792">
        <f t="shared" si="413"/>
        <v>3.6311151625710555E-5</v>
      </c>
      <c r="M791" s="817">
        <f t="shared" si="414"/>
        <v>94934.340000000026</v>
      </c>
      <c r="N791" s="802">
        <f t="shared" si="415"/>
        <v>0.31644780000000011</v>
      </c>
      <c r="O791" s="786">
        <f t="shared" si="416"/>
        <v>9.5365147648514892E-2</v>
      </c>
      <c r="P791" s="817" t="b">
        <f t="shared" si="417"/>
        <v>1</v>
      </c>
      <c r="Q791" s="802">
        <f>COUNTIF(P$2:P791, TRUE)/(COUNTIF(P$2:P791,FALSE) + COUNTIF(P$2:P791, TRUE))</f>
        <v>0.49746835443037973</v>
      </c>
      <c r="R791" s="844">
        <v>371237.75</v>
      </c>
      <c r="S791" s="846">
        <f t="shared" si="418"/>
        <v>23696.590000000026</v>
      </c>
      <c r="T791" s="800">
        <v>-32863</v>
      </c>
      <c r="U791" s="800">
        <f t="shared" si="419"/>
        <v>127797.34000000003</v>
      </c>
      <c r="V791" s="802">
        <f>STDEV(D$2:D791)*SQRT(252)</f>
        <v>0.14265225189057229</v>
      </c>
      <c r="W791" s="802">
        <f>STDEV(L$2:L791)*SQRT(252)</f>
        <v>0.25612716650451428</v>
      </c>
      <c r="X791" s="801">
        <f t="shared" si="420"/>
        <v>0.53691192326611614</v>
      </c>
      <c r="Y791" s="801">
        <f t="shared" si="421"/>
        <v>0.37233515268999812</v>
      </c>
      <c r="Z791" s="807">
        <f t="shared" si="422"/>
        <v>6.229548174121502E-2</v>
      </c>
    </row>
    <row r="792" spans="1:26" ht="20.100000000000001" customHeight="1" x14ac:dyDescent="0.2">
      <c r="A792" s="776">
        <f t="shared" si="407"/>
        <v>1213</v>
      </c>
      <c r="B792" s="795">
        <v>43446</v>
      </c>
      <c r="C792" s="820">
        <v>2651.07</v>
      </c>
      <c r="D792" s="792">
        <f t="shared" si="408"/>
        <v>5.4194889220943584E-3</v>
      </c>
      <c r="E792" s="819">
        <f t="shared" si="409"/>
        <v>0.26094918285420754</v>
      </c>
      <c r="F792" s="816">
        <v>7098.33</v>
      </c>
      <c r="G792" s="792">
        <f t="shared" si="410"/>
        <v>9.4569976805468844E-3</v>
      </c>
      <c r="H792" s="797">
        <f t="shared" si="411"/>
        <v>0.39409823830940555</v>
      </c>
      <c r="I792" s="841">
        <v>397418.44</v>
      </c>
      <c r="J792" s="800">
        <v>300000</v>
      </c>
      <c r="K792" s="800">
        <f t="shared" si="412"/>
        <v>2484.0999999999767</v>
      </c>
      <c r="L792" s="792">
        <f t="shared" si="413"/>
        <v>6.2899063170854591E-3</v>
      </c>
      <c r="M792" s="817">
        <f t="shared" si="414"/>
        <v>97418.44</v>
      </c>
      <c r="N792" s="802">
        <f t="shared" si="415"/>
        <v>0.32472813333333334</v>
      </c>
      <c r="O792" s="786">
        <f t="shared" si="416"/>
        <v>9.7779843940643041E-2</v>
      </c>
      <c r="P792" s="817" t="b">
        <f t="shared" si="417"/>
        <v>1</v>
      </c>
      <c r="Q792" s="802">
        <f>COUNTIF(P$2:P792, TRUE)/(COUNTIF(P$2:P792,FALSE) + COUNTIF(P$2:P792, TRUE))</f>
        <v>0.49810366624525915</v>
      </c>
      <c r="R792" s="844">
        <v>372992.36</v>
      </c>
      <c r="S792" s="846">
        <f t="shared" si="418"/>
        <v>24426.080000000016</v>
      </c>
      <c r="T792" s="800"/>
      <c r="U792" s="800"/>
      <c r="V792" s="802">
        <f>STDEV(D$2:D792)*SQRT(252)</f>
        <v>0.14259082814261542</v>
      </c>
      <c r="W792" s="802">
        <f>STDEV(L$2:L792)*SQRT(252)</f>
        <v>0.25598521011278219</v>
      </c>
      <c r="X792" s="801">
        <f t="shared" si="420"/>
        <v>0.55105351077994846</v>
      </c>
      <c r="Y792" s="801">
        <f t="shared" si="421"/>
        <v>0.38197458320956557</v>
      </c>
      <c r="Z792" s="807">
        <f t="shared" si="422"/>
        <v>6.3778950479125796E-2</v>
      </c>
    </row>
    <row r="793" spans="1:26" ht="20.100000000000001" customHeight="1" x14ac:dyDescent="0.2">
      <c r="A793" s="776">
        <f t="shared" si="407"/>
        <v>1214</v>
      </c>
      <c r="B793" s="795">
        <v>43447</v>
      </c>
      <c r="C793" s="820">
        <v>2650.54</v>
      </c>
      <c r="D793" s="792">
        <f t="shared" si="408"/>
        <v>-1.9991927787655551E-4</v>
      </c>
      <c r="E793" s="819">
        <f t="shared" si="409"/>
        <v>0.26069709480413228</v>
      </c>
      <c r="F793" s="816">
        <v>7070.33</v>
      </c>
      <c r="G793" s="792">
        <f t="shared" si="410"/>
        <v>-3.9445897837942162E-3</v>
      </c>
      <c r="H793" s="797">
        <f t="shared" si="411"/>
        <v>0.38859909264096476</v>
      </c>
      <c r="I793" s="841">
        <v>395222.97</v>
      </c>
      <c r="J793" s="800">
        <v>300000</v>
      </c>
      <c r="K793" s="800">
        <f t="shared" si="412"/>
        <v>-2195.4700000000303</v>
      </c>
      <c r="L793" s="792">
        <f t="shared" si="413"/>
        <v>-5.524328463470468E-3</v>
      </c>
      <c r="M793" s="817">
        <f t="shared" si="414"/>
        <v>95222.969999999972</v>
      </c>
      <c r="N793" s="802">
        <f t="shared" si="415"/>
        <v>0.31740989999999991</v>
      </c>
      <c r="O793" s="786">
        <f t="shared" si="416"/>
        <v>9.5497500803130131E-2</v>
      </c>
      <c r="P793" s="817" t="b">
        <f t="shared" si="417"/>
        <v>0</v>
      </c>
      <c r="Q793" s="802">
        <f>COUNTIF(P$2:P793, TRUE)/(COUNTIF(P$2:P793,FALSE) + COUNTIF(P$2:P793, TRUE))</f>
        <v>0.49747474747474746</v>
      </c>
      <c r="R793" s="844">
        <v>374886.39</v>
      </c>
      <c r="S793" s="846">
        <f t="shared" si="418"/>
        <v>20336.579999999958</v>
      </c>
      <c r="T793" s="800">
        <v>-32638</v>
      </c>
      <c r="U793" s="800">
        <f t="shared" ref="U793:U824" si="423">M793-T793</f>
        <v>127860.96999999997</v>
      </c>
      <c r="V793" s="802">
        <f>STDEV(D$2:D793)*SQRT(252)</f>
        <v>0.14250087072688253</v>
      </c>
      <c r="W793" s="802">
        <f>STDEV(L$2:L793)*SQRT(252)</f>
        <v>0.25584630103004341</v>
      </c>
      <c r="X793" s="801">
        <f t="shared" si="420"/>
        <v>0.55041493716150969</v>
      </c>
      <c r="Y793" s="801">
        <f t="shared" si="421"/>
        <v>0.37326121354365838</v>
      </c>
      <c r="Z793" s="807">
        <f t="shared" si="422"/>
        <v>5.6712805195867633E-2</v>
      </c>
    </row>
    <row r="794" spans="1:26" ht="20.100000000000001" customHeight="1" x14ac:dyDescent="0.2">
      <c r="A794" s="776">
        <f t="shared" si="407"/>
        <v>1215</v>
      </c>
      <c r="B794" s="795">
        <v>43448</v>
      </c>
      <c r="C794" s="820">
        <v>2599.9499999999998</v>
      </c>
      <c r="D794" s="792">
        <f t="shared" si="408"/>
        <v>-1.9086676677205455E-2</v>
      </c>
      <c r="E794" s="819">
        <f t="shared" si="409"/>
        <v>0.23663457696771359</v>
      </c>
      <c r="F794" s="816">
        <v>6910.66</v>
      </c>
      <c r="G794" s="792">
        <f t="shared" si="410"/>
        <v>-2.2583104324692068E-2</v>
      </c>
      <c r="H794" s="797">
        <f t="shared" si="411"/>
        <v>0.35724021446668108</v>
      </c>
      <c r="I794" s="841">
        <v>390251.59</v>
      </c>
      <c r="J794" s="800">
        <v>300000</v>
      </c>
      <c r="K794" s="800">
        <f t="shared" si="412"/>
        <v>-4971.3799999999464</v>
      </c>
      <c r="L794" s="792">
        <f t="shared" si="413"/>
        <v>-1.2578671730542248E-2</v>
      </c>
      <c r="M794" s="817">
        <f t="shared" si="414"/>
        <v>90251.590000000026</v>
      </c>
      <c r="N794" s="802">
        <f t="shared" si="415"/>
        <v>0.30083863333333344</v>
      </c>
      <c r="O794" s="786">
        <f t="shared" ref="O794:O799" si="424">N794/(A794/365.25)</f>
        <v>9.0437292860082341E-2</v>
      </c>
      <c r="P794" s="817" t="b">
        <f t="shared" si="417"/>
        <v>1</v>
      </c>
      <c r="Q794" s="802">
        <f>COUNTIF(P$2:P794, TRUE)/(COUNTIF(P$2:P794,FALSE) + COUNTIF(P$2:P794, TRUE))</f>
        <v>0.49810844892812106</v>
      </c>
      <c r="R794" s="844">
        <v>381932.95</v>
      </c>
      <c r="S794" s="846">
        <f t="shared" si="418"/>
        <v>8318.640000000014</v>
      </c>
      <c r="T794" s="800">
        <v>-32893</v>
      </c>
      <c r="U794" s="800">
        <f t="shared" si="423"/>
        <v>123144.59000000003</v>
      </c>
      <c r="V794" s="802">
        <f>STDEV(D$2:D794)*SQRT(252)</f>
        <v>0.14283144875016193</v>
      </c>
      <c r="W794" s="802">
        <f>STDEV(L$2:L794)*SQRT(252)</f>
        <v>0.25579202214238894</v>
      </c>
      <c r="X794" s="801">
        <f t="shared" si="420"/>
        <v>0.49804468441167937</v>
      </c>
      <c r="Y794" s="801">
        <f t="shared" si="421"/>
        <v>0.35355791045640822</v>
      </c>
      <c r="Z794" s="807">
        <f t="shared" si="422"/>
        <v>6.4204056365619849E-2</v>
      </c>
    </row>
    <row r="795" spans="1:26" ht="20.100000000000001" customHeight="1" x14ac:dyDescent="0.2">
      <c r="A795" s="776">
        <f t="shared" si="407"/>
        <v>1218</v>
      </c>
      <c r="B795" s="795">
        <v>43451</v>
      </c>
      <c r="C795" s="820">
        <v>2545.94</v>
      </c>
      <c r="D795" s="792">
        <f t="shared" si="408"/>
        <v>-2.0773476413007853E-2</v>
      </c>
      <c r="E795" s="819">
        <f t="shared" si="409"/>
        <v>0.21094537775156486</v>
      </c>
      <c r="F795" s="816">
        <v>6753.73</v>
      </c>
      <c r="G795" s="792">
        <f t="shared" si="410"/>
        <v>-2.2708395435457728E-2</v>
      </c>
      <c r="H795" s="797">
        <f t="shared" si="411"/>
        <v>0.32641946697566626</v>
      </c>
      <c r="I795" s="841">
        <v>403520.73</v>
      </c>
      <c r="J795" s="800">
        <v>320000</v>
      </c>
      <c r="K795" s="800">
        <f t="shared" si="412"/>
        <v>-6730.8600000000442</v>
      </c>
      <c r="L795" s="792">
        <f t="shared" si="413"/>
        <v>-1.7247488985246782E-2</v>
      </c>
      <c r="M795" s="817">
        <f t="shared" si="414"/>
        <v>83520.729999999981</v>
      </c>
      <c r="N795" s="802">
        <f t="shared" si="415"/>
        <v>0.26100228124999997</v>
      </c>
      <c r="O795" s="786">
        <f t="shared" si="424"/>
        <v>7.8268541236915012E-2</v>
      </c>
      <c r="P795" s="817" t="b">
        <f t="shared" si="417"/>
        <v>1</v>
      </c>
      <c r="Q795" s="802">
        <f>COUNTIF(P$2:P795, TRUE)/(COUNTIF(P$2:P795,FALSE) + COUNTIF(P$2:P795, TRUE))</f>
        <v>0.4987405541561713</v>
      </c>
      <c r="R795" s="844">
        <v>384343.14</v>
      </c>
      <c r="S795" s="846">
        <f t="shared" si="418"/>
        <v>19177.589999999967</v>
      </c>
      <c r="T795" s="800">
        <v>-33213</v>
      </c>
      <c r="U795" s="800">
        <f t="shared" si="423"/>
        <v>116733.72999999998</v>
      </c>
      <c r="V795" s="802">
        <f>STDEV(D$2:D795)*SQRT(252)</f>
        <v>0.14323513589501158</v>
      </c>
      <c r="W795" s="802">
        <f>STDEV(L$2:L795)*SQRT(252)</f>
        <v>0.25582729145072775</v>
      </c>
      <c r="X795" s="801">
        <f t="shared" si="420"/>
        <v>0.4416348993939519</v>
      </c>
      <c r="Y795" s="801">
        <f t="shared" si="421"/>
        <v>0.3059428913665746</v>
      </c>
      <c r="Z795" s="807">
        <f t="shared" si="422"/>
        <v>5.0056903498435112E-2</v>
      </c>
    </row>
    <row r="796" spans="1:26" ht="20.100000000000001" customHeight="1" x14ac:dyDescent="0.2">
      <c r="A796" s="776">
        <f t="shared" si="407"/>
        <v>1219</v>
      </c>
      <c r="B796" s="795">
        <v>43452</v>
      </c>
      <c r="C796" s="820">
        <v>2546.16</v>
      </c>
      <c r="D796" s="792">
        <f t="shared" si="408"/>
        <v>8.6412091408202824E-5</v>
      </c>
      <c r="E796" s="819">
        <f t="shared" si="409"/>
        <v>0.21105001807423746</v>
      </c>
      <c r="F796" s="816">
        <v>6783.91</v>
      </c>
      <c r="G796" s="792">
        <f t="shared" si="410"/>
        <v>4.4686417727685728E-3</v>
      </c>
      <c r="H796" s="797">
        <f t="shared" si="411"/>
        <v>0.33234676041400713</v>
      </c>
      <c r="I796" s="841">
        <v>400572.75</v>
      </c>
      <c r="J796" s="800">
        <v>320000</v>
      </c>
      <c r="K796" s="800">
        <f t="shared" si="412"/>
        <v>-2947.9799999999814</v>
      </c>
      <c r="L796" s="792">
        <f t="shared" si="413"/>
        <v>-7.3056469738245703E-3</v>
      </c>
      <c r="M796" s="817">
        <f t="shared" si="414"/>
        <v>80572.75</v>
      </c>
      <c r="N796" s="802">
        <f t="shared" si="415"/>
        <v>0.25178984375000002</v>
      </c>
      <c r="O796" s="786">
        <f t="shared" si="424"/>
        <v>7.544400363386998E-2</v>
      </c>
      <c r="P796" s="817" t="b">
        <f t="shared" si="417"/>
        <v>0</v>
      </c>
      <c r="Q796" s="802">
        <f>COUNTIF(P$2:P796, TRUE)/(COUNTIF(P$2:P796,FALSE) + COUNTIF(P$2:P796, TRUE))</f>
        <v>0.49811320754716981</v>
      </c>
      <c r="R796" s="844">
        <v>387695.17</v>
      </c>
      <c r="S796" s="846">
        <f t="shared" si="418"/>
        <v>12877.580000000016</v>
      </c>
      <c r="T796" s="800">
        <v>-33548</v>
      </c>
      <c r="U796" s="800">
        <f t="shared" si="423"/>
        <v>114120.75</v>
      </c>
      <c r="V796" s="802">
        <f>STDEV(D$2:D796)*SQRT(252)</f>
        <v>0.14314483766750083</v>
      </c>
      <c r="W796" s="802">
        <f>STDEV(L$2:L796)*SQRT(252)</f>
        <v>0.25570401974375362</v>
      </c>
      <c r="X796" s="801">
        <f t="shared" si="420"/>
        <v>0.44177000214436546</v>
      </c>
      <c r="Y796" s="801">
        <f t="shared" si="421"/>
        <v>0.29504426136700551</v>
      </c>
      <c r="Z796" s="807">
        <f t="shared" si="422"/>
        <v>4.0739825675762564E-2</v>
      </c>
    </row>
    <row r="797" spans="1:26" ht="20.100000000000001" customHeight="1" x14ac:dyDescent="0.2">
      <c r="A797" s="776">
        <f t="shared" si="407"/>
        <v>1220</v>
      </c>
      <c r="B797" s="795">
        <v>43453</v>
      </c>
      <c r="C797" s="820">
        <v>2506.96</v>
      </c>
      <c r="D797" s="792">
        <f t="shared" si="408"/>
        <v>-1.5395733182517917E-2</v>
      </c>
      <c r="E797" s="819">
        <f t="shared" si="409"/>
        <v>0.19240501512528299</v>
      </c>
      <c r="F797" s="816">
        <v>6636.82</v>
      </c>
      <c r="G797" s="792">
        <f t="shared" si="410"/>
        <v>-2.1682186231833874E-2</v>
      </c>
      <c r="H797" s="797">
        <f t="shared" si="411"/>
        <v>0.30345856982933006</v>
      </c>
      <c r="I797" s="841">
        <v>393811.15</v>
      </c>
      <c r="J797" s="800">
        <v>320000</v>
      </c>
      <c r="K797" s="800">
        <f t="shared" si="412"/>
        <v>-6761.5999999999767</v>
      </c>
      <c r="L797" s="792">
        <f t="shared" si="413"/>
        <v>-1.6879830193142136E-2</v>
      </c>
      <c r="M797" s="817">
        <f t="shared" si="414"/>
        <v>73811.150000000023</v>
      </c>
      <c r="N797" s="802">
        <f t="shared" si="415"/>
        <v>0.23065984375000007</v>
      </c>
      <c r="O797" s="786">
        <f t="shared" si="424"/>
        <v>6.9056154040727472E-2</v>
      </c>
      <c r="P797" s="817" t="b">
        <f t="shared" si="417"/>
        <v>0</v>
      </c>
      <c r="Q797" s="802">
        <f>COUNTIF(P$2:P797, TRUE)/(COUNTIF(P$2:P797,FALSE) + COUNTIF(P$2:P797, TRUE))</f>
        <v>0.49748743718592964</v>
      </c>
      <c r="R797" s="844">
        <v>388696.71</v>
      </c>
      <c r="S797" s="846">
        <f t="shared" si="418"/>
        <v>5114.4400000000023</v>
      </c>
      <c r="T797" s="800">
        <v>-34078</v>
      </c>
      <c r="U797" s="800">
        <f t="shared" si="423"/>
        <v>107889.15000000002</v>
      </c>
      <c r="V797" s="802">
        <f>STDEV(D$2:D797)*SQRT(252)</f>
        <v>0.14332671673748226</v>
      </c>
      <c r="W797" s="802">
        <f>STDEV(L$2:L797)*SQRT(252)</f>
        <v>0.2557305996993815</v>
      </c>
      <c r="X797" s="801">
        <f t="shared" si="420"/>
        <v>0.40190150222653709</v>
      </c>
      <c r="Y797" s="801">
        <f t="shared" si="421"/>
        <v>0.27003477144270149</v>
      </c>
      <c r="Z797" s="807">
        <f t="shared" si="422"/>
        <v>3.8254828624717074E-2</v>
      </c>
    </row>
    <row r="798" spans="1:26" ht="20.100000000000001" customHeight="1" x14ac:dyDescent="0.2">
      <c r="A798" s="776">
        <f t="shared" si="407"/>
        <v>1221</v>
      </c>
      <c r="B798" s="795">
        <v>43454</v>
      </c>
      <c r="C798" s="820">
        <v>2467.42</v>
      </c>
      <c r="D798" s="792">
        <f t="shared" si="408"/>
        <v>-1.5772090500047853E-2</v>
      </c>
      <c r="E798" s="819">
        <f t="shared" si="409"/>
        <v>0.1735982953140161</v>
      </c>
      <c r="F798" s="816">
        <v>6528.4</v>
      </c>
      <c r="G798" s="792">
        <f t="shared" si="410"/>
        <v>-1.6336136884833413E-2</v>
      </c>
      <c r="H798" s="797">
        <f t="shared" si="411"/>
        <v>0.28216509220888897</v>
      </c>
      <c r="I798" s="841">
        <v>391645.45</v>
      </c>
      <c r="J798" s="800">
        <v>324000</v>
      </c>
      <c r="K798" s="800">
        <f t="shared" si="412"/>
        <v>-6165.7000000000116</v>
      </c>
      <c r="L798" s="792">
        <f t="shared" si="413"/>
        <v>-1.5656489157302965E-2</v>
      </c>
      <c r="M798" s="817">
        <f t="shared" si="414"/>
        <v>67645.450000000012</v>
      </c>
      <c r="N798" s="802">
        <f t="shared" si="415"/>
        <v>0.20878225308641979</v>
      </c>
      <c r="O798" s="786">
        <f t="shared" si="424"/>
        <v>6.2455133447841794E-2</v>
      </c>
      <c r="P798" s="817" t="b">
        <f t="shared" si="417"/>
        <v>1</v>
      </c>
      <c r="Q798" s="802">
        <f>COUNTIF(P$2:P798, TRUE)/(COUNTIF(P$2:P798,FALSE) + COUNTIF(P$2:P798, TRUE))</f>
        <v>0.49811794228356338</v>
      </c>
      <c r="R798" s="844">
        <v>381731.15</v>
      </c>
      <c r="S798" s="846">
        <f t="shared" si="418"/>
        <v>9914.2999999999884</v>
      </c>
      <c r="T798" s="800">
        <v>-34198</v>
      </c>
      <c r="U798" s="800">
        <f t="shared" si="423"/>
        <v>101843.45000000001</v>
      </c>
      <c r="V798" s="802">
        <f>STDEV(D$2:D798)*SQRT(252)</f>
        <v>0.1435203831717361</v>
      </c>
      <c r="W798" s="802">
        <f>STDEV(L$2:L798)*SQRT(252)</f>
        <v>0.25573125260044621</v>
      </c>
      <c r="X798" s="801">
        <f t="shared" si="420"/>
        <v>0.36183154924220068</v>
      </c>
      <c r="Y798" s="801">
        <f t="shared" si="421"/>
        <v>0.24422174768533872</v>
      </c>
      <c r="Z798" s="807">
        <f t="shared" si="422"/>
        <v>3.5183957772403684E-2</v>
      </c>
    </row>
    <row r="799" spans="1:26" ht="20.100000000000001" customHeight="1" x14ac:dyDescent="0.2">
      <c r="A799" s="776">
        <f t="shared" si="407"/>
        <v>1222</v>
      </c>
      <c r="B799" s="795">
        <v>43455</v>
      </c>
      <c r="C799" s="820">
        <v>2416.62</v>
      </c>
      <c r="D799" s="792">
        <f t="shared" si="408"/>
        <v>-2.0588306814405405E-2</v>
      </c>
      <c r="E799" s="819">
        <f t="shared" si="409"/>
        <v>0.14943589353322798</v>
      </c>
      <c r="F799" s="816">
        <v>6332.99</v>
      </c>
      <c r="G799" s="792">
        <f t="shared" si="410"/>
        <v>-2.9932295815207382E-2</v>
      </c>
      <c r="H799" s="797">
        <f t="shared" si="411"/>
        <v>0.24378694738495985</v>
      </c>
      <c r="I799" s="841">
        <v>379670.04</v>
      </c>
      <c r="J799" s="800">
        <v>320000</v>
      </c>
      <c r="K799" s="800">
        <f t="shared" si="412"/>
        <v>-7975.4100000000326</v>
      </c>
      <c r="L799" s="792">
        <f t="shared" si="413"/>
        <v>-2.03638520503686E-2</v>
      </c>
      <c r="M799" s="817">
        <f t="shared" si="414"/>
        <v>59670.039999999979</v>
      </c>
      <c r="N799" s="802">
        <f t="shared" si="415"/>
        <v>0.18646887499999992</v>
      </c>
      <c r="O799" s="786">
        <f t="shared" si="424"/>
        <v>5.573466169701307E-2</v>
      </c>
      <c r="P799" s="817" t="b">
        <f t="shared" si="417"/>
        <v>1</v>
      </c>
      <c r="Q799" s="802">
        <f>COUNTIF(P$2:P799, TRUE)/(COUNTIF(P$2:P799,FALSE) + COUNTIF(P$2:P799, TRUE))</f>
        <v>0.49874686716791977</v>
      </c>
      <c r="R799" s="844">
        <v>373594.77</v>
      </c>
      <c r="S799" s="846">
        <f t="shared" si="418"/>
        <v>6075.2699999999604</v>
      </c>
      <c r="T799" s="800">
        <v>-34598</v>
      </c>
      <c r="U799" s="800">
        <f t="shared" si="423"/>
        <v>94268.039999999979</v>
      </c>
      <c r="V799" s="802">
        <f>STDEV(D$2:D799)*SQRT(252)</f>
        <v>0.14390766757524359</v>
      </c>
      <c r="W799" s="802">
        <f>STDEV(L$2:L799)*SQRT(252)</f>
        <v>0.25583906651797655</v>
      </c>
      <c r="X799" s="801">
        <f t="shared" si="420"/>
        <v>0.31037734166269837</v>
      </c>
      <c r="Y799" s="801">
        <f t="shared" si="421"/>
        <v>0.21785047317273912</v>
      </c>
      <c r="Z799" s="807">
        <f t="shared" si="422"/>
        <v>3.7032981466771947E-2</v>
      </c>
    </row>
    <row r="800" spans="1:26" ht="20.100000000000001" customHeight="1" x14ac:dyDescent="0.2">
      <c r="A800" s="776">
        <f t="shared" si="407"/>
        <v>1225</v>
      </c>
      <c r="B800" s="795">
        <v>43458</v>
      </c>
      <c r="C800" s="820">
        <v>2351.1</v>
      </c>
      <c r="D800" s="792">
        <f t="shared" si="408"/>
        <v>-2.7112247684782872E-2</v>
      </c>
      <c r="E800" s="819">
        <f t="shared" si="409"/>
        <v>0.11827210288997539</v>
      </c>
      <c r="F800" s="816">
        <v>6192.91</v>
      </c>
      <c r="G800" s="792">
        <f t="shared" si="410"/>
        <v>-2.2119093824559951E-2</v>
      </c>
      <c r="H800" s="797">
        <f t="shared" si="411"/>
        <v>0.21627550719798891</v>
      </c>
      <c r="I800" s="841">
        <v>369856.13</v>
      </c>
      <c r="J800" s="800">
        <v>320000</v>
      </c>
      <c r="K800" s="800">
        <f t="shared" si="412"/>
        <v>-9813.9099999999744</v>
      </c>
      <c r="L800" s="792">
        <f t="shared" si="413"/>
        <v>-2.5848523628569625E-2</v>
      </c>
      <c r="M800" s="817">
        <f t="shared" si="414"/>
        <v>49856.130000000005</v>
      </c>
      <c r="N800" s="802">
        <f t="shared" si="415"/>
        <v>0.15580040625000002</v>
      </c>
      <c r="O800" s="786">
        <f t="shared" ref="O800:O811" si="425">N800/(A800/365.25)</f>
        <v>4.6453957863520419E-2</v>
      </c>
      <c r="P800" s="817" t="b">
        <f t="shared" si="417"/>
        <v>1</v>
      </c>
      <c r="Q800" s="802">
        <f>COUNTIF(P$2:P800, TRUE)/(COUNTIF(P$2:P800,FALSE) + COUNTIF(P$2:P800, TRUE))</f>
        <v>0.49937421777221525</v>
      </c>
      <c r="R800" s="844">
        <v>365993.41</v>
      </c>
      <c r="S800" s="846">
        <f t="shared" si="418"/>
        <v>3862.7200000000303</v>
      </c>
      <c r="T800" s="800">
        <v>-35353</v>
      </c>
      <c r="U800" s="800">
        <f t="shared" si="423"/>
        <v>85209.13</v>
      </c>
      <c r="V800" s="802">
        <f>STDEV(D$2:D800)*SQRT(252)</f>
        <v>0.14463496169790896</v>
      </c>
      <c r="W800" s="802">
        <f>STDEV(L$2:L800)*SQRT(252)</f>
        <v>0.25610524568081611</v>
      </c>
      <c r="X800" s="801">
        <f t="shared" si="420"/>
        <v>0.24381654323628571</v>
      </c>
      <c r="Y800" s="801">
        <f t="shared" si="421"/>
        <v>0.18138620214525389</v>
      </c>
      <c r="Z800" s="807">
        <f t="shared" si="422"/>
        <v>3.7528303360024634E-2</v>
      </c>
    </row>
    <row r="801" spans="1:26" ht="20.100000000000001" customHeight="1" x14ac:dyDescent="0.2">
      <c r="A801" s="776">
        <f t="shared" si="407"/>
        <v>1226</v>
      </c>
      <c r="B801" s="795">
        <v>43459</v>
      </c>
      <c r="C801" s="820">
        <v>2467.6999999999998</v>
      </c>
      <c r="D801" s="792">
        <f t="shared" si="408"/>
        <v>4.9593807154098044E-2</v>
      </c>
      <c r="E801" s="819">
        <f t="shared" si="409"/>
        <v>0.1737314739065085</v>
      </c>
      <c r="F801" s="816">
        <v>6554.35</v>
      </c>
      <c r="G801" s="792">
        <f t="shared" si="410"/>
        <v>5.8363515697789976E-2</v>
      </c>
      <c r="H801" s="797">
        <f t="shared" si="411"/>
        <v>0.28726162185517617</v>
      </c>
      <c r="I801" s="841">
        <v>397720.93</v>
      </c>
      <c r="J801" s="800">
        <v>330000</v>
      </c>
      <c r="K801" s="800">
        <f t="shared" si="412"/>
        <v>17864.799999999988</v>
      </c>
      <c r="L801" s="792">
        <f t="shared" si="413"/>
        <v>4.8302024898167803E-2</v>
      </c>
      <c r="M801" s="817">
        <f t="shared" si="414"/>
        <v>67720.929999999993</v>
      </c>
      <c r="N801" s="802">
        <f t="shared" si="415"/>
        <v>0.20521493939393937</v>
      </c>
      <c r="O801" s="786">
        <f t="shared" si="425"/>
        <v>6.1137648135103063E-2</v>
      </c>
      <c r="P801" s="817" t="b">
        <f t="shared" si="417"/>
        <v>0</v>
      </c>
      <c r="Q801" s="802">
        <f>COUNTIF(P$2:P801, TRUE)/(COUNTIF(P$2:P801,FALSE) + COUNTIF(P$2:P801, TRUE))</f>
        <v>0.49875000000000003</v>
      </c>
      <c r="R801" s="844">
        <v>381222.18</v>
      </c>
      <c r="S801" s="846">
        <f t="shared" si="418"/>
        <v>16498.75</v>
      </c>
      <c r="T801" s="800">
        <v>-34978</v>
      </c>
      <c r="U801" s="800">
        <f t="shared" si="423"/>
        <v>102698.93</v>
      </c>
      <c r="V801" s="802">
        <f>STDEV(D$2:D801)*SQRT(252)</f>
        <v>0.1471839430636058</v>
      </c>
      <c r="W801" s="802">
        <f>STDEV(L$2:L801)*SQRT(252)</f>
        <v>0.25735367126463243</v>
      </c>
      <c r="X801" s="801">
        <f t="shared" si="420"/>
        <v>0.35165583259536887</v>
      </c>
      <c r="Y801" s="801">
        <f t="shared" si="421"/>
        <v>0.23756275880842692</v>
      </c>
      <c r="Z801" s="807">
        <f t="shared" si="422"/>
        <v>3.1483465487430862E-2</v>
      </c>
    </row>
    <row r="802" spans="1:26" ht="20.100000000000001" customHeight="1" x14ac:dyDescent="0.2">
      <c r="A802" s="776">
        <f t="shared" si="407"/>
        <v>1227</v>
      </c>
      <c r="B802" s="795">
        <v>43460</v>
      </c>
      <c r="C802" s="820">
        <v>2488.83</v>
      </c>
      <c r="D802" s="792">
        <f t="shared" si="408"/>
        <v>8.5626291688617375E-3</v>
      </c>
      <c r="E802" s="819">
        <f t="shared" si="409"/>
        <v>0.18378170126139146</v>
      </c>
      <c r="F802" s="816">
        <v>6579.49</v>
      </c>
      <c r="G802" s="792">
        <f t="shared" si="410"/>
        <v>3.8356206183678652E-3</v>
      </c>
      <c r="H802" s="797">
        <f t="shared" si="411"/>
        <v>0.29219906907319754</v>
      </c>
      <c r="I802" s="841">
        <v>400089.72</v>
      </c>
      <c r="J802" s="800">
        <v>330000</v>
      </c>
      <c r="K802" s="800">
        <f t="shared" si="412"/>
        <v>2368.789999999979</v>
      </c>
      <c r="L802" s="792">
        <f t="shared" si="413"/>
        <v>5.9559098385895334E-3</v>
      </c>
      <c r="M802" s="817">
        <f t="shared" si="414"/>
        <v>70089.719999999972</v>
      </c>
      <c r="N802" s="802">
        <f t="shared" si="415"/>
        <v>0.21239309090909084</v>
      </c>
      <c r="O802" s="786">
        <f t="shared" si="425"/>
        <v>6.3224593687486091E-2</v>
      </c>
      <c r="P802" s="817" t="b">
        <f t="shared" si="417"/>
        <v>0</v>
      </c>
      <c r="Q802" s="802">
        <f>COUNTIF(P$2:P802, TRUE)/(COUNTIF(P$2:P802,FALSE) + COUNTIF(P$2:P802, TRUE))</f>
        <v>0.49812734082397003</v>
      </c>
      <c r="R802" s="844">
        <v>381319.2</v>
      </c>
      <c r="S802" s="846">
        <f t="shared" si="418"/>
        <v>18770.51999999996</v>
      </c>
      <c r="T802" s="800">
        <v>-34743</v>
      </c>
      <c r="U802" s="800">
        <f t="shared" si="423"/>
        <v>104832.71999999997</v>
      </c>
      <c r="V802" s="802">
        <f>STDEV(D$2:D802)*SQRT(252)</f>
        <v>0.14716589634566396</v>
      </c>
      <c r="W802" s="802">
        <f>STDEV(L$2:L802)*SQRT(252)</f>
        <v>0.25721095976864045</v>
      </c>
      <c r="X802" s="801">
        <f t="shared" si="420"/>
        <v>0.37174124525222235</v>
      </c>
      <c r="Y802" s="801">
        <f t="shared" si="421"/>
        <v>0.24580831914921586</v>
      </c>
      <c r="Z802" s="807">
        <f t="shared" si="422"/>
        <v>2.8611389647699381E-2</v>
      </c>
    </row>
    <row r="803" spans="1:26" ht="20.100000000000001" customHeight="1" x14ac:dyDescent="0.2">
      <c r="A803" s="776">
        <f t="shared" si="407"/>
        <v>1228</v>
      </c>
      <c r="B803" s="795">
        <v>43461</v>
      </c>
      <c r="C803" s="820">
        <v>2485.7399999999998</v>
      </c>
      <c r="D803" s="792">
        <f t="shared" si="408"/>
        <v>-1.2415472330372687E-3</v>
      </c>
      <c r="E803" s="819">
        <f t="shared" si="409"/>
        <v>0.18231198036567023</v>
      </c>
      <c r="F803" s="816">
        <v>6584.52</v>
      </c>
      <c r="G803" s="792">
        <f t="shared" si="410"/>
        <v>7.6449694429213432E-4</v>
      </c>
      <c r="H803" s="797">
        <f t="shared" si="411"/>
        <v>0.29318695131292116</v>
      </c>
      <c r="I803" s="841">
        <v>399683.68</v>
      </c>
      <c r="J803" s="800">
        <v>330000</v>
      </c>
      <c r="K803" s="800">
        <f t="shared" si="412"/>
        <v>-406.03999999997905</v>
      </c>
      <c r="L803" s="792">
        <f t="shared" si="413"/>
        <v>-1.0148723641286736E-3</v>
      </c>
      <c r="M803" s="817">
        <f t="shared" si="414"/>
        <v>69683.679999999993</v>
      </c>
      <c r="N803" s="802">
        <f t="shared" si="415"/>
        <v>0.21116266666666664</v>
      </c>
      <c r="O803" s="786">
        <f t="shared" si="425"/>
        <v>6.280713680781759E-2</v>
      </c>
      <c r="P803" s="817" t="b">
        <f t="shared" si="417"/>
        <v>1</v>
      </c>
      <c r="Q803" s="802">
        <f>COUNTIF(P$2:P803, TRUE)/(COUNTIF(P$2:P803,FALSE) + COUNTIF(P$2:P803, TRUE))</f>
        <v>0.49875311720698257</v>
      </c>
      <c r="R803" s="844">
        <v>377532.65</v>
      </c>
      <c r="S803" s="846">
        <f t="shared" si="418"/>
        <v>22151.02999999997</v>
      </c>
      <c r="T803" s="800">
        <v>-34838</v>
      </c>
      <c r="U803" s="800">
        <f t="shared" si="423"/>
        <v>104521.68</v>
      </c>
      <c r="V803" s="802">
        <f>STDEV(D$2:D803)*SQRT(252)</f>
        <v>0.14707628063753114</v>
      </c>
      <c r="W803" s="802">
        <f>STDEV(L$2:L803)*SQRT(252)</f>
        <v>0.25705152605780235</v>
      </c>
      <c r="X803" s="801">
        <f t="shared" si="420"/>
        <v>0.36869260578086188</v>
      </c>
      <c r="Y803" s="801">
        <f t="shared" si="421"/>
        <v>0.2443367591355764</v>
      </c>
      <c r="Z803" s="807">
        <f t="shared" si="422"/>
        <v>2.8850686300996409E-2</v>
      </c>
    </row>
    <row r="804" spans="1:26" ht="20.100000000000001" customHeight="1" x14ac:dyDescent="0.2">
      <c r="A804" s="776">
        <f t="shared" si="407"/>
        <v>1232</v>
      </c>
      <c r="B804" s="795">
        <v>43465</v>
      </c>
      <c r="C804" s="820">
        <v>2506.85</v>
      </c>
      <c r="D804" s="792">
        <f t="shared" si="408"/>
        <v>8.4924408827955176E-3</v>
      </c>
      <c r="E804" s="819">
        <f t="shared" si="409"/>
        <v>0.19235269496394658</v>
      </c>
      <c r="F804" s="816">
        <v>6635.27</v>
      </c>
      <c r="G804" s="792">
        <f t="shared" si="410"/>
        <v>7.7074714633716653E-3</v>
      </c>
      <c r="H804" s="797">
        <f t="shared" si="411"/>
        <v>0.30315415283697011</v>
      </c>
      <c r="I804" s="845">
        <v>401403.32</v>
      </c>
      <c r="J804" s="800">
        <v>330000</v>
      </c>
      <c r="K804" s="800">
        <f t="shared" si="412"/>
        <v>1719.640000000014</v>
      </c>
      <c r="L804" s="792">
        <f t="shared" si="413"/>
        <v>4.302502418912911E-3</v>
      </c>
      <c r="M804" s="823">
        <f t="shared" si="414"/>
        <v>71403.320000000007</v>
      </c>
      <c r="N804" s="802">
        <f t="shared" si="415"/>
        <v>0.21637369696969699</v>
      </c>
      <c r="O804" s="786">
        <f t="shared" si="425"/>
        <v>6.4148127287485243E-2</v>
      </c>
      <c r="P804" s="817" t="b">
        <f t="shared" si="417"/>
        <v>0</v>
      </c>
      <c r="Q804" s="802">
        <f>COUNTIF(P$2:P804, TRUE)/(COUNTIF(P$2:P804,FALSE) + COUNTIF(P$2:P804, TRUE))</f>
        <v>0.49813200498132004</v>
      </c>
      <c r="R804" s="844">
        <v>379185.39</v>
      </c>
      <c r="S804" s="846">
        <f t="shared" si="418"/>
        <v>22217.929999999993</v>
      </c>
      <c r="T804" s="800">
        <v>-35103</v>
      </c>
      <c r="U804" s="800">
        <f t="shared" si="423"/>
        <v>106506.32</v>
      </c>
      <c r="V804" s="802">
        <f>STDEV(D$2:D804)*SQRT(252)</f>
        <v>0.14705700784721867</v>
      </c>
      <c r="W804" s="802">
        <f>STDEV(L$2:L804)*SQRT(252)</f>
        <v>0.25689994881657369</v>
      </c>
      <c r="X804" s="801">
        <f t="shared" si="420"/>
        <v>0.38778594733517285</v>
      </c>
      <c r="Y804" s="801">
        <f t="shared" si="421"/>
        <v>0.24970081770349803</v>
      </c>
      <c r="Z804" s="807">
        <f t="shared" si="422"/>
        <v>2.4021002005750414E-2</v>
      </c>
    </row>
    <row r="805" spans="1:26" ht="20.100000000000001" customHeight="1" x14ac:dyDescent="0.2">
      <c r="A805" s="776">
        <f t="shared" si="407"/>
        <v>1234</v>
      </c>
      <c r="B805" s="795">
        <v>43467</v>
      </c>
      <c r="C805" s="820">
        <v>2510.0300000000002</v>
      </c>
      <c r="D805" s="792">
        <f t="shared" si="408"/>
        <v>1.2685242435727271E-3</v>
      </c>
      <c r="E805" s="819">
        <f t="shared" si="409"/>
        <v>0.19386522326439762</v>
      </c>
      <c r="F805" s="816">
        <v>6665.93</v>
      </c>
      <c r="G805" s="792">
        <f t="shared" si="410"/>
        <v>4.6207614761720099E-3</v>
      </c>
      <c r="H805" s="797">
        <f t="shared" si="411"/>
        <v>0.30917571734391275</v>
      </c>
      <c r="I805" s="841">
        <v>406235.48</v>
      </c>
      <c r="J805" s="800">
        <v>330000</v>
      </c>
      <c r="K805" s="800">
        <f t="shared" si="412"/>
        <v>4832.1599999999744</v>
      </c>
      <c r="L805" s="792">
        <f t="shared" si="413"/>
        <v>1.203816650046635E-2</v>
      </c>
      <c r="M805" s="817">
        <f t="shared" si="414"/>
        <v>76235.479999999981</v>
      </c>
      <c r="N805" s="802">
        <f t="shared" si="415"/>
        <v>0.23101660606060601</v>
      </c>
      <c r="O805" s="786">
        <f t="shared" si="425"/>
        <v>6.8378294459997033E-2</v>
      </c>
      <c r="P805" s="817" t="b">
        <f t="shared" si="417"/>
        <v>1</v>
      </c>
      <c r="Q805" s="802">
        <f>COUNTIF(P$2:P805, TRUE)/(COUNTIF(P$2:P805,FALSE) + COUNTIF(P$2:P805, TRUE))</f>
        <v>0.49875621890547261</v>
      </c>
      <c r="R805" s="844">
        <v>374861.96</v>
      </c>
      <c r="S805" s="846">
        <f t="shared" si="418"/>
        <v>31373.51999999996</v>
      </c>
      <c r="T805" s="800">
        <v>-34953</v>
      </c>
      <c r="U805" s="800">
        <f t="shared" si="423"/>
        <v>111188.47999999998</v>
      </c>
      <c r="V805" s="802">
        <f>STDEV(D$2:D805)*SQRT(252)</f>
        <v>0.14696637891454736</v>
      </c>
      <c r="W805" s="802">
        <f>STDEV(L$2:L805)*SQRT(252)</f>
        <v>0.25682128433122575</v>
      </c>
      <c r="X805" s="801">
        <f t="shared" si="420"/>
        <v>0.39044240639724992</v>
      </c>
      <c r="Y805" s="801">
        <f t="shared" si="421"/>
        <v>0.26624854960155347</v>
      </c>
      <c r="Z805" s="807">
        <f t="shared" si="422"/>
        <v>3.7151382796208388E-2</v>
      </c>
    </row>
    <row r="806" spans="1:26" ht="20.100000000000001" customHeight="1" x14ac:dyDescent="0.2">
      <c r="A806" s="776">
        <f t="shared" si="407"/>
        <v>1235</v>
      </c>
      <c r="B806" s="795">
        <v>43468</v>
      </c>
      <c r="C806" s="820">
        <v>2447.89</v>
      </c>
      <c r="D806" s="792">
        <f t="shared" si="408"/>
        <v>-2.4756676215025447E-2</v>
      </c>
      <c r="E806" s="819">
        <f t="shared" si="409"/>
        <v>0.16430908848766188</v>
      </c>
      <c r="F806" s="816">
        <v>6463.6</v>
      </c>
      <c r="G806" s="792">
        <f t="shared" si="410"/>
        <v>-3.0352853990365924E-2</v>
      </c>
      <c r="H806" s="797">
        <f t="shared" si="411"/>
        <v>0.26943849794764041</v>
      </c>
      <c r="I806" s="841">
        <v>401859.19</v>
      </c>
      <c r="J806" s="800">
        <v>330000</v>
      </c>
      <c r="K806" s="800">
        <f t="shared" si="412"/>
        <v>-4376.289999999979</v>
      </c>
      <c r="L806" s="792">
        <f t="shared" si="413"/>
        <v>-1.0772791189976757E-2</v>
      </c>
      <c r="M806" s="817">
        <f t="shared" si="414"/>
        <v>71859.19</v>
      </c>
      <c r="N806" s="802">
        <f t="shared" si="415"/>
        <v>0.21775512121212121</v>
      </c>
      <c r="O806" s="786">
        <f t="shared" si="425"/>
        <v>6.4400856698564587E-2</v>
      </c>
      <c r="P806" s="817" t="b">
        <f t="shared" si="417"/>
        <v>1</v>
      </c>
      <c r="Q806" s="802">
        <f>COUNTIF(P$2:P806, TRUE)/(COUNTIF(P$2:P806,FALSE) + COUNTIF(P$2:P806, TRUE))</f>
        <v>0.49937888198757763</v>
      </c>
      <c r="R806" s="844">
        <v>375753.79</v>
      </c>
      <c r="S806" s="846">
        <f t="shared" si="418"/>
        <v>26105.400000000023</v>
      </c>
      <c r="T806" s="800">
        <v>-34968</v>
      </c>
      <c r="U806" s="800">
        <f t="shared" si="423"/>
        <v>106827.19</v>
      </c>
      <c r="V806" s="802">
        <f>STDEV(D$2:D806)*SQRT(252)</f>
        <v>0.14754128427348881</v>
      </c>
      <c r="W806" s="802">
        <f>STDEV(L$2:L806)*SQRT(252)</f>
        <v>0.25673890812985084</v>
      </c>
      <c r="X806" s="801">
        <f t="shared" si="420"/>
        <v>0.32936033365010031</v>
      </c>
      <c r="Y806" s="801">
        <f t="shared" si="421"/>
        <v>0.25084182669341482</v>
      </c>
      <c r="Z806" s="807">
        <f t="shared" si="422"/>
        <v>5.344603272445933E-2</v>
      </c>
    </row>
    <row r="807" spans="1:26" ht="20.100000000000001" customHeight="1" x14ac:dyDescent="0.2">
      <c r="A807" s="776">
        <f t="shared" si="407"/>
        <v>1236</v>
      </c>
      <c r="B807" s="795">
        <v>43469</v>
      </c>
      <c r="C807" s="820">
        <v>2531.94</v>
      </c>
      <c r="D807" s="792">
        <f t="shared" si="408"/>
        <v>3.4335693188828002E-2</v>
      </c>
      <c r="E807" s="819">
        <f t="shared" si="409"/>
        <v>0.20428644812693822</v>
      </c>
      <c r="F807" s="816">
        <v>6738.85</v>
      </c>
      <c r="G807" s="792">
        <f t="shared" si="410"/>
        <v>4.2584627761618907E-2</v>
      </c>
      <c r="H807" s="797">
        <f t="shared" si="411"/>
        <v>0.32349706384900928</v>
      </c>
      <c r="I807" s="841">
        <v>405483.08</v>
      </c>
      <c r="J807" s="800">
        <v>320000</v>
      </c>
      <c r="K807" s="800">
        <f t="shared" si="412"/>
        <v>13623.890000000014</v>
      </c>
      <c r="L807" s="792">
        <f t="shared" si="413"/>
        <v>3.3902148660579376E-2</v>
      </c>
      <c r="M807" s="817">
        <f t="shared" si="414"/>
        <v>85483.080000000016</v>
      </c>
      <c r="N807" s="802">
        <f t="shared" si="415"/>
        <v>0.26713462500000007</v>
      </c>
      <c r="O807" s="786">
        <f t="shared" si="425"/>
        <v>7.8940875227548571E-2</v>
      </c>
      <c r="P807" s="817" t="b">
        <f t="shared" si="417"/>
        <v>0</v>
      </c>
      <c r="Q807" s="802">
        <f>COUNTIF(P$2:P807, TRUE)/(COUNTIF(P$2:P807,FALSE) + COUNTIF(P$2:P807, TRUE))</f>
        <v>0.4987593052109181</v>
      </c>
      <c r="R807" s="844">
        <v>377879.33</v>
      </c>
      <c r="S807" s="846">
        <f t="shared" si="418"/>
        <v>27603.75</v>
      </c>
      <c r="T807" s="800">
        <v>-34378</v>
      </c>
      <c r="U807" s="800">
        <f t="shared" si="423"/>
        <v>119861.08000000002</v>
      </c>
      <c r="V807" s="802">
        <f>STDEV(D$2:D807)*SQRT(252)</f>
        <v>0.14867896934148553</v>
      </c>
      <c r="W807" s="802">
        <f>STDEV(L$2:L807)*SQRT(252)</f>
        <v>0.25725945989975946</v>
      </c>
      <c r="X807" s="801">
        <f t="shared" si="420"/>
        <v>0.40603340911268865</v>
      </c>
      <c r="Y807" s="801">
        <f t="shared" si="421"/>
        <v>0.30685314840631206</v>
      </c>
      <c r="Z807" s="807">
        <f t="shared" si="422"/>
        <v>6.2848176873061851E-2</v>
      </c>
    </row>
    <row r="808" spans="1:26" ht="20.100000000000001" customHeight="1" x14ac:dyDescent="0.2">
      <c r="A808" s="776">
        <f t="shared" si="407"/>
        <v>1239</v>
      </c>
      <c r="B808" s="795">
        <v>43472</v>
      </c>
      <c r="C808" s="820">
        <v>2549.69</v>
      </c>
      <c r="D808" s="792">
        <f t="shared" si="408"/>
        <v>7.0104346864459663E-3</v>
      </c>
      <c r="E808" s="819">
        <f t="shared" si="409"/>
        <v>0.2127290196153041</v>
      </c>
      <c r="F808" s="816">
        <v>6823.47</v>
      </c>
      <c r="G808" s="792">
        <f t="shared" si="410"/>
        <v>1.2557038663866963E-2</v>
      </c>
      <c r="H808" s="797">
        <f t="shared" si="411"/>
        <v>0.34011626765127573</v>
      </c>
      <c r="I808" s="841">
        <v>390817.23</v>
      </c>
      <c r="J808" s="800">
        <v>300000</v>
      </c>
      <c r="K808" s="800">
        <f t="shared" si="412"/>
        <v>5334.1499999999651</v>
      </c>
      <c r="L808" s="792">
        <f t="shared" si="413"/>
        <v>1.3155049527590558E-2</v>
      </c>
      <c r="M808" s="817">
        <f t="shared" si="414"/>
        <v>90817.229999999981</v>
      </c>
      <c r="N808" s="802">
        <f t="shared" si="415"/>
        <v>0.30272409999999994</v>
      </c>
      <c r="O808" s="786">
        <f t="shared" si="425"/>
        <v>8.9241305508474561E-2</v>
      </c>
      <c r="P808" s="817" t="b">
        <f t="shared" si="417"/>
        <v>1</v>
      </c>
      <c r="Q808" s="802">
        <f>COUNTIF(P$2:P808, TRUE)/(COUNTIF(P$2:P808,FALSE) + COUNTIF(P$2:P808, TRUE))</f>
        <v>0.49938042131350679</v>
      </c>
      <c r="R808" s="844">
        <v>366904.7</v>
      </c>
      <c r="S808" s="846">
        <f t="shared" si="418"/>
        <v>23912.52999999997</v>
      </c>
      <c r="T808" s="800">
        <v>-33958</v>
      </c>
      <c r="U808" s="800">
        <f t="shared" si="423"/>
        <v>124775.22999999998</v>
      </c>
      <c r="V808" s="802">
        <f>STDEV(D$2:D808)*SQRT(252)</f>
        <v>0.14863431874319047</v>
      </c>
      <c r="W808" s="802">
        <f>STDEV(L$2:L808)*SQRT(252)</f>
        <v>0.25719655134931968</v>
      </c>
      <c r="X808" s="801">
        <f t="shared" si="420"/>
        <v>0.42191654871612233</v>
      </c>
      <c r="Y808" s="801">
        <f t="shared" si="421"/>
        <v>0.34697706886150526</v>
      </c>
      <c r="Z808" s="807">
        <f t="shared" si="422"/>
        <v>8.9995080384695836E-2</v>
      </c>
    </row>
    <row r="809" spans="1:26" ht="20.100000000000001" customHeight="1" x14ac:dyDescent="0.2">
      <c r="A809" s="776">
        <f t="shared" si="407"/>
        <v>1240</v>
      </c>
      <c r="B809" s="795">
        <v>43473</v>
      </c>
      <c r="C809" s="820">
        <v>2574.41</v>
      </c>
      <c r="D809" s="792">
        <f t="shared" si="408"/>
        <v>9.695296290921562E-3</v>
      </c>
      <c r="E809" s="819">
        <f t="shared" si="409"/>
        <v>0.22448678678107331</v>
      </c>
      <c r="F809" s="816">
        <v>6896.99</v>
      </c>
      <c r="G809" s="792">
        <f t="shared" si="410"/>
        <v>1.0774576571744219E-2</v>
      </c>
      <c r="H809" s="797">
        <f t="shared" si="411"/>
        <v>0.35455545299212443</v>
      </c>
      <c r="I809" s="841">
        <v>393176.44</v>
      </c>
      <c r="J809" s="800">
        <v>300000</v>
      </c>
      <c r="K809" s="800">
        <f t="shared" si="412"/>
        <v>2359.210000000021</v>
      </c>
      <c r="L809" s="792">
        <f t="shared" si="413"/>
        <v>6.0366069326063775E-3</v>
      </c>
      <c r="M809" s="817">
        <f t="shared" si="414"/>
        <v>93176.44</v>
      </c>
      <c r="N809" s="802">
        <f t="shared" si="415"/>
        <v>0.31058813333333335</v>
      </c>
      <c r="O809" s="786">
        <f t="shared" si="425"/>
        <v>9.1485738467741939E-2</v>
      </c>
      <c r="P809" s="817" t="b">
        <f t="shared" si="417"/>
        <v>0</v>
      </c>
      <c r="Q809" s="802">
        <f>COUNTIF(P$2:P809, TRUE)/(COUNTIF(P$2:P809,FALSE) + COUNTIF(P$2:P809, TRUE))</f>
        <v>0.49876237623762376</v>
      </c>
      <c r="R809" s="844">
        <v>359151.44</v>
      </c>
      <c r="S809" s="846">
        <f t="shared" si="418"/>
        <v>34025</v>
      </c>
      <c r="T809" s="800">
        <v>-33938</v>
      </c>
      <c r="U809" s="800">
        <f t="shared" si="423"/>
        <v>127114.44</v>
      </c>
      <c r="V809" s="802">
        <f>STDEV(D$2:D809)*SQRT(252)</f>
        <v>0.14863517283995908</v>
      </c>
      <c r="W809" s="802">
        <f>STDEV(L$2:L809)*SQRT(252)</f>
        <v>0.25705527784328136</v>
      </c>
      <c r="X809" s="801">
        <f t="shared" si="420"/>
        <v>0.44487472302005865</v>
      </c>
      <c r="Y809" s="801">
        <f t="shared" si="421"/>
        <v>0.35589908612387239</v>
      </c>
      <c r="Z809" s="807">
        <f t="shared" si="422"/>
        <v>8.6101346552260039E-2</v>
      </c>
    </row>
    <row r="810" spans="1:26" ht="20.100000000000001" customHeight="1" x14ac:dyDescent="0.2">
      <c r="A810" s="776">
        <f t="shared" si="407"/>
        <v>1241</v>
      </c>
      <c r="B810" s="795">
        <v>43474</v>
      </c>
      <c r="C810" s="820">
        <v>2584.96</v>
      </c>
      <c r="D810" s="792">
        <f t="shared" si="408"/>
        <v>4.0980263439002263E-3</v>
      </c>
      <c r="E810" s="819">
        <f t="shared" si="409"/>
        <v>0.22950476589105989</v>
      </c>
      <c r="F810" s="816">
        <v>6957.07</v>
      </c>
      <c r="G810" s="792">
        <f t="shared" si="410"/>
        <v>8.7110464130004429E-3</v>
      </c>
      <c r="H810" s="797">
        <f t="shared" si="411"/>
        <v>0.36635504841212169</v>
      </c>
      <c r="I810" s="841">
        <v>395249.1</v>
      </c>
      <c r="J810" s="800">
        <v>300000</v>
      </c>
      <c r="K810" s="800">
        <f t="shared" si="412"/>
        <v>2072.6599999999744</v>
      </c>
      <c r="L810" s="792">
        <f t="shared" si="413"/>
        <v>5.2715773101765055E-3</v>
      </c>
      <c r="M810" s="817">
        <f t="shared" si="414"/>
        <v>95249.099999999977</v>
      </c>
      <c r="N810" s="802">
        <f t="shared" si="415"/>
        <v>0.31749699999999992</v>
      </c>
      <c r="O810" s="786">
        <f t="shared" si="425"/>
        <v>9.3445430499597082E-2</v>
      </c>
      <c r="P810" s="817" t="b">
        <f t="shared" si="417"/>
        <v>1</v>
      </c>
      <c r="Q810" s="802">
        <f>COUNTIF(P$2:P810, TRUE)/(COUNTIF(P$2:P810,FALSE) + COUNTIF(P$2:P810, TRUE))</f>
        <v>0.49938195302843014</v>
      </c>
      <c r="R810" s="844">
        <v>362133.57</v>
      </c>
      <c r="S810" s="846">
        <f t="shared" si="418"/>
        <v>33115.52999999997</v>
      </c>
      <c r="T810" s="800">
        <v>-34058</v>
      </c>
      <c r="U810" s="800">
        <f t="shared" si="423"/>
        <v>129307.09999999998</v>
      </c>
      <c r="V810" s="802">
        <f>STDEV(D$2:D810)*SQRT(252)</f>
        <v>0.14855823737622129</v>
      </c>
      <c r="W810" s="802">
        <f>STDEV(L$2:L810)*SQRT(252)</f>
        <v>0.25690949190835705</v>
      </c>
      <c r="X810" s="801">
        <f t="shared" si="420"/>
        <v>0.45468791742866871</v>
      </c>
      <c r="Y810" s="801">
        <f t="shared" si="421"/>
        <v>0.36372899189310715</v>
      </c>
      <c r="Z810" s="807">
        <f t="shared" si="422"/>
        <v>8.7992234108940026E-2</v>
      </c>
    </row>
    <row r="811" spans="1:26" ht="20.100000000000001" customHeight="1" x14ac:dyDescent="0.2">
      <c r="A811" s="776">
        <f t="shared" si="407"/>
        <v>1242</v>
      </c>
      <c r="B811" s="795">
        <v>43475</v>
      </c>
      <c r="C811" s="820">
        <v>2596.64</v>
      </c>
      <c r="D811" s="792">
        <f t="shared" si="408"/>
        <v>4.5184451596929302E-3</v>
      </c>
      <c r="E811" s="819">
        <f t="shared" si="409"/>
        <v>0.23506021574931973</v>
      </c>
      <c r="F811" s="816">
        <v>6989.06</v>
      </c>
      <c r="G811" s="792">
        <f t="shared" si="410"/>
        <v>4.5982001043543752E-3</v>
      </c>
      <c r="H811" s="797">
        <f t="shared" si="411"/>
        <v>0.37263782233831544</v>
      </c>
      <c r="I811" s="841">
        <v>398388.83</v>
      </c>
      <c r="J811" s="800">
        <v>300000</v>
      </c>
      <c r="K811" s="800">
        <f t="shared" si="412"/>
        <v>3139.7300000000396</v>
      </c>
      <c r="L811" s="792">
        <f t="shared" si="413"/>
        <v>7.9436740020408392E-3</v>
      </c>
      <c r="M811" s="817">
        <f t="shared" si="414"/>
        <v>98388.830000000016</v>
      </c>
      <c r="N811" s="802">
        <f t="shared" si="415"/>
        <v>0.32796276666666674</v>
      </c>
      <c r="O811" s="786">
        <f t="shared" si="425"/>
        <v>9.6447987540257671E-2</v>
      </c>
      <c r="P811" s="817" t="b">
        <f t="shared" si="417"/>
        <v>1</v>
      </c>
      <c r="Q811" s="802">
        <f>COUNTIF(P$2:P811, TRUE)/(COUNTIF(P$2:P811,FALSE) + COUNTIF(P$2:P811, TRUE))</f>
        <v>0.5</v>
      </c>
      <c r="R811" s="844">
        <v>361794.34</v>
      </c>
      <c r="S811" s="846">
        <f t="shared" si="418"/>
        <v>36594.489999999991</v>
      </c>
      <c r="T811" s="800">
        <v>-33823</v>
      </c>
      <c r="U811" s="800">
        <f t="shared" si="423"/>
        <v>132211.83000000002</v>
      </c>
      <c r="V811" s="802">
        <f>STDEV(D$2:D811)*SQRT(252)</f>
        <v>0.14848495074372062</v>
      </c>
      <c r="W811" s="802">
        <f>STDEV(L$2:L811)*SQRT(252)</f>
        <v>0.25678356661731394</v>
      </c>
      <c r="X811" s="801">
        <f t="shared" si="420"/>
        <v>0.46554891621153965</v>
      </c>
      <c r="Y811" s="801">
        <f t="shared" si="421"/>
        <v>0.37560031123017568</v>
      </c>
      <c r="Z811" s="807">
        <f t="shared" ref="Z811:Z816" si="426">-(E811-N811)</f>
        <v>9.2902550917347004E-2</v>
      </c>
    </row>
    <row r="812" spans="1:26" ht="20.100000000000001" customHeight="1" x14ac:dyDescent="0.2">
      <c r="A812" s="776">
        <f t="shared" si="407"/>
        <v>1243</v>
      </c>
      <c r="B812" s="795">
        <v>43476</v>
      </c>
      <c r="C812" s="820">
        <v>2596.2600000000002</v>
      </c>
      <c r="D812" s="792">
        <f t="shared" si="408"/>
        <v>-1.463429662947711E-4</v>
      </c>
      <c r="E812" s="819">
        <f t="shared" si="409"/>
        <v>0.23487947337379433</v>
      </c>
      <c r="F812" s="816">
        <v>6971.47</v>
      </c>
      <c r="G812" s="792">
        <f t="shared" si="410"/>
        <v>-2.5167905269092186E-3</v>
      </c>
      <c r="H812" s="797">
        <f t="shared" si="411"/>
        <v>0.36918318047017706</v>
      </c>
      <c r="I812" s="841">
        <v>398679.45</v>
      </c>
      <c r="J812" s="800">
        <v>300000</v>
      </c>
      <c r="K812" s="800">
        <f t="shared" si="412"/>
        <v>290.61999999999534</v>
      </c>
      <c r="L812" s="792">
        <f t="shared" si="413"/>
        <v>7.294883242584772E-4</v>
      </c>
      <c r="M812" s="817">
        <f t="shared" si="414"/>
        <v>98679.450000000012</v>
      </c>
      <c r="N812" s="802">
        <f t="shared" si="415"/>
        <v>0.32893150000000004</v>
      </c>
      <c r="O812" s="786">
        <f t="shared" ref="O812:O817" si="427">N812/(A812/365.25)</f>
        <v>9.6655052594529375E-2</v>
      </c>
      <c r="P812" s="817" t="b">
        <f t="shared" si="417"/>
        <v>1</v>
      </c>
      <c r="Q812" s="802">
        <f>COUNTIF(P$2:P812, TRUE)/(COUNTIF(P$2:P812,FALSE) + COUNTIF(P$2:P812, TRUE))</f>
        <v>0.50061652281134406</v>
      </c>
      <c r="R812" s="844">
        <v>353344.44</v>
      </c>
      <c r="S812" s="846">
        <f t="shared" si="418"/>
        <v>45335.010000000009</v>
      </c>
      <c r="T812" s="800">
        <v>-33818</v>
      </c>
      <c r="U812" s="800">
        <f t="shared" si="423"/>
        <v>132497.45000000001</v>
      </c>
      <c r="V812" s="802">
        <f>STDEV(D$2:D812)*SQRT(252)</f>
        <v>0.14839336495231253</v>
      </c>
      <c r="W812" s="802">
        <f>STDEV(L$2:L812)*SQRT(252)</f>
        <v>0.25662482955047305</v>
      </c>
      <c r="X812" s="801">
        <f t="shared" si="420"/>
        <v>0.46510357478095904</v>
      </c>
      <c r="Y812" s="801">
        <f t="shared" si="421"/>
        <v>0.37663951989306332</v>
      </c>
      <c r="Z812" s="807">
        <f t="shared" si="426"/>
        <v>9.4052026626205709E-2</v>
      </c>
    </row>
    <row r="813" spans="1:26" ht="20.100000000000001" customHeight="1" x14ac:dyDescent="0.2">
      <c r="A813" s="776">
        <f t="shared" si="407"/>
        <v>1246</v>
      </c>
      <c r="B813" s="795">
        <v>43479</v>
      </c>
      <c r="C813" s="820">
        <v>2582.61</v>
      </c>
      <c r="D813" s="792">
        <f t="shared" si="408"/>
        <v>-5.2575628018765802E-3</v>
      </c>
      <c r="E813" s="819">
        <f t="shared" si="409"/>
        <v>0.22838701698978334</v>
      </c>
      <c r="F813" s="816">
        <v>6905.91</v>
      </c>
      <c r="G813" s="792">
        <f t="shared" si="410"/>
        <v>-9.4040424759771462E-3</v>
      </c>
      <c r="H813" s="797">
        <f t="shared" si="411"/>
        <v>0.35630732368364204</v>
      </c>
      <c r="I813" s="841">
        <v>396928.57</v>
      </c>
      <c r="J813" s="800">
        <v>300000</v>
      </c>
      <c r="K813" s="800">
        <f t="shared" si="412"/>
        <v>-1750.8800000000047</v>
      </c>
      <c r="L813" s="792">
        <f t="shared" si="413"/>
        <v>-4.3916986441112143E-3</v>
      </c>
      <c r="M813" s="817">
        <f t="shared" si="414"/>
        <v>96928.57</v>
      </c>
      <c r="N813" s="802">
        <f t="shared" si="415"/>
        <v>0.32309523333333334</v>
      </c>
      <c r="O813" s="786">
        <f t="shared" si="427"/>
        <v>9.4711503992776891E-2</v>
      </c>
      <c r="P813" s="817" t="b">
        <f t="shared" si="417"/>
        <v>1</v>
      </c>
      <c r="Q813" s="802">
        <f>COUNTIF(P$2:P813, TRUE)/(COUNTIF(P$2:P813,FALSE) + COUNTIF(P$2:P813, TRUE))</f>
        <v>0.50123152709359609</v>
      </c>
      <c r="R813" s="844">
        <v>354753.56</v>
      </c>
      <c r="S813" s="846">
        <f t="shared" si="418"/>
        <v>42175.010000000009</v>
      </c>
      <c r="T813" s="800">
        <v>-33498</v>
      </c>
      <c r="U813" s="800">
        <f t="shared" si="423"/>
        <v>130426.57</v>
      </c>
      <c r="V813" s="802">
        <f>STDEV(D$2:D813)*SQRT(252)</f>
        <v>0.14833413784678093</v>
      </c>
      <c r="W813" s="802">
        <f>STDEV(L$2:L813)*SQRT(252)</f>
        <v>0.2564812571496366</v>
      </c>
      <c r="X813" s="801">
        <f t="shared" si="420"/>
        <v>0.45133860545915044</v>
      </c>
      <c r="Y813" s="801">
        <f t="shared" si="421"/>
        <v>0.36927261292048408</v>
      </c>
      <c r="Z813" s="807">
        <f t="shared" si="426"/>
        <v>9.4708216343550006E-2</v>
      </c>
    </row>
    <row r="814" spans="1:26" ht="20.100000000000001" customHeight="1" x14ac:dyDescent="0.2">
      <c r="A814" s="776">
        <f t="shared" si="407"/>
        <v>1247</v>
      </c>
      <c r="B814" s="795">
        <v>43480</v>
      </c>
      <c r="C814" s="820">
        <v>2610.3000000000002</v>
      </c>
      <c r="D814" s="792">
        <f t="shared" si="408"/>
        <v>1.0721711756711255E-2</v>
      </c>
      <c r="E814" s="819">
        <f t="shared" si="409"/>
        <v>0.24155742851163414</v>
      </c>
      <c r="F814" s="816">
        <v>7023.83</v>
      </c>
      <c r="G814" s="792">
        <f t="shared" si="410"/>
        <v>1.7075229766967723E-2</v>
      </c>
      <c r="H814" s="797">
        <f t="shared" si="411"/>
        <v>0.37946658287016127</v>
      </c>
      <c r="I814" s="841">
        <v>398718.09</v>
      </c>
      <c r="J814" s="800">
        <v>300000</v>
      </c>
      <c r="K814" s="800">
        <f t="shared" si="412"/>
        <v>1789.5200000000186</v>
      </c>
      <c r="L814" s="792">
        <f t="shared" si="413"/>
        <v>4.5084182274912048E-3</v>
      </c>
      <c r="M814" s="817">
        <f t="shared" si="414"/>
        <v>98718.090000000026</v>
      </c>
      <c r="N814" s="802">
        <f t="shared" si="415"/>
        <v>0.32906030000000008</v>
      </c>
      <c r="O814" s="786">
        <f t="shared" si="427"/>
        <v>9.6382738231756235E-2</v>
      </c>
      <c r="P814" s="817" t="b">
        <f t="shared" si="417"/>
        <v>0</v>
      </c>
      <c r="Q814" s="802">
        <f>COUNTIF(P$2:P814, TRUE)/(COUNTIF(P$2:P814,FALSE) + COUNTIF(P$2:P814, TRUE))</f>
        <v>0.50061500615006149</v>
      </c>
      <c r="R814" s="844">
        <v>359669.45</v>
      </c>
      <c r="S814" s="846">
        <f t="shared" si="418"/>
        <v>39048.640000000014</v>
      </c>
      <c r="T814" s="800">
        <v>-33168</v>
      </c>
      <c r="U814" s="800">
        <f t="shared" si="423"/>
        <v>131886.09000000003</v>
      </c>
      <c r="V814" s="802">
        <f>STDEV(D$2:D814)*SQRT(252)</f>
        <v>0.14835636313212094</v>
      </c>
      <c r="W814" s="802">
        <f>STDEV(L$2:L814)*SQRT(252)</f>
        <v>0.25633252174594051</v>
      </c>
      <c r="X814" s="801">
        <f t="shared" si="420"/>
        <v>0.47691171478899325</v>
      </c>
      <c r="Y814" s="801">
        <f t="shared" si="421"/>
        <v>0.37600667123808934</v>
      </c>
      <c r="Z814" s="807">
        <f t="shared" si="426"/>
        <v>8.7502871488365941E-2</v>
      </c>
    </row>
    <row r="815" spans="1:26" ht="20.100000000000001" customHeight="1" x14ac:dyDescent="0.2">
      <c r="A815" s="776">
        <f t="shared" si="407"/>
        <v>1248</v>
      </c>
      <c r="B815" s="795">
        <v>43481</v>
      </c>
      <c r="C815" s="820">
        <v>2616.1</v>
      </c>
      <c r="D815" s="792">
        <f t="shared" si="408"/>
        <v>2.2219668237366307E-3</v>
      </c>
      <c r="E815" s="819">
        <f t="shared" si="409"/>
        <v>0.24431612792755078</v>
      </c>
      <c r="F815" s="816">
        <v>7034.69</v>
      </c>
      <c r="G815" s="792">
        <f t="shared" si="410"/>
        <v>1.5461649840613559E-3</v>
      </c>
      <c r="H815" s="797">
        <f t="shared" si="411"/>
        <v>0.38159946579727788</v>
      </c>
      <c r="I815" s="841">
        <v>398368.72</v>
      </c>
      <c r="J815" s="800">
        <v>300000</v>
      </c>
      <c r="K815" s="800">
        <f t="shared" si="412"/>
        <v>-349.37000000005355</v>
      </c>
      <c r="L815" s="792">
        <f t="shared" si="413"/>
        <v>-8.7623313002942389E-4</v>
      </c>
      <c r="M815" s="817">
        <f t="shared" si="414"/>
        <v>98368.719999999972</v>
      </c>
      <c r="N815" s="802">
        <f t="shared" si="415"/>
        <v>0.32789573333333322</v>
      </c>
      <c r="O815" s="786">
        <f t="shared" si="427"/>
        <v>9.5964676762820472E-2</v>
      </c>
      <c r="P815" s="817" t="b">
        <f t="shared" si="417"/>
        <v>0</v>
      </c>
      <c r="Q815" s="802">
        <f>COUNTIF(P$2:P815, TRUE)/(COUNTIF(P$2:P815,FALSE) + COUNTIF(P$2:P815, TRUE))</f>
        <v>0.5</v>
      </c>
      <c r="R815" s="844">
        <v>359320.08</v>
      </c>
      <c r="S815" s="846">
        <f t="shared" si="418"/>
        <v>39048.639999999956</v>
      </c>
      <c r="T815" s="800">
        <v>-33203</v>
      </c>
      <c r="U815" s="800">
        <f t="shared" si="423"/>
        <v>131571.71999999997</v>
      </c>
      <c r="V815" s="802">
        <f>STDEV(D$2:D815)*SQRT(252)</f>
        <v>0.14826880322458727</v>
      </c>
      <c r="W815" s="802">
        <f>STDEV(L$2:L815)*SQRT(252)</f>
        <v>0.25617588848295436</v>
      </c>
      <c r="X815" s="801">
        <f t="shared" si="420"/>
        <v>0.48225639345999738</v>
      </c>
      <c r="Y815" s="801">
        <f t="shared" si="421"/>
        <v>0.37460464109683705</v>
      </c>
      <c r="Z815" s="807">
        <f t="shared" si="426"/>
        <v>8.3579605405782437E-2</v>
      </c>
    </row>
    <row r="816" spans="1:26" ht="20.100000000000001" customHeight="1" x14ac:dyDescent="0.2">
      <c r="A816" s="776">
        <f t="shared" si="407"/>
        <v>1249</v>
      </c>
      <c r="B816" s="795">
        <v>43482</v>
      </c>
      <c r="C816" s="820">
        <v>2635.96</v>
      </c>
      <c r="D816" s="792">
        <f t="shared" si="408"/>
        <v>7.5914529261114361E-3</v>
      </c>
      <c r="E816" s="819">
        <f t="shared" si="409"/>
        <v>0.25376229523791405</v>
      </c>
      <c r="F816" s="816">
        <v>7084.46</v>
      </c>
      <c r="G816" s="792">
        <f t="shared" si="410"/>
        <v>7.0749386255827109E-3</v>
      </c>
      <c r="H816" s="797">
        <f t="shared" si="411"/>
        <v>0.39137419722293149</v>
      </c>
      <c r="I816" s="841">
        <v>401047.52</v>
      </c>
      <c r="J816" s="800">
        <v>300000</v>
      </c>
      <c r="K816" s="800">
        <f t="shared" si="412"/>
        <v>2678.8000000000466</v>
      </c>
      <c r="L816" s="792">
        <f t="shared" si="413"/>
        <v>6.724423544097656E-3</v>
      </c>
      <c r="M816" s="817">
        <f t="shared" si="414"/>
        <v>101047.52000000002</v>
      </c>
      <c r="N816" s="802">
        <f t="shared" si="415"/>
        <v>0.33682506666666673</v>
      </c>
      <c r="O816" s="786">
        <f t="shared" si="427"/>
        <v>9.8499083746997618E-2</v>
      </c>
      <c r="P816" s="817" t="b">
        <f t="shared" si="417"/>
        <v>0</v>
      </c>
      <c r="Q816" s="802">
        <f>COUNTIF(P$2:P816, TRUE)/(COUNTIF(P$2:P816,FALSE) + COUNTIF(P$2:P816, TRUE))</f>
        <v>0.49938650306748467</v>
      </c>
      <c r="R816" s="844">
        <v>354476.17</v>
      </c>
      <c r="S816" s="846">
        <f t="shared" si="418"/>
        <v>46571.350000000035</v>
      </c>
      <c r="T816" s="800">
        <v>-33083</v>
      </c>
      <c r="U816" s="800">
        <f t="shared" si="423"/>
        <v>134130.52000000002</v>
      </c>
      <c r="V816" s="802">
        <f>STDEV(D$2:D816)*SQRT(252)</f>
        <v>0.1482329269169857</v>
      </c>
      <c r="W816" s="802">
        <f>STDEV(L$2:L816)*SQRT(252)</f>
        <v>0.25604124492596109</v>
      </c>
      <c r="X816" s="801">
        <f t="shared" si="420"/>
        <v>0.50062230558117682</v>
      </c>
      <c r="Y816" s="801">
        <f t="shared" si="421"/>
        <v>0.38470006570808696</v>
      </c>
      <c r="Z816" s="807">
        <f t="shared" si="426"/>
        <v>8.306277142875268E-2</v>
      </c>
    </row>
    <row r="817" spans="1:26" ht="20.100000000000001" customHeight="1" x14ac:dyDescent="0.2">
      <c r="A817" s="776">
        <f t="shared" si="407"/>
        <v>1250</v>
      </c>
      <c r="B817" s="795">
        <v>43483</v>
      </c>
      <c r="C817" s="820">
        <v>2670.71</v>
      </c>
      <c r="D817" s="792">
        <f t="shared" si="408"/>
        <v>1.3183052853609311E-2</v>
      </c>
      <c r="E817" s="819">
        <f t="shared" si="409"/>
        <v>0.27029070984189796</v>
      </c>
      <c r="F817" s="816">
        <v>7157.22</v>
      </c>
      <c r="G817" s="792">
        <f t="shared" si="410"/>
        <v>1.0270366407602021E-2</v>
      </c>
      <c r="H817" s="797">
        <f t="shared" si="411"/>
        <v>0.40566412003849411</v>
      </c>
      <c r="I817" s="841">
        <v>406382.95</v>
      </c>
      <c r="J817" s="800">
        <v>300000</v>
      </c>
      <c r="K817" s="800">
        <f t="shared" si="412"/>
        <v>5335.429999999993</v>
      </c>
      <c r="L817" s="792">
        <f t="shared" si="413"/>
        <v>1.3303735178315011E-2</v>
      </c>
      <c r="M817" s="817">
        <f t="shared" si="414"/>
        <v>106382.95000000001</v>
      </c>
      <c r="N817" s="802">
        <f t="shared" si="415"/>
        <v>0.35460983333333335</v>
      </c>
      <c r="O817" s="786">
        <f t="shared" si="427"/>
        <v>0.1036169933</v>
      </c>
      <c r="P817" s="817" t="b">
        <f t="shared" si="417"/>
        <v>1</v>
      </c>
      <c r="Q817" s="802">
        <f>COUNTIF(P$2:P817, TRUE)/(COUNTIF(P$2:P817,FALSE) + COUNTIF(P$2:P817, TRUE))</f>
        <v>0.5</v>
      </c>
      <c r="R817" s="844">
        <v>331407.74</v>
      </c>
      <c r="S817" s="846">
        <f t="shared" si="418"/>
        <v>74975.210000000021</v>
      </c>
      <c r="T817" s="800">
        <v>-32858</v>
      </c>
      <c r="U817" s="800">
        <f t="shared" si="423"/>
        <v>139240.95000000001</v>
      </c>
      <c r="V817" s="802">
        <f>STDEV(D$2:D817)*SQRT(252)</f>
        <v>0.14831438078037773</v>
      </c>
      <c r="W817" s="802">
        <f>STDEV(L$2:L817)*SQRT(252)</f>
        <v>0.25598186879007967</v>
      </c>
      <c r="X817" s="801">
        <f t="shared" si="420"/>
        <v>0.5325103675061269</v>
      </c>
      <c r="Y817" s="801">
        <f t="shared" si="421"/>
        <v>0.40478254881783088</v>
      </c>
      <c r="Z817" s="807">
        <f t="shared" ref="Z817:Z845" si="428">-(E817-N817)</f>
        <v>8.4319123491435388E-2</v>
      </c>
    </row>
    <row r="818" spans="1:26" ht="20.100000000000001" customHeight="1" x14ac:dyDescent="0.2">
      <c r="A818" s="776">
        <f t="shared" ref="A818:A845" si="429">B818-$B$2</f>
        <v>1254</v>
      </c>
      <c r="B818" s="795">
        <v>43487</v>
      </c>
      <c r="C818" s="820">
        <v>2632.9</v>
      </c>
      <c r="D818" s="792">
        <f t="shared" ref="D818:D845" si="430">(C818-C817)/C817</f>
        <v>-1.4157284018107523E-2</v>
      </c>
      <c r="E818" s="819">
        <f t="shared" ref="E818:E845" si="431">(C818-$C$2)/$C$2</f>
        <v>0.2523068434771028</v>
      </c>
      <c r="F818" s="816">
        <v>7020.35</v>
      </c>
      <c r="G818" s="792">
        <f t="shared" ref="G818:G845" si="432">(F818-F817)/F817</f>
        <v>-1.9123346774306209E-2</v>
      </c>
      <c r="H818" s="797">
        <f t="shared" ref="H818:H845" si="433">(F818-F$2)/F$2</f>
        <v>0.37878311762279798</v>
      </c>
      <c r="I818" s="841">
        <v>400544.64</v>
      </c>
      <c r="J818" s="800">
        <v>300000</v>
      </c>
      <c r="K818" s="800">
        <f t="shared" ref="K818:K845" si="434">I818-I817-J818+J817</f>
        <v>-5838.3099999999977</v>
      </c>
      <c r="L818" s="792">
        <f t="shared" ref="L818:L845" si="435">K818/I817</f>
        <v>-1.4366523004963662E-2</v>
      </c>
      <c r="M818" s="817">
        <f t="shared" ref="M818:M845" si="436">I818-J818</f>
        <v>100544.64000000001</v>
      </c>
      <c r="N818" s="802">
        <f t="shared" ref="N818:N845" si="437">M818/J818</f>
        <v>0.33514880000000002</v>
      </c>
      <c r="O818" s="786">
        <f t="shared" ref="O818:O845" si="438">N818/(A818/365.25)</f>
        <v>9.7618101435406709E-2</v>
      </c>
      <c r="P818" s="817" t="b">
        <f t="shared" ref="P818:P845" si="439">L818&gt;D818</f>
        <v>0</v>
      </c>
      <c r="Q818" s="802">
        <f>COUNTIF(P$2:P818, TRUE)/(COUNTIF(P$2:P818,FALSE) + COUNTIF(P$2:P818, TRUE))</f>
        <v>0.49938800489596086</v>
      </c>
      <c r="R818" s="844">
        <v>331033.45</v>
      </c>
      <c r="S818" s="846">
        <f t="shared" ref="S818:S845" si="440">I818-R818</f>
        <v>69511.19</v>
      </c>
      <c r="T818" s="800">
        <v>-32983</v>
      </c>
      <c r="U818" s="800">
        <f t="shared" si="423"/>
        <v>133527.64000000001</v>
      </c>
      <c r="V818" s="802">
        <f>STDEV(D$2:D818)*SQRT(252)</f>
        <v>0.14844206249511938</v>
      </c>
      <c r="W818" s="802">
        <f>STDEV(L$2:L818)*SQRT(252)</f>
        <v>0.2559596857009227</v>
      </c>
      <c r="X818" s="801">
        <f t="shared" ref="X818:X845" si="441">E818/(A818/365.25)/V818</f>
        <v>0.49506786664182661</v>
      </c>
      <c r="Y818" s="801">
        <f t="shared" ref="Y818:Y845" si="442">O818/W818</f>
        <v>0.38138076770991602</v>
      </c>
      <c r="Z818" s="807">
        <f t="shared" si="428"/>
        <v>8.284195652289722E-2</v>
      </c>
    </row>
    <row r="819" spans="1:26" ht="20.100000000000001" customHeight="1" x14ac:dyDescent="0.2">
      <c r="A819" s="776">
        <f t="shared" si="429"/>
        <v>1255</v>
      </c>
      <c r="B819" s="795">
        <v>43488</v>
      </c>
      <c r="C819" s="820">
        <v>2638.7</v>
      </c>
      <c r="D819" s="792">
        <f t="shared" si="430"/>
        <v>2.202894147138033E-3</v>
      </c>
      <c r="E819" s="819">
        <f t="shared" si="431"/>
        <v>0.25506554289301941</v>
      </c>
      <c r="F819" s="816">
        <v>7025.76</v>
      </c>
      <c r="G819" s="792">
        <f t="shared" si="432"/>
        <v>7.706168495872505E-4</v>
      </c>
      <c r="H819" s="797">
        <f t="shared" si="433"/>
        <v>0.37984563112516456</v>
      </c>
      <c r="I819" s="841">
        <v>400803.81</v>
      </c>
      <c r="J819" s="800">
        <v>300000</v>
      </c>
      <c r="K819" s="800">
        <f t="shared" si="434"/>
        <v>259.1699999999837</v>
      </c>
      <c r="L819" s="792">
        <f t="shared" si="435"/>
        <v>6.4704398491010565E-4</v>
      </c>
      <c r="M819" s="817">
        <f t="shared" si="436"/>
        <v>100803.81</v>
      </c>
      <c r="N819" s="802">
        <f t="shared" si="437"/>
        <v>0.3360127</v>
      </c>
      <c r="O819" s="786">
        <f t="shared" si="438"/>
        <v>9.7791743964143432E-2</v>
      </c>
      <c r="P819" s="817" t="b">
        <f t="shared" si="439"/>
        <v>0</v>
      </c>
      <c r="Q819" s="802">
        <f>COUNTIF(P$2:P819, TRUE)/(COUNTIF(P$2:P819,FALSE) + COUNTIF(P$2:P819, TRUE))</f>
        <v>0.49877750611246946</v>
      </c>
      <c r="R819" s="844">
        <v>329213.62</v>
      </c>
      <c r="S819" s="846">
        <f t="shared" si="440"/>
        <v>71590.19</v>
      </c>
      <c r="T819" s="800">
        <v>-33093</v>
      </c>
      <c r="U819" s="800">
        <f t="shared" si="423"/>
        <v>133896.81</v>
      </c>
      <c r="V819" s="802">
        <f>STDEV(D$2:D819)*SQRT(252)</f>
        <v>0.14835476523907773</v>
      </c>
      <c r="W819" s="802">
        <f>STDEV(L$2:L819)*SQRT(252)</f>
        <v>0.25580280339327321</v>
      </c>
      <c r="X819" s="801">
        <f t="shared" si="441"/>
        <v>0.50037636902783811</v>
      </c>
      <c r="Y819" s="801">
        <f t="shared" si="442"/>
        <v>0.38229348023914206</v>
      </c>
      <c r="Z819" s="807">
        <f t="shared" si="428"/>
        <v>8.0947157106980583E-2</v>
      </c>
    </row>
    <row r="820" spans="1:26" ht="20.100000000000001" customHeight="1" x14ac:dyDescent="0.2">
      <c r="A820" s="776">
        <f t="shared" si="429"/>
        <v>1256</v>
      </c>
      <c r="B820" s="795">
        <v>43489</v>
      </c>
      <c r="C820" s="820">
        <v>2642.33</v>
      </c>
      <c r="D820" s="792">
        <f t="shared" si="430"/>
        <v>1.3756774169098834E-3</v>
      </c>
      <c r="E820" s="819">
        <f t="shared" si="431"/>
        <v>0.25679210821711906</v>
      </c>
      <c r="F820" s="816">
        <v>7073.46</v>
      </c>
      <c r="G820" s="792">
        <f t="shared" si="432"/>
        <v>6.7893010862881478E-3</v>
      </c>
      <c r="H820" s="797">
        <f t="shared" si="433"/>
        <v>0.38921381856747261</v>
      </c>
      <c r="I820" s="841">
        <v>391425.07</v>
      </c>
      <c r="J820" s="800">
        <v>290000</v>
      </c>
      <c r="K820" s="800">
        <f t="shared" si="434"/>
        <v>621.26000000000931</v>
      </c>
      <c r="L820" s="792">
        <f t="shared" si="435"/>
        <v>1.5500351655839033E-3</v>
      </c>
      <c r="M820" s="817">
        <f t="shared" si="436"/>
        <v>101425.07</v>
      </c>
      <c r="N820" s="802">
        <f t="shared" si="437"/>
        <v>0.3497416206896552</v>
      </c>
      <c r="O820" s="786">
        <f t="shared" si="438"/>
        <v>0.10170631127141445</v>
      </c>
      <c r="P820" s="817" t="b">
        <f t="shared" si="439"/>
        <v>1</v>
      </c>
      <c r="Q820" s="802">
        <f>COUNTIF(P$2:P820, TRUE)/(COUNTIF(P$2:P820,FALSE) + COUNTIF(P$2:P820, TRUE))</f>
        <v>0.49938949938949939</v>
      </c>
      <c r="R820" s="844">
        <v>334182.92</v>
      </c>
      <c r="S820" s="846">
        <f t="shared" si="440"/>
        <v>57242.150000000023</v>
      </c>
      <c r="T820" s="800">
        <v>-33353</v>
      </c>
      <c r="U820" s="800">
        <f t="shared" si="423"/>
        <v>134778.07</v>
      </c>
      <c r="V820" s="802">
        <f>STDEV(D$2:D820)*SQRT(252)</f>
        <v>0.14826509905690491</v>
      </c>
      <c r="W820" s="802">
        <f>STDEV(L$2:L820)*SQRT(252)</f>
        <v>0.2556467869561983</v>
      </c>
      <c r="X820" s="801">
        <f t="shared" si="441"/>
        <v>0.50366680153714061</v>
      </c>
      <c r="Y820" s="801">
        <f t="shared" si="442"/>
        <v>0.39783919243561816</v>
      </c>
      <c r="Z820" s="807">
        <f t="shared" si="428"/>
        <v>9.2949512472536133E-2</v>
      </c>
    </row>
    <row r="821" spans="1:26" ht="20.100000000000001" customHeight="1" x14ac:dyDescent="0.2">
      <c r="A821" s="776">
        <f t="shared" si="429"/>
        <v>1257</v>
      </c>
      <c r="B821" s="795">
        <v>43490</v>
      </c>
      <c r="C821" s="820">
        <v>2664.76</v>
      </c>
      <c r="D821" s="792">
        <f t="shared" si="430"/>
        <v>8.4887201825662555E-3</v>
      </c>
      <c r="E821" s="819">
        <f t="shared" si="431"/>
        <v>0.26746066475143176</v>
      </c>
      <c r="F821" s="816">
        <v>7164.86</v>
      </c>
      <c r="G821" s="792">
        <f t="shared" si="432"/>
        <v>1.2921540519066996E-2</v>
      </c>
      <c r="H821" s="797">
        <f t="shared" si="433"/>
        <v>0.40716460121373999</v>
      </c>
      <c r="I821" s="841">
        <v>395488.83</v>
      </c>
      <c r="J821" s="800">
        <v>290000</v>
      </c>
      <c r="K821" s="800">
        <f t="shared" si="434"/>
        <v>4063.7600000000093</v>
      </c>
      <c r="L821" s="792">
        <f t="shared" si="435"/>
        <v>1.0381961482436496E-2</v>
      </c>
      <c r="M821" s="817">
        <f t="shared" si="436"/>
        <v>105488.83000000002</v>
      </c>
      <c r="N821" s="802">
        <f t="shared" si="437"/>
        <v>0.3637545862068966</v>
      </c>
      <c r="O821" s="786">
        <f t="shared" si="438"/>
        <v>0.10569718584890134</v>
      </c>
      <c r="P821" s="817" t="b">
        <f t="shared" si="439"/>
        <v>1</v>
      </c>
      <c r="Q821" s="802">
        <f>COUNTIF(P$2:P821, TRUE)/(COUNTIF(P$2:P821,FALSE) + COUNTIF(P$2:P821, TRUE))</f>
        <v>0.5</v>
      </c>
      <c r="R821" s="844">
        <v>326832.83</v>
      </c>
      <c r="S821" s="846">
        <f t="shared" si="440"/>
        <v>68656</v>
      </c>
      <c r="T821" s="800">
        <v>-33248</v>
      </c>
      <c r="U821" s="800">
        <f t="shared" si="423"/>
        <v>138736.83000000002</v>
      </c>
      <c r="V821" s="802">
        <f>STDEV(D$2:D821)*SQRT(252)</f>
        <v>0.14824365935565442</v>
      </c>
      <c r="W821" s="802">
        <f>STDEV(L$2:L821)*SQRT(252)</f>
        <v>0.25554845627068484</v>
      </c>
      <c r="X821" s="801">
        <f t="shared" si="441"/>
        <v>0.52425036282714699</v>
      </c>
      <c r="Y821" s="801">
        <f t="shared" si="442"/>
        <v>0.41360917374098166</v>
      </c>
      <c r="Z821" s="807">
        <f t="shared" si="428"/>
        <v>9.6293921455464837E-2</v>
      </c>
    </row>
    <row r="822" spans="1:26" ht="20.100000000000001" customHeight="1" x14ac:dyDescent="0.2">
      <c r="A822" s="776">
        <f t="shared" si="429"/>
        <v>1260</v>
      </c>
      <c r="B822" s="795">
        <v>43493</v>
      </c>
      <c r="C822" s="820">
        <v>2643.85</v>
      </c>
      <c r="D822" s="792">
        <f t="shared" si="430"/>
        <v>-7.8468605052613768E-3</v>
      </c>
      <c r="E822" s="819">
        <f t="shared" si="431"/>
        <v>0.25751507771922139</v>
      </c>
      <c r="F822" s="816">
        <v>7085.68</v>
      </c>
      <c r="G822" s="792">
        <f t="shared" si="432"/>
        <v>-1.105115801285711E-2</v>
      </c>
      <c r="H822" s="797">
        <f t="shared" si="433"/>
        <v>0.39161380285562791</v>
      </c>
      <c r="I822" s="841">
        <v>395484.69</v>
      </c>
      <c r="J822" s="800">
        <v>290000</v>
      </c>
      <c r="K822" s="800">
        <f t="shared" si="434"/>
        <v>-4.1400000000139698</v>
      </c>
      <c r="L822" s="792">
        <f t="shared" si="435"/>
        <v>-1.0468057972747219E-5</v>
      </c>
      <c r="M822" s="817">
        <f t="shared" si="436"/>
        <v>105484.69</v>
      </c>
      <c r="N822" s="802">
        <f t="shared" si="437"/>
        <v>0.36374031034482757</v>
      </c>
      <c r="O822" s="786">
        <f t="shared" si="438"/>
        <v>0.10544138758210179</v>
      </c>
      <c r="P822" s="817" t="b">
        <f t="shared" si="439"/>
        <v>1</v>
      </c>
      <c r="Q822" s="802">
        <f>COUNTIF(P$2:P822, TRUE)/(COUNTIF(P$2:P822,FALSE) + COUNTIF(P$2:P822, TRUE))</f>
        <v>0.50060901339829478</v>
      </c>
      <c r="R822" s="844">
        <v>325754.37</v>
      </c>
      <c r="S822" s="846">
        <f t="shared" si="440"/>
        <v>69730.320000000007</v>
      </c>
      <c r="T822" s="800">
        <v>-33173</v>
      </c>
      <c r="U822" s="800">
        <f t="shared" si="423"/>
        <v>138657.69</v>
      </c>
      <c r="V822" s="802">
        <f>STDEV(D$2:D822)*SQRT(252)</f>
        <v>0.14822250914047161</v>
      </c>
      <c r="W822" s="802">
        <f>STDEV(L$2:L822)*SQRT(252)</f>
        <v>0.25539260644864942</v>
      </c>
      <c r="X822" s="801">
        <f t="shared" si="441"/>
        <v>0.50362604448260762</v>
      </c>
      <c r="Y822" s="801">
        <f t="shared" si="442"/>
        <v>0.41285998466561874</v>
      </c>
      <c r="Z822" s="807">
        <f t="shared" si="428"/>
        <v>0.10622523262560618</v>
      </c>
    </row>
    <row r="823" spans="1:26" ht="20.100000000000001" customHeight="1" x14ac:dyDescent="0.2">
      <c r="A823" s="776">
        <f t="shared" si="429"/>
        <v>1261</v>
      </c>
      <c r="B823" s="795">
        <v>43494</v>
      </c>
      <c r="C823" s="820">
        <v>2640</v>
      </c>
      <c r="D823" s="792">
        <f t="shared" si="430"/>
        <v>-1.4562096941959299E-3</v>
      </c>
      <c r="E823" s="819">
        <f t="shared" si="431"/>
        <v>0.25568387207244914</v>
      </c>
      <c r="F823" s="816">
        <v>7028.29</v>
      </c>
      <c r="G823" s="792">
        <f t="shared" si="432"/>
        <v>-8.0994343521017496E-3</v>
      </c>
      <c r="H823" s="797">
        <f t="shared" si="433"/>
        <v>0.38034251821592008</v>
      </c>
      <c r="I823" s="841">
        <v>396270.66</v>
      </c>
      <c r="J823" s="800">
        <v>290000</v>
      </c>
      <c r="K823" s="800">
        <f t="shared" si="434"/>
        <v>785.96999999997206</v>
      </c>
      <c r="L823" s="792">
        <f t="shared" si="435"/>
        <v>1.9873588532592049E-3</v>
      </c>
      <c r="M823" s="817">
        <f t="shared" si="436"/>
        <v>106270.65999999997</v>
      </c>
      <c r="N823" s="802">
        <f t="shared" si="437"/>
        <v>0.36645055172413782</v>
      </c>
      <c r="O823" s="786">
        <f t="shared" si="438"/>
        <v>0.10614279462112715</v>
      </c>
      <c r="P823" s="817" t="b">
        <f t="shared" si="439"/>
        <v>1</v>
      </c>
      <c r="Q823" s="802">
        <f>COUNTIF(P$2:P823, TRUE)/(COUNTIF(P$2:P823,FALSE) + COUNTIF(P$2:P823, TRUE))</f>
        <v>0.5012165450121655</v>
      </c>
      <c r="R823" s="844">
        <v>322922.39</v>
      </c>
      <c r="S823" s="846">
        <f t="shared" si="440"/>
        <v>73348.26999999996</v>
      </c>
      <c r="T823" s="800">
        <v>-33183</v>
      </c>
      <c r="U823" s="800">
        <f t="shared" si="423"/>
        <v>139453.65999999997</v>
      </c>
      <c r="V823" s="802">
        <f>STDEV(D$2:D823)*SQRT(252)</f>
        <v>0.14813538173261068</v>
      </c>
      <c r="W823" s="802">
        <f>STDEV(L$2:L823)*SQRT(252)</f>
        <v>0.25523802260297879</v>
      </c>
      <c r="X823" s="801">
        <f t="shared" si="441"/>
        <v>0.49994205576912071</v>
      </c>
      <c r="Y823" s="801">
        <f t="shared" si="442"/>
        <v>0.41585808234469684</v>
      </c>
      <c r="Z823" s="807">
        <f t="shared" si="428"/>
        <v>0.11076667965168868</v>
      </c>
    </row>
    <row r="824" spans="1:26" ht="20.100000000000001" customHeight="1" x14ac:dyDescent="0.2">
      <c r="A824" s="776">
        <f t="shared" si="429"/>
        <v>1262</v>
      </c>
      <c r="B824" s="795">
        <v>43495</v>
      </c>
      <c r="C824" s="820">
        <v>2681.05</v>
      </c>
      <c r="D824" s="792">
        <f t="shared" si="430"/>
        <v>1.5549242424242493E-2</v>
      </c>
      <c r="E824" s="819">
        <f t="shared" si="431"/>
        <v>0.27520880500751516</v>
      </c>
      <c r="F824" s="816">
        <v>7183.07</v>
      </c>
      <c r="G824" s="792">
        <f t="shared" si="432"/>
        <v>2.2022426507728017E-2</v>
      </c>
      <c r="H824" s="797">
        <f t="shared" si="433"/>
        <v>0.41074100987882239</v>
      </c>
      <c r="I824" s="841">
        <v>397387.82</v>
      </c>
      <c r="J824" s="800">
        <v>290000</v>
      </c>
      <c r="K824" s="800">
        <f t="shared" si="434"/>
        <v>1117.1600000000326</v>
      </c>
      <c r="L824" s="792">
        <f t="shared" si="435"/>
        <v>2.8191842413971113E-3</v>
      </c>
      <c r="M824" s="817">
        <f t="shared" si="436"/>
        <v>107387.82</v>
      </c>
      <c r="N824" s="802">
        <f t="shared" si="437"/>
        <v>0.37030282758620692</v>
      </c>
      <c r="O824" s="786">
        <f t="shared" si="438"/>
        <v>0.10717361947374174</v>
      </c>
      <c r="P824" s="817" t="b">
        <f t="shared" si="439"/>
        <v>0</v>
      </c>
      <c r="Q824" s="802">
        <f>COUNTIF(P$2:P824, TRUE)/(COUNTIF(P$2:P824,FALSE) + COUNTIF(P$2:P824, TRUE))</f>
        <v>0.50060753341433784</v>
      </c>
      <c r="R824" s="844">
        <v>305135.78000000003</v>
      </c>
      <c r="S824" s="846">
        <f t="shared" si="440"/>
        <v>92252.039999999979</v>
      </c>
      <c r="T824" s="800">
        <v>-33248</v>
      </c>
      <c r="U824" s="800">
        <f t="shared" si="423"/>
        <v>140635.82</v>
      </c>
      <c r="V824" s="802">
        <f>STDEV(D$2:D824)*SQRT(252)</f>
        <v>0.14828505452786289</v>
      </c>
      <c r="W824" s="802">
        <f>STDEV(L$2:L824)*SQRT(252)</f>
        <v>0.25508554008666545</v>
      </c>
      <c r="X824" s="801">
        <f t="shared" si="441"/>
        <v>0.53715028815964072</v>
      </c>
      <c r="Y824" s="801">
        <f t="shared" si="442"/>
        <v>0.42014776469622483</v>
      </c>
      <c r="Z824" s="807">
        <f t="shared" si="428"/>
        <v>9.5094022578691761E-2</v>
      </c>
    </row>
    <row r="825" spans="1:26" ht="20.100000000000001" customHeight="1" x14ac:dyDescent="0.2">
      <c r="A825" s="776">
        <f t="shared" si="429"/>
        <v>1263</v>
      </c>
      <c r="B825" s="795">
        <v>43496</v>
      </c>
      <c r="C825" s="820">
        <v>2704.1</v>
      </c>
      <c r="D825" s="792">
        <f t="shared" si="430"/>
        <v>8.5973778929895849E-3</v>
      </c>
      <c r="E825" s="819">
        <f t="shared" si="431"/>
        <v>0.2861722569966324</v>
      </c>
      <c r="F825" s="816">
        <v>7281.73</v>
      </c>
      <c r="G825" s="792">
        <f t="shared" si="432"/>
        <v>1.3735074278825051E-2</v>
      </c>
      <c r="H825" s="797">
        <f t="shared" si="433"/>
        <v>0.43011764243769268</v>
      </c>
      <c r="I825" s="842">
        <v>398929.08</v>
      </c>
      <c r="J825" s="800">
        <v>290000</v>
      </c>
      <c r="K825" s="800">
        <f t="shared" si="434"/>
        <v>1541.2600000000093</v>
      </c>
      <c r="L825" s="792">
        <f t="shared" si="435"/>
        <v>3.8784782080135451E-3</v>
      </c>
      <c r="M825" s="822">
        <f t="shared" si="436"/>
        <v>108929.08000000002</v>
      </c>
      <c r="N825" s="802">
        <f t="shared" si="437"/>
        <v>0.37561751724137937</v>
      </c>
      <c r="O825" s="786">
        <f t="shared" si="438"/>
        <v>0.10862573093619463</v>
      </c>
      <c r="P825" s="817" t="b">
        <f t="shared" si="439"/>
        <v>0</v>
      </c>
      <c r="Q825" s="802">
        <f>COUNTIF(P$2:P825, TRUE)/(COUNTIF(P$2:P825,FALSE) + COUNTIF(P$2:P825, TRUE))</f>
        <v>0.5</v>
      </c>
      <c r="R825" s="844">
        <v>298673.2</v>
      </c>
      <c r="S825" s="846">
        <f t="shared" si="440"/>
        <v>100255.88</v>
      </c>
      <c r="T825" s="800">
        <v>-32593</v>
      </c>
      <c r="U825" s="800">
        <f t="shared" ref="U825:U845" si="443">M825-T825</f>
        <v>141522.08000000002</v>
      </c>
      <c r="V825" s="802">
        <f>STDEV(D$2:D825)*SQRT(252)</f>
        <v>0.14826526356297684</v>
      </c>
      <c r="W825" s="802">
        <f>STDEV(L$2:L825)*SQRT(252)</f>
        <v>0.25493684745531853</v>
      </c>
      <c r="X825" s="801">
        <f t="shared" si="441"/>
        <v>0.55818092217684434</v>
      </c>
      <c r="Y825" s="801">
        <f t="shared" si="442"/>
        <v>0.42608878245908688</v>
      </c>
      <c r="Z825" s="807">
        <f t="shared" si="428"/>
        <v>8.9445260244746971E-2</v>
      </c>
    </row>
    <row r="826" spans="1:26" ht="20.100000000000001" customHeight="1" x14ac:dyDescent="0.2">
      <c r="A826" s="776">
        <f t="shared" si="429"/>
        <v>1264</v>
      </c>
      <c r="B826" s="795">
        <v>43497</v>
      </c>
      <c r="C826" s="820">
        <v>2706.53</v>
      </c>
      <c r="D826" s="792">
        <f t="shared" si="430"/>
        <v>8.9863540549546658E-4</v>
      </c>
      <c r="E826" s="819">
        <f t="shared" si="431"/>
        <v>0.28732805692433561</v>
      </c>
      <c r="F826" s="816">
        <v>7263.86</v>
      </c>
      <c r="G826" s="792">
        <f t="shared" si="432"/>
        <v>-2.4540871468730495E-3</v>
      </c>
      <c r="H826" s="797">
        <f t="shared" si="433"/>
        <v>0.42660800911286995</v>
      </c>
      <c r="I826" s="841">
        <v>399784.64</v>
      </c>
      <c r="J826" s="800">
        <v>290000</v>
      </c>
      <c r="K826" s="800">
        <f t="shared" si="434"/>
        <v>855.55999999999767</v>
      </c>
      <c r="L826" s="792">
        <f t="shared" si="435"/>
        <v>2.1446418496239923E-3</v>
      </c>
      <c r="M826" s="817">
        <f t="shared" si="436"/>
        <v>109784.64000000001</v>
      </c>
      <c r="N826" s="802">
        <f t="shared" si="437"/>
        <v>0.37856772413793111</v>
      </c>
      <c r="O826" s="786">
        <f t="shared" si="438"/>
        <v>0.10939229528590137</v>
      </c>
      <c r="P826" s="817" t="b">
        <f t="shared" si="439"/>
        <v>1</v>
      </c>
      <c r="Q826" s="802">
        <f>COUNTIF(P$2:P826, TRUE)/(COUNTIF(P$2:P826,FALSE) + COUNTIF(P$2:P826, TRUE))</f>
        <v>0.50060606060606061</v>
      </c>
      <c r="R826" s="844">
        <v>310045.73</v>
      </c>
      <c r="S826" s="846">
        <f t="shared" si="440"/>
        <v>89738.910000000033</v>
      </c>
      <c r="T826" s="800">
        <v>-32743</v>
      </c>
      <c r="U826" s="800">
        <f t="shared" si="443"/>
        <v>142527.64000000001</v>
      </c>
      <c r="V826" s="802">
        <f>STDEV(D$2:D826)*SQRT(252)</f>
        <v>0.14817547136633374</v>
      </c>
      <c r="W826" s="802">
        <f>STDEV(L$2:L826)*SQRT(252)</f>
        <v>0.25478337109882809</v>
      </c>
      <c r="X826" s="801">
        <f t="shared" si="441"/>
        <v>0.56033128240794383</v>
      </c>
      <c r="Y826" s="801">
        <f t="shared" si="442"/>
        <v>0.42935414039823316</v>
      </c>
      <c r="Z826" s="807">
        <f t="shared" si="428"/>
        <v>9.1239667213595499E-2</v>
      </c>
    </row>
    <row r="827" spans="1:26" ht="20.100000000000001" customHeight="1" x14ac:dyDescent="0.2">
      <c r="A827" s="776">
        <f t="shared" si="429"/>
        <v>1267</v>
      </c>
      <c r="B827" s="795">
        <v>43500</v>
      </c>
      <c r="C827" s="820">
        <v>2724.87</v>
      </c>
      <c r="D827" s="792">
        <f t="shared" si="430"/>
        <v>6.7762042172078967E-3</v>
      </c>
      <c r="E827" s="819">
        <f t="shared" si="431"/>
        <v>0.2960512547325963</v>
      </c>
      <c r="F827" s="816">
        <v>7347.53</v>
      </c>
      <c r="G827" s="792">
        <f t="shared" si="432"/>
        <v>1.1518669137345719E-2</v>
      </c>
      <c r="H827" s="797">
        <f t="shared" si="433"/>
        <v>0.44304063475852856</v>
      </c>
      <c r="I827" s="841">
        <v>400045.9</v>
      </c>
      <c r="J827" s="800">
        <v>290000</v>
      </c>
      <c r="K827" s="800">
        <f t="shared" si="434"/>
        <v>261.26000000000931</v>
      </c>
      <c r="L827" s="792">
        <f t="shared" si="435"/>
        <v>6.5350184539358317E-4</v>
      </c>
      <c r="M827" s="817">
        <f t="shared" si="436"/>
        <v>110045.90000000002</v>
      </c>
      <c r="N827" s="802">
        <f t="shared" si="437"/>
        <v>0.37946862068965526</v>
      </c>
      <c r="O827" s="786">
        <f t="shared" si="438"/>
        <v>0.10939298635114174</v>
      </c>
      <c r="P827" s="817" t="b">
        <f t="shared" si="439"/>
        <v>0</v>
      </c>
      <c r="Q827" s="802">
        <f>COUNTIF(P$2:P827, TRUE)/(COUNTIF(P$2:P827,FALSE) + COUNTIF(P$2:P827, TRUE))</f>
        <v>0.5</v>
      </c>
      <c r="R827" s="844">
        <v>310256.99</v>
      </c>
      <c r="S827" s="846">
        <f t="shared" si="440"/>
        <v>89788.910000000033</v>
      </c>
      <c r="T827" s="800">
        <v>-33047</v>
      </c>
      <c r="U827" s="800">
        <f t="shared" si="443"/>
        <v>143092.90000000002</v>
      </c>
      <c r="V827" s="802">
        <f>STDEV(D$2:D827)*SQRT(252)</f>
        <v>0.14812811505907053</v>
      </c>
      <c r="W827" s="802">
        <f>STDEV(L$2:L827)*SQRT(252)</f>
        <v>0.25462872499432798</v>
      </c>
      <c r="X827" s="801">
        <f t="shared" si="441"/>
        <v>0.5761598876503532</v>
      </c>
      <c r="Y827" s="801">
        <f t="shared" si="442"/>
        <v>0.42961761817555555</v>
      </c>
      <c r="Z827" s="807">
        <f t="shared" si="428"/>
        <v>8.3417365957058953E-2</v>
      </c>
    </row>
    <row r="828" spans="1:26" ht="20.100000000000001" customHeight="1" x14ac:dyDescent="0.2">
      <c r="A828" s="776">
        <f t="shared" si="429"/>
        <v>1268</v>
      </c>
      <c r="B828" s="795">
        <v>43501</v>
      </c>
      <c r="C828" s="820">
        <v>2737.7</v>
      </c>
      <c r="D828" s="792">
        <f t="shared" si="430"/>
        <v>4.708481505539687E-3</v>
      </c>
      <c r="E828" s="819">
        <f t="shared" si="431"/>
        <v>0.30215368809573628</v>
      </c>
      <c r="F828" s="816">
        <v>7402.08</v>
      </c>
      <c r="G828" s="792">
        <f t="shared" si="432"/>
        <v>7.4242636641157211E-3</v>
      </c>
      <c r="H828" s="797">
        <f t="shared" si="433"/>
        <v>0.45375414890900884</v>
      </c>
      <c r="I828" s="841">
        <v>401573.77</v>
      </c>
      <c r="J828" s="800">
        <v>290000</v>
      </c>
      <c r="K828" s="800">
        <f t="shared" si="434"/>
        <v>1527.8699999999953</v>
      </c>
      <c r="L828" s="792">
        <f t="shared" si="435"/>
        <v>3.8192367425837767E-3</v>
      </c>
      <c r="M828" s="817">
        <f t="shared" si="436"/>
        <v>111573.77000000002</v>
      </c>
      <c r="N828" s="802">
        <f t="shared" si="437"/>
        <v>0.38473713793103453</v>
      </c>
      <c r="O828" s="786">
        <f t="shared" si="438"/>
        <v>0.11082432147421954</v>
      </c>
      <c r="P828" s="817" t="b">
        <f t="shared" si="439"/>
        <v>0</v>
      </c>
      <c r="Q828" s="802">
        <f>COUNTIF(P$2:P828, TRUE)/(COUNTIF(P$2:P828,FALSE) + COUNTIF(P$2:P828, TRUE))</f>
        <v>0.49939540507859737</v>
      </c>
      <c r="R828" s="844">
        <v>308862.81</v>
      </c>
      <c r="S828" s="846">
        <f t="shared" si="440"/>
        <v>92710.960000000021</v>
      </c>
      <c r="T828" s="800">
        <v>-32917</v>
      </c>
      <c r="U828" s="800">
        <f t="shared" si="443"/>
        <v>144490.77000000002</v>
      </c>
      <c r="V828" s="802">
        <f>STDEV(D$2:D828)*SQRT(252)</f>
        <v>0.14805781560677195</v>
      </c>
      <c r="W828" s="802">
        <f>STDEV(L$2:L828)*SQRT(252)</f>
        <v>0.25448060687659302</v>
      </c>
      <c r="X828" s="801">
        <f t="shared" si="441"/>
        <v>0.58785136777360014</v>
      </c>
      <c r="Y828" s="801">
        <f t="shared" si="442"/>
        <v>0.43549220836290414</v>
      </c>
      <c r="Z828" s="807">
        <f t="shared" si="428"/>
        <v>8.258344983529825E-2</v>
      </c>
    </row>
    <row r="829" spans="1:26" ht="20.100000000000001" customHeight="1" x14ac:dyDescent="0.2">
      <c r="A829" s="776">
        <f t="shared" si="429"/>
        <v>1269</v>
      </c>
      <c r="B829" s="795">
        <v>43502</v>
      </c>
      <c r="C829" s="820">
        <v>2731.61</v>
      </c>
      <c r="D829" s="792">
        <f t="shared" si="430"/>
        <v>-2.2244950140627869E-3</v>
      </c>
      <c r="E829" s="819">
        <f t="shared" si="431"/>
        <v>0.29925705370902383</v>
      </c>
      <c r="F829" s="816">
        <v>7375.28</v>
      </c>
      <c r="G829" s="792">
        <f t="shared" si="432"/>
        <v>-3.6206039383524877E-3</v>
      </c>
      <c r="H829" s="797">
        <f t="shared" si="433"/>
        <v>0.44849068091207261</v>
      </c>
      <c r="I829" s="841">
        <v>400657.85</v>
      </c>
      <c r="J829" s="800">
        <v>290000</v>
      </c>
      <c r="K829" s="800">
        <f t="shared" si="434"/>
        <v>-915.92000000004191</v>
      </c>
      <c r="L829" s="792">
        <f t="shared" si="435"/>
        <v>-2.2808262601415473E-3</v>
      </c>
      <c r="M829" s="817">
        <f t="shared" si="436"/>
        <v>110657.84999999998</v>
      </c>
      <c r="N829" s="802">
        <f t="shared" si="437"/>
        <v>0.38157879310344822</v>
      </c>
      <c r="O829" s="786">
        <f t="shared" si="438"/>
        <v>0.1098279386769381</v>
      </c>
      <c r="P829" s="817" t="b">
        <f t="shared" si="439"/>
        <v>0</v>
      </c>
      <c r="Q829" s="802">
        <f>COUNTIF(P$2:P829, TRUE)/(COUNTIF(P$2:P829,FALSE) + COUNTIF(P$2:P829, TRUE))</f>
        <v>0.49879227053140096</v>
      </c>
      <c r="R829" s="844">
        <v>304167.55</v>
      </c>
      <c r="S829" s="846">
        <f t="shared" si="440"/>
        <v>96490.299999999988</v>
      </c>
      <c r="T829" s="800">
        <v>-32778</v>
      </c>
      <c r="U829" s="800">
        <f t="shared" si="443"/>
        <v>143435.84999999998</v>
      </c>
      <c r="V829" s="802">
        <f>STDEV(D$2:D829)*SQRT(252)</f>
        <v>0.14797505943148828</v>
      </c>
      <c r="W829" s="802">
        <f>STDEV(L$2:L829)*SQRT(252)</f>
        <v>0.25433146852233829</v>
      </c>
      <c r="X829" s="801">
        <f t="shared" si="441"/>
        <v>0.58208240970679481</v>
      </c>
      <c r="Y829" s="801">
        <f t="shared" si="442"/>
        <v>0.43182992381963842</v>
      </c>
      <c r="Z829" s="807">
        <f t="shared" si="428"/>
        <v>8.2321739394424387E-2</v>
      </c>
    </row>
    <row r="830" spans="1:26" ht="20.100000000000001" customHeight="1" x14ac:dyDescent="0.2">
      <c r="A830" s="776">
        <f t="shared" si="429"/>
        <v>1270</v>
      </c>
      <c r="B830" s="795">
        <v>43503</v>
      </c>
      <c r="C830" s="820">
        <v>2706.05</v>
      </c>
      <c r="D830" s="792">
        <f t="shared" si="430"/>
        <v>-9.3571190616522654E-3</v>
      </c>
      <c r="E830" s="819">
        <f t="shared" si="431"/>
        <v>0.28709975076577698</v>
      </c>
      <c r="F830" s="816">
        <v>7288.35</v>
      </c>
      <c r="G830" s="792">
        <f t="shared" si="432"/>
        <v>-1.1786671150112183E-2</v>
      </c>
      <c r="H830" s="797">
        <f t="shared" si="433"/>
        <v>0.43141779759215992</v>
      </c>
      <c r="I830" s="841">
        <v>396182.66</v>
      </c>
      <c r="J830" s="800">
        <v>290000</v>
      </c>
      <c r="K830" s="800">
        <f t="shared" si="434"/>
        <v>-4475.1900000000023</v>
      </c>
      <c r="L830" s="792">
        <f t="shared" si="435"/>
        <v>-1.1169605188067581E-2</v>
      </c>
      <c r="M830" s="817">
        <f t="shared" si="436"/>
        <v>106182.65999999997</v>
      </c>
      <c r="N830" s="802">
        <f t="shared" si="437"/>
        <v>0.36614710344827578</v>
      </c>
      <c r="O830" s="786">
        <f t="shared" si="438"/>
        <v>0.10530333034211238</v>
      </c>
      <c r="P830" s="817" t="b">
        <f t="shared" si="439"/>
        <v>0</v>
      </c>
      <c r="Q830" s="802">
        <f>COUNTIF(P$2:P830, TRUE)/(COUNTIF(P$2:P830,FALSE) + COUNTIF(P$2:P830, TRUE))</f>
        <v>0.49819059107358266</v>
      </c>
      <c r="R830" s="844">
        <v>314836.36</v>
      </c>
      <c r="S830" s="846">
        <f t="shared" si="440"/>
        <v>81346.299999999988</v>
      </c>
      <c r="T830" s="800">
        <v>-33058</v>
      </c>
      <c r="U830" s="800">
        <f t="shared" si="443"/>
        <v>139240.65999999997</v>
      </c>
      <c r="V830" s="802">
        <f>STDEV(D$2:D830)*SQRT(252)</f>
        <v>0.14798269617263782</v>
      </c>
      <c r="W830" s="802">
        <f>STDEV(L$2:L830)*SQRT(252)</f>
        <v>0.25426044550181115</v>
      </c>
      <c r="X830" s="801">
        <f t="shared" si="441"/>
        <v>0.5579668321377218</v>
      </c>
      <c r="Y830" s="801">
        <f t="shared" si="442"/>
        <v>0.41415537573799416</v>
      </c>
      <c r="Z830" s="807">
        <f t="shared" si="428"/>
        <v>7.9047352682498795E-2</v>
      </c>
    </row>
    <row r="831" spans="1:26" ht="20.100000000000001" customHeight="1" x14ac:dyDescent="0.2">
      <c r="A831" s="776">
        <f t="shared" si="429"/>
        <v>1271</v>
      </c>
      <c r="B831" s="795">
        <v>43504</v>
      </c>
      <c r="C831" s="820">
        <v>2707.88</v>
      </c>
      <c r="D831" s="792">
        <f t="shared" si="430"/>
        <v>6.7626244895693983E-4</v>
      </c>
      <c r="E831" s="819">
        <f t="shared" si="431"/>
        <v>0.28797016799528169</v>
      </c>
      <c r="F831" s="816">
        <v>7298.19</v>
      </c>
      <c r="G831" s="792">
        <f t="shared" si="432"/>
        <v>1.3500998168308651E-3</v>
      </c>
      <c r="H831" s="797">
        <f t="shared" si="433"/>
        <v>0.43335035449849751</v>
      </c>
      <c r="I831" s="841">
        <v>394817.52</v>
      </c>
      <c r="J831" s="800">
        <v>290000</v>
      </c>
      <c r="K831" s="800">
        <f t="shared" si="434"/>
        <v>-1365.1399999999558</v>
      </c>
      <c r="L831" s="792">
        <f t="shared" si="435"/>
        <v>-3.4457338440807982E-3</v>
      </c>
      <c r="M831" s="817">
        <f t="shared" si="436"/>
        <v>104817.52000000002</v>
      </c>
      <c r="N831" s="802">
        <f t="shared" si="437"/>
        <v>0.36143972413793107</v>
      </c>
      <c r="O831" s="786">
        <f t="shared" si="438"/>
        <v>0.10386770986733228</v>
      </c>
      <c r="P831" s="817" t="b">
        <f t="shared" si="439"/>
        <v>0</v>
      </c>
      <c r="Q831" s="802">
        <f>COUNTIF(P$2:P831, TRUE)/(COUNTIF(P$2:P831,FALSE) + COUNTIF(P$2:P831, TRUE))</f>
        <v>0.49759036144578311</v>
      </c>
      <c r="R831" s="844">
        <v>319372.21999999997</v>
      </c>
      <c r="S831" s="846">
        <f t="shared" si="440"/>
        <v>75445.300000000047</v>
      </c>
      <c r="T831" s="800">
        <v>-33112</v>
      </c>
      <c r="U831" s="800">
        <f t="shared" si="443"/>
        <v>137929.52000000002</v>
      </c>
      <c r="V831" s="802">
        <f>STDEV(D$2:D831)*SQRT(252)</f>
        <v>0.14789341819898402</v>
      </c>
      <c r="W831" s="802">
        <f>STDEV(L$2:L831)*SQRT(252)</f>
        <v>0.25411653775614662</v>
      </c>
      <c r="X831" s="801">
        <f t="shared" si="441"/>
        <v>0.55955570383066522</v>
      </c>
      <c r="Y831" s="801">
        <f t="shared" si="442"/>
        <v>0.40874045736844178</v>
      </c>
      <c r="Z831" s="807">
        <f t="shared" si="428"/>
        <v>7.3469556142649384E-2</v>
      </c>
    </row>
    <row r="832" spans="1:26" ht="20.100000000000001" customHeight="1" x14ac:dyDescent="0.2">
      <c r="A832" s="776">
        <f t="shared" si="429"/>
        <v>1274</v>
      </c>
      <c r="B832" s="795">
        <v>43507</v>
      </c>
      <c r="C832" s="820">
        <v>2709.8</v>
      </c>
      <c r="D832" s="792">
        <f t="shared" si="430"/>
        <v>7.0904175960532698E-4</v>
      </c>
      <c r="E832" s="819">
        <f t="shared" si="431"/>
        <v>0.28888339262951623</v>
      </c>
      <c r="F832" s="816">
        <v>7307.9</v>
      </c>
      <c r="G832" s="792">
        <f t="shared" si="432"/>
        <v>1.330466869182638E-3</v>
      </c>
      <c r="H832" s="797">
        <f t="shared" si="433"/>
        <v>0.43525737965708899</v>
      </c>
      <c r="I832" s="841">
        <v>396278.65</v>
      </c>
      <c r="J832" s="800">
        <v>290000</v>
      </c>
      <c r="K832" s="800">
        <f t="shared" si="434"/>
        <v>1461.1300000000047</v>
      </c>
      <c r="L832" s="792">
        <f t="shared" si="435"/>
        <v>3.7007729545538016E-3</v>
      </c>
      <c r="M832" s="817">
        <f t="shared" si="436"/>
        <v>106278.65000000002</v>
      </c>
      <c r="N832" s="802">
        <f t="shared" si="437"/>
        <v>0.36647810344827592</v>
      </c>
      <c r="O832" s="786">
        <f t="shared" si="438"/>
        <v>0.10506760383397393</v>
      </c>
      <c r="P832" s="817" t="b">
        <f t="shared" si="439"/>
        <v>1</v>
      </c>
      <c r="Q832" s="802">
        <f>COUNTIF(P$2:P832, TRUE)/(COUNTIF(P$2:P832,FALSE) + COUNTIF(P$2:P832, TRUE))</f>
        <v>0.49819494584837543</v>
      </c>
      <c r="R832" s="844">
        <v>324861.34999999998</v>
      </c>
      <c r="S832" s="846">
        <f t="shared" si="440"/>
        <v>71417.300000000047</v>
      </c>
      <c r="T832" s="800">
        <v>-33195</v>
      </c>
      <c r="U832" s="800">
        <f t="shared" si="443"/>
        <v>139473.65000000002</v>
      </c>
      <c r="V832" s="802">
        <f>STDEV(D$2:D832)*SQRT(252)</f>
        <v>0.14780432477645816</v>
      </c>
      <c r="W832" s="802">
        <f>STDEV(L$2:L832)*SQRT(252)</f>
        <v>0.2539690766921448</v>
      </c>
      <c r="X832" s="801">
        <f t="shared" si="441"/>
        <v>0.5603459413276406</v>
      </c>
      <c r="Y832" s="801">
        <f t="shared" si="442"/>
        <v>0.41370234991771987</v>
      </c>
      <c r="Z832" s="807">
        <f t="shared" si="428"/>
        <v>7.7594710818759682E-2</v>
      </c>
    </row>
    <row r="833" spans="1:26" ht="20.100000000000001" customHeight="1" x14ac:dyDescent="0.2">
      <c r="A833" s="776">
        <f t="shared" si="429"/>
        <v>1275</v>
      </c>
      <c r="B833" s="795">
        <v>43508</v>
      </c>
      <c r="C833" s="820">
        <v>2744.73</v>
      </c>
      <c r="D833" s="792">
        <f t="shared" si="430"/>
        <v>1.2890250202966948E-2</v>
      </c>
      <c r="E833" s="819">
        <f t="shared" si="431"/>
        <v>0.3054974220429596</v>
      </c>
      <c r="F833" s="816">
        <v>7414.61</v>
      </c>
      <c r="G833" s="792">
        <f t="shared" si="432"/>
        <v>1.4602006048249161E-2</v>
      </c>
      <c r="H833" s="797">
        <f t="shared" si="433"/>
        <v>0.45621501659563601</v>
      </c>
      <c r="I833" s="841">
        <v>402240.41</v>
      </c>
      <c r="J833" s="800">
        <v>290000</v>
      </c>
      <c r="K833" s="800">
        <f t="shared" si="434"/>
        <v>5961.7599999999511</v>
      </c>
      <c r="L833" s="792">
        <f t="shared" si="435"/>
        <v>1.5044363353917631E-2</v>
      </c>
      <c r="M833" s="817">
        <f t="shared" si="436"/>
        <v>112240.40999999997</v>
      </c>
      <c r="N833" s="802">
        <f t="shared" si="437"/>
        <v>0.38703589655172405</v>
      </c>
      <c r="O833" s="786">
        <f t="shared" si="438"/>
        <v>0.11087440095334683</v>
      </c>
      <c r="P833" s="817" t="b">
        <f t="shared" si="439"/>
        <v>1</v>
      </c>
      <c r="Q833" s="802">
        <f>COUNTIF(P$2:P833, TRUE)/(COUNTIF(P$2:P833,FALSE) + COUNTIF(P$2:P833, TRUE))</f>
        <v>0.49879807692307693</v>
      </c>
      <c r="R833" s="844">
        <v>315607.31</v>
      </c>
      <c r="S833" s="846">
        <f t="shared" si="440"/>
        <v>86633.099999999977</v>
      </c>
      <c r="T833" s="800">
        <v>-32571</v>
      </c>
      <c r="U833" s="800">
        <f t="shared" si="443"/>
        <v>144811.40999999997</v>
      </c>
      <c r="V833" s="802">
        <f>STDEV(D$2:D833)*SQRT(252)</f>
        <v>0.14787661380003408</v>
      </c>
      <c r="W833" s="802">
        <f>STDEV(L$2:L833)*SQRT(252)</f>
        <v>0.25394106485907758</v>
      </c>
      <c r="X833" s="801">
        <f t="shared" si="441"/>
        <v>0.59181789431123943</v>
      </c>
      <c r="Y833" s="801">
        <f t="shared" si="442"/>
        <v>0.43661469646461326</v>
      </c>
      <c r="Z833" s="807">
        <f t="shared" si="428"/>
        <v>8.1538474508764447E-2</v>
      </c>
    </row>
    <row r="834" spans="1:26" ht="20.100000000000001" customHeight="1" x14ac:dyDescent="0.2">
      <c r="A834" s="776">
        <f t="shared" si="429"/>
        <v>1276</v>
      </c>
      <c r="B834" s="795">
        <v>43509</v>
      </c>
      <c r="C834" s="820">
        <v>2753.03</v>
      </c>
      <c r="D834" s="792">
        <f t="shared" si="430"/>
        <v>3.0239768574687425E-3</v>
      </c>
      <c r="E834" s="819">
        <f t="shared" si="431"/>
        <v>0.3094452160347026</v>
      </c>
      <c r="F834" s="816">
        <v>7420.37</v>
      </c>
      <c r="G834" s="792">
        <f t="shared" si="432"/>
        <v>7.7684463511907143E-4</v>
      </c>
      <c r="H834" s="797">
        <f t="shared" si="433"/>
        <v>0.4573462694188582</v>
      </c>
      <c r="I834" s="841">
        <v>402473.84</v>
      </c>
      <c r="J834" s="800">
        <v>290000</v>
      </c>
      <c r="K834" s="800">
        <f t="shared" si="434"/>
        <v>233.43000000005122</v>
      </c>
      <c r="L834" s="792">
        <f t="shared" si="435"/>
        <v>5.8032458747755164E-4</v>
      </c>
      <c r="M834" s="817">
        <f t="shared" si="436"/>
        <v>112473.84000000003</v>
      </c>
      <c r="N834" s="802">
        <f t="shared" si="437"/>
        <v>0.38784082758620697</v>
      </c>
      <c r="O834" s="786">
        <f t="shared" si="438"/>
        <v>0.11101791714409255</v>
      </c>
      <c r="P834" s="817" t="b">
        <f t="shared" si="439"/>
        <v>0</v>
      </c>
      <c r="Q834" s="802">
        <f>COUNTIF(P$2:P834, TRUE)/(COUNTIF(P$2:P834,FALSE) + COUNTIF(P$2:P834, TRUE))</f>
        <v>0.49819927971188477</v>
      </c>
      <c r="R834" s="844">
        <v>313152.77</v>
      </c>
      <c r="S834" s="846">
        <f t="shared" si="440"/>
        <v>89321.07</v>
      </c>
      <c r="T834" s="800">
        <v>-32803</v>
      </c>
      <c r="U834" s="800">
        <f t="shared" si="443"/>
        <v>145276.84000000003</v>
      </c>
      <c r="V834" s="802">
        <f>STDEV(D$2:D834)*SQRT(252)</f>
        <v>0.14779486111360304</v>
      </c>
      <c r="W834" s="802">
        <f>STDEV(L$2:L834)*SQRT(252)</f>
        <v>0.25378822650323002</v>
      </c>
      <c r="X834" s="801">
        <f t="shared" si="441"/>
        <v>0.59932720165570752</v>
      </c>
      <c r="Y834" s="801">
        <f t="shared" si="442"/>
        <v>0.43744313388264922</v>
      </c>
      <c r="Z834" s="807">
        <f t="shared" si="428"/>
        <v>7.8395611551504374E-2</v>
      </c>
    </row>
    <row r="835" spans="1:26" ht="20.100000000000001" customHeight="1" x14ac:dyDescent="0.2">
      <c r="A835" s="776">
        <f t="shared" si="429"/>
        <v>1277</v>
      </c>
      <c r="B835" s="795">
        <v>43510</v>
      </c>
      <c r="C835" s="820">
        <v>2745.73</v>
      </c>
      <c r="D835" s="792">
        <f t="shared" si="430"/>
        <v>-2.6516238471793554E-3</v>
      </c>
      <c r="E835" s="819">
        <f t="shared" si="431"/>
        <v>0.30597305987329004</v>
      </c>
      <c r="F835" s="816">
        <v>7426.95</v>
      </c>
      <c r="G835" s="792">
        <f t="shared" si="432"/>
        <v>8.8674823492628093E-4</v>
      </c>
      <c r="H835" s="797">
        <f t="shared" si="433"/>
        <v>0.45863856865094177</v>
      </c>
      <c r="I835" s="841">
        <v>405300.44</v>
      </c>
      <c r="J835" s="800">
        <v>290000</v>
      </c>
      <c r="K835" s="800">
        <f t="shared" si="434"/>
        <v>2826.5999999999767</v>
      </c>
      <c r="L835" s="792">
        <f t="shared" si="435"/>
        <v>7.0230651512654249E-3</v>
      </c>
      <c r="M835" s="817">
        <f t="shared" si="436"/>
        <v>115300.44</v>
      </c>
      <c r="N835" s="802">
        <f t="shared" si="437"/>
        <v>0.39758772413793103</v>
      </c>
      <c r="O835" s="786">
        <f t="shared" si="438"/>
        <v>0.1137188067669376</v>
      </c>
      <c r="P835" s="817" t="b">
        <f t="shared" si="439"/>
        <v>1</v>
      </c>
      <c r="Q835" s="802">
        <f>COUNTIF(P$2:P835, TRUE)/(COUNTIF(P$2:P835,FALSE) + COUNTIF(P$2:P835, TRUE))</f>
        <v>0.49880095923261392</v>
      </c>
      <c r="R835" s="844">
        <v>306013.5</v>
      </c>
      <c r="S835" s="846">
        <f t="shared" si="440"/>
        <v>99286.94</v>
      </c>
      <c r="T835" s="800">
        <v>-32953</v>
      </c>
      <c r="U835" s="800">
        <f t="shared" si="443"/>
        <v>148253.44</v>
      </c>
      <c r="V835" s="802">
        <f>STDEV(D$2:D835)*SQRT(252)</f>
        <v>0.1477153488930065</v>
      </c>
      <c r="W835" s="802">
        <f>STDEV(L$2:L835)*SQRT(252)</f>
        <v>0.25366031982836423</v>
      </c>
      <c r="X835" s="801">
        <f t="shared" si="441"/>
        <v>0.5924570781861207</v>
      </c>
      <c r="Y835" s="801">
        <f t="shared" si="442"/>
        <v>0.44831137500687485</v>
      </c>
      <c r="Z835" s="807">
        <f t="shared" si="428"/>
        <v>9.1614664264640988E-2</v>
      </c>
    </row>
    <row r="836" spans="1:26" ht="20.100000000000001" customHeight="1" x14ac:dyDescent="0.2">
      <c r="A836" s="776">
        <f t="shared" si="429"/>
        <v>1278</v>
      </c>
      <c r="B836" s="795">
        <v>43511</v>
      </c>
      <c r="C836" s="820">
        <v>2775.6</v>
      </c>
      <c r="D836" s="792">
        <f t="shared" si="430"/>
        <v>1.0878709851296338E-2</v>
      </c>
      <c r="E836" s="819">
        <f t="shared" si="431"/>
        <v>0.32018036186526122</v>
      </c>
      <c r="F836" s="816">
        <v>7472.41</v>
      </c>
      <c r="G836" s="792">
        <f t="shared" si="432"/>
        <v>6.1209513999690365E-3</v>
      </c>
      <c r="H836" s="797">
        <f t="shared" si="433"/>
        <v>0.46756682443977454</v>
      </c>
      <c r="I836" s="841">
        <v>416948.08</v>
      </c>
      <c r="J836" s="800">
        <v>300000</v>
      </c>
      <c r="K836" s="800">
        <f t="shared" si="434"/>
        <v>1647.640000000014</v>
      </c>
      <c r="L836" s="792">
        <f t="shared" si="435"/>
        <v>4.0652312146515655E-3</v>
      </c>
      <c r="M836" s="817">
        <f t="shared" si="436"/>
        <v>116948.08000000002</v>
      </c>
      <c r="N836" s="802">
        <f t="shared" si="437"/>
        <v>0.3898269333333334</v>
      </c>
      <c r="O836" s="786">
        <f t="shared" si="438"/>
        <v>0.11141180547730832</v>
      </c>
      <c r="P836" s="817" t="b">
        <f t="shared" si="439"/>
        <v>0</v>
      </c>
      <c r="Q836" s="802">
        <f>COUNTIF(P$2:P836, TRUE)/(COUNTIF(P$2:P836,FALSE) + COUNTIF(P$2:P836, TRUE))</f>
        <v>0.49820359281437127</v>
      </c>
      <c r="R836" s="844">
        <v>274189.2</v>
      </c>
      <c r="S836" s="846">
        <f t="shared" si="440"/>
        <v>142758.88</v>
      </c>
      <c r="T836" s="800">
        <v>-33225</v>
      </c>
      <c r="U836" s="800">
        <f t="shared" si="443"/>
        <v>150173.08000000002</v>
      </c>
      <c r="V836" s="802">
        <f>STDEV(D$2:D836)*SQRT(252)</f>
        <v>0.14773976393576149</v>
      </c>
      <c r="W836" s="802">
        <f>STDEV(L$2:L836)*SQRT(252)</f>
        <v>0.2535151700626439</v>
      </c>
      <c r="X836" s="801">
        <f t="shared" si="441"/>
        <v>0.61937926327813009</v>
      </c>
      <c r="Y836" s="801">
        <f t="shared" si="442"/>
        <v>0.43946800284092796</v>
      </c>
      <c r="Z836" s="807">
        <f t="shared" si="428"/>
        <v>6.9646571468072183E-2</v>
      </c>
    </row>
    <row r="837" spans="1:26" ht="20.100000000000001" customHeight="1" x14ac:dyDescent="0.2">
      <c r="A837" s="776">
        <f t="shared" si="429"/>
        <v>1282</v>
      </c>
      <c r="B837" s="795">
        <v>43515</v>
      </c>
      <c r="C837" s="820">
        <v>2779.76</v>
      </c>
      <c r="D837" s="792">
        <f t="shared" si="430"/>
        <v>1.4987750396311822E-3</v>
      </c>
      <c r="E837" s="819">
        <f t="shared" si="431"/>
        <v>0.32215901523943613</v>
      </c>
      <c r="F837" s="816">
        <v>7486.76</v>
      </c>
      <c r="G837" s="792">
        <f t="shared" si="432"/>
        <v>1.9203978368425132E-3</v>
      </c>
      <c r="H837" s="797">
        <f t="shared" si="433"/>
        <v>0.47038513659485054</v>
      </c>
      <c r="I837" s="841">
        <v>417878.34</v>
      </c>
      <c r="J837" s="800">
        <v>300000</v>
      </c>
      <c r="K837" s="800">
        <f t="shared" si="434"/>
        <v>930.26000000000931</v>
      </c>
      <c r="L837" s="792">
        <f t="shared" si="435"/>
        <v>2.2311171213452029E-3</v>
      </c>
      <c r="M837" s="817">
        <f t="shared" si="436"/>
        <v>117878.34000000003</v>
      </c>
      <c r="N837" s="802">
        <f t="shared" si="437"/>
        <v>0.3929278000000001</v>
      </c>
      <c r="O837" s="786">
        <f t="shared" si="438"/>
        <v>0.1119476434867395</v>
      </c>
      <c r="P837" s="817" t="b">
        <f t="shared" si="439"/>
        <v>1</v>
      </c>
      <c r="Q837" s="802">
        <f>COUNTIF(P$2:P837, TRUE)/(COUNTIF(P$2:P837,FALSE) + COUNTIF(P$2:P837, TRUE))</f>
        <v>0.49880382775119619</v>
      </c>
      <c r="R837" s="844">
        <v>262366.64</v>
      </c>
      <c r="S837" s="846">
        <f t="shared" si="440"/>
        <v>155511.70000000001</v>
      </c>
      <c r="T837" s="800">
        <v>-33300</v>
      </c>
      <c r="U837" s="800">
        <f t="shared" si="443"/>
        <v>151178.34000000003</v>
      </c>
      <c r="V837" s="802">
        <f>STDEV(D$2:D837)*SQRT(252)</f>
        <v>0.14765245184344195</v>
      </c>
      <c r="W837" s="802">
        <f>STDEV(L$2:L837)*SQRT(252)</f>
        <v>0.25336471207681943</v>
      </c>
      <c r="X837" s="801">
        <f t="shared" si="441"/>
        <v>0.62162979962244336</v>
      </c>
      <c r="Y837" s="801">
        <f t="shared" si="442"/>
        <v>0.44184386440049039</v>
      </c>
      <c r="Z837" s="807">
        <f t="shared" si="428"/>
        <v>7.0768784760563974E-2</v>
      </c>
    </row>
    <row r="838" spans="1:26" ht="20.100000000000001" customHeight="1" x14ac:dyDescent="0.2">
      <c r="A838" s="776">
        <f t="shared" si="429"/>
        <v>1283</v>
      </c>
      <c r="B838" s="795">
        <v>43516</v>
      </c>
      <c r="C838" s="820">
        <v>2784.7</v>
      </c>
      <c r="D838" s="792">
        <f t="shared" si="430"/>
        <v>1.7771318387197453E-3</v>
      </c>
      <c r="E838" s="819">
        <f t="shared" si="431"/>
        <v>0.3245086661212685</v>
      </c>
      <c r="F838" s="816">
        <v>7489.06</v>
      </c>
      <c r="G838" s="792">
        <f t="shared" si="432"/>
        <v>3.0720899294223159E-4</v>
      </c>
      <c r="H838" s="797">
        <f t="shared" si="433"/>
        <v>0.47083685213190107</v>
      </c>
      <c r="I838" s="841">
        <v>419215.09</v>
      </c>
      <c r="J838" s="800">
        <v>300000</v>
      </c>
      <c r="K838" s="800">
        <f t="shared" si="434"/>
        <v>1336.75</v>
      </c>
      <c r="L838" s="792">
        <f t="shared" si="435"/>
        <v>3.1988975547284884E-3</v>
      </c>
      <c r="M838" s="817">
        <f t="shared" si="436"/>
        <v>119215.09000000003</v>
      </c>
      <c r="N838" s="802">
        <f t="shared" si="437"/>
        <v>0.39738363333333343</v>
      </c>
      <c r="O838" s="786">
        <f t="shared" si="438"/>
        <v>0.11312889483632114</v>
      </c>
      <c r="P838" s="817" t="b">
        <f t="shared" si="439"/>
        <v>1</v>
      </c>
      <c r="Q838" s="802">
        <f>COUNTIF(P$2:P838, TRUE)/(COUNTIF(P$2:P838,FALSE) + COUNTIF(P$2:P838, TRUE))</f>
        <v>0.49940262843488648</v>
      </c>
      <c r="R838" s="844">
        <v>210627.18</v>
      </c>
      <c r="S838" s="846">
        <f t="shared" si="440"/>
        <v>208587.91000000003</v>
      </c>
      <c r="T838" s="800">
        <v>-33230</v>
      </c>
      <c r="U838" s="800">
        <f t="shared" si="443"/>
        <v>152445.09000000003</v>
      </c>
      <c r="V838" s="802">
        <f>STDEV(D$2:D838)*SQRT(252)</f>
        <v>0.14756601090213103</v>
      </c>
      <c r="W838" s="802">
        <f>STDEV(L$2:L838)*SQRT(252)</f>
        <v>0.25321695041310477</v>
      </c>
      <c r="X838" s="801">
        <f t="shared" si="441"/>
        <v>0.62604208648834814</v>
      </c>
      <c r="Y838" s="801">
        <f t="shared" si="442"/>
        <v>0.44676667439426826</v>
      </c>
      <c r="Z838" s="807">
        <f t="shared" si="428"/>
        <v>7.2874967212064934E-2</v>
      </c>
    </row>
    <row r="839" spans="1:26" ht="20.100000000000001" customHeight="1" x14ac:dyDescent="0.2">
      <c r="A839" s="776">
        <f t="shared" si="429"/>
        <v>1284</v>
      </c>
      <c r="B839" s="795">
        <v>43517</v>
      </c>
      <c r="C839" s="820">
        <v>2774.88</v>
      </c>
      <c r="D839" s="792">
        <f t="shared" si="430"/>
        <v>-3.526412180845229E-3</v>
      </c>
      <c r="E839" s="819">
        <f t="shared" si="431"/>
        <v>0.3198379026274234</v>
      </c>
      <c r="F839" s="816">
        <v>7459.7</v>
      </c>
      <c r="G839" s="792">
        <f t="shared" si="432"/>
        <v>-3.9203852018812211E-3</v>
      </c>
      <c r="H839" s="797">
        <f t="shared" si="433"/>
        <v>0.4650706051024216</v>
      </c>
      <c r="I839" s="841">
        <v>418665.85</v>
      </c>
      <c r="J839" s="800">
        <v>300000</v>
      </c>
      <c r="K839" s="800">
        <f t="shared" si="434"/>
        <v>-549.24000000004889</v>
      </c>
      <c r="L839" s="792">
        <f t="shared" si="435"/>
        <v>-1.3101627615552886E-3</v>
      </c>
      <c r="M839" s="817">
        <f t="shared" si="436"/>
        <v>118665.84999999998</v>
      </c>
      <c r="N839" s="802">
        <f t="shared" si="437"/>
        <v>0.39555283333333324</v>
      </c>
      <c r="O839" s="786">
        <f t="shared" si="438"/>
        <v>0.11251999406152645</v>
      </c>
      <c r="P839" s="817" t="b">
        <f t="shared" si="439"/>
        <v>1</v>
      </c>
      <c r="Q839" s="802">
        <f>COUNTIF(P$2:P839, TRUE)/(COUNTIF(P$2:P839,FALSE) + COUNTIF(P$2:P839, TRUE))</f>
        <v>0.5</v>
      </c>
      <c r="R839" s="844">
        <v>221787.94</v>
      </c>
      <c r="S839" s="846">
        <f t="shared" si="440"/>
        <v>196877.90999999997</v>
      </c>
      <c r="T839" s="800">
        <v>-33160</v>
      </c>
      <c r="U839" s="800">
        <f t="shared" si="443"/>
        <v>151825.84999999998</v>
      </c>
      <c r="V839" s="802">
        <f>STDEV(D$2:D839)*SQRT(252)</f>
        <v>0.14749329834613209</v>
      </c>
      <c r="W839" s="802">
        <f>STDEV(L$2:L839)*SQRT(252)</f>
        <v>0.25306765260955155</v>
      </c>
      <c r="X839" s="801">
        <f t="shared" si="441"/>
        <v>0.61685464872364026</v>
      </c>
      <c r="Y839" s="801">
        <f t="shared" si="442"/>
        <v>0.44462416630990476</v>
      </c>
      <c r="Z839" s="807">
        <f t="shared" si="428"/>
        <v>7.5714930705909844E-2</v>
      </c>
    </row>
    <row r="840" spans="1:26" ht="20.100000000000001" customHeight="1" x14ac:dyDescent="0.2">
      <c r="A840" s="776">
        <f t="shared" si="429"/>
        <v>1285</v>
      </c>
      <c r="B840" s="795">
        <v>43518</v>
      </c>
      <c r="C840" s="820">
        <v>2792.67</v>
      </c>
      <c r="D840" s="792">
        <f t="shared" si="430"/>
        <v>6.4110880470506703E-3</v>
      </c>
      <c r="E840" s="819">
        <f t="shared" si="431"/>
        <v>0.32829949962900251</v>
      </c>
      <c r="F840" s="816">
        <v>7527.49</v>
      </c>
      <c r="G840" s="792">
        <f t="shared" si="432"/>
        <v>9.0874968162258495E-3</v>
      </c>
      <c r="H840" s="797">
        <f t="shared" si="433"/>
        <v>0.47838442956183597</v>
      </c>
      <c r="I840" s="841">
        <v>410165.69</v>
      </c>
      <c r="J840" s="800">
        <v>300000</v>
      </c>
      <c r="K840" s="800">
        <f t="shared" si="434"/>
        <v>-8500.1599999999744</v>
      </c>
      <c r="L840" s="792">
        <f t="shared" si="435"/>
        <v>-2.0302969540028103E-2</v>
      </c>
      <c r="M840" s="817">
        <f t="shared" si="436"/>
        <v>110165.69</v>
      </c>
      <c r="N840" s="802">
        <f t="shared" si="437"/>
        <v>0.3672189666666667</v>
      </c>
      <c r="O840" s="786">
        <f t="shared" si="438"/>
        <v>0.10437877632295721</v>
      </c>
      <c r="P840" s="817" t="b">
        <f t="shared" si="439"/>
        <v>0</v>
      </c>
      <c r="Q840" s="802">
        <f>COUNTIF(P$2:P840, TRUE)/(COUNTIF(P$2:P840,FALSE) + COUNTIF(P$2:P840, TRUE))</f>
        <v>0.49940405244338498</v>
      </c>
      <c r="R840" s="844">
        <v>210938.45</v>
      </c>
      <c r="S840" s="846">
        <f t="shared" si="440"/>
        <v>199227.24</v>
      </c>
      <c r="T840" s="800">
        <v>-39960</v>
      </c>
      <c r="U840" s="800">
        <f t="shared" si="443"/>
        <v>150125.69</v>
      </c>
      <c r="V840" s="802">
        <f>STDEV(D$2:D840)*SQRT(252)</f>
        <v>0.1474423265735898</v>
      </c>
      <c r="W840" s="802">
        <f>STDEV(L$2:L840)*SQRT(252)</f>
        <v>0.25317624402984179</v>
      </c>
      <c r="X840" s="801">
        <f t="shared" si="441"/>
        <v>0.63290006825522904</v>
      </c>
      <c r="Y840" s="801">
        <f t="shared" si="442"/>
        <v>0.41227713414791839</v>
      </c>
      <c r="Z840" s="807">
        <f t="shared" si="428"/>
        <v>3.891946703766419E-2</v>
      </c>
    </row>
    <row r="841" spans="1:26" ht="20.100000000000001" customHeight="1" x14ac:dyDescent="0.2">
      <c r="A841" s="776">
        <f t="shared" si="429"/>
        <v>1288</v>
      </c>
      <c r="B841" s="795">
        <v>43521</v>
      </c>
      <c r="C841" s="820">
        <v>2796.11</v>
      </c>
      <c r="D841" s="792">
        <f t="shared" si="430"/>
        <v>1.2317960947767028E-3</v>
      </c>
      <c r="E841" s="819">
        <f t="shared" si="431"/>
        <v>0.32993569376533932</v>
      </c>
      <c r="F841" s="816">
        <v>7554.46</v>
      </c>
      <c r="G841" s="792">
        <f t="shared" si="432"/>
        <v>3.5828675959715993E-3</v>
      </c>
      <c r="H841" s="797">
        <f t="shared" si="433"/>
        <v>0.48368128522890202</v>
      </c>
      <c r="I841" s="841">
        <v>410247.07</v>
      </c>
      <c r="J841" s="800">
        <v>300000</v>
      </c>
      <c r="K841" s="800">
        <f t="shared" si="434"/>
        <v>81.380000000004657</v>
      </c>
      <c r="L841" s="792">
        <f t="shared" si="435"/>
        <v>1.9840762400191167E-4</v>
      </c>
      <c r="M841" s="817">
        <f t="shared" si="436"/>
        <v>110247.07</v>
      </c>
      <c r="N841" s="802">
        <f t="shared" si="437"/>
        <v>0.36749023333333336</v>
      </c>
      <c r="O841" s="786">
        <f t="shared" si="438"/>
        <v>0.10421258363742236</v>
      </c>
      <c r="P841" s="817" t="b">
        <f t="shared" si="439"/>
        <v>0</v>
      </c>
      <c r="Q841" s="802">
        <f>COUNTIF(P$2:P841, TRUE)/(COUNTIF(P$2:P841,FALSE) + COUNTIF(P$2:P841, TRUE))</f>
        <v>0.49880952380952381</v>
      </c>
      <c r="R841" s="844">
        <v>207474.37</v>
      </c>
      <c r="S841" s="846">
        <f t="shared" si="440"/>
        <v>202772.7</v>
      </c>
      <c r="T841" s="800">
        <v>-40463</v>
      </c>
      <c r="U841" s="800">
        <f t="shared" si="443"/>
        <v>150710.07</v>
      </c>
      <c r="V841" s="802">
        <f>STDEV(D$2:D841)*SQRT(252)</f>
        <v>0.14735506367475187</v>
      </c>
      <c r="W841" s="802">
        <f>STDEV(L$2:L841)*SQRT(252)</f>
        <v>0.25302522676654315</v>
      </c>
      <c r="X841" s="801">
        <f t="shared" si="441"/>
        <v>0.63494864239472448</v>
      </c>
      <c r="Y841" s="801">
        <f t="shared" si="442"/>
        <v>0.41186637778839097</v>
      </c>
      <c r="Z841" s="807">
        <f t="shared" si="428"/>
        <v>3.7554539567994039E-2</v>
      </c>
    </row>
    <row r="842" spans="1:26" ht="20.100000000000001" customHeight="1" x14ac:dyDescent="0.2">
      <c r="A842" s="776">
        <f t="shared" si="429"/>
        <v>1289</v>
      </c>
      <c r="B842" s="795">
        <v>43522</v>
      </c>
      <c r="C842" s="820">
        <v>2793.9</v>
      </c>
      <c r="D842" s="792">
        <f t="shared" si="430"/>
        <v>-7.9038378318450854E-4</v>
      </c>
      <c r="E842" s="819">
        <f t="shared" si="431"/>
        <v>0.32888453416030899</v>
      </c>
      <c r="F842" s="816">
        <v>7549.29</v>
      </c>
      <c r="G842" s="792">
        <f t="shared" si="432"/>
        <v>-6.8436393865346735E-4</v>
      </c>
      <c r="H842" s="797">
        <f t="shared" si="433"/>
        <v>0.4826659072608363</v>
      </c>
      <c r="I842" s="841">
        <v>408143.39</v>
      </c>
      <c r="J842" s="800">
        <v>300000</v>
      </c>
      <c r="K842" s="800">
        <f t="shared" si="434"/>
        <v>-2103.679999999993</v>
      </c>
      <c r="L842" s="792">
        <f t="shared" si="435"/>
        <v>-5.1278367448181726E-3</v>
      </c>
      <c r="M842" s="817">
        <f t="shared" si="436"/>
        <v>108143.39000000001</v>
      </c>
      <c r="N842" s="802">
        <f t="shared" si="437"/>
        <v>0.3604779666666667</v>
      </c>
      <c r="O842" s="786">
        <f t="shared" si="438"/>
        <v>0.10214474579131111</v>
      </c>
      <c r="P842" s="817" t="b">
        <f t="shared" si="439"/>
        <v>0</v>
      </c>
      <c r="Q842" s="802">
        <f>COUNTIF(P$2:P842, TRUE)/(COUNTIF(P$2:P842,FALSE) + COUNTIF(P$2:P842, TRUE))</f>
        <v>0.49821640903686087</v>
      </c>
      <c r="R842" s="844">
        <v>205370.69</v>
      </c>
      <c r="S842" s="846">
        <f t="shared" si="440"/>
        <v>202772.7</v>
      </c>
      <c r="T842" s="800">
        <v>-41241</v>
      </c>
      <c r="U842" s="800">
        <f t="shared" si="443"/>
        <v>149384.39000000001</v>
      </c>
      <c r="V842" s="802">
        <f>STDEV(D$2:D842)*SQRT(252)</f>
        <v>0.14726862384432793</v>
      </c>
      <c r="W842" s="802">
        <f>STDEV(L$2:L842)*SQRT(252)</f>
        <v>0.25289373174447405</v>
      </c>
      <c r="X842" s="801">
        <f t="shared" si="441"/>
        <v>0.63280591489232685</v>
      </c>
      <c r="Y842" s="801">
        <f t="shared" si="442"/>
        <v>0.40390382587465246</v>
      </c>
      <c r="Z842" s="807">
        <f t="shared" si="428"/>
        <v>3.159343250635771E-2</v>
      </c>
    </row>
    <row r="843" spans="1:26" ht="20.100000000000001" customHeight="1" x14ac:dyDescent="0.2">
      <c r="A843" s="776">
        <f t="shared" si="429"/>
        <v>1290</v>
      </c>
      <c r="B843" s="795">
        <v>43523</v>
      </c>
      <c r="C843" s="820">
        <v>2792.38</v>
      </c>
      <c r="D843" s="792">
        <f t="shared" si="430"/>
        <v>-5.4404237803786165E-4</v>
      </c>
      <c r="E843" s="819">
        <f t="shared" si="431"/>
        <v>0.32816156465820667</v>
      </c>
      <c r="F843" s="816">
        <v>7554.5</v>
      </c>
      <c r="G843" s="792">
        <f t="shared" si="432"/>
        <v>6.9013112491373839E-4</v>
      </c>
      <c r="H843" s="797">
        <f t="shared" si="433"/>
        <v>0.48368914115128547</v>
      </c>
      <c r="I843" s="841">
        <v>407049.01</v>
      </c>
      <c r="J843" s="800">
        <v>300000</v>
      </c>
      <c r="K843" s="800">
        <f t="shared" si="434"/>
        <v>-1094.3800000000047</v>
      </c>
      <c r="L843" s="792">
        <f t="shared" si="435"/>
        <v>-2.6813615675608631E-3</v>
      </c>
      <c r="M843" s="817">
        <f t="shared" si="436"/>
        <v>107049.01000000001</v>
      </c>
      <c r="N843" s="802">
        <f t="shared" si="437"/>
        <v>0.35683003333333335</v>
      </c>
      <c r="O843" s="786">
        <f t="shared" si="438"/>
        <v>0.10103268967054264</v>
      </c>
      <c r="P843" s="817" t="b">
        <f t="shared" si="439"/>
        <v>0</v>
      </c>
      <c r="Q843" s="802">
        <f>COUNTIF(P$2:P843, TRUE)/(COUNTIF(P$2:P843,FALSE) + COUNTIF(P$2:P843, TRUE))</f>
        <v>0.49762470308788598</v>
      </c>
      <c r="R843" s="844">
        <v>210164.31</v>
      </c>
      <c r="S843" s="846">
        <f t="shared" si="440"/>
        <v>196884.7</v>
      </c>
      <c r="T843" s="800">
        <v>-41885</v>
      </c>
      <c r="U843" s="800">
        <f t="shared" si="443"/>
        <v>148934.01</v>
      </c>
      <c r="V843" s="802">
        <f>STDEV(D$2:D843)*SQRT(252)</f>
        <v>0.14718180993202409</v>
      </c>
      <c r="W843" s="802">
        <f>STDEV(L$2:L843)*SQRT(252)</f>
        <v>0.25274944226103996</v>
      </c>
      <c r="X843" s="801">
        <f t="shared" si="441"/>
        <v>0.63129752805018347</v>
      </c>
      <c r="Y843" s="801">
        <f t="shared" si="442"/>
        <v>0.39973457020014291</v>
      </c>
      <c r="Z843" s="807">
        <f t="shared" si="428"/>
        <v>2.8668468675126679E-2</v>
      </c>
    </row>
    <row r="844" spans="1:26" ht="20.100000000000001" customHeight="1" x14ac:dyDescent="0.2">
      <c r="A844" s="776">
        <f t="shared" si="429"/>
        <v>1291</v>
      </c>
      <c r="B844" s="795">
        <v>43524</v>
      </c>
      <c r="C844" s="820">
        <v>2784.49</v>
      </c>
      <c r="D844" s="792">
        <f t="shared" si="430"/>
        <v>-2.8255466662847921E-3</v>
      </c>
      <c r="E844" s="819">
        <f t="shared" si="431"/>
        <v>0.32440878217689906</v>
      </c>
      <c r="F844" s="816">
        <v>7532.53</v>
      </c>
      <c r="G844" s="792">
        <f t="shared" si="432"/>
        <v>-2.9082004103514799E-3</v>
      </c>
      <c r="H844" s="797">
        <f t="shared" si="433"/>
        <v>0.4793742757821553</v>
      </c>
      <c r="I844" s="841">
        <v>406098.27</v>
      </c>
      <c r="J844" s="800">
        <v>300000</v>
      </c>
      <c r="K844" s="800">
        <f t="shared" si="434"/>
        <v>-950.73999999999069</v>
      </c>
      <c r="L844" s="792">
        <f t="shared" si="435"/>
        <v>-2.3356892576645518E-3</v>
      </c>
      <c r="M844" s="817">
        <f t="shared" si="436"/>
        <v>106098.27000000002</v>
      </c>
      <c r="N844" s="802">
        <f t="shared" si="437"/>
        <v>0.35366090000000006</v>
      </c>
      <c r="O844" s="786">
        <f t="shared" si="438"/>
        <v>0.10005781853214564</v>
      </c>
      <c r="P844" s="817" t="b">
        <f t="shared" si="439"/>
        <v>1</v>
      </c>
      <c r="Q844" s="802">
        <f>COUNTIF(P$2:P844, TRUE)/(COUNTIF(P$2:P844,FALSE) + COUNTIF(P$2:P844, TRUE))</f>
        <v>0.49822064056939502</v>
      </c>
      <c r="R844" s="844">
        <v>216091.12</v>
      </c>
      <c r="S844" s="846">
        <f t="shared" si="440"/>
        <v>190007.15000000002</v>
      </c>
      <c r="T844" s="800">
        <v>-41192</v>
      </c>
      <c r="U844" s="800">
        <f t="shared" si="443"/>
        <v>147290.27000000002</v>
      </c>
      <c r="V844" s="802">
        <f>STDEV(D$2:D844)*SQRT(252)</f>
        <v>0.14710473603203039</v>
      </c>
      <c r="W844" s="802">
        <f>STDEV(L$2:L844)*SQRT(252)</f>
        <v>0.25260413740985471</v>
      </c>
      <c r="X844" s="801">
        <f t="shared" si="441"/>
        <v>0.62392146907677193</v>
      </c>
      <c r="Y844" s="801">
        <f t="shared" si="442"/>
        <v>0.39610522439622614</v>
      </c>
      <c r="Z844" s="807">
        <f t="shared" si="428"/>
        <v>2.9252117823100998E-2</v>
      </c>
    </row>
    <row r="845" spans="1:26" ht="20.100000000000001" customHeight="1" x14ac:dyDescent="0.2">
      <c r="A845" s="776">
        <f t="shared" si="429"/>
        <v>1292</v>
      </c>
      <c r="B845" s="795">
        <v>43525</v>
      </c>
      <c r="C845" s="820">
        <v>2803.69</v>
      </c>
      <c r="D845" s="792">
        <f t="shared" si="430"/>
        <v>6.8953381050031693E-3</v>
      </c>
      <c r="E845" s="819">
        <f t="shared" si="431"/>
        <v>0.33354102851924428</v>
      </c>
      <c r="F845" s="816">
        <v>7595.35</v>
      </c>
      <c r="G845" s="792">
        <f t="shared" si="432"/>
        <v>8.3398273886729456E-3</v>
      </c>
      <c r="H845" s="797">
        <f t="shared" si="433"/>
        <v>0.49171200188542152</v>
      </c>
      <c r="I845" s="841">
        <v>408382.16</v>
      </c>
      <c r="J845" s="800">
        <v>300000</v>
      </c>
      <c r="K845" s="800">
        <f t="shared" si="434"/>
        <v>2283.8899999999558</v>
      </c>
      <c r="L845" s="792">
        <f t="shared" si="435"/>
        <v>5.6239835742219624E-3</v>
      </c>
      <c r="M845" s="817">
        <f t="shared" si="436"/>
        <v>108382.15999999997</v>
      </c>
      <c r="N845" s="802">
        <f t="shared" si="437"/>
        <v>0.36127386666666655</v>
      </c>
      <c r="O845" s="786">
        <f t="shared" si="438"/>
        <v>0.10213256950464393</v>
      </c>
      <c r="P845" s="817" t="b">
        <f t="shared" si="439"/>
        <v>0</v>
      </c>
      <c r="Q845" s="802">
        <f>COUNTIF(P$2:P845, TRUE)/(COUNTIF(P$2:P845,FALSE) + COUNTIF(P$2:P845, TRUE))</f>
        <v>0.49763033175355448</v>
      </c>
      <c r="R845" s="844">
        <v>207322.13</v>
      </c>
      <c r="S845" s="846">
        <f t="shared" si="440"/>
        <v>201060.02999999997</v>
      </c>
      <c r="T845" s="800">
        <v>-41745</v>
      </c>
      <c r="U845" s="800">
        <f t="shared" si="443"/>
        <v>150127.15999999997</v>
      </c>
      <c r="V845" s="802">
        <f>STDEV(D$2:D845)*SQRT(252)</f>
        <v>0.14706055059854223</v>
      </c>
      <c r="W845" s="802">
        <f>STDEV(L$2:L845)*SQRT(252)</f>
        <v>0.25246922402091343</v>
      </c>
      <c r="X845" s="801">
        <f t="shared" si="441"/>
        <v>0.64118121027373842</v>
      </c>
      <c r="Y845" s="801">
        <f t="shared" si="442"/>
        <v>0.40453473052297145</v>
      </c>
      <c r="Z845" s="807">
        <f t="shared" si="428"/>
        <v>2.7732838147422278E-2</v>
      </c>
    </row>
    <row r="846" spans="1:26" ht="20.100000000000001" customHeight="1" x14ac:dyDescent="0.2">
      <c r="A846" s="776">
        <f t="shared" ref="A846:A874" si="444">B846-$B$2</f>
        <v>1295</v>
      </c>
      <c r="B846" s="795">
        <v>43528</v>
      </c>
      <c r="C846" s="820">
        <v>2792.81</v>
      </c>
      <c r="D846" s="792">
        <f t="shared" ref="D846:D874" si="445">(C846-C845)/C845</f>
        <v>-3.8806002090103074E-3</v>
      </c>
      <c r="E846" s="819">
        <f t="shared" ref="E846:E872" si="446">(C846-$C$2)/$C$2</f>
        <v>0.32836608892524871</v>
      </c>
      <c r="F846" s="816">
        <v>7577.56</v>
      </c>
      <c r="G846" s="792">
        <f t="shared" ref="G846:G874" si="447">(F846-F845)/F845</f>
        <v>-2.342222544056556E-3</v>
      </c>
      <c r="H846" s="797">
        <f t="shared" ref="H846:H872" si="448">(F846-F$2)/F$2</f>
        <v>0.48821808040536574</v>
      </c>
      <c r="I846" s="841">
        <v>408818.86</v>
      </c>
      <c r="J846" s="800">
        <v>300000</v>
      </c>
      <c r="K846" s="800">
        <f t="shared" ref="K846:K872" si="449">I846-I845-J846+J845</f>
        <v>436.70000000001164</v>
      </c>
      <c r="L846" s="792">
        <f t="shared" ref="L846:L872" si="450">K846/I845</f>
        <v>1.0693415206972107E-3</v>
      </c>
      <c r="M846" s="817">
        <f t="shared" ref="M846:M872" si="451">I846-J846</f>
        <v>108818.85999999999</v>
      </c>
      <c r="N846" s="802">
        <f t="shared" ref="N846:N872" si="452">M846/J846</f>
        <v>0.3627295333333333</v>
      </c>
      <c r="O846" s="786">
        <f t="shared" ref="O846:O872" si="453">N846/(A846/365.25)</f>
        <v>0.10230653440154439</v>
      </c>
      <c r="P846" s="817" t="b">
        <f t="shared" ref="P846:P872" si="454">L846&gt;D846</f>
        <v>1</v>
      </c>
      <c r="Q846" s="802">
        <f>COUNTIF(P$2:P846, TRUE)/(COUNTIF(P$2:P846,FALSE) + COUNTIF(P$2:P846, TRUE))</f>
        <v>0.49822485207100592</v>
      </c>
      <c r="R846" s="844">
        <v>207718.85</v>
      </c>
      <c r="S846" s="846">
        <f t="shared" ref="S846:S872" si="455">I846-R846</f>
        <v>201100.00999999998</v>
      </c>
      <c r="T846" s="800">
        <v>-41164</v>
      </c>
      <c r="U846" s="800">
        <f t="shared" ref="U846:U872" si="456">M846-T846</f>
        <v>149982.85999999999</v>
      </c>
      <c r="V846" s="802">
        <f>STDEV(D$2:D846)*SQRT(252)</f>
        <v>0.14699177564103172</v>
      </c>
      <c r="W846" s="802">
        <f>STDEV(L$2:L846)*SQRT(252)</f>
        <v>0.25231958020936623</v>
      </c>
      <c r="X846" s="801">
        <f t="shared" ref="X846:X872" si="457">E846/(A846/365.25)/V846</f>
        <v>0.63006552948880368</v>
      </c>
      <c r="Y846" s="801">
        <f t="shared" ref="Y846:Y872" si="458">O846/W846</f>
        <v>0.4054641114916801</v>
      </c>
      <c r="Z846" s="807">
        <f t="shared" ref="Z846:Z872" si="459">-(E846-N846)</f>
        <v>3.4363444408084587E-2</v>
      </c>
    </row>
    <row r="847" spans="1:26" ht="20.100000000000001" customHeight="1" x14ac:dyDescent="0.2">
      <c r="A847" s="776">
        <f t="shared" si="444"/>
        <v>1296</v>
      </c>
      <c r="B847" s="795">
        <v>43529</v>
      </c>
      <c r="C847" s="820">
        <v>2789.65</v>
      </c>
      <c r="D847" s="792">
        <f t="shared" si="445"/>
        <v>-1.131476899610018E-3</v>
      </c>
      <c r="E847" s="819">
        <f t="shared" si="446"/>
        <v>0.32686307338140447</v>
      </c>
      <c r="F847" s="816">
        <v>7576.36</v>
      </c>
      <c r="G847" s="792">
        <f t="shared" si="447"/>
        <v>-1.5836232243634198E-4</v>
      </c>
      <c r="H847" s="797">
        <f t="shared" si="448"/>
        <v>0.48798240273386095</v>
      </c>
      <c r="I847" s="841">
        <v>407753.37</v>
      </c>
      <c r="J847" s="800">
        <v>300000</v>
      </c>
      <c r="K847" s="800">
        <f t="shared" si="449"/>
        <v>-1065.4899999999907</v>
      </c>
      <c r="L847" s="792">
        <f t="shared" si="450"/>
        <v>-2.6062643000374069E-3</v>
      </c>
      <c r="M847" s="817">
        <f t="shared" si="451"/>
        <v>107753.37</v>
      </c>
      <c r="N847" s="802">
        <f t="shared" si="452"/>
        <v>0.35917789999999999</v>
      </c>
      <c r="O847" s="786">
        <f t="shared" si="453"/>
        <v>0.10122664195601851</v>
      </c>
      <c r="P847" s="817" t="b">
        <f t="shared" si="454"/>
        <v>0</v>
      </c>
      <c r="Q847" s="802">
        <f>COUNTIF(P$2:P847, TRUE)/(COUNTIF(P$2:P847,FALSE) + COUNTIF(P$2:P847, TRUE))</f>
        <v>0.49763593380614657</v>
      </c>
      <c r="R847" s="844">
        <v>198917.45</v>
      </c>
      <c r="S847" s="846">
        <f t="shared" si="455"/>
        <v>208835.91999999998</v>
      </c>
      <c r="T847" s="800">
        <v>-41297</v>
      </c>
      <c r="U847" s="800">
        <f t="shared" si="456"/>
        <v>149050.37</v>
      </c>
      <c r="V847" s="802">
        <f>STDEV(D$2:D847)*SQRT(252)</f>
        <v>0.14690698618791181</v>
      </c>
      <c r="W847" s="802">
        <f>STDEV(L$2:L847)*SQRT(252)</f>
        <v>0.25217604057964216</v>
      </c>
      <c r="X847" s="801">
        <f t="shared" si="457"/>
        <v>0.62705932951247079</v>
      </c>
      <c r="Y847" s="801">
        <f t="shared" si="458"/>
        <v>0.40141260733312661</v>
      </c>
      <c r="Z847" s="807">
        <f t="shared" si="459"/>
        <v>3.2314826618595527E-2</v>
      </c>
    </row>
    <row r="848" spans="1:26" ht="20.100000000000001" customHeight="1" x14ac:dyDescent="0.2">
      <c r="A848" s="776">
        <f t="shared" si="444"/>
        <v>1297</v>
      </c>
      <c r="B848" s="795">
        <v>43530</v>
      </c>
      <c r="C848" s="820">
        <v>2771.45</v>
      </c>
      <c r="D848" s="792">
        <f t="shared" si="445"/>
        <v>-6.5241159285215969E-3</v>
      </c>
      <c r="E848" s="819">
        <f t="shared" si="446"/>
        <v>0.31820646486938975</v>
      </c>
      <c r="F848" s="816">
        <v>7505.92</v>
      </c>
      <c r="G848" s="792">
        <f t="shared" si="447"/>
        <v>-9.297340675469435E-3</v>
      </c>
      <c r="H848" s="797">
        <f t="shared" si="448"/>
        <v>0.47414812341654072</v>
      </c>
      <c r="I848" s="841">
        <v>405633.75</v>
      </c>
      <c r="J848" s="800">
        <v>300000</v>
      </c>
      <c r="K848" s="800">
        <f t="shared" si="449"/>
        <v>-2119.6199999999953</v>
      </c>
      <c r="L848" s="792">
        <f t="shared" si="450"/>
        <v>-5.1982893482891276E-3</v>
      </c>
      <c r="M848" s="817">
        <f t="shared" si="451"/>
        <v>105633.75</v>
      </c>
      <c r="N848" s="802">
        <f t="shared" si="452"/>
        <v>0.35211249999999999</v>
      </c>
      <c r="O848" s="786">
        <f t="shared" si="453"/>
        <v>9.9158897937548188E-2</v>
      </c>
      <c r="P848" s="817" t="b">
        <f t="shared" si="454"/>
        <v>1</v>
      </c>
      <c r="Q848" s="802">
        <f>COUNTIF(P$2:P848, TRUE)/(COUNTIF(P$2:P848,FALSE) + COUNTIF(P$2:P848, TRUE))</f>
        <v>0.49822904368358911</v>
      </c>
      <c r="R848" s="844">
        <v>196797.84</v>
      </c>
      <c r="S848" s="846">
        <f t="shared" si="455"/>
        <v>208835.91</v>
      </c>
      <c r="T848" s="800">
        <v>-41423</v>
      </c>
      <c r="U848" s="800">
        <f t="shared" si="456"/>
        <v>147056.75</v>
      </c>
      <c r="V848" s="802">
        <f>STDEV(D$2:D848)*SQRT(252)</f>
        <v>0.14686834457900724</v>
      </c>
      <c r="W848" s="802">
        <f>STDEV(L$2:L848)*SQRT(252)</f>
        <v>0.25204644815919974</v>
      </c>
      <c r="X848" s="801">
        <f t="shared" si="457"/>
        <v>0.61014217734678222</v>
      </c>
      <c r="Y848" s="801">
        <f t="shared" si="458"/>
        <v>0.39341517669360926</v>
      </c>
      <c r="Z848" s="807">
        <f t="shared" si="459"/>
        <v>3.3906035130610246E-2</v>
      </c>
    </row>
    <row r="849" spans="1:26" ht="20.100000000000001" customHeight="1" x14ac:dyDescent="0.2">
      <c r="A849" s="776">
        <f t="shared" si="444"/>
        <v>1298</v>
      </c>
      <c r="B849" s="795">
        <v>43531</v>
      </c>
      <c r="C849" s="820">
        <v>2748.93</v>
      </c>
      <c r="D849" s="792">
        <f t="shared" si="445"/>
        <v>-8.125710368218797E-3</v>
      </c>
      <c r="E849" s="819">
        <f t="shared" si="446"/>
        <v>0.30749510093034749</v>
      </c>
      <c r="F849" s="816">
        <v>7421.46</v>
      </c>
      <c r="G849" s="792">
        <f t="shared" si="447"/>
        <v>-1.1252451398362897E-2</v>
      </c>
      <c r="H849" s="797">
        <f t="shared" si="448"/>
        <v>0.45756034330380824</v>
      </c>
      <c r="I849" s="841">
        <v>403450.65</v>
      </c>
      <c r="J849" s="800">
        <v>300000</v>
      </c>
      <c r="K849" s="800">
        <f t="shared" si="449"/>
        <v>-2183.0999999999767</v>
      </c>
      <c r="L849" s="792">
        <f t="shared" si="450"/>
        <v>-5.3819486174411686E-3</v>
      </c>
      <c r="M849" s="817">
        <f t="shared" si="451"/>
        <v>103450.65000000002</v>
      </c>
      <c r="N849" s="802">
        <f t="shared" si="452"/>
        <v>0.34483550000000007</v>
      </c>
      <c r="O849" s="786">
        <f t="shared" si="453"/>
        <v>9.7034796899075515E-2</v>
      </c>
      <c r="P849" s="817" t="b">
        <f t="shared" si="454"/>
        <v>1</v>
      </c>
      <c r="Q849" s="802">
        <f>COUNTIF(P$2:P849, TRUE)/(COUNTIF(P$2:P849,FALSE) + COUNTIF(P$2:P849, TRUE))</f>
        <v>0.49882075471698112</v>
      </c>
      <c r="R849" s="844">
        <v>207639.19</v>
      </c>
      <c r="S849" s="846">
        <f t="shared" si="455"/>
        <v>195811.46000000002</v>
      </c>
      <c r="T849" s="800">
        <v>-42102</v>
      </c>
      <c r="U849" s="800">
        <f t="shared" si="456"/>
        <v>145552.65000000002</v>
      </c>
      <c r="V849" s="802">
        <f>STDEV(D$2:D849)*SQRT(252)</f>
        <v>0.14685463844115168</v>
      </c>
      <c r="W849" s="802">
        <f>STDEV(L$2:L849)*SQRT(252)</f>
        <v>0.25191831907772888</v>
      </c>
      <c r="X849" s="801">
        <f t="shared" si="457"/>
        <v>0.58920451302305987</v>
      </c>
      <c r="Y849" s="801">
        <f t="shared" si="458"/>
        <v>0.38518356765128947</v>
      </c>
      <c r="Z849" s="807">
        <f t="shared" si="459"/>
        <v>3.7340399069652586E-2</v>
      </c>
    </row>
    <row r="850" spans="1:26" ht="20.100000000000001" customHeight="1" x14ac:dyDescent="0.2">
      <c r="A850" s="776">
        <f t="shared" si="444"/>
        <v>1299</v>
      </c>
      <c r="B850" s="795">
        <v>43532</v>
      </c>
      <c r="C850" s="820">
        <v>2743.07</v>
      </c>
      <c r="D850" s="792">
        <f t="shared" si="445"/>
        <v>-2.1317385309919399E-3</v>
      </c>
      <c r="E850" s="819">
        <f t="shared" si="446"/>
        <v>0.30470786324461108</v>
      </c>
      <c r="F850" s="816">
        <v>7408.14</v>
      </c>
      <c r="G850" s="792">
        <f t="shared" si="447"/>
        <v>-1.7947950942267031E-3</v>
      </c>
      <c r="H850" s="797">
        <f t="shared" si="448"/>
        <v>0.45494432115010713</v>
      </c>
      <c r="I850" s="841">
        <v>402362.46</v>
      </c>
      <c r="J850" s="800">
        <v>300000</v>
      </c>
      <c r="K850" s="800">
        <f t="shared" si="449"/>
        <v>-1088.1900000000023</v>
      </c>
      <c r="L850" s="792">
        <f t="shared" si="450"/>
        <v>-2.6972072048960689E-3</v>
      </c>
      <c r="M850" s="817">
        <f t="shared" si="451"/>
        <v>102362.46000000002</v>
      </c>
      <c r="N850" s="802">
        <f t="shared" si="452"/>
        <v>0.34120820000000007</v>
      </c>
      <c r="O850" s="786">
        <f t="shared" si="453"/>
        <v>9.5940180946882239E-2</v>
      </c>
      <c r="P850" s="817" t="b">
        <f t="shared" si="454"/>
        <v>0</v>
      </c>
      <c r="Q850" s="802">
        <f>COUNTIF(P$2:P850, TRUE)/(COUNTIF(P$2:P850,FALSE) + COUNTIF(P$2:P850, TRUE))</f>
        <v>0.49823321554770317</v>
      </c>
      <c r="R850" s="844">
        <v>206551</v>
      </c>
      <c r="S850" s="846">
        <f t="shared" si="455"/>
        <v>195811.46000000002</v>
      </c>
      <c r="T850" s="800">
        <v>-41955</v>
      </c>
      <c r="U850" s="800">
        <f t="shared" si="456"/>
        <v>144317.46000000002</v>
      </c>
      <c r="V850" s="802">
        <f>STDEV(D$2:D850)*SQRT(252)</f>
        <v>0.14677420397300664</v>
      </c>
      <c r="W850" s="802">
        <f>STDEV(L$2:L850)*SQRT(252)</f>
        <v>0.25177581298171214</v>
      </c>
      <c r="X850" s="801">
        <f t="shared" si="457"/>
        <v>0.58373401577000039</v>
      </c>
      <c r="Y850" s="801">
        <f t="shared" si="458"/>
        <v>0.3810540012191358</v>
      </c>
      <c r="Z850" s="807">
        <f t="shared" si="459"/>
        <v>3.6500336755388996E-2</v>
      </c>
    </row>
    <row r="851" spans="1:26" ht="20.100000000000001" customHeight="1" x14ac:dyDescent="0.2">
      <c r="A851" s="776">
        <f t="shared" si="444"/>
        <v>1302</v>
      </c>
      <c r="B851" s="795">
        <v>43535</v>
      </c>
      <c r="C851" s="820">
        <v>2783.3</v>
      </c>
      <c r="D851" s="792">
        <f t="shared" si="445"/>
        <v>1.4666049353461639E-2</v>
      </c>
      <c r="E851" s="819">
        <f t="shared" si="446"/>
        <v>0.323842773158806</v>
      </c>
      <c r="F851" s="816">
        <v>7558.06</v>
      </c>
      <c r="G851" s="792">
        <f t="shared" si="447"/>
        <v>2.0237198541064299E-2</v>
      </c>
      <c r="H851" s="797">
        <f t="shared" si="448"/>
        <v>0.48438831824341588</v>
      </c>
      <c r="I851" s="841">
        <v>405590.7</v>
      </c>
      <c r="J851" s="800">
        <v>300000</v>
      </c>
      <c r="K851" s="800">
        <f t="shared" si="449"/>
        <v>3228.2399999999907</v>
      </c>
      <c r="L851" s="792">
        <f t="shared" si="450"/>
        <v>8.0232136964268255E-3</v>
      </c>
      <c r="M851" s="817">
        <f t="shared" si="451"/>
        <v>105590.70000000001</v>
      </c>
      <c r="N851" s="802">
        <f t="shared" si="452"/>
        <v>0.35196900000000003</v>
      </c>
      <c r="O851" s="786">
        <f t="shared" si="453"/>
        <v>9.8737847350230418E-2</v>
      </c>
      <c r="P851" s="817" t="b">
        <f t="shared" si="454"/>
        <v>0</v>
      </c>
      <c r="Q851" s="802">
        <f>COUNTIF(P$2:P851, TRUE)/(COUNTIF(P$2:P851,FALSE) + COUNTIF(P$2:P851, TRUE))</f>
        <v>0.49764705882352939</v>
      </c>
      <c r="R851" s="844">
        <v>203719.32</v>
      </c>
      <c r="S851" s="846">
        <f t="shared" si="455"/>
        <v>201871.38</v>
      </c>
      <c r="T851" s="800">
        <v>-41906</v>
      </c>
      <c r="U851" s="800">
        <f t="shared" si="456"/>
        <v>147496.70000000001</v>
      </c>
      <c r="V851" s="802">
        <f>STDEV(D$2:D851)*SQRT(252)</f>
        <v>0.14689466097900916</v>
      </c>
      <c r="W851" s="802">
        <f>STDEV(L$2:L851)*SQRT(252)</f>
        <v>0.25166022553264777</v>
      </c>
      <c r="X851" s="801">
        <f t="shared" si="457"/>
        <v>0.61845405153010713</v>
      </c>
      <c r="Y851" s="801">
        <f t="shared" si="458"/>
        <v>0.39234585895029012</v>
      </c>
      <c r="Z851" s="807">
        <f t="shared" si="459"/>
        <v>2.8126226841194035E-2</v>
      </c>
    </row>
    <row r="852" spans="1:26" ht="20.100000000000001" customHeight="1" x14ac:dyDescent="0.2">
      <c r="A852" s="776">
        <f t="shared" si="444"/>
        <v>1303</v>
      </c>
      <c r="B852" s="795">
        <v>43536</v>
      </c>
      <c r="C852" s="820">
        <v>2791.52</v>
      </c>
      <c r="D852" s="792">
        <f t="shared" si="445"/>
        <v>2.9533287823805552E-3</v>
      </c>
      <c r="E852" s="819">
        <f t="shared" si="446"/>
        <v>0.32775251612412243</v>
      </c>
      <c r="F852" s="816">
        <v>7591.03</v>
      </c>
      <c r="G852" s="792">
        <f t="shared" si="447"/>
        <v>4.3622305194718413E-3</v>
      </c>
      <c r="H852" s="797">
        <f t="shared" si="448"/>
        <v>0.49086356226800482</v>
      </c>
      <c r="I852" s="841">
        <v>406795.63</v>
      </c>
      <c r="J852" s="800">
        <v>300000</v>
      </c>
      <c r="K852" s="800">
        <f t="shared" si="449"/>
        <v>1204.929999999993</v>
      </c>
      <c r="L852" s="792">
        <f t="shared" si="450"/>
        <v>2.9708028315244728E-3</v>
      </c>
      <c r="M852" s="817">
        <f t="shared" si="451"/>
        <v>106795.63</v>
      </c>
      <c r="N852" s="802">
        <f t="shared" si="452"/>
        <v>0.35598543333333332</v>
      </c>
      <c r="O852" s="786">
        <f t="shared" si="453"/>
        <v>9.978793516884113E-2</v>
      </c>
      <c r="P852" s="817" t="b">
        <f t="shared" si="454"/>
        <v>1</v>
      </c>
      <c r="Q852" s="802">
        <f>COUNTIF(P$2:P852, TRUE)/(COUNTIF(P$2:P852,FALSE) + COUNTIF(P$2:P852, TRUE))</f>
        <v>0.49823736780258521</v>
      </c>
      <c r="R852" s="844">
        <v>195901</v>
      </c>
      <c r="S852" s="846">
        <f t="shared" si="455"/>
        <v>210894.63</v>
      </c>
      <c r="T852" s="800">
        <v>-42032</v>
      </c>
      <c r="U852" s="800">
        <f t="shared" si="456"/>
        <v>148827.63</v>
      </c>
      <c r="V852" s="802">
        <f>STDEV(D$2:D852)*SQRT(252)</f>
        <v>0.146814846393508</v>
      </c>
      <c r="W852" s="802">
        <f>STDEV(L$2:L852)*SQRT(252)</f>
        <v>0.25151539171606602</v>
      </c>
      <c r="X852" s="801">
        <f t="shared" si="457"/>
        <v>0.62578027277422188</v>
      </c>
      <c r="Y852" s="801">
        <f t="shared" si="458"/>
        <v>0.39674683321763082</v>
      </c>
      <c r="Z852" s="807">
        <f t="shared" si="459"/>
        <v>2.8232917209210895E-2</v>
      </c>
    </row>
    <row r="853" spans="1:26" ht="20.100000000000001" customHeight="1" x14ac:dyDescent="0.2">
      <c r="A853" s="776">
        <f t="shared" si="444"/>
        <v>1304</v>
      </c>
      <c r="B853" s="795">
        <v>43537</v>
      </c>
      <c r="C853" s="820">
        <v>2810.92</v>
      </c>
      <c r="D853" s="792">
        <f t="shared" si="445"/>
        <v>6.9496188456468488E-3</v>
      </c>
      <c r="E853" s="819">
        <f t="shared" si="446"/>
        <v>0.33697989003253365</v>
      </c>
      <c r="F853" s="816">
        <v>7643.4</v>
      </c>
      <c r="G853" s="792">
        <f t="shared" si="447"/>
        <v>6.8989320289868294E-3</v>
      </c>
      <c r="H853" s="797">
        <f t="shared" si="448"/>
        <v>0.50114892864858496</v>
      </c>
      <c r="I853" s="841">
        <v>409368.31</v>
      </c>
      <c r="J853" s="800">
        <v>300000</v>
      </c>
      <c r="K853" s="800">
        <f t="shared" si="449"/>
        <v>2572.679999999993</v>
      </c>
      <c r="L853" s="792">
        <f t="shared" si="450"/>
        <v>6.3242567281265854E-3</v>
      </c>
      <c r="M853" s="817">
        <f t="shared" si="451"/>
        <v>109368.31</v>
      </c>
      <c r="N853" s="802">
        <f t="shared" si="452"/>
        <v>0.36456103333333334</v>
      </c>
      <c r="O853" s="786">
        <f t="shared" si="453"/>
        <v>0.10211343360812884</v>
      </c>
      <c r="P853" s="817" t="b">
        <f t="shared" si="454"/>
        <v>0</v>
      </c>
      <c r="Q853" s="802">
        <f>COUNTIF(P$2:P853, TRUE)/(COUNTIF(P$2:P853,FALSE) + COUNTIF(P$2:P853, TRUE))</f>
        <v>0.49765258215962443</v>
      </c>
      <c r="R853" s="844">
        <v>207496.92</v>
      </c>
      <c r="S853" s="846">
        <f t="shared" si="455"/>
        <v>201871.38999999998</v>
      </c>
      <c r="T853" s="800">
        <v>-41815</v>
      </c>
      <c r="U853" s="800">
        <f t="shared" si="456"/>
        <v>151183.31</v>
      </c>
      <c r="V853" s="802">
        <f>STDEV(D$2:D853)*SQRT(252)</f>
        <v>0.14677205382395897</v>
      </c>
      <c r="W853" s="802">
        <f>STDEV(L$2:L853)*SQRT(252)</f>
        <v>0.25138693540850249</v>
      </c>
      <c r="X853" s="801">
        <f t="shared" si="457"/>
        <v>0.64309220570871661</v>
      </c>
      <c r="Y853" s="801">
        <f t="shared" si="458"/>
        <v>0.40620024044684355</v>
      </c>
      <c r="Z853" s="807">
        <f t="shared" si="459"/>
        <v>2.7581143300799693E-2</v>
      </c>
    </row>
    <row r="854" spans="1:26" ht="20.100000000000001" customHeight="1" x14ac:dyDescent="0.2">
      <c r="A854" s="776">
        <f t="shared" si="444"/>
        <v>1305</v>
      </c>
      <c r="B854" s="795">
        <v>43538</v>
      </c>
      <c r="C854" s="820">
        <v>2808.48</v>
      </c>
      <c r="D854" s="792">
        <f t="shared" si="445"/>
        <v>-8.6804320293713605E-4</v>
      </c>
      <c r="E854" s="819">
        <f t="shared" si="446"/>
        <v>0.33581933372652722</v>
      </c>
      <c r="F854" s="816">
        <v>7630.91</v>
      </c>
      <c r="G854" s="792">
        <f t="shared" si="447"/>
        <v>-1.6340895413035799E-3</v>
      </c>
      <c r="H854" s="797">
        <f t="shared" si="448"/>
        <v>0.49869591688434123</v>
      </c>
      <c r="I854" s="841">
        <v>408269.23</v>
      </c>
      <c r="J854" s="800">
        <v>300000</v>
      </c>
      <c r="K854" s="800">
        <f t="shared" si="449"/>
        <v>-1099.0800000000163</v>
      </c>
      <c r="L854" s="792">
        <f t="shared" si="450"/>
        <v>-2.6848194477975501E-3</v>
      </c>
      <c r="M854" s="817">
        <f t="shared" si="451"/>
        <v>108269.22999999998</v>
      </c>
      <c r="N854" s="802">
        <f t="shared" si="452"/>
        <v>0.3608974333333333</v>
      </c>
      <c r="O854" s="786">
        <f t="shared" si="453"/>
        <v>0.1010097988697318</v>
      </c>
      <c r="P854" s="817" t="b">
        <f t="shared" si="454"/>
        <v>0</v>
      </c>
      <c r="Q854" s="802">
        <f>COUNTIF(P$2:P854, TRUE)/(COUNTIF(P$2:P854,FALSE) + COUNTIF(P$2:P854, TRUE))</f>
        <v>0.49706916764361081</v>
      </c>
      <c r="R854" s="844">
        <v>206397.85</v>
      </c>
      <c r="S854" s="846">
        <f t="shared" si="455"/>
        <v>201871.37999999998</v>
      </c>
      <c r="T854" s="800">
        <v>-42116</v>
      </c>
      <c r="U854" s="800">
        <f t="shared" si="456"/>
        <v>150385.22999999998</v>
      </c>
      <c r="V854" s="802">
        <f>STDEV(D$2:D854)*SQRT(252)</f>
        <v>0.14668737392437423</v>
      </c>
      <c r="W854" s="802">
        <f>STDEV(L$2:L854)*SQRT(252)</f>
        <v>0.25124543315113962</v>
      </c>
      <c r="X854" s="801">
        <f t="shared" si="457"/>
        <v>0.64075599014042239</v>
      </c>
      <c r="Y854" s="801">
        <f t="shared" si="458"/>
        <v>0.40203635784682373</v>
      </c>
      <c r="Z854" s="807">
        <f t="shared" si="459"/>
        <v>2.507809960680607E-2</v>
      </c>
    </row>
    <row r="855" spans="1:26" ht="20.100000000000001" customHeight="1" x14ac:dyDescent="0.2">
      <c r="A855" s="776">
        <f t="shared" si="444"/>
        <v>1306</v>
      </c>
      <c r="B855" s="795">
        <v>43539</v>
      </c>
      <c r="C855" s="820">
        <v>2822.48</v>
      </c>
      <c r="D855" s="792">
        <f t="shared" si="445"/>
        <v>4.9849028656070186E-3</v>
      </c>
      <c r="E855" s="819">
        <f t="shared" si="446"/>
        <v>0.34247826335115389</v>
      </c>
      <c r="F855" s="816">
        <v>7688.52</v>
      </c>
      <c r="G855" s="792">
        <f t="shared" si="447"/>
        <v>7.549558309559487E-3</v>
      </c>
      <c r="H855" s="797">
        <f t="shared" si="448"/>
        <v>0.51001040909715822</v>
      </c>
      <c r="I855" s="841">
        <v>408869.92</v>
      </c>
      <c r="J855" s="800">
        <v>300000</v>
      </c>
      <c r="K855" s="800">
        <f t="shared" si="449"/>
        <v>600.69000000000233</v>
      </c>
      <c r="L855" s="792">
        <f t="shared" si="450"/>
        <v>1.4713085284433567E-3</v>
      </c>
      <c r="M855" s="817">
        <f t="shared" si="451"/>
        <v>108869.91999999998</v>
      </c>
      <c r="N855" s="802">
        <f t="shared" si="452"/>
        <v>0.36289973333333325</v>
      </c>
      <c r="O855" s="786">
        <f t="shared" si="453"/>
        <v>0.1014924407350689</v>
      </c>
      <c r="P855" s="817" t="b">
        <f t="shared" si="454"/>
        <v>0</v>
      </c>
      <c r="Q855" s="802">
        <f>COUNTIF(P$2:P855, TRUE)/(COUNTIF(P$2:P855,FALSE) + COUNTIF(P$2:P855, TRUE))</f>
        <v>0.49648711943793911</v>
      </c>
      <c r="R855" s="844">
        <v>205809.65</v>
      </c>
      <c r="S855" s="846">
        <f t="shared" si="455"/>
        <v>203060.27</v>
      </c>
      <c r="T855" s="800">
        <v>-41962</v>
      </c>
      <c r="U855" s="800">
        <f t="shared" si="456"/>
        <v>150831.91999999998</v>
      </c>
      <c r="V855" s="802">
        <f>STDEV(D$2:D855)*SQRT(252)</f>
        <v>0.14662260535930305</v>
      </c>
      <c r="W855" s="802">
        <f>STDEV(L$2:L855)*SQRT(252)</f>
        <v>0.2510984255680288</v>
      </c>
      <c r="X855" s="801">
        <f t="shared" si="457"/>
        <v>0.65324956316604399</v>
      </c>
      <c r="Y855" s="801">
        <f t="shared" si="458"/>
        <v>0.40419385547908215</v>
      </c>
      <c r="Z855" s="807">
        <f t="shared" si="459"/>
        <v>2.0421469982179363E-2</v>
      </c>
    </row>
    <row r="856" spans="1:26" ht="20.100000000000001" customHeight="1" x14ac:dyDescent="0.2">
      <c r="A856" s="776">
        <f t="shared" si="444"/>
        <v>1309</v>
      </c>
      <c r="B856" s="795">
        <v>43542</v>
      </c>
      <c r="C856" s="820">
        <v>2832.94</v>
      </c>
      <c r="D856" s="792">
        <f t="shared" si="445"/>
        <v>3.7059607153992363E-3</v>
      </c>
      <c r="E856" s="819">
        <f t="shared" si="446"/>
        <v>0.34745343505641063</v>
      </c>
      <c r="F856" s="816">
        <v>7714.47</v>
      </c>
      <c r="G856" s="792">
        <f t="shared" si="447"/>
        <v>3.3751619297341775E-3</v>
      </c>
      <c r="H856" s="797">
        <f t="shared" si="448"/>
        <v>0.51510693874344526</v>
      </c>
      <c r="I856" s="841">
        <v>410877.17</v>
      </c>
      <c r="J856" s="800">
        <v>300000</v>
      </c>
      <c r="K856" s="800">
        <f t="shared" si="449"/>
        <v>2007.25</v>
      </c>
      <c r="L856" s="792">
        <f t="shared" si="450"/>
        <v>4.9092630732043094E-3</v>
      </c>
      <c r="M856" s="817">
        <f t="shared" si="451"/>
        <v>110877.16999999998</v>
      </c>
      <c r="N856" s="802">
        <f t="shared" si="452"/>
        <v>0.36959056666666662</v>
      </c>
      <c r="O856" s="786">
        <f t="shared" si="453"/>
        <v>0.10312677958365163</v>
      </c>
      <c r="P856" s="817" t="b">
        <f t="shared" si="454"/>
        <v>1</v>
      </c>
      <c r="Q856" s="802">
        <f>COUNTIF(P$2:P856, TRUE)/(COUNTIF(P$2:P856,FALSE) + COUNTIF(P$2:P856, TRUE))</f>
        <v>0.49707602339181284</v>
      </c>
      <c r="R856" s="844">
        <v>207816.9</v>
      </c>
      <c r="S856" s="846">
        <f t="shared" si="455"/>
        <v>203060.27</v>
      </c>
      <c r="T856" s="800">
        <v>-42004</v>
      </c>
      <c r="U856" s="800">
        <f t="shared" si="456"/>
        <v>152881.16999999998</v>
      </c>
      <c r="V856" s="802">
        <f>STDEV(D$2:D856)*SQRT(252)</f>
        <v>0.14654771915074563</v>
      </c>
      <c r="W856" s="802">
        <f>STDEV(L$2:L856)*SQRT(252)</f>
        <v>0.25096227263966736</v>
      </c>
      <c r="X856" s="801">
        <f t="shared" si="457"/>
        <v>0.66155830249951109</v>
      </c>
      <c r="Y856" s="801">
        <f t="shared" si="458"/>
        <v>0.41092542914496744</v>
      </c>
      <c r="Z856" s="807">
        <f t="shared" si="459"/>
        <v>2.2137131610255989E-2</v>
      </c>
    </row>
    <row r="857" spans="1:26" ht="20.100000000000001" customHeight="1" x14ac:dyDescent="0.2">
      <c r="A857" s="776">
        <f t="shared" si="444"/>
        <v>1310</v>
      </c>
      <c r="B857" s="795">
        <v>43543</v>
      </c>
      <c r="C857" s="820">
        <v>2832.57</v>
      </c>
      <c r="D857" s="792">
        <f t="shared" si="445"/>
        <v>-1.3060636653084459E-4</v>
      </c>
      <c r="E857" s="819">
        <f t="shared" si="446"/>
        <v>0.34727744905918839</v>
      </c>
      <c r="F857" s="816">
        <v>7723.94</v>
      </c>
      <c r="G857" s="792">
        <f t="shared" si="447"/>
        <v>1.227563267470007E-3</v>
      </c>
      <c r="H857" s="797">
        <f t="shared" si="448"/>
        <v>0.51696682836773566</v>
      </c>
      <c r="I857" s="841">
        <v>410458.62</v>
      </c>
      <c r="J857" s="800">
        <v>300000</v>
      </c>
      <c r="K857" s="800">
        <f t="shared" si="449"/>
        <v>-418.54999999998836</v>
      </c>
      <c r="L857" s="792">
        <f t="shared" si="450"/>
        <v>-1.0186742670564742E-3</v>
      </c>
      <c r="M857" s="817">
        <f t="shared" si="451"/>
        <v>110458.62</v>
      </c>
      <c r="N857" s="802">
        <f t="shared" si="452"/>
        <v>0.36819540000000001</v>
      </c>
      <c r="O857" s="786">
        <f t="shared" si="453"/>
        <v>0.10265906095419847</v>
      </c>
      <c r="P857" s="817" t="b">
        <f t="shared" si="454"/>
        <v>0</v>
      </c>
      <c r="Q857" s="802">
        <f>COUNTIF(P$2:P857, TRUE)/(COUNTIF(P$2:P857,FALSE) + COUNTIF(P$2:P857, TRUE))</f>
        <v>0.49649532710280375</v>
      </c>
      <c r="R857" s="844">
        <v>207398.35</v>
      </c>
      <c r="S857" s="846">
        <f t="shared" si="455"/>
        <v>203060.27</v>
      </c>
      <c r="T857" s="800">
        <v>-41934</v>
      </c>
      <c r="U857" s="800">
        <f t="shared" si="456"/>
        <v>152392.62</v>
      </c>
      <c r="V857" s="802">
        <f>STDEV(D$2:D857)*SQRT(252)</f>
        <v>0.14646216787783717</v>
      </c>
      <c r="W857" s="802">
        <f>STDEV(L$2:L857)*SQRT(252)</f>
        <v>0.25081678650042438</v>
      </c>
      <c r="X857" s="801">
        <f t="shared" si="457"/>
        <v>0.66110440901591716</v>
      </c>
      <c r="Y857" s="801">
        <f t="shared" si="458"/>
        <v>0.40929900421168486</v>
      </c>
      <c r="Z857" s="807">
        <f t="shared" si="459"/>
        <v>2.0917950940811614E-2</v>
      </c>
    </row>
    <row r="858" spans="1:26" ht="20.100000000000001" customHeight="1" x14ac:dyDescent="0.2">
      <c r="A858" s="776">
        <f t="shared" si="444"/>
        <v>1311</v>
      </c>
      <c r="B858" s="795">
        <v>43544</v>
      </c>
      <c r="C858" s="820">
        <v>2824.23</v>
      </c>
      <c r="D858" s="792">
        <f t="shared" si="445"/>
        <v>-2.9443226469249286E-3</v>
      </c>
      <c r="E858" s="819">
        <f t="shared" si="446"/>
        <v>0.34331062955423219</v>
      </c>
      <c r="F858" s="816">
        <v>7728.96</v>
      </c>
      <c r="G858" s="792">
        <f t="shared" si="447"/>
        <v>6.4992736867459315E-4</v>
      </c>
      <c r="H858" s="797">
        <f t="shared" si="448"/>
        <v>0.51795274662686341</v>
      </c>
      <c r="I858" s="841">
        <v>409825.74</v>
      </c>
      <c r="J858" s="800">
        <v>300000</v>
      </c>
      <c r="K858" s="800">
        <f t="shared" si="449"/>
        <v>-632.88000000000466</v>
      </c>
      <c r="L858" s="792">
        <f t="shared" si="450"/>
        <v>-1.5418850260715798E-3</v>
      </c>
      <c r="M858" s="817">
        <f t="shared" si="451"/>
        <v>109825.73999999999</v>
      </c>
      <c r="N858" s="802">
        <f t="shared" si="452"/>
        <v>0.36608579999999996</v>
      </c>
      <c r="O858" s="786">
        <f t="shared" si="453"/>
        <v>0.10199301178489702</v>
      </c>
      <c r="P858" s="817" t="b">
        <f t="shared" si="454"/>
        <v>1</v>
      </c>
      <c r="Q858" s="802">
        <f>COUNTIF(P$2:P858, TRUE)/(COUNTIF(P$2:P858,FALSE) + COUNTIF(P$2:P858, TRUE))</f>
        <v>0.49708284714119022</v>
      </c>
      <c r="R858" s="844">
        <v>200335</v>
      </c>
      <c r="S858" s="846">
        <f t="shared" si="455"/>
        <v>209490.74</v>
      </c>
      <c r="T858" s="800">
        <v>-42011</v>
      </c>
      <c r="U858" s="800">
        <f t="shared" si="456"/>
        <v>151836.74</v>
      </c>
      <c r="V858" s="802">
        <f>STDEV(D$2:D858)*SQRT(252)</f>
        <v>0.1463876801648317</v>
      </c>
      <c r="W858" s="802">
        <f>STDEV(L$2:L858)*SQRT(252)</f>
        <v>0.25067269127528252</v>
      </c>
      <c r="X858" s="801">
        <f t="shared" si="457"/>
        <v>0.65338664688337555</v>
      </c>
      <c r="Y858" s="801">
        <f t="shared" si="458"/>
        <v>0.4068772360723204</v>
      </c>
      <c r="Z858" s="807">
        <f t="shared" si="459"/>
        <v>2.2775170445767767E-2</v>
      </c>
    </row>
    <row r="859" spans="1:26" ht="20.100000000000001" customHeight="1" x14ac:dyDescent="0.2">
      <c r="A859" s="776">
        <f t="shared" si="444"/>
        <v>1312</v>
      </c>
      <c r="B859" s="795">
        <v>43545</v>
      </c>
      <c r="C859" s="820">
        <v>2854.88</v>
      </c>
      <c r="D859" s="792">
        <f t="shared" si="445"/>
        <v>1.08525155529118E-2</v>
      </c>
      <c r="E859" s="819">
        <f t="shared" si="446"/>
        <v>0.35788892905386127</v>
      </c>
      <c r="F859" s="816">
        <v>7838.95</v>
      </c>
      <c r="G859" s="792">
        <f t="shared" si="447"/>
        <v>1.4230892642735863E-2</v>
      </c>
      <c r="H859" s="797">
        <f t="shared" si="448"/>
        <v>0.53955456920085632</v>
      </c>
      <c r="I859" s="841">
        <v>412377.54</v>
      </c>
      <c r="J859" s="800">
        <v>300000</v>
      </c>
      <c r="K859" s="800">
        <f t="shared" si="449"/>
        <v>2551.7999999999884</v>
      </c>
      <c r="L859" s="792">
        <f t="shared" si="450"/>
        <v>6.2265488741629271E-3</v>
      </c>
      <c r="M859" s="817">
        <f t="shared" si="451"/>
        <v>112377.53999999998</v>
      </c>
      <c r="N859" s="802">
        <f t="shared" si="452"/>
        <v>0.37459179999999992</v>
      </c>
      <c r="O859" s="786">
        <f t="shared" si="453"/>
        <v>0.104283273589939</v>
      </c>
      <c r="P859" s="817" t="b">
        <f t="shared" si="454"/>
        <v>0</v>
      </c>
      <c r="Q859" s="802">
        <f>COUNTIF(P$2:P859, TRUE)/(COUNTIF(P$2:P859,FALSE) + COUNTIF(P$2:P859, TRUE))</f>
        <v>0.49650349650349651</v>
      </c>
      <c r="R859" s="844">
        <v>191004.45</v>
      </c>
      <c r="S859" s="846">
        <f t="shared" si="455"/>
        <v>221373.08999999997</v>
      </c>
      <c r="T859" s="800">
        <v>-41500</v>
      </c>
      <c r="U859" s="800">
        <f t="shared" si="456"/>
        <v>153877.53999999998</v>
      </c>
      <c r="V859" s="802">
        <f>STDEV(D$2:D859)*SQRT(252)</f>
        <v>0.14641216795322529</v>
      </c>
      <c r="W859" s="802">
        <f>STDEV(L$2:L859)*SQRT(252)</f>
        <v>0.25054500691190368</v>
      </c>
      <c r="X859" s="801">
        <f t="shared" si="457"/>
        <v>0.68049898587328561</v>
      </c>
      <c r="Y859" s="801">
        <f t="shared" si="458"/>
        <v>0.41622571080255832</v>
      </c>
      <c r="Z859" s="807">
        <f t="shared" si="459"/>
        <v>1.6702870946138648E-2</v>
      </c>
    </row>
    <row r="860" spans="1:26" ht="20.100000000000001" customHeight="1" x14ac:dyDescent="0.2">
      <c r="A860" s="776">
        <f t="shared" si="444"/>
        <v>1313</v>
      </c>
      <c r="B860" s="795">
        <v>43546</v>
      </c>
      <c r="C860" s="820">
        <v>2800.71</v>
      </c>
      <c r="D860" s="792">
        <f t="shared" si="445"/>
        <v>-1.8974527826038246E-2</v>
      </c>
      <c r="E860" s="819">
        <f t="shared" si="446"/>
        <v>0.33212362778485949</v>
      </c>
      <c r="F860" s="816">
        <v>7642.66</v>
      </c>
      <c r="G860" s="792">
        <f t="shared" si="447"/>
        <v>-2.5040343413339793E-2</v>
      </c>
      <c r="H860" s="797">
        <f t="shared" si="448"/>
        <v>0.50100359408449047</v>
      </c>
      <c r="I860" s="841">
        <v>406223.07</v>
      </c>
      <c r="J860" s="800">
        <v>300000</v>
      </c>
      <c r="K860" s="800">
        <f t="shared" si="449"/>
        <v>-6154.4699999999721</v>
      </c>
      <c r="L860" s="792">
        <f t="shared" si="450"/>
        <v>-1.4924357907562018E-2</v>
      </c>
      <c r="M860" s="817">
        <f t="shared" si="451"/>
        <v>106223.07</v>
      </c>
      <c r="N860" s="802">
        <f t="shared" si="452"/>
        <v>0.35407690000000003</v>
      </c>
      <c r="O860" s="786">
        <f t="shared" si="453"/>
        <v>9.849702035415081E-2</v>
      </c>
      <c r="P860" s="817" t="b">
        <f t="shared" si="454"/>
        <v>1</v>
      </c>
      <c r="Q860" s="802">
        <f>COUNTIF(P$2:P860, TRUE)/(COUNTIF(P$2:P860,FALSE) + COUNTIF(P$2:P860, TRUE))</f>
        <v>0.49708963911525028</v>
      </c>
      <c r="R860" s="844">
        <v>203486.3</v>
      </c>
      <c r="S860" s="846">
        <f t="shared" si="455"/>
        <v>202736.77000000002</v>
      </c>
      <c r="T860" s="800">
        <v>-41542</v>
      </c>
      <c r="U860" s="800">
        <f t="shared" si="456"/>
        <v>147765.07</v>
      </c>
      <c r="V860" s="802">
        <f>STDEV(D$2:D860)*SQRT(252)</f>
        <v>0.14670294276551785</v>
      </c>
      <c r="W860" s="802">
        <f>STDEV(L$2:L860)*SQRT(252)</f>
        <v>0.25053966066556538</v>
      </c>
      <c r="X860" s="801">
        <f t="shared" si="457"/>
        <v>0.62977649277146142</v>
      </c>
      <c r="Y860" s="801">
        <f t="shared" si="458"/>
        <v>0.39313943386245043</v>
      </c>
      <c r="Z860" s="807">
        <f t="shared" si="459"/>
        <v>2.195327221514054E-2</v>
      </c>
    </row>
    <row r="861" spans="1:26" ht="20.100000000000001" customHeight="1" x14ac:dyDescent="0.2">
      <c r="A861" s="776">
        <f t="shared" si="444"/>
        <v>1316</v>
      </c>
      <c r="B861" s="795">
        <v>43549</v>
      </c>
      <c r="C861" s="820">
        <v>2798.36</v>
      </c>
      <c r="D861" s="792">
        <f t="shared" si="445"/>
        <v>-8.3907294935923712E-4</v>
      </c>
      <c r="E861" s="819">
        <f t="shared" si="446"/>
        <v>0.3310058788835829</v>
      </c>
      <c r="F861" s="816">
        <v>7637.54</v>
      </c>
      <c r="G861" s="792">
        <f t="shared" si="447"/>
        <v>-6.6992382233409449E-4</v>
      </c>
      <c r="H861" s="797">
        <f t="shared" si="448"/>
        <v>0.49999803601940418</v>
      </c>
      <c r="I861" s="841">
        <v>405489.52</v>
      </c>
      <c r="J861" s="800">
        <v>300000</v>
      </c>
      <c r="K861" s="800">
        <f t="shared" si="449"/>
        <v>-733.54999999998836</v>
      </c>
      <c r="L861" s="792">
        <f t="shared" si="450"/>
        <v>-1.8057812423110001E-3</v>
      </c>
      <c r="M861" s="817">
        <f t="shared" si="451"/>
        <v>105489.52000000002</v>
      </c>
      <c r="N861" s="802">
        <f t="shared" si="452"/>
        <v>0.35163173333333342</v>
      </c>
      <c r="O861" s="786">
        <f t="shared" si="453"/>
        <v>9.7593837841945308E-2</v>
      </c>
      <c r="P861" s="817" t="b">
        <f t="shared" si="454"/>
        <v>0</v>
      </c>
      <c r="Q861" s="802">
        <f>COUNTIF(P$2:P861, TRUE)/(COUNTIF(P$2:P861,FALSE) + COUNTIF(P$2:P861, TRUE))</f>
        <v>0.49651162790697673</v>
      </c>
      <c r="R861" s="844">
        <v>206596.75</v>
      </c>
      <c r="S861" s="846">
        <f t="shared" si="455"/>
        <v>198892.77000000002</v>
      </c>
      <c r="T861" s="800">
        <v>-41395</v>
      </c>
      <c r="U861" s="800">
        <f t="shared" si="456"/>
        <v>146884.52000000002</v>
      </c>
      <c r="V861" s="802">
        <f>STDEV(D$2:D861)*SQRT(252)</f>
        <v>0.14661890598695551</v>
      </c>
      <c r="W861" s="802">
        <f>STDEV(L$2:L861)*SQRT(252)</f>
        <v>0.25039688954864897</v>
      </c>
      <c r="X861" s="801">
        <f t="shared" si="457"/>
        <v>0.62658510664247002</v>
      </c>
      <c r="Y861" s="801">
        <f t="shared" si="458"/>
        <v>0.38975659009927138</v>
      </c>
      <c r="Z861" s="807">
        <f t="shared" si="459"/>
        <v>2.0625854449750514E-2</v>
      </c>
    </row>
    <row r="862" spans="1:26" ht="20.100000000000001" customHeight="1" x14ac:dyDescent="0.2">
      <c r="A862" s="776">
        <f t="shared" si="444"/>
        <v>1317</v>
      </c>
      <c r="B862" s="795">
        <v>43550</v>
      </c>
      <c r="C862" s="820">
        <v>2818.46</v>
      </c>
      <c r="D862" s="792">
        <f t="shared" si="445"/>
        <v>7.1827784845409125E-3</v>
      </c>
      <c r="E862" s="819">
        <f t="shared" si="446"/>
        <v>0.3405661992732254</v>
      </c>
      <c r="F862" s="816">
        <v>7691.52</v>
      </c>
      <c r="G862" s="792">
        <f t="shared" si="447"/>
        <v>7.0677207582546834E-3</v>
      </c>
      <c r="H862" s="797">
        <f t="shared" si="448"/>
        <v>0.5105996032759198</v>
      </c>
      <c r="I862" s="841">
        <v>407594.72</v>
      </c>
      <c r="J862" s="800">
        <v>300000</v>
      </c>
      <c r="K862" s="800">
        <f t="shared" si="449"/>
        <v>2105.1999999999534</v>
      </c>
      <c r="L862" s="792">
        <f t="shared" si="450"/>
        <v>5.1917494686421328E-3</v>
      </c>
      <c r="M862" s="817">
        <f t="shared" si="451"/>
        <v>107594.71999999997</v>
      </c>
      <c r="N862" s="802">
        <f t="shared" si="452"/>
        <v>0.35864906666666657</v>
      </c>
      <c r="O862" s="786">
        <f t="shared" si="453"/>
        <v>9.9465885801062998E-2</v>
      </c>
      <c r="P862" s="817" t="b">
        <f t="shared" si="454"/>
        <v>0</v>
      </c>
      <c r="Q862" s="802">
        <f>COUNTIF(P$2:P862, TRUE)/(COUNTIF(P$2:P862,FALSE) + COUNTIF(P$2:P862, TRUE))</f>
        <v>0.49593495934959347</v>
      </c>
      <c r="R862" s="844">
        <v>208701.95</v>
      </c>
      <c r="S862" s="846">
        <f t="shared" si="455"/>
        <v>198892.76999999996</v>
      </c>
      <c r="T862" s="800">
        <v>-41115</v>
      </c>
      <c r="U862" s="800">
        <f t="shared" si="456"/>
        <v>148709.71999999997</v>
      </c>
      <c r="V862" s="802">
        <f>STDEV(D$2:D862)*SQRT(252)</f>
        <v>0.14657986259259756</v>
      </c>
      <c r="W862" s="802">
        <f>STDEV(L$2:L862)*SQRT(252)</f>
        <v>0.25026368256415366</v>
      </c>
      <c r="X862" s="801">
        <f t="shared" si="457"/>
        <v>0.64436461311494353</v>
      </c>
      <c r="Y862" s="801">
        <f t="shared" si="458"/>
        <v>0.39744434662654454</v>
      </c>
      <c r="Z862" s="807">
        <f t="shared" si="459"/>
        <v>1.8082867393441171E-2</v>
      </c>
    </row>
    <row r="863" spans="1:26" ht="20.100000000000001" customHeight="1" x14ac:dyDescent="0.2">
      <c r="A863" s="776">
        <f t="shared" si="444"/>
        <v>1318</v>
      </c>
      <c r="B863" s="795">
        <v>43551</v>
      </c>
      <c r="C863" s="820">
        <v>2805.37</v>
      </c>
      <c r="D863" s="792">
        <f t="shared" si="445"/>
        <v>-4.6443802643997591E-3</v>
      </c>
      <c r="E863" s="819">
        <f t="shared" si="446"/>
        <v>0.3343401000741994</v>
      </c>
      <c r="F863" s="816">
        <v>7643.37</v>
      </c>
      <c r="G863" s="792">
        <f t="shared" si="447"/>
        <v>-6.2601410384424067E-3</v>
      </c>
      <c r="H863" s="797">
        <f t="shared" si="448"/>
        <v>0.50114303670679738</v>
      </c>
      <c r="I863" s="841">
        <v>406813.72</v>
      </c>
      <c r="J863" s="800">
        <v>300000</v>
      </c>
      <c r="K863" s="800">
        <f t="shared" si="449"/>
        <v>-781</v>
      </c>
      <c r="L863" s="792">
        <f t="shared" si="450"/>
        <v>-1.9161190311788143E-3</v>
      </c>
      <c r="M863" s="817">
        <f t="shared" si="451"/>
        <v>106813.71999999997</v>
      </c>
      <c r="N863" s="802">
        <f t="shared" si="452"/>
        <v>0.35604573333333323</v>
      </c>
      <c r="O863" s="786">
        <f t="shared" si="453"/>
        <v>9.8668971244309539E-2</v>
      </c>
      <c r="P863" s="817" t="b">
        <f t="shared" si="454"/>
        <v>1</v>
      </c>
      <c r="Q863" s="802">
        <f>COUNTIF(P$2:P863, TRUE)/(COUNTIF(P$2:P863,FALSE) + COUNTIF(P$2:P863, TRUE))</f>
        <v>0.49651972157772623</v>
      </c>
      <c r="R863" s="844">
        <v>207920.95</v>
      </c>
      <c r="S863" s="846">
        <f t="shared" si="455"/>
        <v>198892.76999999996</v>
      </c>
      <c r="T863" s="800">
        <v>-41300</v>
      </c>
      <c r="U863" s="800">
        <f t="shared" si="456"/>
        <v>148113.71999999997</v>
      </c>
      <c r="V863" s="802">
        <f>STDEV(D$2:D863)*SQRT(252)</f>
        <v>0.14651986748209284</v>
      </c>
      <c r="W863" s="802">
        <f>STDEV(L$2:L863)*SQRT(252)</f>
        <v>0.25012172766059143</v>
      </c>
      <c r="X863" s="801">
        <f t="shared" si="457"/>
        <v>0.63236345740045397</v>
      </c>
      <c r="Y863" s="801">
        <f t="shared" si="458"/>
        <v>0.39448380661355709</v>
      </c>
      <c r="Z863" s="807">
        <f t="shared" si="459"/>
        <v>2.1705633259133827E-2</v>
      </c>
    </row>
    <row r="864" spans="1:26" ht="20.100000000000001" customHeight="1" x14ac:dyDescent="0.2">
      <c r="A864" s="776">
        <f t="shared" si="444"/>
        <v>1319</v>
      </c>
      <c r="B864" s="795">
        <v>43552</v>
      </c>
      <c r="C864" s="820">
        <v>2815.44</v>
      </c>
      <c r="D864" s="792">
        <f t="shared" si="445"/>
        <v>3.5895443381800491E-3</v>
      </c>
      <c r="E864" s="819">
        <f t="shared" si="446"/>
        <v>0.33912977302562736</v>
      </c>
      <c r="F864" s="816">
        <v>7669.16</v>
      </c>
      <c r="G864" s="792">
        <f t="shared" si="447"/>
        <v>3.3741661073583987E-3</v>
      </c>
      <c r="H864" s="797">
        <f t="shared" si="448"/>
        <v>0.50620814266355052</v>
      </c>
      <c r="I864" s="841">
        <v>407443.32</v>
      </c>
      <c r="J864" s="800">
        <v>300000</v>
      </c>
      <c r="K864" s="800">
        <f t="shared" si="449"/>
        <v>629.60000000003492</v>
      </c>
      <c r="L864" s="792">
        <f t="shared" si="450"/>
        <v>1.547637085592971E-3</v>
      </c>
      <c r="M864" s="817">
        <f t="shared" si="451"/>
        <v>107443.32</v>
      </c>
      <c r="N864" s="802">
        <f t="shared" si="452"/>
        <v>0.35814440000000003</v>
      </c>
      <c r="O864" s="786">
        <f t="shared" si="453"/>
        <v>9.9175316224412446E-2</v>
      </c>
      <c r="P864" s="817" t="b">
        <f t="shared" si="454"/>
        <v>0</v>
      </c>
      <c r="Q864" s="802">
        <f>COUNTIF(P$2:P864, TRUE)/(COUNTIF(P$2:P864,FALSE) + COUNTIF(P$2:P864, TRUE))</f>
        <v>0.4959443800695249</v>
      </c>
      <c r="R864" s="844">
        <v>204798.1</v>
      </c>
      <c r="S864" s="846">
        <f t="shared" si="455"/>
        <v>202645.22</v>
      </c>
      <c r="T864" s="800">
        <v>-41267</v>
      </c>
      <c r="U864" s="800">
        <f t="shared" si="456"/>
        <v>148710.32</v>
      </c>
      <c r="V864" s="802">
        <f>STDEV(D$2:D864)*SQRT(252)</f>
        <v>0.14644505331981272</v>
      </c>
      <c r="W864" s="802">
        <f>STDEV(L$2:L864)*SQRT(252)</f>
        <v>0.24997700752704366</v>
      </c>
      <c r="X864" s="801">
        <f t="shared" si="457"/>
        <v>0.64126367825363195</v>
      </c>
      <c r="Y864" s="801">
        <f t="shared" si="458"/>
        <v>0.39673775282586021</v>
      </c>
      <c r="Z864" s="807">
        <f t="shared" si="459"/>
        <v>1.9014626974372673E-2</v>
      </c>
    </row>
    <row r="865" spans="1:26" ht="20.100000000000001" customHeight="1" x14ac:dyDescent="0.2">
      <c r="A865" s="776">
        <f t="shared" si="444"/>
        <v>1320</v>
      </c>
      <c r="B865" s="795">
        <v>43553</v>
      </c>
      <c r="C865" s="820">
        <v>2834.4</v>
      </c>
      <c r="D865" s="792">
        <f t="shared" si="445"/>
        <v>6.7342937515983423E-3</v>
      </c>
      <c r="E865" s="819">
        <f t="shared" si="446"/>
        <v>0.34814786628869315</v>
      </c>
      <c r="F865" s="816">
        <v>7729.32</v>
      </c>
      <c r="G865" s="792">
        <f t="shared" si="447"/>
        <v>7.8444053846835702E-3</v>
      </c>
      <c r="H865" s="797">
        <f t="shared" si="448"/>
        <v>0.51802344992831473</v>
      </c>
      <c r="I865" s="841">
        <v>408307.24</v>
      </c>
      <c r="J865" s="800">
        <v>300000</v>
      </c>
      <c r="K865" s="800">
        <f t="shared" si="449"/>
        <v>863.9199999999837</v>
      </c>
      <c r="L865" s="792">
        <f t="shared" si="450"/>
        <v>2.1203440026946168E-3</v>
      </c>
      <c r="M865" s="817">
        <f t="shared" si="451"/>
        <v>108307.23999999999</v>
      </c>
      <c r="N865" s="802">
        <f t="shared" si="452"/>
        <v>0.36102413333333327</v>
      </c>
      <c r="O865" s="786">
        <f t="shared" si="453"/>
        <v>9.9897018712121199E-2</v>
      </c>
      <c r="P865" s="817" t="b">
        <f t="shared" si="454"/>
        <v>0</v>
      </c>
      <c r="Q865" s="802">
        <f>COUNTIF(P$2:P865, TRUE)/(COUNTIF(P$2:P865,FALSE) + COUNTIF(P$2:P865, TRUE))</f>
        <v>0.49537037037037035</v>
      </c>
      <c r="R865" s="844">
        <v>205617.3</v>
      </c>
      <c r="S865" s="846">
        <f t="shared" si="455"/>
        <v>202689.94</v>
      </c>
      <c r="T865" s="800">
        <v>-41290</v>
      </c>
      <c r="U865" s="800">
        <f t="shared" si="456"/>
        <v>149597.24</v>
      </c>
      <c r="V865" s="802">
        <f>STDEV(D$2:D865)*SQRT(252)</f>
        <v>0.14640033954500242</v>
      </c>
      <c r="W865" s="802">
        <f>STDEV(L$2:L865)*SQRT(252)</f>
        <v>0.24983339171198773</v>
      </c>
      <c r="X865" s="801">
        <f t="shared" si="457"/>
        <v>0.65801826274296504</v>
      </c>
      <c r="Y865" s="801">
        <f t="shared" si="458"/>
        <v>0.39985455117738711</v>
      </c>
      <c r="Z865" s="807">
        <f t="shared" si="459"/>
        <v>1.2876267044640122E-2</v>
      </c>
    </row>
    <row r="866" spans="1:26" ht="20.100000000000001" customHeight="1" x14ac:dyDescent="0.2">
      <c r="A866" s="776">
        <f t="shared" si="444"/>
        <v>1323</v>
      </c>
      <c r="B866" s="795">
        <v>43556</v>
      </c>
      <c r="C866" s="820">
        <v>2867.19</v>
      </c>
      <c r="D866" s="792">
        <f t="shared" si="445"/>
        <v>1.1568585944115143E-2</v>
      </c>
      <c r="E866" s="819">
        <f t="shared" si="446"/>
        <v>0.36374403074522932</v>
      </c>
      <c r="F866" s="816">
        <v>7828.91</v>
      </c>
      <c r="G866" s="792">
        <f t="shared" si="447"/>
        <v>1.288470395843362E-2</v>
      </c>
      <c r="H866" s="797">
        <f t="shared" si="448"/>
        <v>0.53758273268260115</v>
      </c>
      <c r="I866" s="841">
        <v>411874.17</v>
      </c>
      <c r="J866" s="800">
        <v>300000</v>
      </c>
      <c r="K866" s="800">
        <f t="shared" si="449"/>
        <v>3566.929999999993</v>
      </c>
      <c r="L866" s="792">
        <f t="shared" si="450"/>
        <v>8.7358970171579446E-3</v>
      </c>
      <c r="M866" s="817">
        <f t="shared" si="451"/>
        <v>111874.16999999998</v>
      </c>
      <c r="N866" s="802">
        <f t="shared" si="452"/>
        <v>0.37291389999999996</v>
      </c>
      <c r="O866" s="786">
        <f t="shared" si="453"/>
        <v>0.10295298713151926</v>
      </c>
      <c r="P866" s="817" t="b">
        <f t="shared" si="454"/>
        <v>0</v>
      </c>
      <c r="Q866" s="802">
        <f>COUNTIF(P$2:P866, TRUE)/(COUNTIF(P$2:P866,FALSE) + COUNTIF(P$2:P866, TRUE))</f>
        <v>0.49479768786127165</v>
      </c>
      <c r="R866" s="844">
        <v>188016</v>
      </c>
      <c r="S866" s="846">
        <f t="shared" si="455"/>
        <v>223858.16999999998</v>
      </c>
      <c r="T866" s="800">
        <v>-41395</v>
      </c>
      <c r="U866" s="800">
        <f t="shared" si="456"/>
        <v>153269.16999999998</v>
      </c>
      <c r="V866" s="802">
        <f>STDEV(D$2:D866)*SQRT(252)</f>
        <v>0.14644001926411532</v>
      </c>
      <c r="W866" s="802">
        <f>STDEV(L$2:L866)*SQRT(252)</f>
        <v>0.24972763301688028</v>
      </c>
      <c r="X866" s="801">
        <f t="shared" si="457"/>
        <v>0.68575104502027118</v>
      </c>
      <c r="Y866" s="801">
        <f t="shared" si="458"/>
        <v>0.41226109376754544</v>
      </c>
      <c r="Z866" s="807">
        <f t="shared" si="459"/>
        <v>9.1698692547706462E-3</v>
      </c>
    </row>
    <row r="867" spans="1:26" ht="20.100000000000001" customHeight="1" x14ac:dyDescent="0.2">
      <c r="A867" s="776">
        <f t="shared" si="444"/>
        <v>1324</v>
      </c>
      <c r="B867" s="795">
        <v>43557</v>
      </c>
      <c r="C867" s="820">
        <v>2867.24</v>
      </c>
      <c r="D867" s="792">
        <f t="shared" si="445"/>
        <v>1.7438676892611635E-5</v>
      </c>
      <c r="E867" s="819">
        <f t="shared" si="446"/>
        <v>0.36376781263674574</v>
      </c>
      <c r="F867" s="816">
        <v>7848.68</v>
      </c>
      <c r="G867" s="792">
        <f t="shared" si="447"/>
        <v>2.5252557508006141E-3</v>
      </c>
      <c r="H867" s="797">
        <f t="shared" si="448"/>
        <v>0.5414655223206396</v>
      </c>
      <c r="I867" s="841">
        <v>408880.97</v>
      </c>
      <c r="J867" s="800">
        <v>300000</v>
      </c>
      <c r="K867" s="800">
        <f t="shared" si="449"/>
        <v>-2993.2000000000116</v>
      </c>
      <c r="L867" s="792">
        <f t="shared" si="450"/>
        <v>-7.2672680590773918E-3</v>
      </c>
      <c r="M867" s="817">
        <f t="shared" si="451"/>
        <v>108880.96999999997</v>
      </c>
      <c r="N867" s="802">
        <f t="shared" si="452"/>
        <v>0.36293656666666657</v>
      </c>
      <c r="O867" s="786">
        <f t="shared" si="453"/>
        <v>0.10012279529833834</v>
      </c>
      <c r="P867" s="817" t="b">
        <f t="shared" si="454"/>
        <v>0</v>
      </c>
      <c r="Q867" s="802">
        <f>COUNTIF(P$2:P867, TRUE)/(COUNTIF(P$2:P867,FALSE) + COUNTIF(P$2:P867, TRUE))</f>
        <v>0.49422632794457277</v>
      </c>
      <c r="R867" s="844">
        <v>185022.8</v>
      </c>
      <c r="S867" s="846">
        <f t="shared" si="455"/>
        <v>223858.16999999998</v>
      </c>
      <c r="T867" s="800">
        <v>-41694</v>
      </c>
      <c r="U867" s="800">
        <f t="shared" si="456"/>
        <v>150574.96999999997</v>
      </c>
      <c r="V867" s="802">
        <f>STDEV(D$2:D867)*SQRT(252)</f>
        <v>0.14635539626377603</v>
      </c>
      <c r="W867" s="802">
        <f>STDEV(L$2:L867)*SQRT(252)</f>
        <v>0.24961892169781513</v>
      </c>
      <c r="X867" s="801">
        <f t="shared" si="457"/>
        <v>0.6856741364214588</v>
      </c>
      <c r="Y867" s="801">
        <f t="shared" si="458"/>
        <v>0.40110258716502861</v>
      </c>
      <c r="Z867" s="807">
        <f t="shared" si="459"/>
        <v>-8.3124597007916412E-4</v>
      </c>
    </row>
    <row r="868" spans="1:26" ht="20.100000000000001" customHeight="1" x14ac:dyDescent="0.2">
      <c r="A868" s="776">
        <f t="shared" si="444"/>
        <v>1325</v>
      </c>
      <c r="B868" s="795">
        <v>43558</v>
      </c>
      <c r="C868" s="820">
        <v>2873.4</v>
      </c>
      <c r="D868" s="792">
        <f t="shared" si="445"/>
        <v>2.1484075277968741E-3</v>
      </c>
      <c r="E868" s="819">
        <f t="shared" si="446"/>
        <v>0.36669774167158159</v>
      </c>
      <c r="F868" s="816">
        <v>7895.55</v>
      </c>
      <c r="G868" s="792">
        <f t="shared" si="447"/>
        <v>5.9717047962204971E-3</v>
      </c>
      <c r="H868" s="797">
        <f t="shared" si="448"/>
        <v>0.55067069937349034</v>
      </c>
      <c r="I868" s="841">
        <v>409389.95</v>
      </c>
      <c r="J868" s="800">
        <v>300000</v>
      </c>
      <c r="K868" s="800">
        <f t="shared" si="449"/>
        <v>508.98000000003958</v>
      </c>
      <c r="L868" s="792">
        <f t="shared" si="450"/>
        <v>1.2448121515658691E-3</v>
      </c>
      <c r="M868" s="817">
        <f t="shared" si="451"/>
        <v>109389.95000000001</v>
      </c>
      <c r="N868" s="802">
        <f t="shared" si="452"/>
        <v>0.36463316666666673</v>
      </c>
      <c r="O868" s="786">
        <f t="shared" si="453"/>
        <v>0.10051491632075474</v>
      </c>
      <c r="P868" s="817" t="b">
        <f t="shared" si="454"/>
        <v>0</v>
      </c>
      <c r="Q868" s="802">
        <f>COUNTIF(P$2:P868, TRUE)/(COUNTIF(P$2:P868,FALSE) + COUNTIF(P$2:P868, TRUE))</f>
        <v>0.49365628604382927</v>
      </c>
      <c r="R868" s="844">
        <v>190625.78</v>
      </c>
      <c r="S868" s="846">
        <f t="shared" si="455"/>
        <v>218764.17</v>
      </c>
      <c r="T868" s="800">
        <v>-41663</v>
      </c>
      <c r="U868" s="800">
        <f t="shared" si="456"/>
        <v>151052.95000000001</v>
      </c>
      <c r="V868" s="802">
        <f>STDEV(D$2:D868)*SQRT(252)</f>
        <v>0.14627380985149704</v>
      </c>
      <c r="W868" s="802">
        <f>STDEV(L$2:L868)*SQRT(252)</f>
        <v>0.2494748640660745</v>
      </c>
      <c r="X868" s="801">
        <f t="shared" si="457"/>
        <v>0.69106040205228114</v>
      </c>
      <c r="Y868" s="801">
        <f t="shared" si="458"/>
        <v>0.40290598692994145</v>
      </c>
      <c r="Z868" s="807">
        <f t="shared" si="459"/>
        <v>-2.0645750049148592E-3</v>
      </c>
    </row>
    <row r="869" spans="1:26" ht="20.100000000000001" customHeight="1" x14ac:dyDescent="0.2">
      <c r="A869" s="776">
        <f t="shared" si="444"/>
        <v>1326</v>
      </c>
      <c r="B869" s="795">
        <v>43559</v>
      </c>
      <c r="C869" s="820">
        <v>2879.39</v>
      </c>
      <c r="D869" s="792">
        <f t="shared" si="445"/>
        <v>2.084638407461468E-3</v>
      </c>
      <c r="E869" s="819">
        <f t="shared" si="446"/>
        <v>0.36954681227526104</v>
      </c>
      <c r="F869" s="816">
        <v>7891.78</v>
      </c>
      <c r="G869" s="792">
        <f t="shared" si="447"/>
        <v>-4.7748415246568463E-4</v>
      </c>
      <c r="H869" s="797">
        <f t="shared" si="448"/>
        <v>0.54993027868884659</v>
      </c>
      <c r="I869" s="841">
        <v>411494.73</v>
      </c>
      <c r="J869" s="800">
        <v>300000</v>
      </c>
      <c r="K869" s="800">
        <f t="shared" si="449"/>
        <v>2104.7799999999697</v>
      </c>
      <c r="L869" s="792">
        <f t="shared" si="450"/>
        <v>5.1412595741541032E-3</v>
      </c>
      <c r="M869" s="817">
        <f t="shared" si="451"/>
        <v>111494.72999999998</v>
      </c>
      <c r="N869" s="802">
        <f t="shared" si="452"/>
        <v>0.37164909999999995</v>
      </c>
      <c r="O869" s="786">
        <f t="shared" si="453"/>
        <v>0.10237166951357464</v>
      </c>
      <c r="P869" s="817" t="b">
        <f t="shared" si="454"/>
        <v>1</v>
      </c>
      <c r="Q869" s="802">
        <f>COUNTIF(P$2:P869, TRUE)/(COUNTIF(P$2:P869,FALSE) + COUNTIF(P$2:P869, TRUE))</f>
        <v>0.49423963133640553</v>
      </c>
      <c r="R869" s="844">
        <v>192730.56</v>
      </c>
      <c r="S869" s="846">
        <f t="shared" si="455"/>
        <v>218764.16999999998</v>
      </c>
      <c r="T869" s="800">
        <v>-41363</v>
      </c>
      <c r="U869" s="800">
        <f t="shared" si="456"/>
        <v>152857.72999999998</v>
      </c>
      <c r="V869" s="802">
        <f>STDEV(D$2:D869)*SQRT(252)</f>
        <v>0.14619214226488625</v>
      </c>
      <c r="W869" s="802">
        <f>STDEV(L$2:L869)*SQRT(252)</f>
        <v>0.24934300587144956</v>
      </c>
      <c r="X869" s="801">
        <f t="shared" si="457"/>
        <v>0.69629316289393339</v>
      </c>
      <c r="Y869" s="801">
        <f t="shared" si="458"/>
        <v>0.41056563490035503</v>
      </c>
      <c r="Z869" s="807">
        <f t="shared" si="459"/>
        <v>2.102287724738916E-3</v>
      </c>
    </row>
    <row r="870" spans="1:26" ht="20.100000000000001" customHeight="1" x14ac:dyDescent="0.2">
      <c r="A870" s="776">
        <f t="shared" si="444"/>
        <v>1327</v>
      </c>
      <c r="B870" s="795">
        <v>43560</v>
      </c>
      <c r="C870" s="820">
        <v>2892.74</v>
      </c>
      <c r="D870" s="792">
        <f t="shared" si="445"/>
        <v>4.6363986816651825E-3</v>
      </c>
      <c r="E870" s="819">
        <f t="shared" si="446"/>
        <v>0.37589657731017279</v>
      </c>
      <c r="F870" s="816">
        <v>7938.69</v>
      </c>
      <c r="G870" s="792">
        <f t="shared" si="447"/>
        <v>5.9441596192493775E-3</v>
      </c>
      <c r="H870" s="797">
        <f t="shared" si="448"/>
        <v>0.55914331166408071</v>
      </c>
      <c r="I870" s="841">
        <v>414382.34</v>
      </c>
      <c r="J870" s="800">
        <v>300000</v>
      </c>
      <c r="K870" s="800">
        <f t="shared" si="449"/>
        <v>2887.6100000000442</v>
      </c>
      <c r="L870" s="792">
        <f t="shared" si="450"/>
        <v>7.0173681203646145E-3</v>
      </c>
      <c r="M870" s="817">
        <f t="shared" si="451"/>
        <v>114382.34000000003</v>
      </c>
      <c r="N870" s="802">
        <f t="shared" si="452"/>
        <v>0.38127446666666676</v>
      </c>
      <c r="O870" s="786">
        <f t="shared" si="453"/>
        <v>0.10494385753579505</v>
      </c>
      <c r="P870" s="817" t="b">
        <f t="shared" si="454"/>
        <v>1</v>
      </c>
      <c r="Q870" s="802">
        <f>COUNTIF(P$2:P870, TRUE)/(COUNTIF(P$2:P870,FALSE) + COUNTIF(P$2:P870, TRUE))</f>
        <v>0.49482163406214041</v>
      </c>
      <c r="R870" s="844">
        <v>190320.24</v>
      </c>
      <c r="S870" s="846">
        <f t="shared" si="455"/>
        <v>224062.10000000003</v>
      </c>
      <c r="T870" s="800">
        <v>-41333</v>
      </c>
      <c r="U870" s="800">
        <f t="shared" si="456"/>
        <v>155715.34000000003</v>
      </c>
      <c r="V870" s="802">
        <f>STDEV(D$2:D870)*SQRT(252)</f>
        <v>0.1461255950963456</v>
      </c>
      <c r="W870" s="802">
        <f>STDEV(L$2:L870)*SQRT(252)</f>
        <v>0.24922340084880154</v>
      </c>
      <c r="X870" s="801">
        <f t="shared" si="457"/>
        <v>0.70804584766759371</v>
      </c>
      <c r="Y870" s="801">
        <f t="shared" si="458"/>
        <v>0.42108348244337707</v>
      </c>
      <c r="Z870" s="807">
        <f t="shared" si="459"/>
        <v>5.37788935649397E-3</v>
      </c>
    </row>
    <row r="871" spans="1:26" ht="20.100000000000001" customHeight="1" x14ac:dyDescent="0.2">
      <c r="A871" s="776">
        <f t="shared" si="444"/>
        <v>1330</v>
      </c>
      <c r="B871" s="795">
        <v>43563</v>
      </c>
      <c r="C871" s="820">
        <v>2895.77</v>
      </c>
      <c r="D871" s="792">
        <f t="shared" si="445"/>
        <v>1.0474498226595546E-3</v>
      </c>
      <c r="E871" s="819">
        <f t="shared" si="446"/>
        <v>0.37733775993607421</v>
      </c>
      <c r="F871" s="816">
        <v>7953.88</v>
      </c>
      <c r="G871" s="792">
        <f t="shared" si="447"/>
        <v>1.9134139259752566E-3</v>
      </c>
      <c r="H871" s="797">
        <f t="shared" si="448"/>
        <v>0.56212659818920996</v>
      </c>
      <c r="I871" s="841">
        <v>414279.77</v>
      </c>
      <c r="J871" s="800">
        <v>300000</v>
      </c>
      <c r="K871" s="800">
        <f t="shared" si="449"/>
        <v>-102.57000000000698</v>
      </c>
      <c r="L871" s="792">
        <f t="shared" si="450"/>
        <v>-2.4752502724900629E-4</v>
      </c>
      <c r="M871" s="817">
        <f t="shared" si="451"/>
        <v>114279.77000000002</v>
      </c>
      <c r="N871" s="802">
        <f t="shared" si="452"/>
        <v>0.38093256666666675</v>
      </c>
      <c r="O871" s="786">
        <f t="shared" si="453"/>
        <v>0.10461324810150378</v>
      </c>
      <c r="P871" s="817" t="b">
        <f t="shared" si="454"/>
        <v>0</v>
      </c>
      <c r="Q871" s="802">
        <f>COUNTIF(P$2:P871, TRUE)/(COUNTIF(P$2:P871,FALSE) + COUNTIF(P$2:P871, TRUE))</f>
        <v>0.4942528735632184</v>
      </c>
      <c r="R871" s="844">
        <v>185179.9</v>
      </c>
      <c r="S871" s="846">
        <f t="shared" si="455"/>
        <v>229099.87000000002</v>
      </c>
      <c r="T871" s="800">
        <v>-40912</v>
      </c>
      <c r="U871" s="800">
        <f t="shared" si="456"/>
        <v>155191.77000000002</v>
      </c>
      <c r="V871" s="802">
        <f>STDEV(D$2:D871)*SQRT(252)</f>
        <v>0.14604180049821511</v>
      </c>
      <c r="W871" s="802">
        <f>STDEV(L$2:L871)*SQRT(252)</f>
        <v>0.24908019122913738</v>
      </c>
      <c r="X871" s="801">
        <f t="shared" si="457"/>
        <v>0.70956416127558664</v>
      </c>
      <c r="Y871" s="801">
        <f t="shared" si="458"/>
        <v>0.41999826475669627</v>
      </c>
      <c r="Z871" s="807">
        <f t="shared" si="459"/>
        <v>3.5948067305925369E-3</v>
      </c>
    </row>
    <row r="872" spans="1:26" ht="20.100000000000001" customHeight="1" x14ac:dyDescent="0.2">
      <c r="A872" s="776">
        <f t="shared" si="444"/>
        <v>1331</v>
      </c>
      <c r="B872" s="795">
        <v>43564</v>
      </c>
      <c r="C872" s="820">
        <v>2878.2</v>
      </c>
      <c r="D872" s="792">
        <f t="shared" si="445"/>
        <v>-6.0674708281390315E-3</v>
      </c>
      <c r="E872" s="819">
        <f t="shared" si="446"/>
        <v>0.36898080325716776</v>
      </c>
      <c r="F872" s="816">
        <v>7909.27</v>
      </c>
      <c r="G872" s="792">
        <f t="shared" si="447"/>
        <v>-5.6085834837839733E-3</v>
      </c>
      <c r="H872" s="797">
        <f t="shared" si="448"/>
        <v>0.55336528075102631</v>
      </c>
      <c r="I872" s="841">
        <v>412104.49</v>
      </c>
      <c r="J872" s="800">
        <v>300000</v>
      </c>
      <c r="K872" s="800">
        <f t="shared" si="449"/>
        <v>-2175.2800000000279</v>
      </c>
      <c r="L872" s="792">
        <f t="shared" si="450"/>
        <v>-5.2507512012957523E-3</v>
      </c>
      <c r="M872" s="817">
        <f t="shared" si="451"/>
        <v>112104.48999999999</v>
      </c>
      <c r="N872" s="802">
        <f t="shared" si="452"/>
        <v>0.37368163333333332</v>
      </c>
      <c r="O872" s="786">
        <f t="shared" si="453"/>
        <v>0.10254486594665664</v>
      </c>
      <c r="P872" s="817" t="b">
        <f t="shared" si="454"/>
        <v>1</v>
      </c>
      <c r="Q872" s="802">
        <f>COUNTIF(P$2:P872, TRUE)/(COUNTIF(P$2:P872,FALSE) + COUNTIF(P$2:P872, TRUE))</f>
        <v>0.49483352468427094</v>
      </c>
      <c r="R872" s="844">
        <v>188867.42</v>
      </c>
      <c r="S872" s="846">
        <f t="shared" si="455"/>
        <v>223237.06999999998</v>
      </c>
      <c r="T872" s="800">
        <v>-41080</v>
      </c>
      <c r="U872" s="800">
        <f t="shared" si="456"/>
        <v>153184.49</v>
      </c>
      <c r="V872" s="802">
        <f>STDEV(D$2:D872)*SQRT(252)</f>
        <v>0.14599938428893539</v>
      </c>
      <c r="W872" s="802">
        <f>STDEV(L$2:L872)*SQRT(252)</f>
        <v>0.24895657241898997</v>
      </c>
      <c r="X872" s="801">
        <f t="shared" si="457"/>
        <v>0.69352946463675358</v>
      </c>
      <c r="Y872" s="801">
        <f t="shared" si="458"/>
        <v>0.41189860926457189</v>
      </c>
      <c r="Z872" s="807">
        <f t="shared" si="459"/>
        <v>4.700830076165563E-3</v>
      </c>
    </row>
    <row r="873" spans="1:26" ht="20.100000000000001" customHeight="1" x14ac:dyDescent="0.2">
      <c r="A873" s="776">
        <f t="shared" si="444"/>
        <v>1332</v>
      </c>
      <c r="B873" s="795">
        <v>43565</v>
      </c>
      <c r="C873" s="820">
        <v>2888.21</v>
      </c>
      <c r="D873" s="792">
        <f t="shared" si="445"/>
        <v>3.4778681120145294E-3</v>
      </c>
      <c r="E873" s="819">
        <f t="shared" ref="E873" si="460">(C873-$C$2)/$C$2</f>
        <v>0.37374193793877586</v>
      </c>
      <c r="F873" s="816">
        <v>7964.23</v>
      </c>
      <c r="G873" s="792">
        <f t="shared" si="447"/>
        <v>6.9488081706654504E-3</v>
      </c>
      <c r="H873" s="797">
        <f t="shared" ref="H873" si="461">(F873-F$2)/F$2</f>
        <v>0.56415931810593711</v>
      </c>
      <c r="I873" s="841">
        <v>412359.33</v>
      </c>
      <c r="J873" s="800">
        <v>300000</v>
      </c>
      <c r="K873" s="800">
        <f t="shared" ref="K873" si="462">I873-I872-J873+J872</f>
        <v>254.84000000002561</v>
      </c>
      <c r="L873" s="792">
        <f t="shared" ref="L873" si="463">K873/I872</f>
        <v>6.1838685620733134E-4</v>
      </c>
      <c r="M873" s="817">
        <f t="shared" ref="M873" si="464">I873-J873</f>
        <v>112359.33000000002</v>
      </c>
      <c r="N873" s="802">
        <f t="shared" ref="N873" si="465">M873/J873</f>
        <v>0.37453110000000006</v>
      </c>
      <c r="O873" s="786">
        <f t="shared" ref="O873" si="466">N873/(A873/365.25)</f>
        <v>0.10270081402027029</v>
      </c>
      <c r="P873" s="817" t="b">
        <f t="shared" ref="P873" si="467">L873&gt;D873</f>
        <v>0</v>
      </c>
      <c r="Q873" s="802">
        <f>COUNTIF(P$2:P873, TRUE)/(COUNTIF(P$2:P873,FALSE) + COUNTIF(P$2:P873, TRUE))</f>
        <v>0.49426605504587157</v>
      </c>
      <c r="R873" s="844">
        <v>188868.42</v>
      </c>
      <c r="S873" s="846">
        <f t="shared" ref="S873" si="468">I873-R873</f>
        <v>223490.91</v>
      </c>
      <c r="T873" s="800">
        <v>-41079</v>
      </c>
      <c r="U873" s="800">
        <f t="shared" ref="U873" si="469">M873-T873</f>
        <v>153438.33000000002</v>
      </c>
      <c r="V873" s="802">
        <f>STDEV(D$2:D873)*SQRT(252)</f>
        <v>0.14592482378205116</v>
      </c>
      <c r="W873" s="802">
        <f>STDEV(L$2:L873)*SQRT(252)</f>
        <v>0.24881345431798768</v>
      </c>
      <c r="X873" s="801">
        <f t="shared" ref="X873" si="470">E873/(A873/365.25)/V873</f>
        <v>0.70230968168727514</v>
      </c>
      <c r="Y873" s="801">
        <f t="shared" ref="Y873" si="471">O873/W873</f>
        <v>0.4127623013867126</v>
      </c>
      <c r="Z873" s="807">
        <f t="shared" ref="Z873" si="472">-(E873-N873)</f>
        <v>7.8916206122420229E-4</v>
      </c>
    </row>
    <row r="874" spans="1:26" ht="20.100000000000001" customHeight="1" x14ac:dyDescent="0.2">
      <c r="A874" s="776">
        <f t="shared" si="444"/>
        <v>1333</v>
      </c>
      <c r="B874" s="795">
        <v>43566</v>
      </c>
      <c r="C874" s="820">
        <v>2888.32</v>
      </c>
      <c r="D874" s="792">
        <f t="shared" si="445"/>
        <v>3.8085873257182588E-5</v>
      </c>
      <c r="E874" s="819">
        <f t="shared" ref="E874" si="473">(C874-$C$2)/$C$2</f>
        <v>0.3737942581001123</v>
      </c>
      <c r="F874" s="816">
        <v>7947.35</v>
      </c>
      <c r="G874" s="792">
        <f t="shared" si="447"/>
        <v>-2.1194767102405633E-3</v>
      </c>
      <c r="H874" s="797">
        <f t="shared" ref="H874" si="474">(F874-F$2)/F$2</f>
        <v>0.56084411886010577</v>
      </c>
      <c r="I874" s="841">
        <v>411204.51</v>
      </c>
      <c r="J874" s="800">
        <v>300000</v>
      </c>
      <c r="K874" s="800">
        <f t="shared" ref="K874" si="475">I874-I873-J874+J873</f>
        <v>-1154.820000000007</v>
      </c>
      <c r="L874" s="792">
        <f t="shared" ref="L874" si="476">K874/I873</f>
        <v>-2.8005186641466484E-3</v>
      </c>
      <c r="M874" s="817">
        <f t="shared" ref="M874" si="477">I874-J874</f>
        <v>111204.51000000001</v>
      </c>
      <c r="N874" s="802">
        <f t="shared" ref="N874" si="478">M874/J874</f>
        <v>0.37068170000000006</v>
      </c>
      <c r="O874" s="786">
        <f t="shared" ref="O874" si="479">N874/(A874/365.25)</f>
        <v>0.10156901044636162</v>
      </c>
      <c r="P874" s="817" t="b">
        <f t="shared" ref="P874" si="480">L874&gt;D874</f>
        <v>0</v>
      </c>
      <c r="Q874" s="802">
        <f>COUNTIF(P$2:P874, TRUE)/(COUNTIF(P$2:P874,FALSE) + COUNTIF(P$2:P874, TRUE))</f>
        <v>0.49369988545246279</v>
      </c>
      <c r="R874" s="844">
        <v>197004.04</v>
      </c>
      <c r="S874" s="846">
        <f t="shared" ref="S874" si="481">I874-R874</f>
        <v>214200.47</v>
      </c>
      <c r="T874" s="800">
        <v>-41072</v>
      </c>
      <c r="U874" s="800">
        <f t="shared" ref="U874" si="482">M874-T874</f>
        <v>152276.51</v>
      </c>
      <c r="V874" s="802">
        <f>STDEV(D$2:D874)*SQRT(252)</f>
        <v>0.14584116589953847</v>
      </c>
      <c r="W874" s="802">
        <f>STDEV(L$2:L874)*SQRT(252)</f>
        <v>0.24867717137389692</v>
      </c>
      <c r="X874" s="801">
        <f t="shared" ref="X874" si="483">E874/(A874/365.25)/V874</f>
        <v>0.70228367562806959</v>
      </c>
      <c r="Y874" s="801">
        <f t="shared" ref="Y874" si="484">O874/W874</f>
        <v>0.40843721152694068</v>
      </c>
      <c r="Z874" s="807">
        <f t="shared" ref="Z874" si="485">-(E874-N874)</f>
        <v>-3.1125581001122393E-3</v>
      </c>
    </row>
    <row r="875" spans="1:26" ht="20.100000000000001" customHeight="1" x14ac:dyDescent="0.2">
      <c r="A875" s="776">
        <f t="shared" ref="A875" si="486">B875-$B$2</f>
        <v>1334</v>
      </c>
      <c r="B875" s="795">
        <v>43567</v>
      </c>
      <c r="C875" s="820">
        <v>2907.41</v>
      </c>
      <c r="D875" s="792">
        <f t="shared" ref="D875" si="487">(C875-C874)/C874</f>
        <v>6.6093784622201449E-3</v>
      </c>
      <c r="E875" s="819">
        <f t="shared" ref="E875" si="488">(C875-$C$2)/$C$2</f>
        <v>0.38287418428112086</v>
      </c>
      <c r="F875" s="816">
        <v>7984.16</v>
      </c>
      <c r="G875" s="792">
        <f t="shared" ref="G875" si="489">(F875-F874)/F874</f>
        <v>4.6317325901085882E-3</v>
      </c>
      <c r="H875" s="797">
        <f t="shared" ref="H875" si="490">(F875-F$2)/F$2</f>
        <v>0.56807353143350947</v>
      </c>
      <c r="I875" s="841">
        <v>413392.93</v>
      </c>
      <c r="J875" s="800">
        <v>300000</v>
      </c>
      <c r="K875" s="800">
        <f t="shared" ref="K875" si="491">I875-I874-J875+J874</f>
        <v>2188.4199999999837</v>
      </c>
      <c r="L875" s="792">
        <f t="shared" ref="L875" si="492">K875/I874</f>
        <v>5.3219747030497878E-3</v>
      </c>
      <c r="M875" s="817">
        <f t="shared" ref="M875" si="493">I875-J875</f>
        <v>113392.93</v>
      </c>
      <c r="N875" s="802">
        <f t="shared" ref="N875" si="494">M875/J875</f>
        <v>0.37797643333333331</v>
      </c>
      <c r="O875" s="786">
        <f t="shared" ref="O875" si="495">N875/(A875/365.25)</f>
        <v>0.1034901741191904</v>
      </c>
      <c r="P875" s="817" t="b">
        <f t="shared" ref="P875" si="496">L875&gt;D875</f>
        <v>0</v>
      </c>
      <c r="Q875" s="802">
        <f>COUNTIF(P$2:P875, TRUE)/(COUNTIF(P$2:P875,FALSE) + COUNTIF(P$2:P875, TRUE))</f>
        <v>0.49313501144164762</v>
      </c>
      <c r="R875" s="844">
        <v>199100.5</v>
      </c>
      <c r="S875" s="846">
        <f t="shared" ref="S875" si="497">I875-R875</f>
        <v>214292.43</v>
      </c>
      <c r="T875" s="800">
        <v>-40996</v>
      </c>
      <c r="U875" s="800">
        <f t="shared" ref="U875" si="498">M875-T875</f>
        <v>154388.93</v>
      </c>
      <c r="V875" s="802">
        <f>STDEV(D$2:D875)*SQRT(252)</f>
        <v>0.14579561218422463</v>
      </c>
      <c r="W875" s="802">
        <f>STDEV(L$2:L875)*SQRT(252)</f>
        <v>0.24854769029020352</v>
      </c>
      <c r="X875" s="801">
        <f t="shared" ref="X875" si="499">E875/(A875/365.25)/V875</f>
        <v>0.71902836920368962</v>
      </c>
      <c r="Y875" s="801">
        <f t="shared" ref="Y875" si="500">O875/W875</f>
        <v>0.41637954469967348</v>
      </c>
      <c r="Z875" s="807">
        <f t="shared" ref="Z875" si="501">-(E875-N875)</f>
        <v>-4.8977509477875492E-3</v>
      </c>
    </row>
    <row r="876" spans="1:26" ht="20.100000000000001" customHeight="1" x14ac:dyDescent="0.2">
      <c r="A876" s="776">
        <f t="shared" ref="A876" si="502">B876-$B$2</f>
        <v>1337</v>
      </c>
      <c r="B876" s="795">
        <v>43570</v>
      </c>
      <c r="C876" s="820">
        <v>2905.58</v>
      </c>
      <c r="D876" s="792">
        <f t="shared" ref="D876" si="503">(C876-C875)/C875</f>
        <v>-6.2942619032056962E-4</v>
      </c>
      <c r="E876" s="819">
        <f t="shared" ref="E876" si="504">(C876-$C$2)/$C$2</f>
        <v>0.38200376705161615</v>
      </c>
      <c r="F876" s="816">
        <v>7976.01</v>
      </c>
      <c r="G876" s="792">
        <f t="shared" ref="G876" si="505">(F876-F875)/F875</f>
        <v>-1.0207711268310801E-3</v>
      </c>
      <c r="H876" s="797">
        <f t="shared" ref="H876" si="506">(F876-F$2)/F$2</f>
        <v>0.56647288724787404</v>
      </c>
      <c r="I876" s="841">
        <v>362992.11</v>
      </c>
      <c r="J876" s="800">
        <v>250000</v>
      </c>
      <c r="K876" s="800">
        <f t="shared" ref="K876" si="507">I876-I875-J876+J875</f>
        <v>-400.82000000000698</v>
      </c>
      <c r="L876" s="792">
        <f t="shared" ref="L876" si="508">K876/I875</f>
        <v>-9.6958600622416792E-4</v>
      </c>
      <c r="M876" s="817">
        <f t="shared" ref="M876" si="509">I876-J876</f>
        <v>112992.10999999999</v>
      </c>
      <c r="N876" s="802">
        <f t="shared" ref="N876" si="510">M876/J876</f>
        <v>0.45196843999999997</v>
      </c>
      <c r="O876" s="786">
        <f t="shared" ref="O876" si="511">N876/(A876/365.25)</f>
        <v>0.12347155774869109</v>
      </c>
      <c r="P876" s="817" t="b">
        <f t="shared" ref="P876" si="512">L876&gt;D876</f>
        <v>0</v>
      </c>
      <c r="Q876" s="802">
        <f>COUNTIF(P$2:P876, TRUE)/(COUNTIF(P$2:P876,FALSE) + COUNTIF(P$2:P876, TRUE))</f>
        <v>0.49257142857142855</v>
      </c>
      <c r="R876" s="844">
        <v>198699.68</v>
      </c>
      <c r="S876" s="846">
        <f t="shared" ref="S876" si="513">I876-R876</f>
        <v>164292.43</v>
      </c>
      <c r="T876" s="800">
        <v>-40947</v>
      </c>
      <c r="U876" s="800">
        <f t="shared" ref="U876" si="514">M876-T876</f>
        <v>153939.10999999999</v>
      </c>
      <c r="V876" s="802">
        <f>STDEV(D$2:D876)*SQRT(252)</f>
        <v>0.14571316181964991</v>
      </c>
      <c r="W876" s="802">
        <f>STDEV(L$2:L876)*SQRT(252)</f>
        <v>0.24840667034322358</v>
      </c>
      <c r="X876" s="801">
        <f t="shared" ref="X876" si="515">E876/(A876/365.25)/V876</f>
        <v>0.71618905705283098</v>
      </c>
      <c r="Y876" s="801">
        <f t="shared" ref="Y876" si="516">O876/W876</f>
        <v>0.49705411524614213</v>
      </c>
      <c r="Z876" s="807">
        <f t="shared" ref="Z876" si="517">-(E876-N876)</f>
        <v>6.9964672948383821E-2</v>
      </c>
    </row>
    <row r="877" spans="1:26" ht="20.100000000000001" customHeight="1" x14ac:dyDescent="0.2">
      <c r="A877" s="776">
        <f t="shared" ref="A877" si="518">B877-$B$2</f>
        <v>1338</v>
      </c>
      <c r="B877" s="795">
        <v>43571</v>
      </c>
      <c r="C877" s="820">
        <v>2907.06</v>
      </c>
      <c r="D877" s="792">
        <f t="shared" ref="D877" si="519">(C877-C876)/C876</f>
        <v>5.0936473957007488E-4</v>
      </c>
      <c r="E877" s="819">
        <f t="shared" ref="E877" si="520">(C877-$C$2)/$C$2</f>
        <v>0.38270771104050527</v>
      </c>
      <c r="F877" s="816">
        <v>8000.22</v>
      </c>
      <c r="G877" s="792">
        <f t="shared" ref="G877" si="521">(F877-F876)/F876</f>
        <v>3.0353522625974688E-3</v>
      </c>
      <c r="H877" s="797">
        <f t="shared" ref="H877" si="522">(F877-F$2)/F$2</f>
        <v>0.57122768427047954</v>
      </c>
      <c r="I877" s="841">
        <v>362919.13</v>
      </c>
      <c r="J877" s="800">
        <v>250000</v>
      </c>
      <c r="K877" s="800">
        <f t="shared" ref="K877" si="523">I877-I876-J877+J876</f>
        <v>-72.979999999981374</v>
      </c>
      <c r="L877" s="792">
        <f t="shared" ref="L877" si="524">K877/I876</f>
        <v>-2.0105120191174782E-4</v>
      </c>
      <c r="M877" s="817">
        <f t="shared" ref="M877" si="525">I877-J877</f>
        <v>112919.13</v>
      </c>
      <c r="N877" s="802">
        <f t="shared" ref="N877" si="526">M877/J877</f>
        <v>0.45167652000000003</v>
      </c>
      <c r="O877" s="786">
        <f t="shared" ref="O877" si="527">N877/(A877/365.25)</f>
        <v>0.12329958813901346</v>
      </c>
      <c r="P877" s="817" t="b">
        <f t="shared" ref="P877" si="528">L877&gt;D877</f>
        <v>0</v>
      </c>
      <c r="Q877" s="802">
        <f>COUNTIF(P$2:P877, TRUE)/(COUNTIF(P$2:P877,FALSE) + COUNTIF(P$2:P877, TRUE))</f>
        <v>0.49200913242009131</v>
      </c>
      <c r="R877" s="844">
        <v>205682.7</v>
      </c>
      <c r="S877" s="846">
        <f t="shared" ref="S877" si="529">I877-R877</f>
        <v>157236.43</v>
      </c>
      <c r="T877" s="800">
        <v>-41017</v>
      </c>
      <c r="U877" s="800">
        <f t="shared" ref="U877" si="530">M877-T877</f>
        <v>153936.13</v>
      </c>
      <c r="V877" s="802">
        <f>STDEV(D$2:D877)*SQRT(252)</f>
        <v>0.14562978733826315</v>
      </c>
      <c r="W877" s="802">
        <f>STDEV(L$2:L877)*SQRT(252)</f>
        <v>0.24826486277313137</v>
      </c>
      <c r="X877" s="801">
        <f t="shared" ref="X877" si="531">E877/(A877/365.25)/V877</f>
        <v>0.71738304581251655</v>
      </c>
      <c r="Y877" s="801">
        <f t="shared" ref="Y877" si="532">O877/W877</f>
        <v>0.49664534385474718</v>
      </c>
      <c r="Z877" s="807">
        <f t="shared" ref="Z877" si="533">-(E877-N877)</f>
        <v>6.8968808959494754E-2</v>
      </c>
    </row>
    <row r="878" spans="1:26" ht="20.100000000000001" customHeight="1" x14ac:dyDescent="0.2">
      <c r="A878" s="776">
        <f t="shared" ref="A878" si="534">B878-$B$2</f>
        <v>1339</v>
      </c>
      <c r="B878" s="795">
        <v>43572</v>
      </c>
      <c r="C878" s="820">
        <v>2900.45</v>
      </c>
      <c r="D878" s="792">
        <f t="shared" ref="D878" si="535">(C878-C877)/C877</f>
        <v>-2.2737748790875069E-3</v>
      </c>
      <c r="E878" s="819">
        <f t="shared" ref="E878" si="536">(C878-$C$2)/$C$2</f>
        <v>0.37956374498202078</v>
      </c>
      <c r="F878" s="816">
        <v>7996.08</v>
      </c>
      <c r="G878" s="792">
        <f t="shared" ref="G878" si="537">(F878-F877)/F877</f>
        <v>-5.174857691413895E-4</v>
      </c>
      <c r="H878" s="797">
        <f t="shared" ref="H878" si="538">(F878-F$2)/F$2</f>
        <v>0.57041459630378855</v>
      </c>
      <c r="I878" s="841">
        <v>311173.65999999997</v>
      </c>
      <c r="J878" s="800">
        <v>200000</v>
      </c>
      <c r="K878" s="800">
        <f t="shared" ref="K878" si="539">I878-I877-J878+J877</f>
        <v>-1745.4700000000303</v>
      </c>
      <c r="L878" s="792">
        <f t="shared" ref="L878" si="540">K878/I877</f>
        <v>-4.8095287784913135E-3</v>
      </c>
      <c r="M878" s="817">
        <f t="shared" ref="M878" si="541">I878-J878</f>
        <v>111173.65999999997</v>
      </c>
      <c r="N878" s="802">
        <f t="shared" ref="N878" si="542">M878/J878</f>
        <v>0.55586829999999987</v>
      </c>
      <c r="O878" s="786">
        <f t="shared" ref="O878" si="543">N878/(A878/365.25)</f>
        <v>0.15162875024271841</v>
      </c>
      <c r="P878" s="817" t="b">
        <f t="shared" ref="P878" si="544">L878&gt;D878</f>
        <v>0</v>
      </c>
      <c r="Q878" s="802">
        <f>COUNTIF(P$2:P878, TRUE)/(COUNTIF(P$2:P878,FALSE) + COUNTIF(P$2:P878, TRUE))</f>
        <v>0.49144811858608894</v>
      </c>
      <c r="R878" s="844">
        <v>209479.92</v>
      </c>
      <c r="S878" s="846">
        <f t="shared" ref="S878" si="545">I878-R878</f>
        <v>101693.73999999996</v>
      </c>
      <c r="T878" s="800">
        <v>-41122</v>
      </c>
      <c r="U878" s="800">
        <f t="shared" ref="U878" si="546">M878-T878</f>
        <v>152295.65999999997</v>
      </c>
      <c r="V878" s="802">
        <f>STDEV(D$2:D878)*SQRT(252)</f>
        <v>0.14555367732179997</v>
      </c>
      <c r="W878" s="802">
        <f>STDEV(L$2:L878)*SQRT(252)</f>
        <v>0.24813970797794255</v>
      </c>
      <c r="X878" s="801">
        <f t="shared" ref="X878" si="547">E878/(A878/365.25)/V878</f>
        <v>0.71133010356421</v>
      </c>
      <c r="Y878" s="801">
        <f t="shared" ref="Y878" si="548">O878/W878</f>
        <v>0.61106201614534372</v>
      </c>
      <c r="Z878" s="807">
        <f t="shared" ref="Z878" si="549">-(E878-N878)</f>
        <v>0.17630455501797909</v>
      </c>
    </row>
    <row r="879" spans="1:26" ht="20.100000000000001" customHeight="1" x14ac:dyDescent="0.2">
      <c r="A879" s="776">
        <f t="shared" ref="A879" si="550">B879-$B$2</f>
        <v>1340</v>
      </c>
      <c r="B879" s="795">
        <v>43573</v>
      </c>
      <c r="C879" s="820">
        <v>2905.03</v>
      </c>
      <c r="D879" s="792">
        <f t="shared" ref="D879" si="551">(C879-C878)/C878</f>
        <v>1.5790653174508722E-3</v>
      </c>
      <c r="E879" s="819">
        <f t="shared" ref="E879" si="552">(C879-$C$2)/$C$2</f>
        <v>0.38174216624493451</v>
      </c>
      <c r="F879" s="816">
        <v>7998.06</v>
      </c>
      <c r="G879" s="792">
        <f t="shared" ref="G879" si="553">(F879-F878)/F878</f>
        <v>2.4762133445394154E-4</v>
      </c>
      <c r="H879" s="797">
        <f t="shared" ref="H879" si="554">(F879-F$2)/F$2</f>
        <v>0.57080346446177121</v>
      </c>
      <c r="I879" s="841">
        <v>311138.59999999998</v>
      </c>
      <c r="J879" s="800">
        <v>200000</v>
      </c>
      <c r="K879" s="800">
        <f t="shared" ref="K879" si="555">I879-I878-J879+J878</f>
        <v>-35.059999999997672</v>
      </c>
      <c r="L879" s="792">
        <f t="shared" ref="L879" si="556">K879/I878</f>
        <v>-1.1267020479817499E-4</v>
      </c>
      <c r="M879" s="817">
        <f t="shared" ref="M879" si="557">I879-J879</f>
        <v>111138.59999999998</v>
      </c>
      <c r="N879" s="802">
        <f t="shared" ref="N879" si="558">M879/J879</f>
        <v>0.55569299999999988</v>
      </c>
      <c r="O879" s="786">
        <f t="shared" ref="O879" si="559">N879/(A879/365.25)</f>
        <v>0.15146781212686564</v>
      </c>
      <c r="P879" s="817" t="b">
        <f t="shared" ref="P879" si="560">L879&gt;D879</f>
        <v>0</v>
      </c>
      <c r="Q879" s="802">
        <f>COUNTIF(P$2:P879, TRUE)/(COUNTIF(P$2:P879,FALSE) + COUNTIF(P$2:P879, TRUE))</f>
        <v>0.49088838268792712</v>
      </c>
      <c r="R879" s="844">
        <v>209429.42</v>
      </c>
      <c r="S879" s="846">
        <f t="shared" ref="S879" si="561">I879-R879</f>
        <v>101709.17999999996</v>
      </c>
      <c r="T879" s="800">
        <v>-41073</v>
      </c>
      <c r="U879" s="800">
        <f t="shared" ref="U879" si="562">M879-T879</f>
        <v>152211.59999999998</v>
      </c>
      <c r="V879" s="802">
        <f>STDEV(D$2:D879)*SQRT(252)</f>
        <v>0.14547192625046898</v>
      </c>
      <c r="W879" s="802">
        <f>STDEV(L$2:L879)*SQRT(252)</f>
        <v>0.2479982974257921</v>
      </c>
      <c r="X879" s="801">
        <f t="shared" ref="X879" si="563">E879/(A879/365.25)/V879</f>
        <v>0.71528047510658954</v>
      </c>
      <c r="Y879" s="801">
        <f t="shared" ref="Y879" si="564">O879/W879</f>
        <v>0.61076149997436557</v>
      </c>
      <c r="Z879" s="807">
        <f t="shared" ref="Z879" si="565">-(E879-N879)</f>
        <v>0.17395083375506537</v>
      </c>
    </row>
    <row r="880" spans="1:26" ht="20.100000000000001" customHeight="1" x14ac:dyDescent="0.2">
      <c r="A880" s="776">
        <f t="shared" ref="A880" si="566">B880-$B$2</f>
        <v>1344</v>
      </c>
      <c r="B880" s="795">
        <v>43577</v>
      </c>
      <c r="C880" s="820">
        <v>2907.97</v>
      </c>
      <c r="D880" s="792">
        <f t="shared" ref="D880" si="567">(C880-C879)/C879</f>
        <v>1.0120377414345461E-3</v>
      </c>
      <c r="E880" s="819">
        <f t="shared" ref="E880" si="568">(C880-$C$2)/$C$2</f>
        <v>0.38314054146610593</v>
      </c>
      <c r="F880" s="816">
        <v>8015.26</v>
      </c>
      <c r="G880" s="792">
        <f t="shared" ref="G880" si="569">(F880-F879)/F879</f>
        <v>2.1505215014640824E-3</v>
      </c>
      <c r="H880" s="797">
        <f t="shared" ref="H880" si="570">(F880-F$2)/F$2</f>
        <v>0.57418151108667059</v>
      </c>
      <c r="I880" s="841">
        <v>312483.15000000002</v>
      </c>
      <c r="J880" s="800">
        <v>200000</v>
      </c>
      <c r="K880" s="800">
        <f t="shared" ref="K880" si="571">I880-I879-J880+J879</f>
        <v>1344.5500000000466</v>
      </c>
      <c r="L880" s="792">
        <f t="shared" ref="L880" si="572">K880/I879</f>
        <v>4.3213860318200526E-3</v>
      </c>
      <c r="M880" s="817">
        <f t="shared" ref="M880" si="573">I880-J880</f>
        <v>112483.15000000002</v>
      </c>
      <c r="N880" s="802">
        <f t="shared" ref="N880" si="574">M880/J880</f>
        <v>0.5624157500000001</v>
      </c>
      <c r="O880" s="786">
        <f t="shared" ref="O880" si="575">N880/(A880/365.25)</f>
        <v>0.15284401241629467</v>
      </c>
      <c r="P880" s="817" t="b">
        <f t="shared" ref="P880" si="576">L880&gt;D880</f>
        <v>1</v>
      </c>
      <c r="Q880" s="802">
        <f>COUNTIF(P$2:P880, TRUE)/(COUNTIF(P$2:P880,FALSE) + COUNTIF(P$2:P880, TRUE))</f>
        <v>0.49146757679180886</v>
      </c>
      <c r="R880" s="844">
        <v>202713.74</v>
      </c>
      <c r="S880" s="846">
        <f t="shared" ref="S880" si="577">I880-R880</f>
        <v>109769.41000000003</v>
      </c>
      <c r="T880" s="800">
        <v>-41115</v>
      </c>
      <c r="U880" s="800">
        <f t="shared" ref="U880" si="578">M880-T880</f>
        <v>153598.15000000002</v>
      </c>
      <c r="V880" s="802">
        <f>STDEV(D$2:D880)*SQRT(252)</f>
        <v>0.1453893222608437</v>
      </c>
      <c r="W880" s="802">
        <f>STDEV(L$2:L880)*SQRT(252)</f>
        <v>0.24786506176179646</v>
      </c>
      <c r="X880" s="801">
        <f t="shared" ref="X880" si="579">E880/(A880/365.25)/V880</f>
        <v>0.71617070546035821</v>
      </c>
      <c r="Y880" s="801">
        <f t="shared" ref="Y880" si="580">O880/W880</f>
        <v>0.61664202017782155</v>
      </c>
      <c r="Z880" s="807">
        <f t="shared" ref="Z880" si="581">-(E880-N880)</f>
        <v>0.17927520853389417</v>
      </c>
    </row>
    <row r="881" spans="1:26" ht="20.100000000000001" customHeight="1" x14ac:dyDescent="0.2">
      <c r="A881" s="776">
        <f t="shared" ref="A881:A882" si="582">B881-$B$2</f>
        <v>1345</v>
      </c>
      <c r="B881" s="795">
        <v>43578</v>
      </c>
      <c r="C881" s="820">
        <v>2933.68</v>
      </c>
      <c r="D881" s="792">
        <f t="shared" ref="D881" si="583">(C881-C880)/C880</f>
        <v>8.841219132246907E-3</v>
      </c>
      <c r="E881" s="819">
        <f t="shared" ref="E881" si="584">(C881-$C$2)/$C$2</f>
        <v>0.39536919008390242</v>
      </c>
      <c r="F881" s="816">
        <v>8120.82</v>
      </c>
      <c r="G881" s="792">
        <f t="shared" ref="G881" si="585">(F881-F880)/F880</f>
        <v>1.3169878456843507E-2</v>
      </c>
      <c r="H881" s="797">
        <f t="shared" ref="H881" si="586">(F881-F$2)/F$2</f>
        <v>0.59491329025669226</v>
      </c>
      <c r="I881" s="841">
        <v>314529.84999999998</v>
      </c>
      <c r="J881" s="800">
        <v>200000</v>
      </c>
      <c r="K881" s="800">
        <f t="shared" ref="K881" si="587">I881-I880-J881+J880</f>
        <v>2046.6999999999534</v>
      </c>
      <c r="L881" s="792">
        <f t="shared" ref="L881" si="588">K881/I880</f>
        <v>6.5497931648472989E-3</v>
      </c>
      <c r="M881" s="817">
        <f t="shared" ref="M881" si="589">I881-J881</f>
        <v>114529.84999999998</v>
      </c>
      <c r="N881" s="802">
        <f t="shared" ref="N881" si="590">M881/J881</f>
        <v>0.57264924999999989</v>
      </c>
      <c r="O881" s="786">
        <f t="shared" ref="O881" si="591">N881/(A881/365.25)</f>
        <v>0.15550939670074346</v>
      </c>
      <c r="P881" s="817" t="b">
        <f t="shared" ref="P881" si="592">L881&gt;D881</f>
        <v>0</v>
      </c>
      <c r="Q881" s="802">
        <f>COUNTIF(P$2:P881, TRUE)/(COUNTIF(P$2:P881,FALSE) + COUNTIF(P$2:P881, TRUE))</f>
        <v>0.49090909090909091</v>
      </c>
      <c r="R881" s="844">
        <v>204760.44</v>
      </c>
      <c r="S881" s="846">
        <f t="shared" ref="S881" si="593">I881-R881</f>
        <v>109769.40999999997</v>
      </c>
      <c r="T881" s="800">
        <v>-40975</v>
      </c>
      <c r="U881" s="800">
        <f t="shared" ref="U881" si="594">M881-T881</f>
        <v>155504.84999999998</v>
      </c>
      <c r="V881" s="802">
        <f>STDEV(D$2:D881)*SQRT(252)</f>
        <v>0.14537658846818913</v>
      </c>
      <c r="W881" s="802">
        <f>STDEV(L$2:L881)*SQRT(252)</f>
        <v>0.24774460348570995</v>
      </c>
      <c r="X881" s="801">
        <f t="shared" ref="X881" si="595">E881/(A881/365.25)/V881</f>
        <v>0.73854385708945813</v>
      </c>
      <c r="Y881" s="801">
        <f t="shared" ref="Y881" si="596">O881/W881</f>
        <v>0.62770044034365147</v>
      </c>
      <c r="Z881" s="807">
        <f t="shared" ref="Z881" si="597">-(E881-N881)</f>
        <v>0.17728005991609747</v>
      </c>
    </row>
    <row r="882" spans="1:26" ht="20.100000000000001" customHeight="1" x14ac:dyDescent="0.2">
      <c r="A882" s="776">
        <f t="shared" si="582"/>
        <v>1346</v>
      </c>
      <c r="B882" s="795">
        <v>43579</v>
      </c>
      <c r="C882" s="820">
        <v>2927.25</v>
      </c>
      <c r="D882" s="792">
        <f t="shared" ref="D882" si="598">(C882-C881)/C881</f>
        <v>-2.1917864252405978E-3</v>
      </c>
      <c r="E882" s="819">
        <f t="shared" ref="E882" si="599">(C882-$C$2)/$C$2</f>
        <v>0.39231083883487755</v>
      </c>
      <c r="F882" s="816">
        <v>8102.01</v>
      </c>
      <c r="G882" s="792">
        <f t="shared" ref="G882" si="600">(F882-F881)/F881</f>
        <v>-2.3162685541607241E-3</v>
      </c>
      <c r="H882" s="797">
        <f t="shared" ref="H882" si="601">(F882-F$2)/F$2</f>
        <v>0.59121904275585768</v>
      </c>
      <c r="I882" s="841">
        <v>313915.59999999998</v>
      </c>
      <c r="J882" s="800">
        <v>200000</v>
      </c>
      <c r="K882" s="800">
        <f t="shared" ref="K882" si="602">I882-I881-J882+J881</f>
        <v>-614.25</v>
      </c>
      <c r="L882" s="792">
        <f t="shared" ref="L882" si="603">K882/I881</f>
        <v>-1.9529148028398578E-3</v>
      </c>
      <c r="M882" s="817">
        <f t="shared" ref="M882" si="604">I882-J882</f>
        <v>113915.59999999998</v>
      </c>
      <c r="N882" s="802">
        <f t="shared" ref="N882" si="605">M882/J882</f>
        <v>0.56957799999999992</v>
      </c>
      <c r="O882" s="786">
        <f t="shared" ref="O882" si="606">N882/(A882/365.25)</f>
        <v>0.15456044910846953</v>
      </c>
      <c r="P882" s="817" t="b">
        <f t="shared" ref="P882" si="607">L882&gt;D882</f>
        <v>1</v>
      </c>
      <c r="Q882" s="802">
        <f>COUNTIF(P$2:P882, TRUE)/(COUNTIF(P$2:P882,FALSE) + COUNTIF(P$2:P882, TRUE))</f>
        <v>0.49148694665153236</v>
      </c>
      <c r="R882" s="844">
        <v>188872.58</v>
      </c>
      <c r="S882" s="846">
        <f t="shared" ref="S882" si="608">I882-R882</f>
        <v>125043.01999999999</v>
      </c>
      <c r="T882" s="800">
        <v>-41215</v>
      </c>
      <c r="U882" s="800">
        <f t="shared" ref="U882" si="609">M882-T882</f>
        <v>155130.59999999998</v>
      </c>
      <c r="V882" s="802">
        <f>STDEV(D$2:D882)*SQRT(252)</f>
        <v>0.14530059784205274</v>
      </c>
      <c r="W882" s="802">
        <f>STDEV(L$2:L882)*SQRT(252)</f>
        <v>0.24760732097095264</v>
      </c>
      <c r="X882" s="801">
        <f t="shared" ref="X882" si="610">E882/(A882/365.25)/V882</f>
        <v>0.73266942866947349</v>
      </c>
      <c r="Y882" s="801">
        <f t="shared" ref="Y882" si="611">O882/W882</f>
        <v>0.62421599047388976</v>
      </c>
      <c r="Z882" s="807">
        <f t="shared" ref="Z882" si="612">-(E882-N882)</f>
        <v>0.17726716116512237</v>
      </c>
    </row>
    <row r="883" spans="1:26" ht="20.100000000000001" customHeight="1" x14ac:dyDescent="0.2">
      <c r="A883" s="776">
        <f t="shared" ref="A883" si="613">B883-$B$2</f>
        <v>1347</v>
      </c>
      <c r="B883" s="795">
        <v>43580</v>
      </c>
      <c r="C883" s="820">
        <v>2926.17</v>
      </c>
      <c r="D883" s="792">
        <f t="shared" ref="D883" si="614">(C883-C882)/C882</f>
        <v>-3.6894696387391828E-4</v>
      </c>
      <c r="E883" s="819">
        <f t="shared" ref="E883" si="615">(C883-$C$2)/$C$2</f>
        <v>0.39179714997812065</v>
      </c>
      <c r="F883" s="816">
        <v>8118.68</v>
      </c>
      <c r="G883" s="792">
        <f t="shared" ref="G883" si="616">(F883-F882)/F882</f>
        <v>2.057514123038613E-3</v>
      </c>
      <c r="H883" s="797">
        <f t="shared" ref="H883" si="617">(F883-F$2)/F$2</f>
        <v>0.5944929984091758</v>
      </c>
      <c r="I883" s="841">
        <v>311882.3</v>
      </c>
      <c r="J883" s="800">
        <v>200000</v>
      </c>
      <c r="K883" s="800">
        <f t="shared" ref="K883" si="618">I883-I882-J883+J882</f>
        <v>-2033.2999999999884</v>
      </c>
      <c r="L883" s="792">
        <f t="shared" ref="L883" si="619">K883/I882</f>
        <v>-6.4772187173876943E-3</v>
      </c>
      <c r="M883" s="817">
        <f t="shared" ref="M883" si="620">I883-J883</f>
        <v>111882.29999999999</v>
      </c>
      <c r="N883" s="802">
        <f t="shared" ref="N883" si="621">M883/J883</f>
        <v>0.55941149999999995</v>
      </c>
      <c r="O883" s="786">
        <f t="shared" ref="O883" si="622">N883/(A883/365.25)</f>
        <v>0.15168897577951002</v>
      </c>
      <c r="P883" s="817" t="b">
        <f t="shared" ref="P883" si="623">L883&gt;D883</f>
        <v>0</v>
      </c>
      <c r="Q883" s="802">
        <f>COUNTIF(P$2:P883, TRUE)/(COUNTIF(P$2:P883,FALSE) + COUNTIF(P$2:P883, TRUE))</f>
        <v>0.49092970521541951</v>
      </c>
      <c r="R883" s="844">
        <v>186839.28</v>
      </c>
      <c r="S883" s="846">
        <f t="shared" ref="S883" si="624">I883-R883</f>
        <v>125043.01999999999</v>
      </c>
      <c r="T883" s="800">
        <v>-41383</v>
      </c>
      <c r="U883" s="800">
        <f t="shared" ref="U883" si="625">M883-T883</f>
        <v>153265.29999999999</v>
      </c>
      <c r="V883" s="802">
        <f>STDEV(D$2:D883)*SQRT(252)</f>
        <v>0.14521862715768946</v>
      </c>
      <c r="W883" s="802">
        <f>STDEV(L$2:L883)*SQRT(252)</f>
        <v>0.24749527484148853</v>
      </c>
      <c r="X883" s="801">
        <f t="shared" ref="X883" si="626">E883/(A883/365.25)/V883</f>
        <v>0.73157957958914299</v>
      </c>
      <c r="Y883" s="801">
        <f t="shared" ref="Y883" si="627">O883/W883</f>
        <v>0.61289645176725549</v>
      </c>
      <c r="Z883" s="807">
        <f t="shared" ref="Z883" si="628">-(E883-N883)</f>
        <v>0.1676143500218793</v>
      </c>
    </row>
    <row r="884" spans="1:26" ht="20.100000000000001" customHeight="1" x14ac:dyDescent="0.2">
      <c r="A884" s="776">
        <f t="shared" ref="A884" si="629">B884-$B$2</f>
        <v>1348</v>
      </c>
      <c r="B884" s="795">
        <v>43581</v>
      </c>
      <c r="C884" s="820">
        <v>2939.88</v>
      </c>
      <c r="D884" s="792">
        <f t="shared" ref="D884" si="630">(C884-C883)/C883</f>
        <v>4.6853053650334859E-3</v>
      </c>
      <c r="E884" s="819">
        <f t="shared" ref="E884" si="631">(C884-$C$2)/$C$2</f>
        <v>0.39831814463195148</v>
      </c>
      <c r="F884" s="816">
        <v>8146.39</v>
      </c>
      <c r="G884" s="792">
        <f t="shared" ref="G884" si="632">(F884-F883)/F883</f>
        <v>3.4131164179398666E-3</v>
      </c>
      <c r="H884" s="797">
        <f t="shared" ref="H884" si="633">(F884-F$2)/F$2</f>
        <v>0.59993518864033635</v>
      </c>
      <c r="I884" s="841">
        <v>313209.32</v>
      </c>
      <c r="J884" s="800">
        <v>200000</v>
      </c>
      <c r="K884" s="800">
        <f t="shared" ref="K884" si="634">I884-I883-J884+J883</f>
        <v>1327.0200000000186</v>
      </c>
      <c r="L884" s="792">
        <f t="shared" ref="L884" si="635">K884/I883</f>
        <v>4.2548743548448198E-3</v>
      </c>
      <c r="M884" s="817">
        <f t="shared" ref="M884" si="636">I884-J884</f>
        <v>113209.32</v>
      </c>
      <c r="N884" s="802">
        <f t="shared" ref="N884" si="637">M884/J884</f>
        <v>0.56604660000000007</v>
      </c>
      <c r="O884" s="786">
        <f t="shared" ref="O884" si="638">N884/(A884/365.25)</f>
        <v>0.15337427347922852</v>
      </c>
      <c r="P884" s="817" t="b">
        <f t="shared" ref="P884" si="639">L884&gt;D884</f>
        <v>0</v>
      </c>
      <c r="Q884" s="802">
        <f>COUNTIF(P$2:P884, TRUE)/(COUNTIF(P$2:P884,FALSE) + COUNTIF(P$2:P884, TRUE))</f>
        <v>0.49037372593431483</v>
      </c>
      <c r="R884" s="844">
        <v>193338.3</v>
      </c>
      <c r="S884" s="846">
        <f t="shared" ref="S884" si="640">I884-R884</f>
        <v>119871.02000000002</v>
      </c>
      <c r="T884" s="800">
        <v>-41003</v>
      </c>
      <c r="U884" s="800">
        <f t="shared" ref="U884" si="641">M884-T884</f>
        <v>154212.32</v>
      </c>
      <c r="V884" s="802">
        <f>STDEV(D$2:D884)*SQRT(252)</f>
        <v>0.14515411699714284</v>
      </c>
      <c r="W884" s="802">
        <f>STDEV(L$2:L884)*SQRT(252)</f>
        <v>0.24736265899936918</v>
      </c>
      <c r="X884" s="801">
        <f t="shared" ref="X884" si="642">E884/(A884/365.25)/V884</f>
        <v>0.74353439716482528</v>
      </c>
      <c r="Y884" s="801">
        <f t="shared" ref="Y884" si="643">O884/W884</f>
        <v>0.62003810154555161</v>
      </c>
      <c r="Z884" s="807">
        <f t="shared" ref="Z884" si="644">-(E884-N884)</f>
        <v>0.16772845536804859</v>
      </c>
    </row>
    <row r="885" spans="1:26" ht="20.100000000000001" customHeight="1" x14ac:dyDescent="0.2">
      <c r="A885" s="776">
        <f t="shared" ref="A885" si="645">B885-$B$2</f>
        <v>1351</v>
      </c>
      <c r="B885" s="795">
        <v>43584</v>
      </c>
      <c r="C885" s="820">
        <v>2943.03</v>
      </c>
      <c r="D885" s="792">
        <f t="shared" ref="D885" si="646">(C885-C884)/C884</f>
        <v>1.0714723049920715E-3</v>
      </c>
      <c r="E885" s="819">
        <f t="shared" ref="E885" si="647">(C885-$C$2)/$C$2</f>
        <v>0.3998164037974925</v>
      </c>
      <c r="F885" s="816">
        <v>8161.85</v>
      </c>
      <c r="G885" s="792">
        <f t="shared" ref="G885" si="648">(F885-F884)/F884</f>
        <v>1.897773124046361E-3</v>
      </c>
      <c r="H885" s="797">
        <f t="shared" ref="H885" si="649">(F885-F$2)/F$2</f>
        <v>0.60297150264155408</v>
      </c>
      <c r="I885" s="841">
        <v>313441.76</v>
      </c>
      <c r="J885" s="800">
        <v>200000</v>
      </c>
      <c r="K885" s="800">
        <f t="shared" ref="K885" si="650">I885-I884-J885+J884</f>
        <v>232.44000000000233</v>
      </c>
      <c r="L885" s="792">
        <f t="shared" ref="L885" si="651">K885/I884</f>
        <v>7.4212351024548803E-4</v>
      </c>
      <c r="M885" s="817">
        <f t="shared" ref="M885" si="652">I885-J885</f>
        <v>113441.76000000001</v>
      </c>
      <c r="N885" s="802">
        <f t="shared" ref="N885" si="653">M885/J885</f>
        <v>0.56720880000000007</v>
      </c>
      <c r="O885" s="786">
        <f t="shared" ref="O885" si="654">N885/(A885/365.25)</f>
        <v>0.15334790096225021</v>
      </c>
      <c r="P885" s="817" t="b">
        <f t="shared" ref="P885" si="655">L885&gt;D885</f>
        <v>0</v>
      </c>
      <c r="Q885" s="802">
        <f>COUNTIF(P$2:P885, TRUE)/(COUNTIF(P$2:P885,FALSE) + COUNTIF(P$2:P885, TRUE))</f>
        <v>0.48981900452488686</v>
      </c>
      <c r="R885" s="844">
        <v>190434.8</v>
      </c>
      <c r="S885" s="846">
        <f t="shared" ref="S885" si="656">I885-R885</f>
        <v>123006.96000000002</v>
      </c>
      <c r="T885" s="800">
        <v>-40856</v>
      </c>
      <c r="U885" s="800">
        <f t="shared" ref="U885" si="657">M885-T885</f>
        <v>154297.76</v>
      </c>
      <c r="V885" s="802">
        <f>STDEV(D$2:D885)*SQRT(252)</f>
        <v>0.1450722216914348</v>
      </c>
      <c r="W885" s="802">
        <f>STDEV(L$2:L885)*SQRT(252)</f>
        <v>0.24722240934696565</v>
      </c>
      <c r="X885" s="801">
        <f t="shared" ref="X885" si="658">E885/(A885/365.25)/V885</f>
        <v>0.74509426742846219</v>
      </c>
      <c r="Y885" s="801">
        <f t="shared" ref="Y885" si="659">O885/W885</f>
        <v>0.62028317484372242</v>
      </c>
      <c r="Z885" s="807">
        <f t="shared" ref="Z885" si="660">-(E885-N885)</f>
        <v>0.16739239620250757</v>
      </c>
    </row>
    <row r="886" spans="1:26" ht="20.100000000000001" customHeight="1" x14ac:dyDescent="0.2">
      <c r="A886" s="776">
        <f t="shared" ref="A886" si="661">B886-$B$2</f>
        <v>1352</v>
      </c>
      <c r="B886" s="795">
        <v>43585</v>
      </c>
      <c r="C886" s="820">
        <v>2945.83</v>
      </c>
      <c r="D886" s="792">
        <f t="shared" ref="D886" si="662">(C886-C885)/C885</f>
        <v>9.5140042745052781E-4</v>
      </c>
      <c r="E886" s="819">
        <f t="shared" ref="E886" si="663">(C886-$C$2)/$C$2</f>
        <v>0.40114818972241767</v>
      </c>
      <c r="F886" s="816">
        <v>8095.38</v>
      </c>
      <c r="G886" s="792">
        <f t="shared" ref="G886" si="664">(F886-F885)/F885</f>
        <v>-8.1439869637398698E-3</v>
      </c>
      <c r="H886" s="797">
        <f t="shared" ref="H886" si="665">(F886-F$2)/F$2</f>
        <v>0.58991692362079473</v>
      </c>
      <c r="I886" s="841">
        <v>314082.93</v>
      </c>
      <c r="J886" s="800">
        <v>200000</v>
      </c>
      <c r="K886" s="800">
        <f t="shared" ref="K886" si="666">I886-I885-J886+J885</f>
        <v>641.1699999999837</v>
      </c>
      <c r="L886" s="792">
        <f t="shared" ref="L886" si="667">K886/I885</f>
        <v>2.0455793765322902E-3</v>
      </c>
      <c r="M886" s="817">
        <f t="shared" ref="M886" si="668">I886-J886</f>
        <v>114082.93</v>
      </c>
      <c r="N886" s="802">
        <f t="shared" ref="N886" si="669">M886/J886</f>
        <v>0.57041464999999991</v>
      </c>
      <c r="O886" s="786">
        <f t="shared" ref="O886" si="670">N886/(A886/365.25)</f>
        <v>0.15410055540865381</v>
      </c>
      <c r="P886" s="817" t="b">
        <f t="shared" ref="P886" si="671">L886&gt;D886</f>
        <v>1</v>
      </c>
      <c r="Q886" s="802">
        <f>COUNTIF(P$2:P886, TRUE)/(COUNTIF(P$2:P886,FALSE) + COUNTIF(P$2:P886, TRUE))</f>
        <v>0.49039548022598872</v>
      </c>
      <c r="R886" s="844">
        <v>193929.88</v>
      </c>
      <c r="S886" s="846">
        <f t="shared" ref="S886" si="672">I886-R886</f>
        <v>120153.04999999999</v>
      </c>
      <c r="T886" s="800">
        <v>-40877</v>
      </c>
      <c r="U886" s="800">
        <f t="shared" ref="U886" si="673">M886-T886</f>
        <v>154959.93</v>
      </c>
      <c r="V886" s="802">
        <f>STDEV(D$2:D886)*SQRT(252)</f>
        <v>0.1449903258553164</v>
      </c>
      <c r="W886" s="802">
        <f>STDEV(L$2:L886)*SQRT(252)</f>
        <v>0.24708364614419251</v>
      </c>
      <c r="X886" s="801">
        <f t="shared" ref="X886" si="674">E886/(A886/365.25)/V886</f>
        <v>0.74744517681675404</v>
      </c>
      <c r="Y886" s="801">
        <f t="shared" ref="Y886" si="675">O886/W886</f>
        <v>0.62367768087218589</v>
      </c>
      <c r="Z886" s="807">
        <f t="shared" ref="Z886" si="676">-(E886-N886)</f>
        <v>0.16926646027758224</v>
      </c>
    </row>
    <row r="887" spans="1:26" ht="20.100000000000001" customHeight="1" x14ac:dyDescent="0.2">
      <c r="A887" s="776">
        <f t="shared" ref="A887" si="677">B887-$B$2</f>
        <v>1353</v>
      </c>
      <c r="B887" s="795">
        <v>43586</v>
      </c>
      <c r="C887" s="820">
        <v>2923.73</v>
      </c>
      <c r="D887" s="792">
        <f t="shared" ref="D887" si="678">(C887-C886)/C886</f>
        <v>-7.5021301297087438E-3</v>
      </c>
      <c r="E887" s="819">
        <f t="shared" ref="E887" si="679">(C887-$C$2)/$C$2</f>
        <v>0.39063659367211429</v>
      </c>
      <c r="F887" s="816">
        <v>8049.64</v>
      </c>
      <c r="G887" s="792">
        <f t="shared" ref="G887" si="680">(F887-F886)/F886</f>
        <v>-5.6501362505527574E-3</v>
      </c>
      <c r="H887" s="797">
        <f t="shared" ref="H887" si="681">(F887-F$2)/F$2</f>
        <v>0.58093367637527749</v>
      </c>
      <c r="I887" s="841">
        <v>312139.53000000003</v>
      </c>
      <c r="J887" s="800">
        <v>200000</v>
      </c>
      <c r="K887" s="800">
        <f t="shared" ref="K887" si="682">I887-I886-J887+J886</f>
        <v>-1943.3999999999651</v>
      </c>
      <c r="L887" s="792">
        <f t="shared" ref="L887" si="683">K887/I886</f>
        <v>-6.1875377945562506E-3</v>
      </c>
      <c r="M887" s="817">
        <f t="shared" ref="M887" si="684">I887-J887</f>
        <v>112139.53000000003</v>
      </c>
      <c r="N887" s="802">
        <f t="shared" ref="N887" si="685">M887/J887</f>
        <v>0.56069765000000016</v>
      </c>
      <c r="O887" s="786">
        <f t="shared" ref="O887" si="686">N887/(A887/365.25)</f>
        <v>0.1513635008592018</v>
      </c>
      <c r="P887" s="817" t="b">
        <f t="shared" ref="P887" si="687">L887&gt;D887</f>
        <v>1</v>
      </c>
      <c r="Q887" s="802">
        <f>COUNTIF(P$2:P887, TRUE)/(COUNTIF(P$2:P887,FALSE) + COUNTIF(P$2:P887, TRUE))</f>
        <v>0.49097065462753953</v>
      </c>
      <c r="R887" s="844">
        <v>193929.88</v>
      </c>
      <c r="S887" s="846">
        <f t="shared" ref="S887" si="688">I887-R887</f>
        <v>118209.65000000002</v>
      </c>
      <c r="T887" s="800">
        <v>-40877</v>
      </c>
      <c r="U887" s="800">
        <f t="shared" ref="U887" si="689">M887-T887</f>
        <v>153016.53000000003</v>
      </c>
      <c r="V887" s="802">
        <f>STDEV(D$2:D887)*SQRT(252)</f>
        <v>0.14496999485701381</v>
      </c>
      <c r="W887" s="802">
        <f>STDEV(L$2:L887)*SQRT(252)</f>
        <v>0.24697014457340391</v>
      </c>
      <c r="X887" s="801">
        <f t="shared" ref="X887" si="690">E887/(A887/365.25)/V887</f>
        <v>0.72742333518699898</v>
      </c>
      <c r="Y887" s="801">
        <f t="shared" ref="Y887" si="691">O887/W887</f>
        <v>0.61288177613798123</v>
      </c>
      <c r="Z887" s="807">
        <f t="shared" ref="Z887" si="692">-(E887-N887)</f>
        <v>0.17006105632788587</v>
      </c>
    </row>
    <row r="888" spans="1:26" ht="20.100000000000001" customHeight="1" x14ac:dyDescent="0.2">
      <c r="A888" s="776">
        <f t="shared" ref="A888" si="693">B888-$B$2</f>
        <v>1354</v>
      </c>
      <c r="B888" s="795">
        <v>43587</v>
      </c>
      <c r="C888" s="820">
        <v>2917.52</v>
      </c>
      <c r="D888" s="792">
        <f t="shared" ref="D888" si="694">(C888-C887)/C887</f>
        <v>-2.1239991380873186E-3</v>
      </c>
      <c r="E888" s="819">
        <f t="shared" ref="E888" si="695">(C888-$C$2)/$C$2</f>
        <v>0.38768288274576201</v>
      </c>
      <c r="F888" s="816">
        <v>8036.77</v>
      </c>
      <c r="G888" s="792">
        <f t="shared" ref="G888" si="696">(F888-F887)/F887</f>
        <v>-1.5988292644142955E-3</v>
      </c>
      <c r="H888" s="797">
        <f t="shared" ref="H888" si="697">(F888-F$2)/F$2</f>
        <v>0.57840603334839069</v>
      </c>
      <c r="I888" s="841">
        <v>308787.27</v>
      </c>
      <c r="J888" s="800">
        <v>200000</v>
      </c>
      <c r="K888" s="800">
        <f t="shared" ref="K888" si="698">I888-I887-J888+J887</f>
        <v>-3352.2600000000093</v>
      </c>
      <c r="L888" s="792">
        <f t="shared" ref="L888" si="699">K888/I887</f>
        <v>-1.0739620194853272E-2</v>
      </c>
      <c r="M888" s="817">
        <f t="shared" ref="M888" si="700">I888-J888</f>
        <v>108787.27000000002</v>
      </c>
      <c r="N888" s="802">
        <f t="shared" ref="N888" si="701">M888/J888</f>
        <v>0.54393635000000007</v>
      </c>
      <c r="O888" s="786">
        <f t="shared" ref="O888" si="702">N888/(A888/365.25)</f>
        <v>0.14673024507939442</v>
      </c>
      <c r="P888" s="817" t="b">
        <f t="shared" ref="P888" si="703">L888&gt;D888</f>
        <v>0</v>
      </c>
      <c r="Q888" s="802">
        <f>COUNTIF(P$2:P888, TRUE)/(COUNTIF(P$2:P888,FALSE) + COUNTIF(P$2:P888, TRUE))</f>
        <v>0.4904171364148816</v>
      </c>
      <c r="R888" s="844">
        <v>197549.5</v>
      </c>
      <c r="S888" s="846">
        <f t="shared" ref="S888" si="704">I888-R888</f>
        <v>111237.77000000002</v>
      </c>
      <c r="T888" s="800">
        <v>-41619</v>
      </c>
      <c r="U888" s="800">
        <f t="shared" ref="U888" si="705">M888-T888</f>
        <v>150406.27000000002</v>
      </c>
      <c r="V888" s="802">
        <f>STDEV(D$2:D888)*SQRT(252)</f>
        <v>0.14489439181395231</v>
      </c>
      <c r="W888" s="802">
        <f>STDEV(L$2:L888)*SQRT(252)</f>
        <v>0.24690409989403062</v>
      </c>
      <c r="X888" s="801">
        <f t="shared" ref="X888" si="706">E888/(A888/365.25)/V888</f>
        <v>0.72176631591183038</v>
      </c>
      <c r="Y888" s="801">
        <f t="shared" ref="Y888" si="707">O888/W888</f>
        <v>0.5942803102191091</v>
      </c>
      <c r="Z888" s="807">
        <f t="shared" ref="Z888" si="708">-(E888-N888)</f>
        <v>0.15625346725423805</v>
      </c>
    </row>
    <row r="889" spans="1:26" ht="20.100000000000001" customHeight="1" x14ac:dyDescent="0.2">
      <c r="A889" s="776">
        <f t="shared" ref="A889" si="709">B889-$B$2</f>
        <v>1355</v>
      </c>
      <c r="B889" s="795">
        <v>43588</v>
      </c>
      <c r="C889" s="820">
        <v>2945.64</v>
      </c>
      <c r="D889" s="792">
        <f t="shared" ref="D889" si="710">(C889-C888)/C888</f>
        <v>9.6383229592256064E-3</v>
      </c>
      <c r="E889" s="819">
        <f t="shared" ref="E889" si="711">(C889-$C$2)/$C$2</f>
        <v>0.40105781853465489</v>
      </c>
      <c r="F889" s="816">
        <v>8163.99</v>
      </c>
      <c r="G889" s="792">
        <f t="shared" ref="G889" si="712">(F889-F888)/F888</f>
        <v>1.5829742545823675E-2</v>
      </c>
      <c r="H889" s="797">
        <f t="shared" ref="H889" si="713">(F889-F$2)/F$2</f>
        <v>0.60339179448907043</v>
      </c>
      <c r="I889" s="841">
        <v>312595.8</v>
      </c>
      <c r="J889" s="800">
        <v>200000</v>
      </c>
      <c r="K889" s="800">
        <f t="shared" ref="K889" si="714">I889-I888-J889+J888</f>
        <v>3808.5299999999697</v>
      </c>
      <c r="L889" s="792">
        <f t="shared" ref="L889" si="715">K889/I888</f>
        <v>1.2333830989859036E-2</v>
      </c>
      <c r="M889" s="817">
        <f t="shared" ref="M889" si="716">I889-J889</f>
        <v>112595.79999999999</v>
      </c>
      <c r="N889" s="802">
        <f t="shared" ref="N889" si="717">M889/J889</f>
        <v>0.5629789999999999</v>
      </c>
      <c r="O889" s="786">
        <f t="shared" ref="O889" si="718">N889/(A889/365.25)</f>
        <v>0.15175504040590404</v>
      </c>
      <c r="P889" s="817" t="b">
        <f t="shared" ref="P889" si="719">L889&gt;D889</f>
        <v>1</v>
      </c>
      <c r="Q889" s="802">
        <f>COUNTIF(P$2:P889, TRUE)/(COUNTIF(P$2:P889,FALSE) + COUNTIF(P$2:P889, TRUE))</f>
        <v>0.49099099099099097</v>
      </c>
      <c r="R889" s="844">
        <v>198002.1</v>
      </c>
      <c r="S889" s="846">
        <f t="shared" ref="S889" si="720">I889-R889</f>
        <v>114593.69999999998</v>
      </c>
      <c r="T889" s="800">
        <v>-41339</v>
      </c>
      <c r="U889" s="800">
        <f t="shared" ref="U889" si="721">M889-T889</f>
        <v>153934.79999999999</v>
      </c>
      <c r="V889" s="802">
        <f>STDEV(D$2:D889)*SQRT(252)</f>
        <v>0.14489608741419618</v>
      </c>
      <c r="W889" s="802">
        <f>STDEV(L$2:L889)*SQRT(252)</f>
        <v>0.24684471182503409</v>
      </c>
      <c r="X889" s="801">
        <f t="shared" ref="X889" si="722">E889/(A889/365.25)/V889</f>
        <v>0.74610724661855865</v>
      </c>
      <c r="Y889" s="801">
        <f t="shared" ref="Y889" si="723">O889/W889</f>
        <v>0.61477938613272576</v>
      </c>
      <c r="Z889" s="807">
        <f t="shared" ref="Z889" si="724">-(E889-N889)</f>
        <v>0.16192118146534501</v>
      </c>
    </row>
    <row r="890" spans="1:26" ht="20.100000000000001" customHeight="1" x14ac:dyDescent="0.2">
      <c r="A890" s="776">
        <f t="shared" ref="A890" si="725">B890-$B$2</f>
        <v>1358</v>
      </c>
      <c r="B890" s="795">
        <v>43591</v>
      </c>
      <c r="C890" s="820">
        <v>2932.47</v>
      </c>
      <c r="D890" s="792">
        <f t="shared" ref="D890" si="726">(C890-C889)/C889</f>
        <v>-4.4710147879578202E-3</v>
      </c>
      <c r="E890" s="819">
        <f t="shared" ref="E890" si="727">(C890-$C$2)/$C$2</f>
        <v>0.39479366830920248</v>
      </c>
      <c r="F890" s="816">
        <v>8123.28</v>
      </c>
      <c r="G890" s="792">
        <f t="shared" ref="G890" si="728">(F890-F889)/F889</f>
        <v>-4.9865323205932439E-3</v>
      </c>
      <c r="H890" s="797">
        <f t="shared" ref="H890" si="729">(F890-F$2)/F$2</f>
        <v>0.59539642948327676</v>
      </c>
      <c r="I890" s="841">
        <v>311204.36</v>
      </c>
      <c r="J890" s="800">
        <v>200000</v>
      </c>
      <c r="K890" s="800">
        <f t="shared" ref="K890" si="730">I890-I889-J890+J889</f>
        <v>-1391.4400000000023</v>
      </c>
      <c r="L890" s="792">
        <f t="shared" ref="L890" si="731">K890/I889</f>
        <v>-4.451243426815083E-3</v>
      </c>
      <c r="M890" s="817">
        <f t="shared" ref="M890" si="732">I890-J890</f>
        <v>111204.35999999999</v>
      </c>
      <c r="N890" s="802">
        <f t="shared" ref="N890" si="733">M890/J890</f>
        <v>0.5560217999999999</v>
      </c>
      <c r="O890" s="786">
        <f t="shared" ref="O890" si="734">N890/(A890/365.25)</f>
        <v>0.1495485732326951</v>
      </c>
      <c r="P890" s="817" t="b">
        <f t="shared" ref="P890" si="735">L890&gt;D890</f>
        <v>1</v>
      </c>
      <c r="Q890" s="802">
        <f>COUNTIF(P$2:P890, TRUE)/(COUNTIF(P$2:P890,FALSE) + COUNTIF(P$2:P890, TRUE))</f>
        <v>0.49156355455568052</v>
      </c>
      <c r="R890" s="844">
        <v>196610.66</v>
      </c>
      <c r="S890" s="846">
        <f t="shared" ref="S890" si="736">I890-R890</f>
        <v>114593.69999999998</v>
      </c>
      <c r="T890" s="800">
        <v>-41206</v>
      </c>
      <c r="U890" s="800">
        <f t="shared" ref="U890" si="737">M890-T890</f>
        <v>152410.35999999999</v>
      </c>
      <c r="V890" s="802">
        <f>STDEV(D$2:D890)*SQRT(252)</f>
        <v>0.14483784217238554</v>
      </c>
      <c r="W890" s="802">
        <f>STDEV(L$2:L890)*SQRT(252)</f>
        <v>0.24671996081490044</v>
      </c>
      <c r="X890" s="801">
        <f t="shared" ref="X890" si="738">E890/(A890/365.25)/V890</f>
        <v>0.73312594208268145</v>
      </c>
      <c r="Y890" s="801">
        <f t="shared" ref="Y890" si="739">O890/W890</f>
        <v>0.60614703706479856</v>
      </c>
      <c r="Z890" s="807">
        <f t="shared" ref="Z890" si="740">-(E890-N890)</f>
        <v>0.16122813169079742</v>
      </c>
    </row>
    <row r="891" spans="1:26" ht="20.100000000000001" customHeight="1" x14ac:dyDescent="0.2">
      <c r="A891" s="776">
        <f t="shared" ref="A891" si="741">B891-$B$2</f>
        <v>1359</v>
      </c>
      <c r="B891" s="795">
        <v>43592</v>
      </c>
      <c r="C891" s="820">
        <v>2884.05</v>
      </c>
      <c r="D891" s="792">
        <f t="shared" ref="D891" si="742">(C891-C890)/C890</f>
        <v>-1.6511677868827172E-2</v>
      </c>
      <c r="E891" s="819">
        <f t="shared" ref="E891" si="743">(C891-$C$2)/$C$2</f>
        <v>0.37176328456460117</v>
      </c>
      <c r="F891" s="816">
        <v>7963.75</v>
      </c>
      <c r="G891" s="792">
        <f t="shared" ref="G891" si="744">(F891-F890)/F890</f>
        <v>-1.9638618883012743E-2</v>
      </c>
      <c r="H891" s="797">
        <f t="shared" ref="H891" si="745">(F891-F$2)/F$2</f>
        <v>0.56406504703733529</v>
      </c>
      <c r="I891" s="841">
        <v>308040.06</v>
      </c>
      <c r="J891" s="800">
        <v>200000</v>
      </c>
      <c r="K891" s="800">
        <f t="shared" ref="K891" si="746">I891-I890-J891+J890</f>
        <v>-3164.2999999999884</v>
      </c>
      <c r="L891" s="792">
        <f t="shared" ref="L891" si="747">K891/I890</f>
        <v>-1.0167916670576172E-2</v>
      </c>
      <c r="M891" s="817">
        <f t="shared" ref="M891" si="748">I891-J891</f>
        <v>108040.06</v>
      </c>
      <c r="N891" s="802">
        <f t="shared" ref="N891" si="749">M891/J891</f>
        <v>0.54020029999999997</v>
      </c>
      <c r="O891" s="786">
        <f t="shared" ref="O891" si="750">N891/(A891/365.25)</f>
        <v>0.14518628371964679</v>
      </c>
      <c r="P891" s="817" t="b">
        <f t="shared" ref="P891" si="751">L891&gt;D891</f>
        <v>1</v>
      </c>
      <c r="Q891" s="802">
        <f>COUNTIF(P$2:P891, TRUE)/(COUNTIF(P$2:P891,FALSE) + COUNTIF(P$2:P891, TRUE))</f>
        <v>0.49213483146067416</v>
      </c>
      <c r="R891" s="844">
        <v>186858.5</v>
      </c>
      <c r="S891" s="846">
        <f t="shared" ref="S891" si="752">I891-R891</f>
        <v>121181.56</v>
      </c>
      <c r="T891" s="800">
        <v>-41395</v>
      </c>
      <c r="U891" s="800">
        <f t="shared" ref="U891" si="753">M891-T891</f>
        <v>149435.06</v>
      </c>
      <c r="V891" s="802">
        <f>STDEV(D$2:D891)*SQRT(252)</f>
        <v>0.14503656761320463</v>
      </c>
      <c r="W891" s="802">
        <f>STDEV(L$2:L891)*SQRT(252)</f>
        <v>0.24664705684350771</v>
      </c>
      <c r="X891" s="801">
        <f t="shared" ref="X891" si="754">E891/(A891/365.25)/V891</f>
        <v>0.68890565707257889</v>
      </c>
      <c r="Y891" s="801">
        <f t="shared" ref="Y891" si="755">O891/W891</f>
        <v>0.58863983855183155</v>
      </c>
      <c r="Z891" s="807">
        <f t="shared" ref="Z891" si="756">-(E891-N891)</f>
        <v>0.1684370154353988</v>
      </c>
    </row>
    <row r="892" spans="1:26" ht="20.100000000000001" customHeight="1" x14ac:dyDescent="0.2">
      <c r="A892" s="776">
        <f t="shared" ref="A892" si="757">B892-$B$2</f>
        <v>1360</v>
      </c>
      <c r="B892" s="795">
        <v>43593</v>
      </c>
      <c r="C892" s="820">
        <v>2879.42</v>
      </c>
      <c r="D892" s="792">
        <f t="shared" ref="D892" si="758">(C892-C891)/C891</f>
        <v>-1.6053813214056999E-3</v>
      </c>
      <c r="E892" s="819">
        <f t="shared" ref="E892" si="759">(C892-$C$2)/$C$2</f>
        <v>0.36956108141017102</v>
      </c>
      <c r="F892" s="816">
        <v>7943.31</v>
      </c>
      <c r="G892" s="792">
        <f t="shared" ref="G892" si="760">(F892-F891)/F891</f>
        <v>-2.5666300423794822E-3</v>
      </c>
      <c r="H892" s="797">
        <f t="shared" ref="H892" si="761">(F892-F$2)/F$2</f>
        <v>0.56005067069937364</v>
      </c>
      <c r="I892" s="841">
        <v>308089.84000000003</v>
      </c>
      <c r="J892" s="800">
        <v>200000</v>
      </c>
      <c r="K892" s="800">
        <f t="shared" ref="K892" si="762">I892-I891-J892+J891</f>
        <v>49.78000000002794</v>
      </c>
      <c r="L892" s="792">
        <f t="shared" ref="L892" si="763">K892/I891</f>
        <v>1.6160235782329072E-4</v>
      </c>
      <c r="M892" s="817">
        <f t="shared" ref="M892" si="764">I892-J892</f>
        <v>108089.84000000003</v>
      </c>
      <c r="N892" s="802">
        <f t="shared" ref="N892" si="765">M892/J892</f>
        <v>0.54044920000000007</v>
      </c>
      <c r="O892" s="786">
        <f t="shared" ref="O892" si="766">N892/(A892/365.25)</f>
        <v>0.14514637522058826</v>
      </c>
      <c r="P892" s="817" t="b">
        <f t="shared" ref="P892" si="767">L892&gt;D892</f>
        <v>1</v>
      </c>
      <c r="Q892" s="802">
        <f>COUNTIF(P$2:P892, TRUE)/(COUNTIF(P$2:P892,FALSE) + COUNTIF(P$2:P892, TRUE))</f>
        <v>0.49270482603815935</v>
      </c>
      <c r="R892" s="844">
        <v>186908.28</v>
      </c>
      <c r="S892" s="846">
        <f t="shared" ref="S892" si="768">I892-R892</f>
        <v>121181.56000000003</v>
      </c>
      <c r="T892" s="800">
        <v>-41444</v>
      </c>
      <c r="U892" s="800">
        <f t="shared" ref="U892" si="769">M892-T892</f>
        <v>149533.84000000003</v>
      </c>
      <c r="V892" s="802">
        <f>STDEV(D$2:D892)*SQRT(252)</f>
        <v>0.14495888901519272</v>
      </c>
      <c r="W892" s="802">
        <f>STDEV(L$2:L892)*SQRT(252)</f>
        <v>0.24650837874149417</v>
      </c>
      <c r="X892" s="801">
        <f t="shared" ref="X892" si="770">E892/(A892/365.25)/V892</f>
        <v>0.68468796415970845</v>
      </c>
      <c r="Y892" s="801">
        <f t="shared" ref="Y892" si="771">O892/W892</f>
        <v>0.58880909428558958</v>
      </c>
      <c r="Z892" s="807">
        <f t="shared" ref="Z892" si="772">-(E892-N892)</f>
        <v>0.17088811858982905</v>
      </c>
    </row>
    <row r="893" spans="1:26" ht="20.100000000000001" customHeight="1" x14ac:dyDescent="0.2">
      <c r="A893" s="776">
        <f t="shared" ref="A893" si="773">B893-$B$2</f>
        <v>1361</v>
      </c>
      <c r="B893" s="795">
        <v>43594</v>
      </c>
      <c r="C893" s="820">
        <v>2870.72</v>
      </c>
      <c r="D893" s="792">
        <f t="shared" ref="D893" si="774">(C893-C892)/C892</f>
        <v>-3.0214418181440266E-3</v>
      </c>
      <c r="E893" s="819">
        <f t="shared" ref="E893" si="775">(C893-$C$2)/$C$2</f>
        <v>0.3654230322862958</v>
      </c>
      <c r="F893" s="816">
        <v>7910.58</v>
      </c>
      <c r="G893" s="792">
        <f t="shared" ref="G893" si="776">(F893-F892)/F892</f>
        <v>-4.1204485283843221E-3</v>
      </c>
      <c r="H893" s="797">
        <f t="shared" ref="H893" si="777">(F893-F$2)/F$2</f>
        <v>0.55362256220908546</v>
      </c>
      <c r="I893" s="841">
        <v>306512.14</v>
      </c>
      <c r="J893" s="800">
        <v>200000</v>
      </c>
      <c r="K893" s="800">
        <f t="shared" ref="K893" si="778">I893-I892-J893+J892</f>
        <v>-1577.7000000000116</v>
      </c>
      <c r="L893" s="792">
        <f t="shared" ref="L893" si="779">K893/I892</f>
        <v>-5.120908888134745E-3</v>
      </c>
      <c r="M893" s="817">
        <f t="shared" ref="M893" si="780">I893-J893</f>
        <v>106512.14000000001</v>
      </c>
      <c r="N893" s="802">
        <f t="shared" ref="N893" si="781">M893/J893</f>
        <v>0.53256070000000011</v>
      </c>
      <c r="O893" s="786">
        <f t="shared" ref="O893" si="782">N893/(A893/365.25)</f>
        <v>0.14292270071638505</v>
      </c>
      <c r="P893" s="817" t="b">
        <f t="shared" ref="P893" si="783">L893&gt;D893</f>
        <v>0</v>
      </c>
      <c r="Q893" s="802">
        <f>COUNTIF(P$2:P893, TRUE)/(COUNTIF(P$2:P893,FALSE) + COUNTIF(P$2:P893, TRUE))</f>
        <v>0.49215246636771298</v>
      </c>
      <c r="R893" s="844">
        <v>185330.58</v>
      </c>
      <c r="S893" s="846">
        <f t="shared" ref="S893" si="784">I893-R893</f>
        <v>121181.56000000003</v>
      </c>
      <c r="T893" s="800">
        <v>-41339</v>
      </c>
      <c r="U893" s="800">
        <f t="shared" ref="U893" si="785">M893-T893</f>
        <v>147851.14000000001</v>
      </c>
      <c r="V893" s="802">
        <f>STDEV(D$2:D893)*SQRT(252)</f>
        <v>0.1448888216943805</v>
      </c>
      <c r="W893" s="802">
        <f>STDEV(L$2:L893)*SQRT(252)</f>
        <v>0.24638824745292387</v>
      </c>
      <c r="X893" s="801">
        <f t="shared" ref="X893" si="786">E893/(A893/365.25)/V893</f>
        <v>0.67685109513030239</v>
      </c>
      <c r="Y893" s="801">
        <f t="shared" ref="Y893" si="787">O893/W893</f>
        <v>0.58007109589791839</v>
      </c>
      <c r="Z893" s="807">
        <f t="shared" ref="Z893" si="788">-(E893-N893)</f>
        <v>0.16713766771370431</v>
      </c>
    </row>
    <row r="894" spans="1:26" ht="20.100000000000001" customHeight="1" x14ac:dyDescent="0.2">
      <c r="A894" s="776">
        <f t="shared" ref="A894" si="789">B894-$B$2</f>
        <v>1362</v>
      </c>
      <c r="B894" s="795">
        <v>43595</v>
      </c>
      <c r="C894" s="820">
        <v>2881.4</v>
      </c>
      <c r="D894" s="792">
        <f t="shared" ref="D894" si="790">(C894-C893)/C893</f>
        <v>3.7203210344444221E-3</v>
      </c>
      <c r="E894" s="819">
        <f t="shared" ref="E894" si="791">(C894-$C$2)/$C$2</f>
        <v>0.37050284431422537</v>
      </c>
      <c r="F894" s="816">
        <v>7916.94</v>
      </c>
      <c r="G894" s="792">
        <f t="shared" ref="G894" si="792">(F894-F893)/F893</f>
        <v>8.0398655977180847E-4</v>
      </c>
      <c r="H894" s="797">
        <f t="shared" ref="H894" si="793">(F894-F$2)/F$2</f>
        <v>0.55487165386805981</v>
      </c>
      <c r="I894" s="841">
        <v>306372.58</v>
      </c>
      <c r="J894" s="800">
        <v>200000</v>
      </c>
      <c r="K894" s="800">
        <f t="shared" ref="K894" si="794">I894-I893-J894+J893</f>
        <v>-139.55999999999767</v>
      </c>
      <c r="L894" s="792">
        <f t="shared" ref="L894" si="795">K894/I893</f>
        <v>-4.553163864896107E-4</v>
      </c>
      <c r="M894" s="817">
        <f t="shared" ref="M894" si="796">I894-J894</f>
        <v>106372.58000000002</v>
      </c>
      <c r="N894" s="802">
        <f t="shared" ref="N894" si="797">M894/J894</f>
        <v>0.53186290000000003</v>
      </c>
      <c r="O894" s="786">
        <f t="shared" ref="O894" si="798">N894/(A894/365.25)</f>
        <v>0.14263063452643171</v>
      </c>
      <c r="P894" s="817" t="b">
        <f t="shared" ref="P894" si="799">L894&gt;D894</f>
        <v>0</v>
      </c>
      <c r="Q894" s="802">
        <f>COUNTIF(P$2:P894, TRUE)/(COUNTIF(P$2:P894,FALSE) + COUNTIF(P$2:P894, TRUE))</f>
        <v>0.49160134378499443</v>
      </c>
      <c r="R894" s="844">
        <v>185191.02</v>
      </c>
      <c r="S894" s="846">
        <f t="shared" ref="S894" si="800">I894-R894</f>
        <v>121181.56000000003</v>
      </c>
      <c r="T894" s="800">
        <v>-41290</v>
      </c>
      <c r="U894" s="800">
        <f t="shared" ref="U894" si="801">M894-T894</f>
        <v>147662.58000000002</v>
      </c>
      <c r="V894" s="802">
        <f>STDEV(D$2:D894)*SQRT(252)</f>
        <v>0.14481830250305269</v>
      </c>
      <c r="W894" s="802">
        <f>STDEV(L$2:L894)*SQRT(252)</f>
        <v>0.2462505050290556</v>
      </c>
      <c r="X894" s="801">
        <f t="shared" ref="X894" si="802">E894/(A894/365.25)/V894</f>
        <v>0.68609019186515274</v>
      </c>
      <c r="Y894" s="801">
        <f t="shared" ref="Y894" si="803">O894/W894</f>
        <v>0.57920951069563265</v>
      </c>
      <c r="Z894" s="807">
        <f t="shared" ref="Z894" si="804">-(E894-N894)</f>
        <v>0.16136005568577466</v>
      </c>
    </row>
    <row r="895" spans="1:26" ht="20.100000000000001" customHeight="1" x14ac:dyDescent="0.2">
      <c r="A895" s="776">
        <f t="shared" ref="A895" si="805">B895-$B$2</f>
        <v>1365</v>
      </c>
      <c r="B895" s="795">
        <v>43598</v>
      </c>
      <c r="C895" s="820">
        <v>2811.87</v>
      </c>
      <c r="D895" s="792">
        <f t="shared" ref="D895" si="806">(C895-C894)/C894</f>
        <v>-2.4130630943291525E-2</v>
      </c>
      <c r="E895" s="819">
        <f t="shared" ref="E895" si="807">(C895-$C$2)/$C$2</f>
        <v>0.33743174597134751</v>
      </c>
      <c r="F895" s="816">
        <v>7647.02</v>
      </c>
      <c r="G895" s="792">
        <f t="shared" ref="G895" si="808">(F895-F894)/F894</f>
        <v>-3.4093980755190663E-2</v>
      </c>
      <c r="H895" s="797">
        <f t="shared" ref="H895" si="809">(F895-F$2)/F$2</f>
        <v>0.50185988962429062</v>
      </c>
      <c r="I895" s="841">
        <v>300130.46000000002</v>
      </c>
      <c r="J895" s="800">
        <v>200000</v>
      </c>
      <c r="K895" s="800">
        <f t="shared" ref="K895" si="810">I895-I894-J895+J894</f>
        <v>-6242.1199999999953</v>
      </c>
      <c r="L895" s="792">
        <f t="shared" ref="L895" si="811">K895/I894</f>
        <v>-2.037427761975303E-2</v>
      </c>
      <c r="M895" s="817">
        <f t="shared" ref="M895" si="812">I895-J895</f>
        <v>100130.46000000002</v>
      </c>
      <c r="N895" s="802">
        <f t="shared" ref="N895" si="813">M895/J895</f>
        <v>0.50065230000000005</v>
      </c>
      <c r="O895" s="786">
        <f t="shared" ref="O895" si="814">N895/(A895/365.25)</f>
        <v>0.1339657528021978</v>
      </c>
      <c r="P895" s="817" t="b">
        <f t="shared" ref="P895" si="815">L895&gt;D895</f>
        <v>1</v>
      </c>
      <c r="Q895" s="802">
        <f>COUNTIF(P$2:P895, TRUE)/(COUNTIF(P$2:P895,FALSE) + COUNTIF(P$2:P895, TRUE))</f>
        <v>0.49217002237136465</v>
      </c>
      <c r="R895" s="844">
        <v>188872.9</v>
      </c>
      <c r="S895" s="846">
        <f t="shared" ref="S895" si="816">I895-R895</f>
        <v>111257.56000000003</v>
      </c>
      <c r="T895" s="800">
        <v>-41766</v>
      </c>
      <c r="U895" s="800">
        <f t="shared" ref="U895" si="817">M895-T895</f>
        <v>141896.46000000002</v>
      </c>
      <c r="V895" s="802">
        <f>STDEV(D$2:D895)*SQRT(252)</f>
        <v>0.14532230010110933</v>
      </c>
      <c r="W895" s="802">
        <f>STDEV(L$2:L895)*SQRT(252)</f>
        <v>0.24636290245249015</v>
      </c>
      <c r="X895" s="801">
        <f t="shared" ref="X895" si="818">E895/(A895/365.25)/V895</f>
        <v>0.62131415683104863</v>
      </c>
      <c r="Y895" s="801">
        <f t="shared" ref="Y895" si="819">O895/W895</f>
        <v>0.54377404823777165</v>
      </c>
      <c r="Z895" s="807">
        <f t="shared" ref="Z895" si="820">-(E895-N895)</f>
        <v>0.16322055402865254</v>
      </c>
    </row>
    <row r="896" spans="1:26" ht="20.100000000000001" customHeight="1" x14ac:dyDescent="0.2">
      <c r="A896" s="776">
        <f t="shared" ref="A896" si="821">B896-$B$2</f>
        <v>1366</v>
      </c>
      <c r="B896" s="795">
        <v>43599</v>
      </c>
      <c r="C896" s="820">
        <v>2834.41</v>
      </c>
      <c r="D896" s="792">
        <f t="shared" ref="D896" si="822">(C896-C895)/C895</f>
        <v>8.0160178102116966E-3</v>
      </c>
      <c r="E896" s="819">
        <f t="shared" ref="E896" si="823">(C896-$C$2)/$C$2</f>
        <v>0.34815262266699631</v>
      </c>
      <c r="F896" s="816">
        <v>7734.49</v>
      </c>
      <c r="G896" s="792">
        <f t="shared" ref="G896" si="824">(F896-F895)/F895</f>
        <v>1.1438442687478173E-2</v>
      </c>
      <c r="H896" s="797">
        <f t="shared" ref="H896" si="825">(F896-F$2)/F$2</f>
        <v>0.51903882789638045</v>
      </c>
      <c r="I896" s="841">
        <v>302326.94</v>
      </c>
      <c r="J896" s="800">
        <v>200000</v>
      </c>
      <c r="K896" s="800">
        <f t="shared" ref="K896" si="826">I896-I895-J896+J895</f>
        <v>2196.4799999999814</v>
      </c>
      <c r="L896" s="792">
        <f t="shared" ref="L896" si="827">K896/I895</f>
        <v>7.3184174641920093E-3</v>
      </c>
      <c r="M896" s="817">
        <f t="shared" ref="M896" si="828">I896-J896</f>
        <v>102326.94</v>
      </c>
      <c r="N896" s="802">
        <f t="shared" ref="N896" si="829">M896/J896</f>
        <v>0.5116347</v>
      </c>
      <c r="O896" s="786">
        <f t="shared" ref="O896" si="830">N896/(A896/365.25)</f>
        <v>0.13680422706808198</v>
      </c>
      <c r="P896" s="817" t="b">
        <f t="shared" ref="P896" si="831">L896&gt;D896</f>
        <v>0</v>
      </c>
      <c r="Q896" s="802">
        <f>COUNTIF(P$2:P896, TRUE)/(COUNTIF(P$2:P896,FALSE) + COUNTIF(P$2:P896, TRUE))</f>
        <v>0.49162011173184356</v>
      </c>
      <c r="R896" s="844">
        <v>191069.38</v>
      </c>
      <c r="S896" s="846">
        <f t="shared" ref="S896" si="832">I896-R896</f>
        <v>111257.56</v>
      </c>
      <c r="T896" s="800">
        <v>-41546</v>
      </c>
      <c r="U896" s="800">
        <f t="shared" ref="U896" si="833">M896-T896</f>
        <v>143872.94</v>
      </c>
      <c r="V896" s="802">
        <f>STDEV(D$2:D896)*SQRT(252)</f>
        <v>0.1452976658899926</v>
      </c>
      <c r="W896" s="802">
        <f>STDEV(L$2:L896)*SQRT(252)</f>
        <v>0.24625145894301553</v>
      </c>
      <c r="X896" s="801">
        <f t="shared" ref="X896" si="834">E896/(A896/365.25)/V896</f>
        <v>0.64069385506100252</v>
      </c>
      <c r="Y896" s="801">
        <f t="shared" ref="Y896" si="835">O896/W896</f>
        <v>0.55554686926642549</v>
      </c>
      <c r="Z896" s="807">
        <f t="shared" ref="Z896" si="836">-(E896-N896)</f>
        <v>0.16348207733300368</v>
      </c>
    </row>
    <row r="897" spans="1:26" ht="20.100000000000001" customHeight="1" x14ac:dyDescent="0.2">
      <c r="A897" s="776">
        <f t="shared" ref="A897" si="837">B897-$B$2</f>
        <v>1367</v>
      </c>
      <c r="B897" s="795">
        <v>43600</v>
      </c>
      <c r="C897" s="820">
        <v>2850.96</v>
      </c>
      <c r="D897" s="792">
        <f t="shared" ref="D897" si="838">(C897-C896)/C896</f>
        <v>5.8389576666749632E-3</v>
      </c>
      <c r="E897" s="819">
        <f t="shared" ref="E897" si="839">(C897-$C$2)/$C$2</f>
        <v>0.35602442875896573</v>
      </c>
      <c r="F897" s="816">
        <v>7822.14</v>
      </c>
      <c r="G897" s="792">
        <f t="shared" ref="G897" si="840">(F897-F896)/F896</f>
        <v>1.1332356755261246E-2</v>
      </c>
      <c r="H897" s="797">
        <f t="shared" ref="H897" si="841">(F897-F$2)/F$2</f>
        <v>0.53625311781919605</v>
      </c>
      <c r="I897" s="841">
        <v>301641.46000000002</v>
      </c>
      <c r="J897" s="800">
        <v>200000</v>
      </c>
      <c r="K897" s="800">
        <f t="shared" ref="K897" si="842">I897-I896-J897+J896</f>
        <v>-685.47999999998137</v>
      </c>
      <c r="L897" s="792">
        <f t="shared" ref="L897" si="843">K897/I896</f>
        <v>-2.2673467339694615E-3</v>
      </c>
      <c r="M897" s="817">
        <f t="shared" ref="M897" si="844">I897-J897</f>
        <v>101641.46000000002</v>
      </c>
      <c r="N897" s="802">
        <f t="shared" ref="N897" si="845">M897/J897</f>
        <v>0.50820730000000014</v>
      </c>
      <c r="O897" s="786">
        <f t="shared" ref="O897" si="846">N897/(A897/365.25)</f>
        <v>0.13578838063277254</v>
      </c>
      <c r="P897" s="817" t="b">
        <f t="shared" ref="P897" si="847">L897&gt;D897</f>
        <v>0</v>
      </c>
      <c r="Q897" s="802">
        <f>COUNTIF(P$2:P897, TRUE)/(COUNTIF(P$2:P897,FALSE) + COUNTIF(P$2:P897, TRUE))</f>
        <v>0.49107142857142855</v>
      </c>
      <c r="R897" s="844">
        <v>190383.9</v>
      </c>
      <c r="S897" s="846">
        <f t="shared" ref="S897" si="848">I897-R897</f>
        <v>111257.56000000003</v>
      </c>
      <c r="T897" s="800">
        <v>-41455</v>
      </c>
      <c r="U897" s="800">
        <f t="shared" ref="U897" si="849">M897-T897</f>
        <v>143096.46000000002</v>
      </c>
      <c r="V897" s="802">
        <f>STDEV(D$2:D897)*SQRT(252)</f>
        <v>0.14524530946432906</v>
      </c>
      <c r="W897" s="802">
        <f>STDEV(L$2:L897)*SQRT(252)</f>
        <v>0.24611813068994468</v>
      </c>
      <c r="X897" s="801">
        <f t="shared" ref="X897" si="850">E897/(A897/365.25)/V897</f>
        <v>0.65493679783862335</v>
      </c>
      <c r="Y897" s="801">
        <f t="shared" ref="Y897" si="851">O897/W897</f>
        <v>0.55172034767254252</v>
      </c>
      <c r="Z897" s="807">
        <f t="shared" ref="Z897" si="852">-(E897-N897)</f>
        <v>0.15218287124103441</v>
      </c>
    </row>
    <row r="898" spans="1:26" ht="20.100000000000001" customHeight="1" x14ac:dyDescent="0.2">
      <c r="A898" s="776">
        <f t="shared" ref="A898" si="853">B898-$B$2</f>
        <v>1368</v>
      </c>
      <c r="B898" s="795">
        <v>43601</v>
      </c>
      <c r="C898" s="820">
        <v>2876.32</v>
      </c>
      <c r="D898" s="792">
        <f t="shared" ref="D898" si="854">(C898-C897)/C897</f>
        <v>8.8952493195275026E-3</v>
      </c>
      <c r="E898" s="819">
        <f t="shared" ref="E898" si="855">(C898-$C$2)/$C$2</f>
        <v>0.36808660413614663</v>
      </c>
      <c r="F898" s="816">
        <v>7898.04</v>
      </c>
      <c r="G898" s="792">
        <f t="shared" ref="G898" si="856">(F898-F897)/F897</f>
        <v>9.7032269941473345E-3</v>
      </c>
      <c r="H898" s="797">
        <f t="shared" ref="H898" si="857">(F898-F$2)/F$2</f>
        <v>0.55115973054186229</v>
      </c>
      <c r="I898" s="841">
        <v>302556.53999999998</v>
      </c>
      <c r="J898" s="800">
        <v>200000</v>
      </c>
      <c r="K898" s="800">
        <f t="shared" ref="K898" si="858">I898-I897-J898+J897</f>
        <v>915.07999999995809</v>
      </c>
      <c r="L898" s="792">
        <f t="shared" ref="L898" si="859">K898/I897</f>
        <v>3.0336678518926344E-3</v>
      </c>
      <c r="M898" s="817">
        <f t="shared" ref="M898" si="860">I898-J898</f>
        <v>102556.53999999998</v>
      </c>
      <c r="N898" s="802">
        <f t="shared" ref="N898" si="861">M898/J898</f>
        <v>0.51278269999999992</v>
      </c>
      <c r="O898" s="786">
        <f t="shared" ref="O898" si="862">N898/(A898/365.25)</f>
        <v>0.13691073185307015</v>
      </c>
      <c r="P898" s="817" t="b">
        <f t="shared" ref="P898" si="863">L898&gt;D898</f>
        <v>0</v>
      </c>
      <c r="Q898" s="802">
        <f>COUNTIF(P$2:P898, TRUE)/(COUNTIF(P$2:P898,FALSE) + COUNTIF(P$2:P898, TRUE))</f>
        <v>0.49052396878483834</v>
      </c>
      <c r="R898" s="844">
        <v>197112.98</v>
      </c>
      <c r="S898" s="846">
        <f t="shared" ref="S898" si="864">I898-R898</f>
        <v>105443.55999999997</v>
      </c>
      <c r="T898" s="800">
        <v>-41423</v>
      </c>
      <c r="U898" s="800">
        <f t="shared" ref="U898" si="865">M898-T898</f>
        <v>143979.53999999998</v>
      </c>
      <c r="V898" s="802">
        <f>STDEV(D$2:D898)*SQRT(252)</f>
        <v>0.14523433350287379</v>
      </c>
      <c r="W898" s="802">
        <f>STDEV(L$2:L898)*SQRT(252)</f>
        <v>0.24598422571340819</v>
      </c>
      <c r="X898" s="801">
        <f t="shared" ref="X898" si="866">E898/(A898/365.25)/V898</f>
        <v>0.67668234169626351</v>
      </c>
      <c r="Y898" s="801">
        <f t="shared" ref="Y898" si="867">O898/W898</f>
        <v>0.55658338032042098</v>
      </c>
      <c r="Z898" s="807">
        <f t="shared" ref="Z898" si="868">-(E898-N898)</f>
        <v>0.14469609586385329</v>
      </c>
    </row>
    <row r="899" spans="1:26" ht="20.100000000000001" customHeight="1" x14ac:dyDescent="0.2">
      <c r="A899" s="776">
        <f t="shared" ref="A899" si="869">B899-$B$2</f>
        <v>1369</v>
      </c>
      <c r="B899" s="795">
        <v>43602</v>
      </c>
      <c r="C899" s="820">
        <v>2859.53</v>
      </c>
      <c r="D899" s="792">
        <f t="shared" ref="D899" si="870">(C899-C898)/C898</f>
        <v>-5.8373199087723071E-3</v>
      </c>
      <c r="E899" s="819">
        <f t="shared" ref="E899" si="871">(C899-$C$2)/$C$2</f>
        <v>0.36010064496489796</v>
      </c>
      <c r="F899" s="816">
        <v>7816.28</v>
      </c>
      <c r="G899" s="792">
        <f t="shared" ref="G899" si="872">(F899-F898)/F898</f>
        <v>-1.0351935416888268E-2</v>
      </c>
      <c r="H899" s="797">
        <f t="shared" ref="H899" si="873">(F899-F$2)/F$2</f>
        <v>0.53510222519001516</v>
      </c>
      <c r="I899" s="841">
        <v>301348.26</v>
      </c>
      <c r="J899" s="800">
        <v>200000</v>
      </c>
      <c r="K899" s="800">
        <f t="shared" ref="K899" si="874">I899-I898-J899+J898</f>
        <v>-1208.2799999999697</v>
      </c>
      <c r="L899" s="792">
        <f t="shared" ref="L899" si="875">K899/I898</f>
        <v>-3.9935676154941807E-3</v>
      </c>
      <c r="M899" s="817">
        <f t="shared" ref="M899" si="876">I899-J899</f>
        <v>101348.26000000001</v>
      </c>
      <c r="N899" s="802">
        <f t="shared" ref="N899" si="877">M899/J899</f>
        <v>0.50674130000000006</v>
      </c>
      <c r="O899" s="786">
        <f t="shared" ref="O899" si="878">N899/(A899/365.25)</f>
        <v>0.13519887496347702</v>
      </c>
      <c r="P899" s="817" t="b">
        <f t="shared" ref="P899" si="879">L899&gt;D899</f>
        <v>1</v>
      </c>
      <c r="Q899" s="802">
        <f>COUNTIF(P$2:P899, TRUE)/(COUNTIF(P$2:P899,FALSE) + COUNTIF(P$2:P899, TRUE))</f>
        <v>0.49109131403118039</v>
      </c>
      <c r="R899" s="844">
        <v>195904.7</v>
      </c>
      <c r="S899" s="846">
        <f t="shared" ref="S899" si="880">I899-R899</f>
        <v>105443.56</v>
      </c>
      <c r="T899" s="800">
        <v>-41374</v>
      </c>
      <c r="U899" s="800">
        <f t="shared" ref="U899" si="881">M899-T899</f>
        <v>142722.26</v>
      </c>
      <c r="V899" s="802">
        <f>STDEV(D$2:D899)*SQRT(252)</f>
        <v>0.14519080810987667</v>
      </c>
      <c r="W899" s="802">
        <f>STDEV(L$2:L899)*SQRT(252)</f>
        <v>0.24585854247458633</v>
      </c>
      <c r="X899" s="801">
        <f t="shared" ref="X899" si="882">E899/(A899/365.25)/V899</f>
        <v>0.66171587415696487</v>
      </c>
      <c r="Y899" s="801">
        <f t="shared" ref="Y899" si="883">O899/W899</f>
        <v>0.54990513489053217</v>
      </c>
      <c r="Z899" s="807">
        <f t="shared" ref="Z899" si="884">-(E899-N899)</f>
        <v>0.1466406550351021</v>
      </c>
    </row>
    <row r="900" spans="1:26" ht="20.100000000000001" customHeight="1" x14ac:dyDescent="0.2">
      <c r="A900" s="776">
        <f t="shared" ref="A900" si="885">B900-$B$2</f>
        <v>1372</v>
      </c>
      <c r="B900" s="795">
        <v>43605</v>
      </c>
      <c r="C900" s="820">
        <v>2840.23</v>
      </c>
      <c r="D900" s="792">
        <f t="shared" ref="D900" si="886">(C900-C899)/C899</f>
        <v>-6.7493609089606266E-3</v>
      </c>
      <c r="E900" s="819">
        <f t="shared" ref="E900" si="887">(C900-$C$2)/$C$2</f>
        <v>0.35092083483951975</v>
      </c>
      <c r="F900" s="816">
        <v>7702.37</v>
      </c>
      <c r="G900" s="792">
        <f t="shared" ref="G900" si="888">(F900-F899)/F899</f>
        <v>-1.4573428792213157E-2</v>
      </c>
      <c r="H900" s="797">
        <f t="shared" ref="H900" si="889">(F900-F$2)/F$2</f>
        <v>0.51273052222244042</v>
      </c>
      <c r="I900" s="841">
        <v>300301.14</v>
      </c>
      <c r="J900" s="800">
        <v>200000</v>
      </c>
      <c r="K900" s="800">
        <f t="shared" ref="K900" si="890">I900-I899-J900+J899</f>
        <v>-1047.1199999999953</v>
      </c>
      <c r="L900" s="792">
        <f t="shared" ref="L900" si="891">K900/I899</f>
        <v>-3.4747836274216259E-3</v>
      </c>
      <c r="M900" s="817">
        <f t="shared" ref="M900" si="892">I900-J900</f>
        <v>100301.14000000001</v>
      </c>
      <c r="N900" s="802">
        <f t="shared" ref="N900" si="893">M900/J900</f>
        <v>0.50150570000000005</v>
      </c>
      <c r="O900" s="786">
        <f t="shared" ref="O900" si="894">N900/(A900/365.25)</f>
        <v>0.13350944382288632</v>
      </c>
      <c r="P900" s="817" t="b">
        <f t="shared" ref="P900" si="895">L900&gt;D900</f>
        <v>1</v>
      </c>
      <c r="Q900" s="802">
        <f>COUNTIF(P$2:P900, TRUE)/(COUNTIF(P$2:P900,FALSE) + COUNTIF(P$2:P900, TRUE))</f>
        <v>0.49165739710789769</v>
      </c>
      <c r="R900" s="844">
        <v>198241.08</v>
      </c>
      <c r="S900" s="846">
        <f t="shared" ref="S900" si="896">I900-R900</f>
        <v>102060.06000000003</v>
      </c>
      <c r="T900" s="800">
        <v>-41892</v>
      </c>
      <c r="U900" s="800">
        <f t="shared" ref="U900" si="897">M900-T900</f>
        <v>142193.14000000001</v>
      </c>
      <c r="V900" s="802">
        <f>STDEV(D$2:D900)*SQRT(252)</f>
        <v>0.14515905827705936</v>
      </c>
      <c r="W900" s="802">
        <f>STDEV(L$2:L900)*SQRT(252)</f>
        <v>0.24573053404916037</v>
      </c>
      <c r="X900" s="801">
        <f t="shared" ref="X900" si="898">E900/(A900/365.25)/V900</f>
        <v>0.64357790406415594</v>
      </c>
      <c r="Y900" s="801">
        <f t="shared" ref="Y900" si="899">O900/W900</f>
        <v>0.54331645979403065</v>
      </c>
      <c r="Z900" s="807">
        <f t="shared" ref="Z900" si="900">-(E900-N900)</f>
        <v>0.15058486516048031</v>
      </c>
    </row>
    <row r="901" spans="1:26" ht="20.100000000000001" customHeight="1" x14ac:dyDescent="0.2">
      <c r="A901" s="776">
        <f t="shared" ref="A901" si="901">B901-$B$2</f>
        <v>1373</v>
      </c>
      <c r="B901" s="795">
        <v>43606</v>
      </c>
      <c r="C901" s="820">
        <v>2864.36</v>
      </c>
      <c r="D901" s="792">
        <f t="shared" ref="D901" si="902">(C901-C900)/C900</f>
        <v>8.4957908338409594E-3</v>
      </c>
      <c r="E901" s="819">
        <f t="shared" ref="E901" si="903">(C901-$C$2)/$C$2</f>
        <v>0.36239797568539411</v>
      </c>
      <c r="F901" s="816">
        <v>7785.72</v>
      </c>
      <c r="G901" s="792">
        <f t="shared" ref="G901" si="904">(F901-F900)/F900</f>
        <v>1.0821344599129926E-2</v>
      </c>
      <c r="H901" s="797">
        <f t="shared" ref="H901" si="905">(F901-F$2)/F$2</f>
        <v>0.52910030048903123</v>
      </c>
      <c r="I901" s="841">
        <v>303500.03999999998</v>
      </c>
      <c r="J901" s="800">
        <v>200000</v>
      </c>
      <c r="K901" s="800">
        <f t="shared" ref="K901" si="906">I901-I900-J901+J900</f>
        <v>3198.8999999999651</v>
      </c>
      <c r="L901" s="792">
        <f t="shared" ref="L901" si="907">K901/I900</f>
        <v>1.0652307214018452E-2</v>
      </c>
      <c r="M901" s="817">
        <f t="shared" ref="M901" si="908">I901-J901</f>
        <v>103500.03999999998</v>
      </c>
      <c r="N901" s="802">
        <f t="shared" ref="N901" si="909">M901/J901</f>
        <v>0.51750019999999985</v>
      </c>
      <c r="O901" s="786">
        <f t="shared" ref="O901" si="910">N901/(A901/365.25)</f>
        <v>0.13766711438455934</v>
      </c>
      <c r="P901" s="817" t="b">
        <f t="shared" ref="P901" si="911">L901&gt;D901</f>
        <v>1</v>
      </c>
      <c r="Q901" s="802">
        <f>COUNTIF(P$2:P901, TRUE)/(COUNTIF(P$2:P901,FALSE) + COUNTIF(P$2:P901, TRUE))</f>
        <v>0.49222222222222223</v>
      </c>
      <c r="R901" s="844">
        <v>199528.88</v>
      </c>
      <c r="S901" s="846">
        <f t="shared" ref="S901" si="912">I901-R901</f>
        <v>103971.15999999997</v>
      </c>
      <c r="T901" s="800">
        <v>-41759</v>
      </c>
      <c r="U901" s="800">
        <f t="shared" ref="U901" si="913">M901-T901</f>
        <v>145259.03999999998</v>
      </c>
      <c r="V901" s="802">
        <f>STDEV(D$2:D901)*SQRT(252)</f>
        <v>0.14514187990773372</v>
      </c>
      <c r="W901" s="802">
        <f>STDEV(L$2:L901)*SQRT(252)</f>
        <v>0.24565240309826983</v>
      </c>
      <c r="X901" s="801">
        <f t="shared" ref="X901" si="914">E901/(A901/365.25)/V901</f>
        <v>0.66422115979442264</v>
      </c>
      <c r="Y901" s="801">
        <f t="shared" ref="Y901" si="915">O901/W901</f>
        <v>0.56041427907174801</v>
      </c>
      <c r="Z901" s="807">
        <f t="shared" ref="Z901" si="916">-(E901-N901)</f>
        <v>0.15510222431460574</v>
      </c>
    </row>
    <row r="902" spans="1:26" ht="20.100000000000001" customHeight="1" x14ac:dyDescent="0.2">
      <c r="A902" s="776">
        <f t="shared" ref="A902" si="917">B902-$B$2</f>
        <v>1374</v>
      </c>
      <c r="B902" s="795">
        <v>43607</v>
      </c>
      <c r="C902" s="820">
        <v>2856.27</v>
      </c>
      <c r="D902" s="792">
        <f t="shared" ref="D902" si="918">(C902-C901)/C901</f>
        <v>-2.8243656523621839E-3</v>
      </c>
      <c r="E902" s="819">
        <f t="shared" ref="E902" si="919">(C902-$C$2)/$C$2</f>
        <v>0.35855006563802055</v>
      </c>
      <c r="F902" s="816">
        <v>7750.84</v>
      </c>
      <c r="G902" s="792">
        <f t="shared" ref="G902" si="920">(F902-F901)/F901</f>
        <v>-4.4799967119290331E-3</v>
      </c>
      <c r="H902" s="797">
        <f t="shared" ref="H902" si="921">(F902-F$2)/F$2</f>
        <v>0.52224993617063076</v>
      </c>
      <c r="I902" s="841">
        <v>301520.19</v>
      </c>
      <c r="J902" s="800">
        <v>200000</v>
      </c>
      <c r="K902" s="800">
        <f t="shared" ref="K902" si="922">I902-I901-J902+J901</f>
        <v>-1979.8499999999767</v>
      </c>
      <c r="L902" s="792">
        <f t="shared" ref="L902" si="923">K902/I901</f>
        <v>-6.5233928799481441E-3</v>
      </c>
      <c r="M902" s="817">
        <f t="shared" ref="M902" si="924">I902-J902</f>
        <v>101520.19</v>
      </c>
      <c r="N902" s="802">
        <f t="shared" ref="N902" si="925">M902/J902</f>
        <v>0.50760095000000005</v>
      </c>
      <c r="O902" s="786">
        <f t="shared" ref="O902" si="926">N902/(A902/365.25)</f>
        <v>0.13493540537663756</v>
      </c>
      <c r="P902" s="817" t="b">
        <f t="shared" ref="P902" si="927">L902&gt;D902</f>
        <v>0</v>
      </c>
      <c r="Q902" s="802">
        <f>COUNTIF(P$2:P902, TRUE)/(COUNTIF(P$2:P902,FALSE) + COUNTIF(P$2:P902, TRUE))</f>
        <v>0.49167591564927859</v>
      </c>
      <c r="R902" s="844">
        <v>204348.48</v>
      </c>
      <c r="S902" s="846">
        <f t="shared" ref="S902" si="928">I902-R902</f>
        <v>97171.709999999992</v>
      </c>
      <c r="T902" s="800">
        <v>-41829</v>
      </c>
      <c r="U902" s="800">
        <f t="shared" ref="U902" si="929">M902-T902</f>
        <v>143349.19</v>
      </c>
      <c r="V902" s="802">
        <f>STDEV(D$2:D902)*SQRT(252)</f>
        <v>0.14507107876069966</v>
      </c>
      <c r="W902" s="802">
        <f>STDEV(L$2:L902)*SQRT(252)</f>
        <v>0.24554401539452675</v>
      </c>
      <c r="X902" s="801">
        <f t="shared" ref="X902" si="930">E902/(A902/365.25)/V902</f>
        <v>0.65701072303543806</v>
      </c>
      <c r="Y902" s="801">
        <f t="shared" ref="Y902" si="931">O902/W902</f>
        <v>0.54953652671937736</v>
      </c>
      <c r="Z902" s="807">
        <f t="shared" ref="Z902" si="932">-(E902-N902)</f>
        <v>0.1490508843619795</v>
      </c>
    </row>
    <row r="903" spans="1:26" ht="20.100000000000001" customHeight="1" x14ac:dyDescent="0.2">
      <c r="A903" s="776">
        <f t="shared" ref="A903" si="933">B903-$B$2</f>
        <v>1375</v>
      </c>
      <c r="B903" s="795">
        <v>43608</v>
      </c>
      <c r="C903" s="820">
        <v>2822.24</v>
      </c>
      <c r="D903" s="792">
        <f t="shared" ref="D903" si="934">(C903-C902)/C902</f>
        <v>-1.1914139769699713E-2</v>
      </c>
      <c r="E903" s="819">
        <f t="shared" ref="E903" si="935">(C903-$C$2)/$C$2</f>
        <v>0.34236411027187447</v>
      </c>
      <c r="F903" s="816">
        <v>7628.28</v>
      </c>
      <c r="G903" s="792">
        <f t="shared" ref="G903" si="936">(F903-F902)/F902</f>
        <v>-1.5812479679621873E-2</v>
      </c>
      <c r="H903" s="797">
        <f t="shared" ref="H903" si="937">(F903-F$2)/F$2</f>
        <v>0.49817938998762695</v>
      </c>
      <c r="I903" s="841">
        <v>295844.55</v>
      </c>
      <c r="J903" s="800">
        <v>200000</v>
      </c>
      <c r="K903" s="800">
        <f t="shared" ref="K903" si="938">I903-I902-J903+J902</f>
        <v>-5675.640000000014</v>
      </c>
      <c r="L903" s="792">
        <f t="shared" ref="L903" si="939">K903/I902</f>
        <v>-1.8823416103578385E-2</v>
      </c>
      <c r="M903" s="817">
        <f t="shared" ref="M903" si="940">I903-J903</f>
        <v>95844.549999999988</v>
      </c>
      <c r="N903" s="802">
        <f t="shared" ref="N903" si="941">M903/J903</f>
        <v>0.47922274999999992</v>
      </c>
      <c r="O903" s="786">
        <f t="shared" ref="O903" si="942">N903/(A903/365.25)</f>
        <v>0.12729898868181816</v>
      </c>
      <c r="P903" s="817" t="b">
        <f t="shared" ref="P903" si="943">L903&gt;D903</f>
        <v>0</v>
      </c>
      <c r="Q903" s="802">
        <f>COUNTIF(P$2:P903, TRUE)/(COUNTIF(P$2:P903,FALSE) + COUNTIF(P$2:P903, TRUE))</f>
        <v>0.4911308203991131</v>
      </c>
      <c r="R903" s="844">
        <v>211127.96</v>
      </c>
      <c r="S903" s="846">
        <f t="shared" ref="S903" si="944">I903-R903</f>
        <v>84716.59</v>
      </c>
      <c r="T903" s="800">
        <v>-42130</v>
      </c>
      <c r="U903" s="800">
        <f t="shared" ref="U903" si="945">M903-T903</f>
        <v>137974.54999999999</v>
      </c>
      <c r="V903" s="802">
        <f>STDEV(D$2:D903)*SQRT(252)</f>
        <v>0.14513622298618384</v>
      </c>
      <c r="W903" s="802">
        <f>STDEV(L$2:L903)*SQRT(252)</f>
        <v>0.24562048626922267</v>
      </c>
      <c r="X903" s="801">
        <f t="shared" ref="X903" si="946">E903/(A903/365.25)/V903</f>
        <v>0.62661377994435707</v>
      </c>
      <c r="Y903" s="801">
        <f t="shared" ref="Y903" si="947">O903/W903</f>
        <v>0.51827512686497468</v>
      </c>
      <c r="Z903" s="807">
        <f t="shared" ref="Z903" si="948">-(E903-N903)</f>
        <v>0.13685863972812545</v>
      </c>
    </row>
    <row r="904" spans="1:26" ht="20.100000000000001" customHeight="1" x14ac:dyDescent="0.2">
      <c r="A904" s="776">
        <f t="shared" ref="A904" si="949">B904-$B$2</f>
        <v>1376</v>
      </c>
      <c r="B904" s="795">
        <v>43609</v>
      </c>
      <c r="C904" s="820">
        <v>2826.06</v>
      </c>
      <c r="D904" s="792">
        <f t="shared" ref="D904" si="950">(C904-C903)/C903</f>
        <v>1.353534780883328E-3</v>
      </c>
      <c r="E904" s="819">
        <f t="shared" ref="E904" si="951">(C904-$C$2)/$C$2</f>
        <v>0.34418104678373695</v>
      </c>
      <c r="F904" s="816">
        <v>7637</v>
      </c>
      <c r="G904" s="792">
        <f t="shared" ref="G904" si="952">(F904-F903)/F903</f>
        <v>1.1431148306040491E-3</v>
      </c>
      <c r="H904" s="797">
        <f t="shared" ref="H904" si="953">(F904-F$2)/F$2</f>
        <v>0.4998919810672271</v>
      </c>
      <c r="I904" s="841">
        <v>295352.09000000003</v>
      </c>
      <c r="J904" s="800">
        <v>200000</v>
      </c>
      <c r="K904" s="800">
        <f t="shared" ref="K904" si="954">I904-I903-J904+J903</f>
        <v>-492.45999999996275</v>
      </c>
      <c r="L904" s="792">
        <f t="shared" ref="L904" si="955">K904/I903</f>
        <v>-1.6645904073607669E-3</v>
      </c>
      <c r="M904" s="817">
        <f t="shared" ref="M904" si="956">I904-J904</f>
        <v>95352.090000000026</v>
      </c>
      <c r="N904" s="802">
        <f t="shared" ref="N904" si="957">M904/J904</f>
        <v>0.47676045000000011</v>
      </c>
      <c r="O904" s="786">
        <f t="shared" ref="O904" si="958">N904/(A904/365.25)</f>
        <v>0.12655287380995642</v>
      </c>
      <c r="P904" s="817" t="b">
        <f t="shared" ref="P904" si="959">L904&gt;D904</f>
        <v>0</v>
      </c>
      <c r="Q904" s="802">
        <f>COUNTIF(P$2:P904, TRUE)/(COUNTIF(P$2:P904,FALSE) + COUNTIF(P$2:P904, TRUE))</f>
        <v>0.49058693244739754</v>
      </c>
      <c r="R904" s="844">
        <v>210635.5</v>
      </c>
      <c r="S904" s="846">
        <f t="shared" ref="S904" si="960">I904-R904</f>
        <v>84716.590000000026</v>
      </c>
      <c r="T904" s="800">
        <v>-42368</v>
      </c>
      <c r="U904" s="800">
        <f t="shared" ref="U904" si="961">M904-T904</f>
        <v>137720.09000000003</v>
      </c>
      <c r="V904" s="802">
        <f>STDEV(D$2:D904)*SQRT(252)</f>
        <v>0.14505659308303423</v>
      </c>
      <c r="W904" s="802">
        <f>STDEV(L$2:L904)*SQRT(252)</f>
        <v>0.24548678394339588</v>
      </c>
      <c r="X904" s="801">
        <f t="shared" ref="X904" si="962">E904/(A904/365.25)/V904</f>
        <v>0.62982699177250467</v>
      </c>
      <c r="Y904" s="801">
        <f t="shared" ref="Y904" si="963">O904/W904</f>
        <v>0.51551807301828867</v>
      </c>
      <c r="Z904" s="807">
        <f t="shared" ref="Z904" si="964">-(E904-N904)</f>
        <v>0.13257940321626316</v>
      </c>
    </row>
    <row r="905" spans="1:26" ht="20.100000000000001" customHeight="1" x14ac:dyDescent="0.2">
      <c r="A905" s="776">
        <f t="shared" ref="A905" si="965">B905-$B$2</f>
        <v>1380</v>
      </c>
      <c r="B905" s="795">
        <v>43613</v>
      </c>
      <c r="C905" s="820">
        <v>2802.39</v>
      </c>
      <c r="D905" s="792">
        <f t="shared" ref="D905" si="966">(C905-C904)/C904</f>
        <v>-8.375618352052E-3</v>
      </c>
      <c r="E905" s="819">
        <f t="shared" ref="E905" si="967">(C905-$C$2)/$C$2</f>
        <v>0.33292269933981461</v>
      </c>
      <c r="F905" s="816">
        <v>7607.35</v>
      </c>
      <c r="G905" s="792">
        <f t="shared" ref="G905" si="968">(F905-F904)/F904</f>
        <v>-3.8824145606913235E-3</v>
      </c>
      <c r="H905" s="797">
        <f t="shared" ref="H905" si="969">(F905-F$2)/F$2</f>
        <v>0.49406877860046755</v>
      </c>
      <c r="I905" s="841">
        <v>289554.75</v>
      </c>
      <c r="J905" s="800">
        <v>200000</v>
      </c>
      <c r="K905" s="800">
        <f t="shared" ref="K905" si="970">I905-I904-J905+J904</f>
        <v>-5797.3400000000256</v>
      </c>
      <c r="L905" s="792">
        <f t="shared" ref="L905" si="971">K905/I904</f>
        <v>-1.9628572799332569E-2</v>
      </c>
      <c r="M905" s="817">
        <f t="shared" ref="M905" si="972">I905-J905</f>
        <v>89554.75</v>
      </c>
      <c r="N905" s="802">
        <f t="shared" ref="N905" si="973">M905/J905</f>
        <v>0.44777375000000003</v>
      </c>
      <c r="O905" s="786">
        <f t="shared" ref="O905" si="974">N905/(A905/365.25)</f>
        <v>0.11851403057065218</v>
      </c>
      <c r="P905" s="817" t="b">
        <f t="shared" ref="P905" si="975">L905&gt;D905</f>
        <v>0</v>
      </c>
      <c r="Q905" s="802">
        <f>COUNTIF(P$2:P905, TRUE)/(COUNTIF(P$2:P905,FALSE) + COUNTIF(P$2:P905, TRUE))</f>
        <v>0.49004424778761063</v>
      </c>
      <c r="R905" s="844">
        <v>211466.16</v>
      </c>
      <c r="S905" s="846">
        <f t="shared" ref="S905" si="976">I905-R905</f>
        <v>78088.59</v>
      </c>
      <c r="T905" s="800">
        <v>-43825</v>
      </c>
      <c r="U905" s="800">
        <f t="shared" ref="U905" si="977">M905-T905</f>
        <v>133379.75</v>
      </c>
      <c r="V905" s="802">
        <f>STDEV(D$2:D905)*SQRT(252)</f>
        <v>0.14504975381192564</v>
      </c>
      <c r="W905" s="802">
        <f>STDEV(L$2:L905)*SQRT(252)</f>
        <v>0.24558068044554449</v>
      </c>
      <c r="X905" s="801">
        <f t="shared" ref="X905" si="978">E905/(A905/365.25)/V905</f>
        <v>0.60748778442960361</v>
      </c>
      <c r="Y905" s="801">
        <f t="shared" ref="Y905" si="979">O905/W905</f>
        <v>0.48258694599118396</v>
      </c>
      <c r="Z905" s="807">
        <f t="shared" ref="Z905" si="980">-(E905-N905)</f>
        <v>0.11485105066018542</v>
      </c>
    </row>
    <row r="906" spans="1:26" ht="20.100000000000001" customHeight="1" x14ac:dyDescent="0.2">
      <c r="A906" s="776">
        <f t="shared" ref="A906" si="981">B906-$B$2</f>
        <v>1381</v>
      </c>
      <c r="B906" s="795">
        <v>43614</v>
      </c>
      <c r="C906" s="820">
        <v>2783.02</v>
      </c>
      <c r="D906" s="792">
        <f t="shared" ref="D906" si="982">(C906-C905)/C905</f>
        <v>-6.9119572935957847E-3</v>
      </c>
      <c r="E906" s="819">
        <f t="shared" ref="E906" si="983">(C906-$C$2)/$C$2</f>
        <v>0.32370959456631337</v>
      </c>
      <c r="F906" s="816">
        <v>7547.3</v>
      </c>
      <c r="G906" s="792">
        <f t="shared" ref="G906" si="984">(F906-F905)/F905</f>
        <v>-7.8936817682899018E-3</v>
      </c>
      <c r="H906" s="797">
        <f t="shared" ref="H906" si="985">(F906-F$2)/F$2</f>
        <v>0.48227507512225787</v>
      </c>
      <c r="I906" s="841">
        <v>288093.69</v>
      </c>
      <c r="J906" s="800">
        <v>200000</v>
      </c>
      <c r="K906" s="800">
        <f t="shared" ref="K906" si="986">I906-I905-J906+J905</f>
        <v>-1461.0599999999977</v>
      </c>
      <c r="L906" s="792">
        <f t="shared" ref="L906" si="987">K906/I905</f>
        <v>-5.0458851046304631E-3</v>
      </c>
      <c r="M906" s="817">
        <f t="shared" ref="M906" si="988">I906-J906</f>
        <v>88093.69</v>
      </c>
      <c r="N906" s="802">
        <f t="shared" ref="N906" si="989">M906/J906</f>
        <v>0.44046845000000001</v>
      </c>
      <c r="O906" s="786">
        <f t="shared" ref="O906" si="990">N906/(A906/365.25)</f>
        <v>0.11649609077661116</v>
      </c>
      <c r="P906" s="817" t="b">
        <f t="shared" ref="P906" si="991">L906&gt;D906</f>
        <v>1</v>
      </c>
      <c r="Q906" s="802">
        <f>COUNTIF(P$2:P906, TRUE)/(COUNTIF(P$2:P906,FALSE) + COUNTIF(P$2:P906, TRUE))</f>
        <v>0.49060773480662984</v>
      </c>
      <c r="R906" s="844">
        <v>209993.36</v>
      </c>
      <c r="S906" s="846">
        <f t="shared" ref="S906" si="992">I906-R906</f>
        <v>78100.330000000016</v>
      </c>
      <c r="T906" s="800">
        <v>-44129</v>
      </c>
      <c r="U906" s="800">
        <f t="shared" ref="U906" si="993">M906-T906</f>
        <v>132222.69</v>
      </c>
      <c r="V906" s="802">
        <f>STDEV(D$2:D906)*SQRT(252)</f>
        <v>0.1450202499838853</v>
      </c>
      <c r="W906" s="802">
        <f>STDEV(L$2:L906)*SQRT(252)</f>
        <v>0.2454619055738802</v>
      </c>
      <c r="X906" s="801">
        <f t="shared" ref="X906" si="994">E906/(A906/365.25)/V906</f>
        <v>0.59036889617573718</v>
      </c>
      <c r="Y906" s="801">
        <f t="shared" ref="Y906" si="995">O906/W906</f>
        <v>0.47459947198017516</v>
      </c>
      <c r="Z906" s="807">
        <f t="shared" ref="Z906" si="996">-(E906-N906)</f>
        <v>0.11675885543368664</v>
      </c>
    </row>
    <row r="907" spans="1:26" ht="20.100000000000001" customHeight="1" x14ac:dyDescent="0.2">
      <c r="A907" s="776">
        <f t="shared" ref="A907" si="997">B907-$B$2</f>
        <v>1382</v>
      </c>
      <c r="B907" s="795">
        <v>43615</v>
      </c>
      <c r="C907" s="820">
        <v>2788.86</v>
      </c>
      <c r="D907" s="792">
        <f t="shared" ref="D907" si="998">(C907-C906)/C906</f>
        <v>2.0984398243635138E-3</v>
      </c>
      <c r="E907" s="819">
        <f t="shared" ref="E907" si="999">(C907-$C$2)/$C$2</f>
        <v>0.32648731949544341</v>
      </c>
      <c r="F907" s="816">
        <v>7567.71</v>
      </c>
      <c r="G907" s="792">
        <f t="shared" ref="G907" si="1000">(F907-F906)/F906</f>
        <v>2.7042783511984224E-3</v>
      </c>
      <c r="H907" s="797">
        <f t="shared" ref="H907" si="1001">(F907-F$2)/F$2</f>
        <v>0.486283559518432</v>
      </c>
      <c r="I907" s="841">
        <v>283348.55</v>
      </c>
      <c r="J907" s="800">
        <v>200000</v>
      </c>
      <c r="K907" s="800">
        <f t="shared" ref="K907" si="1002">I907-I906-J907+J906</f>
        <v>-4745.140000000014</v>
      </c>
      <c r="L907" s="792">
        <f t="shared" ref="L907" si="1003">K907/I906</f>
        <v>-1.6470822391146483E-2</v>
      </c>
      <c r="M907" s="817">
        <f t="shared" ref="M907" si="1004">I907-J907</f>
        <v>83348.549999999988</v>
      </c>
      <c r="N907" s="802">
        <f t="shared" ref="N907" si="1005">M907/J907</f>
        <v>0.41674274999999994</v>
      </c>
      <c r="O907" s="786">
        <f t="shared" ref="O907" si="1006">N907/(A907/365.25)</f>
        <v>0.11014130928907379</v>
      </c>
      <c r="P907" s="817" t="b">
        <f t="shared" ref="P907" si="1007">L907&gt;D907</f>
        <v>0</v>
      </c>
      <c r="Q907" s="802">
        <f>COUNTIF(P$2:P907, TRUE)/(COUNTIF(P$2:P907,FALSE) + COUNTIF(P$2:P907, TRUE))</f>
        <v>0.49006622516556292</v>
      </c>
      <c r="R907" s="844">
        <v>205248.22</v>
      </c>
      <c r="S907" s="846">
        <f t="shared" ref="S907" si="1008">I907-R907</f>
        <v>78100.329999999987</v>
      </c>
      <c r="T907" s="800"/>
      <c r="U907" s="800"/>
      <c r="V907" s="802">
        <f>STDEV(D$2:D907)*SQRT(252)</f>
        <v>0.14494294737944377</v>
      </c>
      <c r="W907" s="802">
        <f>STDEV(L$2:L907)*SQRT(252)</f>
        <v>0.24548870183128582</v>
      </c>
      <c r="X907" s="801">
        <f t="shared" ref="X907" si="1009">E907/(A907/365.25)/V907</f>
        <v>0.59532128637878912</v>
      </c>
      <c r="Y907" s="801">
        <f t="shared" ref="Y907" si="1010">O907/W907</f>
        <v>0.44866141890623273</v>
      </c>
      <c r="Z907" s="807">
        <f t="shared" ref="Z907" si="1011">-(E907-N907)</f>
        <v>9.0255430504556533E-2</v>
      </c>
    </row>
    <row r="908" spans="1:26" ht="20.100000000000001" customHeight="1" x14ac:dyDescent="0.2">
      <c r="A908" s="776">
        <f t="shared" ref="A908" si="1012">B908-$B$2</f>
        <v>1383</v>
      </c>
      <c r="B908" s="795">
        <v>43616</v>
      </c>
      <c r="C908" s="820">
        <v>2752.06</v>
      </c>
      <c r="D908" s="792">
        <f t="shared" ref="D908" si="1013">(C908-C907)/C907</f>
        <v>-1.3195355808466607E-2</v>
      </c>
      <c r="E908" s="819">
        <f t="shared" ref="E908" si="1014">(C908-$C$2)/$C$2</f>
        <v>0.30898384733928191</v>
      </c>
      <c r="F908" s="816">
        <v>7453.14</v>
      </c>
      <c r="G908" s="792">
        <f t="shared" ref="G908" si="1015">(F908-F907)/F907</f>
        <v>-1.5139322199185713E-2</v>
      </c>
      <c r="H908" s="797">
        <f t="shared" ref="H908" si="1016">(F908-F$2)/F$2</f>
        <v>0.46378223383152989</v>
      </c>
      <c r="I908" s="841">
        <v>280628.69</v>
      </c>
      <c r="J908" s="800">
        <v>200000</v>
      </c>
      <c r="K908" s="800">
        <f t="shared" ref="K908" si="1017">I908-I907-J908+J907</f>
        <v>-2719.859999999986</v>
      </c>
      <c r="L908" s="792">
        <f t="shared" ref="L908" si="1018">K908/I907</f>
        <v>-9.5989903601059051E-3</v>
      </c>
      <c r="M908" s="817">
        <f t="shared" ref="M908" si="1019">I908-J908</f>
        <v>80628.69</v>
      </c>
      <c r="N908" s="802">
        <f t="shared" ref="N908" si="1020">M908/J908</f>
        <v>0.40314345000000001</v>
      </c>
      <c r="O908" s="786">
        <f t="shared" ref="O908" si="1021">N908/(A908/365.25)</f>
        <v>0.10647009769522778</v>
      </c>
      <c r="P908" s="817" t="b">
        <f t="shared" ref="P908" si="1022">L908&gt;D908</f>
        <v>1</v>
      </c>
      <c r="Q908" s="802">
        <f>COUNTIF(P$2:P908, TRUE)/(COUNTIF(P$2:P908,FALSE) + COUNTIF(P$2:P908, TRUE))</f>
        <v>0.49062844542447631</v>
      </c>
      <c r="R908" s="844">
        <v>200024.26</v>
      </c>
      <c r="S908" s="846">
        <f t="shared" ref="S908" si="1023">I908-R908</f>
        <v>80604.429999999993</v>
      </c>
      <c r="T908" s="800"/>
      <c r="U908" s="800"/>
      <c r="V908" s="802">
        <f>STDEV(D$2:D908)*SQRT(252)</f>
        <v>0.14503898383311883</v>
      </c>
      <c r="W908" s="802">
        <f>STDEV(L$2:L908)*SQRT(252)</f>
        <v>0.24541015233301053</v>
      </c>
      <c r="X908" s="801">
        <f t="shared" ref="X908" si="1024">E908/(A908/365.25)/V908</f>
        <v>0.56262506052510775</v>
      </c>
      <c r="Y908" s="801">
        <f t="shared" ref="Y908" si="1025">O908/W908</f>
        <v>0.43384553036238144</v>
      </c>
      <c r="Z908" s="807">
        <f t="shared" ref="Z908" si="1026">-(E908-N908)</f>
        <v>9.41596026607181E-2</v>
      </c>
    </row>
    <row r="909" spans="1:26" ht="20.100000000000001" customHeight="1" x14ac:dyDescent="0.2">
      <c r="A909" s="776">
        <f t="shared" ref="A909" si="1027">B909-$B$2</f>
        <v>1386</v>
      </c>
      <c r="B909" s="795">
        <v>43619</v>
      </c>
      <c r="C909" s="820">
        <v>2744.45</v>
      </c>
      <c r="D909" s="792">
        <f t="shared" ref="D909" si="1028">(C909-C908)/C908</f>
        <v>-2.7652013400871083E-3</v>
      </c>
      <c r="E909" s="819">
        <f t="shared" ref="E909" si="1029">(C909-$C$2)/$C$2</f>
        <v>0.30536424345046698</v>
      </c>
      <c r="F909" s="816">
        <v>7333.01</v>
      </c>
      <c r="G909" s="792">
        <f t="shared" ref="G909" si="1030">(F909-F908)/F908</f>
        <v>-1.6118038840005702E-2</v>
      </c>
      <c r="H909" s="797">
        <f t="shared" ref="H909" si="1031">(F909-F$2)/F$2</f>
        <v>0.44018893493332295</v>
      </c>
      <c r="I909" s="841">
        <v>284389.43</v>
      </c>
      <c r="J909" s="800">
        <v>200000</v>
      </c>
      <c r="K909" s="800">
        <f t="shared" ref="K909" si="1032">I909-I908-J909+J908</f>
        <v>3760.7399999999907</v>
      </c>
      <c r="L909" s="792">
        <f t="shared" ref="L909" si="1033">K909/I908</f>
        <v>1.3401124453811157E-2</v>
      </c>
      <c r="M909" s="817">
        <f t="shared" ref="M909" si="1034">I909-J909</f>
        <v>84389.43</v>
      </c>
      <c r="N909" s="802">
        <f t="shared" ref="N909" si="1035">M909/J909</f>
        <v>0.42194714999999994</v>
      </c>
      <c r="O909" s="786">
        <f t="shared" ref="O909" si="1036">N909/(A909/365.25)</f>
        <v>0.11119494699675324</v>
      </c>
      <c r="P909" s="817" t="b">
        <f t="shared" ref="P909" si="1037">L909&gt;D909</f>
        <v>1</v>
      </c>
      <c r="Q909" s="802">
        <f>COUNTIF(P$2:P909, TRUE)/(COUNTIF(P$2:P909,FALSE) + COUNTIF(P$2:P909, TRUE))</f>
        <v>0.49118942731277532</v>
      </c>
      <c r="R909" s="844">
        <v>190947.66</v>
      </c>
      <c r="S909" s="846">
        <f t="shared" ref="S909" si="1038">I909-R909</f>
        <v>93441.76999999999</v>
      </c>
      <c r="T909" s="800">
        <v>-44337</v>
      </c>
      <c r="U909" s="800">
        <f t="shared" ref="U909:U910" si="1039">M909-T909</f>
        <v>128726.43</v>
      </c>
      <c r="V909" s="802">
        <f>STDEV(D$2:D909)*SQRT(252)</f>
        <v>0.1449681520963983</v>
      </c>
      <c r="W909" s="802">
        <f>STDEV(L$2:L909)*SQRT(252)</f>
        <v>0.24536997270852465</v>
      </c>
      <c r="X909" s="801">
        <f t="shared" ref="X909" si="1040">E909/(A909/365.25)/V909</f>
        <v>0.55510172052164963</v>
      </c>
      <c r="Y909" s="801">
        <f t="shared" ref="Y909" si="1041">O909/W909</f>
        <v>0.45317259389697973</v>
      </c>
      <c r="Z909" s="807">
        <f t="shared" ref="Z909" si="1042">-(E909-N909)</f>
        <v>0.11658290654953296</v>
      </c>
    </row>
    <row r="910" spans="1:26" ht="20.100000000000001" customHeight="1" x14ac:dyDescent="0.2">
      <c r="A910" s="776">
        <f t="shared" ref="A910" si="1043">B910-$B$2</f>
        <v>1387</v>
      </c>
      <c r="B910" s="795">
        <v>43620</v>
      </c>
      <c r="C910" s="820">
        <v>2803.27</v>
      </c>
      <c r="D910" s="792">
        <f t="shared" ref="D910" si="1044">(C910-C909)/C909</f>
        <v>2.1432345278653342E-2</v>
      </c>
      <c r="E910" s="819">
        <f t="shared" ref="E910" si="1045">(C910-$C$2)/$C$2</f>
        <v>0.33334126063050545</v>
      </c>
      <c r="F910" s="816">
        <v>7527.11</v>
      </c>
      <c r="G910" s="792">
        <f t="shared" ref="G910" si="1046">(F910-F909)/F909</f>
        <v>2.6469348875836723E-2</v>
      </c>
      <c r="H910" s="797">
        <f t="shared" ref="H910" si="1047">(F910-F$2)/F$2</f>
        <v>0.47830979829919279</v>
      </c>
      <c r="I910" s="841">
        <v>290087.31</v>
      </c>
      <c r="J910" s="800">
        <v>200000</v>
      </c>
      <c r="K910" s="800">
        <f t="shared" ref="K910" si="1048">I910-I909-J910+J909</f>
        <v>5697.8800000000047</v>
      </c>
      <c r="L910" s="792">
        <f t="shared" ref="L910" si="1049">K910/I909</f>
        <v>2.0035484441176331E-2</v>
      </c>
      <c r="M910" s="817">
        <f t="shared" ref="M910" si="1050">I910-J910</f>
        <v>90087.31</v>
      </c>
      <c r="N910" s="802">
        <f t="shared" ref="N910" si="1051">M910/J910</f>
        <v>0.45043654999999999</v>
      </c>
      <c r="O910" s="786">
        <f t="shared" ref="O910" si="1052">N910/(A910/365.25)</f>
        <v>0.11861712320656093</v>
      </c>
      <c r="P910" s="817" t="b">
        <f t="shared" ref="P910" si="1053">L910&gt;D910</f>
        <v>0</v>
      </c>
      <c r="Q910" s="802">
        <f>COUNTIF(P$2:P910, TRUE)/(COUNTIF(P$2:P910,FALSE) + COUNTIF(P$2:P910, TRUE))</f>
        <v>0.49064906490649063</v>
      </c>
      <c r="R910" s="844">
        <v>196645.54</v>
      </c>
      <c r="S910" s="846">
        <f t="shared" ref="S910" si="1054">I910-R910</f>
        <v>93441.76999999999</v>
      </c>
      <c r="T910" s="800">
        <v>-44137</v>
      </c>
      <c r="U910" s="800">
        <f t="shared" si="1039"/>
        <v>134224.31</v>
      </c>
      <c r="V910" s="802">
        <f>STDEV(D$2:D910)*SQRT(252)</f>
        <v>0.1453138596827816</v>
      </c>
      <c r="W910" s="802">
        <f>STDEV(L$2:L910)*SQRT(252)</f>
        <v>0.24545178444383223</v>
      </c>
      <c r="X910" s="801">
        <f t="shared" ref="X910" si="1055">E910/(A910/365.25)/V910</f>
        <v>0.60408186602474501</v>
      </c>
      <c r="Y910" s="801">
        <f t="shared" ref="Y910" si="1056">O910/W910</f>
        <v>0.48326038238155317</v>
      </c>
      <c r="Z910" s="807">
        <f t="shared" ref="Z910" si="1057">-(E910-N910)</f>
        <v>0.11709528936949454</v>
      </c>
    </row>
    <row r="911" spans="1:26" ht="20.100000000000001" customHeight="1" x14ac:dyDescent="0.2">
      <c r="A911" s="776">
        <f t="shared" ref="A911" si="1058">B911-$B$2</f>
        <v>1388</v>
      </c>
      <c r="B911" s="795">
        <v>43621</v>
      </c>
      <c r="C911" s="820">
        <v>2826.15</v>
      </c>
      <c r="D911" s="792">
        <f t="shared" ref="D911" si="1059">(C911-C910)/C910</f>
        <v>8.1618966421358307E-3</v>
      </c>
      <c r="E911" s="819">
        <f t="shared" ref="E911" si="1060">(C911-$C$2)/$C$2</f>
        <v>0.34422385418846674</v>
      </c>
      <c r="F911" s="816">
        <v>7575.47</v>
      </c>
      <c r="G911" s="792">
        <f t="shared" ref="G911" si="1061">(F911-F910)/F910</f>
        <v>6.4247765742762603E-3</v>
      </c>
      <c r="H911" s="797">
        <f t="shared" ref="H911" si="1062">(F911-F$2)/F$2</f>
        <v>0.48780760846082849</v>
      </c>
      <c r="I911" s="841">
        <v>288753.23</v>
      </c>
      <c r="J911" s="800">
        <v>200000</v>
      </c>
      <c r="K911" s="800">
        <f t="shared" ref="K911" si="1063">I911-I910-J911+J910</f>
        <v>-1334.0800000000163</v>
      </c>
      <c r="L911" s="792">
        <f t="shared" ref="L911" si="1064">K911/I910</f>
        <v>-4.5988912786292385E-3</v>
      </c>
      <c r="M911" s="817">
        <f t="shared" ref="M911" si="1065">I911-J911</f>
        <v>88753.229999999981</v>
      </c>
      <c r="N911" s="802">
        <f t="shared" ref="N911" si="1066">M911/J911</f>
        <v>0.44376614999999991</v>
      </c>
      <c r="O911" s="786">
        <f t="shared" ref="O911" si="1067">N911/(A911/365.25)</f>
        <v>0.1167763589967579</v>
      </c>
      <c r="P911" s="817" t="b">
        <f t="shared" ref="P911" si="1068">L911&gt;D911</f>
        <v>0</v>
      </c>
      <c r="Q911" s="802">
        <f>COUNTIF(P$2:P911, TRUE)/(COUNTIF(P$2:P911,FALSE) + COUNTIF(P$2:P911, TRUE))</f>
        <v>0.49010989010989009</v>
      </c>
      <c r="R911" s="844">
        <v>205451.46</v>
      </c>
      <c r="S911" s="846">
        <f t="shared" ref="S911" si="1069">I911-R911</f>
        <v>83301.76999999999</v>
      </c>
      <c r="T911" s="800">
        <v>-44297</v>
      </c>
      <c r="U911" s="800">
        <f t="shared" ref="U911:U914" si="1070">M911-T911</f>
        <v>133050.22999999998</v>
      </c>
      <c r="V911" s="802">
        <f>STDEV(D$2:D911)*SQRT(252)</f>
        <v>0.14529192102337321</v>
      </c>
      <c r="W911" s="802">
        <f>STDEV(L$2:L911)*SQRT(252)</f>
        <v>0.24533107335550031</v>
      </c>
      <c r="X911" s="801">
        <f t="shared" ref="X911" si="1071">E911/(A911/365.25)/V911</f>
        <v>0.62344802788693354</v>
      </c>
      <c r="Y911" s="801">
        <f t="shared" ref="Y911" si="1072">O911/W911</f>
        <v>0.4759949785388235</v>
      </c>
      <c r="Z911" s="807">
        <f t="shared" ref="Z911" si="1073">-(E911-N911)</f>
        <v>9.9542295811533177E-2</v>
      </c>
    </row>
    <row r="912" spans="1:26" ht="20.100000000000001" customHeight="1" x14ac:dyDescent="0.2">
      <c r="A912" s="776">
        <f t="shared" ref="A912" si="1074">B912-$B$2</f>
        <v>1389</v>
      </c>
      <c r="B912" s="795">
        <v>43622</v>
      </c>
      <c r="C912" s="820">
        <v>2843.49</v>
      </c>
      <c r="D912" s="792">
        <f t="shared" ref="D912" si="1075">(C912-C911)/C911</f>
        <v>6.1355554376093593E-3</v>
      </c>
      <c r="E912" s="819">
        <f t="shared" ref="E912" si="1076">(C912-$C$2)/$C$2</f>
        <v>0.35247141416639699</v>
      </c>
      <c r="F912" s="816">
        <v>7615.55</v>
      </c>
      <c r="G912" s="792">
        <f t="shared" ref="G912" si="1077">(F912-F911)/F911</f>
        <v>5.2907608372813738E-3</v>
      </c>
      <c r="H912" s="797">
        <f t="shared" ref="H912" si="1078">(F912-F$2)/F$2</f>
        <v>0.49567924268908231</v>
      </c>
      <c r="I912" s="841">
        <v>289340.01</v>
      </c>
      <c r="J912" s="800">
        <v>200000</v>
      </c>
      <c r="K912" s="800">
        <f t="shared" ref="K912" si="1079">I912-I911-J912+J911</f>
        <v>586.78000000002794</v>
      </c>
      <c r="L912" s="792">
        <f t="shared" ref="L912" si="1080">K912/I911</f>
        <v>2.032115796592225E-3</v>
      </c>
      <c r="M912" s="817">
        <f t="shared" ref="M912" si="1081">I912-J912</f>
        <v>89340.010000000009</v>
      </c>
      <c r="N912" s="802">
        <f t="shared" ref="N912" si="1082">M912/J912</f>
        <v>0.44670005000000007</v>
      </c>
      <c r="O912" s="786">
        <f t="shared" ref="O912" si="1083">N912/(A912/365.25)</f>
        <v>0.1174637820464363</v>
      </c>
      <c r="P912" s="817" t="b">
        <f t="shared" ref="P912" si="1084">L912&gt;D912</f>
        <v>0</v>
      </c>
      <c r="Q912" s="802">
        <f>COUNTIF(P$2:P912, TRUE)/(COUNTIF(P$2:P912,FALSE) + COUNTIF(P$2:P912, TRUE))</f>
        <v>0.48957189901207465</v>
      </c>
      <c r="R912" s="844">
        <v>202376.32000000001</v>
      </c>
      <c r="S912" s="846">
        <f t="shared" ref="S912" si="1085">I912-R912</f>
        <v>86963.69</v>
      </c>
      <c r="T912" s="800"/>
      <c r="U912" s="800"/>
      <c r="V912" s="802">
        <f>STDEV(D$2:D912)*SQRT(252)</f>
        <v>0.14524370263912065</v>
      </c>
      <c r="W912" s="802">
        <f>STDEV(L$2:L912)*SQRT(252)</f>
        <v>0.24519748796993773</v>
      </c>
      <c r="X912" s="801">
        <f t="shared" ref="X912" si="1086">E912/(A912/365.25)/V912</f>
        <v>0.63813794313931382</v>
      </c>
      <c r="Y912" s="801">
        <f t="shared" ref="Y912" si="1087">O912/W912</f>
        <v>0.47905785258631145</v>
      </c>
      <c r="Z912" s="807">
        <f t="shared" ref="Z912" si="1088">-(E912-N912)</f>
        <v>9.422863583360308E-2</v>
      </c>
    </row>
    <row r="913" spans="1:26" ht="20.100000000000001" customHeight="1" x14ac:dyDescent="0.2">
      <c r="A913" s="776">
        <f t="shared" ref="A913" si="1089">B913-$B$2</f>
        <v>1390</v>
      </c>
      <c r="B913" s="795">
        <v>43623</v>
      </c>
      <c r="C913" s="820">
        <v>2873.34</v>
      </c>
      <c r="D913" s="792">
        <f t="shared" ref="D913" si="1090">(C913-C912)/C912</f>
        <v>1.0497663083042447E-2</v>
      </c>
      <c r="E913" s="819">
        <f t="shared" ref="E913" si="1091">(C913-$C$2)/$C$2</f>
        <v>0.36666920340176179</v>
      </c>
      <c r="F913" s="816">
        <v>7742.1</v>
      </c>
      <c r="G913" s="792">
        <f t="shared" ref="G913" si="1092">(F913-F912)/F912</f>
        <v>1.6617315886574203E-2</v>
      </c>
      <c r="H913" s="797">
        <f t="shared" ref="H913" si="1093">(F913-F$2)/F$2</f>
        <v>0.52053341712983892</v>
      </c>
      <c r="I913" s="841">
        <v>289123.67</v>
      </c>
      <c r="J913" s="800">
        <v>200000</v>
      </c>
      <c r="K913" s="800">
        <f t="shared" ref="K913" si="1094">I913-I912-J913+J912</f>
        <v>-216.34000000002561</v>
      </c>
      <c r="L913" s="792">
        <f t="shared" ref="L913" si="1095">K913/I912</f>
        <v>-7.4770164001869497E-4</v>
      </c>
      <c r="M913" s="817">
        <f t="shared" ref="M913" si="1096">I913-J913</f>
        <v>89123.669999999984</v>
      </c>
      <c r="N913" s="802">
        <f t="shared" ref="N913" si="1097">M913/J913</f>
        <v>0.44561834999999994</v>
      </c>
      <c r="O913" s="786">
        <f t="shared" ref="O913" si="1098">N913/(A913/365.25)</f>
        <v>0.11709503765287768</v>
      </c>
      <c r="P913" s="817" t="b">
        <f t="shared" ref="P913" si="1099">L913&gt;D913</f>
        <v>0</v>
      </c>
      <c r="Q913" s="802">
        <f>COUNTIF(P$2:P913, TRUE)/(COUNTIF(P$2:P913,FALSE) + COUNTIF(P$2:P913, TRUE))</f>
        <v>0.48903508771929827</v>
      </c>
      <c r="R913" s="844">
        <v>202094.1</v>
      </c>
      <c r="S913" s="846">
        <f t="shared" ref="S913" si="1100">I913-R913</f>
        <v>87029.569999999978</v>
      </c>
      <c r="T913" s="800"/>
      <c r="U913" s="800"/>
      <c r="V913" s="802">
        <f>STDEV(D$2:D913)*SQRT(252)</f>
        <v>0.14526149916989023</v>
      </c>
      <c r="W913" s="802">
        <f>STDEV(L$2:L913)*SQRT(252)</f>
        <v>0.24506355130225671</v>
      </c>
      <c r="X913" s="801">
        <f t="shared" ref="X913" si="1101">E913/(A913/365.25)/V913</f>
        <v>0.66328371930099228</v>
      </c>
      <c r="Y913" s="801">
        <f t="shared" ref="Y913" si="1102">O913/W913</f>
        <v>0.47781498729876354</v>
      </c>
      <c r="Z913" s="807">
        <f t="shared" ref="Z913" si="1103">-(E913-N913)</f>
        <v>7.8949146598238151E-2</v>
      </c>
    </row>
    <row r="914" spans="1:26" ht="20.100000000000001" customHeight="1" x14ac:dyDescent="0.2">
      <c r="A914" s="776">
        <f t="shared" ref="A914" si="1104">B914-$B$2</f>
        <v>1393</v>
      </c>
      <c r="B914" s="795">
        <v>43626</v>
      </c>
      <c r="C914" s="820">
        <v>2886.73</v>
      </c>
      <c r="D914" s="792">
        <f t="shared" ref="D914" si="1105">(C914-C913)/C913</f>
        <v>4.6600819951693401E-3</v>
      </c>
      <c r="E914" s="819">
        <f t="shared" ref="E914" si="1106">(C914-$C$2)/$C$2</f>
        <v>0.37303799394988679</v>
      </c>
      <c r="F914" s="816">
        <v>7823.16</v>
      </c>
      <c r="G914" s="792">
        <f t="shared" ref="G914" si="1107">(F914-F913)/F913</f>
        <v>1.0470027511915305E-2</v>
      </c>
      <c r="H914" s="797">
        <f t="shared" ref="H914" si="1108">(F914-F$2)/F$2</f>
        <v>0.53645344383997484</v>
      </c>
      <c r="I914" s="841">
        <v>291790.94</v>
      </c>
      <c r="J914" s="800">
        <v>200000</v>
      </c>
      <c r="K914" s="800">
        <f t="shared" ref="K914" si="1109">I914-I913-J914+J913</f>
        <v>2667.2700000000186</v>
      </c>
      <c r="L914" s="792">
        <f t="shared" ref="L914" si="1110">K914/I913</f>
        <v>9.2253602065857105E-3</v>
      </c>
      <c r="M914" s="817">
        <f t="shared" ref="M914" si="1111">I914-J914</f>
        <v>91790.94</v>
      </c>
      <c r="N914" s="802">
        <f t="shared" ref="N914" si="1112">M914/J914</f>
        <v>0.45895469999999999</v>
      </c>
      <c r="O914" s="786">
        <f t="shared" ref="O914" si="1113">N914/(A914/365.25)</f>
        <v>0.12033970148959081</v>
      </c>
      <c r="P914" s="817" t="b">
        <f t="shared" ref="P914" si="1114">L914&gt;D914</f>
        <v>1</v>
      </c>
      <c r="Q914" s="802">
        <f>COUNTIF(P$2:P914, TRUE)/(COUNTIF(P$2:P914,FALSE) + COUNTIF(P$2:P914, TRUE))</f>
        <v>0.48959474260679081</v>
      </c>
      <c r="R914" s="844">
        <v>194218.18</v>
      </c>
      <c r="S914" s="846">
        <f t="shared" ref="S914" si="1115">I914-R914</f>
        <v>97572.760000000009</v>
      </c>
      <c r="T914" s="800">
        <v>-42838</v>
      </c>
      <c r="U914" s="800">
        <f t="shared" si="1070"/>
        <v>134628.94</v>
      </c>
      <c r="V914" s="802">
        <f>STDEV(D$2:D914)*SQRT(252)</f>
        <v>0.14519914368071157</v>
      </c>
      <c r="W914" s="802">
        <f>STDEV(L$2:L914)*SQRT(252)</f>
        <v>0.24497235192607605</v>
      </c>
      <c r="X914" s="801">
        <f t="shared" ref="X914" si="1116">E914/(A914/365.25)/V914</f>
        <v>0.67364039226041272</v>
      </c>
      <c r="Y914" s="801">
        <f t="shared" ref="Y914" si="1117">O914/W914</f>
        <v>0.49123789090250092</v>
      </c>
      <c r="Z914" s="807">
        <f t="shared" ref="Z914" si="1118">-(E914-N914)</f>
        <v>8.5916706050113201E-2</v>
      </c>
    </row>
    <row r="915" spans="1:26" ht="20.100000000000001" customHeight="1" x14ac:dyDescent="0.2">
      <c r="A915" s="776">
        <f t="shared" ref="A915" si="1119">B915-$B$2</f>
        <v>1394</v>
      </c>
      <c r="B915" s="795">
        <v>43627</v>
      </c>
      <c r="C915" s="820">
        <v>2885.72</v>
      </c>
      <c r="D915" s="792">
        <f t="shared" ref="D915" si="1120">(C915-C914)/C914</f>
        <v>-3.4987685027703259E-4</v>
      </c>
      <c r="E915" s="819">
        <f t="shared" ref="E915" si="1121">(C915-$C$2)/$C$2</f>
        <v>0.37255759974125291</v>
      </c>
      <c r="F915" s="816">
        <v>7822.56</v>
      </c>
      <c r="G915" s="792">
        <f t="shared" ref="G915" si="1122">(F915-F914)/F914</f>
        <v>-7.669535072776913E-5</v>
      </c>
      <c r="H915" s="797">
        <f t="shared" ref="H915" si="1123">(F915-F$2)/F$2</f>
        <v>0.53633560500422273</v>
      </c>
      <c r="I915" s="841">
        <v>291353.98</v>
      </c>
      <c r="J915" s="800">
        <v>200000</v>
      </c>
      <c r="K915" s="800">
        <f t="shared" ref="K915" si="1124">I915-I914-J915+J914</f>
        <v>-436.96000000002095</v>
      </c>
      <c r="L915" s="792">
        <f t="shared" ref="L915" si="1125">K915/I914</f>
        <v>-1.4975105121496266E-3</v>
      </c>
      <c r="M915" s="817">
        <f t="shared" ref="M915" si="1126">I915-J915</f>
        <v>91353.979999999981</v>
      </c>
      <c r="N915" s="802">
        <f t="shared" ref="N915" si="1127">M915/J915</f>
        <v>0.4567698999999999</v>
      </c>
      <c r="O915" s="786">
        <f t="shared" ref="O915" si="1128">N915/(A915/365.25)</f>
        <v>0.11968092250717358</v>
      </c>
      <c r="P915" s="817" t="b">
        <f t="shared" ref="P915" si="1129">L915&gt;D915</f>
        <v>0</v>
      </c>
      <c r="Q915" s="802">
        <f>COUNTIF(P$2:P915, TRUE)/(COUNTIF(P$2:P915,FALSE) + COUNTIF(P$2:P915, TRUE))</f>
        <v>0.48905908096280087</v>
      </c>
      <c r="R915" s="844">
        <v>199021.42</v>
      </c>
      <c r="S915" s="846">
        <f t="shared" ref="S915" si="1130">I915-R915</f>
        <v>92332.559999999969</v>
      </c>
      <c r="T915" s="800">
        <v>-42887</v>
      </c>
      <c r="U915" s="800">
        <f t="shared" ref="U915" si="1131">M915-T915</f>
        <v>134240.97999999998</v>
      </c>
      <c r="V915" s="802">
        <f>STDEV(D$2:D915)*SQRT(252)</f>
        <v>0.14512003690243366</v>
      </c>
      <c r="W915" s="802">
        <f>STDEV(L$2:L915)*SQRT(252)</f>
        <v>0.24484019002050003</v>
      </c>
      <c r="X915" s="801">
        <f t="shared" ref="X915" si="1132">E915/(A915/365.25)/V915</f>
        <v>0.67265673914493396</v>
      </c>
      <c r="Y915" s="801">
        <f t="shared" ref="Y915" si="1133">O915/W915</f>
        <v>0.48881240656263542</v>
      </c>
      <c r="Z915" s="807">
        <f t="shared" ref="Z915" si="1134">-(E915-N915)</f>
        <v>8.4212300258746986E-2</v>
      </c>
    </row>
    <row r="916" spans="1:26" ht="20.100000000000001" customHeight="1" x14ac:dyDescent="0.2">
      <c r="A916" s="776">
        <f t="shared" ref="A916" si="1135">B916-$B$2</f>
        <v>1395</v>
      </c>
      <c r="B916" s="795">
        <v>43628</v>
      </c>
      <c r="C916" s="820">
        <v>2879.84</v>
      </c>
      <c r="D916" s="792">
        <f t="shared" ref="D916" si="1136">(C916-C915)/C915</f>
        <v>-2.0376197274855684E-3</v>
      </c>
      <c r="E916" s="819">
        <f t="shared" ref="E916" si="1137">(C916-$C$2)/$C$2</f>
        <v>0.3697608492989099</v>
      </c>
      <c r="F916" s="816">
        <v>7792.71</v>
      </c>
      <c r="G916" s="792">
        <f t="shared" ref="G916" si="1138">(F916-F915)/F915</f>
        <v>-3.8158863594527064E-3</v>
      </c>
      <c r="H916" s="797">
        <f t="shared" ref="H916" si="1139">(F916-F$2)/F$2</f>
        <v>0.5304731229255456</v>
      </c>
      <c r="I916" s="841">
        <v>289732.38</v>
      </c>
      <c r="J916" s="800">
        <v>200000</v>
      </c>
      <c r="K916" s="800">
        <f t="shared" ref="K916" si="1140">I916-I915-J916+J915</f>
        <v>-1621.5999999999767</v>
      </c>
      <c r="L916" s="792">
        <f t="shared" ref="L916" si="1141">K916/I915</f>
        <v>-5.5657382816599139E-3</v>
      </c>
      <c r="M916" s="817">
        <f t="shared" ref="M916" si="1142">I916-J916</f>
        <v>89732.38</v>
      </c>
      <c r="N916" s="802">
        <f t="shared" ref="N916" si="1143">M916/J916</f>
        <v>0.4486619</v>
      </c>
      <c r="O916" s="786">
        <f t="shared" ref="O916" si="1144">N916/(A916/365.25)</f>
        <v>0.11747222865591397</v>
      </c>
      <c r="P916" s="817" t="b">
        <f t="shared" ref="P916" si="1145">L916&gt;D916</f>
        <v>0</v>
      </c>
      <c r="Q916" s="802">
        <f>COUNTIF(P$2:P916, TRUE)/(COUNTIF(P$2:P916,FALSE) + COUNTIF(P$2:P916, TRUE))</f>
        <v>0.4885245901639344</v>
      </c>
      <c r="R916" s="844">
        <v>201378.22</v>
      </c>
      <c r="S916" s="846">
        <f t="shared" ref="S916" si="1146">I916-R916</f>
        <v>88354.16</v>
      </c>
      <c r="T916" s="800">
        <v>-42964</v>
      </c>
      <c r="U916" s="800">
        <f t="shared" ref="U916" si="1147">M916-T916</f>
        <v>132696.38</v>
      </c>
      <c r="V916" s="802">
        <f>STDEV(D$2:D916)*SQRT(252)</f>
        <v>0.14504613598381358</v>
      </c>
      <c r="W916" s="802">
        <f>STDEV(L$2:L916)*SQRT(252)</f>
        <v>0.24472656895868289</v>
      </c>
      <c r="X916" s="801">
        <f t="shared" ref="X916" si="1148">E916/(A916/365.25)/V916</f>
        <v>0.66746850641609967</v>
      </c>
      <c r="Y916" s="801">
        <f t="shared" ref="Y916" si="1149">O916/W916</f>
        <v>0.48001420179166071</v>
      </c>
      <c r="Z916" s="807">
        <f t="shared" ref="Z916" si="1150">-(E916-N916)</f>
        <v>7.8901050701090103E-2</v>
      </c>
    </row>
    <row r="917" spans="1:26" ht="20.100000000000001" customHeight="1" x14ac:dyDescent="0.2">
      <c r="A917" s="776">
        <f t="shared" ref="A917" si="1151">B917-$B$2</f>
        <v>1396</v>
      </c>
      <c r="B917" s="795">
        <v>43629</v>
      </c>
      <c r="C917" s="820">
        <v>2891.64</v>
      </c>
      <c r="D917" s="792">
        <f t="shared" ref="D917" si="1152">(C917-C916)/C916</f>
        <v>4.0974498583253678E-3</v>
      </c>
      <c r="E917" s="819">
        <f t="shared" ref="E917" si="1153">(C917-$C$2)/$C$2</f>
        <v>0.37537337569680934</v>
      </c>
      <c r="F917" s="816">
        <v>7837.13</v>
      </c>
      <c r="G917" s="792">
        <f t="shared" ref="G917" si="1154">(F917-F916)/F916</f>
        <v>5.7001992888225115E-3</v>
      </c>
      <c r="H917" s="797">
        <f t="shared" ref="H917" si="1155">(F917-F$2)/F$2</f>
        <v>0.53919712473240777</v>
      </c>
      <c r="I917" s="841">
        <v>291703.69</v>
      </c>
      <c r="J917" s="800">
        <v>200000</v>
      </c>
      <c r="K917" s="800">
        <f t="shared" ref="K917" si="1156">I917-I916-J917+J916</f>
        <v>1971.3099999999977</v>
      </c>
      <c r="L917" s="792">
        <f t="shared" ref="L917" si="1157">K917/I916</f>
        <v>6.803899515822145E-3</v>
      </c>
      <c r="M917" s="817">
        <f t="shared" ref="M917" si="1158">I917-J917</f>
        <v>91703.69</v>
      </c>
      <c r="N917" s="802">
        <f t="shared" ref="N917" si="1159">M917/J917</f>
        <v>0.45851845000000002</v>
      </c>
      <c r="O917" s="786">
        <f t="shared" ref="O917" si="1160">N917/(A917/365.25)</f>
        <v>0.11996695119090259</v>
      </c>
      <c r="P917" s="817" t="b">
        <f t="shared" ref="P917" si="1161">L917&gt;D917</f>
        <v>1</v>
      </c>
      <c r="Q917" s="802">
        <f>COUNTIF(P$2:P917, TRUE)/(COUNTIF(P$2:P917,FALSE) + COUNTIF(P$2:P917, TRUE))</f>
        <v>0.48908296943231439</v>
      </c>
      <c r="R917" s="844">
        <v>201065.58</v>
      </c>
      <c r="S917" s="846">
        <f t="shared" ref="S917" si="1162">I917-R917</f>
        <v>90638.110000000015</v>
      </c>
      <c r="T917" s="800">
        <v>-42968</v>
      </c>
      <c r="U917" s="800">
        <f t="shared" ref="U917" si="1163">M917-T917</f>
        <v>134671.69</v>
      </c>
      <c r="V917" s="802">
        <f>STDEV(D$2:D917)*SQRT(252)</f>
        <v>0.14497985152547707</v>
      </c>
      <c r="W917" s="802">
        <f>STDEV(L$2:L917)*SQRT(252)</f>
        <v>0.24461531012338106</v>
      </c>
      <c r="X917" s="801">
        <f t="shared" ref="X917" si="1164">E917/(A917/365.25)/V917</f>
        <v>0.67742406660991827</v>
      </c>
      <c r="Y917" s="801">
        <f t="shared" ref="Y917" si="1165">O917/W917</f>
        <v>0.49043108189096046</v>
      </c>
      <c r="Z917" s="807">
        <f t="shared" ref="Z917" si="1166">-(E917-N917)</f>
        <v>8.314507430319068E-2</v>
      </c>
    </row>
    <row r="918" spans="1:26" ht="20.100000000000001" customHeight="1" x14ac:dyDescent="0.2">
      <c r="A918" s="776">
        <f t="shared" ref="A918" si="1167">B918-$B$2</f>
        <v>1397</v>
      </c>
      <c r="B918" s="795">
        <v>43630</v>
      </c>
      <c r="C918" s="820">
        <v>2886.98</v>
      </c>
      <c r="D918" s="792">
        <f t="shared" ref="D918" si="1168">(C918-C917)/C917</f>
        <v>-1.6115422390061884E-3</v>
      </c>
      <c r="E918" s="819">
        <f t="shared" ref="E918" si="1169">(C918-$C$2)/$C$2</f>
        <v>0.37315690340746938</v>
      </c>
      <c r="F918" s="816">
        <v>7796.95</v>
      </c>
      <c r="G918" s="792">
        <f t="shared" ref="G918" si="1170">(F918-F917)/F917</f>
        <v>-5.1268768031154629E-3</v>
      </c>
      <c r="H918" s="797">
        <f t="shared" ref="H918" si="1171">(F918-F$2)/F$2</f>
        <v>0.53130585069819514</v>
      </c>
      <c r="I918" s="841">
        <v>288557.03000000003</v>
      </c>
      <c r="J918" s="800">
        <v>200000</v>
      </c>
      <c r="K918" s="800">
        <f t="shared" ref="K918" si="1172">I918-I917-J918+J917</f>
        <v>-3146.6599999999744</v>
      </c>
      <c r="L918" s="792">
        <f t="shared" ref="L918" si="1173">K918/I917</f>
        <v>-1.0787179277711483E-2</v>
      </c>
      <c r="M918" s="817">
        <f t="shared" ref="M918" si="1174">I918-J918</f>
        <v>88557.030000000028</v>
      </c>
      <c r="N918" s="802">
        <f t="shared" ref="N918" si="1175">M918/J918</f>
        <v>0.44278515000000013</v>
      </c>
      <c r="O918" s="786">
        <f t="shared" ref="O918" si="1176">N918/(A918/365.25)</f>
        <v>0.11576755621868293</v>
      </c>
      <c r="P918" s="817" t="b">
        <f t="shared" ref="P918" si="1177">L918&gt;D918</f>
        <v>0</v>
      </c>
      <c r="Q918" s="802">
        <f>COUNTIF(P$2:P918, TRUE)/(COUNTIF(P$2:P918,FALSE) + COUNTIF(P$2:P918, TRUE))</f>
        <v>0.48854961832061067</v>
      </c>
      <c r="R918" s="844">
        <v>204931.72</v>
      </c>
      <c r="S918" s="846">
        <f t="shared" ref="S918" si="1178">I918-R918</f>
        <v>83625.310000000027</v>
      </c>
      <c r="T918" s="800">
        <v>-44074</v>
      </c>
      <c r="U918" s="800">
        <f t="shared" ref="U918" si="1179">M918-T918</f>
        <v>132631.03000000003</v>
      </c>
      <c r="V918" s="802">
        <f>STDEV(D$2:D918)*SQRT(252)</f>
        <v>0.14490440918503747</v>
      </c>
      <c r="W918" s="802">
        <f>STDEV(L$2:L918)*SQRT(252)</f>
        <v>0.24455285864438039</v>
      </c>
      <c r="X918" s="801">
        <f t="shared" ref="X918" si="1180">E918/(A918/365.25)/V918</f>
        <v>0.67329237865343761</v>
      </c>
      <c r="Y918" s="801">
        <f t="shared" ref="Y918" si="1181">O918/W918</f>
        <v>0.47338459611722539</v>
      </c>
      <c r="Z918" s="807">
        <f t="shared" ref="Z918" si="1182">-(E918-N918)</f>
        <v>6.9628246592530751E-2</v>
      </c>
    </row>
    <row r="919" spans="1:26" ht="20.100000000000001" customHeight="1" x14ac:dyDescent="0.2">
      <c r="A919" s="776">
        <f t="shared" ref="A919" si="1183">B919-$B$2</f>
        <v>1400</v>
      </c>
      <c r="B919" s="795">
        <v>43633</v>
      </c>
      <c r="C919" s="820">
        <v>2889.67</v>
      </c>
      <c r="D919" s="792">
        <f t="shared" ref="D919" si="1184">(C919-C918)/C918</f>
        <v>9.3176953078997929E-4</v>
      </c>
      <c r="E919" s="819">
        <f t="shared" ref="E919" si="1185">(C919-$C$2)/$C$2</f>
        <v>0.37443636917105838</v>
      </c>
      <c r="F919" s="816">
        <v>7845.02</v>
      </c>
      <c r="G919" s="792">
        <f t="shared" ref="G919" si="1186">(F919-F918)/F918</f>
        <v>6.1652312763324918E-3</v>
      </c>
      <c r="H919" s="797">
        <f t="shared" ref="H919" si="1187">(F919-F$2)/F$2</f>
        <v>0.54074670542255054</v>
      </c>
      <c r="I919" s="841">
        <v>290076.03999999998</v>
      </c>
      <c r="J919" s="800">
        <v>200000</v>
      </c>
      <c r="K919" s="800">
        <f t="shared" ref="K919" si="1188">I919-I918-J919+J918</f>
        <v>1519.0099999999511</v>
      </c>
      <c r="L919" s="792">
        <f t="shared" ref="L919" si="1189">K919/I918</f>
        <v>5.2641587002747806E-3</v>
      </c>
      <c r="M919" s="817">
        <f t="shared" ref="M919" si="1190">I919-J919</f>
        <v>90076.039999999979</v>
      </c>
      <c r="N919" s="802">
        <f t="shared" ref="N919" si="1191">M919/J919</f>
        <v>0.4503801999999999</v>
      </c>
      <c r="O919" s="786">
        <f t="shared" ref="O919" si="1192">N919/(A919/365.25)</f>
        <v>0.11750097717857141</v>
      </c>
      <c r="P919" s="817" t="b">
        <f t="shared" ref="P919" si="1193">L919&gt;D919</f>
        <v>1</v>
      </c>
      <c r="Q919" s="802">
        <f>COUNTIF(P$2:P919, TRUE)/(COUNTIF(P$2:P919,FALSE) + COUNTIF(P$2:P919, TRUE))</f>
        <v>0.48910675381263619</v>
      </c>
      <c r="R919" s="844">
        <v>193521</v>
      </c>
      <c r="S919" s="846">
        <f t="shared" ref="S919" si="1194">I919-R919</f>
        <v>96555.039999999979</v>
      </c>
      <c r="T919" s="800">
        <v>-43900</v>
      </c>
      <c r="U919" s="800">
        <f t="shared" ref="U919:U922" si="1195">M919-T919</f>
        <v>133976.03999999998</v>
      </c>
      <c r="V919" s="802">
        <f>STDEV(D$2:D919)*SQRT(252)</f>
        <v>0.14482557194770035</v>
      </c>
      <c r="W919" s="802">
        <f>STDEV(L$2:L919)*SQRT(252)</f>
        <v>0.24443233426546662</v>
      </c>
      <c r="X919" s="801">
        <f t="shared" ref="X919" si="1196">E919/(A919/365.25)/V919</f>
        <v>0.67452020287212977</v>
      </c>
      <c r="Y919" s="801">
        <f t="shared" ref="Y919" si="1197">O919/W919</f>
        <v>0.48070963087460866</v>
      </c>
      <c r="Z919" s="807">
        <f t="shared" ref="Z919" si="1198">-(E919-N919)</f>
        <v>7.5943830828941516E-2</v>
      </c>
    </row>
    <row r="920" spans="1:26" ht="20.100000000000001" customHeight="1" x14ac:dyDescent="0.2">
      <c r="A920" s="776">
        <f t="shared" ref="A920" si="1199">B920-$B$2</f>
        <v>1401</v>
      </c>
      <c r="B920" s="795">
        <v>43634</v>
      </c>
      <c r="C920" s="820">
        <v>2917.75</v>
      </c>
      <c r="D920" s="792">
        <f t="shared" ref="D920" si="1200">(C920-C919)/C919</f>
        <v>9.7173725719545568E-3</v>
      </c>
      <c r="E920" s="819">
        <f t="shared" ref="E920" si="1201">(C920-$C$2)/$C$2</f>
        <v>0.38779227944673805</v>
      </c>
      <c r="F920" s="816">
        <v>7953.88</v>
      </c>
      <c r="G920" s="792">
        <f t="shared" ref="G920" si="1202">(F920-F919)/F919</f>
        <v>1.3876318989626497E-2</v>
      </c>
      <c r="H920" s="797">
        <f t="shared" ref="H920" si="1203">(F920-F$2)/F$2</f>
        <v>0.56212659818920996</v>
      </c>
      <c r="I920" s="841">
        <v>293039</v>
      </c>
      <c r="J920" s="800">
        <v>200000</v>
      </c>
      <c r="K920" s="800">
        <f t="shared" ref="K920" si="1204">I920-I919-J920+J919</f>
        <v>2962.960000000021</v>
      </c>
      <c r="L920" s="792">
        <f t="shared" ref="L920" si="1205">K920/I919</f>
        <v>1.0214425155555837E-2</v>
      </c>
      <c r="M920" s="817">
        <f t="shared" ref="M920" si="1206">I920-J920</f>
        <v>93039</v>
      </c>
      <c r="N920" s="802">
        <f t="shared" ref="N920" si="1207">M920/J920</f>
        <v>0.46519500000000003</v>
      </c>
      <c r="O920" s="786">
        <f t="shared" ref="O920" si="1208">N920/(A920/365.25)</f>
        <v>0.1212794245182013</v>
      </c>
      <c r="P920" s="817" t="b">
        <f t="shared" ref="P920" si="1209">L920&gt;D920</f>
        <v>1</v>
      </c>
      <c r="Q920" s="802">
        <f>COUNTIF(P$2:P920, TRUE)/(COUNTIF(P$2:P920,FALSE) + COUNTIF(P$2:P920, TRUE))</f>
        <v>0.48966267682263331</v>
      </c>
      <c r="R920" s="844">
        <v>202139.96</v>
      </c>
      <c r="S920" s="846">
        <f t="shared" ref="S920" si="1210">I920-R920</f>
        <v>90899.040000000008</v>
      </c>
      <c r="T920" s="800"/>
      <c r="U920" s="800"/>
      <c r="V920" s="802">
        <f>STDEV(D$2:D920)*SQRT(252)</f>
        <v>0.14482908380967008</v>
      </c>
      <c r="W920" s="802">
        <f>STDEV(L$2:L920)*SQRT(252)</f>
        <v>0.24435246904930347</v>
      </c>
      <c r="X920" s="801">
        <f t="shared" ref="X920" si="1211">E920/(A920/365.25)/V920</f>
        <v>0.69806435836202063</v>
      </c>
      <c r="Y920" s="801">
        <f t="shared" ref="Y920" si="1212">O920/W920</f>
        <v>0.49632985085053721</v>
      </c>
      <c r="Z920" s="807">
        <f t="shared" ref="Z920" si="1213">-(E920-N920)</f>
        <v>7.7402720553261972E-2</v>
      </c>
    </row>
    <row r="921" spans="1:26" ht="20.100000000000001" customHeight="1" x14ac:dyDescent="0.2">
      <c r="A921" s="776">
        <f t="shared" ref="A921" si="1214">B921-$B$2</f>
        <v>1402</v>
      </c>
      <c r="B921" s="795">
        <v>43635</v>
      </c>
      <c r="C921" s="820">
        <v>2926.46</v>
      </c>
      <c r="D921" s="792">
        <f t="shared" ref="D921" si="1215">(C921-C920)/C920</f>
        <v>2.9851769342815648E-3</v>
      </c>
      <c r="E921" s="819">
        <f t="shared" ref="E921" si="1216">(C921-$C$2)/$C$2</f>
        <v>0.39193508494891649</v>
      </c>
      <c r="F921" s="816">
        <v>7987.32</v>
      </c>
      <c r="G921" s="792">
        <f t="shared" ref="G921" si="1217">(F921-F920)/F920</f>
        <v>4.2042374287768487E-3</v>
      </c>
      <c r="H921" s="797">
        <f t="shared" ref="H921" si="1218">(F921-F$2)/F$2</f>
        <v>0.56869414930180495</v>
      </c>
      <c r="I921" s="841">
        <v>292400.86</v>
      </c>
      <c r="J921" s="800">
        <v>200000</v>
      </c>
      <c r="K921" s="800">
        <f t="shared" ref="K921" si="1219">I921-I920-J921+J920</f>
        <v>-638.14000000001397</v>
      </c>
      <c r="L921" s="792">
        <f t="shared" ref="L921" si="1220">K921/I920</f>
        <v>-2.1776623589352066E-3</v>
      </c>
      <c r="M921" s="817">
        <f t="shared" ref="M921" si="1221">I921-J921</f>
        <v>92400.859999999986</v>
      </c>
      <c r="N921" s="802">
        <f t="shared" ref="N921" si="1222">M921/J921</f>
        <v>0.46200429999999992</v>
      </c>
      <c r="O921" s="786">
        <f t="shared" ref="O921" si="1223">N921/(A921/365.25)</f>
        <v>0.12036167658701852</v>
      </c>
      <c r="P921" s="817" t="b">
        <f t="shared" ref="P921" si="1224">L921&gt;D921</f>
        <v>0</v>
      </c>
      <c r="Q921" s="802">
        <f>COUNTIF(P$2:P921, TRUE)/(COUNTIF(P$2:P921,FALSE) + COUNTIF(P$2:P921, TRUE))</f>
        <v>0.4891304347826087</v>
      </c>
      <c r="R921" s="844">
        <v>201501.82</v>
      </c>
      <c r="S921" s="846">
        <f t="shared" ref="S921" si="1225">I921-R921</f>
        <v>90899.039999999979</v>
      </c>
      <c r="T921" s="800"/>
      <c r="U921" s="800"/>
      <c r="V921" s="802">
        <f>STDEV(D$2:D921)*SQRT(252)</f>
        <v>0.14475651608985191</v>
      </c>
      <c r="W921" s="802">
        <f>STDEV(L$2:L921)*SQRT(252)</f>
        <v>0.24422328117464936</v>
      </c>
      <c r="X921" s="801">
        <f t="shared" ref="X921" si="1226">E921/(A921/365.25)/V921</f>
        <v>0.70537202373405294</v>
      </c>
      <c r="Y921" s="801">
        <f t="shared" ref="Y921" si="1227">O921/W921</f>
        <v>0.49283457337937114</v>
      </c>
      <c r="Z921" s="807">
        <f t="shared" ref="Z921" si="1228">-(E921-N921)</f>
        <v>7.0069215051083433E-2</v>
      </c>
    </row>
    <row r="922" spans="1:26" ht="20.100000000000001" customHeight="1" x14ac:dyDescent="0.2">
      <c r="A922" s="776">
        <f t="shared" ref="A922" si="1229">B922-$B$2</f>
        <v>1403</v>
      </c>
      <c r="B922" s="795">
        <v>43636</v>
      </c>
      <c r="C922" s="820">
        <v>2954.18</v>
      </c>
      <c r="D922" s="792">
        <f t="shared" ref="D922" si="1230">(C922-C921)/C921</f>
        <v>9.4721950752785951E-3</v>
      </c>
      <c r="E922" s="819">
        <f t="shared" ref="E922" si="1231">(C922-$C$2)/$C$2</f>
        <v>0.40511976560567708</v>
      </c>
      <c r="F922" s="816">
        <v>8051.34</v>
      </c>
      <c r="G922" s="792">
        <f t="shared" ref="G922" si="1232">(F922-F921)/F921</f>
        <v>8.015204098496171E-3</v>
      </c>
      <c r="H922" s="797">
        <f t="shared" ref="H922" si="1233">(F922-F$2)/F$2</f>
        <v>0.58126755307657574</v>
      </c>
      <c r="I922" s="841">
        <v>295186.48</v>
      </c>
      <c r="J922" s="800">
        <v>200000</v>
      </c>
      <c r="K922" s="800">
        <f t="shared" ref="K922" si="1234">I922-I921-J922+J921</f>
        <v>2785.6199999999953</v>
      </c>
      <c r="L922" s="792">
        <f t="shared" ref="L922" si="1235">K922/I921</f>
        <v>9.5267161662930654E-3</v>
      </c>
      <c r="M922" s="817">
        <f t="shared" ref="M922" si="1236">I922-J922</f>
        <v>95186.479999999981</v>
      </c>
      <c r="N922" s="802">
        <f t="shared" ref="N922" si="1237">M922/J922</f>
        <v>0.47593239999999992</v>
      </c>
      <c r="O922" s="786">
        <f t="shared" ref="O922" si="1238">N922/(A922/365.25)</f>
        <v>0.12390185965787595</v>
      </c>
      <c r="P922" s="817" t="b">
        <f t="shared" ref="P922" si="1239">L922&gt;D922</f>
        <v>1</v>
      </c>
      <c r="Q922" s="802">
        <f>COUNTIF(P$2:P922, TRUE)/(COUNTIF(P$2:P922,FALSE) + COUNTIF(P$2:P922, TRUE))</f>
        <v>0.48968512486427795</v>
      </c>
      <c r="R922" s="844">
        <v>210312.42</v>
      </c>
      <c r="S922" s="846">
        <f t="shared" ref="S922" si="1240">I922-R922</f>
        <v>84874.059999999969</v>
      </c>
      <c r="T922" s="800">
        <v>-43380</v>
      </c>
      <c r="U922" s="800">
        <f t="shared" si="1195"/>
        <v>138566.47999999998</v>
      </c>
      <c r="V922" s="802">
        <f>STDEV(D$2:D922)*SQRT(252)</f>
        <v>0.14475560337555893</v>
      </c>
      <c r="W922" s="802">
        <f>STDEV(L$2:L922)*SQRT(252)</f>
        <v>0.24413640980195364</v>
      </c>
      <c r="X922" s="801">
        <f t="shared" ref="X922" si="1241">E922/(A922/365.25)/V922</f>
        <v>0.7285856317531596</v>
      </c>
      <c r="Y922" s="801">
        <f t="shared" ref="Y922" si="1242">O922/W922</f>
        <v>0.50751077956125679</v>
      </c>
      <c r="Z922" s="807">
        <f t="shared" ref="Z922" si="1243">-(E922-N922)</f>
        <v>7.0812634394322838E-2</v>
      </c>
    </row>
    <row r="923" spans="1:26" ht="20.100000000000001" customHeight="1" x14ac:dyDescent="0.2">
      <c r="A923" s="776">
        <f t="shared" ref="A923" si="1244">B923-$B$2</f>
        <v>1404</v>
      </c>
      <c r="B923" s="795">
        <v>43637</v>
      </c>
      <c r="C923" s="820">
        <v>2950.46</v>
      </c>
      <c r="D923" s="792">
        <f t="shared" ref="D923" si="1245">(C923-C922)/C922</f>
        <v>-1.2592326804730246E-3</v>
      </c>
      <c r="E923" s="819">
        <f t="shared" ref="E923" si="1246">(C923-$C$2)/$C$2</f>
        <v>0.40335039287684782</v>
      </c>
      <c r="F923" s="816">
        <v>8031.7</v>
      </c>
      <c r="G923" s="792">
        <f t="shared" ref="G923" si="1247">(F923-F922)/F922</f>
        <v>-2.4393455002521725E-3</v>
      </c>
      <c r="H923" s="797">
        <f t="shared" ref="H923" si="1248">(F923-F$2)/F$2</f>
        <v>0.57741029518628362</v>
      </c>
      <c r="I923" s="841">
        <v>295644.83</v>
      </c>
      <c r="J923" s="800">
        <v>200000</v>
      </c>
      <c r="K923" s="800">
        <f t="shared" ref="K923" si="1249">I923-I922-J923+J922</f>
        <v>458.35000000003492</v>
      </c>
      <c r="L923" s="792">
        <f t="shared" ref="L923" si="1250">K923/I922</f>
        <v>1.5527472667448555E-3</v>
      </c>
      <c r="M923" s="817">
        <f t="shared" ref="M923" si="1251">I923-J923</f>
        <v>95644.830000000016</v>
      </c>
      <c r="N923" s="802">
        <f t="shared" ref="N923" si="1252">M923/J923</f>
        <v>0.47822415000000007</v>
      </c>
      <c r="O923" s="786">
        <f t="shared" ref="O923" si="1253">N923/(A923/365.25)</f>
        <v>0.12440980825320515</v>
      </c>
      <c r="P923" s="817" t="b">
        <f t="shared" ref="P923" si="1254">L923&gt;D923</f>
        <v>1</v>
      </c>
      <c r="Q923" s="802">
        <f>COUNTIF(P$2:P923, TRUE)/(COUNTIF(P$2:P923,FALSE) + COUNTIF(P$2:P923, TRUE))</f>
        <v>0.49023861171366595</v>
      </c>
      <c r="R923" s="844">
        <v>207364.56</v>
      </c>
      <c r="S923" s="846">
        <f t="shared" ref="S923" si="1255">I923-R923</f>
        <v>88280.270000000019</v>
      </c>
      <c r="T923" s="800">
        <v>-42401</v>
      </c>
      <c r="U923" s="800">
        <f t="shared" ref="U923" si="1256">M923-T923</f>
        <v>138045.83000000002</v>
      </c>
      <c r="V923" s="802">
        <f>STDEV(D$2:D923)*SQRT(252)</f>
        <v>0.144679549369371</v>
      </c>
      <c r="W923" s="802">
        <f>STDEV(L$2:L923)*SQRT(252)</f>
        <v>0.24400433876033914</v>
      </c>
      <c r="X923" s="801">
        <f t="shared" ref="X923" si="1257">E923/(A923/365.25)/V923</f>
        <v>0.72526789578986217</v>
      </c>
      <c r="Y923" s="801">
        <f t="shared" ref="Y923" si="1258">O923/W923</f>
        <v>0.50986719697390448</v>
      </c>
      <c r="Z923" s="807">
        <f t="shared" ref="Z923" si="1259">-(E923-N923)</f>
        <v>7.4873757123152251E-2</v>
      </c>
    </row>
    <row r="924" spans="1:26" ht="20.100000000000001" customHeight="1" x14ac:dyDescent="0.2">
      <c r="A924" s="776">
        <f t="shared" ref="A924" si="1260">B924-$B$2</f>
        <v>1407</v>
      </c>
      <c r="B924" s="795">
        <v>43640</v>
      </c>
      <c r="C924" s="820">
        <v>2945.35</v>
      </c>
      <c r="D924" s="792">
        <f t="shared" ref="D924" si="1261">(C924-C923)/C923</f>
        <v>-1.7319333256509586E-3</v>
      </c>
      <c r="E924" s="819">
        <f t="shared" ref="E924" si="1262">(C924-$C$2)/$C$2</f>
        <v>0.40091988356385905</v>
      </c>
      <c r="F924" s="816">
        <v>8005.69</v>
      </c>
      <c r="G924" s="792">
        <f t="shared" ref="G924" si="1263">(F924-F923)/F923</f>
        <v>-3.2384177695880347E-3</v>
      </c>
      <c r="H924" s="797">
        <f t="shared" ref="H924" si="1264">(F924-F$2)/F$2</f>
        <v>0.57230198165642121</v>
      </c>
      <c r="I924" s="841">
        <v>292944.21000000002</v>
      </c>
      <c r="J924" s="800">
        <v>200000</v>
      </c>
      <c r="K924" s="800">
        <f t="shared" ref="K924" si="1265">I924-I923-J924+J923</f>
        <v>-2700.6199999999953</v>
      </c>
      <c r="L924" s="792">
        <f t="shared" ref="L924" si="1266">K924/I923</f>
        <v>-9.134676902687577E-3</v>
      </c>
      <c r="M924" s="817">
        <f t="shared" ref="M924" si="1267">I924-J924</f>
        <v>92944.210000000021</v>
      </c>
      <c r="N924" s="802">
        <f t="shared" ref="N924" si="1268">M924/J924</f>
        <v>0.46472105000000008</v>
      </c>
      <c r="O924" s="786">
        <f t="shared" ref="O924" si="1269">N924/(A924/365.25)</f>
        <v>0.12063920647654586</v>
      </c>
      <c r="P924" s="817" t="b">
        <f t="shared" ref="P924" si="1270">L924&gt;D924</f>
        <v>0</v>
      </c>
      <c r="Q924" s="802">
        <f>COUNTIF(P$2:P924, TRUE)/(COUNTIF(P$2:P924,FALSE) + COUNTIF(P$2:P924, TRUE))</f>
        <v>0.48970747562296857</v>
      </c>
      <c r="R924" s="844">
        <v>220283.14</v>
      </c>
      <c r="S924" s="846">
        <f t="shared" ref="S924" si="1271">I924-R924</f>
        <v>72661.070000000007</v>
      </c>
      <c r="T924" s="800">
        <v>-43487</v>
      </c>
      <c r="U924" s="800">
        <f t="shared" ref="U924" si="1272">M924-T924</f>
        <v>136431.21000000002</v>
      </c>
      <c r="V924" s="802">
        <f>STDEV(D$2:D924)*SQRT(252)</f>
        <v>0.14460531703736179</v>
      </c>
      <c r="W924" s="802">
        <f>STDEV(L$2:L924)*SQRT(252)</f>
        <v>0.24392362124250982</v>
      </c>
      <c r="X924" s="801">
        <f t="shared" ref="X924" si="1273">E924/(A924/365.25)/V924</f>
        <v>0.71972976021814306</v>
      </c>
      <c r="Y924" s="801">
        <f t="shared" ref="Y924" si="1274">O924/W924</f>
        <v>0.49457779390953649</v>
      </c>
      <c r="Z924" s="807">
        <f t="shared" ref="Z924" si="1275">-(E924-N924)</f>
        <v>6.3801166436141032E-2</v>
      </c>
    </row>
    <row r="925" spans="1:26" ht="20.100000000000001" customHeight="1" x14ac:dyDescent="0.2">
      <c r="A925" s="776">
        <f t="shared" ref="A925" si="1276">B925-$B$2</f>
        <v>1408</v>
      </c>
      <c r="B925" s="795">
        <v>43641</v>
      </c>
      <c r="C925" s="820">
        <v>2917.38</v>
      </c>
      <c r="D925" s="792">
        <f t="shared" ref="D925" si="1277">(C925-C924)/C924</f>
        <v>-9.4963247152290223E-3</v>
      </c>
      <c r="E925" s="819">
        <f t="shared" ref="E925" si="1278">(C925-$C$2)/$C$2</f>
        <v>0.38761629344951581</v>
      </c>
      <c r="F925" s="816">
        <v>7884.71</v>
      </c>
      <c r="G925" s="792">
        <f t="shared" ref="G925" si="1279">(F925-F924)/F924</f>
        <v>-1.5111751766555983E-2</v>
      </c>
      <c r="H925" s="797">
        <f t="shared" ref="H925" si="1280">(F925-F$2)/F$2</f>
        <v>0.54854174440756531</v>
      </c>
      <c r="I925" s="841">
        <v>294354.13</v>
      </c>
      <c r="J925" s="800">
        <v>200000</v>
      </c>
      <c r="K925" s="800">
        <f t="shared" ref="K925" si="1281">I925-I924-J925+J924</f>
        <v>1409.9199999999837</v>
      </c>
      <c r="L925" s="792">
        <f t="shared" ref="L925" si="1282">K925/I924</f>
        <v>4.8129300797581341E-3</v>
      </c>
      <c r="M925" s="817">
        <f t="shared" ref="M925" si="1283">I925-J925</f>
        <v>94354.13</v>
      </c>
      <c r="N925" s="802">
        <f t="shared" ref="N925" si="1284">M925/J925</f>
        <v>0.47177065000000001</v>
      </c>
      <c r="O925" s="786">
        <f t="shared" ref="O925" si="1285">N925/(A925/365.25)</f>
        <v>0.12238226556285511</v>
      </c>
      <c r="P925" s="817" t="b">
        <f t="shared" ref="P925" si="1286">L925&gt;D925</f>
        <v>1</v>
      </c>
      <c r="Q925" s="802">
        <f>COUNTIF(P$2:P925, TRUE)/(COUNTIF(P$2:P925,FALSE) + COUNTIF(P$2:P925, TRUE))</f>
        <v>0.49025974025974028</v>
      </c>
      <c r="R925" s="844">
        <v>229216.24</v>
      </c>
      <c r="S925" s="846">
        <f t="shared" ref="S925" si="1287">I925-R925</f>
        <v>65137.890000000014</v>
      </c>
      <c r="T925" s="800">
        <v>-42255</v>
      </c>
      <c r="U925" s="800">
        <f t="shared" ref="U925" si="1288">M925-T925</f>
        <v>136609.13</v>
      </c>
      <c r="V925" s="802">
        <f>STDEV(D$2:D925)*SQRT(252)</f>
        <v>0.1446194865402943</v>
      </c>
      <c r="W925" s="802">
        <f>STDEV(L$2:L925)*SQRT(252)</f>
        <v>0.24380187385596575</v>
      </c>
      <c r="X925" s="801">
        <f t="shared" ref="X925" si="1289">E925/(A925/365.25)/V925</f>
        <v>0.69528486998603889</v>
      </c>
      <c r="Y925" s="801">
        <f t="shared" ref="Y925" si="1290">O925/W925</f>
        <v>0.50197426142490031</v>
      </c>
      <c r="Z925" s="807">
        <f t="shared" ref="Z925" si="1291">-(E925-N925)</f>
        <v>8.4154356550484199E-2</v>
      </c>
    </row>
    <row r="926" spans="1:26" ht="20.100000000000001" customHeight="1" x14ac:dyDescent="0.2">
      <c r="A926" s="776">
        <f t="shared" ref="A926" si="1292">B926-$B$2</f>
        <v>1409</v>
      </c>
      <c r="B926" s="795">
        <v>43642</v>
      </c>
      <c r="C926" s="820">
        <v>2913.78</v>
      </c>
      <c r="D926" s="792">
        <f t="shared" ref="D926" si="1293">(C926-C925)/C925</f>
        <v>-1.2339839170762495E-3</v>
      </c>
      <c r="E926" s="819">
        <f t="shared" ref="E926" si="1294">(C926-$C$2)/$C$2</f>
        <v>0.38590399726032615</v>
      </c>
      <c r="F926" s="816">
        <v>7909.97</v>
      </c>
      <c r="G926" s="792">
        <f t="shared" ref="G926" si="1295">(F926-F925)/F925</f>
        <v>3.2036688730467219E-3</v>
      </c>
      <c r="H926" s="797">
        <f t="shared" ref="H926" si="1296">(F926-F$2)/F$2</f>
        <v>0.5535027593927373</v>
      </c>
      <c r="I926" s="841">
        <v>297196.7</v>
      </c>
      <c r="J926" s="800">
        <v>200000</v>
      </c>
      <c r="K926" s="800">
        <f t="shared" ref="K926" si="1297">I926-I925-J926+J925</f>
        <v>2842.570000000007</v>
      </c>
      <c r="L926" s="792">
        <f t="shared" ref="L926" si="1298">K926/I925</f>
        <v>9.6569733878033477E-3</v>
      </c>
      <c r="M926" s="817">
        <f t="shared" ref="M926" si="1299">I926-J926</f>
        <v>97196.700000000012</v>
      </c>
      <c r="N926" s="802">
        <f t="shared" ref="N926" si="1300">M926/J926</f>
        <v>0.48598350000000007</v>
      </c>
      <c r="O926" s="786">
        <f t="shared" ref="O926" si="1301">N926/(A926/365.25)</f>
        <v>0.12597975399219305</v>
      </c>
      <c r="P926" s="817" t="b">
        <f t="shared" ref="P926" si="1302">L926&gt;D926</f>
        <v>1</v>
      </c>
      <c r="Q926" s="802">
        <f>COUNTIF(P$2:P926, TRUE)/(COUNTIF(P$2:P926,FALSE) + COUNTIF(P$2:P926, TRUE))</f>
        <v>0.49081081081081079</v>
      </c>
      <c r="R926" s="844">
        <v>232021.9</v>
      </c>
      <c r="S926" s="846">
        <f t="shared" ref="S926" si="1303">I926-R926</f>
        <v>65174.800000000017</v>
      </c>
      <c r="T926" s="800"/>
      <c r="U926" s="800"/>
      <c r="V926" s="802">
        <f>STDEV(D$2:D926)*SQRT(252)</f>
        <v>0.14454363111161053</v>
      </c>
      <c r="W926" s="802">
        <f>STDEV(L$2:L926)*SQRT(252)</f>
        <v>0.24371696230556017</v>
      </c>
      <c r="X926" s="801">
        <f t="shared" ref="X926" si="1304">E926/(A926/365.25)/V926</f>
        <v>0.69208517762698429</v>
      </c>
      <c r="Y926" s="801">
        <f t="shared" ref="Y926" si="1305">O926/W926</f>
        <v>0.51691007798729216</v>
      </c>
      <c r="Z926" s="807">
        <f t="shared" ref="Z926" si="1306">-(E926-N926)</f>
        <v>0.10007950273967392</v>
      </c>
    </row>
    <row r="927" spans="1:26" ht="20.100000000000001" customHeight="1" x14ac:dyDescent="0.2">
      <c r="A927" s="776">
        <f t="shared" ref="A927" si="1307">B927-$B$2</f>
        <v>1410</v>
      </c>
      <c r="B927" s="795">
        <v>43643</v>
      </c>
      <c r="C927" s="820">
        <v>2924.92</v>
      </c>
      <c r="D927" s="792">
        <f t="shared" ref="D927" si="1308">(C927-C926)/C926</f>
        <v>3.8232124594169332E-3</v>
      </c>
      <c r="E927" s="819">
        <f t="shared" ref="E927" si="1309">(C927-$C$2)/$C$2</f>
        <v>0.39120260269020757</v>
      </c>
      <c r="F927" s="816">
        <v>7967.75</v>
      </c>
      <c r="G927" s="792">
        <f t="shared" ref="G927" si="1310">(F927-F926)/F926</f>
        <v>7.3047053275802241E-3</v>
      </c>
      <c r="H927" s="797">
        <f t="shared" ref="H927" si="1311">(F927-F$2)/F$2</f>
        <v>0.56485063927568402</v>
      </c>
      <c r="I927" s="841">
        <v>297430.07</v>
      </c>
      <c r="J927" s="800">
        <v>200000</v>
      </c>
      <c r="K927" s="800">
        <f t="shared" ref="K927" si="1312">I927-I926-J927+J926</f>
        <v>233.36999999999534</v>
      </c>
      <c r="L927" s="792">
        <f t="shared" ref="L927" si="1313">K927/I926</f>
        <v>7.8523752114338869E-4</v>
      </c>
      <c r="M927" s="817">
        <f t="shared" ref="M927" si="1314">I927-J927</f>
        <v>97430.07</v>
      </c>
      <c r="N927" s="802">
        <f t="shared" ref="N927" si="1315">M927/J927</f>
        <v>0.48715035000000001</v>
      </c>
      <c r="O927" s="786">
        <f t="shared" ref="O927" si="1316">N927/(A927/365.25)</f>
        <v>0.12619267045212768</v>
      </c>
      <c r="P927" s="817" t="b">
        <f t="shared" ref="P927" si="1317">L927&gt;D927</f>
        <v>0</v>
      </c>
      <c r="Q927" s="802">
        <f>COUNTIF(P$2:P927, TRUE)/(COUNTIF(P$2:P927,FALSE) + COUNTIF(P$2:P927, TRUE))</f>
        <v>0.49028077753779697</v>
      </c>
      <c r="R927" s="844">
        <v>232255.35999999999</v>
      </c>
      <c r="S927" s="846">
        <f t="shared" ref="S927" si="1318">I927-R927</f>
        <v>65174.710000000021</v>
      </c>
      <c r="T927" s="800"/>
      <c r="U927" s="800"/>
      <c r="V927" s="802">
        <f>STDEV(D$2:D927)*SQRT(252)</f>
        <v>0.14447647686814663</v>
      </c>
      <c r="W927" s="802">
        <f>STDEV(L$2:L927)*SQRT(252)</f>
        <v>0.2435850961491518</v>
      </c>
      <c r="X927" s="801">
        <f t="shared" ref="X927" si="1319">E927/(A927/365.25)/V927</f>
        <v>0.70141605895132142</v>
      </c>
      <c r="Y927" s="801">
        <f t="shared" ref="Y927" si="1320">O927/W927</f>
        <v>0.51806400492933891</v>
      </c>
      <c r="Z927" s="807">
        <f t="shared" ref="Z927" si="1321">-(E927-N927)</f>
        <v>9.5947747309792442E-2</v>
      </c>
    </row>
    <row r="928" spans="1:26" ht="20.100000000000001" customHeight="1" x14ac:dyDescent="0.2">
      <c r="A928" s="776">
        <f t="shared" ref="A928" si="1322">B928-$B$2</f>
        <v>1411</v>
      </c>
      <c r="B928" s="795">
        <v>43644</v>
      </c>
      <c r="C928" s="820">
        <v>2941.76</v>
      </c>
      <c r="D928" s="792">
        <f t="shared" ref="D928" si="1323">(C928-C927)/C927</f>
        <v>5.757422425228774E-3</v>
      </c>
      <c r="E928" s="819">
        <f t="shared" ref="E928" si="1324">(C928-$C$2)/$C$2</f>
        <v>0.39921234375297282</v>
      </c>
      <c r="F928" s="816">
        <v>8006.24</v>
      </c>
      <c r="G928" s="792">
        <f t="shared" ref="G928" si="1325">(F928-F927)/F927</f>
        <v>4.8307238555426292E-3</v>
      </c>
      <c r="H928" s="797">
        <f t="shared" ref="H928" si="1326">(F928-F$2)/F$2</f>
        <v>0.57241000058919422</v>
      </c>
      <c r="I928" s="841">
        <v>299186.87</v>
      </c>
      <c r="J928" s="800">
        <v>200000</v>
      </c>
      <c r="K928" s="800">
        <f t="shared" ref="K928" si="1327">I928-I927-J928+J927</f>
        <v>1756.7999999999884</v>
      </c>
      <c r="L928" s="792">
        <f t="shared" ref="L928" si="1328">K928/I927</f>
        <v>5.9065984821238425E-3</v>
      </c>
      <c r="M928" s="817">
        <f t="shared" ref="M928" si="1329">I928-J928</f>
        <v>99186.87</v>
      </c>
      <c r="N928" s="802">
        <f t="shared" ref="N928" si="1330">M928/J928</f>
        <v>0.49593434999999997</v>
      </c>
      <c r="O928" s="786">
        <f t="shared" ref="O928" si="1331">N928/(A928/365.25)</f>
        <v>0.12837705268426647</v>
      </c>
      <c r="P928" s="817" t="b">
        <f t="shared" ref="P928" si="1332">L928&gt;D928</f>
        <v>1</v>
      </c>
      <c r="Q928" s="802">
        <f>COUNTIF(P$2:P928, TRUE)/(COUNTIF(P$2:P928,FALSE) + COUNTIF(P$2:P928, TRUE))</f>
        <v>0.49083063646170444</v>
      </c>
      <c r="R928" s="844">
        <v>219230.2</v>
      </c>
      <c r="S928" s="846">
        <f t="shared" ref="S928" si="1333">I928-R928</f>
        <v>79956.669999999984</v>
      </c>
      <c r="T928" s="800"/>
      <c r="U928" s="800"/>
      <c r="V928" s="802">
        <f>STDEV(D$2:D928)*SQRT(252)</f>
        <v>0.14442542047345583</v>
      </c>
      <c r="W928" s="802">
        <f>STDEV(L$2:L928)*SQRT(252)</f>
        <v>0.2434698298739886</v>
      </c>
      <c r="X928" s="801">
        <f t="shared" ref="X928" si="1334">E928/(A928/365.25)/V928</f>
        <v>0.71552288987131085</v>
      </c>
      <c r="Y928" s="801">
        <f t="shared" ref="Y928" si="1335">O928/W928</f>
        <v>0.52728115327763569</v>
      </c>
      <c r="Z928" s="807">
        <f t="shared" ref="Z928" si="1336">-(E928-N928)</f>
        <v>9.6722006247027148E-2</v>
      </c>
    </row>
    <row r="929" spans="1:26" ht="20.100000000000001" customHeight="1" x14ac:dyDescent="0.2">
      <c r="A929" s="776">
        <f t="shared" ref="A929" si="1337">B929-$B$2</f>
        <v>1414</v>
      </c>
      <c r="B929" s="795">
        <v>43647</v>
      </c>
      <c r="C929" s="820">
        <v>2964.33</v>
      </c>
      <c r="D929" s="792">
        <f t="shared" ref="D929" si="1338">(C929-C928)/C928</f>
        <v>7.6722778200803967E-3</v>
      </c>
      <c r="E929" s="819">
        <f t="shared" ref="E929" si="1339">(C929-$C$2)/$C$2</f>
        <v>0.40994748958353144</v>
      </c>
      <c r="F929" s="816">
        <v>8091.16</v>
      </c>
      <c r="G929" s="792">
        <f t="shared" ref="G929" si="1340">(F929-F928)/F928</f>
        <v>1.0606726753132565E-2</v>
      </c>
      <c r="H929" s="797">
        <f t="shared" ref="H929" si="1341">(F929-F$2)/F$2</f>
        <v>0.58908812380933684</v>
      </c>
      <c r="I929" s="841">
        <v>300505.87</v>
      </c>
      <c r="J929" s="800">
        <v>200000</v>
      </c>
      <c r="K929" s="800">
        <f t="shared" ref="K929" si="1342">I929-I928-J929+J928</f>
        <v>1319</v>
      </c>
      <c r="L929" s="792">
        <f t="shared" ref="L929" si="1343">K929/I928</f>
        <v>4.4086159262269765E-3</v>
      </c>
      <c r="M929" s="817">
        <f t="shared" ref="M929" si="1344">I929-J929</f>
        <v>100505.87</v>
      </c>
      <c r="N929" s="802">
        <f t="shared" ref="N929" si="1345">M929/J929</f>
        <v>0.50252934999999999</v>
      </c>
      <c r="O929" s="786">
        <f t="shared" ref="O929" si="1346">N929/(A929/365.25)</f>
        <v>0.12980823556400284</v>
      </c>
      <c r="P929" s="817" t="b">
        <f t="shared" ref="P929" si="1347">L929&gt;D929</f>
        <v>0</v>
      </c>
      <c r="Q929" s="802">
        <f>COUNTIF(P$2:P929, TRUE)/(COUNTIF(P$2:P929,FALSE) + COUNTIF(P$2:P929, TRUE))</f>
        <v>0.49030172413793105</v>
      </c>
      <c r="R929" s="844">
        <v>219022.36</v>
      </c>
      <c r="S929" s="846">
        <f t="shared" ref="S929" si="1348">I929-R929</f>
        <v>81483.510000000009</v>
      </c>
      <c r="T929" s="800"/>
      <c r="U929" s="800"/>
      <c r="V929" s="802">
        <f>STDEV(D$2:D929)*SQRT(252)</f>
        <v>0.1443971494228829</v>
      </c>
      <c r="W929" s="802">
        <f>STDEV(L$2:L929)*SQRT(252)</f>
        <v>0.24334691096328048</v>
      </c>
      <c r="X929" s="801">
        <f t="shared" ref="X929" si="1349">E929/(A929/365.25)/V929</f>
        <v>0.73334853135677136</v>
      </c>
      <c r="Y929" s="801">
        <f t="shared" ref="Y929" si="1350">O929/W929</f>
        <v>0.53342873780547018</v>
      </c>
      <c r="Z929" s="807">
        <f t="shared" ref="Z929" si="1351">-(E929-N929)</f>
        <v>9.2581860416468542E-2</v>
      </c>
    </row>
    <row r="930" spans="1:26" ht="20.100000000000001" customHeight="1" x14ac:dyDescent="0.2">
      <c r="A930" s="776">
        <f t="shared" ref="A930" si="1352">B930-$B$2</f>
        <v>1415</v>
      </c>
      <c r="B930" s="795">
        <v>43648</v>
      </c>
      <c r="C930" s="820">
        <v>2973.01</v>
      </c>
      <c r="D930" s="792">
        <f t="shared" ref="D930" si="1353">(C930-C929)/C929</f>
        <v>2.9281490252435764E-3</v>
      </c>
      <c r="E930" s="819">
        <f t="shared" ref="E930" si="1354">(C930-$C$2)/$C$2</f>
        <v>0.41407602595080006</v>
      </c>
      <c r="F930" s="816">
        <v>8109.09</v>
      </c>
      <c r="G930" s="792">
        <f t="shared" ref="G930" si="1355">(F930-F929)/F929</f>
        <v>2.2159986948719701E-3</v>
      </c>
      <c r="H930" s="797">
        <f t="shared" ref="H930" si="1356">(F930-F$2)/F$2</f>
        <v>0.59260954101773478</v>
      </c>
      <c r="I930" s="841">
        <v>296218.53999999998</v>
      </c>
      <c r="J930" s="800">
        <v>200000</v>
      </c>
      <c r="K930" s="800">
        <f t="shared" ref="K930" si="1357">I930-I929-J930+J929</f>
        <v>-4287.3300000000163</v>
      </c>
      <c r="L930" s="792">
        <f t="shared" ref="L930" si="1358">K930/I929</f>
        <v>-1.4267042437473905E-2</v>
      </c>
      <c r="M930" s="817">
        <f t="shared" ref="M930" si="1359">I930-J930</f>
        <v>96218.539999999979</v>
      </c>
      <c r="N930" s="802">
        <f t="shared" ref="N930" si="1360">M930/J930</f>
        <v>0.48109269999999987</v>
      </c>
      <c r="O930" s="786">
        <f t="shared" ref="O930" si="1361">N930/(A930/365.25)</f>
        <v>0.12418311567137805</v>
      </c>
      <c r="P930" s="817" t="b">
        <f t="shared" ref="P930" si="1362">L930&gt;D930</f>
        <v>0</v>
      </c>
      <c r="Q930" s="802">
        <f>COUNTIF(P$2:P930, TRUE)/(COUNTIF(P$2:P930,FALSE) + COUNTIF(P$2:P930, TRUE))</f>
        <v>0.48977395048439182</v>
      </c>
      <c r="R930" s="844">
        <v>221451.08</v>
      </c>
      <c r="S930" s="846">
        <f t="shared" ref="S930" si="1363">I930-R930</f>
        <v>74767.459999999992</v>
      </c>
      <c r="T930" s="800"/>
      <c r="U930" s="800"/>
      <c r="V930" s="802">
        <f>STDEV(D$2:D930)*SQRT(252)</f>
        <v>0.14432520031780793</v>
      </c>
      <c r="W930" s="802">
        <f>STDEV(L$2:L930)*SQRT(252)</f>
        <v>0.24333722036238817</v>
      </c>
      <c r="X930" s="801">
        <f t="shared" ref="X930" si="1364">E930/(A930/365.25)/V930</f>
        <v>0.74057952763650492</v>
      </c>
      <c r="Y930" s="801">
        <f t="shared" ref="Y930" si="1365">O930/W930</f>
        <v>0.51033341913924735</v>
      </c>
      <c r="Z930" s="807">
        <f t="shared" ref="Z930" si="1366">-(E930-N930)</f>
        <v>6.7016674049199809E-2</v>
      </c>
    </row>
    <row r="931" spans="1:26" ht="20.100000000000001" customHeight="1" x14ac:dyDescent="0.2">
      <c r="A931" s="776">
        <f t="shared" ref="A931" si="1367">B931-$B$2</f>
        <v>1416</v>
      </c>
      <c r="B931" s="795">
        <v>43649</v>
      </c>
      <c r="C931" s="820">
        <v>2995.82</v>
      </c>
      <c r="D931" s="792">
        <f t="shared" ref="D931" si="1368">(C931-C930)/C930</f>
        <v>7.6723589897107454E-3</v>
      </c>
      <c r="E931" s="819">
        <f t="shared" ref="E931" si="1369">(C931-$C$2)/$C$2</f>
        <v>0.42492532486063816</v>
      </c>
      <c r="F931" s="816">
        <v>8170.23</v>
      </c>
      <c r="G931" s="792">
        <f t="shared" ref="G931" si="1370">(F931-F930)/F930</f>
        <v>7.5396869439110208E-3</v>
      </c>
      <c r="H931" s="797">
        <f t="shared" ref="H931" si="1371">(F931-F$2)/F$2</f>
        <v>0.60461731838089439</v>
      </c>
      <c r="I931" s="841">
        <v>298370.77</v>
      </c>
      <c r="J931" s="800">
        <v>200000</v>
      </c>
      <c r="K931" s="800">
        <f t="shared" ref="K931" si="1372">I931-I930-J931+J930</f>
        <v>2152.2300000000396</v>
      </c>
      <c r="L931" s="792">
        <f t="shared" ref="L931" si="1373">K931/I930</f>
        <v>7.2656829650164356E-3</v>
      </c>
      <c r="M931" s="817">
        <f t="shared" ref="M931" si="1374">I931-J931</f>
        <v>98370.770000000019</v>
      </c>
      <c r="N931" s="802">
        <f t="shared" ref="N931" si="1375">M931/J931</f>
        <v>0.49185385000000009</v>
      </c>
      <c r="O931" s="786">
        <f t="shared" ref="O931" si="1376">N931/(A931/365.25)</f>
        <v>0.12687119965572036</v>
      </c>
      <c r="P931" s="817" t="b">
        <f t="shared" ref="P931" si="1377">L931&gt;D931</f>
        <v>0</v>
      </c>
      <c r="Q931" s="802">
        <f>COUNTIF(P$2:P931, TRUE)/(COUNTIF(P$2:P931,FALSE) + COUNTIF(P$2:P931, TRUE))</f>
        <v>0.489247311827957</v>
      </c>
      <c r="R931" s="844">
        <v>221333.36</v>
      </c>
      <c r="S931" s="846">
        <f t="shared" ref="S931" si="1378">I931-R931</f>
        <v>77037.410000000033</v>
      </c>
      <c r="T931" s="800"/>
      <c r="U931" s="800"/>
      <c r="V931" s="802">
        <f>STDEV(D$2:D931)*SQRT(252)</f>
        <v>0.14429693582091482</v>
      </c>
      <c r="W931" s="802">
        <f>STDEV(L$2:L931)*SQRT(252)</f>
        <v>0.24323177106447086</v>
      </c>
      <c r="X931" s="801">
        <f t="shared" ref="X931" si="1379">E931/(A931/365.25)/V931</f>
        <v>0.7595956649182688</v>
      </c>
      <c r="Y931" s="801">
        <f t="shared" ref="Y931" si="1380">O931/W931</f>
        <v>0.52160619930729346</v>
      </c>
      <c r="Z931" s="807">
        <f t="shared" ref="Z931" si="1381">-(E931-N931)</f>
        <v>6.6928525139361927E-2</v>
      </c>
    </row>
    <row r="932" spans="1:26" ht="20.100000000000001" customHeight="1" x14ac:dyDescent="0.2">
      <c r="A932" s="776">
        <f t="shared" ref="A932" si="1382">B932-$B$2</f>
        <v>1418</v>
      </c>
      <c r="B932" s="795">
        <v>43651</v>
      </c>
      <c r="C932" s="820">
        <v>2990.41</v>
      </c>
      <c r="D932" s="792">
        <f t="shared" ref="D932" si="1383">(C932-C931)/C931</f>
        <v>-1.8058494836139384E-3</v>
      </c>
      <c r="E932" s="819">
        <f t="shared" ref="E932" si="1384">(C932-$C$2)/$C$2</f>
        <v>0.42235212419855017</v>
      </c>
      <c r="F932" s="816">
        <v>8161.79</v>
      </c>
      <c r="G932" s="792">
        <f t="shared" ref="G932" si="1385">(F932-F931)/F931</f>
        <v>-1.0330186543095604E-3</v>
      </c>
      <c r="H932" s="797">
        <f t="shared" ref="H932" si="1386">(F932-F$2)/F$2</f>
        <v>0.60295971875797871</v>
      </c>
      <c r="I932" s="841">
        <v>298558.45</v>
      </c>
      <c r="J932" s="800">
        <v>200000</v>
      </c>
      <c r="K932" s="800">
        <f t="shared" ref="K932" si="1387">I932-I931-J932+J931</f>
        <v>187.67999999999302</v>
      </c>
      <c r="L932" s="792">
        <f t="shared" ref="L932" si="1388">K932/I931</f>
        <v>6.2901603933921877E-4</v>
      </c>
      <c r="M932" s="817">
        <f t="shared" ref="M932" si="1389">I932-J932</f>
        <v>98558.450000000012</v>
      </c>
      <c r="N932" s="802">
        <f t="shared" ref="N932" si="1390">M932/J932</f>
        <v>0.49279225000000004</v>
      </c>
      <c r="O932" s="786">
        <f t="shared" ref="O932" si="1391">N932/(A932/365.25)</f>
        <v>0.12693396989598027</v>
      </c>
      <c r="P932" s="817" t="b">
        <f t="shared" ref="P932" si="1392">L932&gt;D932</f>
        <v>1</v>
      </c>
      <c r="Q932" s="802">
        <f>COUNTIF(P$2:P932, TRUE)/(COUNTIF(P$2:P932,FALSE) + COUNTIF(P$2:P932, TRUE))</f>
        <v>0.48979591836734693</v>
      </c>
      <c r="R932" s="844">
        <v>221521.04</v>
      </c>
      <c r="S932" s="846">
        <f t="shared" ref="S932" si="1393">I932-R932</f>
        <v>77037.41</v>
      </c>
      <c r="T932" s="800"/>
      <c r="U932" s="800"/>
      <c r="V932" s="802">
        <f>STDEV(D$2:D932)*SQRT(252)</f>
        <v>0.14422391727268513</v>
      </c>
      <c r="W932" s="802">
        <f>STDEV(L$2:L932)*SQRT(252)</f>
        <v>0.24310083684181399</v>
      </c>
      <c r="X932" s="801">
        <f t="shared" ref="X932" si="1394">E932/(A932/365.25)/V932</f>
        <v>0.75431264699515432</v>
      </c>
      <c r="Y932" s="801">
        <f t="shared" ref="Y932" si="1395">O932/W932</f>
        <v>0.52214534324526551</v>
      </c>
      <c r="Z932" s="807">
        <f t="shared" ref="Z932" si="1396">-(E932-N932)</f>
        <v>7.0440125801449871E-2</v>
      </c>
    </row>
    <row r="933" spans="1:26" ht="20.100000000000001" customHeight="1" x14ac:dyDescent="0.2">
      <c r="A933" s="776">
        <f t="shared" ref="A933" si="1397">B933-$B$2</f>
        <v>1421</v>
      </c>
      <c r="B933" s="795">
        <v>43654</v>
      </c>
      <c r="C933" s="820">
        <v>2975.95</v>
      </c>
      <c r="D933" s="792">
        <f t="shared" ref="D933" si="1398">(C933-C932)/C932</f>
        <v>-4.8354573453138656E-3</v>
      </c>
      <c r="E933" s="819">
        <f t="shared" ref="E933" si="1399">(C933-$C$2)/$C$2</f>
        <v>0.41547440117197149</v>
      </c>
      <c r="F933" s="816">
        <v>8098.38</v>
      </c>
      <c r="G933" s="792">
        <f t="shared" ref="G933" si="1400">(F933-F932)/F932</f>
        <v>-7.7691290758522156E-3</v>
      </c>
      <c r="H933" s="797">
        <f t="shared" ref="H933" si="1401">(F933-F$2)/F$2</f>
        <v>0.5905061177995562</v>
      </c>
      <c r="I933" s="841">
        <v>295611.11</v>
      </c>
      <c r="J933" s="800">
        <v>200000</v>
      </c>
      <c r="K933" s="800">
        <f t="shared" ref="K933" si="1402">I933-I932-J933+J932</f>
        <v>-2947.3400000000256</v>
      </c>
      <c r="L933" s="792">
        <f t="shared" ref="L933" si="1403">K933/I932</f>
        <v>-9.8719028049617276E-3</v>
      </c>
      <c r="M933" s="817">
        <f t="shared" ref="M933" si="1404">I933-J933</f>
        <v>95611.109999999986</v>
      </c>
      <c r="N933" s="802">
        <f t="shared" ref="N933" si="1405">M933/J933</f>
        <v>0.47805554999999994</v>
      </c>
      <c r="O933" s="786">
        <f t="shared" ref="O933" si="1406">N933/(A933/365.25)</f>
        <v>0.12287810671182264</v>
      </c>
      <c r="P933" s="817" t="b">
        <f t="shared" ref="P933" si="1407">L933&gt;D933</f>
        <v>0</v>
      </c>
      <c r="Q933" s="802">
        <f>COUNTIF(P$2:P933, TRUE)/(COUNTIF(P$2:P933,FALSE) + COUNTIF(P$2:P933, TRUE))</f>
        <v>0.48927038626609443</v>
      </c>
      <c r="R933" s="844">
        <v>223393.7</v>
      </c>
      <c r="S933" s="846">
        <f t="shared" ref="S933" si="1408">I933-R933</f>
        <v>72217.409999999974</v>
      </c>
      <c r="T933" s="800"/>
      <c r="U933" s="800"/>
      <c r="V933" s="802">
        <f>STDEV(D$2:D933)*SQRT(252)</f>
        <v>0.14417228789297992</v>
      </c>
      <c r="W933" s="802">
        <f>STDEV(L$2:L933)*SQRT(252)</f>
        <v>0.24302984540222991</v>
      </c>
      <c r="X933" s="801">
        <f t="shared" ref="X933" si="1409">E933/(A933/365.25)/V933</f>
        <v>0.74072777017157065</v>
      </c>
      <c r="Y933" s="801">
        <f t="shared" ref="Y933" si="1410">O933/W933</f>
        <v>0.50560912182802709</v>
      </c>
      <c r="Z933" s="807">
        <f t="shared" ref="Z933" si="1411">-(E933-N933)</f>
        <v>6.2581148828028454E-2</v>
      </c>
    </row>
    <row r="934" spans="1:26" ht="20.100000000000001" customHeight="1" x14ac:dyDescent="0.2">
      <c r="A934" s="776">
        <f t="shared" ref="A934" si="1412">B934-$B$2</f>
        <v>1422</v>
      </c>
      <c r="B934" s="795">
        <v>43655</v>
      </c>
      <c r="C934" s="820">
        <v>2979.63</v>
      </c>
      <c r="D934" s="792">
        <f t="shared" ref="D934" si="1413">(C934-C933)/C933</f>
        <v>1.2365799156572829E-3</v>
      </c>
      <c r="E934" s="819">
        <f t="shared" ref="E934" si="1414">(C934-$C$2)/$C$2</f>
        <v>0.41722474838758777</v>
      </c>
      <c r="F934" s="816">
        <v>8141.72</v>
      </c>
      <c r="G934" s="792">
        <f t="shared" ref="G934" si="1415">(F934-F933)/F933</f>
        <v>5.3516876214749305E-3</v>
      </c>
      <c r="H934" s="797">
        <f t="shared" ref="H934" si="1416">(F934-F$2)/F$2</f>
        <v>0.5990180097020642</v>
      </c>
      <c r="I934" s="841">
        <v>294624.46000000002</v>
      </c>
      <c r="J934" s="800">
        <v>200000</v>
      </c>
      <c r="K934" s="800">
        <f t="shared" ref="K934" si="1417">I934-I933-J934+J933</f>
        <v>-986.64999999996508</v>
      </c>
      <c r="L934" s="792">
        <f t="shared" ref="L934" si="1418">K934/I933</f>
        <v>-3.3376621061365561E-3</v>
      </c>
      <c r="M934" s="817">
        <f t="shared" ref="M934" si="1419">I934-J934</f>
        <v>94624.460000000021</v>
      </c>
      <c r="N934" s="802">
        <f t="shared" ref="N934" si="1420">M934/J934</f>
        <v>0.47312230000000011</v>
      </c>
      <c r="O934" s="786">
        <f t="shared" ref="O934" si="1421">N934/(A934/365.25)</f>
        <v>0.12152455701476796</v>
      </c>
      <c r="P934" s="817" t="b">
        <f t="shared" ref="P934" si="1422">L934&gt;D934</f>
        <v>0</v>
      </c>
      <c r="Q934" s="802">
        <f>COUNTIF(P$2:P934, TRUE)/(COUNTIF(P$2:P934,FALSE) + COUNTIF(P$2:P934, TRUE))</f>
        <v>0.4887459807073955</v>
      </c>
      <c r="R934" s="844">
        <v>251986.76</v>
      </c>
      <c r="S934" s="846">
        <f t="shared" ref="S934" si="1423">I934-R934</f>
        <v>42637.700000000012</v>
      </c>
      <c r="T934" s="800"/>
      <c r="U934" s="800"/>
      <c r="V934" s="802">
        <f>STDEV(D$2:D934)*SQRT(252)</f>
        <v>0.14409547243074866</v>
      </c>
      <c r="W934" s="802">
        <f>STDEV(L$2:L934)*SQRT(252)</f>
        <v>0.24290737591486583</v>
      </c>
      <c r="X934" s="801">
        <f t="shared" ref="X934" si="1424">E934/(A934/365.25)/V934</f>
        <v>0.74372153059783974</v>
      </c>
      <c r="Y934" s="801">
        <f t="shared" ref="Y934" si="1425">O934/W934</f>
        <v>0.50029175341863596</v>
      </c>
      <c r="Z934" s="807">
        <f t="shared" ref="Z934" si="1426">-(E934-N934)</f>
        <v>5.5897551612412333E-2</v>
      </c>
    </row>
    <row r="935" spans="1:26" ht="20.100000000000001" customHeight="1" x14ac:dyDescent="0.2">
      <c r="A935" s="776">
        <f t="shared" ref="A935" si="1427">B935-$B$2</f>
        <v>1423</v>
      </c>
      <c r="B935" s="795">
        <v>43656</v>
      </c>
      <c r="C935" s="820">
        <v>2993.07</v>
      </c>
      <c r="D935" s="792">
        <f t="shared" ref="D935" si="1428">(C935-C934)/C934</f>
        <v>4.5106271584055922E-3</v>
      </c>
      <c r="E935" s="819">
        <f t="shared" ref="E935" si="1429">(C935-$C$2)/$C$2</f>
        <v>0.42361732082722936</v>
      </c>
      <c r="F935" s="816">
        <v>8202.5300000000007</v>
      </c>
      <c r="G935" s="792">
        <f t="shared" ref="G935" si="1430">(F935-F934)/F934</f>
        <v>7.4689377674496786E-3</v>
      </c>
      <c r="H935" s="797">
        <f t="shared" ref="H935" si="1431">(F935-F$2)/F$2</f>
        <v>0.61096097570556018</v>
      </c>
      <c r="I935" s="841">
        <v>297341.7</v>
      </c>
      <c r="J935" s="800">
        <v>200000</v>
      </c>
      <c r="K935" s="800">
        <f t="shared" ref="K935" si="1432">I935-I934-J935+J934</f>
        <v>2717.2399999999907</v>
      </c>
      <c r="L935" s="792">
        <f t="shared" ref="L935" si="1433">K935/I934</f>
        <v>9.2227237344787681E-3</v>
      </c>
      <c r="M935" s="817">
        <f t="shared" ref="M935" si="1434">I935-J935</f>
        <v>97341.700000000012</v>
      </c>
      <c r="N935" s="802">
        <f t="shared" ref="N935" si="1435">M935/J935</f>
        <v>0.48670850000000004</v>
      </c>
      <c r="O935" s="786">
        <f t="shared" ref="O935" si="1436">N935/(A935/365.25)</f>
        <v>0.12492640873155307</v>
      </c>
      <c r="P935" s="817" t="b">
        <f t="shared" ref="P935" si="1437">L935&gt;D935</f>
        <v>1</v>
      </c>
      <c r="Q935" s="802">
        <f>COUNTIF(P$2:P935, TRUE)/(COUNTIF(P$2:P935,FALSE) + COUNTIF(P$2:P935, TRUE))</f>
        <v>0.48929336188436828</v>
      </c>
      <c r="R935" s="844">
        <v>254544</v>
      </c>
      <c r="S935" s="846">
        <f t="shared" ref="S935" si="1438">I935-R935</f>
        <v>42797.700000000012</v>
      </c>
      <c r="T935" s="800"/>
      <c r="U935" s="800"/>
      <c r="V935" s="802">
        <f>STDEV(D$2:D935)*SQRT(252)</f>
        <v>0.14403387287744715</v>
      </c>
      <c r="W935" s="802">
        <f>STDEV(L$2:L935)*SQRT(252)</f>
        <v>0.24281963815358895</v>
      </c>
      <c r="X935" s="801">
        <f t="shared" ref="X935" si="1439">E935/(A935/365.25)/V935</f>
        <v>0.75490863883948167</v>
      </c>
      <c r="Y935" s="801">
        <f t="shared" ref="Y935" si="1440">O935/W935</f>
        <v>0.51448231156877955</v>
      </c>
      <c r="Z935" s="807">
        <f t="shared" ref="Z935" si="1441">-(E935-N935)</f>
        <v>6.3091179172770684E-2</v>
      </c>
    </row>
    <row r="936" spans="1:26" ht="20.100000000000001" customHeight="1" x14ac:dyDescent="0.2">
      <c r="A936" s="776">
        <f t="shared" ref="A936" si="1442">B936-$B$2</f>
        <v>1424</v>
      </c>
      <c r="B936" s="795">
        <v>43657</v>
      </c>
      <c r="C936" s="820">
        <v>2999.91</v>
      </c>
      <c r="D936" s="792">
        <f t="shared" ref="D936" si="1443">(C936-C935)/C935</f>
        <v>2.2852789944771391E-3</v>
      </c>
      <c r="E936" s="819">
        <f t="shared" ref="E936" si="1444">(C936-$C$2)/$C$2</f>
        <v>0.42687068358668967</v>
      </c>
      <c r="F936" s="816">
        <v>8196.0400000000009</v>
      </c>
      <c r="G936" s="792">
        <f t="shared" ref="G936" si="1445">(F936-F935)/F935</f>
        <v>-7.9121929453470838E-4</v>
      </c>
      <c r="H936" s="797">
        <f t="shared" ref="H936" si="1446">(F936-F$2)/F$2</f>
        <v>0.6096863522988395</v>
      </c>
      <c r="I936" s="841">
        <v>294521.34000000003</v>
      </c>
      <c r="J936" s="800">
        <v>200000</v>
      </c>
      <c r="K936" s="800">
        <f t="shared" ref="K936" si="1447">I936-I935-J936+J935</f>
        <v>-2820.359999999986</v>
      </c>
      <c r="L936" s="792">
        <f t="shared" ref="L936" si="1448">K936/I935</f>
        <v>-9.4852487895239253E-3</v>
      </c>
      <c r="M936" s="817">
        <f t="shared" ref="M936" si="1449">I936-J936</f>
        <v>94521.340000000026</v>
      </c>
      <c r="N936" s="802">
        <f t="shared" ref="N936" si="1450">M936/J936</f>
        <v>0.4726067000000001</v>
      </c>
      <c r="O936" s="786">
        <f t="shared" ref="O936" si="1451">N936/(A936/365.25)</f>
        <v>0.12122162722963487</v>
      </c>
      <c r="P936" s="817" t="b">
        <f t="shared" ref="P936" si="1452">L936&gt;D936</f>
        <v>0</v>
      </c>
      <c r="Q936" s="802">
        <f>COUNTIF(P$2:P936, TRUE)/(COUNTIF(P$2:P936,FALSE) + COUNTIF(P$2:P936, TRUE))</f>
        <v>0.48877005347593583</v>
      </c>
      <c r="R936" s="844">
        <v>261734.76</v>
      </c>
      <c r="S936" s="846">
        <f t="shared" ref="S936" si="1453">I936-R936</f>
        <v>32786.580000000016</v>
      </c>
      <c r="T936" s="800"/>
      <c r="U936" s="800"/>
      <c r="V936" s="802">
        <f>STDEV(D$2:D936)*SQRT(252)</f>
        <v>0.14395992484531736</v>
      </c>
      <c r="W936" s="802">
        <f>STDEV(L$2:L936)*SQRT(252)</f>
        <v>0.24274466234966813</v>
      </c>
      <c r="X936" s="801">
        <f t="shared" ref="X936" si="1454">E936/(A936/365.25)/V936</f>
        <v>0.7605625791010997</v>
      </c>
      <c r="Y936" s="801">
        <f t="shared" ref="Y936" si="1455">O936/W936</f>
        <v>0.49937916680127814</v>
      </c>
      <c r="Z936" s="807">
        <f t="shared" ref="Z936" si="1456">-(E936-N936)</f>
        <v>4.5736016413310432E-2</v>
      </c>
    </row>
    <row r="937" spans="1:26" ht="20.100000000000001" customHeight="1" x14ac:dyDescent="0.2">
      <c r="A937" s="776">
        <f t="shared" ref="A937" si="1457">B937-$B$2</f>
        <v>1425</v>
      </c>
      <c r="B937" s="795">
        <v>43658</v>
      </c>
      <c r="C937" s="820">
        <v>3013.77</v>
      </c>
      <c r="D937" s="792">
        <f t="shared" ref="D937" si="1458">(C937-C936)/C936</f>
        <v>4.6201386041581673E-3</v>
      </c>
      <c r="E937" s="819">
        <f t="shared" ref="E937" si="1459">(C937-$C$2)/$C$2</f>
        <v>0.43346302391507008</v>
      </c>
      <c r="F937" s="816">
        <v>8244.14</v>
      </c>
      <c r="G937" s="792">
        <f t="shared" ref="G937" si="1460">(F937-F936)/F936</f>
        <v>5.868687805330201E-3</v>
      </c>
      <c r="H937" s="797">
        <f t="shared" ref="H937" si="1461">(F937-F$2)/F$2</f>
        <v>0.61913309896498214</v>
      </c>
      <c r="I937" s="841">
        <v>298612.23</v>
      </c>
      <c r="J937" s="800">
        <v>200000</v>
      </c>
      <c r="K937" s="800">
        <f t="shared" ref="K937" si="1462">I937-I936-J937+J936</f>
        <v>4090.8899999999558</v>
      </c>
      <c r="L937" s="792">
        <f t="shared" ref="L937" si="1463">K937/I936</f>
        <v>1.3889961250345919E-2</v>
      </c>
      <c r="M937" s="817">
        <f t="shared" ref="M937" si="1464">I937-J937</f>
        <v>98612.229999999981</v>
      </c>
      <c r="N937" s="802">
        <f t="shared" ref="N937" si="1465">M937/J937</f>
        <v>0.49306114999999989</v>
      </c>
      <c r="O937" s="786">
        <f t="shared" ref="O937" si="1466">N937/(A937/365.25)</f>
        <v>0.12637935792105262</v>
      </c>
      <c r="P937" s="817" t="b">
        <f t="shared" ref="P937" si="1467">L937&gt;D937</f>
        <v>1</v>
      </c>
      <c r="Q937" s="802">
        <f>COUNTIF(P$2:P937, TRUE)/(COUNTIF(P$2:P937,FALSE) + COUNTIF(P$2:P937, TRUE))</f>
        <v>0.4893162393162393</v>
      </c>
      <c r="R937" s="844">
        <v>263891.15999999997</v>
      </c>
      <c r="S937" s="846">
        <f t="shared" ref="S937" si="1468">I937-R937</f>
        <v>34721.070000000007</v>
      </c>
      <c r="T937" s="800">
        <v>-41258</v>
      </c>
      <c r="U937" s="800">
        <f t="shared" ref="U937" si="1469">M937-T937</f>
        <v>139870.22999999998</v>
      </c>
      <c r="V937" s="802">
        <f>STDEV(D$2:D937)*SQRT(252)</f>
        <v>0.14389934557230019</v>
      </c>
      <c r="W937" s="802">
        <f>STDEV(L$2:L937)*SQRT(252)</f>
        <v>0.24271471125345553</v>
      </c>
      <c r="X937" s="801">
        <f t="shared" ref="X937" si="1470">E937/(A937/365.25)/V937</f>
        <v>0.77209119152400396</v>
      </c>
      <c r="Y937" s="801">
        <f t="shared" ref="Y937" si="1471">O937/W937</f>
        <v>0.52069096787907765</v>
      </c>
      <c r="Z937" s="807">
        <f t="shared" ref="Z937" si="1472">-(E937-N937)</f>
        <v>5.9598126084929814E-2</v>
      </c>
    </row>
    <row r="938" spans="1:26" ht="20.100000000000001" customHeight="1" x14ac:dyDescent="0.2">
      <c r="A938" s="776">
        <f t="shared" ref="A938" si="1473">B938-$B$2</f>
        <v>1428</v>
      </c>
      <c r="B938" s="795">
        <v>43661</v>
      </c>
      <c r="C938" s="820">
        <v>3014.3</v>
      </c>
      <c r="D938" s="792">
        <f t="shared" ref="D938" si="1474">(C938-C937)/C937</f>
        <v>1.7585947169166861E-4</v>
      </c>
      <c r="E938" s="819">
        <f t="shared" ref="E938" si="1475">(C938-$C$2)/$C$2</f>
        <v>0.43371511196514528</v>
      </c>
      <c r="F938" s="816">
        <v>8258.18</v>
      </c>
      <c r="G938" s="792">
        <f t="shared" ref="G938" si="1476">(F938-F937)/F937</f>
        <v>1.7030278476591705E-3</v>
      </c>
      <c r="H938" s="797">
        <f t="shared" ref="H938" si="1477">(F938-F$2)/F$2</f>
        <v>0.62189052772158626</v>
      </c>
      <c r="I938" s="841">
        <v>293556.21000000002</v>
      </c>
      <c r="J938" s="800">
        <v>200000</v>
      </c>
      <c r="K938" s="800">
        <f t="shared" ref="K938" si="1478">I938-I937-J938+J937</f>
        <v>-5056.0199999999604</v>
      </c>
      <c r="L938" s="792">
        <f t="shared" ref="L938" si="1479">K938/I937</f>
        <v>-1.6931724464198807E-2</v>
      </c>
      <c r="M938" s="817">
        <f t="shared" ref="M938" si="1480">I938-J938</f>
        <v>93556.210000000021</v>
      </c>
      <c r="N938" s="802">
        <f t="shared" ref="N938" si="1481">M938/J938</f>
        <v>0.46778105000000009</v>
      </c>
      <c r="O938" s="786">
        <f t="shared" ref="O938" si="1482">N938/(A938/365.25)</f>
        <v>0.11964777907037817</v>
      </c>
      <c r="P938" s="817" t="b">
        <f t="shared" ref="P938" si="1483">L938&gt;D938</f>
        <v>0</v>
      </c>
      <c r="Q938" s="802">
        <f>COUNTIF(P$2:P938, TRUE)/(COUNTIF(P$2:P938,FALSE) + COUNTIF(P$2:P938, TRUE))</f>
        <v>0.48879402347918888</v>
      </c>
      <c r="R938" s="844">
        <v>265679.15999999997</v>
      </c>
      <c r="S938" s="846">
        <f t="shared" ref="S938" si="1484">I938-R938</f>
        <v>27877.050000000047</v>
      </c>
      <c r="T938" s="800"/>
      <c r="U938" s="800"/>
      <c r="V938" s="802">
        <f>STDEV(D$2:D938)*SQRT(252)</f>
        <v>0.14382243214964419</v>
      </c>
      <c r="W938" s="802">
        <f>STDEV(L$2:L938)*SQRT(252)</f>
        <v>0.24275311670349176</v>
      </c>
      <c r="X938" s="801">
        <f t="shared" ref="X938" si="1485">E938/(A938/365.25)/V938</f>
        <v>0.77132950255132537</v>
      </c>
      <c r="Y938" s="801">
        <f t="shared" ref="Y938" si="1486">O938/W938</f>
        <v>0.49287844660927954</v>
      </c>
      <c r="Z938" s="807">
        <f t="shared" ref="Z938" si="1487">-(E938-N938)</f>
        <v>3.4065938034854804E-2</v>
      </c>
    </row>
    <row r="939" spans="1:26" ht="20.100000000000001" customHeight="1" x14ac:dyDescent="0.2">
      <c r="A939" s="776">
        <f t="shared" ref="A939" si="1488">B939-$B$2</f>
        <v>1429</v>
      </c>
      <c r="B939" s="795">
        <v>43662</v>
      </c>
      <c r="C939" s="820">
        <v>3004.04</v>
      </c>
      <c r="D939" s="792">
        <f t="shared" ref="D939" si="1489">(C939-C938)/C938</f>
        <v>-3.4037753375577139E-3</v>
      </c>
      <c r="E939" s="819">
        <f t="shared" ref="E939" si="1490">(C939-$C$2)/$C$2</f>
        <v>0.42883506782595454</v>
      </c>
      <c r="F939" s="816">
        <v>8222.7900000000009</v>
      </c>
      <c r="G939" s="792">
        <f t="shared" ref="G939" si="1491">(F939-F938)/F938</f>
        <v>-4.2854478831896876E-3</v>
      </c>
      <c r="H939" s="797">
        <f t="shared" ref="H939" si="1492">(F939-F$2)/F$2</f>
        <v>0.61494000039279639</v>
      </c>
      <c r="I939" s="841">
        <v>301174.8</v>
      </c>
      <c r="J939" s="800">
        <v>210000</v>
      </c>
      <c r="K939" s="800">
        <f t="shared" ref="K939" si="1493">I939-I938-J939+J938</f>
        <v>-2381.4100000000326</v>
      </c>
      <c r="L939" s="792">
        <f t="shared" ref="L939" si="1494">K939/I938</f>
        <v>-8.1122794166065583E-3</v>
      </c>
      <c r="M939" s="817">
        <f t="shared" ref="M939" si="1495">I939-J939</f>
        <v>91174.799999999988</v>
      </c>
      <c r="N939" s="802">
        <f t="shared" ref="N939" si="1496">M939/J939</f>
        <v>0.43416571428571421</v>
      </c>
      <c r="O939" s="786">
        <f t="shared" ref="O939" si="1497">N939/(A939/365.25)</f>
        <v>0.11097202739178244</v>
      </c>
      <c r="P939" s="817" t="b">
        <f t="shared" ref="P939" si="1498">L939&gt;D939</f>
        <v>0</v>
      </c>
      <c r="Q939" s="802">
        <f>COUNTIF(P$2:P939, TRUE)/(COUNTIF(P$2:P939,FALSE) + COUNTIF(P$2:P939, TRUE))</f>
        <v>0.48827292110874199</v>
      </c>
      <c r="R939" s="844">
        <v>256062.9</v>
      </c>
      <c r="S939" s="846">
        <f t="shared" ref="S939" si="1499">I939-R939</f>
        <v>45111.899999999994</v>
      </c>
      <c r="T939" s="800"/>
      <c r="U939" s="800"/>
      <c r="V939" s="802">
        <f>STDEV(D$2:D939)*SQRT(252)</f>
        <v>0.14375930358244041</v>
      </c>
      <c r="W939" s="802">
        <f>STDEV(L$2:L939)*SQRT(252)</f>
        <v>0.24266417247479363</v>
      </c>
      <c r="X939" s="801">
        <f t="shared" ref="X939" si="1500">E939/(A939/365.25)/V939</f>
        <v>0.76245168401648011</v>
      </c>
      <c r="Y939" s="801">
        <f t="shared" ref="Y939" si="1501">O939/W939</f>
        <v>0.45730701100225041</v>
      </c>
      <c r="Z939" s="807">
        <f t="shared" ref="Z939" si="1502">-(E939-N939)</f>
        <v>5.3306464597596692E-3</v>
      </c>
    </row>
    <row r="940" spans="1:26" ht="20.100000000000001" customHeight="1" x14ac:dyDescent="0.2">
      <c r="A940" s="776">
        <f t="shared" ref="A940" si="1503">B940-$B$2</f>
        <v>1430</v>
      </c>
      <c r="B940" s="795">
        <v>43663</v>
      </c>
      <c r="C940" s="820">
        <v>2984.42</v>
      </c>
      <c r="D940" s="792">
        <f t="shared" ref="D940" si="1504">(C940-C939)/C939</f>
        <v>-6.5312046444121552E-3</v>
      </c>
      <c r="E940" s="819">
        <f t="shared" ref="E940" si="1505">(C940-$C$2)/$C$2</f>
        <v>0.41950305359487072</v>
      </c>
      <c r="F940" s="816">
        <v>8185.2</v>
      </c>
      <c r="G940" s="792">
        <f t="shared" ref="G940" si="1506">(F940-F939)/F939</f>
        <v>-4.5714410802174263E-3</v>
      </c>
      <c r="H940" s="797">
        <f t="shared" ref="H940" si="1507">(F940-F$2)/F$2</f>
        <v>0.60755739733291436</v>
      </c>
      <c r="I940" s="841">
        <v>298988.58</v>
      </c>
      <c r="J940" s="800">
        <v>210000</v>
      </c>
      <c r="K940" s="800">
        <f t="shared" ref="K940" si="1508">I940-I939-J940+J939</f>
        <v>-2186.2199999999721</v>
      </c>
      <c r="L940" s="792">
        <f t="shared" ref="L940" si="1509">K940/I939</f>
        <v>-7.2589738583705285E-3</v>
      </c>
      <c r="M940" s="817">
        <f t="shared" ref="M940" si="1510">I940-J940</f>
        <v>88988.580000000016</v>
      </c>
      <c r="N940" s="802">
        <f t="shared" ref="N940" si="1511">M940/J940</f>
        <v>0.42375514285714294</v>
      </c>
      <c r="O940" s="786">
        <f t="shared" ref="O940" si="1512">N940/(A940/365.25)</f>
        <v>0.10823536078921081</v>
      </c>
      <c r="P940" s="817" t="b">
        <f t="shared" ref="P940" si="1513">L940&gt;D940</f>
        <v>0</v>
      </c>
      <c r="Q940" s="802">
        <f>COUNTIF(P$2:P940, TRUE)/(COUNTIF(P$2:P940,FALSE) + COUNTIF(P$2:P940, TRUE))</f>
        <v>0.48775292864749736</v>
      </c>
      <c r="R940" s="844">
        <v>256282.68</v>
      </c>
      <c r="S940" s="846">
        <f t="shared" ref="S940" si="1514">I940-R940</f>
        <v>42705.900000000023</v>
      </c>
      <c r="T940" s="800"/>
      <c r="U940" s="800"/>
      <c r="V940" s="802">
        <f>STDEV(D$2:D940)*SQRT(252)</f>
        <v>0.14372776168978002</v>
      </c>
      <c r="W940" s="802">
        <f>STDEV(L$2:L940)*SQRT(252)</f>
        <v>0.24256760505814945</v>
      </c>
      <c r="X940" s="801">
        <f t="shared" ref="X940" si="1515">E940/(A940/365.25)/V940</f>
        <v>0.74550172266095782</v>
      </c>
      <c r="Y940" s="801">
        <f t="shared" ref="Y940" si="1516">O940/W940</f>
        <v>0.44620698944223869</v>
      </c>
      <c r="Z940" s="807">
        <f t="shared" ref="Z940" si="1517">-(E940-N940)</f>
        <v>4.2520892622722184E-3</v>
      </c>
    </row>
    <row r="941" spans="1:26" ht="20.100000000000001" customHeight="1" x14ac:dyDescent="0.2">
      <c r="A941" s="776">
        <f t="shared" ref="A941" si="1518">B941-$B$2</f>
        <v>1431</v>
      </c>
      <c r="B941" s="795">
        <v>43664</v>
      </c>
      <c r="C941" s="820">
        <v>2995.11</v>
      </c>
      <c r="D941" s="792">
        <f t="shared" ref="D941" si="1519">(C941-C940)/C940</f>
        <v>3.5819355184592162E-3</v>
      </c>
      <c r="E941" s="819">
        <f t="shared" ref="E941" si="1520">(C941-$C$2)/$C$2</f>
        <v>0.4245876220011035</v>
      </c>
      <c r="F941" s="816">
        <v>8207.24</v>
      </c>
      <c r="G941" s="792">
        <f t="shared" ref="G941" si="1521">(F941-F940)/F940</f>
        <v>2.6926648096564487E-3</v>
      </c>
      <c r="H941" s="797">
        <f t="shared" ref="H941" si="1522">(F941-F$2)/F$2</f>
        <v>0.61188601056621561</v>
      </c>
      <c r="I941" s="841">
        <v>299905.98</v>
      </c>
      <c r="J941" s="800">
        <v>210000</v>
      </c>
      <c r="K941" s="800">
        <f t="shared" ref="K941" si="1523">I941-I940-J941+J940</f>
        <v>917.39999999996508</v>
      </c>
      <c r="L941" s="792">
        <f t="shared" ref="L941" si="1524">K941/I940</f>
        <v>3.0683446170417781E-3</v>
      </c>
      <c r="M941" s="817">
        <f t="shared" ref="M941" si="1525">I941-J941</f>
        <v>89905.979999999981</v>
      </c>
      <c r="N941" s="802">
        <f t="shared" ref="N941" si="1526">M941/J941</f>
        <v>0.42812371428571422</v>
      </c>
      <c r="O941" s="786">
        <f t="shared" ref="O941" si="1527">N941/(A941/365.25)</f>
        <v>0.10927476355196164</v>
      </c>
      <c r="P941" s="817" t="b">
        <f t="shared" ref="P941" si="1528">L941&gt;D941</f>
        <v>0</v>
      </c>
      <c r="Q941" s="802">
        <f>COUNTIF(P$2:P941, TRUE)/(COUNTIF(P$2:P941,FALSE) + COUNTIF(P$2:P941, TRUE))</f>
        <v>0.48723404255319147</v>
      </c>
      <c r="R941" s="844">
        <v>257200.08</v>
      </c>
      <c r="S941" s="846">
        <f t="shared" ref="S941" si="1529">I941-R941</f>
        <v>42705.899999999994</v>
      </c>
      <c r="T941" s="800"/>
      <c r="U941" s="800"/>
      <c r="V941" s="802">
        <f>STDEV(D$2:D941)*SQRT(252)</f>
        <v>0.14366049861920796</v>
      </c>
      <c r="W941" s="802">
        <f>STDEV(L$2:L941)*SQRT(252)</f>
        <v>0.2424420732648381</v>
      </c>
      <c r="X941" s="801">
        <f t="shared" ref="X941" si="1530">E941/(A941/365.25)/V941</f>
        <v>0.75436329780278455</v>
      </c>
      <c r="Y941" s="801">
        <f t="shared" ref="Y941" si="1531">O941/W941</f>
        <v>0.45072524781040135</v>
      </c>
      <c r="Z941" s="807">
        <f t="shared" ref="Z941" si="1532">-(E941-N941)</f>
        <v>3.5360922846107146E-3</v>
      </c>
    </row>
    <row r="942" spans="1:26" ht="20.100000000000001" customHeight="1" x14ac:dyDescent="0.2">
      <c r="A942" s="776">
        <f t="shared" ref="A942" si="1533">B942-$B$2</f>
        <v>1432</v>
      </c>
      <c r="B942" s="795">
        <v>43665</v>
      </c>
      <c r="C942" s="820">
        <v>2976.61</v>
      </c>
      <c r="D942" s="792">
        <f t="shared" ref="D942" si="1534">(C942-C941)/C941</f>
        <v>-6.1767347442998749E-3</v>
      </c>
      <c r="E942" s="819">
        <f t="shared" ref="E942" si="1535">(C942-$C$2)/$C$2</f>
        <v>0.41578832213998973</v>
      </c>
      <c r="F942" s="816">
        <v>8146.48</v>
      </c>
      <c r="G942" s="792">
        <f t="shared" ref="G942" si="1536">(F942-F941)/F941</f>
        <v>-7.4032195963564147E-3</v>
      </c>
      <c r="H942" s="797">
        <f t="shared" ref="H942" si="1537">(F942-F$2)/F$2</f>
        <v>0.59995286446569907</v>
      </c>
      <c r="I942" s="841">
        <v>302279.08</v>
      </c>
      <c r="J942" s="800">
        <v>210000</v>
      </c>
      <c r="K942" s="800">
        <f t="shared" ref="K942" si="1538">I942-I941-J942+J941</f>
        <v>2373.1000000000349</v>
      </c>
      <c r="L942" s="792">
        <f t="shared" ref="L942" si="1539">K942/I941</f>
        <v>7.9128132089931486E-3</v>
      </c>
      <c r="M942" s="817">
        <f t="shared" ref="M942" si="1540">I942-J942</f>
        <v>92279.080000000016</v>
      </c>
      <c r="N942" s="802">
        <f t="shared" ref="N942" si="1541">M942/J942</f>
        <v>0.43942419047619058</v>
      </c>
      <c r="O942" s="786">
        <f t="shared" ref="O942" si="1542">N942/(A942/365.25)</f>
        <v>0.11208078601356747</v>
      </c>
      <c r="P942" s="817" t="b">
        <f t="shared" ref="P942" si="1543">L942&gt;D942</f>
        <v>1</v>
      </c>
      <c r="Q942" s="802">
        <f>COUNTIF(P$2:P942, TRUE)/(COUNTIF(P$2:P942,FALSE) + COUNTIF(P$2:P942, TRUE))</f>
        <v>0.48777895855472903</v>
      </c>
      <c r="R942" s="844">
        <v>259573.18</v>
      </c>
      <c r="S942" s="846">
        <f t="shared" ref="S942" si="1544">I942-R942</f>
        <v>42705.900000000023</v>
      </c>
      <c r="T942" s="800"/>
      <c r="U942" s="800"/>
      <c r="V942" s="802">
        <f>STDEV(D$2:D942)*SQRT(252)</f>
        <v>0.14362457477823484</v>
      </c>
      <c r="W942" s="802">
        <f>STDEV(L$2:L942)*SQRT(252)</f>
        <v>0.24234375107450054</v>
      </c>
      <c r="X942" s="801">
        <f t="shared" ref="X942" si="1545">E942/(A942/365.25)/V942</f>
        <v>0.73839838521415246</v>
      </c>
      <c r="Y942" s="801">
        <f t="shared" ref="Y942" si="1546">O942/W942</f>
        <v>0.46248680032649964</v>
      </c>
      <c r="Z942" s="807">
        <f t="shared" ref="Z942" si="1547">-(E942-N942)</f>
        <v>2.3635868336200849E-2</v>
      </c>
    </row>
    <row r="943" spans="1:26" ht="20.100000000000001" customHeight="1" x14ac:dyDescent="0.2">
      <c r="A943" s="776">
        <f t="shared" ref="A943" si="1548">B943-$B$2</f>
        <v>1435</v>
      </c>
      <c r="B943" s="795">
        <v>43668</v>
      </c>
      <c r="C943" s="820">
        <v>2985.03</v>
      </c>
      <c r="D943" s="792">
        <f t="shared" ref="D943" si="1549">(C943-C942)/C942</f>
        <v>2.8287212634507284E-3</v>
      </c>
      <c r="E943" s="819">
        <f t="shared" ref="E943" si="1550">(C943-$C$2)/$C$2</f>
        <v>0.41979319267137238</v>
      </c>
      <c r="F943" s="816">
        <v>8204.1299999999992</v>
      </c>
      <c r="G943" s="792">
        <f t="shared" ref="G943" si="1551">(F943-F942)/F942</f>
        <v>7.0766760613172365E-3</v>
      </c>
      <c r="H943" s="797">
        <f t="shared" ref="H943" si="1552">(F943-F$2)/F$2</f>
        <v>0.61127521260089945</v>
      </c>
      <c r="I943" s="841">
        <v>301207.26</v>
      </c>
      <c r="J943" s="800">
        <v>210000</v>
      </c>
      <c r="K943" s="800">
        <f t="shared" ref="K943" si="1553">I943-I942-J943+J942</f>
        <v>-1071.820000000007</v>
      </c>
      <c r="L943" s="792">
        <f t="shared" ref="L943" si="1554">K943/I942</f>
        <v>-3.5457961563202024E-3</v>
      </c>
      <c r="M943" s="817">
        <f t="shared" ref="M943" si="1555">I943-J943</f>
        <v>91207.260000000009</v>
      </c>
      <c r="N943" s="802">
        <f t="shared" ref="N943" si="1556">M943/J943</f>
        <v>0.43432028571428577</v>
      </c>
      <c r="O943" s="786">
        <f t="shared" ref="O943" si="1557">N943/(A943/365.25)</f>
        <v>0.11054737585863615</v>
      </c>
      <c r="P943" s="817" t="b">
        <f t="shared" ref="P943" si="1558">L943&gt;D943</f>
        <v>0</v>
      </c>
      <c r="Q943" s="802">
        <f>COUNTIF(P$2:P943, TRUE)/(COUNTIF(P$2:P943,FALSE) + COUNTIF(P$2:P943, TRUE))</f>
        <v>0.48726114649681529</v>
      </c>
      <c r="R943" s="844">
        <v>258501.36</v>
      </c>
      <c r="S943" s="846">
        <f t="shared" ref="S943" si="1559">I943-R943</f>
        <v>42705.900000000023</v>
      </c>
      <c r="T943" s="800"/>
      <c r="U943" s="800"/>
      <c r="V943" s="802">
        <f>STDEV(D$2:D943)*SQRT(252)</f>
        <v>0.1435536114839015</v>
      </c>
      <c r="W943" s="802">
        <f>STDEV(L$2:L943)*SQRT(252)</f>
        <v>0.24222367113479376</v>
      </c>
      <c r="X943" s="801">
        <f t="shared" ref="X943" si="1560">E943/(A943/365.25)/V943</f>
        <v>0.74431983514591837</v>
      </c>
      <c r="Y943" s="801">
        <f t="shared" ref="Y943" si="1561">O943/W943</f>
        <v>0.45638551897398266</v>
      </c>
      <c r="Z943" s="807">
        <f t="shared" ref="Z943" si="1562">-(E943-N943)</f>
        <v>1.4527093042913386E-2</v>
      </c>
    </row>
    <row r="944" spans="1:26" ht="20.100000000000001" customHeight="1" x14ac:dyDescent="0.2">
      <c r="A944" s="776">
        <f t="shared" ref="A944" si="1563">B944-$B$2</f>
        <v>1436</v>
      </c>
      <c r="B944" s="795">
        <v>43669</v>
      </c>
      <c r="C944" s="820">
        <v>3005.47</v>
      </c>
      <c r="D944" s="792">
        <f t="shared" ref="D944" si="1564">(C944-C943)/C943</f>
        <v>6.8475023701602992E-3</v>
      </c>
      <c r="E944" s="819">
        <f t="shared" ref="E944" si="1565">(C944-$C$2)/$C$2</f>
        <v>0.42951522992332702</v>
      </c>
      <c r="F944" s="816">
        <v>8251.4</v>
      </c>
      <c r="G944" s="792">
        <f t="shared" ref="G944" si="1566">(F944-F943)/F943</f>
        <v>5.7617322007330989E-3</v>
      </c>
      <c r="H944" s="797">
        <f t="shared" ref="H944" si="1567">(F944-F$2)/F$2</f>
        <v>0.62055894887758511</v>
      </c>
      <c r="I944" s="841">
        <v>303851.98</v>
      </c>
      <c r="J944" s="800">
        <v>210000</v>
      </c>
      <c r="K944" s="800">
        <f t="shared" ref="K944" si="1568">I944-I943-J944+J943</f>
        <v>2644.7199999999721</v>
      </c>
      <c r="L944" s="792">
        <f t="shared" ref="L944" si="1569">K944/I943</f>
        <v>8.7803992506686988E-3</v>
      </c>
      <c r="M944" s="817">
        <f t="shared" ref="M944" si="1570">I944-J944</f>
        <v>93851.979999999981</v>
      </c>
      <c r="N944" s="802">
        <f t="shared" ref="N944" si="1571">M944/J944</f>
        <v>0.44691419047619041</v>
      </c>
      <c r="O944" s="786">
        <f t="shared" ref="O944" si="1572">N944/(A944/365.25)</f>
        <v>0.11367368250099481</v>
      </c>
      <c r="P944" s="817" t="b">
        <f t="shared" ref="P944" si="1573">L944&gt;D944</f>
        <v>1</v>
      </c>
      <c r="Q944" s="802">
        <f>COUNTIF(P$2:P944, TRUE)/(COUNTIF(P$2:P944,FALSE) + COUNTIF(P$2:P944, TRUE))</f>
        <v>0.48780487804878048</v>
      </c>
      <c r="R944" s="844">
        <v>256190.18</v>
      </c>
      <c r="S944" s="846">
        <f t="shared" ref="S944" si="1574">I944-R944</f>
        <v>47661.799999999988</v>
      </c>
      <c r="T944" s="800"/>
      <c r="U944" s="800"/>
      <c r="V944" s="802">
        <f>STDEV(D$2:D944)*SQRT(252)</f>
        <v>0.14351590199407518</v>
      </c>
      <c r="W944" s="802">
        <f>STDEV(L$2:L944)*SQRT(252)</f>
        <v>0.24213323737881526</v>
      </c>
      <c r="X944" s="801">
        <f t="shared" ref="X944" si="1575">E944/(A944/365.25)/V944</f>
        <v>0.76122725197082086</v>
      </c>
      <c r="Y944" s="801">
        <f t="shared" ref="Y944" si="1576">O944/W944</f>
        <v>0.46946748712219699</v>
      </c>
      <c r="Z944" s="807">
        <f t="shared" ref="Z944" si="1577">-(E944-N944)</f>
        <v>1.7398960552863385E-2</v>
      </c>
    </row>
    <row r="945" spans="1:26" ht="20.100000000000001" customHeight="1" x14ac:dyDescent="0.2">
      <c r="A945" s="776">
        <f t="shared" ref="A945" si="1578">B945-$B$2</f>
        <v>1437</v>
      </c>
      <c r="B945" s="795">
        <v>43670</v>
      </c>
      <c r="C945" s="820">
        <v>3019.56</v>
      </c>
      <c r="D945" s="792">
        <f t="shared" ref="D945" si="1579">(C945-C944)/C944</f>
        <v>4.6881186636366845E-3</v>
      </c>
      <c r="E945" s="819">
        <f t="shared" ref="E945" si="1580">(C945-$C$2)/$C$2</f>
        <v>0.43621696695268347</v>
      </c>
      <c r="F945" s="816">
        <v>8321.5</v>
      </c>
      <c r="G945" s="792">
        <f t="shared" ref="G945" si="1581">(F945-F944)/F944</f>
        <v>8.4955280316068027E-3</v>
      </c>
      <c r="H945" s="797">
        <f t="shared" ref="H945" si="1582">(F945-F$2)/F$2</f>
        <v>0.63432645285464584</v>
      </c>
      <c r="I945" s="841">
        <v>297171.44</v>
      </c>
      <c r="J945" s="800">
        <v>200000</v>
      </c>
      <c r="K945" s="800">
        <f t="shared" ref="K945" si="1583">I945-I944-J945+J944</f>
        <v>3319.460000000021</v>
      </c>
      <c r="L945" s="792">
        <f t="shared" ref="L945" si="1584">K945/I944</f>
        <v>1.0924595587627966E-2</v>
      </c>
      <c r="M945" s="817">
        <f t="shared" ref="M945" si="1585">I945-J945</f>
        <v>97171.44</v>
      </c>
      <c r="N945" s="802">
        <f t="shared" ref="N945" si="1586">M945/J945</f>
        <v>0.48585719999999999</v>
      </c>
      <c r="O945" s="786">
        <f t="shared" ref="O945" si="1587">N945/(A945/365.25)</f>
        <v>0.12349293131524008</v>
      </c>
      <c r="P945" s="817" t="b">
        <f t="shared" ref="P945" si="1588">L945&gt;D945</f>
        <v>1</v>
      </c>
      <c r="Q945" s="802">
        <f>COUNTIF(P$2:P945, TRUE)/(COUNTIF(P$2:P945,FALSE) + COUNTIF(P$2:P945, TRUE))</f>
        <v>0.48834745762711862</v>
      </c>
      <c r="R945" s="844">
        <v>225694.34</v>
      </c>
      <c r="S945" s="846">
        <f t="shared" ref="S945" si="1589">I945-R945</f>
        <v>71477.100000000006</v>
      </c>
      <c r="T945" s="800"/>
      <c r="U945" s="800"/>
      <c r="V945" s="802">
        <f>STDEV(D$2:D945)*SQRT(252)</f>
        <v>0.14345667187007743</v>
      </c>
      <c r="W945" s="802">
        <f>STDEV(L$2:L945)*SQRT(252)</f>
        <v>0.24206510945509185</v>
      </c>
      <c r="X945" s="801">
        <f t="shared" ref="X945" si="1590">E945/(A945/365.25)/V945</f>
        <v>0.77288567690367982</v>
      </c>
      <c r="Y945" s="801">
        <f t="shared" ref="Y945" si="1591">O945/W945</f>
        <v>0.51016411077677681</v>
      </c>
      <c r="Z945" s="807">
        <f t="shared" ref="Z945" si="1592">-(E945-N945)</f>
        <v>4.9640233047316518E-2</v>
      </c>
    </row>
    <row r="946" spans="1:26" ht="20.100000000000001" customHeight="1" x14ac:dyDescent="0.2">
      <c r="A946" s="776">
        <f t="shared" ref="A946" si="1593">B946-$B$2</f>
        <v>1438</v>
      </c>
      <c r="B946" s="795">
        <v>43671</v>
      </c>
      <c r="C946" s="820">
        <v>3003.67</v>
      </c>
      <c r="D946" s="792">
        <f t="shared" ref="D946" si="1594">(C946-C945)/C945</f>
        <v>-5.262356104862918E-3</v>
      </c>
      <c r="E946" s="819">
        <f t="shared" ref="E946" si="1595">(C946-$C$2)/$C$2</f>
        <v>0.4286590818287323</v>
      </c>
      <c r="F946" s="816">
        <v>8238.5400000000009</v>
      </c>
      <c r="G946" s="792">
        <f t="shared" ref="G946" si="1596">(F946-F945)/F945</f>
        <v>-9.9693564862103137E-3</v>
      </c>
      <c r="H946" s="797">
        <f t="shared" ref="H946" si="1597">(F946-F$2)/F$2</f>
        <v>0.61803326983129425</v>
      </c>
      <c r="I946" s="841">
        <v>293197.07</v>
      </c>
      <c r="J946" s="800">
        <v>200000</v>
      </c>
      <c r="K946" s="800">
        <f t="shared" ref="K946" si="1598">I946-I945-J946+J945</f>
        <v>-3974.3699999999953</v>
      </c>
      <c r="L946" s="792">
        <f t="shared" ref="L946" si="1599">K946/I945</f>
        <v>-1.3373997178194498E-2</v>
      </c>
      <c r="M946" s="817">
        <f t="shared" ref="M946" si="1600">I946-J946</f>
        <v>93197.07</v>
      </c>
      <c r="N946" s="802">
        <f t="shared" ref="N946" si="1601">M946/J946</f>
        <v>0.46598535000000002</v>
      </c>
      <c r="O946" s="786">
        <f t="shared" ref="O946" si="1602">N946/(A946/365.25)</f>
        <v>0.11835963079798333</v>
      </c>
      <c r="P946" s="817" t="b">
        <f t="shared" ref="P946" si="1603">L946&gt;D946</f>
        <v>0</v>
      </c>
      <c r="Q946" s="802">
        <f>COUNTIF(P$2:P946, TRUE)/(COUNTIF(P$2:P946,FALSE) + COUNTIF(P$2:P946, TRUE))</f>
        <v>0.48783068783068784</v>
      </c>
      <c r="R946" s="844">
        <v>221714.64</v>
      </c>
      <c r="S946" s="846">
        <f t="shared" ref="S946" si="1604">I946-R946</f>
        <v>71482.429999999993</v>
      </c>
      <c r="T946" s="800"/>
      <c r="U946" s="800"/>
      <c r="V946" s="802">
        <f>STDEV(D$2:D946)*SQRT(252)</f>
        <v>0.14341069341565849</v>
      </c>
      <c r="W946" s="802">
        <f>STDEV(L$2:L946)*SQRT(252)</f>
        <v>0.24204249163935318</v>
      </c>
      <c r="X946" s="801">
        <f t="shared" ref="X946" si="1605">E946/(A946/365.25)/V946</f>
        <v>0.75920984693276261</v>
      </c>
      <c r="Y946" s="801">
        <f t="shared" ref="Y946" si="1606">O946/W946</f>
        <v>0.4890035216392537</v>
      </c>
      <c r="Z946" s="807">
        <f t="shared" ref="Z946" si="1607">-(E946-N946)</f>
        <v>3.7326268171267718E-2</v>
      </c>
    </row>
    <row r="947" spans="1:26" ht="20.100000000000001" customHeight="1" x14ac:dyDescent="0.2">
      <c r="A947" s="776">
        <f t="shared" ref="A947" si="1608">B947-$B$2</f>
        <v>1439</v>
      </c>
      <c r="B947" s="795">
        <v>43672</v>
      </c>
      <c r="C947" s="820">
        <v>3025.86</v>
      </c>
      <c r="D947" s="792">
        <f t="shared" ref="D947" si="1609">(C947-C946)/C946</f>
        <v>7.3876291336931335E-3</v>
      </c>
      <c r="E947" s="819">
        <f t="shared" ref="E947" si="1610">(C947-$C$2)/$C$2</f>
        <v>0.43921348528376553</v>
      </c>
      <c r="F947" s="816">
        <v>8330.2099999999991</v>
      </c>
      <c r="G947" s="792">
        <f t="shared" ref="G947" si="1611">(F947-F946)/F946</f>
        <v>1.1126971526508125E-2</v>
      </c>
      <c r="H947" s="797">
        <f t="shared" ref="H947" si="1612">(F947-F$2)/F$2</f>
        <v>0.63603707995365</v>
      </c>
      <c r="I947" s="841">
        <v>293444.43</v>
      </c>
      <c r="J947" s="800">
        <v>200000</v>
      </c>
      <c r="K947" s="800">
        <f t="shared" ref="K947" si="1613">I947-I946-J947+J946</f>
        <v>247.35999999998603</v>
      </c>
      <c r="L947" s="792">
        <f t="shared" ref="L947" si="1614">K947/I946</f>
        <v>8.4366463825844517E-4</v>
      </c>
      <c r="M947" s="817">
        <f t="shared" ref="M947" si="1615">I947-J947</f>
        <v>93444.43</v>
      </c>
      <c r="N947" s="802">
        <f t="shared" ref="N947" si="1616">M947/J947</f>
        <v>0.46722214999999995</v>
      </c>
      <c r="O947" s="786">
        <f t="shared" ref="O947" si="1617">N947/(A947/365.25)</f>
        <v>0.11859130666261292</v>
      </c>
      <c r="P947" s="817" t="b">
        <f t="shared" ref="P947" si="1618">L947&gt;D947</f>
        <v>0</v>
      </c>
      <c r="Q947" s="802">
        <f>COUNTIF(P$2:P947, TRUE)/(COUNTIF(P$2:P947,FALSE) + COUNTIF(P$2:P947, TRUE))</f>
        <v>0.48731501057082455</v>
      </c>
      <c r="R947" s="844">
        <v>221910</v>
      </c>
      <c r="S947" s="846">
        <f t="shared" ref="S947" si="1619">I947-R947</f>
        <v>71534.429999999993</v>
      </c>
      <c r="T947" s="800"/>
      <c r="U947" s="800"/>
      <c r="V947" s="802">
        <f>STDEV(D$2:D947)*SQRT(252)</f>
        <v>0.14337988370164961</v>
      </c>
      <c r="W947" s="802">
        <f>STDEV(L$2:L947)*SQRT(252)</f>
        <v>0.24191433884899888</v>
      </c>
      <c r="X947" s="801">
        <f t="shared" ref="X947" si="1620">E947/(A947/365.25)/V947</f>
        <v>0.77752949524704718</v>
      </c>
      <c r="Y947" s="801">
        <f t="shared" ref="Y947" si="1621">O947/W947</f>
        <v>0.4902202458393205</v>
      </c>
      <c r="Z947" s="807">
        <f t="shared" ref="Z947" si="1622">-(E947-N947)</f>
        <v>2.8008664716234422E-2</v>
      </c>
    </row>
    <row r="948" spans="1:26" ht="20.100000000000001" customHeight="1" x14ac:dyDescent="0.2">
      <c r="A948" s="776">
        <f t="shared" ref="A948" si="1623">B948-$B$2</f>
        <v>1442</v>
      </c>
      <c r="B948" s="795">
        <v>43675</v>
      </c>
      <c r="C948" s="820">
        <v>3020.97</v>
      </c>
      <c r="D948" s="792">
        <f t="shared" ref="D948" si="1624">(C948-C947)/C947</f>
        <v>-1.6160694810732575E-3</v>
      </c>
      <c r="E948" s="819">
        <f t="shared" ref="E948" si="1625">(C948-$C$2)/$C$2</f>
        <v>0.43688761629344941</v>
      </c>
      <c r="F948" s="816">
        <v>8293.32</v>
      </c>
      <c r="G948" s="792">
        <f t="shared" ref="G948" si="1626">(F948-F947)/F947</f>
        <v>-4.4284597867279962E-3</v>
      </c>
      <c r="H948" s="797">
        <f t="shared" ref="H948" si="1627">(F948-F$2)/F$2</f>
        <v>0.62879195553547929</v>
      </c>
      <c r="I948" s="841">
        <v>292294.65000000002</v>
      </c>
      <c r="J948" s="800">
        <v>200000</v>
      </c>
      <c r="K948" s="800">
        <f t="shared" ref="K948" si="1628">I948-I947-J948+J947</f>
        <v>-1149.7799999999697</v>
      </c>
      <c r="L948" s="792">
        <f t="shared" ref="L948" si="1629">K948/I947</f>
        <v>-3.9182205639410831E-3</v>
      </c>
      <c r="M948" s="817">
        <f t="shared" ref="M948" si="1630">I948-J948</f>
        <v>92294.650000000023</v>
      </c>
      <c r="N948" s="802">
        <f t="shared" ref="N948" si="1631">M948/J948</f>
        <v>0.46147325000000011</v>
      </c>
      <c r="O948" s="786">
        <f t="shared" ref="O948" si="1632">N948/(A948/365.25)</f>
        <v>0.11688842202669905</v>
      </c>
      <c r="P948" s="817" t="b">
        <f t="shared" ref="P948" si="1633">L948&gt;D948</f>
        <v>0</v>
      </c>
      <c r="Q948" s="802">
        <f>COUNTIF(P$2:P948, TRUE)/(COUNTIF(P$2:P948,FALSE) + COUNTIF(P$2:P948, TRUE))</f>
        <v>0.48680042238648363</v>
      </c>
      <c r="R948" s="844">
        <v>220760.22</v>
      </c>
      <c r="S948" s="846">
        <f t="shared" ref="S948" si="1634">I948-R948</f>
        <v>71534.430000000022</v>
      </c>
      <c r="T948" s="800"/>
      <c r="U948" s="800"/>
      <c r="V948" s="802">
        <f>STDEV(D$2:D948)*SQRT(252)</f>
        <v>0.14330787747098622</v>
      </c>
      <c r="W948" s="802">
        <f>STDEV(L$2:L948)*SQRT(252)</f>
        <v>0.24179686325243863</v>
      </c>
      <c r="X948" s="801">
        <f t="shared" ref="X948" si="1635">E948/(A948/365.25)/V948</f>
        <v>0.77219082153005159</v>
      </c>
      <c r="Y948" s="801">
        <f t="shared" ref="Y948" si="1636">O948/W948</f>
        <v>0.48341579148057945</v>
      </c>
      <c r="Z948" s="807">
        <f t="shared" ref="Z948" si="1637">-(E948-N948)</f>
        <v>2.4585633706550702E-2</v>
      </c>
    </row>
    <row r="949" spans="1:26" ht="20.100000000000001" customHeight="1" x14ac:dyDescent="0.2">
      <c r="A949" s="776">
        <f t="shared" ref="A949" si="1638">B949-$B$2</f>
        <v>1443</v>
      </c>
      <c r="B949" s="795">
        <v>43676</v>
      </c>
      <c r="C949" s="820">
        <v>3013.18</v>
      </c>
      <c r="D949" s="792">
        <f t="shared" ref="D949" si="1639">(C949-C948)/C948</f>
        <v>-2.5786419593706537E-3</v>
      </c>
      <c r="E949" s="819">
        <f t="shared" ref="E949" si="1640">(C949-$C$2)/$C$2</f>
        <v>0.43318239759517502</v>
      </c>
      <c r="F949" s="816">
        <v>8273.61</v>
      </c>
      <c r="G949" s="792">
        <f t="shared" ref="G949" si="1641">(F949-F948)/F948</f>
        <v>-2.376611537960567E-3</v>
      </c>
      <c r="H949" s="797">
        <f t="shared" ref="H949" si="1642">(F949-F$2)/F$2</f>
        <v>0.62492094978101631</v>
      </c>
      <c r="I949" s="841">
        <v>296863.11</v>
      </c>
      <c r="J949" s="800">
        <v>200000</v>
      </c>
      <c r="K949" s="800">
        <f t="shared" ref="K949" si="1643">I949-I948-J949+J948</f>
        <v>4568.4599999999627</v>
      </c>
      <c r="L949" s="792">
        <f t="shared" ref="L949" si="1644">K949/I948</f>
        <v>1.5629639475098031E-2</v>
      </c>
      <c r="M949" s="817">
        <f t="shared" ref="M949" si="1645">I949-J949</f>
        <v>96863.109999999986</v>
      </c>
      <c r="N949" s="802">
        <f t="shared" ref="N949" si="1646">M949/J949</f>
        <v>0.48431554999999993</v>
      </c>
      <c r="O949" s="786">
        <f t="shared" ref="O949" si="1647">N949/(A949/365.25)</f>
        <v>0.12258922705301453</v>
      </c>
      <c r="P949" s="817" t="b">
        <f t="shared" ref="P949" si="1648">L949&gt;D949</f>
        <v>1</v>
      </c>
      <c r="Q949" s="802">
        <f>COUNTIF(P$2:P949, TRUE)/(COUNTIF(P$2:P949,FALSE) + COUNTIF(P$2:P949, TRUE))</f>
        <v>0.48734177215189872</v>
      </c>
      <c r="R949" s="844">
        <v>225328.68</v>
      </c>
      <c r="S949" s="846">
        <f t="shared" ref="S949" si="1649">I949-R949</f>
        <v>71534.429999999993</v>
      </c>
      <c r="T949" s="800"/>
      <c r="U949" s="800"/>
      <c r="V949" s="802">
        <f>STDEV(D$2:D949)*SQRT(252)</f>
        <v>0.14324048792563662</v>
      </c>
      <c r="W949" s="802">
        <f>STDEV(L$2:L949)*SQRT(252)</f>
        <v>0.24179577993799878</v>
      </c>
      <c r="X949" s="801">
        <f t="shared" ref="X949" si="1650">E949/(A949/365.25)/V949</f>
        <v>0.76547128290639432</v>
      </c>
      <c r="Y949" s="801">
        <f t="shared" ref="Y949" si="1651">O949/W949</f>
        <v>0.50699489910224582</v>
      </c>
      <c r="Z949" s="807">
        <f t="shared" ref="Z949" si="1652">-(E949-N949)</f>
        <v>5.1133152404824911E-2</v>
      </c>
    </row>
    <row r="950" spans="1:26" ht="20.100000000000001" customHeight="1" x14ac:dyDescent="0.2">
      <c r="A950" s="776">
        <f t="shared" ref="A950" si="1653">B950-$B$2</f>
        <v>1444</v>
      </c>
      <c r="B950" s="795">
        <v>43677</v>
      </c>
      <c r="C950" s="820">
        <v>2980.38</v>
      </c>
      <c r="D950" s="792">
        <f t="shared" ref="D950" si="1654">(C950-C949)/C949</f>
        <v>-1.0885509660889733E-2</v>
      </c>
      <c r="E950" s="819">
        <f t="shared" ref="E950" si="1655">(C950-$C$2)/$C$2</f>
        <v>0.41758147676033563</v>
      </c>
      <c r="F950" s="816">
        <v>8175.41</v>
      </c>
      <c r="G950" s="792">
        <f t="shared" ref="G950" si="1656">(F950-F949)/F949</f>
        <v>-1.1869063202157307E-2</v>
      </c>
      <c r="H950" s="797">
        <f t="shared" ref="H950" si="1657">(F950-F$2)/F$2</f>
        <v>0.60563466032955593</v>
      </c>
      <c r="I950" s="841">
        <v>295312.03000000003</v>
      </c>
      <c r="J950" s="800">
        <v>200000</v>
      </c>
      <c r="K950" s="800">
        <f t="shared" ref="K950" si="1658">I950-I949-J950+J949</f>
        <v>-1551.0799999999581</v>
      </c>
      <c r="L950" s="792">
        <f t="shared" ref="L950" si="1659">K950/I949</f>
        <v>-5.2248997863020372E-3</v>
      </c>
      <c r="M950" s="817">
        <f t="shared" ref="M950" si="1660">I950-J950</f>
        <v>95312.030000000028</v>
      </c>
      <c r="N950" s="802">
        <f t="shared" ref="N950" si="1661">M950/J950</f>
        <v>0.47656015000000013</v>
      </c>
      <c r="O950" s="786">
        <f t="shared" ref="O950" si="1662">N950/(A950/365.25)</f>
        <v>0.12054265567001388</v>
      </c>
      <c r="P950" s="817" t="b">
        <f t="shared" ref="P950" si="1663">L950&gt;D950</f>
        <v>1</v>
      </c>
      <c r="Q950" s="802">
        <f>COUNTIF(P$2:P950, TRUE)/(COUNTIF(P$2:P950,FALSE) + COUNTIF(P$2:P950, TRUE))</f>
        <v>0.48788198103266595</v>
      </c>
      <c r="R950" s="844">
        <v>223777.6</v>
      </c>
      <c r="S950" s="846">
        <f t="shared" ref="S950" si="1664">I950-R950</f>
        <v>71534.430000000022</v>
      </c>
      <c r="T950" s="800"/>
      <c r="U950" s="800"/>
      <c r="V950" s="802">
        <f>STDEV(D$2:D950)*SQRT(252)</f>
        <v>0.14328346739291589</v>
      </c>
      <c r="W950" s="802">
        <f>STDEV(L$2:L950)*SQRT(252)</f>
        <v>0.24168592178887111</v>
      </c>
      <c r="X950" s="801">
        <f t="shared" ref="X950" si="1665">E950/(A950/365.25)/V950</f>
        <v>0.73717088556468735</v>
      </c>
      <c r="Y950" s="801">
        <f t="shared" ref="Y950" si="1666">O950/W950</f>
        <v>0.49875745669338567</v>
      </c>
      <c r="Z950" s="807">
        <f t="shared" ref="Z950" si="1667">-(E950-N950)</f>
        <v>5.8978673239664492E-2</v>
      </c>
    </row>
    <row r="951" spans="1:26" ht="20.100000000000001" customHeight="1" x14ac:dyDescent="0.2">
      <c r="A951" s="776">
        <f t="shared" ref="A951" si="1668">B951-$B$2</f>
        <v>1445</v>
      </c>
      <c r="B951" s="795">
        <v>43678</v>
      </c>
      <c r="C951" s="820">
        <v>2953.56</v>
      </c>
      <c r="D951" s="792">
        <f t="shared" ref="D951" si="1669">(C951-C950)/C950</f>
        <v>-8.9988524953194433E-3</v>
      </c>
      <c r="E951" s="819">
        <f t="shared" ref="E951" si="1670">(C951-$C$2)/$C$2</f>
        <v>0.40482487015087226</v>
      </c>
      <c r="F951" s="816">
        <v>8111.12</v>
      </c>
      <c r="G951" s="792">
        <f t="shared" ref="G951" si="1671">(F951-F950)/F950</f>
        <v>-7.8638257897768998E-3</v>
      </c>
      <c r="H951" s="797">
        <f t="shared" ref="H951" si="1672">(F951-F$2)/F$2</f>
        <v>0.59300822907869677</v>
      </c>
      <c r="I951" s="841">
        <v>289817.96000000002</v>
      </c>
      <c r="J951" s="800">
        <v>200000</v>
      </c>
      <c r="K951" s="800">
        <f t="shared" ref="K951" si="1673">I951-I950-J951+J950</f>
        <v>-5494.070000000007</v>
      </c>
      <c r="L951" s="792">
        <f t="shared" ref="L951" si="1674">K951/I950</f>
        <v>-1.8604287810422102E-2</v>
      </c>
      <c r="M951" s="817">
        <f t="shared" ref="M951" si="1675">I951-J951</f>
        <v>89817.960000000021</v>
      </c>
      <c r="N951" s="802">
        <f t="shared" ref="N951" si="1676">M951/J951</f>
        <v>0.44908980000000009</v>
      </c>
      <c r="O951" s="786">
        <f t="shared" ref="O951" si="1677">N951/(A951/365.25)</f>
        <v>0.11351560515570937</v>
      </c>
      <c r="P951" s="817" t="b">
        <f t="shared" ref="P951" si="1678">L951&gt;D951</f>
        <v>0</v>
      </c>
      <c r="Q951" s="802">
        <f>COUNTIF(P$2:P951, TRUE)/(COUNTIF(P$2:P951,FALSE) + COUNTIF(P$2:P951, TRUE))</f>
        <v>0.48736842105263156</v>
      </c>
      <c r="R951" s="844">
        <v>239870.24</v>
      </c>
      <c r="S951" s="846">
        <f t="shared" ref="S951" si="1679">I951-R951</f>
        <v>49947.72000000003</v>
      </c>
      <c r="T951" s="800"/>
      <c r="U951" s="800"/>
      <c r="V951" s="802">
        <f>STDEV(D$2:D951)*SQRT(252)</f>
        <v>0.14328990772090364</v>
      </c>
      <c r="W951" s="802">
        <f>STDEV(L$2:L951)*SQRT(252)</f>
        <v>0.24175819656440992</v>
      </c>
      <c r="X951" s="801">
        <f t="shared" ref="X951" si="1680">E951/(A951/365.25)/V951</f>
        <v>0.71412454403246539</v>
      </c>
      <c r="Y951" s="801">
        <f t="shared" ref="Y951" si="1681">O951/W951</f>
        <v>0.46954190910117172</v>
      </c>
      <c r="Z951" s="807">
        <f t="shared" ref="Z951" si="1682">-(E951-N951)</f>
        <v>4.4264929849127832E-2</v>
      </c>
    </row>
    <row r="952" spans="1:26" ht="20.100000000000001" customHeight="1" x14ac:dyDescent="0.2">
      <c r="A952" s="776">
        <f t="shared" ref="A952" si="1683">B952-$B$2</f>
        <v>1446</v>
      </c>
      <c r="B952" s="795">
        <v>43679</v>
      </c>
      <c r="C952" s="820">
        <v>2932.05</v>
      </c>
      <c r="D952" s="792">
        <f t="shared" ref="D952" si="1684">(C952-C951)/C951</f>
        <v>-7.2827367651240411E-3</v>
      </c>
      <c r="E952" s="819">
        <f t="shared" ref="E952" si="1685">(C952-$C$2)/$C$2</f>
        <v>0.39459390042046388</v>
      </c>
      <c r="F952" s="816">
        <v>8004.07</v>
      </c>
      <c r="G952" s="792">
        <f t="shared" ref="G952" si="1686">(F952-F951)/F951</f>
        <v>-1.319793074199373E-2</v>
      </c>
      <c r="H952" s="797">
        <f t="shared" ref="H952" si="1687">(F952-F$2)/F$2</f>
        <v>0.57198381679988997</v>
      </c>
      <c r="I952" s="841">
        <v>289446.74</v>
      </c>
      <c r="J952" s="800">
        <v>200000</v>
      </c>
      <c r="K952" s="800">
        <f t="shared" ref="K952" si="1688">I952-I951-J952+J951</f>
        <v>-371.22000000003027</v>
      </c>
      <c r="L952" s="792">
        <f t="shared" ref="L952" si="1689">K952/I951</f>
        <v>-1.2808730004173318E-3</v>
      </c>
      <c r="M952" s="817">
        <f t="shared" ref="M952" si="1690">I952-J952</f>
        <v>89446.739999999991</v>
      </c>
      <c r="N952" s="802">
        <f t="shared" ref="N952" si="1691">M952/J952</f>
        <v>0.44723369999999996</v>
      </c>
      <c r="O952" s="786">
        <f t="shared" ref="O952" si="1692">N952/(A952/365.25)</f>
        <v>0.11296826343360994</v>
      </c>
      <c r="P952" s="817" t="b">
        <f t="shared" ref="P952" si="1693">L952&gt;D952</f>
        <v>1</v>
      </c>
      <c r="Q952" s="802">
        <f>COUNTIF(P$2:P952, TRUE)/(COUNTIF(P$2:P952,FALSE) + COUNTIF(P$2:P952, TRUE))</f>
        <v>0.48790746582544692</v>
      </c>
      <c r="R952" s="844">
        <v>250058.36</v>
      </c>
      <c r="S952" s="846">
        <f t="shared" ref="S952" si="1694">I952-R952</f>
        <v>39388.380000000005</v>
      </c>
      <c r="T952" s="800"/>
      <c r="U952" s="800"/>
      <c r="V952" s="802">
        <f>STDEV(D$2:D952)*SQRT(252)</f>
        <v>0.14326903014414949</v>
      </c>
      <c r="W952" s="802">
        <f>STDEV(L$2:L952)*SQRT(252)</f>
        <v>0.24163242173002106</v>
      </c>
      <c r="X952" s="801">
        <f t="shared" ref="X952" si="1695">E952/(A952/365.25)/V952</f>
        <v>0.69569675620322569</v>
      </c>
      <c r="Y952" s="801">
        <f t="shared" ref="Y952" si="1696">O952/W952</f>
        <v>0.46752113240759885</v>
      </c>
      <c r="Z952" s="807">
        <f t="shared" ref="Z952" si="1697">-(E952-N952)</f>
        <v>5.2639799579536073E-2</v>
      </c>
    </row>
    <row r="953" spans="1:26" ht="20.100000000000001" customHeight="1" x14ac:dyDescent="0.2">
      <c r="A953" s="776">
        <f t="shared" ref="A953" si="1698">B953-$B$2</f>
        <v>1449</v>
      </c>
      <c r="B953" s="795">
        <v>43682</v>
      </c>
      <c r="C953" s="820">
        <v>2844.74</v>
      </c>
      <c r="D953" s="792">
        <f t="shared" ref="D953" si="1699">(C953-C952)/C952</f>
        <v>-2.9777800514998173E-2</v>
      </c>
      <c r="E953" s="819">
        <f t="shared" ref="E953" si="1700">(C953-$C$2)/$C$2</f>
        <v>0.35306596145431007</v>
      </c>
      <c r="F953" s="816">
        <v>7726.03</v>
      </c>
      <c r="G953" s="792">
        <f t="shared" ref="G953" si="1701">(F953-F952)/F952</f>
        <v>-3.4737327384693033E-2</v>
      </c>
      <c r="H953" s="797">
        <f t="shared" ref="H953" si="1702">(F953-F$2)/F$2</f>
        <v>0.51737730031227291</v>
      </c>
      <c r="I953" s="841">
        <v>285701.65000000002</v>
      </c>
      <c r="J953" s="800">
        <v>205000</v>
      </c>
      <c r="K953" s="800">
        <f t="shared" ref="K953" si="1703">I953-I952-J953+J952</f>
        <v>-8745.0899999999674</v>
      </c>
      <c r="L953" s="792">
        <f t="shared" ref="L953" si="1704">K953/I952</f>
        <v>-3.0213123146593281E-2</v>
      </c>
      <c r="M953" s="817">
        <f t="shared" ref="M953" si="1705">I953-J953</f>
        <v>80701.650000000023</v>
      </c>
      <c r="N953" s="802">
        <f t="shared" ref="N953" si="1706">M953/J953</f>
        <v>0.39366658536585375</v>
      </c>
      <c r="O953" s="786">
        <f t="shared" ref="O953" si="1707">N953/(A953/365.25)</f>
        <v>9.9231691031661892E-2</v>
      </c>
      <c r="P953" s="817" t="b">
        <f t="shared" ref="P953" si="1708">L953&gt;D953</f>
        <v>0</v>
      </c>
      <c r="Q953" s="802">
        <f>COUNTIF(P$2:P953, TRUE)/(COUNTIF(P$2:P953,FALSE) + COUNTIF(P$2:P953, TRUE))</f>
        <v>0.48739495798319327</v>
      </c>
      <c r="R953" s="844">
        <v>267818.02</v>
      </c>
      <c r="S953" s="846">
        <f t="shared" ref="S953:S958" si="1709">I953-R953</f>
        <v>17883.630000000005</v>
      </c>
      <c r="T953" s="800"/>
      <c r="U953" s="800"/>
      <c r="V953" s="802">
        <f>STDEV(D$2:D953)*SQRT(252)</f>
        <v>0.14403327281679196</v>
      </c>
      <c r="W953" s="802">
        <f>STDEV(L$2:L953)*SQRT(252)</f>
        <v>0.24202023483288324</v>
      </c>
      <c r="X953" s="801">
        <f t="shared" ref="X953" si="1710">E953/(A953/365.25)/V953</f>
        <v>0.61789525469036966</v>
      </c>
      <c r="Y953" s="801">
        <f t="shared" ref="Y953" si="1711">O953/W953</f>
        <v>0.41001402672046044</v>
      </c>
      <c r="Z953" s="807">
        <f t="shared" ref="Z953" si="1712">-(E953-N953)</f>
        <v>4.0600623911543676E-2</v>
      </c>
    </row>
    <row r="954" spans="1:26" ht="20.100000000000001" customHeight="1" x14ac:dyDescent="0.2">
      <c r="A954" s="776">
        <f t="shared" ref="A954" si="1713">B954-$B$2</f>
        <v>1450</v>
      </c>
      <c r="B954" s="795">
        <v>43683</v>
      </c>
      <c r="C954" s="820">
        <v>2881.77</v>
      </c>
      <c r="D954" s="792">
        <f t="shared" ref="D954" si="1714">(C954-C953)/C953</f>
        <v>1.3017006826634491E-2</v>
      </c>
      <c r="E954" s="819">
        <f t="shared" ref="E954" si="1715">(C954-$C$2)/$C$2</f>
        <v>0.3706788303114476</v>
      </c>
      <c r="F954" s="816">
        <v>7833.26</v>
      </c>
      <c r="G954" s="792">
        <f t="shared" ref="G954" si="1716">(F954-F953)/F953</f>
        <v>1.3879055608119627E-2</v>
      </c>
      <c r="H954" s="797">
        <f t="shared" ref="H954" si="1717">(F954-F$2)/F$2</f>
        <v>0.53843706424180537</v>
      </c>
      <c r="I954" s="841">
        <v>280908.61</v>
      </c>
      <c r="J954" s="800">
        <v>205000</v>
      </c>
      <c r="K954" s="800">
        <f t="shared" ref="K954" si="1718">I954-I953-J954+J953</f>
        <v>-4793.0400000000373</v>
      </c>
      <c r="L954" s="792">
        <f t="shared" ref="L954" si="1719">K954/I953</f>
        <v>-1.6776381935491226E-2</v>
      </c>
      <c r="M954" s="817">
        <f t="shared" ref="M954" si="1720">I954-J954</f>
        <v>75908.609999999986</v>
      </c>
      <c r="N954" s="802">
        <f t="shared" ref="N954" si="1721">M954/J954</f>
        <v>0.37028590243902432</v>
      </c>
      <c r="O954" s="786">
        <f t="shared" ref="O954" si="1722">N954/(A954/365.25)</f>
        <v>9.3273741976450789E-2</v>
      </c>
      <c r="P954" s="817" t="b">
        <f t="shared" ref="P954" si="1723">L954&gt;D954</f>
        <v>0</v>
      </c>
      <c r="Q954" s="802">
        <f>COUNTIF(P$2:P954, TRUE)/(COUNTIF(P$2:P954,FALSE) + COUNTIF(P$2:P954, TRUE))</f>
        <v>0.48688352570828963</v>
      </c>
      <c r="R954" s="844">
        <v>271299.98</v>
      </c>
      <c r="S954" s="846">
        <f t="shared" si="1709"/>
        <v>9608.6300000000047</v>
      </c>
      <c r="T954" s="800"/>
      <c r="U954" s="800"/>
      <c r="V954" s="802">
        <f>STDEV(D$2:D954)*SQRT(252)</f>
        <v>0.14410475616781504</v>
      </c>
      <c r="W954" s="802">
        <f>STDEV(L$2:L954)*SQRT(252)</f>
        <v>0.24205452430232197</v>
      </c>
      <c r="X954" s="801">
        <f t="shared" ref="X954" si="1724">E954/(A954/365.25)/V954</f>
        <v>0.64795029418636751</v>
      </c>
      <c r="Y954" s="801">
        <f t="shared" ref="Y954" si="1725">O954/W954</f>
        <v>0.38534186562013389</v>
      </c>
      <c r="Z954" s="807">
        <f t="shared" ref="Z954" si="1726">-(E954-N954)</f>
        <v>-3.9292787242328764E-4</v>
      </c>
    </row>
    <row r="955" spans="1:26" ht="20.100000000000001" customHeight="1" x14ac:dyDescent="0.2">
      <c r="A955" s="776">
        <f t="shared" ref="A955" si="1727">B955-$B$2</f>
        <v>1451</v>
      </c>
      <c r="B955" s="795">
        <v>43684</v>
      </c>
      <c r="C955" s="820">
        <v>2883.98</v>
      </c>
      <c r="D955" s="792">
        <f t="shared" ref="D955" si="1728">(C955-C954)/C954</f>
        <v>7.6688979342558097E-4</v>
      </c>
      <c r="E955" s="819">
        <f t="shared" ref="E955" si="1729">(C955-$C$2)/$C$2</f>
        <v>0.37172998991647799</v>
      </c>
      <c r="F955" s="816">
        <v>7862.82</v>
      </c>
      <c r="G955" s="792">
        <f t="shared" ref="G955" si="1730">(F955-F954)/F954</f>
        <v>3.7736523490857561E-3</v>
      </c>
      <c r="H955" s="797">
        <f t="shared" ref="H955" si="1731">(F955-F$2)/F$2</f>
        <v>0.54424259088320204</v>
      </c>
      <c r="I955" s="841">
        <v>282283.34999999998</v>
      </c>
      <c r="J955" s="800">
        <v>205000</v>
      </c>
      <c r="K955" s="800">
        <f t="shared" ref="K955" si="1732">I955-I954-J955+J954</f>
        <v>1374.7399999999907</v>
      </c>
      <c r="L955" s="792">
        <f t="shared" ref="L955" si="1733">K955/I954</f>
        <v>4.8939048183677626E-3</v>
      </c>
      <c r="M955" s="817">
        <f t="shared" ref="M955" si="1734">I955-J955</f>
        <v>77283.349999999977</v>
      </c>
      <c r="N955" s="802">
        <f t="shared" ref="N955" si="1735">M955/J955</f>
        <v>0.37699195121951207</v>
      </c>
      <c r="O955" s="786">
        <f t="shared" ref="O955" si="1736">N955/(A955/365.25)</f>
        <v>9.4897525970314811E-2</v>
      </c>
      <c r="P955" s="817" t="b">
        <f t="shared" ref="P955" si="1737">L955&gt;D955</f>
        <v>1</v>
      </c>
      <c r="Q955" s="802">
        <f>COUNTIF(P$2:P955, TRUE)/(COUNTIF(P$2:P955,FALSE) + COUNTIF(P$2:P955, TRUE))</f>
        <v>0.48742138364779874</v>
      </c>
      <c r="R955" s="844">
        <v>269182.78999999998</v>
      </c>
      <c r="S955" s="846">
        <f t="shared" si="1709"/>
        <v>13100.559999999998</v>
      </c>
      <c r="T955" s="800"/>
      <c r="U955" s="800"/>
      <c r="V955" s="802">
        <f>STDEV(D$2:D955)*SQRT(252)</f>
        <v>0.14402919383745108</v>
      </c>
      <c r="W955" s="802">
        <f>STDEV(L$2:L955)*SQRT(252)</f>
        <v>0.24193843542247787</v>
      </c>
      <c r="X955" s="801">
        <f t="shared" ref="X955" si="1738">E955/(A955/365.25)/V955</f>
        <v>0.64968057556141012</v>
      </c>
      <c r="Y955" s="801">
        <f t="shared" ref="Y955" si="1739">O955/W955</f>
        <v>0.39223832213597148</v>
      </c>
      <c r="Z955" s="807">
        <f t="shared" ref="Z955" si="1740">-(E955-N955)</f>
        <v>5.2619613030340795E-3</v>
      </c>
    </row>
    <row r="956" spans="1:26" ht="20.100000000000001" customHeight="1" x14ac:dyDescent="0.2">
      <c r="A956" s="776">
        <f t="shared" ref="A956" si="1741">B956-$B$2</f>
        <v>1452</v>
      </c>
      <c r="B956" s="795">
        <v>43685</v>
      </c>
      <c r="C956" s="820">
        <v>2938.09</v>
      </c>
      <c r="D956" s="792">
        <f t="shared" ref="D956" si="1742">(C956-C955)/C955</f>
        <v>1.876226603513205E-2</v>
      </c>
      <c r="E956" s="819">
        <f t="shared" ref="E956" si="1743">(C956-$C$2)/$C$2</f>
        <v>0.39746675291565992</v>
      </c>
      <c r="F956" s="816">
        <v>8039.15</v>
      </c>
      <c r="G956" s="792">
        <f t="shared" ref="G956" si="1744">(F956-F955)/F955</f>
        <v>2.2425796342787949E-2</v>
      </c>
      <c r="H956" s="797">
        <f t="shared" ref="H956" si="1745">(F956-F$2)/F$2</f>
        <v>0.57887346073020796</v>
      </c>
      <c r="I956" s="841">
        <v>289284.46000000002</v>
      </c>
      <c r="J956" s="800">
        <v>205000</v>
      </c>
      <c r="K956" s="800">
        <f t="shared" ref="K956" si="1746">I956-I955-J956+J955</f>
        <v>7001.1100000000442</v>
      </c>
      <c r="L956" s="792">
        <f t="shared" ref="L956" si="1747">K956/I955</f>
        <v>2.4801710763316522E-2</v>
      </c>
      <c r="M956" s="817">
        <f t="shared" ref="M956" si="1748">I956-J956</f>
        <v>84284.460000000021</v>
      </c>
      <c r="N956" s="802">
        <f t="shared" ref="N956" si="1749">M956/J956</f>
        <v>0.41114370731707328</v>
      </c>
      <c r="O956" s="786">
        <f t="shared" ref="O956" si="1750">N956/(A956/365.25)</f>
        <v>0.10342302968151586</v>
      </c>
      <c r="P956" s="817" t="b">
        <f t="shared" ref="P956" si="1751">L956&gt;D956</f>
        <v>1</v>
      </c>
      <c r="Q956" s="802">
        <f>COUNTIF(P$2:P956, TRUE)/(COUNTIF(P$2:P956,FALSE) + COUNTIF(P$2:P956, TRUE))</f>
        <v>0.48795811518324606</v>
      </c>
      <c r="R956" s="844">
        <v>276183.90000000002</v>
      </c>
      <c r="S956" s="846">
        <f t="shared" si="1709"/>
        <v>13100.559999999998</v>
      </c>
      <c r="T956" s="800"/>
      <c r="U956" s="800"/>
      <c r="V956" s="802">
        <f>STDEV(D$2:D956)*SQRT(252)</f>
        <v>0.14426354092248339</v>
      </c>
      <c r="W956" s="802">
        <f>STDEV(L$2:L956)*SQRT(252)</f>
        <v>0.24213655240117371</v>
      </c>
      <c r="X956" s="801">
        <f t="shared" ref="X956" si="1752">E956/(A956/365.25)/V956</f>
        <v>0.69305520171030366</v>
      </c>
      <c r="Y956" s="801">
        <f t="shared" ref="Y956" si="1753">O956/W956</f>
        <v>0.42712687801948951</v>
      </c>
      <c r="Z956" s="807">
        <f t="shared" ref="Z956" si="1754">-(E956-N956)</f>
        <v>1.3676954401413366E-2</v>
      </c>
    </row>
    <row r="957" spans="1:26" ht="20.100000000000001" customHeight="1" x14ac:dyDescent="0.2">
      <c r="A957" s="776">
        <f t="shared" ref="A957" si="1755">B957-$B$2</f>
        <v>1453</v>
      </c>
      <c r="B957" s="795">
        <v>43686</v>
      </c>
      <c r="C957" s="820">
        <v>2918.65</v>
      </c>
      <c r="D957" s="792">
        <f t="shared" ref="D957" si="1756">(C957-C956)/C956</f>
        <v>-6.6165434006446545E-3</v>
      </c>
      <c r="E957" s="819">
        <f t="shared" ref="E957" si="1757">(C957-$C$2)/$C$2</f>
        <v>0.3882203534940355</v>
      </c>
      <c r="F957" s="816">
        <v>7959.13</v>
      </c>
      <c r="G957" s="792">
        <f t="shared" ref="G957" si="1758">(F957-F956)/F956</f>
        <v>-9.9537886468096162E-3</v>
      </c>
      <c r="H957" s="797">
        <f t="shared" ref="H957" si="1759">(F957-F$2)/F$2</f>
        <v>0.56315768800204258</v>
      </c>
      <c r="I957" s="841">
        <v>286544.7</v>
      </c>
      <c r="J957" s="800">
        <v>205000</v>
      </c>
      <c r="K957" s="800">
        <f t="shared" ref="K957" si="1760">I957-I956-J957+J956</f>
        <v>-2739.7600000000093</v>
      </c>
      <c r="L957" s="792">
        <f t="shared" ref="L957" si="1761">K957/I956</f>
        <v>-9.4708163722310185E-3</v>
      </c>
      <c r="M957" s="817">
        <f t="shared" ref="M957" si="1762">I957-J957</f>
        <v>81544.700000000012</v>
      </c>
      <c r="N957" s="802">
        <f t="shared" ref="N957" si="1763">M957/J957</f>
        <v>0.39777902439024398</v>
      </c>
      <c r="O957" s="786">
        <f t="shared" ref="O957" si="1764">N957/(A957/365.25)</f>
        <v>9.9992284004498708E-2</v>
      </c>
      <c r="P957" s="817" t="b">
        <f t="shared" ref="P957" si="1765">L957&gt;D957</f>
        <v>0</v>
      </c>
      <c r="Q957" s="802">
        <f>COUNTIF(P$2:P957, TRUE)/(COUNTIF(P$2:P957,FALSE) + COUNTIF(P$2:P957, TRUE))</f>
        <v>0.4874476987447699</v>
      </c>
      <c r="R957" s="844">
        <v>255348.52</v>
      </c>
      <c r="S957" s="846">
        <f t="shared" si="1709"/>
        <v>31196.180000000022</v>
      </c>
      <c r="T957" s="800"/>
      <c r="U957" s="800"/>
      <c r="V957" s="802">
        <f>STDEV(D$2:D957)*SQRT(252)</f>
        <v>0.14423285224205917</v>
      </c>
      <c r="W957" s="802">
        <f>STDEV(L$2:L957)*SQRT(252)</f>
        <v>0.24206296946207687</v>
      </c>
      <c r="X957" s="801">
        <f t="shared" ref="X957" si="1766">E957/(A957/365.25)/V957</f>
        <v>0.67661047820582909</v>
      </c>
      <c r="Y957" s="801">
        <f t="shared" ref="Y957" si="1767">O957/W957</f>
        <v>0.41308377000706065</v>
      </c>
      <c r="Z957" s="807">
        <f t="shared" ref="Z957" si="1768">-(E957-N957)</f>
        <v>9.5586708962084876E-3</v>
      </c>
    </row>
    <row r="958" spans="1:26" ht="20.100000000000001" customHeight="1" x14ac:dyDescent="0.2">
      <c r="A958" s="776">
        <f t="shared" ref="A958" si="1769">B958-$B$2</f>
        <v>1456</v>
      </c>
      <c r="B958" s="795">
        <v>43689</v>
      </c>
      <c r="C958" s="820">
        <v>2883.09</v>
      </c>
      <c r="D958" s="792">
        <f t="shared" ref="D958" si="1770">(C958-C957)/C957</f>
        <v>-1.218371507374983E-2</v>
      </c>
      <c r="E958" s="819">
        <f t="shared" ref="E958" si="1771">(C958-$C$2)/$C$2</f>
        <v>0.37130667224748393</v>
      </c>
      <c r="F958" s="816">
        <v>7863.41</v>
      </c>
      <c r="G958" s="792">
        <f t="shared" ref="G958" si="1772">(F958-F957)/F957</f>
        <v>-1.2026440075736953E-2</v>
      </c>
      <c r="H958" s="797">
        <f t="shared" ref="H958" si="1773">(F958-F$2)/F$2</f>
        <v>0.54435846573835855</v>
      </c>
      <c r="I958" s="841">
        <v>282557.90999999997</v>
      </c>
      <c r="J958" s="800">
        <v>205000</v>
      </c>
      <c r="K958" s="800">
        <f t="shared" ref="K958" si="1774">I958-I957-J958+J957</f>
        <v>-3986.7900000000373</v>
      </c>
      <c r="L958" s="792">
        <f t="shared" ref="L958" si="1775">K958/I957</f>
        <v>-1.3913326611869063E-2</v>
      </c>
      <c r="M958" s="817">
        <f t="shared" ref="M958" si="1776">I958-J958</f>
        <v>77557.909999999974</v>
      </c>
      <c r="N958" s="802">
        <f t="shared" ref="N958" si="1777">M958/J958</f>
        <v>0.37833126829268282</v>
      </c>
      <c r="O958" s="786">
        <f t="shared" ref="O958" si="1778">N958/(A958/365.25)</f>
        <v>9.4907620703229667E-2</v>
      </c>
      <c r="P958" s="817" t="b">
        <f t="shared" ref="P958" si="1779">L958&gt;D958</f>
        <v>0</v>
      </c>
      <c r="Q958" s="802">
        <f>COUNTIF(P$2:P958, TRUE)/(COUNTIF(P$2:P958,FALSE) + COUNTIF(P$2:P958, TRUE))</f>
        <v>0.48693834900731453</v>
      </c>
      <c r="R958" s="844">
        <v>253447.73</v>
      </c>
      <c r="S958" s="846">
        <f t="shared" si="1709"/>
        <v>29110.179999999964</v>
      </c>
      <c r="T958" s="800"/>
      <c r="U958" s="800"/>
      <c r="V958" s="802">
        <f>STDEV(D$2:D958)*SQRT(252)</f>
        <v>0.14430167092911678</v>
      </c>
      <c r="W958" s="802">
        <f>STDEV(L$2:L958)*SQRT(252)</f>
        <v>0.2420479753930995</v>
      </c>
      <c r="X958" s="801">
        <f t="shared" ref="X958" si="1780">E958/(A958/365.25)/V958</f>
        <v>0.64549107685793583</v>
      </c>
      <c r="Y958" s="801">
        <f t="shared" ref="Y958" si="1781">O958/W958</f>
        <v>0.392102518309002</v>
      </c>
      <c r="Z958" s="807">
        <f t="shared" ref="Z958" si="1782">-(E958-N958)</f>
        <v>7.0245960451988942E-3</v>
      </c>
    </row>
    <row r="959" spans="1:26" ht="20.100000000000001" customHeight="1" x14ac:dyDescent="0.2">
      <c r="A959" s="776">
        <f t="shared" ref="A959" si="1783">B959-$B$2</f>
        <v>1457</v>
      </c>
      <c r="B959" s="795">
        <v>43690</v>
      </c>
      <c r="C959" s="820">
        <v>2926.32</v>
      </c>
      <c r="D959" s="792">
        <f t="shared" ref="D959" si="1784">(C959-C958)/C958</f>
        <v>1.4994329001175827E-2</v>
      </c>
      <c r="E959" s="819">
        <f t="shared" ref="E959" si="1785">(C959-$C$2)/$C$2</f>
        <v>0.39186849565267029</v>
      </c>
      <c r="F959" s="816">
        <v>8016.35</v>
      </c>
      <c r="G959" s="792">
        <f t="shared" ref="G959" si="1786">(F959-F958)/F958</f>
        <v>1.9449577219043713E-2</v>
      </c>
      <c r="H959" s="797">
        <f t="shared" ref="H959" si="1787">(F959-F$2)/F$2</f>
        <v>0.57439558497162058</v>
      </c>
      <c r="I959" s="841">
        <v>285623.73</v>
      </c>
      <c r="J959" s="800">
        <v>205000</v>
      </c>
      <c r="K959" s="800">
        <f t="shared" ref="K959" si="1788">I959-I958-J959+J958</f>
        <v>3065.820000000007</v>
      </c>
      <c r="L959" s="792">
        <f t="shared" ref="L959" si="1789">K959/I958</f>
        <v>1.0850235974636163E-2</v>
      </c>
      <c r="M959" s="817">
        <f t="shared" ref="M959" si="1790">I959-J959</f>
        <v>80623.729999999981</v>
      </c>
      <c r="N959" s="802">
        <f t="shared" ref="N959" si="1791">M959/J959</f>
        <v>0.39328648780487796</v>
      </c>
      <c r="O959" s="786">
        <f t="shared" ref="O959" si="1792">N959/(A959/365.25)</f>
        <v>9.8591550906473355E-2</v>
      </c>
      <c r="P959" s="817" t="b">
        <f t="shared" ref="P959" si="1793">L959&gt;D959</f>
        <v>0</v>
      </c>
      <c r="Q959" s="802">
        <f>COUNTIF(P$2:P959, TRUE)/(COUNTIF(P$2:P959,FALSE) + COUNTIF(P$2:P959, TRUE))</f>
        <v>0.48643006263048016</v>
      </c>
      <c r="R959" s="844">
        <v>256513.55</v>
      </c>
      <c r="S959" s="846">
        <f t="shared" ref="S959" si="1794">I959-R959</f>
        <v>29110.179999999993</v>
      </c>
      <c r="T959" s="800"/>
      <c r="U959" s="800"/>
      <c r="V959" s="802">
        <f>STDEV(D$2:D959)*SQRT(252)</f>
        <v>0.14442124269146442</v>
      </c>
      <c r="W959" s="802">
        <f>STDEV(L$2:L959)*SQRT(252)</f>
        <v>0.24198080546477138</v>
      </c>
      <c r="X959" s="801">
        <f t="shared" ref="X959" si="1795">E959/(A959/365.25)/V959</f>
        <v>0.68020519565120574</v>
      </c>
      <c r="Y959" s="801">
        <f t="shared" ref="Y959" si="1796">O959/W959</f>
        <v>0.40743541917347137</v>
      </c>
      <c r="Z959" s="807">
        <f t="shared" ref="Z959" si="1797">-(E959-N959)</f>
        <v>1.4179921522076699E-3</v>
      </c>
    </row>
    <row r="960" spans="1:26" ht="20.100000000000001" customHeight="1" x14ac:dyDescent="0.2">
      <c r="A960" s="776">
        <f t="shared" ref="A960" si="1798">B960-$B$2</f>
        <v>1458</v>
      </c>
      <c r="B960" s="795">
        <v>43691</v>
      </c>
      <c r="C960" s="820">
        <v>2840.6</v>
      </c>
      <c r="D960" s="792">
        <f t="shared" ref="D960" si="1799">(C960-C959)/C959</f>
        <v>-2.9292763607534463E-2</v>
      </c>
      <c r="E960" s="819">
        <f t="shared" ref="E960" si="1800">(C960-$C$2)/$C$2</f>
        <v>0.35109682083674199</v>
      </c>
      <c r="F960" s="816">
        <v>7773.93</v>
      </c>
      <c r="G960" s="792">
        <f t="shared" ref="G960" si="1801">(F960-F959)/F959</f>
        <v>-3.0240695578411629E-2</v>
      </c>
      <c r="H960" s="797">
        <f t="shared" ref="H960" si="1802">(F960-F$2)/F$2</f>
        <v>0.52678476736649849</v>
      </c>
      <c r="I960" s="841">
        <v>274275.75</v>
      </c>
      <c r="J960" s="800">
        <v>205000</v>
      </c>
      <c r="K960" s="800">
        <f t="shared" ref="K960" si="1803">I960-I959-J960+J959</f>
        <v>-11347.979999999981</v>
      </c>
      <c r="L960" s="792">
        <f t="shared" ref="L960" si="1804">K960/I959</f>
        <v>-3.9730522390418965E-2</v>
      </c>
      <c r="M960" s="817">
        <f t="shared" ref="M960" si="1805">I960-J960</f>
        <v>69275.75</v>
      </c>
      <c r="N960" s="802">
        <f t="shared" ref="N960" si="1806">M960/J960</f>
        <v>0.33793048780487805</v>
      </c>
      <c r="O960" s="786">
        <f t="shared" ref="O960" si="1807">N960/(A960/365.25)</f>
        <v>8.4656454506674694E-2</v>
      </c>
      <c r="P960" s="817" t="b">
        <f t="shared" ref="P960" si="1808">L960&gt;D960</f>
        <v>0</v>
      </c>
      <c r="Q960" s="802">
        <f>COUNTIF(P$2:P960, TRUE)/(COUNTIF(P$2:P960,FALSE) + COUNTIF(P$2:P960, TRUE))</f>
        <v>0.48592283628779981</v>
      </c>
      <c r="R960" s="844">
        <v>251315.57</v>
      </c>
      <c r="S960" s="846">
        <f t="shared" ref="S960" si="1809">I960-R960</f>
        <v>22960.179999999993</v>
      </c>
      <c r="T960" s="800"/>
      <c r="U960" s="800"/>
      <c r="V960" s="802">
        <f>STDEV(D$2:D960)*SQRT(252)</f>
        <v>0.14514618643694724</v>
      </c>
      <c r="W960" s="802">
        <f>STDEV(L$2:L960)*SQRT(252)</f>
        <v>0.24272891610494826</v>
      </c>
      <c r="X960" s="801">
        <f t="shared" ref="X960" si="1810">E960/(A960/365.25)/V960</f>
        <v>0.60597396823723337</v>
      </c>
      <c r="Y960" s="801">
        <f t="shared" ref="Y960" si="1811">O960/W960</f>
        <v>0.34876954861888781</v>
      </c>
      <c r="Z960" s="807">
        <f t="shared" ref="Z960" si="1812">-(E960-N960)</f>
        <v>-1.316633303186393E-2</v>
      </c>
    </row>
    <row r="961" spans="1:26" ht="20.100000000000001" customHeight="1" x14ac:dyDescent="0.2">
      <c r="A961" s="776">
        <f t="shared" ref="A961" si="1813">B961-$B$2</f>
        <v>1459</v>
      </c>
      <c r="B961" s="795">
        <v>43692</v>
      </c>
      <c r="C961" s="820">
        <v>2847.6</v>
      </c>
      <c r="D961" s="792">
        <f t="shared" ref="D961" si="1814">(C961-C960)/C960</f>
        <v>2.4642681123706262E-3</v>
      </c>
      <c r="E961" s="819">
        <f t="shared" ref="E961" si="1815">(C961-$C$2)/$C$2</f>
        <v>0.35442628564905532</v>
      </c>
      <c r="F961" s="816">
        <v>7766.61</v>
      </c>
      <c r="G961" s="792">
        <f t="shared" ref="G961" si="1816">(F961-F960)/F960</f>
        <v>-9.4160868441066717E-4</v>
      </c>
      <c r="H961" s="797">
        <f t="shared" ref="H961" si="1817">(F961-F$2)/F$2</f>
        <v>0.52534713357032037</v>
      </c>
      <c r="I961" s="841">
        <v>276044.53000000003</v>
      </c>
      <c r="J961" s="800">
        <v>210000</v>
      </c>
      <c r="K961" s="800">
        <f t="shared" ref="K961" si="1818">I961-I960-J961+J960</f>
        <v>-3231.2199999999721</v>
      </c>
      <c r="L961" s="792">
        <f t="shared" ref="L961" si="1819">K961/I960</f>
        <v>-1.1780917561979038E-2</v>
      </c>
      <c r="M961" s="817">
        <f t="shared" ref="M961" si="1820">I961-J961</f>
        <v>66044.530000000028</v>
      </c>
      <c r="N961" s="802">
        <f t="shared" ref="N961" si="1821">M961/J961</f>
        <v>0.31449776190476203</v>
      </c>
      <c r="O961" s="786">
        <f t="shared" ref="O961" si="1822">N961/(A961/365.25)</f>
        <v>7.8732219010085217E-2</v>
      </c>
      <c r="P961" s="817" t="b">
        <f t="shared" ref="P961" si="1823">L961&gt;D961</f>
        <v>0</v>
      </c>
      <c r="Q961" s="802">
        <f>COUNTIF(P$2:P961, TRUE)/(COUNTIF(P$2:P961,FALSE) + COUNTIF(P$2:P961, TRUE))</f>
        <v>0.48541666666666666</v>
      </c>
      <c r="R961" s="844">
        <v>260324.35</v>
      </c>
      <c r="S961" s="846">
        <f t="shared" ref="S961" si="1824">I961-R961</f>
        <v>15720.180000000022</v>
      </c>
      <c r="T961" s="800"/>
      <c r="U961" s="800"/>
      <c r="V961" s="802">
        <f>STDEV(D$2:D961)*SQRT(252)</f>
        <v>0.14507443756748861</v>
      </c>
      <c r="W961" s="802">
        <f>STDEV(L$2:L961)*SQRT(252)</f>
        <v>0.24268209709340491</v>
      </c>
      <c r="X961" s="801">
        <f t="shared" ref="X961" si="1825">E961/(A961/365.25)/V961</f>
        <v>0.61160349788794721</v>
      </c>
      <c r="Y961" s="801">
        <f t="shared" ref="Y961" si="1826">O961/W961</f>
        <v>0.32442532825065501</v>
      </c>
      <c r="Z961" s="807">
        <f t="shared" ref="Z961" si="1827">-(E961-N961)</f>
        <v>-3.9928523744293287E-2</v>
      </c>
    </row>
    <row r="962" spans="1:26" ht="20.100000000000001" customHeight="1" x14ac:dyDescent="0.2">
      <c r="A962" s="776">
        <f t="shared" ref="A962:A963" si="1828">B962-$B$2</f>
        <v>1460</v>
      </c>
      <c r="B962" s="795">
        <v>43693</v>
      </c>
      <c r="C962" s="820">
        <v>2888.68</v>
      </c>
      <c r="D962" s="792">
        <f t="shared" ref="D962" si="1829">(C962-C961)/C961</f>
        <v>1.44261834527321E-2</v>
      </c>
      <c r="E962" s="819">
        <f t="shared" ref="E962" si="1830">(C962-$C$2)/$C$2</f>
        <v>0.3739654877190311</v>
      </c>
      <c r="F962" s="816">
        <v>7895.99</v>
      </c>
      <c r="G962" s="792">
        <f t="shared" ref="G962" si="1831">(F962-F961)/F961</f>
        <v>1.6658490641348042E-2</v>
      </c>
      <c r="H962" s="797">
        <f t="shared" ref="H962" si="1832">(F962-F$2)/F$2</f>
        <v>0.55075711451970855</v>
      </c>
      <c r="I962" s="841">
        <v>283183</v>
      </c>
      <c r="J962" s="800">
        <v>210000</v>
      </c>
      <c r="K962" s="800">
        <f t="shared" ref="K962" si="1833">I962-I961-J962+J961</f>
        <v>7138.4699999999721</v>
      </c>
      <c r="L962" s="792">
        <f t="shared" ref="L962" si="1834">K962/I961</f>
        <v>2.5859849496021426E-2</v>
      </c>
      <c r="M962" s="817">
        <f t="shared" ref="M962" si="1835">I962-J962</f>
        <v>73183</v>
      </c>
      <c r="N962" s="802">
        <f t="shared" ref="N962" si="1836">M962/J962</f>
        <v>0.34849047619047618</v>
      </c>
      <c r="O962" s="786">
        <f t="shared" ref="O962:O967" si="1837">N962/(A962/365.25)</f>
        <v>8.7182292074363996E-2</v>
      </c>
      <c r="P962" s="817" t="b">
        <f t="shared" ref="P962" si="1838">L962&gt;D962</f>
        <v>1</v>
      </c>
      <c r="Q962" s="802">
        <f>COUNTIF(P$2:P962, TRUE)/(COUNTIF(P$2:P962,FALSE) + COUNTIF(P$2:P962, TRUE))</f>
        <v>0.48595213319458896</v>
      </c>
      <c r="R962" s="844">
        <v>264453.88</v>
      </c>
      <c r="S962" s="846">
        <f t="shared" ref="S962" si="1839">I962-R962</f>
        <v>18729.119999999995</v>
      </c>
      <c r="T962" s="800"/>
      <c r="U962" s="800"/>
      <c r="V962" s="802">
        <f>STDEV(D$2:D962)*SQRT(252)</f>
        <v>0.14517781290090198</v>
      </c>
      <c r="W962" s="802">
        <f>STDEV(L$2:L962)*SQRT(252)</f>
        <v>0.24290730927840837</v>
      </c>
      <c r="X962" s="801">
        <f t="shared" ref="X962" si="1840">E962/(A962/365.25)/V962</f>
        <v>0.64441945533283185</v>
      </c>
      <c r="Y962" s="801">
        <f t="shared" ref="Y962" si="1841">O962/W962</f>
        <v>0.35891176899267346</v>
      </c>
      <c r="Z962" s="807">
        <f t="shared" ref="Z962" si="1842">-(E962-N962)</f>
        <v>-2.5475011528554914E-2</v>
      </c>
    </row>
    <row r="963" spans="1:26" ht="20.100000000000001" customHeight="1" x14ac:dyDescent="0.2">
      <c r="A963" s="776">
        <f t="shared" si="1828"/>
        <v>1463</v>
      </c>
      <c r="B963" s="795">
        <v>43696</v>
      </c>
      <c r="C963" s="820">
        <v>2923.65</v>
      </c>
      <c r="D963" s="792">
        <f t="shared" ref="D963" si="1843">(C963-C962)/C962</f>
        <v>1.2105875347909861E-2</v>
      </c>
      <c r="E963" s="819">
        <f t="shared" ref="E963" si="1844">(C963-$C$2)/$C$2</f>
        <v>0.39059854264568789</v>
      </c>
      <c r="F963" s="816">
        <v>8002.81</v>
      </c>
      <c r="G963" s="792">
        <f t="shared" ref="G963" si="1845">(F963-F962)/F962</f>
        <v>1.3528385927540514E-2</v>
      </c>
      <c r="H963" s="797">
        <f t="shared" ref="H963" si="1846">(F963-F$2)/F$2</f>
        <v>0.57173635524481037</v>
      </c>
      <c r="I963" s="841">
        <v>290017.02</v>
      </c>
      <c r="J963" s="800">
        <v>210000</v>
      </c>
      <c r="K963" s="800">
        <f t="shared" ref="K963" si="1847">I963-I962-J963+J962</f>
        <v>6834.0200000000186</v>
      </c>
      <c r="L963" s="792">
        <f t="shared" ref="L963" si="1848">K963/I962</f>
        <v>2.4132875207904494E-2</v>
      </c>
      <c r="M963" s="817">
        <f t="shared" ref="M963" si="1849">I963-J963</f>
        <v>80017.020000000019</v>
      </c>
      <c r="N963" s="802">
        <f t="shared" ref="N963" si="1850">M963/J963</f>
        <v>0.38103342857142863</v>
      </c>
      <c r="O963" s="786">
        <f t="shared" si="1837"/>
        <v>9.5128133824821812E-2</v>
      </c>
      <c r="P963" s="817" t="b">
        <f t="shared" ref="P963" si="1851">L963&gt;D963</f>
        <v>1</v>
      </c>
      <c r="Q963" s="802">
        <f>COUNTIF(P$2:P963, TRUE)/(COUNTIF(P$2:P963,FALSE) + COUNTIF(P$2:P963, TRUE))</f>
        <v>0.48648648648648651</v>
      </c>
      <c r="R963" s="844">
        <v>254628.24</v>
      </c>
      <c r="S963" s="846">
        <f t="shared" ref="S963" si="1852">I963-R963</f>
        <v>35388.780000000028</v>
      </c>
      <c r="T963" s="800"/>
      <c r="U963" s="800"/>
      <c r="V963" s="802">
        <f>STDEV(D$2:D963)*SQRT(252)</f>
        <v>0.14522651984110871</v>
      </c>
      <c r="W963" s="802">
        <f>STDEV(L$2:L963)*SQRT(252)</f>
        <v>0.24308525958324595</v>
      </c>
      <c r="X963" s="801">
        <f t="shared" ref="X963" si="1853">E963/(A963/365.25)/V963</f>
        <v>0.67147614253386834</v>
      </c>
      <c r="Y963" s="801">
        <f t="shared" ref="Y963" si="1854">O963/W963</f>
        <v>0.39133649645360186</v>
      </c>
      <c r="Z963" s="807">
        <f t="shared" ref="Z963" si="1855">-(E963-N963)</f>
        <v>-9.5651140742592511E-3</v>
      </c>
    </row>
    <row r="964" spans="1:26" ht="20.100000000000001" customHeight="1" x14ac:dyDescent="0.2">
      <c r="A964" s="776">
        <f t="shared" ref="A964" si="1856">B964-$B$2</f>
        <v>1464</v>
      </c>
      <c r="B964" s="795">
        <v>43697</v>
      </c>
      <c r="C964" s="820">
        <v>2900.51</v>
      </c>
      <c r="D964" s="792">
        <f t="shared" ref="D964" si="1857">(C964-C963)/C963</f>
        <v>-7.9147640791475977E-3</v>
      </c>
      <c r="E964" s="819">
        <f t="shared" ref="E964" si="1858">(C964-$C$2)/$C$2</f>
        <v>0.3795922832518408</v>
      </c>
      <c r="F964" s="816">
        <v>7948.56</v>
      </c>
      <c r="G964" s="792">
        <f t="shared" ref="G964" si="1859">(F964-F963)/F963</f>
        <v>-6.7788689222910451E-3</v>
      </c>
      <c r="H964" s="797">
        <f t="shared" ref="H964" si="1860">(F964-F$2)/F$2</f>
        <v>0.56108176051220626</v>
      </c>
      <c r="I964" s="841">
        <v>287447.59000000003</v>
      </c>
      <c r="J964" s="800">
        <v>210000</v>
      </c>
      <c r="K964" s="800">
        <f t="shared" ref="K964" si="1861">I964-I963-J964+J963</f>
        <v>-2569.429999999993</v>
      </c>
      <c r="L964" s="792">
        <f t="shared" ref="L964" si="1862">K964/I963</f>
        <v>-8.8595834823762855E-3</v>
      </c>
      <c r="M964" s="817">
        <f t="shared" ref="M964" si="1863">I964-J964</f>
        <v>77447.590000000026</v>
      </c>
      <c r="N964" s="802">
        <f t="shared" ref="N964" si="1864">M964/J964</f>
        <v>0.36879804761904772</v>
      </c>
      <c r="O964" s="786">
        <f t="shared" si="1837"/>
        <v>9.2010578478727581E-2</v>
      </c>
      <c r="P964" s="817" t="b">
        <f t="shared" ref="P964" si="1865">L964&gt;D964</f>
        <v>0</v>
      </c>
      <c r="Q964" s="802">
        <f>COUNTIF(P$2:P964, TRUE)/(COUNTIF(P$2:P964,FALSE) + COUNTIF(P$2:P964, TRUE))</f>
        <v>0.48598130841121495</v>
      </c>
      <c r="R964" s="844">
        <v>260022.21</v>
      </c>
      <c r="S964" s="846">
        <f t="shared" ref="S964" si="1866">I964-R964</f>
        <v>27425.380000000034</v>
      </c>
      <c r="T964" s="800"/>
      <c r="U964" s="800"/>
      <c r="V964" s="802">
        <f>STDEV(D$2:D964)*SQRT(252)</f>
        <v>0.14521308629558402</v>
      </c>
      <c r="W964" s="802">
        <f>STDEV(L$2:L964)*SQRT(252)</f>
        <v>0.24300501842326361</v>
      </c>
      <c r="X964" s="801">
        <f t="shared" ref="X964" si="1867">E964/(A964/365.25)/V964</f>
        <v>0.65216992468796209</v>
      </c>
      <c r="Y964" s="801">
        <f t="shared" ref="Y964" si="1868">O964/W964</f>
        <v>0.37863653629763527</v>
      </c>
      <c r="Z964" s="807">
        <f t="shared" ref="Z964" si="1869">-(E964-N964)</f>
        <v>-1.0794235632793081E-2</v>
      </c>
    </row>
    <row r="965" spans="1:26" ht="20.100000000000001" customHeight="1" x14ac:dyDescent="0.2">
      <c r="A965" s="776">
        <f t="shared" ref="A965" si="1870">B965-$B$2</f>
        <v>1465</v>
      </c>
      <c r="B965" s="795">
        <v>43698</v>
      </c>
      <c r="C965" s="820">
        <v>2924.43</v>
      </c>
      <c r="D965" s="792">
        <f t="shared" ref="D965" si="1871">(C965-C964)/C964</f>
        <v>8.2468255582637592E-3</v>
      </c>
      <c r="E965" s="819">
        <f t="shared" ref="E965" si="1872">(C965-$C$2)/$C$2</f>
        <v>0.39096954015334551</v>
      </c>
      <c r="F965" s="816">
        <v>8020.2</v>
      </c>
      <c r="G965" s="792">
        <f t="shared" ref="G965" si="1873">(F965-F964)/F964</f>
        <v>9.0129532896523912E-3</v>
      </c>
      <c r="H965" s="797">
        <f t="shared" ref="H965" si="1874">(F965-F$2)/F$2</f>
        <v>0.57515171750103111</v>
      </c>
      <c r="I965" s="841">
        <v>288115.06</v>
      </c>
      <c r="J965" s="800">
        <v>210000</v>
      </c>
      <c r="K965" s="800">
        <f t="shared" ref="K965" si="1875">I965-I964-J965+J964</f>
        <v>667.46999999997206</v>
      </c>
      <c r="L965" s="792">
        <f t="shared" ref="L965" si="1876">K965/I964</f>
        <v>2.3220580837013524E-3</v>
      </c>
      <c r="M965" s="817">
        <f t="shared" ref="M965" si="1877">I965-J965</f>
        <v>78115.06</v>
      </c>
      <c r="N965" s="802">
        <f t="shared" ref="N965" si="1878">M965/J965</f>
        <v>0.37197647619047619</v>
      </c>
      <c r="O965" s="786">
        <f t="shared" si="1837"/>
        <v>9.2740210190151148E-2</v>
      </c>
      <c r="P965" s="817" t="b">
        <f t="shared" ref="P965" si="1879">L965&gt;D965</f>
        <v>0</v>
      </c>
      <c r="Q965" s="802">
        <f>COUNTIF(P$2:P965, TRUE)/(COUNTIF(P$2:P965,FALSE) + COUNTIF(P$2:P965, TRUE))</f>
        <v>0.48547717842323651</v>
      </c>
      <c r="R965" s="844">
        <v>264415.68</v>
      </c>
      <c r="S965" s="846">
        <f t="shared" ref="S965" si="1880">I965-R965</f>
        <v>23699.380000000005</v>
      </c>
      <c r="T965" s="800"/>
      <c r="U965" s="800"/>
      <c r="V965" s="802">
        <f>STDEV(D$2:D965)*SQRT(252)</f>
        <v>0.14519342364182886</v>
      </c>
      <c r="W965" s="802">
        <f>STDEV(L$2:L965)*SQRT(252)</f>
        <v>0.24288068341235566</v>
      </c>
      <c r="X965" s="801">
        <f t="shared" ref="X965" si="1881">E965/(A965/365.25)/V965</f>
        <v>0.67134935720330102</v>
      </c>
      <c r="Y965" s="801">
        <f t="shared" ref="Y965" si="1882">O965/W965</f>
        <v>0.3818344418633719</v>
      </c>
      <c r="Z965" s="807">
        <f t="shared" ref="Z965" si="1883">-(E965-N965)</f>
        <v>-1.8993063962869317E-2</v>
      </c>
    </row>
    <row r="966" spans="1:26" ht="20.100000000000001" customHeight="1" x14ac:dyDescent="0.2">
      <c r="A966" s="776">
        <f t="shared" ref="A966" si="1884">B966-$B$2</f>
        <v>1467</v>
      </c>
      <c r="B966" s="795">
        <v>43700</v>
      </c>
      <c r="C966" s="820">
        <v>2847.11</v>
      </c>
      <c r="D966" s="792">
        <f t="shared" ref="D966" si="1885">(C966-C965)/C965</f>
        <v>-2.6439340315890521E-2</v>
      </c>
      <c r="E966" s="819">
        <f t="shared" ref="E966" si="1886">(C966-$C$2)/$C$2</f>
        <v>0.35419322311219348</v>
      </c>
      <c r="F966" s="816">
        <v>7751.76</v>
      </c>
      <c r="G966" s="792">
        <f t="shared" ref="G966" si="1887">(F966-F965)/F965</f>
        <v>-3.3470487020273762E-2</v>
      </c>
      <c r="H966" s="797">
        <f t="shared" ref="H966" si="1888">(F966-F$2)/F$2</f>
        <v>0.5224306223854509</v>
      </c>
      <c r="I966" s="841">
        <v>282099.93</v>
      </c>
      <c r="J966" s="800">
        <v>215000</v>
      </c>
      <c r="K966" s="800">
        <f t="shared" ref="K966" si="1889">I966-I965-J966+J965</f>
        <v>-11015.130000000005</v>
      </c>
      <c r="L966" s="792">
        <f t="shared" ref="L966" si="1890">K966/I965</f>
        <v>-3.8231705069495518E-2</v>
      </c>
      <c r="M966" s="817">
        <f t="shared" ref="M966" si="1891">I966-J966</f>
        <v>67099.929999999993</v>
      </c>
      <c r="N966" s="802">
        <f t="shared" ref="N966" si="1892">M966/J966</f>
        <v>0.31209269767441855</v>
      </c>
      <c r="O966" s="786">
        <f t="shared" si="1837"/>
        <v>7.7704061230798482E-2</v>
      </c>
      <c r="P966" s="817" t="b">
        <f t="shared" ref="P966" si="1893">L966&gt;D966</f>
        <v>0</v>
      </c>
      <c r="Q966" s="802">
        <f>COUNTIF(P$2:P966, TRUE)/(COUNTIF(P$2:P966,FALSE) + COUNTIF(P$2:P966, TRUE))</f>
        <v>0.48497409326424873</v>
      </c>
      <c r="R966" s="844">
        <v>275922.55</v>
      </c>
      <c r="S966" s="846">
        <f t="shared" ref="S966" si="1894">I966-R966</f>
        <v>6177.3800000000047</v>
      </c>
      <c r="T966" s="800"/>
      <c r="U966" s="800"/>
      <c r="V966" s="802">
        <f>STDEV(D$2:D966)*SQRT(252)</f>
        <v>0.14576463822621741</v>
      </c>
      <c r="W966" s="802">
        <f>STDEV(L$2:L966)*SQRT(252)</f>
        <v>0.24355666039905371</v>
      </c>
      <c r="X966" s="801">
        <f t="shared" ref="X966" si="1895">E966/(A966/365.25)/V966</f>
        <v>0.60498997624760464</v>
      </c>
      <c r="Y966" s="801">
        <f t="shared" ref="Y966" si="1896">O966/W966</f>
        <v>0.31903895012965283</v>
      </c>
      <c r="Z966" s="807">
        <f t="shared" ref="Z966" si="1897">-(E966-N966)</f>
        <v>-4.2100525437774927E-2</v>
      </c>
    </row>
    <row r="967" spans="1:26" ht="20.100000000000001" customHeight="1" x14ac:dyDescent="0.2">
      <c r="A967" s="776">
        <f t="shared" ref="A967" si="1898">B967-$B$2</f>
        <v>1470</v>
      </c>
      <c r="B967" s="795">
        <v>43703</v>
      </c>
      <c r="C967" s="820">
        <v>2878.38</v>
      </c>
      <c r="D967" s="792">
        <f t="shared" ref="D967" si="1899">(C967-C966)/C966</f>
        <v>1.098306703991064E-2</v>
      </c>
      <c r="E967" s="819">
        <f t="shared" ref="E967" si="1900">(C967-$C$2)/$C$2</f>
        <v>0.36906641806662738</v>
      </c>
      <c r="F967" s="816">
        <v>7853.73</v>
      </c>
      <c r="G967" s="792">
        <f t="shared" ref="G967" si="1901">(F967-F966)/F966</f>
        <v>1.3154432025759227E-2</v>
      </c>
      <c r="H967" s="797">
        <f t="shared" ref="H967" si="1902">(F967-F$2)/F$2</f>
        <v>0.5424573325215547</v>
      </c>
      <c r="I967" s="841">
        <v>283114.25</v>
      </c>
      <c r="J967" s="800">
        <v>215000</v>
      </c>
      <c r="K967" s="800">
        <f t="shared" ref="K967" si="1903">I967-I966-J967+J966</f>
        <v>1014.320000000007</v>
      </c>
      <c r="L967" s="792">
        <f t="shared" ref="L967" si="1904">K967/I966</f>
        <v>3.5956052878141692E-3</v>
      </c>
      <c r="M967" s="817">
        <f t="shared" ref="M967" si="1905">I967-J967</f>
        <v>68114.25</v>
      </c>
      <c r="N967" s="802">
        <f t="shared" ref="N967" si="1906">M967/J967</f>
        <v>0.31681046511627908</v>
      </c>
      <c r="O967" s="786">
        <f t="shared" si="1837"/>
        <v>7.8717702301850975E-2</v>
      </c>
      <c r="P967" s="817" t="b">
        <f t="shared" ref="P967" si="1907">L967&gt;D967</f>
        <v>0</v>
      </c>
      <c r="Q967" s="802">
        <f>COUNTIF(P$2:P967, TRUE)/(COUNTIF(P$2:P967,FALSE) + COUNTIF(P$2:P967, TRUE))</f>
        <v>0.48447204968944102</v>
      </c>
      <c r="R967" s="844">
        <v>276936.87</v>
      </c>
      <c r="S967" s="846">
        <f t="shared" ref="S967" si="1908">I967-R967</f>
        <v>6177.3800000000047</v>
      </c>
      <c r="T967" s="800"/>
      <c r="U967" s="800"/>
      <c r="V967" s="802">
        <f>STDEV(D$2:D967)*SQRT(252)</f>
        <v>0.14579018022699047</v>
      </c>
      <c r="W967" s="802">
        <f>STDEV(L$2:L967)*SQRT(252)</f>
        <v>0.24343592635772884</v>
      </c>
      <c r="X967" s="801">
        <f t="shared" ref="X967" si="1909">E967/(A967/365.25)/V967</f>
        <v>0.62899782958774686</v>
      </c>
      <c r="Y967" s="801">
        <f t="shared" ref="Y967" si="1910">O967/W967</f>
        <v>0.32336107278666582</v>
      </c>
      <c r="Z967" s="807">
        <f t="shared" ref="Z967" si="1911">-(E967-N967)</f>
        <v>-5.2255952950348294E-2</v>
      </c>
    </row>
    <row r="968" spans="1:26" ht="20.100000000000001" customHeight="1" x14ac:dyDescent="0.2">
      <c r="A968" s="776">
        <f t="shared" ref="A968" si="1912">B968-$B$2</f>
        <v>1473</v>
      </c>
      <c r="B968" s="795">
        <v>43706</v>
      </c>
      <c r="C968" s="820">
        <v>2924.58</v>
      </c>
      <c r="D968" s="792">
        <f t="shared" ref="D968" si="1913">(C968-C967)/C967</f>
        <v>1.6050695182706874E-2</v>
      </c>
      <c r="E968" s="819">
        <f t="shared" ref="E968" si="1914">(C968-$C$2)/$C$2</f>
        <v>0.39104088582789515</v>
      </c>
      <c r="F968" s="816">
        <v>7973.39</v>
      </c>
      <c r="G968" s="792">
        <f t="shared" ref="G968" si="1915">(F968-F967)/F967</f>
        <v>1.5236072541327595E-2</v>
      </c>
      <c r="H968" s="797">
        <f t="shared" ref="H968" si="1916">(F968-F$2)/F$2</f>
        <v>0.56595832433175575</v>
      </c>
      <c r="I968" s="841">
        <v>288169.15000000002</v>
      </c>
      <c r="J968" s="800">
        <v>215000</v>
      </c>
      <c r="K968" s="800">
        <f t="shared" ref="K968" si="1917">I968-I967-J968+J967</f>
        <v>5054.9000000000233</v>
      </c>
      <c r="L968" s="792">
        <f t="shared" ref="L968" si="1918">K968/I967</f>
        <v>1.7854629358995611E-2</v>
      </c>
      <c r="M968" s="817">
        <f t="shared" ref="M968" si="1919">I968-J968</f>
        <v>73169.150000000023</v>
      </c>
      <c r="N968" s="802">
        <f t="shared" ref="N968" si="1920">M968/J968</f>
        <v>0.34032162790697684</v>
      </c>
      <c r="O968" s="786">
        <f t="shared" ref="O968" si="1921">N968/(A968/365.25)</f>
        <v>8.4387287571638353E-2</v>
      </c>
      <c r="P968" s="817" t="b">
        <f t="shared" ref="P968" si="1922">L968&gt;D968</f>
        <v>1</v>
      </c>
      <c r="Q968" s="802">
        <f>COUNTIF(P$2:P968, TRUE)/(COUNTIF(P$2:P968,FALSE) + COUNTIF(P$2:P968, TRUE))</f>
        <v>0.48500517063081694</v>
      </c>
      <c r="R968" s="844">
        <v>273596.71000000002</v>
      </c>
      <c r="S968" s="846">
        <f t="shared" ref="S968" si="1923">I968-R968</f>
        <v>14572.440000000002</v>
      </c>
      <c r="T968" s="800"/>
      <c r="U968" s="800"/>
      <c r="V968" s="802">
        <f>STDEV(D$2:D968)*SQRT(252)</f>
        <v>0.14593461958919526</v>
      </c>
      <c r="W968" s="802">
        <f>STDEV(L$2:L968)*SQRT(252)</f>
        <v>0.24347376942997817</v>
      </c>
      <c r="X968" s="801">
        <f t="shared" ref="X968" si="1924">E968/(A968/365.25)/V968</f>
        <v>0.6644331855400788</v>
      </c>
      <c r="Y968" s="801">
        <f t="shared" ref="Y968" si="1925">O968/W968</f>
        <v>0.34659703905355482</v>
      </c>
      <c r="Z968" s="807">
        <f t="shared" ref="Z968" si="1926">-(E968-N968)</f>
        <v>-5.0719257920918304E-2</v>
      </c>
    </row>
    <row r="969" spans="1:26" ht="20.100000000000001" customHeight="1" x14ac:dyDescent="0.2">
      <c r="A969" s="776">
        <f t="shared" ref="A969" si="1927">B969-$B$2</f>
        <v>1474</v>
      </c>
      <c r="B969" s="795">
        <v>43707</v>
      </c>
      <c r="C969" s="820">
        <v>2926.46</v>
      </c>
      <c r="D969" s="792">
        <f t="shared" ref="D969" si="1928">(C969-C968)/C968</f>
        <v>6.4282734614888603E-4</v>
      </c>
      <c r="E969" s="819">
        <f t="shared" ref="E969" si="1929">(C969-$C$2)/$C$2</f>
        <v>0.39193508494891649</v>
      </c>
      <c r="F969" s="816">
        <v>7962.88</v>
      </c>
      <c r="G969" s="792">
        <f t="shared" ref="G969" si="1930">(F969-F968)/F968</f>
        <v>-1.3181344446966997E-3</v>
      </c>
      <c r="H969" s="797">
        <f t="shared" ref="H969" si="1931">(F969-F$2)/F$2</f>
        <v>0.56389418072549446</v>
      </c>
      <c r="I969" s="841">
        <v>291211.78000000003</v>
      </c>
      <c r="J969" s="800">
        <v>220000</v>
      </c>
      <c r="K969" s="800">
        <f t="shared" ref="K969" si="1932">I969-I968-J969+J968</f>
        <v>-1957.3699999999953</v>
      </c>
      <c r="L969" s="792">
        <f t="shared" ref="L969" si="1933">K969/I968</f>
        <v>-6.7924342352399456E-3</v>
      </c>
      <c r="M969" s="817">
        <f t="shared" ref="M969" si="1934">I969-J969</f>
        <v>71211.780000000028</v>
      </c>
      <c r="N969" s="802">
        <f t="shared" ref="N969" si="1935">M969/J969</f>
        <v>0.32368990909090922</v>
      </c>
      <c r="O969" s="786">
        <f t="shared" ref="O969" si="1936">N969/(A969/365.25)</f>
        <v>8.0208778355125243E-2</v>
      </c>
      <c r="P969" s="817" t="b">
        <f t="shared" ref="P969" si="1937">L969&gt;D969</f>
        <v>0</v>
      </c>
      <c r="Q969" s="802">
        <f>COUNTIF(P$2:P969, TRUE)/(COUNTIF(P$2:P969,FALSE) + COUNTIF(P$2:P969, TRUE))</f>
        <v>0.48450413223140498</v>
      </c>
      <c r="R969" s="844">
        <v>267506.32</v>
      </c>
      <c r="S969" s="846">
        <f t="shared" ref="S969" si="1938">I969-R969</f>
        <v>23705.460000000021</v>
      </c>
      <c r="T969" s="800"/>
      <c r="U969" s="800"/>
      <c r="V969" s="802">
        <f>STDEV(D$2:D969)*SQRT(252)</f>
        <v>0.14585912437149404</v>
      </c>
      <c r="W969" s="802">
        <f>STDEV(L$2:L969)*SQRT(252)</f>
        <v>0.24337524935636293</v>
      </c>
      <c r="X969" s="801">
        <f t="shared" ref="X969" si="1939">E969/(A969/365.25)/V969</f>
        <v>0.6658452119209527</v>
      </c>
      <c r="Y969" s="801">
        <f t="shared" ref="Y969" si="1940">O969/W969</f>
        <v>0.32956834586609629</v>
      </c>
      <c r="Z969" s="807">
        <f t="shared" ref="Z969" si="1941">-(E969-N969)</f>
        <v>-6.8245175858007268E-2</v>
      </c>
    </row>
    <row r="970" spans="1:26" ht="20.100000000000001" customHeight="1" x14ac:dyDescent="0.2">
      <c r="A970" s="776">
        <f t="shared" ref="A970" si="1942">B970-$B$2</f>
        <v>1478</v>
      </c>
      <c r="B970" s="795">
        <v>43711</v>
      </c>
      <c r="C970" s="820">
        <v>2906.27</v>
      </c>
      <c r="D970" s="792">
        <f t="shared" ref="D970" si="1943">(C970-C969)/C969</f>
        <v>-6.899120439028743E-3</v>
      </c>
      <c r="E970" s="819">
        <f t="shared" ref="E970" si="1944">(C970-$C$2)/$C$2</f>
        <v>0.38233195715454421</v>
      </c>
      <c r="F970" s="816">
        <v>7874.15</v>
      </c>
      <c r="G970" s="792">
        <f t="shared" ref="G970" si="1945">(F970-F969)/F969</f>
        <v>-1.1142953303327499E-2</v>
      </c>
      <c r="H970" s="797">
        <f t="shared" ref="H970" si="1946">(F970-F$2)/F$2</f>
        <v>0.54646778089832471</v>
      </c>
      <c r="I970" s="841">
        <v>288863.32</v>
      </c>
      <c r="J970" s="800">
        <v>220000</v>
      </c>
      <c r="K970" s="800">
        <f t="shared" ref="K970" si="1947">I970-I969-J970+J969</f>
        <v>-2348.460000000021</v>
      </c>
      <c r="L970" s="792">
        <f t="shared" ref="L970" si="1948">K970/I969</f>
        <v>-8.0644402503223626E-3</v>
      </c>
      <c r="M970" s="817">
        <f t="shared" ref="M970" si="1949">I970-J970</f>
        <v>68863.320000000007</v>
      </c>
      <c r="N970" s="802">
        <f t="shared" ref="N970" si="1950">M970/J970</f>
        <v>0.31301509090909096</v>
      </c>
      <c r="O970" s="786">
        <f t="shared" ref="O970" si="1951">N970/(A970/365.25)</f>
        <v>7.7353695503752012E-2</v>
      </c>
      <c r="P970" s="817" t="b">
        <f t="shared" ref="P970" si="1952">L970&gt;D970</f>
        <v>0</v>
      </c>
      <c r="Q970" s="802">
        <f>COUNTIF(P$2:P970, TRUE)/(COUNTIF(P$2:P970,FALSE) + COUNTIF(P$2:P970, TRUE))</f>
        <v>0.48400412796697628</v>
      </c>
      <c r="R970" s="844">
        <v>271988.14</v>
      </c>
      <c r="S970" s="846">
        <f t="shared" ref="S970" si="1953">I970-R970</f>
        <v>16875.179999999993</v>
      </c>
      <c r="T970" s="800"/>
      <c r="U970" s="800"/>
      <c r="V970" s="802">
        <f>STDEV(D$2:D970)*SQRT(252)</f>
        <v>0.14583104296283578</v>
      </c>
      <c r="W970" s="802">
        <f>STDEV(L$2:L970)*SQRT(252)</f>
        <v>0.24328745301508617</v>
      </c>
      <c r="X970" s="801">
        <f t="shared" ref="X970" si="1954">E970/(A970/365.25)/V970</f>
        <v>0.64789765594980386</v>
      </c>
      <c r="Y970" s="801">
        <f t="shared" ref="Y970" si="1955">O970/W970</f>
        <v>0.31795184891411288</v>
      </c>
      <c r="Z970" s="807">
        <f t="shared" ref="Z970" si="1956">-(E970-N970)</f>
        <v>-6.9316866245453246E-2</v>
      </c>
    </row>
    <row r="971" spans="1:26" ht="20.100000000000001" customHeight="1" x14ac:dyDescent="0.2">
      <c r="A971" s="776">
        <f t="shared" ref="A971" si="1957">B971-$B$2</f>
        <v>1479</v>
      </c>
      <c r="B971" s="795">
        <v>43712</v>
      </c>
      <c r="C971" s="820">
        <v>2937.78</v>
      </c>
      <c r="D971" s="792">
        <f t="shared" ref="D971" si="1958">(C971-C970)/C970</f>
        <v>1.0842075925499083E-2</v>
      </c>
      <c r="E971" s="819">
        <f t="shared" ref="E971" si="1959">(C971-$C$2)/$C$2</f>
        <v>0.39731930518825753</v>
      </c>
      <c r="F971" s="816">
        <v>7976.87</v>
      </c>
      <c r="G971" s="792">
        <f t="shared" ref="G971" si="1960">(F971-F970)/F970</f>
        <v>1.304521757904031E-2</v>
      </c>
      <c r="H971" s="797">
        <f t="shared" ref="H971" si="1961">(F971-F$2)/F$2</f>
        <v>0.56664178957911904</v>
      </c>
      <c r="I971" s="841">
        <v>294694.48</v>
      </c>
      <c r="J971" s="800">
        <v>220000</v>
      </c>
      <c r="K971" s="800">
        <f t="shared" ref="K971" si="1962">I971-I970-J971+J970</f>
        <v>5831.1599999999744</v>
      </c>
      <c r="L971" s="792">
        <f t="shared" ref="L971" si="1963">K971/I970</f>
        <v>2.0186571282224321E-2</v>
      </c>
      <c r="M971" s="817">
        <f t="shared" ref="M971" si="1964">I971-J971</f>
        <v>74694.479999999981</v>
      </c>
      <c r="N971" s="802">
        <f t="shared" ref="N971" si="1965">M971/J971</f>
        <v>0.33952036363636356</v>
      </c>
      <c r="O971" s="786">
        <f t="shared" ref="O971" si="1966">N971/(A971/365.25)</f>
        <v>8.3847067490318991E-2</v>
      </c>
      <c r="P971" s="817" t="b">
        <f t="shared" ref="P971" si="1967">L971&gt;D971</f>
        <v>1</v>
      </c>
      <c r="Q971" s="802">
        <f>COUNTIF(P$2:P971, TRUE)/(COUNTIF(P$2:P971,FALSE) + COUNTIF(P$2:P971, TRUE))</f>
        <v>0.4845360824742268</v>
      </c>
      <c r="R971" s="844">
        <v>274897.56</v>
      </c>
      <c r="S971" s="846">
        <f t="shared" ref="S971" si="1968">I971-R971</f>
        <v>19796.919999999984</v>
      </c>
      <c r="T971" s="800"/>
      <c r="U971" s="800"/>
      <c r="V971" s="802">
        <f>STDEV(D$2:D971)*SQRT(252)</f>
        <v>0.14585337270121748</v>
      </c>
      <c r="W971" s="802">
        <f>STDEV(L$2:L971)*SQRT(252)</f>
        <v>0.2433718163771301</v>
      </c>
      <c r="X971" s="801">
        <f t="shared" ref="X971" si="1969">E971/(A971/365.25)/V971</f>
        <v>0.67273688782472885</v>
      </c>
      <c r="Y971" s="801">
        <f t="shared" ref="Y971" si="1970">O971/W971</f>
        <v>0.3445225036262588</v>
      </c>
      <c r="Z971" s="807">
        <f t="shared" ref="Z971" si="1971">-(E971-N971)</f>
        <v>-5.7798941551893968E-2</v>
      </c>
    </row>
    <row r="972" spans="1:26" ht="20.100000000000001" customHeight="1" x14ac:dyDescent="0.2">
      <c r="A972" s="776">
        <f t="shared" ref="A972" si="1972">B972-$B$2</f>
        <v>1480</v>
      </c>
      <c r="B972" s="795">
        <v>43713</v>
      </c>
      <c r="C972" s="820">
        <v>2976</v>
      </c>
      <c r="D972" s="792">
        <f t="shared" ref="D972" si="1973">(C972-C971)/C971</f>
        <v>1.3009823744460034E-2</v>
      </c>
      <c r="E972" s="819">
        <f t="shared" ref="E972" si="1974">(C972-$C$2)/$C$2</f>
        <v>0.41549818306348812</v>
      </c>
      <c r="F972" s="816">
        <v>8116.82</v>
      </c>
      <c r="G972" s="792">
        <f t="shared" ref="G972" si="1975">(F972-F971)/F971</f>
        <v>1.7544475464687254E-2</v>
      </c>
      <c r="H972" s="797">
        <f t="shared" ref="H972" si="1976">(F972-F$2)/F$2</f>
        <v>0.59412769801834353</v>
      </c>
      <c r="I972" s="841">
        <v>301138.12</v>
      </c>
      <c r="J972" s="800">
        <v>220000</v>
      </c>
      <c r="K972" s="800">
        <f t="shared" ref="K972" si="1977">I972-I971-J972+J971</f>
        <v>6443.640000000014</v>
      </c>
      <c r="L972" s="792">
        <f t="shared" ref="L972" si="1978">K972/I971</f>
        <v>2.1865492696028832E-2</v>
      </c>
      <c r="M972" s="817">
        <f t="shared" ref="M972" si="1979">I972-J972</f>
        <v>81138.12</v>
      </c>
      <c r="N972" s="802">
        <f t="shared" ref="N972" si="1980">M972/J972</f>
        <v>0.36880963636363634</v>
      </c>
      <c r="O972" s="786">
        <f t="shared" ref="O972" si="1981">N972/(A972/365.25)</f>
        <v>9.1018729514742006E-2</v>
      </c>
      <c r="P972" s="817" t="b">
        <f t="shared" ref="P972" si="1982">L972&gt;D972</f>
        <v>1</v>
      </c>
      <c r="Q972" s="802">
        <f>COUNTIF(P$2:P972, TRUE)/(COUNTIF(P$2:P972,FALSE) + COUNTIF(P$2:P972, TRUE))</f>
        <v>0.48506694129763128</v>
      </c>
      <c r="R972" s="844">
        <v>263593.57</v>
      </c>
      <c r="S972" s="846">
        <f t="shared" ref="S972" si="1983">I972-R972</f>
        <v>37544.549999999988</v>
      </c>
      <c r="T972" s="800"/>
      <c r="U972" s="800"/>
      <c r="V972" s="802">
        <f>STDEV(D$2:D972)*SQRT(252)</f>
        <v>0.14591999039265519</v>
      </c>
      <c r="W972" s="802">
        <f>STDEV(L$2:L972)*SQRT(252)</f>
        <v>0.24349252514309916</v>
      </c>
      <c r="X972" s="801">
        <f t="shared" ref="X972" si="1984">E972/(A972/365.25)/V972</f>
        <v>0.70272086035589576</v>
      </c>
      <c r="Y972" s="801">
        <f t="shared" ref="Y972" si="1985">O972/W972</f>
        <v>0.37380502527233977</v>
      </c>
      <c r="Z972" s="807">
        <f t="shared" ref="Z972" si="1986">-(E972-N972)</f>
        <v>-4.6688546699851785E-2</v>
      </c>
    </row>
    <row r="973" spans="1:26" ht="20.100000000000001" customHeight="1" x14ac:dyDescent="0.2">
      <c r="A973" s="776">
        <f t="shared" ref="A973" si="1987">B973-$B$2</f>
        <v>1481</v>
      </c>
      <c r="B973" s="795">
        <v>43714</v>
      </c>
      <c r="C973" s="820">
        <v>2978.71</v>
      </c>
      <c r="D973" s="792">
        <f t="shared" ref="D973" si="1988">(C973-C972)/C972</f>
        <v>9.1061827956990474E-4</v>
      </c>
      <c r="E973" s="819">
        <f t="shared" ref="E973" si="1989">(C973-$C$2)/$C$2</f>
        <v>0.41678716158368367</v>
      </c>
      <c r="F973" s="816">
        <v>8103.07</v>
      </c>
      <c r="G973" s="792">
        <f t="shared" ref="G973" si="1990">(F973-F972)/F972</f>
        <v>-1.6940131726464306E-3</v>
      </c>
      <c r="H973" s="797">
        <f t="shared" ref="H973" si="1991">(F973-F$2)/F$2</f>
        <v>0.59142722469901998</v>
      </c>
      <c r="I973" s="841">
        <v>301209.53000000003</v>
      </c>
      <c r="J973" s="800">
        <v>220000</v>
      </c>
      <c r="K973" s="800">
        <f t="shared" ref="K973" si="1992">I973-I972-J973+J972</f>
        <v>71.410000000032596</v>
      </c>
      <c r="L973" s="792">
        <f t="shared" ref="L973" si="1993">K973/I972</f>
        <v>2.3713371126854547E-4</v>
      </c>
      <c r="M973" s="817">
        <f t="shared" ref="M973" si="1994">I973-J973</f>
        <v>81209.530000000028</v>
      </c>
      <c r="N973" s="802">
        <f t="shared" ref="N973" si="1995">M973/J973</f>
        <v>0.36913422727272738</v>
      </c>
      <c r="O973" s="786">
        <f t="shared" ref="O973" si="1996">N973/(A973/365.25)</f>
        <v>9.1037323775397486E-2</v>
      </c>
      <c r="P973" s="817" t="b">
        <f t="shared" ref="P973" si="1997">L973&gt;D973</f>
        <v>0</v>
      </c>
      <c r="Q973" s="802">
        <f>COUNTIF(P$2:P973, TRUE)/(COUNTIF(P$2:P973,FALSE) + COUNTIF(P$2:P973, TRUE))</f>
        <v>0.48456790123456789</v>
      </c>
      <c r="R973" s="844">
        <v>263664.98</v>
      </c>
      <c r="S973" s="846">
        <f t="shared" ref="S973" si="1998">I973-R973</f>
        <v>37544.550000000047</v>
      </c>
      <c r="T973" s="800"/>
      <c r="U973" s="800"/>
      <c r="V973" s="802">
        <f>STDEV(D$2:D973)*SQRT(252)</f>
        <v>0.14584498600838502</v>
      </c>
      <c r="W973" s="802">
        <f>STDEV(L$2:L973)*SQRT(252)</f>
        <v>0.24336699622966118</v>
      </c>
      <c r="X973" s="801">
        <f t="shared" ref="X973" si="1999">E973/(A973/365.25)/V973</f>
        <v>0.70478718005171637</v>
      </c>
      <c r="Y973" s="801">
        <f t="shared" ref="Y973" si="2000">O973/W973</f>
        <v>0.37407423843735638</v>
      </c>
      <c r="Z973" s="807">
        <f t="shared" ref="Z973" si="2001">-(E973-N973)</f>
        <v>-4.7652934310956296E-2</v>
      </c>
    </row>
    <row r="974" spans="1:26" ht="20.100000000000001" customHeight="1" x14ac:dyDescent="0.2">
      <c r="A974" s="776">
        <f t="shared" ref="A974" si="2002">B974-$B$2</f>
        <v>1484</v>
      </c>
      <c r="B974" s="795">
        <v>43717</v>
      </c>
      <c r="C974" s="820">
        <v>2978.43</v>
      </c>
      <c r="D974" s="792">
        <f t="shared" ref="D974" si="2003">(C974-C973)/C973</f>
        <v>-9.4000423001970685E-5</v>
      </c>
      <c r="E974" s="819">
        <f t="shared" ref="E974" si="2004">(C974-$C$2)/$C$2</f>
        <v>0.41665398299119105</v>
      </c>
      <c r="F974" s="816">
        <v>8087.43</v>
      </c>
      <c r="G974" s="792">
        <f t="shared" ref="G974" si="2005">(F974-F973)/F973</f>
        <v>-1.9301326534263456E-3</v>
      </c>
      <c r="H974" s="797">
        <f t="shared" ref="H974" si="2006">(F974-F$2)/F$2</f>
        <v>0.5883555590470767</v>
      </c>
      <c r="I974" s="841">
        <v>308856.67</v>
      </c>
      <c r="J974" s="800">
        <v>220000</v>
      </c>
      <c r="K974" s="800">
        <f t="shared" ref="K974" si="2007">I974-I973-J974+J973</f>
        <v>7647.1399999999558</v>
      </c>
      <c r="L974" s="792">
        <f t="shared" ref="L974" si="2008">K974/I973</f>
        <v>2.5388107740150039E-2</v>
      </c>
      <c r="M974" s="817">
        <f t="shared" ref="M974" si="2009">I974-J974</f>
        <v>88856.669999999984</v>
      </c>
      <c r="N974" s="802">
        <f t="shared" ref="N974" si="2010">M974/J974</f>
        <v>0.40389395454545446</v>
      </c>
      <c r="O974" s="786">
        <f t="shared" ref="O974" si="2011">N974/(A974/365.25)</f>
        <v>9.9408535645368765E-2</v>
      </c>
      <c r="P974" s="817" t="b">
        <f t="shared" ref="P974" si="2012">L974&gt;D974</f>
        <v>1</v>
      </c>
      <c r="Q974" s="802">
        <f>COUNTIF(P$2:P974, TRUE)/(COUNTIF(P$2:P974,FALSE) + COUNTIF(P$2:P974, TRUE))</f>
        <v>0.48509763617677287</v>
      </c>
      <c r="R974" s="844">
        <v>267512.2</v>
      </c>
      <c r="S974" s="846">
        <f t="shared" ref="S974" si="2013">I974-R974</f>
        <v>41344.469999999972</v>
      </c>
      <c r="T974" s="800"/>
      <c r="U974" s="800"/>
      <c r="V974" s="802">
        <f>STDEV(D$2:D974)*SQRT(252)</f>
        <v>0.14577008420023385</v>
      </c>
      <c r="W974" s="802">
        <f>STDEV(L$2:L974)*SQRT(252)</f>
        <v>0.24357404651708159</v>
      </c>
      <c r="X974" s="801">
        <f t="shared" ref="X974" si="2014">E974/(A974/365.25)/V974</f>
        <v>0.70349895527886463</v>
      </c>
      <c r="Y974" s="801">
        <f t="shared" ref="Y974" si="2015">O974/W974</f>
        <v>0.40812449875852169</v>
      </c>
      <c r="Z974" s="807">
        <f t="shared" ref="Z974" si="2016">-(E974-N974)</f>
        <v>-1.2760028445736593E-2</v>
      </c>
    </row>
    <row r="975" spans="1:26" ht="20.100000000000001" customHeight="1" x14ac:dyDescent="0.2">
      <c r="A975" s="776">
        <f t="shared" ref="A975:A976" si="2017">B975-$B$2</f>
        <v>1485</v>
      </c>
      <c r="B975" s="795">
        <v>43718</v>
      </c>
      <c r="C975" s="820">
        <v>2979.39</v>
      </c>
      <c r="D975" s="792">
        <f t="shared" ref="D975" si="2018">(C975-C974)/C974</f>
        <v>3.2231746255578824E-4</v>
      </c>
      <c r="E975" s="819">
        <f t="shared" ref="E975" si="2019">(C975-$C$2)/$C$2</f>
        <v>0.41711059530830835</v>
      </c>
      <c r="F975" s="816">
        <v>8084.15</v>
      </c>
      <c r="G975" s="792">
        <f t="shared" ref="G975" si="2020">(F975-F974)/F974</f>
        <v>-4.0556765251762979E-4</v>
      </c>
      <c r="H975" s="797">
        <f t="shared" ref="H975" si="2021">(F975-F$2)/F$2</f>
        <v>0.58771137341163071</v>
      </c>
      <c r="I975" s="841">
        <v>303766.71999999997</v>
      </c>
      <c r="J975" s="800">
        <v>210000</v>
      </c>
      <c r="K975" s="800">
        <f t="shared" ref="K975" si="2022">I975-I974-J975+J974</f>
        <v>4910.0499999999884</v>
      </c>
      <c r="L975" s="792">
        <f t="shared" ref="L975" si="2023">K975/I974</f>
        <v>1.5897503524855035E-2</v>
      </c>
      <c r="M975" s="817">
        <f t="shared" ref="M975" si="2024">I975-J975</f>
        <v>93766.719999999972</v>
      </c>
      <c r="N975" s="802">
        <f t="shared" ref="N975" si="2025">M975/J975</f>
        <v>0.44650819047619034</v>
      </c>
      <c r="O975" s="786">
        <f t="shared" ref="O975:O976" si="2026">N975/(A975/365.25)</f>
        <v>0.10982297412217408</v>
      </c>
      <c r="P975" s="817" t="b">
        <f t="shared" ref="P975" si="2027">L975&gt;D975</f>
        <v>1</v>
      </c>
      <c r="Q975" s="802">
        <f>COUNTIF(P$2:P975, TRUE)/(COUNTIF(P$2:P975,FALSE) + COUNTIF(P$2:P975, TRUE))</f>
        <v>0.48562628336755648</v>
      </c>
      <c r="R975" s="844">
        <v>241024.5</v>
      </c>
      <c r="S975" s="846">
        <f t="shared" ref="S975" si="2028">I975-R975</f>
        <v>62742.219999999972</v>
      </c>
      <c r="T975" s="800"/>
      <c r="U975" s="800"/>
      <c r="V975" s="802">
        <f>STDEV(D$2:D975)*SQRT(252)</f>
        <v>0.14569508573201739</v>
      </c>
      <c r="W975" s="802">
        <f>STDEV(L$2:L975)*SQRT(252)</f>
        <v>0.24357593322244106</v>
      </c>
      <c r="X975" s="801">
        <f t="shared" ref="X975" si="2029">E975/(A975/365.25)/V975</f>
        <v>0.70415795410697757</v>
      </c>
      <c r="Y975" s="801">
        <f t="shared" ref="Y975" si="2030">O975/W975</f>
        <v>0.45087777215608715</v>
      </c>
      <c r="Z975" s="807">
        <f t="shared" ref="Z975" si="2031">-(E975-N975)</f>
        <v>2.9397595167881985E-2</v>
      </c>
    </row>
    <row r="976" spans="1:26" ht="20.100000000000001" customHeight="1" x14ac:dyDescent="0.2">
      <c r="A976" s="776">
        <f t="shared" si="2017"/>
        <v>1486</v>
      </c>
      <c r="B976" s="795">
        <v>43719</v>
      </c>
      <c r="C976" s="820">
        <v>3000.93</v>
      </c>
      <c r="D976" s="792">
        <f t="shared" ref="D976" si="2032">(C976-C975)/C975</f>
        <v>7.229667817909023E-3</v>
      </c>
      <c r="E976" s="819">
        <f t="shared" ref="E976" si="2033">(C976-$C$2)/$C$2</f>
        <v>0.42735583417362671</v>
      </c>
      <c r="F976" s="816">
        <v>8169.67</v>
      </c>
      <c r="G976" s="792">
        <f t="shared" ref="G976" si="2034">(F976-F975)/F975</f>
        <v>1.0578725036027343E-2</v>
      </c>
      <c r="H976" s="797">
        <f t="shared" ref="H976" si="2035">(F976-F$2)/F$2</f>
        <v>0.60450733546752566</v>
      </c>
      <c r="I976" s="841">
        <v>297684.73</v>
      </c>
      <c r="J976" s="800">
        <v>200000</v>
      </c>
      <c r="K976" s="800">
        <f t="shared" ref="K976" si="2036">I976-I975-J976+J975</f>
        <v>3918.0100000000093</v>
      </c>
      <c r="L976" s="792">
        <f t="shared" ref="L976" si="2037">K976/I975</f>
        <v>1.2898088375184779E-2</v>
      </c>
      <c r="M976" s="817">
        <f t="shared" ref="M976" si="2038">I976-J976</f>
        <v>97684.729999999981</v>
      </c>
      <c r="N976" s="802">
        <f t="shared" ref="N976" si="2039">M976/J976</f>
        <v>0.48842364999999993</v>
      </c>
      <c r="O976" s="786">
        <f t="shared" si="2026"/>
        <v>0.12005164075538356</v>
      </c>
      <c r="P976" s="817" t="b">
        <f t="shared" ref="P976" si="2040">L976&gt;D976</f>
        <v>1</v>
      </c>
      <c r="Q976" s="802">
        <f>COUNTIF(P$2:P976, TRUE)/(COUNTIF(P$2:P976,FALSE) + COUNTIF(P$2:P976, TRUE))</f>
        <v>0.48615384615384616</v>
      </c>
      <c r="R976" s="844">
        <v>239763.37</v>
      </c>
      <c r="S976" s="846">
        <f t="shared" ref="S976" si="2041">I976-R976</f>
        <v>57921.359999999986</v>
      </c>
      <c r="T976" s="800"/>
      <c r="U976" s="800"/>
      <c r="V976" s="802">
        <f>STDEV(D$2:D976)*SQRT(252)</f>
        <v>0.14566162303516325</v>
      </c>
      <c r="W976" s="802">
        <f>STDEV(L$2:L976)*SQRT(252)</f>
        <v>0.24353310319582019</v>
      </c>
      <c r="X976" s="801">
        <f t="shared" ref="X976" si="2042">E976/(A976/365.25)/V976</f>
        <v>0.72113389289729501</v>
      </c>
      <c r="Y976" s="801">
        <f t="shared" ref="Y976" si="2043">O976/W976</f>
        <v>0.4929582023140911</v>
      </c>
      <c r="Z976" s="807">
        <f t="shared" ref="Z976" si="2044">-(E976-N976)</f>
        <v>6.1067815826373217E-2</v>
      </c>
    </row>
    <row r="977" spans="1:26" ht="20.100000000000001" customHeight="1" x14ac:dyDescent="0.2">
      <c r="A977" s="776">
        <f t="shared" ref="A977" si="2045">B977-$B$2</f>
        <v>1487</v>
      </c>
      <c r="B977" s="795">
        <v>43720</v>
      </c>
      <c r="C977" s="820">
        <v>3009.57</v>
      </c>
      <c r="D977" s="792">
        <f t="shared" ref="D977" si="2046">(C977-C976)/C976</f>
        <v>2.8791074766823378E-3</v>
      </c>
      <c r="E977" s="819">
        <f t="shared" ref="E977" si="2047">(C977-$C$2)/$C$2</f>
        <v>0.43146534502768219</v>
      </c>
      <c r="F977" s="816">
        <v>8194.4599999999991</v>
      </c>
      <c r="G977" s="792">
        <f t="shared" ref="G977" si="2048">(F977-F976)/F976</f>
        <v>3.0343942900997291E-3</v>
      </c>
      <c r="H977" s="797">
        <f t="shared" ref="H977" si="2049">(F977-F$2)/F$2</f>
        <v>0.60937604336469142</v>
      </c>
      <c r="I977" s="841">
        <v>293768.06</v>
      </c>
      <c r="J977" s="800">
        <v>200000</v>
      </c>
      <c r="K977" s="800">
        <f t="shared" ref="K977" si="2050">I977-I976-J977+J976</f>
        <v>-3916.6699999999837</v>
      </c>
      <c r="L977" s="792">
        <f t="shared" ref="L977" si="2051">K977/I976</f>
        <v>-1.3157107521101214E-2</v>
      </c>
      <c r="M977" s="817">
        <f t="shared" ref="M977" si="2052">I977-J977</f>
        <v>93768.06</v>
      </c>
      <c r="N977" s="802">
        <f t="shared" ref="N977" si="2053">M977/J977</f>
        <v>0.46884029999999999</v>
      </c>
      <c r="O977" s="786">
        <f t="shared" ref="O977" si="2054">N977/(A977/365.25)</f>
        <v>0.11516067220914593</v>
      </c>
      <c r="P977" s="817" t="b">
        <f t="shared" ref="P977" si="2055">L977&gt;D977</f>
        <v>0</v>
      </c>
      <c r="Q977" s="802">
        <f>COUNTIF(P$2:P977, TRUE)/(COUNTIF(P$2:P977,FALSE) + COUNTIF(P$2:P977, TRUE))</f>
        <v>0.48565573770491804</v>
      </c>
      <c r="R977" s="844">
        <v>235846.7</v>
      </c>
      <c r="S977" s="846">
        <f t="shared" ref="S977" si="2056">I977-R977</f>
        <v>57921.359999999986</v>
      </c>
      <c r="T977" s="800"/>
      <c r="U977" s="800"/>
      <c r="V977" s="802">
        <f>STDEV(D$2:D977)*SQRT(252)</f>
        <v>0.14559225141922988</v>
      </c>
      <c r="W977" s="802">
        <f>STDEV(L$2:L977)*SQRT(252)</f>
        <v>0.24350647238996198</v>
      </c>
      <c r="X977" s="801">
        <f t="shared" ref="X977" si="2057">E977/(A977/365.25)/V977</f>
        <v>0.72792546635957822</v>
      </c>
      <c r="Y977" s="801">
        <f t="shared" ref="Y977" si="2058">O977/W977</f>
        <v>0.47292653488373221</v>
      </c>
      <c r="Z977" s="807">
        <f t="shared" ref="Z977" si="2059">-(E977-N977)</f>
        <v>3.7374954972317798E-2</v>
      </c>
    </row>
    <row r="978" spans="1:26" ht="20.100000000000001" customHeight="1" x14ac:dyDescent="0.2">
      <c r="A978" s="776">
        <f t="shared" ref="A978" si="2060">B978-$B$2</f>
        <v>1488</v>
      </c>
      <c r="B978" s="795">
        <v>43721</v>
      </c>
      <c r="C978" s="820">
        <v>3007.39</v>
      </c>
      <c r="D978" s="792">
        <f t="shared" ref="D978" si="2061">(C978-C977)/C977</f>
        <v>-7.2435597111889438E-4</v>
      </c>
      <c r="E978" s="819">
        <f t="shared" ref="E978" si="2062">(C978-$C$2)/$C$2</f>
        <v>0.43042845455756157</v>
      </c>
      <c r="F978" s="816">
        <v>8176.71</v>
      </c>
      <c r="G978" s="792">
        <f t="shared" ref="G978" si="2063">(F978-F977)/F977</f>
        <v>-2.1660975830010876E-3</v>
      </c>
      <c r="H978" s="797">
        <f t="shared" ref="H978" si="2064">(F978-F$2)/F$2</f>
        <v>0.60588997780701936</v>
      </c>
      <c r="I978" s="841">
        <v>295160.71999999997</v>
      </c>
      <c r="J978" s="800">
        <v>200000</v>
      </c>
      <c r="K978" s="800">
        <f t="shared" ref="K978" si="2065">I978-I977-J978+J977</f>
        <v>1392.6599999999744</v>
      </c>
      <c r="L978" s="792">
        <f t="shared" ref="L978" si="2066">K978/I977</f>
        <v>4.7406787518015896E-3</v>
      </c>
      <c r="M978" s="817">
        <f t="shared" ref="M978" si="2067">I978-J978</f>
        <v>95160.719999999972</v>
      </c>
      <c r="N978" s="802">
        <f t="shared" ref="N978" si="2068">M978/J978</f>
        <v>0.47580359999999988</v>
      </c>
      <c r="O978" s="786">
        <f t="shared" ref="O978" si="2069">N978/(A978/365.25)</f>
        <v>0.11679251673387094</v>
      </c>
      <c r="P978" s="817" t="b">
        <f t="shared" ref="P978" si="2070">L978&gt;D978</f>
        <v>1</v>
      </c>
      <c r="Q978" s="802">
        <f>COUNTIF(P$2:P978, TRUE)/(COUNTIF(P$2:P978,FALSE) + COUNTIF(P$2:P978, TRUE))</f>
        <v>0.48618219037871035</v>
      </c>
      <c r="R978" s="844">
        <v>236790.98</v>
      </c>
      <c r="S978" s="846">
        <f t="shared" ref="S978" si="2071">I978-R978</f>
        <v>58369.739999999962</v>
      </c>
      <c r="T978" s="800"/>
      <c r="U978" s="800"/>
      <c r="V978" s="802">
        <f>STDEV(D$2:D978)*SQRT(252)</f>
        <v>0.14551871116278217</v>
      </c>
      <c r="W978" s="802">
        <f>STDEV(L$2:L978)*SQRT(252)</f>
        <v>0.24339135104089449</v>
      </c>
      <c r="X978" s="801">
        <f t="shared" ref="X978" si="2072">E978/(A978/365.25)/V978</f>
        <v>0.72605484450881919</v>
      </c>
      <c r="Y978" s="801">
        <f t="shared" ref="Y978" si="2073">O978/W978</f>
        <v>0.47985483557403613</v>
      </c>
      <c r="Z978" s="807">
        <f t="shared" ref="Z978" si="2074">-(E978-N978)</f>
        <v>4.5375145442438314E-2</v>
      </c>
    </row>
    <row r="979" spans="1:26" ht="20.100000000000001" customHeight="1" x14ac:dyDescent="0.2">
      <c r="A979" s="776">
        <f t="shared" ref="A979" si="2075">B979-$B$2</f>
        <v>1491</v>
      </c>
      <c r="B979" s="795">
        <v>43724</v>
      </c>
      <c r="C979" s="820">
        <v>2997.96</v>
      </c>
      <c r="D979" s="792">
        <f t="shared" ref="D979" si="2076">(C979-C978)/C978</f>
        <v>-3.1356092824674675E-3</v>
      </c>
      <c r="E979" s="819">
        <f t="shared" ref="E979" si="2077">(C979-$C$2)/$C$2</f>
        <v>0.42594318981754531</v>
      </c>
      <c r="F979" s="816">
        <v>8153.54</v>
      </c>
      <c r="G979" s="792">
        <f t="shared" ref="G979" si="2078">(F979-F978)/F978</f>
        <v>-2.8336580360560754E-3</v>
      </c>
      <c r="H979" s="797">
        <f t="shared" ref="H979" si="2079">(F979-F$2)/F$2</f>
        <v>0.60133943476638452</v>
      </c>
      <c r="I979" s="841">
        <v>306425.3</v>
      </c>
      <c r="J979" s="800">
        <v>200000</v>
      </c>
      <c r="K979" s="800">
        <f t="shared" ref="K979" si="2080">I979-I978-J979+J978</f>
        <v>11264.580000000016</v>
      </c>
      <c r="L979" s="792">
        <f t="shared" ref="L979" si="2081">K979/I978</f>
        <v>3.8164224562130145E-2</v>
      </c>
      <c r="M979" s="817">
        <f t="shared" ref="M979" si="2082">I979-J979</f>
        <v>106425.29999999999</v>
      </c>
      <c r="N979" s="802">
        <f t="shared" ref="N979" si="2083">M979/J979</f>
        <v>0.53212649999999995</v>
      </c>
      <c r="O979" s="786">
        <f t="shared" ref="O979" si="2084">N979/(A979/365.25)</f>
        <v>0.13035493234406437</v>
      </c>
      <c r="P979" s="817" t="b">
        <f t="shared" ref="P979" si="2085">L979&gt;D979</f>
        <v>1</v>
      </c>
      <c r="Q979" s="802">
        <f>COUNTIF(P$2:P979, TRUE)/(COUNTIF(P$2:P979,FALSE) + COUNTIF(P$2:P979, TRUE))</f>
        <v>0.48670756646216767</v>
      </c>
      <c r="R979" s="844">
        <v>238331.08</v>
      </c>
      <c r="S979" s="846">
        <f t="shared" ref="S979" si="2086">I979-R979</f>
        <v>68094.22</v>
      </c>
      <c r="T979" s="800"/>
      <c r="U979" s="800"/>
      <c r="V979" s="802">
        <f>STDEV(D$2:D979)*SQRT(252)</f>
        <v>0.14545528296022373</v>
      </c>
      <c r="W979" s="802">
        <f>STDEV(L$2:L979)*SQRT(252)</f>
        <v>0.24401952802005264</v>
      </c>
      <c r="X979" s="801">
        <f t="shared" ref="X979" si="2087">E979/(A979/365.25)/V979</f>
        <v>0.71735604203230097</v>
      </c>
      <c r="Y979" s="801">
        <f t="shared" ref="Y979" si="2088">O979/W979</f>
        <v>0.53419877253984471</v>
      </c>
      <c r="Z979" s="807">
        <f t="shared" ref="Z979" si="2089">-(E979-N979)</f>
        <v>0.10618331018245464</v>
      </c>
    </row>
    <row r="980" spans="1:26" ht="20.100000000000001" customHeight="1" x14ac:dyDescent="0.2">
      <c r="A980" s="776">
        <f t="shared" ref="A980" si="2090">B980-$B$2</f>
        <v>1492</v>
      </c>
      <c r="B980" s="795">
        <v>43725</v>
      </c>
      <c r="C980" s="820">
        <v>3005.7</v>
      </c>
      <c r="D980" s="792">
        <f t="shared" ref="D980" si="2091">(C980-C979)/C979</f>
        <v>2.5817555938037139E-3</v>
      </c>
      <c r="E980" s="819">
        <f t="shared" ref="E980" si="2092">(C980-$C$2)/$C$2</f>
        <v>0.42962462662430306</v>
      </c>
      <c r="F980" s="816">
        <v>8186.01</v>
      </c>
      <c r="G980" s="792">
        <f t="shared" ref="G980" si="2093">(F980-F979)/F979</f>
        <v>3.9823193361411434E-3</v>
      </c>
      <c r="H980" s="797">
        <f t="shared" ref="H980" si="2094">(F980-F$2)/F$2</f>
        <v>0.60771647976118004</v>
      </c>
      <c r="I980" s="841">
        <v>296923.40000000002</v>
      </c>
      <c r="J980" s="800">
        <v>200000</v>
      </c>
      <c r="K980" s="800">
        <f t="shared" ref="K980" si="2095">I980-I979-J980+J979</f>
        <v>-9501.8999999999651</v>
      </c>
      <c r="L980" s="792">
        <f t="shared" ref="L980" si="2096">K980/I979</f>
        <v>-3.1008862518858479E-2</v>
      </c>
      <c r="M980" s="817">
        <f t="shared" ref="M980" si="2097">I980-J980</f>
        <v>96923.400000000023</v>
      </c>
      <c r="N980" s="802">
        <f t="shared" ref="N980" si="2098">M980/J980</f>
        <v>0.48461700000000013</v>
      </c>
      <c r="O980" s="786">
        <f t="shared" ref="O980" si="2099">N980/(A980/365.25)</f>
        <v>0.11863697000670245</v>
      </c>
      <c r="P980" s="817" t="b">
        <f t="shared" ref="P980" si="2100">L980&gt;D980</f>
        <v>0</v>
      </c>
      <c r="Q980" s="802">
        <f>COUNTIF(P$2:P980, TRUE)/(COUNTIF(P$2:P980,FALSE) + COUNTIF(P$2:P980, TRUE))</f>
        <v>0.48621041879468846</v>
      </c>
      <c r="R980" s="844">
        <v>231744.26</v>
      </c>
      <c r="S980" s="846">
        <f t="shared" ref="S980" si="2101">I980-R980</f>
        <v>65179.140000000014</v>
      </c>
      <c r="T980" s="800"/>
      <c r="U980" s="800"/>
      <c r="V980" s="802">
        <f>STDEV(D$2:D980)*SQRT(252)</f>
        <v>0.14538502221651831</v>
      </c>
      <c r="W980" s="802">
        <f>STDEV(L$2:L980)*SQRT(252)</f>
        <v>0.24441810690964627</v>
      </c>
      <c r="X980" s="801">
        <f t="shared" ref="X980" si="2102">E980/(A980/365.25)/V980</f>
        <v>0.72342065085055018</v>
      </c>
      <c r="Y980" s="801">
        <f t="shared" ref="Y980" si="2103">O980/W980</f>
        <v>0.4853853567017391</v>
      </c>
      <c r="Z980" s="807">
        <f t="shared" ref="Z980" si="2104">-(E980-N980)</f>
        <v>5.4992373375697068E-2</v>
      </c>
    </row>
    <row r="981" spans="1:26" ht="20.100000000000001" customHeight="1" x14ac:dyDescent="0.2">
      <c r="A981" s="776">
        <f t="shared" ref="A981" si="2105">B981-$B$2</f>
        <v>1493</v>
      </c>
      <c r="B981" s="795">
        <v>43726</v>
      </c>
      <c r="C981" s="820">
        <v>3006.73</v>
      </c>
      <c r="D981" s="792">
        <f t="shared" ref="D981:D987" si="2106">(C981-C980)/C980</f>
        <v>3.4268223708294244E-4</v>
      </c>
      <c r="E981" s="819">
        <f t="shared" ref="E981" si="2107">(C981-$C$2)/$C$2</f>
        <v>0.43011453358954355</v>
      </c>
      <c r="F981" s="816">
        <v>8177.39</v>
      </c>
      <c r="G981" s="792">
        <f t="shared" ref="G981:G987" si="2108">(F981-F980)/F980</f>
        <v>-1.0530160603273012E-3</v>
      </c>
      <c r="H981" s="797">
        <f t="shared" ref="H981:H986" si="2109">(F981-F$2)/F$2</f>
        <v>0.60602352848753871</v>
      </c>
      <c r="I981" s="841">
        <v>295703.02</v>
      </c>
      <c r="J981" s="800">
        <v>200000</v>
      </c>
      <c r="K981" s="800">
        <f t="shared" ref="K981:K986" si="2110">I981-I980-J981+J980</f>
        <v>-1220.3800000000047</v>
      </c>
      <c r="L981" s="792">
        <f t="shared" ref="L981:L986" si="2111">K981/I980</f>
        <v>-4.1100836107898688E-3</v>
      </c>
      <c r="M981" s="817">
        <f t="shared" ref="M981" si="2112">I981-J981</f>
        <v>95703.020000000019</v>
      </c>
      <c r="N981" s="802">
        <f t="shared" ref="N981" si="2113">M981/J981</f>
        <v>0.47851510000000008</v>
      </c>
      <c r="O981" s="786">
        <f t="shared" ref="O981" si="2114">N981/(A981/365.25)</f>
        <v>0.11706472891828536</v>
      </c>
      <c r="P981" s="817" t="b">
        <f t="shared" ref="P981" si="2115">L981&gt;D981</f>
        <v>0</v>
      </c>
      <c r="Q981" s="802">
        <f>COUNTIF(P$2:P981, TRUE)/(COUNTIF(P$2:P981,FALSE) + COUNTIF(P$2:P981, TRUE))</f>
        <v>0.48571428571428571</v>
      </c>
      <c r="R981" s="844">
        <v>230523.88</v>
      </c>
      <c r="S981" s="846">
        <f t="shared" ref="S981" si="2116">I981-R981</f>
        <v>65179.140000000014</v>
      </c>
      <c r="T981" s="800"/>
      <c r="U981" s="800"/>
      <c r="V981" s="802">
        <f>STDEV(D$2:D981)*SQRT(252)</f>
        <v>0.14531067920085391</v>
      </c>
      <c r="W981" s="802">
        <f>STDEV(L$2:L981)*SQRT(252)</f>
        <v>0.24430410187074672</v>
      </c>
      <c r="X981" s="801">
        <f t="shared" ref="X981" si="2117">E981/(A981/365.25)/V981</f>
        <v>0.72413076955430666</v>
      </c>
      <c r="Y981" s="801">
        <f t="shared" ref="Y981" si="2118">O981/W981</f>
        <v>0.47917627261215801</v>
      </c>
      <c r="Z981" s="807">
        <f t="shared" ref="Z981" si="2119">-(E981-N981)</f>
        <v>4.8400566410456536E-2</v>
      </c>
    </row>
    <row r="982" spans="1:26" ht="20.100000000000001" customHeight="1" x14ac:dyDescent="0.2">
      <c r="A982" s="776">
        <f t="shared" ref="A982" si="2120">B982-$B$2</f>
        <v>1494</v>
      </c>
      <c r="B982" s="795">
        <v>43727</v>
      </c>
      <c r="C982" s="820">
        <v>3006.79</v>
      </c>
      <c r="D982" s="792">
        <f t="shared" si="2106"/>
        <v>1.9955233758915976E-5</v>
      </c>
      <c r="E982" s="819">
        <f t="shared" ref="E982" si="2121">(C982-$C$2)/$C$2</f>
        <v>0.43014307185936335</v>
      </c>
      <c r="F982" s="816">
        <v>8182.87</v>
      </c>
      <c r="G982" s="792">
        <f t="shared" si="2108"/>
        <v>6.7014047269355666E-4</v>
      </c>
      <c r="H982" s="797">
        <f t="shared" si="2109"/>
        <v>0.60709978985407631</v>
      </c>
      <c r="I982" s="841">
        <v>294179.44</v>
      </c>
      <c r="J982" s="800">
        <v>200000</v>
      </c>
      <c r="K982" s="800">
        <f t="shared" si="2110"/>
        <v>-1523.5800000000163</v>
      </c>
      <c r="L982" s="792">
        <f t="shared" si="2111"/>
        <v>-5.1523991875362524E-3</v>
      </c>
      <c r="M982" s="817">
        <f t="shared" ref="M982" si="2122">I982-J982</f>
        <v>94179.44</v>
      </c>
      <c r="N982" s="802">
        <f t="shared" ref="N982" si="2123">M982/J982</f>
        <v>0.47089720000000002</v>
      </c>
      <c r="O982" s="786">
        <f t="shared" ref="O982" si="2124">N982/(A982/365.25)</f>
        <v>0.11512396405622491</v>
      </c>
      <c r="P982" s="817" t="b">
        <f t="shared" ref="P982" si="2125">L982&gt;D982</f>
        <v>0</v>
      </c>
      <c r="Q982" s="802">
        <f>COUNTIF(P$2:P982, TRUE)/(COUNTIF(P$2:P982,FALSE) + COUNTIF(P$2:P982, TRUE))</f>
        <v>0.48521916411824667</v>
      </c>
      <c r="R982" s="844">
        <v>235790.3</v>
      </c>
      <c r="S982" s="846">
        <f t="shared" ref="S982" si="2126">I982-R982</f>
        <v>58389.140000000014</v>
      </c>
      <c r="T982" s="800"/>
      <c r="U982" s="800"/>
      <c r="V982" s="802">
        <f>STDEV(D$2:D982)*SQRT(252)</f>
        <v>0.14523657928458297</v>
      </c>
      <c r="W982" s="802">
        <f>STDEV(L$2:L982)*SQRT(252)</f>
        <v>0.24419583312835605</v>
      </c>
      <c r="X982" s="801">
        <f t="shared" ref="X982" si="2127">E982/(A982/365.25)/V982</f>
        <v>0.72406332093080072</v>
      </c>
      <c r="Y982" s="801">
        <f t="shared" ref="Y982" si="2128">O982/W982</f>
        <v>0.47144114861170699</v>
      </c>
      <c r="Z982" s="807">
        <f t="shared" ref="Z982" si="2129">-(E982-N982)</f>
        <v>4.075412814063667E-2</v>
      </c>
    </row>
    <row r="983" spans="1:26" ht="20.100000000000001" customHeight="1" x14ac:dyDescent="0.2">
      <c r="A983" s="776">
        <f t="shared" ref="A983" si="2130">B983-$B$2</f>
        <v>1495</v>
      </c>
      <c r="B983" s="795">
        <v>43728</v>
      </c>
      <c r="C983" s="820">
        <v>2992.07</v>
      </c>
      <c r="D983" s="792">
        <f t="shared" si="2106"/>
        <v>-4.8955863229556435E-3</v>
      </c>
      <c r="E983" s="819">
        <f t="shared" ref="E983" si="2131">(C983-$C$2)/$C$2</f>
        <v>0.42314168299689886</v>
      </c>
      <c r="F983" s="816">
        <v>8117.67</v>
      </c>
      <c r="G983" s="792">
        <f t="shared" si="2108"/>
        <v>-7.9678645756317557E-3</v>
      </c>
      <c r="H983" s="797">
        <f t="shared" si="2109"/>
        <v>0.59429463636899271</v>
      </c>
      <c r="I983" s="841">
        <v>295138.21999999997</v>
      </c>
      <c r="J983" s="800">
        <v>200000</v>
      </c>
      <c r="K983" s="800">
        <f t="shared" si="2110"/>
        <v>958.77999999996973</v>
      </c>
      <c r="L983" s="792">
        <f t="shared" si="2111"/>
        <v>3.2591672619948211E-3</v>
      </c>
      <c r="M983" s="817">
        <f t="shared" ref="M983" si="2132">I983-J983</f>
        <v>95138.219999999972</v>
      </c>
      <c r="N983" s="802">
        <f t="shared" ref="N983" si="2133">M983/J983</f>
        <v>0.47569109999999987</v>
      </c>
      <c r="O983" s="786">
        <f t="shared" ref="O983" si="2134">N983/(A983/365.25)</f>
        <v>0.11621817677257522</v>
      </c>
      <c r="P983" s="817" t="b">
        <f t="shared" ref="P983" si="2135">L983&gt;D983</f>
        <v>1</v>
      </c>
      <c r="Q983" s="802">
        <f>COUNTIF(P$2:P983, TRUE)/(COUNTIF(P$2:P983,FALSE) + COUNTIF(P$2:P983, TRUE))</f>
        <v>0.48574338085539714</v>
      </c>
      <c r="R983" s="844">
        <v>236749.08</v>
      </c>
      <c r="S983" s="846">
        <f t="shared" ref="S983" si="2136">I983-R983</f>
        <v>58389.139999999985</v>
      </c>
      <c r="T983" s="800"/>
      <c r="U983" s="800"/>
      <c r="V983" s="802">
        <f>STDEV(D$2:D983)*SQRT(252)</f>
        <v>0.14518733621398944</v>
      </c>
      <c r="W983" s="802">
        <f>STDEV(L$2:L983)*SQRT(252)</f>
        <v>0.24407537660245329</v>
      </c>
      <c r="X983" s="801">
        <f t="shared" ref="X983" si="2137">E983/(A983/365.25)/V983</f>
        <v>0.71204280736266345</v>
      </c>
      <c r="Y983" s="801">
        <f t="shared" ref="Y983" si="2138">O983/W983</f>
        <v>0.47615690853514414</v>
      </c>
      <c r="Z983" s="807">
        <f t="shared" ref="Z983" si="2139">-(E983-N983)</f>
        <v>5.2549417003101007E-2</v>
      </c>
    </row>
    <row r="984" spans="1:26" ht="20.100000000000001" customHeight="1" x14ac:dyDescent="0.2">
      <c r="A984" s="776">
        <f t="shared" ref="A984" si="2140">B984-$B$2</f>
        <v>1498</v>
      </c>
      <c r="B984" s="795">
        <v>43731</v>
      </c>
      <c r="C984" s="820">
        <v>2991.48</v>
      </c>
      <c r="D984" s="792">
        <f t="shared" si="2106"/>
        <v>-1.9718790001575681E-4</v>
      </c>
      <c r="E984" s="819">
        <f t="shared" ref="E984" si="2141">(C984-$C$2)/$C$2</f>
        <v>0.42286105667700385</v>
      </c>
      <c r="F984" s="816">
        <v>8112.46</v>
      </c>
      <c r="G984" s="792">
        <f t="shared" si="2108"/>
        <v>-6.4180978039265406E-4</v>
      </c>
      <c r="H984" s="797">
        <f t="shared" si="2109"/>
        <v>0.5932714024785436</v>
      </c>
      <c r="I984" s="841">
        <v>293888.78000000003</v>
      </c>
      <c r="J984" s="800">
        <v>200000</v>
      </c>
      <c r="K984" s="800">
        <f t="shared" si="2110"/>
        <v>-1249.4399999999441</v>
      </c>
      <c r="L984" s="792">
        <f t="shared" si="2111"/>
        <v>-4.233406300274984E-3</v>
      </c>
      <c r="M984" s="817">
        <f t="shared" ref="M984" si="2142">I984-J984</f>
        <v>93888.780000000028</v>
      </c>
      <c r="N984" s="802">
        <f t="shared" ref="N984" si="2143">M984/J984</f>
        <v>0.46944390000000014</v>
      </c>
      <c r="O984" s="786">
        <f t="shared" ref="O984" si="2144">N984/(A984/365.25)</f>
        <v>0.11446220592456613</v>
      </c>
      <c r="P984" s="817" t="b">
        <f t="shared" ref="P984" si="2145">L984&gt;D984</f>
        <v>0</v>
      </c>
      <c r="Q984" s="802">
        <f>COUNTIF(P$2:P984, TRUE)/(COUNTIF(P$2:P984,FALSE) + COUNTIF(P$2:P984, TRUE))</f>
        <v>0.48524923702950151</v>
      </c>
      <c r="R984" s="844"/>
      <c r="S984" s="846"/>
      <c r="T984" s="800"/>
      <c r="U984" s="800"/>
      <c r="V984" s="802">
        <f>STDEV(D$2:D984)*SQRT(252)</f>
        <v>0.14511363469020724</v>
      </c>
      <c r="W984" s="802">
        <f>STDEV(L$2:L984)*SQRT(252)</f>
        <v>0.24396247373049068</v>
      </c>
      <c r="X984" s="801">
        <f t="shared" ref="X984" si="2146">E984/(A984/365.25)/V984</f>
        <v>0.71050621609018727</v>
      </c>
      <c r="Y984" s="801">
        <f t="shared" ref="Y984" si="2147">O984/W984</f>
        <v>0.46917955935720834</v>
      </c>
      <c r="Z984" s="807">
        <f t="shared" ref="Z984" si="2148">-(E984-N984)</f>
        <v>4.6582843322996281E-2</v>
      </c>
    </row>
    <row r="985" spans="1:26" ht="20.100000000000001" customHeight="1" x14ac:dyDescent="0.2">
      <c r="A985" s="776">
        <f t="shared" ref="A985" si="2149">B985-$B$2</f>
        <v>1499</v>
      </c>
      <c r="B985" s="795">
        <v>43732</v>
      </c>
      <c r="C985" s="820">
        <v>2966.6</v>
      </c>
      <c r="D985" s="792">
        <f t="shared" si="2106"/>
        <v>-8.3169534812200345E-3</v>
      </c>
      <c r="E985" s="819">
        <f t="shared" ref="E985" si="2150">(C985-$C$2)/$C$2</f>
        <v>0.41102718745838163</v>
      </c>
      <c r="F985" s="816">
        <v>7993.62</v>
      </c>
      <c r="G985" s="792">
        <f t="shared" si="2108"/>
        <v>-1.464907068879232E-2</v>
      </c>
      <c r="H985" s="797">
        <f t="shared" si="2109"/>
        <v>0.56993145707720416</v>
      </c>
      <c r="I985" s="841">
        <v>286085.94</v>
      </c>
      <c r="J985" s="800">
        <v>200000</v>
      </c>
      <c r="K985" s="800">
        <f t="shared" si="2110"/>
        <v>-7802.8400000000256</v>
      </c>
      <c r="L985" s="792">
        <f t="shared" si="2111"/>
        <v>-2.6550316075353488E-2</v>
      </c>
      <c r="M985" s="817">
        <f t="shared" ref="M985" si="2151">I985-J985</f>
        <v>86085.94</v>
      </c>
      <c r="N985" s="802">
        <f t="shared" ref="N985" si="2152">M985/J985</f>
        <v>0.43042970000000003</v>
      </c>
      <c r="O985" s="786">
        <f t="shared" ref="O985" si="2153">N985/(A985/365.25)</f>
        <v>0.10487955165110074</v>
      </c>
      <c r="P985" s="817" t="b">
        <f t="shared" ref="P985" si="2154">L985&gt;D985</f>
        <v>0</v>
      </c>
      <c r="Q985" s="802">
        <f>COUNTIF(P$2:P985, TRUE)/(COUNTIF(P$2:P985,FALSE) + COUNTIF(P$2:P985, TRUE))</f>
        <v>0.4847560975609756</v>
      </c>
      <c r="R985" s="844">
        <v>219117.1</v>
      </c>
      <c r="S985" s="846">
        <f t="shared" ref="S985" si="2155">I985-R985</f>
        <v>66968.84</v>
      </c>
      <c r="T985" s="800"/>
      <c r="U985" s="800"/>
      <c r="V985" s="802">
        <f>STDEV(D$2:D985)*SQRT(252)</f>
        <v>0.14510688056819443</v>
      </c>
      <c r="W985" s="802">
        <f>STDEV(L$2:L985)*SQRT(252)</f>
        <v>0.24422097751624602</v>
      </c>
      <c r="X985" s="801">
        <f t="shared" ref="X985" si="2156">E985/(A985/365.25)/V985</f>
        <v>0.69019392932528478</v>
      </c>
      <c r="Y985" s="801">
        <f t="shared" ref="Y985" si="2157">O985/W985</f>
        <v>0.42944530284718874</v>
      </c>
      <c r="Z985" s="807">
        <f t="shared" ref="Z985" si="2158">-(E985-N985)</f>
        <v>1.94025125416184E-2</v>
      </c>
    </row>
    <row r="986" spans="1:26" ht="20.100000000000001" customHeight="1" x14ac:dyDescent="0.2">
      <c r="A986" s="776">
        <f t="shared" ref="A986" si="2159">B986-$B$2</f>
        <v>1500</v>
      </c>
      <c r="B986" s="795">
        <v>43733</v>
      </c>
      <c r="C986" s="820">
        <v>2984.87</v>
      </c>
      <c r="D986" s="792">
        <f t="shared" si="2106"/>
        <v>6.1585653610193424E-3</v>
      </c>
      <c r="E986" s="819">
        <f t="shared" ref="E986" si="2160">(C986-$C$2)/$C$2</f>
        <v>0.41971709061851936</v>
      </c>
      <c r="F986" s="816">
        <v>8077.38</v>
      </c>
      <c r="G986" s="792">
        <f t="shared" si="2108"/>
        <v>1.0478356489300244E-2</v>
      </c>
      <c r="H986" s="797">
        <f t="shared" si="2109"/>
        <v>0.58638175854822561</v>
      </c>
      <c r="I986" s="841">
        <v>287730.05</v>
      </c>
      <c r="J986" s="800">
        <v>200000</v>
      </c>
      <c r="K986" s="800">
        <f t="shared" si="2110"/>
        <v>1644.109999999986</v>
      </c>
      <c r="L986" s="792">
        <f t="shared" si="2111"/>
        <v>5.7469094776205574E-3</v>
      </c>
      <c r="M986" s="817">
        <f t="shared" ref="M986" si="2161">I986-J986</f>
        <v>87730.049999999988</v>
      </c>
      <c r="N986" s="802">
        <f t="shared" ref="N986" si="2162">M986/J986</f>
        <v>0.43865024999999996</v>
      </c>
      <c r="O986" s="786">
        <f t="shared" ref="O986" si="2163">N986/(A986/365.25)</f>
        <v>0.106811335875</v>
      </c>
      <c r="P986" s="817" t="b">
        <f t="shared" ref="P986" si="2164">L986&gt;D986</f>
        <v>0</v>
      </c>
      <c r="Q986" s="802">
        <f>COUNTIF(P$2:P986, TRUE)/(COUNTIF(P$2:P986,FALSE) + COUNTIF(P$2:P986, TRUE))</f>
        <v>0.48426395939086292</v>
      </c>
      <c r="R986" s="844">
        <v>220728.18</v>
      </c>
      <c r="S986" s="846">
        <f t="shared" ref="S986" si="2165">I986-R986</f>
        <v>67001.87</v>
      </c>
      <c r="T986" s="800"/>
      <c r="U986" s="800"/>
      <c r="V986" s="802">
        <f>STDEV(D$2:D986)*SQRT(252)</f>
        <v>0.1450624087221693</v>
      </c>
      <c r="W986" s="802">
        <f>STDEV(L$2:L986)*SQRT(252)</f>
        <v>0.24411162824297997</v>
      </c>
      <c r="X986" s="801">
        <f t="shared" ref="X986" si="2166">E986/(A986/365.25)/V986</f>
        <v>0.70453201808712618</v>
      </c>
      <c r="Y986" s="801">
        <f t="shared" ref="Y986" si="2167">O986/W986</f>
        <v>0.43755120001364223</v>
      </c>
      <c r="Z986" s="807">
        <f t="shared" ref="Z986" si="2168">-(E986-N986)</f>
        <v>1.8933159381480602E-2</v>
      </c>
    </row>
    <row r="987" spans="1:26" ht="20.100000000000001" customHeight="1" x14ac:dyDescent="0.2">
      <c r="A987" s="776">
        <f t="shared" ref="A987" si="2169">B987-$B$2</f>
        <v>1501</v>
      </c>
      <c r="B987" s="795">
        <v>43734</v>
      </c>
      <c r="C987" s="820">
        <v>2977.62</v>
      </c>
      <c r="D987" s="792">
        <f t="shared" si="2106"/>
        <v>-2.4289165022262278E-3</v>
      </c>
      <c r="E987" s="819">
        <f t="shared" ref="E987" si="2170">(C987-$C$2)/$C$2</f>
        <v>0.41626871634862339</v>
      </c>
      <c r="F987" s="816">
        <v>8030.66</v>
      </c>
      <c r="G987" s="792">
        <f t="shared" si="2108"/>
        <v>-5.7840537401979671E-3</v>
      </c>
      <c r="H987" s="797">
        <f t="shared" ref="H987" si="2171">(F987-F$2)/F$2</f>
        <v>0.57720604120431296</v>
      </c>
      <c r="I987" s="841">
        <v>283046.77</v>
      </c>
      <c r="J987" s="800">
        <v>200000</v>
      </c>
      <c r="K987" s="800">
        <f t="shared" ref="K987:K992" si="2172">I987-I986-J987+J986</f>
        <v>-4683.2799999999697</v>
      </c>
      <c r="L987" s="792">
        <f t="shared" ref="L987" si="2173">K987/I986</f>
        <v>-1.6276645418161814E-2</v>
      </c>
      <c r="M987" s="817">
        <f t="shared" ref="M987" si="2174">I987-J987</f>
        <v>83046.770000000019</v>
      </c>
      <c r="N987" s="802">
        <f t="shared" ref="N987" si="2175">M987/J987</f>
        <v>0.41523385000000007</v>
      </c>
      <c r="O987" s="786">
        <f t="shared" ref="O987" si="2176">N987/(A987/365.25)</f>
        <v>0.10104208108760827</v>
      </c>
      <c r="P987" s="817" t="b">
        <f t="shared" ref="P987" si="2177">L987&gt;D987</f>
        <v>0</v>
      </c>
      <c r="Q987" s="802">
        <f>COUNTIF(P$2:P987, TRUE)/(COUNTIF(P$2:P987,FALSE) + COUNTIF(P$2:P987, TRUE))</f>
        <v>0.48377281947261663</v>
      </c>
      <c r="R987" s="844">
        <v>225788.9</v>
      </c>
      <c r="S987" s="846">
        <f t="shared" ref="S987" si="2178">I987-R987</f>
        <v>57257.870000000024</v>
      </c>
      <c r="T987" s="800"/>
      <c r="U987" s="800"/>
      <c r="V987" s="802">
        <f>STDEV(D$2:D987)*SQRT(252)</f>
        <v>0.14499572964740223</v>
      </c>
      <c r="W987" s="802">
        <f>STDEV(L$2:L987)*SQRT(252)</f>
        <v>0.24413370498923076</v>
      </c>
      <c r="X987" s="801">
        <f t="shared" ref="X987" si="2179">E987/(A987/365.25)/V987</f>
        <v>0.69859921673858649</v>
      </c>
      <c r="Y987" s="801">
        <f t="shared" ref="Y987" si="2180">O987/W987</f>
        <v>0.41388009530296299</v>
      </c>
      <c r="Z987" s="807">
        <f t="shared" ref="Z987" si="2181">-(E987-N987)</f>
        <v>-1.0348663486233201E-3</v>
      </c>
    </row>
    <row r="988" spans="1:26" ht="20.100000000000001" customHeight="1" x14ac:dyDescent="0.2">
      <c r="A988" s="776">
        <f t="shared" ref="A988" si="2182">B988-$B$2</f>
        <v>1502</v>
      </c>
      <c r="B988" s="795">
        <v>43735</v>
      </c>
      <c r="C988" s="820">
        <v>2961.79</v>
      </c>
      <c r="D988" s="792">
        <f t="shared" ref="D988" si="2183">(C988-C987)/C987</f>
        <v>-5.3163264620737123E-3</v>
      </c>
      <c r="E988" s="819">
        <f t="shared" ref="E988" si="2184">(C988-$C$2)/$C$2</f>
        <v>0.40873936949449208</v>
      </c>
      <c r="F988" s="816">
        <v>7939.62</v>
      </c>
      <c r="G988" s="792">
        <f t="shared" ref="G988" si="2185">(F988-F987)/F987</f>
        <v>-1.1336552661923176E-2</v>
      </c>
      <c r="H988" s="797">
        <f t="shared" ref="H988" si="2186">(F988-F$2)/F$2</f>
        <v>0.5593259618594969</v>
      </c>
      <c r="I988" s="841">
        <v>286264.84000000003</v>
      </c>
      <c r="J988" s="800">
        <v>200000</v>
      </c>
      <c r="K988" s="800">
        <f t="shared" si="2172"/>
        <v>3218.070000000007</v>
      </c>
      <c r="L988" s="792">
        <f t="shared" ref="L988" si="2187">K988/I987</f>
        <v>1.1369393121850523E-2</v>
      </c>
      <c r="M988" s="817">
        <f t="shared" ref="M988" si="2188">I988-J988</f>
        <v>86264.840000000026</v>
      </c>
      <c r="N988" s="802">
        <f t="shared" ref="N988" si="2189">M988/J988</f>
        <v>0.4313242000000001</v>
      </c>
      <c r="O988" s="786">
        <f t="shared" ref="O988" si="2190">N988/(A988/365.25)</f>
        <v>0.10488759257656459</v>
      </c>
      <c r="P988" s="817" t="b">
        <f t="shared" ref="P988" si="2191">L988&gt;D988</f>
        <v>1</v>
      </c>
      <c r="Q988" s="802">
        <f>COUNTIF(P$2:P988, TRUE)/(COUNTIF(P$2:P988,FALSE) + COUNTIF(P$2:P988, TRUE))</f>
        <v>0.48429584599797365</v>
      </c>
      <c r="R988" s="844">
        <v>223431.88</v>
      </c>
      <c r="S988" s="846">
        <f t="shared" ref="S988" si="2192">I988-R988</f>
        <v>62832.960000000021</v>
      </c>
      <c r="T988" s="800"/>
      <c r="U988" s="800"/>
      <c r="V988" s="802">
        <f>STDEV(D$2:D988)*SQRT(252)</f>
        <v>0.14495087004580443</v>
      </c>
      <c r="W988" s="802">
        <f>STDEV(L$2:L988)*SQRT(252)</f>
        <v>0.24407269868874765</v>
      </c>
      <c r="X988" s="801">
        <f t="shared" ref="X988" si="2193">E988/(A988/365.25)/V988</f>
        <v>0.68571861000211998</v>
      </c>
      <c r="Y988" s="801">
        <f t="shared" ref="Y988" si="2194">O988/W988</f>
        <v>0.42973914387008894</v>
      </c>
      <c r="Z988" s="807">
        <f t="shared" ref="Z988" si="2195">-(E988-N988)</f>
        <v>2.2584830505508025E-2</v>
      </c>
    </row>
    <row r="989" spans="1:26" ht="20.100000000000001" customHeight="1" x14ac:dyDescent="0.2">
      <c r="A989" s="776">
        <f t="shared" ref="A989" si="2196">B989-$B$2</f>
        <v>1505</v>
      </c>
      <c r="B989" s="795">
        <v>43738</v>
      </c>
      <c r="C989" s="820">
        <v>2976.74</v>
      </c>
      <c r="D989" s="792">
        <f t="shared" ref="D989" si="2197">(C989-C988)/C988</f>
        <v>5.047623227845262E-3</v>
      </c>
      <c r="E989" s="819">
        <f t="shared" ref="E989" si="2198">(C989-$C$2)/$C$2</f>
        <v>0.41585015505793255</v>
      </c>
      <c r="F989" s="816">
        <v>7999.33</v>
      </c>
      <c r="G989" s="792">
        <f t="shared" ref="G989" si="2199">(F989-F988)/F988</f>
        <v>7.520511057204254E-3</v>
      </c>
      <c r="H989" s="797">
        <f t="shared" ref="H989" si="2200">(F989-F$2)/F$2</f>
        <v>0.57105288999744686</v>
      </c>
      <c r="I989" s="841">
        <v>287454.52</v>
      </c>
      <c r="J989" s="800">
        <v>200000</v>
      </c>
      <c r="K989" s="800">
        <f t="shared" si="2172"/>
        <v>1189.679999999993</v>
      </c>
      <c r="L989" s="792">
        <f t="shared" ref="L989" si="2201">K989/I988</f>
        <v>4.1558718842313741E-3</v>
      </c>
      <c r="M989" s="817">
        <f t="shared" ref="M989" si="2202">I989-J989</f>
        <v>87454.520000000019</v>
      </c>
      <c r="N989" s="802">
        <f t="shared" ref="N989" si="2203">M989/J989</f>
        <v>0.43727260000000007</v>
      </c>
      <c r="O989" s="786">
        <f t="shared" ref="O989" si="2204">N989/(A989/365.25)</f>
        <v>0.10612213764119602</v>
      </c>
      <c r="P989" s="817" t="b">
        <f t="shared" ref="P989" si="2205">L989&gt;D989</f>
        <v>0</v>
      </c>
      <c r="Q989" s="802">
        <f>COUNTIF(P$2:P989, TRUE)/(COUNTIF(P$2:P989,FALSE) + COUNTIF(P$2:P989, TRUE))</f>
        <v>0.48380566801619435</v>
      </c>
      <c r="R989" s="844">
        <v>224621.56</v>
      </c>
      <c r="S989" s="846">
        <f t="shared" ref="S989" si="2206">I989-R989</f>
        <v>62832.960000000021</v>
      </c>
      <c r="T989" s="800"/>
      <c r="U989" s="800"/>
      <c r="V989" s="802">
        <f>STDEV(D$2:D989)*SQRT(252)</f>
        <v>0.1448964667198713</v>
      </c>
      <c r="W989" s="802">
        <f>STDEV(L$2:L989)*SQRT(252)</f>
        <v>0.24395621698452175</v>
      </c>
      <c r="X989" s="801">
        <f t="shared" ref="X989" si="2207">E989/(A989/365.25)/V989</f>
        <v>0.69651872609383481</v>
      </c>
      <c r="Y989" s="801">
        <f t="shared" ref="Y989" si="2208">O989/W989</f>
        <v>0.4350048502675754</v>
      </c>
      <c r="Z989" s="807">
        <f t="shared" ref="Z989" si="2209">-(E989-N989)</f>
        <v>2.142244494206752E-2</v>
      </c>
    </row>
    <row r="990" spans="1:26" ht="20.100000000000001" customHeight="1" x14ac:dyDescent="0.2">
      <c r="A990" s="776">
        <f t="shared" ref="A990" si="2210">B990-$B$2</f>
        <v>1506</v>
      </c>
      <c r="B990" s="795">
        <v>43739</v>
      </c>
      <c r="C990" s="820">
        <v>2940.25</v>
      </c>
      <c r="D990" s="792">
        <f t="shared" ref="D990" si="2211">(C990-C989)/C989</f>
        <v>-1.225837661334204E-2</v>
      </c>
      <c r="E990" s="819">
        <f t="shared" ref="E990" si="2212">(C990-$C$2)/$C$2</f>
        <v>0.39849413062917366</v>
      </c>
      <c r="F990" s="816">
        <v>7908.68</v>
      </c>
      <c r="G990" s="792">
        <f t="shared" ref="G990" si="2213">(F990-F989)/F989</f>
        <v>-1.1332199071672207E-2</v>
      </c>
      <c r="H990" s="797">
        <f t="shared" ref="H990" si="2214">(F990-F$2)/F$2</f>
        <v>0.55324940589586991</v>
      </c>
      <c r="I990" s="841">
        <v>280923.06</v>
      </c>
      <c r="J990" s="800">
        <v>200000</v>
      </c>
      <c r="K990" s="800">
        <f t="shared" si="2172"/>
        <v>-6531.460000000021</v>
      </c>
      <c r="L990" s="792">
        <f t="shared" ref="L990" si="2215">K990/I989</f>
        <v>-2.2721716117040082E-2</v>
      </c>
      <c r="M990" s="817">
        <f t="shared" ref="M990" si="2216">I990-J990</f>
        <v>80923.06</v>
      </c>
      <c r="N990" s="802">
        <f t="shared" ref="N990" si="2217">M990/J990</f>
        <v>0.40461530000000001</v>
      </c>
      <c r="O990" s="786">
        <f t="shared" ref="O990" si="2218">N990/(A990/365.25)</f>
        <v>9.813130034860558E-2</v>
      </c>
      <c r="P990" s="817" t="b">
        <f t="shared" ref="P990" si="2219">L990&gt;D990</f>
        <v>0</v>
      </c>
      <c r="Q990" s="802">
        <f>COUNTIF(P$2:P990, TRUE)/(COUNTIF(P$2:P990,FALSE) + COUNTIF(P$2:P990, TRUE))</f>
        <v>0.4833164812942366</v>
      </c>
      <c r="R990" s="844">
        <v>220256.38</v>
      </c>
      <c r="S990" s="846">
        <f t="shared" ref="S990" si="2220">I990-R990</f>
        <v>60666.679999999993</v>
      </c>
      <c r="T990" s="800"/>
      <c r="U990" s="800"/>
      <c r="V990" s="802">
        <f>STDEV(D$2:D990)*SQRT(252)</f>
        <v>0.14496394538950558</v>
      </c>
      <c r="W990" s="802">
        <f>STDEV(L$2:L990)*SQRT(252)</f>
        <v>0.24411253724173404</v>
      </c>
      <c r="X990" s="801">
        <f t="shared" ref="X990" si="2221">E990/(A990/365.25)/V990</f>
        <v>0.66669497448507986</v>
      </c>
      <c r="Y990" s="801">
        <f t="shared" ref="Y990" si="2222">O990/W990</f>
        <v>0.40199205439182512</v>
      </c>
      <c r="Z990" s="807">
        <f t="shared" ref="Z990" si="2223">-(E990-N990)</f>
        <v>6.1211693708263515E-3</v>
      </c>
    </row>
    <row r="991" spans="1:26" ht="20.100000000000001" customHeight="1" x14ac:dyDescent="0.2">
      <c r="A991" s="776">
        <f t="shared" ref="A991" si="2224">B991-$B$2</f>
        <v>1507</v>
      </c>
      <c r="B991" s="795">
        <v>43740</v>
      </c>
      <c r="C991" s="820">
        <v>2887.61</v>
      </c>
      <c r="D991" s="792">
        <f t="shared" ref="D991" si="2225">(C991-C990)/C990</f>
        <v>-1.7903239520448897E-2</v>
      </c>
      <c r="E991" s="819">
        <f t="shared" ref="E991" si="2226">(C991-$C$2)/$C$2</f>
        <v>0.37345655524057764</v>
      </c>
      <c r="F991" s="816">
        <v>7785.64</v>
      </c>
      <c r="G991" s="792">
        <f t="shared" ref="G991" si="2227">(F991-F990)/F990</f>
        <v>-1.5557589888578114E-2</v>
      </c>
      <c r="H991" s="797">
        <f t="shared" ref="H991" si="2228">(F991-F$2)/F$2</f>
        <v>0.52908458864426433</v>
      </c>
      <c r="I991" s="841">
        <v>274919.71999999997</v>
      </c>
      <c r="J991" s="800">
        <v>200000</v>
      </c>
      <c r="K991" s="800">
        <f t="shared" si="2172"/>
        <v>-6003.3400000000256</v>
      </c>
      <c r="L991" s="792">
        <f t="shared" ref="L991" si="2229">K991/I990</f>
        <v>-2.1370050575413871E-2</v>
      </c>
      <c r="M991" s="817">
        <f t="shared" ref="M991" si="2230">I991-J991</f>
        <v>74919.719999999972</v>
      </c>
      <c r="N991" s="802">
        <f t="shared" ref="N991" si="2231">M991/J991</f>
        <v>0.37459859999999984</v>
      </c>
      <c r="O991" s="786">
        <f t="shared" ref="O991" si="2232">N991/(A991/365.25)</f>
        <v>9.0791067451891125E-2</v>
      </c>
      <c r="P991" s="817" t="b">
        <f t="shared" ref="P991" si="2233">L991&gt;D991</f>
        <v>0</v>
      </c>
      <c r="Q991" s="802">
        <f>COUNTIF(P$2:P991, TRUE)/(COUNTIF(P$2:P991,FALSE) + COUNTIF(P$2:P991, TRUE))</f>
        <v>0.48282828282828283</v>
      </c>
      <c r="R991" s="844">
        <v>217481.04</v>
      </c>
      <c r="S991" s="846">
        <f t="shared" ref="S991:S992" si="2234">I991-R991</f>
        <v>57438.679999999964</v>
      </c>
      <c r="T991" s="800"/>
      <c r="U991" s="800"/>
      <c r="V991" s="802">
        <f>STDEV(D$2:D991)*SQRT(252)</f>
        <v>0.14518423351471621</v>
      </c>
      <c r="W991" s="802">
        <f>STDEV(L$2:L991)*SQRT(252)</f>
        <v>0.24423623160832397</v>
      </c>
      <c r="X991" s="801">
        <f t="shared" ref="X991" si="2235">E991/(A991/365.25)/V991</f>
        <v>0.62344422033484515</v>
      </c>
      <c r="Y991" s="801">
        <f t="shared" ref="Y991" si="2236">O991/W991</f>
        <v>0.37173463926306671</v>
      </c>
      <c r="Z991" s="807">
        <f t="shared" ref="Z991" si="2237">-(E991-N991)</f>
        <v>1.1420447594222005E-3</v>
      </c>
    </row>
    <row r="992" spans="1:26" ht="20.100000000000001" customHeight="1" x14ac:dyDescent="0.2">
      <c r="A992" s="776">
        <f t="shared" ref="A992" si="2238">B992-$B$2</f>
        <v>1508</v>
      </c>
      <c r="B992" s="795">
        <v>43741</v>
      </c>
      <c r="C992" s="820">
        <v>2910.63</v>
      </c>
      <c r="D992" s="792">
        <f t="shared" ref="D992" si="2239">(C992-C991)/C991</f>
        <v>7.9719906774114169E-3</v>
      </c>
      <c r="E992" s="819">
        <f t="shared" ref="E992" si="2240">(C992-$C$2)/$C$2</f>
        <v>0.38440573809478512</v>
      </c>
      <c r="F992" s="816">
        <v>7872.26</v>
      </c>
      <c r="G992" s="792">
        <f t="shared" ref="G992" si="2241">(F992-F991)/F991</f>
        <v>1.1125610739772182E-2</v>
      </c>
      <c r="H992" s="797">
        <f t="shared" ref="H992" si="2242">(F992-F$2)/F$2</f>
        <v>0.54609658856570509</v>
      </c>
      <c r="I992" s="841">
        <v>278187.09999999998</v>
      </c>
      <c r="J992" s="800">
        <v>200000</v>
      </c>
      <c r="K992" s="800">
        <f t="shared" si="2172"/>
        <v>3267.3800000000047</v>
      </c>
      <c r="L992" s="792">
        <f t="shared" ref="L992" si="2243">K992/I991</f>
        <v>1.1884851330417494E-2</v>
      </c>
      <c r="M992" s="817">
        <f t="shared" ref="M992" si="2244">I992-J992</f>
        <v>78187.099999999977</v>
      </c>
      <c r="N992" s="802">
        <f t="shared" ref="N992" si="2245">M992/J992</f>
        <v>0.39093549999999988</v>
      </c>
      <c r="O992" s="786">
        <f t="shared" ref="O992" si="2246">N992/(A992/365.25)</f>
        <v>9.4687792688992009E-2</v>
      </c>
      <c r="P992" s="817" t="b">
        <f t="shared" ref="P992" si="2247">L992&gt;D992</f>
        <v>1</v>
      </c>
      <c r="Q992" s="802">
        <f>COUNTIF(P$2:P992, TRUE)/(COUNTIF(P$2:P992,FALSE) + COUNTIF(P$2:P992, TRUE))</f>
        <v>0.48335015136226034</v>
      </c>
      <c r="R992" s="844">
        <v>220748.42</v>
      </c>
      <c r="S992" s="846">
        <f t="shared" si="2234"/>
        <v>57438.679999999964</v>
      </c>
      <c r="T992" s="800"/>
      <c r="U992" s="800"/>
      <c r="V992" s="802">
        <f>STDEV(D$2:D992)*SQRT(252)</f>
        <v>0.14516158988298616</v>
      </c>
      <c r="W992" s="802">
        <f>STDEV(L$2:L992)*SQRT(252)</f>
        <v>0.24418179006796323</v>
      </c>
      <c r="X992" s="801">
        <f t="shared" ref="X992" si="2248">E992/(A992/365.25)/V992</f>
        <v>0.64139715428577848</v>
      </c>
      <c r="Y992" s="801">
        <f t="shared" ref="Y992" si="2249">O992/W992</f>
        <v>0.3877758151524629</v>
      </c>
      <c r="Z992" s="807">
        <f t="shared" ref="Z992" si="2250">-(E992-N992)</f>
        <v>6.5297619052147593E-3</v>
      </c>
    </row>
    <row r="993" spans="1:26" ht="20.100000000000001" customHeight="1" x14ac:dyDescent="0.2">
      <c r="A993" s="776">
        <f t="shared" ref="A993" si="2251">B993-$B$2</f>
        <v>1509</v>
      </c>
      <c r="B993" s="795">
        <v>43742</v>
      </c>
      <c r="C993" s="820">
        <v>2952.01</v>
      </c>
      <c r="D993" s="792">
        <f t="shared" ref="D993" si="2252">(C993-C992)/C992</f>
        <v>1.4216853396000215E-2</v>
      </c>
      <c r="E993" s="819">
        <f t="shared" ref="E993" si="2253">(C993-$C$2)/$C$2</f>
        <v>0.40408763151386018</v>
      </c>
      <c r="F993" s="816">
        <v>7982.47</v>
      </c>
      <c r="G993" s="792">
        <f t="shared" ref="G993" si="2254">(F993-F992)/F992</f>
        <v>1.3999791673547372E-2</v>
      </c>
      <c r="H993" s="797">
        <f t="shared" ref="H993" si="2255">(F993-F$2)/F$2</f>
        <v>0.56774161871280726</v>
      </c>
      <c r="I993" s="841">
        <v>278198.58</v>
      </c>
      <c r="J993" s="800">
        <v>200000</v>
      </c>
      <c r="K993" s="800">
        <f t="shared" ref="K993" si="2256">I993-I992-J993+J992</f>
        <v>11.480000000039581</v>
      </c>
      <c r="L993" s="792">
        <f t="shared" ref="L993" si="2257">K993/I992</f>
        <v>4.1267190319175773E-5</v>
      </c>
      <c r="M993" s="817">
        <f t="shared" ref="M993" si="2258">I993-J993</f>
        <v>78198.580000000016</v>
      </c>
      <c r="N993" s="802">
        <f t="shared" ref="N993" si="2259">M993/J993</f>
        <v>0.39099290000000009</v>
      </c>
      <c r="O993" s="786">
        <f t="shared" ref="O993" si="2260">N993/(A993/365.25)</f>
        <v>9.4638937524850905E-2</v>
      </c>
      <c r="P993" s="817" t="b">
        <f t="shared" ref="P993" si="2261">L993&gt;D993</f>
        <v>0</v>
      </c>
      <c r="Q993" s="802">
        <f>COUNTIF(P$2:P993, TRUE)/(COUNTIF(P$2:P993,FALSE) + COUNTIF(P$2:P993, TRUE))</f>
        <v>0.48286290322580644</v>
      </c>
      <c r="R993" s="844">
        <v>222522.46</v>
      </c>
      <c r="S993" s="846">
        <f t="shared" ref="S993" si="2262">I993-R993</f>
        <v>55676.120000000024</v>
      </c>
      <c r="T993" s="800"/>
      <c r="U993" s="800"/>
      <c r="V993" s="802">
        <f>STDEV(D$2:D993)*SQRT(252)</f>
        <v>0.14525617255525491</v>
      </c>
      <c r="W993" s="802">
        <f>STDEV(L$2:L993)*SQRT(252)</f>
        <v>0.24405849671128343</v>
      </c>
      <c r="X993" s="801">
        <f t="shared" ref="X993" si="2263">E993/(A993/365.25)/V993</f>
        <v>0.6733516767579828</v>
      </c>
      <c r="Y993" s="801">
        <f t="shared" ref="Y993" si="2264">O993/W993</f>
        <v>0.38777153346481097</v>
      </c>
      <c r="Z993" s="807">
        <f t="shared" ref="Z993" si="2265">-(E993-N993)</f>
        <v>-1.3094731513860092E-2</v>
      </c>
    </row>
    <row r="994" spans="1:26" ht="20.100000000000001" customHeight="1" x14ac:dyDescent="0.2">
      <c r="A994" s="776">
        <f t="shared" ref="A994" si="2266">B994-$B$2</f>
        <v>1512</v>
      </c>
      <c r="B994" s="795">
        <v>43745</v>
      </c>
      <c r="C994" s="820">
        <v>2938.79</v>
      </c>
      <c r="D994" s="792">
        <f t="shared" ref="D994" si="2267">(C994-C993)/C993</f>
        <v>-4.4783046127893382E-3</v>
      </c>
      <c r="E994" s="819">
        <f t="shared" ref="E994" si="2268">(C994-$C$2)/$C$2</f>
        <v>0.39779969939689119</v>
      </c>
      <c r="F994" s="816">
        <v>7956.29</v>
      </c>
      <c r="G994" s="792">
        <f t="shared" ref="G994" si="2269">(F994-F993)/F993</f>
        <v>-3.2796866132914111E-3</v>
      </c>
      <c r="H994" s="797">
        <f t="shared" ref="H994" si="2270">(F994-F$2)/F$2</f>
        <v>0.56259991751281502</v>
      </c>
      <c r="I994" s="841">
        <v>276433.09999999998</v>
      </c>
      <c r="J994" s="800">
        <v>200000</v>
      </c>
      <c r="K994" s="800">
        <f t="shared" ref="K994" si="2271">I994-I993-J994+J993</f>
        <v>-1765.4800000000396</v>
      </c>
      <c r="L994" s="792">
        <f t="shared" ref="L994" si="2272">K994/I993</f>
        <v>-6.3461143475284434E-3</v>
      </c>
      <c r="M994" s="817">
        <f t="shared" ref="M994" si="2273">I994-J994</f>
        <v>76433.099999999977</v>
      </c>
      <c r="N994" s="802">
        <f t="shared" ref="N994" si="2274">M994/J994</f>
        <v>0.38216549999999988</v>
      </c>
      <c r="O994" s="786">
        <f t="shared" ref="O994" si="2275">N994/(A994/365.25)</f>
        <v>9.2318749255952348E-2</v>
      </c>
      <c r="P994" s="817" t="b">
        <f t="shared" ref="P994" si="2276">L994&gt;D994</f>
        <v>0</v>
      </c>
      <c r="Q994" s="802">
        <f>COUNTIF(P$2:P994, TRUE)/(COUNTIF(P$2:P994,FALSE) + COUNTIF(P$2:P994, TRUE))</f>
        <v>0.4823766364551863</v>
      </c>
      <c r="R994" s="844">
        <v>223028.18</v>
      </c>
      <c r="S994" s="846">
        <f t="shared" ref="S994" si="2277">I994-R994</f>
        <v>53404.919999999984</v>
      </c>
      <c r="T994" s="800"/>
      <c r="U994" s="800"/>
      <c r="V994" s="802">
        <f>STDEV(D$2:D994)*SQRT(252)</f>
        <v>0.1452035518452103</v>
      </c>
      <c r="W994" s="802">
        <f>STDEV(L$2:L994)*SQRT(252)</f>
        <v>0.24395892373845568</v>
      </c>
      <c r="X994" s="801">
        <f t="shared" ref="X994" si="2278">E994/(A994/365.25)/V994</f>
        <v>0.66179829540806068</v>
      </c>
      <c r="Y994" s="801">
        <f t="shared" ref="Y994" si="2279">O994/W994</f>
        <v>0.3784192348500674</v>
      </c>
      <c r="Z994" s="807">
        <f t="shared" ref="Z994" si="2280">-(E994-N994)</f>
        <v>-1.5634199396891313E-2</v>
      </c>
    </row>
    <row r="995" spans="1:26" ht="20.100000000000001" customHeight="1" x14ac:dyDescent="0.2">
      <c r="A995" s="776">
        <f t="shared" ref="A995" si="2281">B995-$B$2</f>
        <v>1513</v>
      </c>
      <c r="B995" s="795">
        <v>43746</v>
      </c>
      <c r="C995" s="820">
        <v>2893.06</v>
      </c>
      <c r="D995" s="792">
        <f t="shared" ref="D995" si="2282">(C995-C994)/C994</f>
        <v>-1.5560826054260433E-2</v>
      </c>
      <c r="E995" s="819">
        <f t="shared" ref="E995" si="2283">(C995-$C$2)/$C$2</f>
        <v>0.37604878141587861</v>
      </c>
      <c r="F995" s="816">
        <v>7823.77</v>
      </c>
      <c r="G995" s="792">
        <f t="shared" ref="G995" si="2284">(F995-F994)/F994</f>
        <v>-1.6656004243183635E-2</v>
      </c>
      <c r="H995" s="797">
        <f t="shared" ref="H995" si="2285">(F995-F$2)/F$2</f>
        <v>0.53657324665632322</v>
      </c>
      <c r="I995" s="841">
        <v>270764.12</v>
      </c>
      <c r="J995" s="800">
        <v>200000</v>
      </c>
      <c r="K995" s="800">
        <f t="shared" ref="K995" si="2286">I995-I994-J995+J994</f>
        <v>-5668.9799999999814</v>
      </c>
      <c r="L995" s="792">
        <f t="shared" ref="L995" si="2287">K995/I994</f>
        <v>-2.0507602020163222E-2</v>
      </c>
      <c r="M995" s="817">
        <f t="shared" ref="M995" si="2288">I995-J995</f>
        <v>70764.12</v>
      </c>
      <c r="N995" s="802">
        <f t="shared" ref="N995" si="2289">M995/J995</f>
        <v>0.35382059999999999</v>
      </c>
      <c r="O995" s="786">
        <f t="shared" ref="O995" si="2290">N995/(A995/365.25)</f>
        <v>8.5415052313284862E-2</v>
      </c>
      <c r="P995" s="817" t="b">
        <f t="shared" ref="P995" si="2291">L995&gt;D995</f>
        <v>0</v>
      </c>
      <c r="Q995" s="802">
        <f>COUNTIF(P$2:P995, TRUE)/(COUNTIF(P$2:P995,FALSE) + COUNTIF(P$2:P995, TRUE))</f>
        <v>0.48189134808853118</v>
      </c>
      <c r="R995" s="844">
        <v>223112.7</v>
      </c>
      <c r="S995" s="846">
        <f t="shared" ref="S995" si="2292">I995-R995</f>
        <v>47651.419999999984</v>
      </c>
      <c r="T995" s="800"/>
      <c r="U995" s="800"/>
      <c r="V995" s="802">
        <f>STDEV(D$2:D995)*SQRT(252)</f>
        <v>0.14535233151361104</v>
      </c>
      <c r="W995" s="802">
        <f>STDEV(L$2:L995)*SQRT(252)</f>
        <v>0.24406284011559098</v>
      </c>
      <c r="X995" s="801">
        <f t="shared" ref="X995" si="2293">E995/(A995/365.25)/V995</f>
        <v>0.62455901271748127</v>
      </c>
      <c r="Y995" s="801">
        <f t="shared" ref="Y995" si="2294">O995/W995</f>
        <v>0.34997155762356658</v>
      </c>
      <c r="Z995" s="807">
        <f t="shared" ref="Z995" si="2295">-(E995-N995)</f>
        <v>-2.2228181415878623E-2</v>
      </c>
    </row>
    <row r="996" spans="1:26" ht="20.100000000000001" customHeight="1" x14ac:dyDescent="0.2">
      <c r="A996" s="776">
        <f t="shared" ref="A996" si="2296">B996-$B$2</f>
        <v>1515</v>
      </c>
      <c r="B996" s="795">
        <v>43748</v>
      </c>
      <c r="C996" s="820">
        <v>2938.13</v>
      </c>
      <c r="D996" s="792">
        <f t="shared" ref="D996" si="2297">(C996-C995)/C995</f>
        <v>1.557866065688239E-2</v>
      </c>
      <c r="E996" s="819">
        <f t="shared" ref="E996" si="2298">(C996-$C$2)/$C$2</f>
        <v>0.39748577842887312</v>
      </c>
      <c r="F996" s="816">
        <v>7950.78</v>
      </c>
      <c r="G996" s="792">
        <f t="shared" ref="G996" si="2299">(F996-F995)/F995</f>
        <v>1.6233861680494097E-2</v>
      </c>
      <c r="H996" s="797">
        <f t="shared" ref="H996" si="2300">(F996-F$2)/F$2</f>
        <v>0.56151776420448962</v>
      </c>
      <c r="I996" s="841">
        <v>276088.21000000002</v>
      </c>
      <c r="J996" s="800">
        <v>200000</v>
      </c>
      <c r="K996" s="800">
        <f t="shared" ref="K996" si="2301">I996-I995-J996+J995</f>
        <v>5324.0900000000256</v>
      </c>
      <c r="L996" s="792">
        <f t="shared" ref="L996" si="2302">K996/I995</f>
        <v>1.9663203529330348E-2</v>
      </c>
      <c r="M996" s="817">
        <f t="shared" ref="M996" si="2303">I996-J996</f>
        <v>76088.210000000021</v>
      </c>
      <c r="N996" s="802">
        <f t="shared" ref="N996" si="2304">M996/J996</f>
        <v>0.38044105000000011</v>
      </c>
      <c r="O996" s="786">
        <f t="shared" ref="O996" si="2305">N996/(A996/365.25)</f>
        <v>9.1720193737623787E-2</v>
      </c>
      <c r="P996" s="817" t="b">
        <f t="shared" ref="P996" si="2306">L996&gt;D996</f>
        <v>1</v>
      </c>
      <c r="Q996" s="802">
        <f>COUNTIF(P$2:P996, TRUE)/(COUNTIF(P$2:P996,FALSE) + COUNTIF(P$2:P996, TRUE))</f>
        <v>0.48241206030150752</v>
      </c>
      <c r="R996" s="844">
        <v>223968.88</v>
      </c>
      <c r="S996" s="846">
        <f t="shared" ref="S996" si="2307">I996-R996</f>
        <v>52119.330000000016</v>
      </c>
      <c r="T996" s="800"/>
      <c r="U996" s="800"/>
      <c r="V996" s="802">
        <f>STDEV(D$2:D996)*SQRT(252)</f>
        <v>0.14548097820936073</v>
      </c>
      <c r="W996" s="802">
        <f>STDEV(L$2:L996)*SQRT(252)</f>
        <v>0.24413350706786341</v>
      </c>
      <c r="X996" s="801">
        <f t="shared" ref="X996" si="2308">E996/(A996/365.25)/V996</f>
        <v>0.65870805452147363</v>
      </c>
      <c r="Y996" s="801">
        <f t="shared" ref="Y996" si="2309">O996/W996</f>
        <v>0.37569686701026139</v>
      </c>
      <c r="Z996" s="807">
        <f t="shared" ref="Z996" si="2310">-(E996-N996)</f>
        <v>-1.7044728428873002E-2</v>
      </c>
    </row>
    <row r="997" spans="1:26" ht="20.100000000000001" customHeight="1" x14ac:dyDescent="0.2">
      <c r="A997" s="776">
        <f t="shared" ref="A997" si="2311">B997-$B$2</f>
        <v>1516</v>
      </c>
      <c r="B997" s="795">
        <v>43749</v>
      </c>
      <c r="C997" s="820">
        <v>2970.27</v>
      </c>
      <c r="D997" s="792">
        <f t="shared" ref="D997" si="2312">(C997-C996)/C996</f>
        <v>1.0938930544257699E-2</v>
      </c>
      <c r="E997" s="819">
        <f t="shared" ref="E997" si="2313">(C997-$C$2)/$C$2</f>
        <v>0.41277277829569448</v>
      </c>
      <c r="F997" s="816">
        <v>8057.03</v>
      </c>
      <c r="G997" s="792">
        <f t="shared" ref="G997" si="2314">(F997-F996)/F996</f>
        <v>1.3363468741431659E-2</v>
      </c>
      <c r="H997" s="797">
        <f t="shared" ref="H997" si="2315">(F997-F$2)/F$2</f>
        <v>0.58238505803562657</v>
      </c>
      <c r="I997" s="841">
        <v>282417.59999999998</v>
      </c>
      <c r="J997" s="800">
        <v>200000</v>
      </c>
      <c r="K997" s="800">
        <f t="shared" ref="K997" si="2316">I997-I996-J997+J996</f>
        <v>6329.3899999999558</v>
      </c>
      <c r="L997" s="792">
        <f t="shared" ref="L997" si="2317">K997/I996</f>
        <v>2.2925245522074107E-2</v>
      </c>
      <c r="M997" s="817">
        <f t="shared" ref="M997" si="2318">I997-J997</f>
        <v>82417.599999999977</v>
      </c>
      <c r="N997" s="802">
        <f t="shared" ref="N997" si="2319">M997/J997</f>
        <v>0.4120879999999999</v>
      </c>
      <c r="O997" s="786">
        <f t="shared" ref="O997" si="2320">N997/(A997/365.25)</f>
        <v>9.9284394459102879E-2</v>
      </c>
      <c r="P997" s="817" t="b">
        <f t="shared" ref="P997" si="2321">L997&gt;D997</f>
        <v>1</v>
      </c>
      <c r="Q997" s="802">
        <f>COUNTIF(P$2:P997, TRUE)/(COUNTIF(P$2:P997,FALSE) + COUNTIF(P$2:P997, TRUE))</f>
        <v>0.48293172690763053</v>
      </c>
      <c r="R997" s="844">
        <v>219391.12</v>
      </c>
      <c r="S997" s="846">
        <f t="shared" ref="S997" si="2322">I997-R997</f>
        <v>63026.479999999981</v>
      </c>
      <c r="T997" s="800"/>
      <c r="U997" s="800"/>
      <c r="V997" s="802">
        <f>STDEV(D$2:D997)*SQRT(252)</f>
        <v>0.14550486671093901</v>
      </c>
      <c r="W997" s="802">
        <f>STDEV(L$2:L997)*SQRT(252)</f>
        <v>0.24427437668979674</v>
      </c>
      <c r="X997" s="801">
        <f t="shared" ref="X997" si="2323">E997/(A997/365.25)/V997</f>
        <v>0.68347801964353183</v>
      </c>
      <c r="Y997" s="801">
        <f t="shared" ref="Y997" si="2324">O997/W997</f>
        <v>0.40644620939994791</v>
      </c>
      <c r="Z997" s="807">
        <f t="shared" ref="Z997" si="2325">-(E997-N997)</f>
        <v>-6.8477829569457693E-4</v>
      </c>
    </row>
    <row r="998" spans="1:26" ht="20.100000000000001" customHeight="1" x14ac:dyDescent="0.2">
      <c r="A998" s="776">
        <f t="shared" ref="A998" si="2326">B998-$B$2</f>
        <v>1519</v>
      </c>
      <c r="B998" s="795">
        <v>43752</v>
      </c>
      <c r="C998" s="820">
        <v>2966.15</v>
      </c>
      <c r="D998" s="792">
        <f t="shared" ref="D998" si="2327">(C998-C997)/C997</f>
        <v>-1.3870792890881606E-3</v>
      </c>
      <c r="E998" s="819">
        <f t="shared" ref="E998" si="2328">(C998-$C$2)/$C$2</f>
        <v>0.41081315043473299</v>
      </c>
      <c r="F998" s="816">
        <v>8048.64</v>
      </c>
      <c r="G998" s="792">
        <f t="shared" ref="G998" si="2329">(F998-F997)/F997</f>
        <v>-1.0413266426958095E-3</v>
      </c>
      <c r="H998" s="797">
        <f t="shared" ref="H998" si="2330">(F998-F$2)/F$2</f>
        <v>0.58073727831569033</v>
      </c>
      <c r="I998" s="841">
        <v>281724.02</v>
      </c>
      <c r="J998" s="800">
        <v>200000</v>
      </c>
      <c r="K998" s="800">
        <f t="shared" ref="K998" si="2331">I998-I997-J998+J997</f>
        <v>-693.57999999995809</v>
      </c>
      <c r="L998" s="792">
        <f t="shared" ref="L998" si="2332">K998/I997</f>
        <v>-2.4558667731754613E-3</v>
      </c>
      <c r="M998" s="817">
        <f t="shared" ref="M998" si="2333">I998-J998</f>
        <v>81724.020000000019</v>
      </c>
      <c r="N998" s="802">
        <f t="shared" ref="N998" si="2334">M998/J998</f>
        <v>0.4086201000000001</v>
      </c>
      <c r="O998" s="786">
        <f t="shared" ref="O998" si="2335">N998/(A998/365.25)</f>
        <v>9.8254438133640584E-2</v>
      </c>
      <c r="P998" s="817" t="b">
        <f t="shared" ref="P998" si="2336">L998&gt;D998</f>
        <v>0</v>
      </c>
      <c r="Q998" s="802">
        <f>COUNTIF(P$2:P998, TRUE)/(COUNTIF(P$2:P998,FALSE) + COUNTIF(P$2:P998, TRUE))</f>
        <v>0.48244734202607825</v>
      </c>
      <c r="R998" s="844">
        <v>218697.54</v>
      </c>
      <c r="S998" s="846">
        <f t="shared" ref="S998" si="2337">I998-R998</f>
        <v>63026.48000000001</v>
      </c>
      <c r="T998" s="800"/>
      <c r="U998" s="800"/>
      <c r="V998" s="802">
        <f>STDEV(D$2:D998)*SQRT(252)</f>
        <v>0.14543447531099926</v>
      </c>
      <c r="W998" s="802">
        <f>STDEV(L$2:L998)*SQRT(252)</f>
        <v>0.24415582080387374</v>
      </c>
      <c r="X998" s="801">
        <f t="shared" ref="X998" si="2338">E998/(A998/365.25)/V998</f>
        <v>0.67921836422621595</v>
      </c>
      <c r="Y998" s="801">
        <f t="shared" ref="Y998" si="2339">O998/W998</f>
        <v>0.40242513084530029</v>
      </c>
      <c r="Z998" s="807">
        <f t="shared" ref="Z998" si="2340">-(E998-N998)</f>
        <v>-2.1930504347328905E-3</v>
      </c>
    </row>
    <row r="999" spans="1:26" ht="20.100000000000001" customHeight="1" x14ac:dyDescent="0.2">
      <c r="A999" s="776">
        <f t="shared" ref="A999" si="2341">B999-$B$2</f>
        <v>1520</v>
      </c>
      <c r="B999" s="795">
        <v>43753</v>
      </c>
      <c r="C999" s="820">
        <v>2995.68</v>
      </c>
      <c r="D999" s="792">
        <f t="shared" ref="D999" si="2342">(C999-C998)/C998</f>
        <v>9.9556664362893798E-3</v>
      </c>
      <c r="E999" s="819">
        <f t="shared" ref="E999" si="2343">(C999-$C$2)/$C$2</f>
        <v>0.42485873556439174</v>
      </c>
      <c r="F999" s="816">
        <v>8148.7</v>
      </c>
      <c r="G999" s="792">
        <f t="shared" ref="G999" si="2344">(F999-F998)/F998</f>
        <v>1.2431913963104262E-2</v>
      </c>
      <c r="H999" s="797">
        <f t="shared" ref="H999" si="2345">(F999-F$2)/F$2</f>
        <v>0.60038886815798265</v>
      </c>
      <c r="I999" s="841">
        <v>284007.53999999998</v>
      </c>
      <c r="J999" s="800">
        <v>200000</v>
      </c>
      <c r="K999" s="800">
        <f t="shared" ref="K999" si="2346">I999-I998-J999+J998</f>
        <v>2283.5199999999604</v>
      </c>
      <c r="L999" s="792">
        <f t="shared" ref="L999" si="2347">K999/I998</f>
        <v>8.1055211408667255E-3</v>
      </c>
      <c r="M999" s="817">
        <f t="shared" ref="M999" si="2348">I999-J999</f>
        <v>84007.539999999979</v>
      </c>
      <c r="N999" s="802">
        <f t="shared" ref="N999" si="2349">M999/J999</f>
        <v>0.4200376999999999</v>
      </c>
      <c r="O999" s="786">
        <f t="shared" ref="O999" si="2350">N999/(A999/365.25)</f>
        <v>0.10093340126644736</v>
      </c>
      <c r="P999" s="817" t="b">
        <f t="shared" ref="P999" si="2351">L999&gt;D999</f>
        <v>0</v>
      </c>
      <c r="Q999" s="802">
        <f>COUNTIF(P$2:P999, TRUE)/(COUNTIF(P$2:P999,FALSE) + COUNTIF(P$2:P999, TRUE))</f>
        <v>0.4819639278557114</v>
      </c>
      <c r="R999" s="844">
        <v>214455.2</v>
      </c>
      <c r="S999" s="846">
        <f t="shared" ref="S999" si="2352">I999-R999</f>
        <v>69552.339999999967</v>
      </c>
      <c r="T999" s="800"/>
      <c r="U999" s="800"/>
      <c r="V999" s="802">
        <f>STDEV(D$2:D999)*SQRT(252)</f>
        <v>0.14544101944097362</v>
      </c>
      <c r="W999" s="802">
        <f>STDEV(L$2:L999)*SQRT(252)</f>
        <v>0.24406399183134539</v>
      </c>
      <c r="X999" s="801">
        <f t="shared" ref="X999" si="2353">E999/(A999/365.25)/V999</f>
        <v>0.70194692992784302</v>
      </c>
      <c r="Y999" s="801">
        <f t="shared" ref="Y999" si="2354">O999/W999</f>
        <v>0.41355302152148271</v>
      </c>
      <c r="Z999" s="807">
        <f t="shared" ref="Z999" si="2355">-(E999-N999)</f>
        <v>-4.8210355643918401E-3</v>
      </c>
    </row>
    <row r="1000" spans="1:26" ht="20.100000000000001" customHeight="1" x14ac:dyDescent="0.2">
      <c r="A1000" s="776">
        <f t="shared" ref="A1000" si="2356">B1000-$B$2</f>
        <v>1521</v>
      </c>
      <c r="B1000" s="795">
        <v>43754</v>
      </c>
      <c r="C1000" s="820">
        <v>2989.69</v>
      </c>
      <c r="D1000" s="792">
        <f t="shared" ref="D1000" si="2357">(C1000-C999)/C999</f>
        <v>-1.9995460129252065E-3</v>
      </c>
      <c r="E1000" s="819">
        <f t="shared" ref="E1000" si="2358">(C1000-$C$2)/$C$2</f>
        <v>0.42200966496071229</v>
      </c>
      <c r="F1000" s="816">
        <v>8124.18</v>
      </c>
      <c r="G1000" s="792">
        <f t="shared" ref="G1000" si="2359">(F1000-F999)/F999</f>
        <v>-3.009068931240508E-3</v>
      </c>
      <c r="H1000" s="797">
        <f t="shared" ref="H1000" si="2360">(F1000-F$2)/F$2</f>
        <v>0.59557318773690526</v>
      </c>
      <c r="I1000" s="841">
        <v>282466.64</v>
      </c>
      <c r="J1000" s="800">
        <v>200000</v>
      </c>
      <c r="K1000" s="800">
        <f t="shared" ref="K1000" si="2361">I1000-I999-J1000+J999</f>
        <v>-1540.8999999999651</v>
      </c>
      <c r="L1000" s="792">
        <f t="shared" ref="L1000" si="2362">K1000/I999</f>
        <v>-5.4255601805500136E-3</v>
      </c>
      <c r="M1000" s="817">
        <f t="shared" ref="M1000" si="2363">I1000-J1000</f>
        <v>82466.640000000014</v>
      </c>
      <c r="N1000" s="802">
        <f t="shared" ref="N1000" si="2364">M1000/J1000</f>
        <v>0.41233320000000007</v>
      </c>
      <c r="O1000" s="786">
        <f t="shared" ref="O1000" si="2365">N1000/(A1000/365.25)</f>
        <v>9.9016897633136119E-2</v>
      </c>
      <c r="P1000" s="817" t="b">
        <f t="shared" ref="P1000" si="2366">L1000&gt;D1000</f>
        <v>0</v>
      </c>
      <c r="Q1000" s="802">
        <f>COUNTIF(P$2:P1000, TRUE)/(COUNTIF(P$2:P1000,FALSE) + COUNTIF(P$2:P1000, TRUE))</f>
        <v>0.48148148148148145</v>
      </c>
      <c r="R1000" s="844">
        <v>212914.3</v>
      </c>
      <c r="S1000" s="846">
        <f t="shared" ref="S1000" si="2367">I1000-R1000</f>
        <v>69552.340000000026</v>
      </c>
      <c r="T1000" s="800"/>
      <c r="U1000" s="800"/>
      <c r="V1000" s="802">
        <f>STDEV(D$2:D1000)*SQRT(252)</f>
        <v>0.14537305058699254</v>
      </c>
      <c r="W1000" s="802">
        <f>STDEV(L$2:L1000)*SQRT(252)</f>
        <v>0.24395915482883668</v>
      </c>
      <c r="X1000" s="801">
        <f t="shared" ref="X1000" si="2368">E1000/(A1000/365.25)/V1000</f>
        <v>0.69710709664267045</v>
      </c>
      <c r="Y1000" s="801">
        <f t="shared" ref="Y1000" si="2369">O1000/W1000</f>
        <v>0.40587490025781986</v>
      </c>
      <c r="Z1000" s="807">
        <f t="shared" ref="Z1000" si="2370">-(E1000-N1000)</f>
        <v>-9.6764649607122277E-3</v>
      </c>
    </row>
    <row r="1001" spans="1:26" ht="20.100000000000001" customHeight="1" x14ac:dyDescent="0.2">
      <c r="A1001" s="776">
        <f t="shared" ref="A1001" si="2371">B1001-$B$2</f>
        <v>1522</v>
      </c>
      <c r="B1001" s="795">
        <v>43755</v>
      </c>
      <c r="C1001" s="820">
        <v>2997.95</v>
      </c>
      <c r="D1001" s="792">
        <f t="shared" ref="D1001" si="2372">(C1001-C1000)/C1000</f>
        <v>2.7628282530963956E-3</v>
      </c>
      <c r="E1001" s="819">
        <f t="shared" ref="E1001" si="2373">(C1001-$C$2)/$C$2</f>
        <v>0.42593843343924193</v>
      </c>
      <c r="F1001" s="816">
        <v>8156.85</v>
      </c>
      <c r="G1001" s="792">
        <f t="shared" ref="G1001" si="2374">(F1001-F1000)/F1000</f>
        <v>4.0213289218111944E-3</v>
      </c>
      <c r="H1001" s="797">
        <f t="shared" ref="H1001" si="2375">(F1001-F$2)/F$2</f>
        <v>0.60198951234361819</v>
      </c>
      <c r="I1001" s="841">
        <v>284069.58</v>
      </c>
      <c r="J1001" s="800">
        <v>200000</v>
      </c>
      <c r="K1001" s="800">
        <f t="shared" ref="K1001" si="2376">I1001-I1000-J1001+J1000</f>
        <v>1602.9400000000023</v>
      </c>
      <c r="L1001" s="792">
        <f t="shared" ref="L1001" si="2377">K1001/I1000</f>
        <v>5.6747940216940384E-3</v>
      </c>
      <c r="M1001" s="817">
        <f t="shared" ref="M1001" si="2378">I1001-J1001</f>
        <v>84069.580000000016</v>
      </c>
      <c r="N1001" s="802">
        <f t="shared" ref="N1001" si="2379">M1001/J1001</f>
        <v>0.42034790000000011</v>
      </c>
      <c r="O1001" s="786">
        <f t="shared" ref="O1001" si="2380">N1001/(A1001/365.25)</f>
        <v>0.10087521056176087</v>
      </c>
      <c r="P1001" s="817" t="b">
        <f t="shared" ref="P1001" si="2381">L1001&gt;D1001</f>
        <v>1</v>
      </c>
      <c r="Q1001" s="802">
        <f>COUNTIF(P$2:P1001, TRUE)/(COUNTIF(P$2:P1001,FALSE) + COUNTIF(P$2:P1001, TRUE))</f>
        <v>0.48199999999999998</v>
      </c>
      <c r="R1001" s="844">
        <v>216490.23999999999</v>
      </c>
      <c r="S1001" s="846">
        <f t="shared" ref="S1001" si="2382">I1001-R1001</f>
        <v>67579.340000000026</v>
      </c>
      <c r="T1001" s="800"/>
      <c r="U1001" s="800"/>
      <c r="V1001" s="802">
        <f>STDEV(D$2:D1001)*SQRT(252)</f>
        <v>0.14530506780011945</v>
      </c>
      <c r="W1001" s="802">
        <f>STDEV(L$2:L1001)*SQRT(252)</f>
        <v>0.24385129698743901</v>
      </c>
      <c r="X1001" s="801">
        <f t="shared" ref="X1001" si="2383">E1001/(A1001/365.25)/V1001</f>
        <v>0.70346361582725092</v>
      </c>
      <c r="Y1001" s="801">
        <f t="shared" ref="Y1001" si="2384">O1001/W1001</f>
        <v>0.41367510367171445</v>
      </c>
      <c r="Z1001" s="807">
        <f t="shared" ref="Z1001" si="2385">-(E1001-N1001)</f>
        <v>-5.5905334392418182E-3</v>
      </c>
    </row>
    <row r="1002" spans="1:26" ht="20.100000000000001" customHeight="1" x14ac:dyDescent="0.2">
      <c r="A1002" s="776">
        <f t="shared" ref="A1002" si="2386">B1002-$B$2</f>
        <v>1523</v>
      </c>
      <c r="B1002" s="795">
        <v>43756</v>
      </c>
      <c r="C1002" s="820">
        <v>2986.2</v>
      </c>
      <c r="D1002" s="792">
        <f t="shared" ref="D1002" si="2387">(C1002-C1001)/C1001</f>
        <v>-3.9193448856718761E-3</v>
      </c>
      <c r="E1002" s="819">
        <f t="shared" ref="E1002" si="2388">(C1002-$C$2)/$C$2</f>
        <v>0.42034968893285884</v>
      </c>
      <c r="F1002" s="816">
        <v>8089.54</v>
      </c>
      <c r="G1002" s="792">
        <f t="shared" ref="G1002" si="2389">(F1002-F1001)/F1001</f>
        <v>-8.2519600090721779E-3</v>
      </c>
      <c r="H1002" s="797">
        <f t="shared" ref="H1002" si="2390">(F1002-F$2)/F$2</f>
        <v>0.58876995895280559</v>
      </c>
      <c r="I1002" s="841">
        <v>281072.06</v>
      </c>
      <c r="J1002" s="800">
        <v>200000</v>
      </c>
      <c r="K1002" s="800">
        <f t="shared" ref="K1002" si="2391">I1002-I1001-J1002+J1001</f>
        <v>-2997.5200000000186</v>
      </c>
      <c r="L1002" s="792">
        <f t="shared" ref="L1002" si="2392">K1002/I1001</f>
        <v>-1.0552062631979173E-2</v>
      </c>
      <c r="M1002" s="817">
        <f t="shared" ref="M1002" si="2393">I1002-J1002</f>
        <v>81072.06</v>
      </c>
      <c r="N1002" s="802">
        <f t="shared" ref="N1002" si="2394">M1002/J1002</f>
        <v>0.40536030000000001</v>
      </c>
      <c r="O1002" s="786">
        <f t="shared" ref="O1002" si="2395">N1002/(A1002/365.25)</f>
        <v>9.7214609044648723E-2</v>
      </c>
      <c r="P1002" s="817" t="b">
        <f t="shared" ref="P1002" si="2396">L1002&gt;D1002</f>
        <v>0</v>
      </c>
      <c r="Q1002" s="802">
        <f>COUNTIF(P$2:P1002, TRUE)/(COUNTIF(P$2:P1002,FALSE) + COUNTIF(P$2:P1002, TRUE))</f>
        <v>0.48151848151848153</v>
      </c>
      <c r="R1002" s="844">
        <v>213492.72</v>
      </c>
      <c r="S1002" s="846">
        <f t="shared" ref="S1002" si="2397">I1002-R1002</f>
        <v>67579.34</v>
      </c>
      <c r="T1002" s="800"/>
      <c r="U1002" s="800"/>
      <c r="V1002" s="802">
        <f>STDEV(D$2:D1002)*SQRT(252)</f>
        <v>0.14524848806498969</v>
      </c>
      <c r="W1002" s="802">
        <f>STDEV(L$2:L1002)*SQRT(252)</f>
        <v>0.24379126846775737</v>
      </c>
      <c r="X1002" s="801">
        <f t="shared" ref="X1002" si="2398">E1002/(A1002/365.25)/V1002</f>
        <v>0.69404787882792507</v>
      </c>
      <c r="Y1002" s="801">
        <f t="shared" ref="Y1002" si="2399">O1002/W1002</f>
        <v>0.39876165235797134</v>
      </c>
      <c r="Z1002" s="807">
        <f t="shared" ref="Z1002" si="2400">-(E1002-N1002)</f>
        <v>-1.4989388932858838E-2</v>
      </c>
    </row>
    <row r="1003" spans="1:26" ht="20.100000000000001" customHeight="1" x14ac:dyDescent="0.2">
      <c r="A1003" s="776">
        <f t="shared" ref="A1003" si="2401">B1003-$B$2</f>
        <v>1526</v>
      </c>
      <c r="B1003" s="795">
        <v>43759</v>
      </c>
      <c r="C1003" s="820">
        <v>3006.72</v>
      </c>
      <c r="D1003" s="792">
        <f t="shared" ref="D1003" si="2402">(C1003-C1002)/C1002</f>
        <v>6.8716094032549675E-3</v>
      </c>
      <c r="E1003" s="819">
        <f t="shared" ref="E1003" si="2403">(C1003-$C$2)/$C$2</f>
        <v>0.43010977721124016</v>
      </c>
      <c r="F1003" s="816">
        <v>8162.98</v>
      </c>
      <c r="G1003" s="792">
        <f t="shared" ref="G1003" si="2404">(F1003-F1002)/F1002</f>
        <v>9.0783901185975471E-3</v>
      </c>
      <c r="H1003" s="797">
        <f t="shared" ref="H1003" si="2405">(F1003-F$2)/F$2</f>
        <v>0.60319343244888735</v>
      </c>
      <c r="I1003" s="841">
        <v>284468.65999999997</v>
      </c>
      <c r="J1003" s="800">
        <v>200000</v>
      </c>
      <c r="K1003" s="800">
        <f t="shared" ref="K1003" si="2406">I1003-I1002-J1003+J1002</f>
        <v>3396.5999999999767</v>
      </c>
      <c r="L1003" s="792">
        <f t="shared" ref="L1003" si="2407">K1003/I1002</f>
        <v>1.2084445533291273E-2</v>
      </c>
      <c r="M1003" s="817">
        <f t="shared" ref="M1003" si="2408">I1003-J1003</f>
        <v>84468.659999999974</v>
      </c>
      <c r="N1003" s="802">
        <f t="shared" ref="N1003" si="2409">M1003/J1003</f>
        <v>0.42234329999999987</v>
      </c>
      <c r="O1003" s="786">
        <f t="shared" ref="O1003" si="2410">N1003/(A1003/365.25)</f>
        <v>0.10108839470838792</v>
      </c>
      <c r="P1003" s="817" t="b">
        <f t="shared" ref="P1003" si="2411">L1003&gt;D1003</f>
        <v>1</v>
      </c>
      <c r="Q1003" s="802">
        <f>COUNTIF(P$2:P1003, TRUE)/(COUNTIF(P$2:P1003,FALSE) + COUNTIF(P$2:P1003, TRUE))</f>
        <v>0.4820359281437126</v>
      </c>
      <c r="R1003" s="844">
        <v>216889.32</v>
      </c>
      <c r="S1003" s="846">
        <f t="shared" ref="S1003" si="2412">I1003-R1003</f>
        <v>67579.339999999967</v>
      </c>
      <c r="T1003" s="800"/>
      <c r="U1003" s="800"/>
      <c r="V1003" s="802">
        <f>STDEV(D$2:D1003)*SQRT(252)</f>
        <v>0.1452122351637983</v>
      </c>
      <c r="W1003" s="802">
        <f>STDEV(L$2:L1003)*SQRT(252)</f>
        <v>0.24373993898986673</v>
      </c>
      <c r="X1003" s="801">
        <f t="shared" ref="X1003" si="2413">E1003/(A1003/365.25)/V1003</f>
        <v>0.7089437786196201</v>
      </c>
      <c r="Y1003" s="801">
        <f t="shared" ref="Y1003" si="2414">O1003/W1003</f>
        <v>0.41473873804731926</v>
      </c>
      <c r="Z1003" s="807">
        <f t="shared" ref="Z1003" si="2415">-(E1003-N1003)</f>
        <v>-7.7664772112402969E-3</v>
      </c>
    </row>
    <row r="1004" spans="1:26" ht="20.100000000000001" customHeight="1" x14ac:dyDescent="0.2">
      <c r="A1004" s="776">
        <f t="shared" ref="A1004" si="2416">B1004-$B$2</f>
        <v>1527</v>
      </c>
      <c r="B1004" s="795">
        <v>43760</v>
      </c>
      <c r="C1004" s="820">
        <v>2995.99</v>
      </c>
      <c r="D1004" s="792">
        <f t="shared" ref="D1004" si="2417">(C1004-C1003)/C1003</f>
        <v>-3.5686728395061791E-3</v>
      </c>
      <c r="E1004" s="819">
        <f t="shared" ref="E1004" si="2418">(C1004-$C$2)/$C$2</f>
        <v>0.42500618329179418</v>
      </c>
      <c r="F1004" s="816">
        <v>8104.29</v>
      </c>
      <c r="G1004" s="792">
        <f t="shared" ref="G1004" si="2419">(F1004-F1003)/F1003</f>
        <v>-7.1897762826810306E-3</v>
      </c>
      <c r="H1004" s="797">
        <f t="shared" ref="H1004" si="2420">(F1004-F$2)/F$2</f>
        <v>0.59166683033171641</v>
      </c>
      <c r="I1004" s="841">
        <v>286274.18</v>
      </c>
      <c r="J1004" s="800">
        <v>200000</v>
      </c>
      <c r="K1004" s="800">
        <f t="shared" ref="K1004" si="2421">I1004-I1003-J1004+J1003</f>
        <v>1805.5200000000186</v>
      </c>
      <c r="L1004" s="792">
        <f t="shared" ref="L1004" si="2422">K1004/I1003</f>
        <v>6.3469909128127467E-3</v>
      </c>
      <c r="M1004" s="817">
        <f t="shared" ref="M1004" si="2423">I1004-J1004</f>
        <v>86274.18</v>
      </c>
      <c r="N1004" s="802">
        <f t="shared" ref="N1004" si="2424">M1004/J1004</f>
        <v>0.43137089999999995</v>
      </c>
      <c r="O1004" s="786">
        <f t="shared" ref="O1004" si="2425">N1004/(A1004/365.25)</f>
        <v>0.10318154631630648</v>
      </c>
      <c r="P1004" s="817" t="b">
        <f t="shared" ref="P1004" si="2426">L1004&gt;D1004</f>
        <v>1</v>
      </c>
      <c r="Q1004" s="802">
        <f>COUNTIF(P$2:P1004, TRUE)/(COUNTIF(P$2:P1004,FALSE) + COUNTIF(P$2:P1004, TRUE))</f>
        <v>0.48255234297108673</v>
      </c>
      <c r="R1004" s="844">
        <v>218694.84</v>
      </c>
      <c r="S1004" s="846">
        <f t="shared" ref="S1004" si="2427">I1004-R1004</f>
        <v>67579.34</v>
      </c>
      <c r="T1004" s="800"/>
      <c r="U1004" s="800"/>
      <c r="V1004" s="802">
        <f>STDEV(D$2:D1004)*SQRT(252)</f>
        <v>0.14515332396744546</v>
      </c>
      <c r="W1004" s="802">
        <f>STDEV(L$2:L1004)*SQRT(252)</f>
        <v>0.24363638412869537</v>
      </c>
      <c r="X1004" s="801">
        <f t="shared" ref="X1004" si="2428">E1004/(A1004/365.25)/V1004</f>
        <v>0.70035696264659797</v>
      </c>
      <c r="Y1004" s="801">
        <f t="shared" ref="Y1004" si="2429">O1004/W1004</f>
        <v>0.4235063111994109</v>
      </c>
      <c r="Z1004" s="807">
        <f t="shared" ref="Z1004" si="2430">-(E1004-N1004)</f>
        <v>6.3647167082057643E-3</v>
      </c>
    </row>
    <row r="1005" spans="1:26" ht="20.100000000000001" customHeight="1" x14ac:dyDescent="0.2">
      <c r="A1005" s="776">
        <f t="shared" ref="A1005" si="2431">B1005-$B$2</f>
        <v>1528</v>
      </c>
      <c r="B1005" s="795">
        <v>43761</v>
      </c>
      <c r="C1005" s="820">
        <v>3004.52</v>
      </c>
      <c r="D1005" s="792">
        <f t="shared" ref="D1005" si="2432">(C1005-C1004)/C1004</f>
        <v>2.847139009142287E-3</v>
      </c>
      <c r="E1005" s="819">
        <f t="shared" ref="E1005" si="2433">(C1005-$C$2)/$C$2</f>
        <v>0.42906337398451316</v>
      </c>
      <c r="F1005" s="816">
        <v>8119.79</v>
      </c>
      <c r="G1005" s="792">
        <f t="shared" ref="G1005" si="2434">(F1005-F1004)/F1004</f>
        <v>1.9125672946056964E-3</v>
      </c>
      <c r="H1005" s="797">
        <f t="shared" ref="H1005" si="2435">(F1005-F$2)/F$2</f>
        <v>0.59471100025531753</v>
      </c>
      <c r="I1005" s="841">
        <v>289534.26</v>
      </c>
      <c r="J1005" s="800">
        <v>200000</v>
      </c>
      <c r="K1005" s="800">
        <f t="shared" ref="K1005" si="2436">I1005-I1004-J1005+J1004</f>
        <v>3260.0800000000163</v>
      </c>
      <c r="L1005" s="792">
        <f t="shared" ref="L1005" si="2437">K1005/I1004</f>
        <v>1.1387963804489865E-2</v>
      </c>
      <c r="M1005" s="817">
        <f t="shared" ref="M1005" si="2438">I1005-J1005</f>
        <v>89534.260000000009</v>
      </c>
      <c r="N1005" s="802">
        <f t="shared" ref="N1005" si="2439">M1005/J1005</f>
        <v>0.44767130000000005</v>
      </c>
      <c r="O1005" s="786">
        <f t="shared" ref="O1005" si="2440">N1005/(A1005/365.25)</f>
        <v>0.10701043345876964</v>
      </c>
      <c r="P1005" s="817" t="b">
        <f t="shared" ref="P1005" si="2441">L1005&gt;D1005</f>
        <v>1</v>
      </c>
      <c r="Q1005" s="802">
        <f>COUNTIF(P$2:P1005, TRUE)/(COUNTIF(P$2:P1005,FALSE) + COUNTIF(P$2:P1005, TRUE))</f>
        <v>0.48306772908366535</v>
      </c>
      <c r="R1005" s="844">
        <v>225814.92</v>
      </c>
      <c r="S1005" s="846">
        <f t="shared" ref="S1005" si="2442">I1005-R1005</f>
        <v>63719.34</v>
      </c>
      <c r="T1005" s="800"/>
      <c r="U1005" s="800"/>
      <c r="V1005" s="802">
        <f>STDEV(D$2:D1005)*SQRT(252)</f>
        <v>0.14508607915355401</v>
      </c>
      <c r="W1005" s="802">
        <f>STDEV(L$2:L1005)*SQRT(252)</f>
        <v>0.24357693109177511</v>
      </c>
      <c r="X1005" s="801">
        <f t="shared" ref="X1005" si="2443">E1005/(A1005/365.25)/V1005</f>
        <v>0.70690746774348201</v>
      </c>
      <c r="Y1005" s="801">
        <f t="shared" ref="Y1005" si="2444">O1005/W1005</f>
        <v>0.43932909811746562</v>
      </c>
      <c r="Z1005" s="807">
        <f t="shared" ref="Z1005" si="2445">-(E1005-N1005)</f>
        <v>1.8607926015486886E-2</v>
      </c>
    </row>
    <row r="1006" spans="1:26" ht="20.100000000000001" customHeight="1" x14ac:dyDescent="0.2">
      <c r="A1006" s="776">
        <f t="shared" ref="A1006" si="2446">B1006-$B$2</f>
        <v>1529</v>
      </c>
      <c r="B1006" s="795">
        <v>43762</v>
      </c>
      <c r="C1006" s="820">
        <v>3010.29</v>
      </c>
      <c r="D1006" s="792">
        <f t="shared" ref="D1006" si="2447">(C1006-C1005)/C1005</f>
        <v>1.9204398705949643E-3</v>
      </c>
      <c r="E1006" s="819">
        <f t="shared" ref="E1006" si="2448">(C1006-$C$2)/$C$2</f>
        <v>0.43180780426552001</v>
      </c>
      <c r="F1006" s="816">
        <v>8185.79</v>
      </c>
      <c r="G1006" s="792">
        <f t="shared" ref="G1006" si="2449">(F1006-F1005)/F1005</f>
        <v>8.1282890321055096E-3</v>
      </c>
      <c r="H1006" s="797">
        <f t="shared" ref="H1006" si="2450">(F1006-F$2)/F$2</f>
        <v>0.60767327218807088</v>
      </c>
      <c r="I1006" s="841">
        <v>289008.84000000003</v>
      </c>
      <c r="J1006" s="800">
        <v>200000</v>
      </c>
      <c r="K1006" s="800">
        <f t="shared" ref="K1006" si="2451">I1006-I1005-J1006+J1005</f>
        <v>-525.4199999999837</v>
      </c>
      <c r="L1006" s="792">
        <f t="shared" ref="L1006" si="2452">K1006/I1005</f>
        <v>-1.8147075237313322E-3</v>
      </c>
      <c r="M1006" s="817">
        <f t="shared" ref="M1006" si="2453">I1006-J1006</f>
        <v>89008.840000000026</v>
      </c>
      <c r="N1006" s="802">
        <f t="shared" ref="N1006" si="2454">M1006/J1006</f>
        <v>0.44504420000000011</v>
      </c>
      <c r="O1006" s="786">
        <f t="shared" ref="O1006" si="2455">N1006/(A1006/365.25)</f>
        <v>0.10631288034663181</v>
      </c>
      <c r="P1006" s="817" t="b">
        <f t="shared" ref="P1006" si="2456">L1006&gt;D1006</f>
        <v>0</v>
      </c>
      <c r="Q1006" s="802">
        <f>COUNTIF(P$2:P1006, TRUE)/(COUNTIF(P$2:P1006,FALSE) + COUNTIF(P$2:P1006, TRUE))</f>
        <v>0.48258706467661694</v>
      </c>
      <c r="R1006" s="844">
        <v>225289.5</v>
      </c>
      <c r="S1006" s="846">
        <f t="shared" ref="S1006" si="2457">I1006-R1006</f>
        <v>63719.340000000026</v>
      </c>
      <c r="T1006" s="800"/>
      <c r="U1006" s="800"/>
      <c r="V1006" s="802">
        <f>STDEV(D$2:D1006)*SQRT(252)</f>
        <v>0.14501574153955024</v>
      </c>
      <c r="W1006" s="802">
        <f>STDEV(L$2:L1006)*SQRT(252)</f>
        <v>0.2434580552594445</v>
      </c>
      <c r="X1006" s="801">
        <f t="shared" ref="X1006" si="2458">E1006/(A1006/365.25)/V1006</f>
        <v>0.71130863152771484</v>
      </c>
      <c r="Y1006" s="801">
        <f t="shared" ref="Y1006" si="2459">O1006/W1006</f>
        <v>0.43667842591340011</v>
      </c>
      <c r="Z1006" s="807">
        <f t="shared" ref="Z1006" si="2460">-(E1006-N1006)</f>
        <v>1.32363957344801E-2</v>
      </c>
    </row>
    <row r="1007" spans="1:26" ht="20.100000000000001" customHeight="1" x14ac:dyDescent="0.2">
      <c r="A1007" s="776">
        <f t="shared" ref="A1007" si="2461">B1007-$B$2</f>
        <v>1530</v>
      </c>
      <c r="B1007" s="795">
        <v>43763</v>
      </c>
      <c r="C1007" s="820">
        <v>3022.55</v>
      </c>
      <c r="D1007" s="792">
        <f t="shared" ref="D1007" si="2462">(C1007-C1006)/C1006</f>
        <v>4.0726973148767125E-3</v>
      </c>
      <c r="E1007" s="819">
        <f t="shared" ref="E1007" si="2463">(C1007-$C$2)/$C$2</f>
        <v>0.4376391240653717</v>
      </c>
      <c r="F1007" s="816">
        <v>8243.11</v>
      </c>
      <c r="G1007" s="792">
        <f t="shared" ref="G1007" si="2464">(F1007-F1006)/F1006</f>
        <v>7.0023785120312907E-3</v>
      </c>
      <c r="H1007" s="797">
        <f t="shared" ref="H1007" si="2465">(F1007-F$2)/F$2</f>
        <v>0.61893080896360764</v>
      </c>
      <c r="I1007" s="841">
        <v>290735.03999999998</v>
      </c>
      <c r="J1007" s="800">
        <v>200000</v>
      </c>
      <c r="K1007" s="800">
        <f t="shared" ref="K1007" si="2466">I1007-I1006-J1007+J1006</f>
        <v>1726.1999999999534</v>
      </c>
      <c r="L1007" s="792">
        <f t="shared" ref="L1007" si="2467">K1007/I1006</f>
        <v>5.9728276823641565E-3</v>
      </c>
      <c r="M1007" s="817">
        <f t="shared" ref="M1007" si="2468">I1007-J1007</f>
        <v>90735.039999999979</v>
      </c>
      <c r="N1007" s="802">
        <f t="shared" ref="N1007" si="2469">M1007/J1007</f>
        <v>0.45367519999999989</v>
      </c>
      <c r="O1007" s="786">
        <f t="shared" ref="O1007" si="2470">N1007/(A1007/365.25)</f>
        <v>0.10830383450980388</v>
      </c>
      <c r="P1007" s="817" t="b">
        <f t="shared" ref="P1007" si="2471">L1007&gt;D1007</f>
        <v>1</v>
      </c>
      <c r="Q1007" s="802">
        <f>COUNTIF(P$2:P1007, TRUE)/(COUNTIF(P$2:P1007,FALSE) + COUNTIF(P$2:P1007, TRUE))</f>
        <v>0.48310139165009941</v>
      </c>
      <c r="R1007" s="844">
        <v>226906.7</v>
      </c>
      <c r="S1007" s="846">
        <f t="shared" ref="S1007" si="2472">I1007-R1007</f>
        <v>63828.339999999967</v>
      </c>
      <c r="T1007" s="800"/>
      <c r="U1007" s="800"/>
      <c r="V1007" s="802">
        <f>STDEV(D$2:D1007)*SQRT(252)</f>
        <v>0.14495517606156794</v>
      </c>
      <c r="W1007" s="802">
        <f>STDEV(L$2:L1007)*SQRT(252)</f>
        <v>0.24335266879937589</v>
      </c>
      <c r="X1007" s="801">
        <f t="shared" ref="X1007" si="2473">E1007/(A1007/365.25)/V1007</f>
        <v>0.72074428288861869</v>
      </c>
      <c r="Y1007" s="801">
        <f t="shared" ref="Y1007" si="2474">O1007/W1007</f>
        <v>0.44504888746090315</v>
      </c>
      <c r="Z1007" s="807">
        <f t="shared" ref="Z1007" si="2475">-(E1007-N1007)</f>
        <v>1.6036075934628191E-2</v>
      </c>
    </row>
    <row r="1008" spans="1:26" ht="20.100000000000001" customHeight="1" x14ac:dyDescent="0.2">
      <c r="A1008" s="776">
        <f t="shared" ref="A1008" si="2476">B1008-$B$2</f>
        <v>1533</v>
      </c>
      <c r="B1008" s="795">
        <v>43766</v>
      </c>
      <c r="C1008" s="820">
        <v>3039.42</v>
      </c>
      <c r="D1008" s="792">
        <f t="shared" ref="D1008" si="2477">(C1008-C1007)/C1007</f>
        <v>5.5813799606292333E-3</v>
      </c>
      <c r="E1008" s="819">
        <f t="shared" ref="E1008" si="2478">(C1008-$C$2)/$C$2</f>
        <v>0.44566313426304677</v>
      </c>
      <c r="F1008" s="816">
        <v>8325.98</v>
      </c>
      <c r="G1008" s="792">
        <f t="shared" ref="G1008" si="2479">(F1008-F1007)/F1007</f>
        <v>1.0053244467197329E-2</v>
      </c>
      <c r="H1008" s="797">
        <f t="shared" ref="H1008" si="2480">(F1008-F$2)/F$2</f>
        <v>0.63520631616159628</v>
      </c>
      <c r="I1008" s="841">
        <v>291095.28000000003</v>
      </c>
      <c r="J1008" s="800">
        <v>200000</v>
      </c>
      <c r="K1008" s="800">
        <f t="shared" ref="K1008" si="2481">I1008-I1007-J1008+J1007</f>
        <v>360.24000000004889</v>
      </c>
      <c r="L1008" s="792">
        <f t="shared" ref="L1008" si="2482">K1008/I1007</f>
        <v>1.2390663333874338E-3</v>
      </c>
      <c r="M1008" s="817">
        <f t="shared" ref="M1008" si="2483">I1008-J1008</f>
        <v>91095.280000000028</v>
      </c>
      <c r="N1008" s="802">
        <f t="shared" ref="N1008" si="2484">M1008/J1008</f>
        <v>0.45547640000000011</v>
      </c>
      <c r="O1008" s="786">
        <f t="shared" ref="O1008" si="2485">N1008/(A1008/365.25)</f>
        <v>0.10852104050880629</v>
      </c>
      <c r="P1008" s="817" t="b">
        <f t="shared" ref="P1008" si="2486">L1008&gt;D1008</f>
        <v>0</v>
      </c>
      <c r="Q1008" s="802">
        <f>COUNTIF(P$2:P1008, TRUE)/(COUNTIF(P$2:P1008,FALSE) + COUNTIF(P$2:P1008, TRUE))</f>
        <v>0.4826216484607746</v>
      </c>
      <c r="R1008" s="844">
        <v>227266.94</v>
      </c>
      <c r="S1008" s="846">
        <f t="shared" ref="S1008" si="2487">I1008-R1008</f>
        <v>63828.340000000026</v>
      </c>
      <c r="T1008" s="800"/>
      <c r="U1008" s="800"/>
      <c r="V1008" s="802">
        <f>STDEV(D$2:D1008)*SQRT(252)</f>
        <v>0.1449062213385317</v>
      </c>
      <c r="W1008" s="802">
        <f>STDEV(L$2:L1008)*SQRT(252)</f>
        <v>0.24323190877918982</v>
      </c>
      <c r="X1008" s="801">
        <f t="shared" ref="X1008" si="2488">E1008/(A1008/365.25)/V1008</f>
        <v>0.73277011400173386</v>
      </c>
      <c r="Y1008" s="801">
        <f t="shared" ref="Y1008" si="2489">O1008/W1008</f>
        <v>0.44616284538277245</v>
      </c>
      <c r="Z1008" s="807">
        <f t="shared" ref="Z1008" si="2490">-(E1008-N1008)</f>
        <v>9.8132657369533471E-3</v>
      </c>
    </row>
    <row r="1009" spans="1:26" ht="20.100000000000001" customHeight="1" x14ac:dyDescent="0.2">
      <c r="A1009" s="776">
        <f t="shared" ref="A1009" si="2491">B1009-$B$2</f>
        <v>1534</v>
      </c>
      <c r="B1009" s="795">
        <v>43767</v>
      </c>
      <c r="C1009" s="820">
        <v>3036.89</v>
      </c>
      <c r="D1009" s="792">
        <f t="shared" ref="D1009:D1015" si="2492">(C1009-C1008)/C1008</f>
        <v>-8.3239565443413545E-4</v>
      </c>
      <c r="E1009" s="819">
        <f t="shared" ref="E1009" si="2493">(C1009-$C$2)/$C$2</f>
        <v>0.44445977055231056</v>
      </c>
      <c r="F1009" s="816">
        <v>8276.85</v>
      </c>
      <c r="G1009" s="792">
        <f t="shared" ref="G1009:G1015" si="2494">(F1009-F1008)/F1008</f>
        <v>-5.9008068719837428E-3</v>
      </c>
      <c r="H1009" s="797">
        <f t="shared" ref="H1009:H1014" si="2495">(F1009-F$2)/F$2</f>
        <v>0.62555727949407869</v>
      </c>
      <c r="I1009" s="841">
        <v>292366.2</v>
      </c>
      <c r="J1009" s="800">
        <v>200000</v>
      </c>
      <c r="K1009" s="800">
        <f t="shared" ref="K1009:K1014" si="2496">I1009-I1008-J1009+J1008</f>
        <v>1270.9199999999837</v>
      </c>
      <c r="L1009" s="792">
        <f t="shared" ref="L1009:L1014" si="2497">K1009/I1008</f>
        <v>4.3659931552307669E-3</v>
      </c>
      <c r="M1009" s="817">
        <f t="shared" ref="M1009" si="2498">I1009-J1009</f>
        <v>92366.200000000012</v>
      </c>
      <c r="N1009" s="802">
        <f t="shared" ref="N1009" si="2499">M1009/J1009</f>
        <v>0.46183100000000005</v>
      </c>
      <c r="O1009" s="786">
        <f t="shared" ref="O1009" si="2500">N1009/(A1009/365.25)</f>
        <v>0.10996334599087354</v>
      </c>
      <c r="P1009" s="817" t="b">
        <f t="shared" ref="P1009" si="2501">L1009&gt;D1009</f>
        <v>1</v>
      </c>
      <c r="Q1009" s="802">
        <f>COUNTIF(P$2:P1009, TRUE)/(COUNTIF(P$2:P1009,FALSE) + COUNTIF(P$2:P1009, TRUE))</f>
        <v>0.48313492063492064</v>
      </c>
      <c r="R1009" s="844">
        <v>228537.86</v>
      </c>
      <c r="S1009" s="846">
        <f t="shared" ref="S1009" si="2502">I1009-R1009</f>
        <v>63828.340000000026</v>
      </c>
      <c r="T1009" s="800"/>
      <c r="U1009" s="800"/>
      <c r="V1009" s="802">
        <f>STDEV(D$2:D1009)*SQRT(252)</f>
        <v>0.14483551183473128</v>
      </c>
      <c r="W1009" s="802">
        <f>STDEV(L$2:L1009)*SQRT(252)</f>
        <v>0.24311897763410198</v>
      </c>
      <c r="X1009" s="801">
        <f t="shared" ref="X1009" si="2503">E1009/(A1009/365.25)/V1009</f>
        <v>0.73067166213418544</v>
      </c>
      <c r="Y1009" s="801">
        <f t="shared" ref="Y1009" si="2504">O1009/W1009</f>
        <v>0.45230260122420457</v>
      </c>
      <c r="Z1009" s="807">
        <f t="shared" ref="Z1009" si="2505">-(E1009-N1009)</f>
        <v>1.7371229447689485E-2</v>
      </c>
    </row>
    <row r="1010" spans="1:26" ht="20.100000000000001" customHeight="1" x14ac:dyDescent="0.2">
      <c r="A1010" s="776">
        <f t="shared" ref="A1010" si="2506">B1010-$B$2</f>
        <v>1535</v>
      </c>
      <c r="B1010" s="795">
        <v>43768</v>
      </c>
      <c r="C1010" s="820">
        <v>3046.77</v>
      </c>
      <c r="D1010" s="792">
        <f t="shared" si="2492"/>
        <v>3.2533282404038702E-3</v>
      </c>
      <c r="E1010" s="819">
        <f t="shared" ref="E1010" si="2507">(C1010-$C$2)/$C$2</f>
        <v>0.44915907231597568</v>
      </c>
      <c r="F1010" s="816">
        <v>8303.9699999999993</v>
      </c>
      <c r="G1010" s="792">
        <f t="shared" si="2494"/>
        <v>3.2766088548178327E-3</v>
      </c>
      <c r="H1010" s="797">
        <f t="shared" si="2495"/>
        <v>0.63088359487008261</v>
      </c>
      <c r="I1010" s="841">
        <v>288015.74</v>
      </c>
      <c r="J1010" s="800">
        <v>200000</v>
      </c>
      <c r="K1010" s="800">
        <f t="shared" si="2496"/>
        <v>-4350.460000000021</v>
      </c>
      <c r="L1010" s="792">
        <f t="shared" si="2497"/>
        <v>-1.4880174247228376E-2</v>
      </c>
      <c r="M1010" s="817">
        <f t="shared" ref="M1010" si="2508">I1010-J1010</f>
        <v>88015.739999999991</v>
      </c>
      <c r="N1010" s="802">
        <f t="shared" ref="N1010" si="2509">M1010/J1010</f>
        <v>0.44007869999999993</v>
      </c>
      <c r="O1010" s="786">
        <f t="shared" ref="O1010" si="2510">N1010/(A1010/365.25)</f>
        <v>0.10471579490228011</v>
      </c>
      <c r="P1010" s="817" t="b">
        <f t="shared" ref="P1010" si="2511">L1010&gt;D1010</f>
        <v>0</v>
      </c>
      <c r="Q1010" s="802">
        <f>COUNTIF(P$2:P1010, TRUE)/(COUNTIF(P$2:P1010,FALSE) + COUNTIF(P$2:P1010, TRUE))</f>
        <v>0.48265609514370666</v>
      </c>
      <c r="R1010" s="844">
        <v>224187.4</v>
      </c>
      <c r="S1010" s="846">
        <f t="shared" ref="S1010" si="2512">I1010-R1010</f>
        <v>63828.34</v>
      </c>
      <c r="T1010" s="800"/>
      <c r="U1010" s="800"/>
      <c r="V1010" s="802">
        <f>STDEV(D$2:D1010)*SQRT(252)</f>
        <v>0.14477057567461529</v>
      </c>
      <c r="W1010" s="802">
        <f>STDEV(L$2:L1010)*SQRT(252)</f>
        <v>0.24311877959253259</v>
      </c>
      <c r="X1010" s="801">
        <f t="shared" ref="X1010" si="2513">E1010/(A1010/365.25)/V1010</f>
        <v>0.73824704896896209</v>
      </c>
      <c r="Y1010" s="801">
        <f t="shared" ref="Y1010" si="2514">O1010/W1010</f>
        <v>0.43071865973407703</v>
      </c>
      <c r="Z1010" s="807">
        <f t="shared" ref="Z1010" si="2515">-(E1010-N1010)</f>
        <v>-9.0803723159757488E-3</v>
      </c>
    </row>
    <row r="1011" spans="1:26" ht="20.100000000000001" customHeight="1" x14ac:dyDescent="0.2">
      <c r="A1011" s="776">
        <f t="shared" ref="A1011" si="2516">B1011-$B$2</f>
        <v>1536</v>
      </c>
      <c r="B1011" s="795">
        <v>43769</v>
      </c>
      <c r="C1011" s="820">
        <v>3037.56</v>
      </c>
      <c r="D1011" s="792">
        <f t="shared" si="2492"/>
        <v>-3.0228734036373064E-3</v>
      </c>
      <c r="E1011" s="819">
        <f t="shared" ref="E1011" si="2517">(C1011-$C$2)/$C$2</f>
        <v>0.44477844789863202</v>
      </c>
      <c r="F1011" s="816">
        <v>8292.36</v>
      </c>
      <c r="G1011" s="792">
        <f t="shared" si="2494"/>
        <v>-1.3981264383179086E-3</v>
      </c>
      <c r="H1011" s="797">
        <f t="shared" si="2495"/>
        <v>0.62860341339827575</v>
      </c>
      <c r="I1011" s="841">
        <v>290011.92</v>
      </c>
      <c r="J1011" s="800">
        <v>200000</v>
      </c>
      <c r="K1011" s="800">
        <f t="shared" si="2496"/>
        <v>1996.179999999993</v>
      </c>
      <c r="L1011" s="792">
        <f t="shared" si="2497"/>
        <v>6.9308017679866841E-3</v>
      </c>
      <c r="M1011" s="817">
        <f t="shared" ref="M1011" si="2518">I1011-J1011</f>
        <v>90011.919999999984</v>
      </c>
      <c r="N1011" s="802">
        <f t="shared" ref="N1011" si="2519">M1011/J1011</f>
        <v>0.45005959999999989</v>
      </c>
      <c r="O1011" s="786">
        <f t="shared" ref="O1011" si="2520">N1011/(A1011/365.25)</f>
        <v>0.10702100839843746</v>
      </c>
      <c r="P1011" s="817" t="b">
        <f t="shared" ref="P1011" si="2521">L1011&gt;D1011</f>
        <v>1</v>
      </c>
      <c r="Q1011" s="802">
        <f>COUNTIF(P$2:P1011, TRUE)/(COUNTIF(P$2:P1011,FALSE) + COUNTIF(P$2:P1011, TRUE))</f>
        <v>0.48316831683168315</v>
      </c>
      <c r="R1011" s="844">
        <v>226183.06</v>
      </c>
      <c r="S1011" s="846">
        <f t="shared" ref="S1011" si="2522">I1011-R1011</f>
        <v>63828.859999999986</v>
      </c>
      <c r="T1011" s="800"/>
      <c r="U1011" s="800"/>
      <c r="V1011" s="802">
        <f>STDEV(D$2:D1011)*SQRT(252)</f>
        <v>0.14470891503038755</v>
      </c>
      <c r="W1011" s="802">
        <f>STDEV(L$2:L1011)*SQRT(252)</f>
        <v>0.2430199737802837</v>
      </c>
      <c r="X1011" s="801">
        <f t="shared" ref="X1011" si="2523">E1011/(A1011/365.25)/V1011</f>
        <v>0.73088232013641441</v>
      </c>
      <c r="Y1011" s="801">
        <f t="shared" ref="Y1011" si="2524">O1011/W1011</f>
        <v>0.44037947471427191</v>
      </c>
      <c r="Z1011" s="807">
        <f t="shared" ref="Z1011" si="2525">-(E1011-N1011)</f>
        <v>5.2811521013678697E-3</v>
      </c>
    </row>
    <row r="1012" spans="1:26" ht="20.100000000000001" customHeight="1" x14ac:dyDescent="0.2">
      <c r="A1012" s="776">
        <f t="shared" ref="A1012" si="2526">B1012-$B$2</f>
        <v>1537</v>
      </c>
      <c r="B1012" s="795">
        <v>43770</v>
      </c>
      <c r="C1012" s="820">
        <v>3066.91</v>
      </c>
      <c r="D1012" s="792">
        <f t="shared" si="2492"/>
        <v>9.6623605788856547E-3</v>
      </c>
      <c r="E1012" s="819">
        <f t="shared" ref="E1012" si="2527">(C1012-$C$2)/$C$2</f>
        <v>0.45873841821883132</v>
      </c>
      <c r="F1012" s="816">
        <v>8386.39</v>
      </c>
      <c r="G1012" s="792">
        <f t="shared" si="2494"/>
        <v>1.1339353332464924E-2</v>
      </c>
      <c r="H1012" s="797">
        <f t="shared" si="2495"/>
        <v>0.64707072294125734</v>
      </c>
      <c r="I1012" s="841">
        <v>297254.08</v>
      </c>
      <c r="J1012" s="800">
        <v>200000</v>
      </c>
      <c r="K1012" s="800">
        <f t="shared" si="2496"/>
        <v>7242.1600000000326</v>
      </c>
      <c r="L1012" s="792">
        <f t="shared" si="2497"/>
        <v>2.4971939084434989E-2</v>
      </c>
      <c r="M1012" s="817">
        <f t="shared" ref="M1012" si="2528">I1012-J1012</f>
        <v>97254.080000000016</v>
      </c>
      <c r="N1012" s="802">
        <f t="shared" ref="N1012" si="2529">M1012/J1012</f>
        <v>0.4862704000000001</v>
      </c>
      <c r="O1012" s="786">
        <f t="shared" ref="O1012" si="2530">N1012/(A1012/365.25)</f>
        <v>0.11555644996746911</v>
      </c>
      <c r="P1012" s="817" t="b">
        <f t="shared" ref="P1012" si="2531">L1012&gt;D1012</f>
        <v>1</v>
      </c>
      <c r="Q1012" s="802">
        <f>COUNTIF(P$2:P1012, TRUE)/(COUNTIF(P$2:P1012,FALSE) + COUNTIF(P$2:P1012, TRUE))</f>
        <v>0.48367952522255192</v>
      </c>
      <c r="R1012" s="844">
        <v>228381.32</v>
      </c>
      <c r="S1012" s="846">
        <f t="shared" ref="S1012" si="2532">I1012-R1012</f>
        <v>68872.760000000009</v>
      </c>
      <c r="T1012" s="800"/>
      <c r="U1012" s="800"/>
      <c r="V1012" s="802">
        <f>STDEV(D$2:D1012)*SQRT(252)</f>
        <v>0.14471106573537257</v>
      </c>
      <c r="W1012" s="802">
        <f>STDEV(L$2:L1012)*SQRT(252)</f>
        <v>0.24320888614464095</v>
      </c>
      <c r="X1012" s="801">
        <f t="shared" ref="X1012" si="2533">E1012/(A1012/365.25)/V1012</f>
        <v>0.75332039930284023</v>
      </c>
      <c r="Y1012" s="801">
        <f t="shared" ref="Y1012" si="2534">O1012/W1012</f>
        <v>0.47513251591780037</v>
      </c>
      <c r="Z1012" s="807">
        <f t="shared" ref="Z1012" si="2535">-(E1012-N1012)</f>
        <v>2.7531981781168779E-2</v>
      </c>
    </row>
    <row r="1013" spans="1:26" ht="20.100000000000001" customHeight="1" x14ac:dyDescent="0.2">
      <c r="A1013" s="776">
        <f t="shared" ref="A1013" si="2536">B1013-$B$2</f>
        <v>1540</v>
      </c>
      <c r="B1013" s="795">
        <v>43773</v>
      </c>
      <c r="C1013" s="820">
        <v>3078.27</v>
      </c>
      <c r="D1013" s="792">
        <f t="shared" si="2492"/>
        <v>3.7040539174609389E-3</v>
      </c>
      <c r="E1013" s="819">
        <f t="shared" ref="E1013" si="2537">(C1013-$C$2)/$C$2</f>
        <v>0.46414166397138557</v>
      </c>
      <c r="F1013" s="816">
        <v>8433.2000000000007</v>
      </c>
      <c r="G1013" s="792">
        <f t="shared" si="2494"/>
        <v>5.5816626701120876E-3</v>
      </c>
      <c r="H1013" s="797">
        <f t="shared" si="2495"/>
        <v>0.65626411611053304</v>
      </c>
      <c r="I1013" s="841">
        <v>304485.95</v>
      </c>
      <c r="J1013" s="800">
        <v>200000</v>
      </c>
      <c r="K1013" s="800">
        <f t="shared" si="2496"/>
        <v>7231.8699999999953</v>
      </c>
      <c r="L1013" s="792">
        <f t="shared" si="2497"/>
        <v>2.4328917537481721E-2</v>
      </c>
      <c r="M1013" s="817">
        <f t="shared" ref="M1013" si="2538">I1013-J1013</f>
        <v>104485.95000000001</v>
      </c>
      <c r="N1013" s="802">
        <f t="shared" ref="N1013" si="2539">M1013/J1013</f>
        <v>0.52242975000000003</v>
      </c>
      <c r="O1013" s="786">
        <f t="shared" ref="O1013" si="2540">N1013/(A1013/365.25)</f>
        <v>0.12390744557629871</v>
      </c>
      <c r="P1013" s="817" t="b">
        <f t="shared" ref="P1013" si="2541">L1013&gt;D1013</f>
        <v>1</v>
      </c>
      <c r="Q1013" s="802">
        <f>COUNTIF(P$2:P1013, TRUE)/(COUNTIF(P$2:P1013,FALSE) + COUNTIF(P$2:P1013, TRUE))</f>
        <v>0.48418972332015808</v>
      </c>
      <c r="R1013" s="844">
        <v>212847.66</v>
      </c>
      <c r="S1013" s="846">
        <f t="shared" ref="S1013" si="2542">I1013-R1013</f>
        <v>91638.290000000008</v>
      </c>
      <c r="T1013" s="800"/>
      <c r="U1013" s="800"/>
      <c r="V1013" s="802">
        <f>STDEV(D$2:D1013)*SQRT(252)</f>
        <v>0.14464872729431574</v>
      </c>
      <c r="W1013" s="802">
        <f>STDEV(L$2:L1013)*SQRT(252)</f>
        <v>0.24338072805766311</v>
      </c>
      <c r="X1013" s="801">
        <f t="shared" ref="X1013" si="2543">E1013/(A1013/365.25)/V1013</f>
        <v>0.7610364218675344</v>
      </c>
      <c r="Y1013" s="801">
        <f t="shared" ref="Y1013" si="2544">O1013/W1013</f>
        <v>0.50910951974365803</v>
      </c>
      <c r="Z1013" s="807">
        <f t="shared" ref="Z1013" si="2545">-(E1013-N1013)</f>
        <v>5.8288086028614461E-2</v>
      </c>
    </row>
    <row r="1014" spans="1:26" ht="20.100000000000001" customHeight="1" x14ac:dyDescent="0.2">
      <c r="A1014" s="776">
        <f t="shared" ref="A1014" si="2546">B1014-$B$2</f>
        <v>1541</v>
      </c>
      <c r="B1014" s="795">
        <v>43774</v>
      </c>
      <c r="C1014" s="820">
        <v>3074.62</v>
      </c>
      <c r="D1014" s="792">
        <f t="shared" si="2492"/>
        <v>-1.1857309462782962E-3</v>
      </c>
      <c r="E1014" s="819">
        <f t="shared" ref="E1014" si="2547">(C1014-$C$2)/$C$2</f>
        <v>0.46240558589067932</v>
      </c>
      <c r="F1014" s="816">
        <v>8434.68</v>
      </c>
      <c r="G1014" s="792">
        <f t="shared" si="2494"/>
        <v>1.7549684579988182E-4</v>
      </c>
      <c r="H1014" s="797">
        <f t="shared" si="2495"/>
        <v>0.65655478523872191</v>
      </c>
      <c r="I1014" s="841">
        <v>305310.88</v>
      </c>
      <c r="J1014" s="800">
        <v>200000</v>
      </c>
      <c r="K1014" s="800">
        <f t="shared" si="2496"/>
        <v>824.92999999999302</v>
      </c>
      <c r="L1014" s="792">
        <f t="shared" si="2497"/>
        <v>2.7092547291590729E-3</v>
      </c>
      <c r="M1014" s="817">
        <f t="shared" ref="M1014" si="2548">I1014-J1014</f>
        <v>105310.88</v>
      </c>
      <c r="N1014" s="802">
        <f t="shared" ref="N1014" si="2549">M1014/J1014</f>
        <v>0.52655439999999998</v>
      </c>
      <c r="O1014" s="786">
        <f t="shared" ref="O1014" si="2550">N1014/(A1014/365.25)</f>
        <v>0.12480466878650226</v>
      </c>
      <c r="P1014" s="817" t="b">
        <f t="shared" ref="P1014" si="2551">L1014&gt;D1014</f>
        <v>1</v>
      </c>
      <c r="Q1014" s="802">
        <f>COUNTIF(P$2:P1014, TRUE)/(COUNTIF(P$2:P1014,FALSE) + COUNTIF(P$2:P1014, TRUE))</f>
        <v>0.48469891411648569</v>
      </c>
      <c r="R1014" s="844">
        <v>211325.64</v>
      </c>
      <c r="S1014" s="846">
        <f t="shared" ref="S1014" si="2552">I1014-R1014</f>
        <v>93985.239999999991</v>
      </c>
      <c r="T1014" s="800"/>
      <c r="U1014" s="800"/>
      <c r="V1014" s="802">
        <f>STDEV(D$2:D1014)*SQRT(252)</f>
        <v>0.14457938895028405</v>
      </c>
      <c r="W1014" s="802">
        <f>STDEV(L$2:L1014)*SQRT(252)</f>
        <v>0.24326290037797121</v>
      </c>
      <c r="X1014" s="801">
        <f t="shared" ref="X1014" si="2553">E1014/(A1014/365.25)/V1014</f>
        <v>0.75806120715356806</v>
      </c>
      <c r="Y1014" s="801">
        <f t="shared" ref="Y1014" si="2554">O1014/W1014</f>
        <v>0.51304440008150132</v>
      </c>
      <c r="Z1014" s="807">
        <f t="shared" ref="Z1014" si="2555">-(E1014-N1014)</f>
        <v>6.4148814109320662E-2</v>
      </c>
    </row>
    <row r="1015" spans="1:26" ht="20.100000000000001" customHeight="1" x14ac:dyDescent="0.2">
      <c r="A1015" s="776">
        <f t="shared" ref="A1015" si="2556">B1015-$B$2</f>
        <v>1543</v>
      </c>
      <c r="B1015" s="795">
        <v>43776</v>
      </c>
      <c r="C1015" s="820">
        <v>3085.18</v>
      </c>
      <c r="D1015" s="792">
        <f t="shared" si="2492"/>
        <v>3.4345707762259876E-3</v>
      </c>
      <c r="E1015" s="819">
        <f t="shared" ref="E1015" si="2557">(C1015-$C$2)/$C$2</f>
        <v>0.46742832137896906</v>
      </c>
      <c r="F1015" s="816">
        <v>8434.51</v>
      </c>
      <c r="G1015" s="792">
        <f t="shared" si="2494"/>
        <v>-2.0154884358395664E-5</v>
      </c>
      <c r="H1015" s="797">
        <f t="shared" ref="H1015" si="2558">(F1015-F$2)/F$2</f>
        <v>0.65652139756859207</v>
      </c>
      <c r="I1015" s="841">
        <v>304518.69</v>
      </c>
      <c r="J1015" s="800">
        <v>200000</v>
      </c>
      <c r="K1015" s="800">
        <f t="shared" ref="K1015" si="2559">I1015-I1014-J1015+J1014</f>
        <v>-792.19000000000233</v>
      </c>
      <c r="L1015" s="792">
        <f t="shared" ref="L1015" si="2560">K1015/I1014</f>
        <v>-2.5946995403504859E-3</v>
      </c>
      <c r="M1015" s="817">
        <f t="shared" ref="M1015" si="2561">I1015-J1015</f>
        <v>104518.69</v>
      </c>
      <c r="N1015" s="802">
        <f t="shared" ref="N1015" si="2562">M1015/J1015</f>
        <v>0.52259345000000001</v>
      </c>
      <c r="O1015" s="786">
        <f t="shared" ref="O1015" si="2563">N1015/(A1015/365.25)</f>
        <v>0.12370528685191187</v>
      </c>
      <c r="P1015" s="817" t="b">
        <f t="shared" ref="P1015" si="2564">L1015&gt;D1015</f>
        <v>0</v>
      </c>
      <c r="Q1015" s="802">
        <f>COUNTIF(P$2:P1015, TRUE)/(COUNTIF(P$2:P1015,FALSE) + COUNTIF(P$2:P1015, TRUE))</f>
        <v>0.48422090729783035</v>
      </c>
      <c r="R1015" s="844">
        <v>212599.5</v>
      </c>
      <c r="S1015" s="846">
        <f t="shared" ref="S1015" si="2565">I1015-R1015</f>
        <v>91919.19</v>
      </c>
      <c r="T1015" s="800"/>
      <c r="U1015" s="800"/>
      <c r="V1015" s="802">
        <f>STDEV(D$2:D1015)*SQRT(252)</f>
        <v>0.14451577561777501</v>
      </c>
      <c r="W1015" s="802">
        <f>STDEV(L$2:L1015)*SQRT(252)</f>
        <v>0.24314749040223338</v>
      </c>
      <c r="X1015" s="801">
        <f t="shared" ref="X1015" si="2566">E1015/(A1015/365.25)/V1015</f>
        <v>0.76563902777025239</v>
      </c>
      <c r="Y1015" s="801">
        <f t="shared" ref="Y1015" si="2567">O1015/W1015</f>
        <v>0.50876645548456623</v>
      </c>
      <c r="Z1015" s="807">
        <f t="shared" ref="Z1015" si="2568">-(E1015-N1015)</f>
        <v>5.5165128621030957E-2</v>
      </c>
    </row>
    <row r="1016" spans="1:26" ht="20.100000000000001" customHeight="1" x14ac:dyDescent="0.2">
      <c r="A1016" s="776">
        <f t="shared" ref="A1016" si="2569">B1016-$B$2</f>
        <v>1544</v>
      </c>
      <c r="B1016" s="795">
        <v>43777</v>
      </c>
      <c r="C1016" s="820">
        <v>3093.08</v>
      </c>
      <c r="D1016" s="792">
        <f t="shared" ref="D1016" si="2570">(C1016-C1015)/C1015</f>
        <v>2.5606285532773099E-3</v>
      </c>
      <c r="E1016" s="819">
        <f t="shared" ref="E1016" si="2571">(C1016-$C$2)/$C$2</f>
        <v>0.47118586023857989</v>
      </c>
      <c r="F1016" s="816">
        <v>8475.31</v>
      </c>
      <c r="G1016" s="792">
        <f t="shared" ref="G1016" si="2572">(F1016-F1015)/F1015</f>
        <v>4.8372697406250361E-3</v>
      </c>
      <c r="H1016" s="797">
        <f t="shared" ref="H1016" si="2573">(F1016-F$2)/F$2</f>
        <v>0.66453443839974857</v>
      </c>
      <c r="I1016" s="841">
        <v>306683.56</v>
      </c>
      <c r="J1016" s="800">
        <v>200000</v>
      </c>
      <c r="K1016" s="800">
        <f t="shared" ref="K1016" si="2574">I1016-I1015-J1016+J1015</f>
        <v>2164.8699999999953</v>
      </c>
      <c r="L1016" s="792">
        <f t="shared" ref="L1016" si="2575">K1016/I1015</f>
        <v>7.1091531360521591E-3</v>
      </c>
      <c r="M1016" s="817">
        <f t="shared" ref="M1016" si="2576">I1016-J1016</f>
        <v>106683.56</v>
      </c>
      <c r="N1016" s="802">
        <f t="shared" ref="N1016" si="2577">M1016/J1016</f>
        <v>0.53341779999999994</v>
      </c>
      <c r="O1016" s="786">
        <f t="shared" ref="O1016" si="2578">N1016/(A1016/365.25)</f>
        <v>0.12618578461787563</v>
      </c>
      <c r="P1016" s="817" t="b">
        <f t="shared" ref="P1016" si="2579">L1016&gt;D1016</f>
        <v>1</v>
      </c>
      <c r="Q1016" s="802">
        <f>COUNTIF(P$2:P1016, TRUE)/(COUNTIF(P$2:P1016,FALSE) + COUNTIF(P$2:P1016, TRUE))</f>
        <v>0.48472906403940885</v>
      </c>
      <c r="R1016" s="844">
        <v>214654.5</v>
      </c>
      <c r="S1016" s="846">
        <f t="shared" ref="S1016" si="2580">I1016-R1016</f>
        <v>92029.06</v>
      </c>
      <c r="T1016" s="800"/>
      <c r="U1016" s="800"/>
      <c r="V1016" s="802">
        <f>STDEV(D$2:D1016)*SQRT(252)</f>
        <v>0.1444483690066673</v>
      </c>
      <c r="W1016" s="802">
        <f>STDEV(L$2:L1016)*SQRT(252)</f>
        <v>0.24304999505301925</v>
      </c>
      <c r="X1016" s="801">
        <f t="shared" ref="X1016" si="2581">E1016/(A1016/365.25)/V1016</f>
        <v>0.77165386427499938</v>
      </c>
      <c r="Y1016" s="801">
        <f t="shared" ref="Y1016" si="2582">O1016/W1016</f>
        <v>0.51917624845188459</v>
      </c>
      <c r="Z1016" s="807">
        <f t="shared" ref="Z1016" si="2583">-(E1016-N1016)</f>
        <v>6.2231939761420052E-2</v>
      </c>
    </row>
    <row r="1017" spans="1:26" ht="20.100000000000001" customHeight="1" x14ac:dyDescent="0.2">
      <c r="A1017" s="776">
        <f t="shared" ref="A1017" si="2584">B1017-$B$2</f>
        <v>1547</v>
      </c>
      <c r="B1017" s="795">
        <v>43780</v>
      </c>
      <c r="C1017" s="820">
        <v>3087.01</v>
      </c>
      <c r="D1017" s="792">
        <f t="shared" ref="D1017" si="2585">(C1017-C1016)/C1016</f>
        <v>-1.9624452002533748E-3</v>
      </c>
      <c r="E1017" s="819">
        <f t="shared" ref="E1017" si="2586">(C1017-$C$2)/$C$2</f>
        <v>0.46829873860847404</v>
      </c>
      <c r="F1017" s="816">
        <v>8464.27</v>
      </c>
      <c r="G1017" s="792">
        <f t="shared" ref="G1017" si="2587">(F1017-F1016)/F1016</f>
        <v>-1.3026072202667579E-3</v>
      </c>
      <c r="H1017" s="797">
        <f t="shared" ref="H1017" si="2588">(F1017-F$2)/F$2</f>
        <v>0.66236620382190636</v>
      </c>
      <c r="I1017" s="841">
        <v>303671.92</v>
      </c>
      <c r="J1017" s="800">
        <v>200000</v>
      </c>
      <c r="K1017" s="800">
        <f t="shared" ref="K1017" si="2589">I1017-I1016-J1017+J1016</f>
        <v>-3011.640000000014</v>
      </c>
      <c r="L1017" s="792">
        <f t="shared" ref="L1017" si="2590">K1017/I1016</f>
        <v>-9.8200242621417789E-3</v>
      </c>
      <c r="M1017" s="817">
        <f t="shared" ref="M1017" si="2591">I1017-J1017</f>
        <v>103671.91999999998</v>
      </c>
      <c r="N1017" s="802">
        <f t="shared" ref="N1017" si="2592">M1017/J1017</f>
        <v>0.51835959999999992</v>
      </c>
      <c r="O1017" s="786">
        <f t="shared" ref="O1017" si="2593">N1017/(A1017/365.25)</f>
        <v>0.12238580730446023</v>
      </c>
      <c r="P1017" s="817" t="b">
        <f t="shared" ref="P1017" si="2594">L1017&gt;D1017</f>
        <v>0</v>
      </c>
      <c r="Q1017" s="802">
        <f>COUNTIF(P$2:P1017, TRUE)/(COUNTIF(P$2:P1017,FALSE) + COUNTIF(P$2:P1017, TRUE))</f>
        <v>0.48425196850393698</v>
      </c>
      <c r="R1017" s="844">
        <v>211642.86</v>
      </c>
      <c r="S1017" s="846">
        <f t="shared" ref="S1017" si="2595">I1017-R1017</f>
        <v>92029.06</v>
      </c>
      <c r="T1017" s="800"/>
      <c r="U1017" s="800"/>
      <c r="V1017" s="802">
        <f>STDEV(D$2:D1017)*SQRT(252)</f>
        <v>0.14438201373414047</v>
      </c>
      <c r="W1017" s="802">
        <f>STDEV(L$2:L1017)*SQRT(252)</f>
        <v>0.24298427060921535</v>
      </c>
      <c r="X1017" s="801">
        <f t="shared" ref="X1017" si="2596">E1017/(A1017/365.25)/V1017</f>
        <v>0.7657901997795834</v>
      </c>
      <c r="Y1017" s="801">
        <f t="shared" ref="Y1017" si="2597">O1017/W1017</f>
        <v>0.50367790062135265</v>
      </c>
      <c r="Z1017" s="807">
        <f t="shared" ref="Z1017" si="2598">-(E1017-N1017)</f>
        <v>5.0060861391525879E-2</v>
      </c>
    </row>
    <row r="1018" spans="1:26" ht="20.100000000000001" customHeight="1" x14ac:dyDescent="0.2">
      <c r="A1018" s="776">
        <f t="shared" ref="A1018" si="2599">B1018-$B$2</f>
        <v>1548</v>
      </c>
      <c r="B1018" s="795">
        <v>43781</v>
      </c>
      <c r="C1018" s="820">
        <v>3091.84</v>
      </c>
      <c r="D1018" s="792">
        <f t="shared" ref="D1018" si="2600">(C1018-C1017)/C1017</f>
        <v>1.5646207819216417E-3</v>
      </c>
      <c r="E1018" s="819">
        <f t="shared" ref="E1018" si="2601">(C1018-$C$2)/$C$2</f>
        <v>0.47059606932897019</v>
      </c>
      <c r="F1018" s="816">
        <v>8486.09</v>
      </c>
      <c r="G1018" s="792">
        <f t="shared" ref="G1018" si="2602">(F1018-F1017)/F1017</f>
        <v>2.5778950813241672E-3</v>
      </c>
      <c r="H1018" s="797">
        <f t="shared" ref="H1018" si="2603">(F1018-F$2)/F$2</f>
        <v>0.66665160948209845</v>
      </c>
      <c r="I1018" s="841">
        <v>304000.24</v>
      </c>
      <c r="J1018" s="800">
        <v>200000</v>
      </c>
      <c r="K1018" s="800">
        <f t="shared" ref="K1018" si="2604">I1018-I1017-J1018+J1017</f>
        <v>328.32000000000698</v>
      </c>
      <c r="L1018" s="792">
        <f t="shared" ref="L1018" si="2605">K1018/I1017</f>
        <v>1.0811668065984074E-3</v>
      </c>
      <c r="M1018" s="817">
        <f t="shared" ref="M1018" si="2606">I1018-J1018</f>
        <v>104000.23999999999</v>
      </c>
      <c r="N1018" s="802">
        <f t="shared" ref="N1018" si="2607">M1018/J1018</f>
        <v>0.52000119999999994</v>
      </c>
      <c r="O1018" s="786">
        <f t="shared" ref="O1018" si="2608">N1018/(A1018/365.25)</f>
        <v>0.12269408158914728</v>
      </c>
      <c r="P1018" s="817" t="b">
        <f t="shared" ref="P1018" si="2609">L1018&gt;D1018</f>
        <v>0</v>
      </c>
      <c r="Q1018" s="802">
        <f>COUNTIF(P$2:P1018, TRUE)/(COUNTIF(P$2:P1018,FALSE) + COUNTIF(P$2:P1018, TRUE))</f>
        <v>0.48377581120943952</v>
      </c>
      <c r="R1018" s="844">
        <v>214373.18</v>
      </c>
      <c r="S1018" s="846">
        <f t="shared" ref="S1018" si="2610">I1018-R1018</f>
        <v>89627.06</v>
      </c>
      <c r="T1018" s="800"/>
      <c r="U1018" s="800"/>
      <c r="V1018" s="802">
        <f>STDEV(D$2:D1018)*SQRT(252)</f>
        <v>0.14431199825154808</v>
      </c>
      <c r="W1018" s="802">
        <f>STDEV(L$2:L1018)*SQRT(252)</f>
        <v>0.24286473848335483</v>
      </c>
      <c r="X1018" s="801">
        <f t="shared" ref="X1018" si="2611">E1018/(A1018/365.25)/V1018</f>
        <v>0.76942292742039653</v>
      </c>
      <c r="Y1018" s="801">
        <f t="shared" ref="Y1018" si="2612">O1018/W1018</f>
        <v>0.50519512365339259</v>
      </c>
      <c r="Z1018" s="807">
        <f t="shared" ref="Z1018" si="2613">-(E1018-N1018)</f>
        <v>4.9405130671029751E-2</v>
      </c>
    </row>
    <row r="1019" spans="1:26" ht="20.100000000000001" customHeight="1" x14ac:dyDescent="0.2">
      <c r="A1019" s="776">
        <f t="shared" ref="A1019" si="2614">B1019-$B$2</f>
        <v>1549</v>
      </c>
      <c r="B1019" s="795">
        <v>43782</v>
      </c>
      <c r="C1019" s="820">
        <v>3094.04</v>
      </c>
      <c r="D1019" s="792">
        <f t="shared" ref="D1019" si="2615">(C1019-C1018)/C1018</f>
        <v>7.1155040364307917E-4</v>
      </c>
      <c r="E1019" s="819">
        <f t="shared" ref="E1019" si="2616">(C1019-$C$2)/$C$2</f>
        <v>0.47164247255569713</v>
      </c>
      <c r="F1019" s="816">
        <v>8482.1</v>
      </c>
      <c r="G1019" s="792">
        <f t="shared" ref="G1019" si="2617">(F1019-F1018)/F1018</f>
        <v>-4.7018120241474953E-4</v>
      </c>
      <c r="H1019" s="797">
        <f t="shared" ref="H1019" si="2618">(F1019-F$2)/F$2</f>
        <v>0.66586798122434565</v>
      </c>
      <c r="I1019" s="841">
        <v>302012.73</v>
      </c>
      <c r="J1019" s="800">
        <v>200000</v>
      </c>
      <c r="K1019" s="800">
        <f t="shared" ref="K1019" si="2619">I1019-I1018-J1019+J1018</f>
        <v>-1987.5100000000093</v>
      </c>
      <c r="L1019" s="792">
        <f t="shared" ref="L1019" si="2620">K1019/I1018</f>
        <v>-6.5378566806394934E-3</v>
      </c>
      <c r="M1019" s="817">
        <f t="shared" ref="M1019" si="2621">I1019-J1019</f>
        <v>102012.72999999998</v>
      </c>
      <c r="N1019" s="802">
        <f t="shared" ref="N1019" si="2622">M1019/J1019</f>
        <v>0.51006364999999987</v>
      </c>
      <c r="O1019" s="786">
        <f t="shared" ref="O1019" si="2623">N1019/(A1019/365.25)</f>
        <v>0.12027162566978694</v>
      </c>
      <c r="P1019" s="817" t="b">
        <f t="shared" ref="P1019" si="2624">L1019&gt;D1019</f>
        <v>0</v>
      </c>
      <c r="Q1019" s="802">
        <f>COUNTIF(P$2:P1019, TRUE)/(COUNTIF(P$2:P1019,FALSE) + COUNTIF(P$2:P1019, TRUE))</f>
        <v>0.48330058939096265</v>
      </c>
      <c r="R1019" s="844">
        <v>209077.78</v>
      </c>
      <c r="S1019" s="846">
        <f t="shared" ref="S1019" si="2625">I1019-R1019</f>
        <v>92934.949999999983</v>
      </c>
      <c r="T1019" s="800"/>
      <c r="U1019" s="800"/>
      <c r="V1019" s="802">
        <f>STDEV(D$2:D1019)*SQRT(252)</f>
        <v>0.1442410336048105</v>
      </c>
      <c r="W1019" s="802">
        <f>STDEV(L$2:L1019)*SQRT(252)</f>
        <v>0.2427702192843158</v>
      </c>
      <c r="X1019" s="801">
        <f t="shared" ref="X1019" si="2626">E1019/(A1019/365.25)/V1019</f>
        <v>0.77101510870564638</v>
      </c>
      <c r="Y1019" s="801">
        <f t="shared" ref="Y1019" si="2627">O1019/W1019</f>
        <v>0.49541342436624436</v>
      </c>
      <c r="Z1019" s="807">
        <f t="shared" ref="Z1019" si="2628">-(E1019-N1019)</f>
        <v>3.8421177444302734E-2</v>
      </c>
    </row>
    <row r="1020" spans="1:26" ht="20.100000000000001" customHeight="1" x14ac:dyDescent="0.2">
      <c r="A1020" s="776">
        <f t="shared" ref="A1020" si="2629">B1020-$B$2</f>
        <v>1550</v>
      </c>
      <c r="B1020" s="795">
        <v>43783</v>
      </c>
      <c r="C1020" s="820">
        <v>3096.63</v>
      </c>
      <c r="D1020" s="792">
        <f t="shared" ref="D1020" si="2630">(C1020-C1019)/C1019</f>
        <v>8.3709325024891265E-4</v>
      </c>
      <c r="E1020" s="819">
        <f t="shared" ref="E1020" si="2631">(C1020-$C$2)/$C$2</f>
        <v>0.47287437453625314</v>
      </c>
      <c r="F1020" s="816">
        <v>8479.01</v>
      </c>
      <c r="G1020" s="792">
        <f t="shared" ref="G1020" si="2632">(F1020-F1019)/F1019</f>
        <v>-3.6429657749851397E-4</v>
      </c>
      <c r="H1020" s="797">
        <f t="shared" ref="H1020" si="2633">(F1020-F$2)/F$2</f>
        <v>0.66526111122022125</v>
      </c>
      <c r="I1020" s="841">
        <v>300551.93</v>
      </c>
      <c r="J1020" s="800">
        <v>200000</v>
      </c>
      <c r="K1020" s="800">
        <f t="shared" ref="K1020" si="2634">I1020-I1019-J1020+J1019</f>
        <v>-1460.7999999999884</v>
      </c>
      <c r="L1020" s="792">
        <f t="shared" ref="L1020" si="2635">K1020/I1019</f>
        <v>-4.8368822069188551E-3</v>
      </c>
      <c r="M1020" s="817">
        <f t="shared" ref="M1020" si="2636">I1020-J1020</f>
        <v>100551.93</v>
      </c>
      <c r="N1020" s="802">
        <f t="shared" ref="N1020" si="2637">M1020/J1020</f>
        <v>0.50275965</v>
      </c>
      <c r="O1020" s="786">
        <f t="shared" ref="O1020" si="2638">N1020/(A1020/365.25)</f>
        <v>0.11847287881451614</v>
      </c>
      <c r="P1020" s="817" t="b">
        <f t="shared" ref="P1020" si="2639">L1020&gt;D1020</f>
        <v>0</v>
      </c>
      <c r="Q1020" s="802">
        <f>COUNTIF(P$2:P1020, TRUE)/(COUNTIF(P$2:P1020,FALSE) + COUNTIF(P$2:P1020, TRUE))</f>
        <v>0.48282630029440626</v>
      </c>
      <c r="R1020" s="844">
        <v>208774.52</v>
      </c>
      <c r="S1020" s="846">
        <f t="shared" ref="S1020" si="2640">I1020-R1020</f>
        <v>91777.41</v>
      </c>
      <c r="T1020" s="800"/>
      <c r="U1020" s="800"/>
      <c r="V1020" s="802">
        <f>STDEV(D$2:D1020)*SQRT(252)</f>
        <v>0.1441702496497817</v>
      </c>
      <c r="W1020" s="802">
        <f>STDEV(L$2:L1020)*SQRT(252)</f>
        <v>0.24266513632328315</v>
      </c>
      <c r="X1020" s="801">
        <f t="shared" ref="X1020" si="2641">E1020/(A1020/365.25)/V1020</f>
        <v>0.7729095186305277</v>
      </c>
      <c r="Y1020" s="801">
        <f t="shared" ref="Y1020" si="2642">O1020/W1020</f>
        <v>0.48821549155987654</v>
      </c>
      <c r="Z1020" s="807">
        <f t="shared" ref="Z1020" si="2643">-(E1020-N1020)</f>
        <v>2.9885275463746863E-2</v>
      </c>
    </row>
    <row r="1021" spans="1:26" ht="20.100000000000001" customHeight="1" x14ac:dyDescent="0.2">
      <c r="A1021" s="776">
        <f t="shared" ref="A1021" si="2644">B1021-$B$2</f>
        <v>1551</v>
      </c>
      <c r="B1021" s="795">
        <v>43784</v>
      </c>
      <c r="C1021" s="820">
        <v>3120.46</v>
      </c>
      <c r="D1021" s="792">
        <f t="shared" ref="D1021" si="2645">(C1021-C1020)/C1020</f>
        <v>7.6954624866386774E-3</v>
      </c>
      <c r="E1021" s="819">
        <f t="shared" ref="E1021" si="2646">(C1021-$C$2)/$C$2</f>
        <v>0.48420882403302828</v>
      </c>
      <c r="F1021" s="816">
        <v>8540.82</v>
      </c>
      <c r="G1021" s="792">
        <f t="shared" ref="G1021" si="2647">(F1021-F1020)/F1020</f>
        <v>7.2897661401507352E-3</v>
      </c>
      <c r="H1021" s="797">
        <f t="shared" ref="H1021" si="2648">(F1021-F$2)/F$2</f>
        <v>0.67740047528330416</v>
      </c>
      <c r="I1021" s="841">
        <v>303684.33</v>
      </c>
      <c r="J1021" s="800">
        <v>200000</v>
      </c>
      <c r="K1021" s="800">
        <f t="shared" ref="K1021" si="2649">I1021-I1020-J1021+J1020</f>
        <v>3132.4000000000233</v>
      </c>
      <c r="L1021" s="792">
        <f t="shared" ref="L1021" si="2650">K1021/I1020</f>
        <v>1.0422158992624081E-2</v>
      </c>
      <c r="M1021" s="817">
        <f t="shared" ref="M1021" si="2651">I1021-J1021</f>
        <v>103684.33000000002</v>
      </c>
      <c r="N1021" s="802">
        <f t="shared" ref="N1021" si="2652">M1021/J1021</f>
        <v>0.51842165000000007</v>
      </c>
      <c r="O1021" s="786">
        <f t="shared" ref="O1021" si="2653">N1021/(A1021/365.25)</f>
        <v>0.12208478895067701</v>
      </c>
      <c r="P1021" s="817" t="b">
        <f t="shared" ref="P1021" si="2654">L1021&gt;D1021</f>
        <v>1</v>
      </c>
      <c r="Q1021" s="802">
        <f>COUNTIF(P$2:P1021, TRUE)/(COUNTIF(P$2:P1021,FALSE) + COUNTIF(P$2:P1021, TRUE))</f>
        <v>0.48333333333333334</v>
      </c>
      <c r="R1021" s="844">
        <v>211906.92</v>
      </c>
      <c r="S1021" s="846">
        <f t="shared" ref="S1021" si="2655">I1021-R1021</f>
        <v>91777.41</v>
      </c>
      <c r="T1021" s="800"/>
      <c r="U1021" s="800"/>
      <c r="V1021" s="802">
        <f>STDEV(D$2:D1021)*SQRT(252)</f>
        <v>0.14414481453303532</v>
      </c>
      <c r="W1021" s="802">
        <f>STDEV(L$2:L1021)*SQRT(252)</f>
        <v>0.24259657861165004</v>
      </c>
      <c r="X1021" s="801">
        <f t="shared" ref="X1021" si="2656">E1021/(A1021/365.25)/V1021</f>
        <v>0.7910648774964989</v>
      </c>
      <c r="Y1021" s="801">
        <f t="shared" ref="Y1021" si="2657">O1021/W1021</f>
        <v>0.50324200633559235</v>
      </c>
      <c r="Z1021" s="807">
        <f t="shared" ref="Z1021" si="2658">-(E1021-N1021)</f>
        <v>3.4212825966971783E-2</v>
      </c>
    </row>
    <row r="1022" spans="1:26" ht="20.100000000000001" customHeight="1" x14ac:dyDescent="0.2">
      <c r="A1022" s="776">
        <f t="shared" ref="A1022" si="2659">B1022-$B$2</f>
        <v>1554</v>
      </c>
      <c r="B1022" s="795">
        <v>43787</v>
      </c>
      <c r="C1022" s="820">
        <v>3122.03</v>
      </c>
      <c r="D1022" s="792">
        <f t="shared" ref="D1022" si="2660">(C1022-C1021)/C1021</f>
        <v>5.0313094864223981E-4</v>
      </c>
      <c r="E1022" s="819">
        <f t="shared" ref="E1022" si="2661">(C1022-$C$2)/$C$2</f>
        <v>0.48495557542664719</v>
      </c>
      <c r="F1022" s="816">
        <v>8549.93</v>
      </c>
      <c r="G1022" s="792">
        <f t="shared" ref="G1022" si="2662">(F1022-F1021)/F1021</f>
        <v>1.066642313033243E-3</v>
      </c>
      <c r="H1022" s="797">
        <f t="shared" ref="H1022" si="2663">(F1022-F$2)/F$2</f>
        <v>0.67918966160614347</v>
      </c>
      <c r="I1022" s="841">
        <v>299076.23</v>
      </c>
      <c r="J1022" s="800">
        <v>200000</v>
      </c>
      <c r="K1022" s="800">
        <f t="shared" ref="K1022" si="2664">I1022-I1021-J1022+J1021</f>
        <v>-4608.1000000000349</v>
      </c>
      <c r="L1022" s="792">
        <f t="shared" ref="L1022" si="2665">K1022/I1021</f>
        <v>-1.517398016552265E-2</v>
      </c>
      <c r="M1022" s="817">
        <f t="shared" ref="M1022" si="2666">I1022-J1022</f>
        <v>99076.229999999981</v>
      </c>
      <c r="N1022" s="802">
        <f t="shared" ref="N1022" si="2667">M1022/J1022</f>
        <v>0.49538114999999988</v>
      </c>
      <c r="O1022" s="786">
        <f t="shared" ref="O1022" si="2668">N1022/(A1022/365.25)</f>
        <v>0.11643369693532815</v>
      </c>
      <c r="P1022" s="817" t="b">
        <f t="shared" ref="P1022" si="2669">L1022&gt;D1022</f>
        <v>0</v>
      </c>
      <c r="Q1022" s="802">
        <f>COUNTIF(P$2:P1022, TRUE)/(COUNTIF(P$2:P1022,FALSE) + COUNTIF(P$2:P1022, TRUE))</f>
        <v>0.48285994123408421</v>
      </c>
      <c r="R1022" s="844">
        <v>216589.32</v>
      </c>
      <c r="S1022" s="846">
        <f t="shared" ref="S1022" si="2670">I1022-R1022</f>
        <v>82486.909999999974</v>
      </c>
      <c r="T1022" s="800"/>
      <c r="U1022" s="800"/>
      <c r="V1022" s="802">
        <f>STDEV(D$2:D1022)*SQRT(252)</f>
        <v>0.14407407334327912</v>
      </c>
      <c r="W1022" s="802">
        <f>STDEV(L$2:L1022)*SQRT(252)</f>
        <v>0.24260204839394928</v>
      </c>
      <c r="X1022" s="801">
        <f t="shared" ref="X1022" si="2671">E1022/(A1022/365.25)/V1022</f>
        <v>0.79114362309428399</v>
      </c>
      <c r="Y1022" s="801">
        <f t="shared" ref="Y1022" si="2672">O1022/W1022</f>
        <v>0.4799369902526846</v>
      </c>
      <c r="Z1022" s="807">
        <f t="shared" ref="Z1022" si="2673">-(E1022-N1022)</f>
        <v>1.0425574573352692E-2</v>
      </c>
    </row>
    <row r="1023" spans="1:26" ht="20.100000000000001" customHeight="1" x14ac:dyDescent="0.2">
      <c r="A1023" s="776">
        <f t="shared" ref="A1023" si="2674">B1023-$B$2</f>
        <v>1555</v>
      </c>
      <c r="B1023" s="795">
        <v>43788</v>
      </c>
      <c r="C1023" s="820">
        <v>3120.18</v>
      </c>
      <c r="D1023" s="792">
        <f t="shared" ref="D1023" si="2675">(C1023-C1022)/C1022</f>
        <v>-5.9256317203882204E-4</v>
      </c>
      <c r="E1023" s="819">
        <f t="shared" ref="E1023" si="2676">(C1023-$C$2)/$C$2</f>
        <v>0.48407564544053566</v>
      </c>
      <c r="F1023" s="816">
        <v>8570.65</v>
      </c>
      <c r="G1023" s="792">
        <f t="shared" ref="G1023" si="2677">(F1023-F1022)/F1022</f>
        <v>2.4234116536625849E-3</v>
      </c>
      <c r="H1023" s="797">
        <f t="shared" ref="H1023" si="2678">(F1023-F$2)/F$2</f>
        <v>0.68325902940078953</v>
      </c>
      <c r="I1023" s="841">
        <v>296508.21000000002</v>
      </c>
      <c r="J1023" s="800">
        <v>200000</v>
      </c>
      <c r="K1023" s="800">
        <f t="shared" ref="K1023" si="2679">I1023-I1022-J1023+J1022</f>
        <v>-2568.0199999999604</v>
      </c>
      <c r="L1023" s="792">
        <f t="shared" ref="L1023" si="2680">K1023/I1022</f>
        <v>-8.5865065237714158E-3</v>
      </c>
      <c r="M1023" s="817">
        <f t="shared" ref="M1023" si="2681">I1023-J1023</f>
        <v>96508.210000000021</v>
      </c>
      <c r="N1023" s="802">
        <f t="shared" ref="N1023" si="2682">M1023/J1023</f>
        <v>0.48254105000000008</v>
      </c>
      <c r="O1023" s="786">
        <f t="shared" ref="O1023" si="2683">N1023/(A1023/365.25)</f>
        <v>0.11334284148713827</v>
      </c>
      <c r="P1023" s="817" t="b">
        <f t="shared" ref="P1023" si="2684">L1023&gt;D1023</f>
        <v>0</v>
      </c>
      <c r="Q1023" s="802">
        <f>COUNTIF(P$2:P1023, TRUE)/(COUNTIF(P$2:P1023,FALSE) + COUNTIF(P$2:P1023, TRUE))</f>
        <v>0.48238747553816047</v>
      </c>
      <c r="R1023" s="844">
        <v>214021.3</v>
      </c>
      <c r="S1023" s="846">
        <f t="shared" ref="S1023" si="2685">I1023-R1023</f>
        <v>82486.910000000033</v>
      </c>
      <c r="T1023" s="800"/>
      <c r="U1023" s="800"/>
      <c r="V1023" s="802">
        <f>STDEV(D$2:D1023)*SQRT(252)</f>
        <v>0.14400432561349985</v>
      </c>
      <c r="W1023" s="802">
        <f>STDEV(L$2:L1023)*SQRT(252)</f>
        <v>0.24252463066611843</v>
      </c>
      <c r="X1023" s="801">
        <f t="shared" ref="X1023" si="2686">E1023/(A1023/365.25)/V1023</f>
        <v>0.78958252279984253</v>
      </c>
      <c r="Y1023" s="801">
        <f t="shared" ref="Y1023" si="2687">O1023/W1023</f>
        <v>0.46734569258318504</v>
      </c>
      <c r="Z1023" s="807">
        <f t="shared" ref="Z1023" si="2688">-(E1023-N1023)</f>
        <v>-1.5345954405355799E-3</v>
      </c>
    </row>
    <row r="1024" spans="1:26" ht="20.100000000000001" customHeight="1" x14ac:dyDescent="0.2">
      <c r="A1024" s="776">
        <f t="shared" ref="A1024:A1025" si="2689">B1024-$B$2</f>
        <v>1556</v>
      </c>
      <c r="B1024" s="795">
        <v>43789</v>
      </c>
      <c r="C1024" s="820">
        <v>3108.46</v>
      </c>
      <c r="D1024" s="792">
        <f t="shared" ref="D1024" si="2690">(C1024-C1023)/C1023</f>
        <v>-3.7561935529359844E-3</v>
      </c>
      <c r="E1024" s="819">
        <f t="shared" ref="E1024" si="2691">(C1024-$C$2)/$C$2</f>
        <v>0.47850117006906256</v>
      </c>
      <c r="F1024" s="816">
        <v>8526.73</v>
      </c>
      <c r="G1024" s="792">
        <f t="shared" ref="G1024" si="2692">(F1024-F1023)/F1023</f>
        <v>-5.1244654722804074E-3</v>
      </c>
      <c r="H1024" s="797">
        <f t="shared" ref="H1024" si="2693">(F1024-F$2)/F$2</f>
        <v>0.67463322662372094</v>
      </c>
      <c r="I1024" s="841">
        <v>297016.03000000003</v>
      </c>
      <c r="J1024" s="800">
        <v>200000</v>
      </c>
      <c r="K1024" s="800">
        <f t="shared" ref="K1024" si="2694">I1024-I1023-J1024+J1023</f>
        <v>507.82000000000698</v>
      </c>
      <c r="L1024" s="792">
        <f t="shared" ref="L1024" si="2695">K1024/I1023</f>
        <v>1.7126675851572776E-3</v>
      </c>
      <c r="M1024" s="817">
        <f t="shared" ref="M1024" si="2696">I1024-J1024</f>
        <v>97016.030000000028</v>
      </c>
      <c r="N1024" s="802">
        <f t="shared" ref="N1024" si="2697">M1024/J1024</f>
        <v>0.48508015000000015</v>
      </c>
      <c r="O1024" s="786">
        <f t="shared" ref="O1024" si="2698">N1024/(A1024/365.25)</f>
        <v>0.11386601850096403</v>
      </c>
      <c r="P1024" s="817" t="b">
        <f t="shared" ref="P1024" si="2699">L1024&gt;D1024</f>
        <v>1</v>
      </c>
      <c r="Q1024" s="802">
        <f>COUNTIF(P$2:P1024, TRUE)/(COUNTIF(P$2:P1024,FALSE) + COUNTIF(P$2:P1024, TRUE))</f>
        <v>0.48289345063538613</v>
      </c>
      <c r="R1024" s="844">
        <v>218193.12</v>
      </c>
      <c r="S1024" s="846">
        <f t="shared" ref="S1024" si="2700">I1024-R1024</f>
        <v>78822.910000000033</v>
      </c>
      <c r="T1024" s="800"/>
      <c r="U1024" s="800"/>
      <c r="V1024" s="802">
        <f>STDEV(D$2:D1024)*SQRT(252)</f>
        <v>0.1439487816801294</v>
      </c>
      <c r="W1024" s="802">
        <f>STDEV(L$2:L1024)*SQRT(252)</f>
        <v>0.24240665867555655</v>
      </c>
      <c r="X1024" s="801">
        <f t="shared" ref="X1024" si="2701">E1024/(A1024/365.25)/V1024</f>
        <v>0.78028928374418827</v>
      </c>
      <c r="Y1024" s="801">
        <f t="shared" ref="Y1024" si="2702">O1024/W1024</f>
        <v>0.4697313973266935</v>
      </c>
      <c r="Z1024" s="807">
        <f t="shared" ref="Z1024" si="2703">-(E1024-N1024)</f>
        <v>6.5789799309375896E-3</v>
      </c>
    </row>
    <row r="1025" spans="1:26" ht="20.100000000000001" customHeight="1" x14ac:dyDescent="0.2">
      <c r="A1025" s="776">
        <f t="shared" si="2689"/>
        <v>1557</v>
      </c>
      <c r="B1025" s="795">
        <v>43790</v>
      </c>
      <c r="C1025" s="820">
        <v>3103.54</v>
      </c>
      <c r="D1025" s="792">
        <f t="shared" ref="D1025" si="2704">(C1025-C1024)/C1024</f>
        <v>-1.5827773238195353E-3</v>
      </c>
      <c r="E1025" s="819">
        <f t="shared" ref="E1025" si="2705">(C1025-$C$2)/$C$2</f>
        <v>0.47616103194383663</v>
      </c>
      <c r="F1025" s="816">
        <v>8506.2099999999991</v>
      </c>
      <c r="G1025" s="792">
        <f t="shared" ref="G1025" si="2706">(F1025-F1024)/F1024</f>
        <v>-2.4065497558853673E-3</v>
      </c>
      <c r="H1025" s="797">
        <f t="shared" ref="H1025" si="2707">(F1025-F$2)/F$2</f>
        <v>0.67060313844099206</v>
      </c>
      <c r="I1025" s="841">
        <v>297885.84999999998</v>
      </c>
      <c r="J1025" s="800">
        <v>200000</v>
      </c>
      <c r="K1025" s="800">
        <f t="shared" ref="K1025" si="2708">I1025-I1024-J1025+J1024</f>
        <v>869.81999999994878</v>
      </c>
      <c r="L1025" s="792">
        <f t="shared" ref="L1025" si="2709">K1025/I1024</f>
        <v>2.9285288070140482E-3</v>
      </c>
      <c r="M1025" s="817">
        <f t="shared" ref="M1025" si="2710">I1025-J1025</f>
        <v>97885.849999999977</v>
      </c>
      <c r="N1025" s="802">
        <f t="shared" ref="N1025" si="2711">M1025/J1025</f>
        <v>0.48942924999999987</v>
      </c>
      <c r="O1025" s="786">
        <f t="shared" ref="O1025" si="2712">N1025/(A1025/365.25)</f>
        <v>0.11481312367533715</v>
      </c>
      <c r="P1025" s="817" t="b">
        <f t="shared" ref="P1025" si="2713">L1025&gt;D1025</f>
        <v>1</v>
      </c>
      <c r="Q1025" s="802">
        <f>COUNTIF(P$2:P1025, TRUE)/(COUNTIF(P$2:P1025,FALSE) + COUNTIF(P$2:P1025, TRUE))</f>
        <v>0.4833984375</v>
      </c>
      <c r="R1025" s="844">
        <v>218194.12</v>
      </c>
      <c r="S1025" s="846">
        <f t="shared" ref="S1025" si="2714">I1025-R1025</f>
        <v>79691.729999999981</v>
      </c>
      <c r="T1025" s="800"/>
      <c r="U1025" s="800"/>
      <c r="V1025" s="802">
        <f>STDEV(D$2:D1025)*SQRT(252)</f>
        <v>0.143881786090789</v>
      </c>
      <c r="W1025" s="802">
        <f>STDEV(L$2:L1025)*SQRT(252)</f>
        <v>0.24229118328664698</v>
      </c>
      <c r="X1025" s="801">
        <f t="shared" ref="X1025" si="2715">E1025/(A1025/365.25)/V1025</f>
        <v>0.77633585136090055</v>
      </c>
      <c r="Y1025" s="801">
        <f t="shared" ref="Y1025" si="2716">O1025/W1025</f>
        <v>0.47386422451660326</v>
      </c>
      <c r="Z1025" s="807">
        <f t="shared" ref="Z1025" si="2717">-(E1025-N1025)</f>
        <v>1.3268218056163239E-2</v>
      </c>
    </row>
    <row r="1026" spans="1:26" ht="20.100000000000001" customHeight="1" x14ac:dyDescent="0.2">
      <c r="A1026" s="776">
        <f t="shared" ref="A1026" si="2718">B1026-$B$2</f>
        <v>1558</v>
      </c>
      <c r="B1026" s="795">
        <v>43791</v>
      </c>
      <c r="C1026" s="820">
        <v>3110.29</v>
      </c>
      <c r="D1026" s="792">
        <f t="shared" ref="D1026" si="2719">(C1026-C1025)/C1025</f>
        <v>2.1749357185665403E-3</v>
      </c>
      <c r="E1026" s="819">
        <f t="shared" ref="E1026" si="2720">(C1026-$C$2)/$C$2</f>
        <v>0.47937158729856733</v>
      </c>
      <c r="F1026" s="816">
        <v>8519.8799999999992</v>
      </c>
      <c r="G1026" s="792">
        <f t="shared" ref="G1026" si="2721">(F1026-F1025)/F1025</f>
        <v>1.607061194115837E-3</v>
      </c>
      <c r="H1026" s="797">
        <f t="shared" ref="H1026" si="2722">(F1026-F$2)/F$2</f>
        <v>0.67328789991554872</v>
      </c>
      <c r="I1026" s="841">
        <v>300725.86</v>
      </c>
      <c r="J1026" s="800">
        <v>200000</v>
      </c>
      <c r="K1026" s="800">
        <f t="shared" ref="K1026" si="2723">I1026-I1025-J1026+J1025</f>
        <v>2840.0100000000093</v>
      </c>
      <c r="L1026" s="792">
        <f t="shared" ref="L1026" si="2724">K1026/I1025</f>
        <v>9.5338868898942643E-3</v>
      </c>
      <c r="M1026" s="817">
        <f t="shared" ref="M1026" si="2725">I1026-J1026</f>
        <v>100725.85999999999</v>
      </c>
      <c r="N1026" s="802">
        <f t="shared" ref="N1026" si="2726">M1026/J1026</f>
        <v>0.50362929999999995</v>
      </c>
      <c r="O1026" s="786">
        <f t="shared" ref="O1026" si="2727">N1026/(A1026/365.25)</f>
        <v>0.11806842222400511</v>
      </c>
      <c r="P1026" s="817" t="b">
        <f t="shared" ref="P1026" si="2728">L1026&gt;D1026</f>
        <v>1</v>
      </c>
      <c r="Q1026" s="802">
        <f>COUNTIF(P$2:P1026, TRUE)/(COUNTIF(P$2:P1026,FALSE) + COUNTIF(P$2:P1026, TRUE))</f>
        <v>0.48390243902439023</v>
      </c>
      <c r="R1026" s="844">
        <v>221786.44</v>
      </c>
      <c r="S1026" s="846">
        <f t="shared" ref="S1026" si="2729">I1026-R1026</f>
        <v>78939.419999999984</v>
      </c>
      <c r="T1026" s="800"/>
      <c r="U1026" s="800"/>
      <c r="V1026" s="802">
        <f>STDEV(D$2:D1026)*SQRT(252)</f>
        <v>0.14381407504568225</v>
      </c>
      <c r="W1026" s="802">
        <f>STDEV(L$2:L1026)*SQRT(252)</f>
        <v>0.24221472452368475</v>
      </c>
      <c r="X1026" s="801">
        <f t="shared" ref="X1026" si="2730">E1026/(A1026/365.25)/V1026</f>
        <v>0.7814364561139594</v>
      </c>
      <c r="Y1026" s="801">
        <f t="shared" ref="Y1026" si="2731">O1026/W1026</f>
        <v>0.48745352891401073</v>
      </c>
      <c r="Z1026" s="807">
        <f t="shared" ref="Z1026" si="2732">-(E1026-N1026)</f>
        <v>2.4257712701432621E-2</v>
      </c>
    </row>
    <row r="1027" spans="1:26" ht="20.100000000000001" customHeight="1" x14ac:dyDescent="0.2">
      <c r="A1027" s="776">
        <f t="shared" ref="A1027" si="2733">B1027-$B$2</f>
        <v>1561</v>
      </c>
      <c r="B1027" s="795">
        <v>43794</v>
      </c>
      <c r="C1027" s="820">
        <v>3133.64</v>
      </c>
      <c r="D1027" s="792">
        <f t="shared" ref="D1027" si="2734">(C1027-C1026)/C1026</f>
        <v>7.5073385439942608E-3</v>
      </c>
      <c r="E1027" s="819">
        <f t="shared" ref="E1027" si="2735">(C1027-$C$2)/$C$2</f>
        <v>0.49047773063678385</v>
      </c>
      <c r="F1027" s="816">
        <v>8632.48</v>
      </c>
      <c r="G1027" s="792">
        <f t="shared" ref="G1027" si="2736">(F1027-F1026)/F1026</f>
        <v>1.3216148584252404E-2</v>
      </c>
      <c r="H1027" s="797">
        <f t="shared" ref="H1027" si="2737">(F1027-F$2)/F$2</f>
        <v>0.69540232142506431</v>
      </c>
      <c r="I1027" s="841">
        <v>302961.64</v>
      </c>
      <c r="J1027" s="800">
        <v>200000</v>
      </c>
      <c r="K1027" s="800">
        <f t="shared" ref="K1027" si="2738">I1027-I1026-J1027+J1026</f>
        <v>2235.7800000000279</v>
      </c>
      <c r="L1027" s="792">
        <f t="shared" ref="L1027" si="2739">K1027/I1026</f>
        <v>7.4346117091494161E-3</v>
      </c>
      <c r="M1027" s="817">
        <f t="shared" ref="M1027" si="2740">I1027-J1027</f>
        <v>102961.64000000001</v>
      </c>
      <c r="N1027" s="802">
        <f t="shared" ref="N1027:N1032" si="2741">M1027/J1027</f>
        <v>0.51480820000000005</v>
      </c>
      <c r="O1027" s="786">
        <f t="shared" ref="O1027:O1032" si="2742">N1027/(A1027/365.25)</f>
        <v>0.1204572037475977</v>
      </c>
      <c r="P1027" s="817" t="b">
        <f t="shared" ref="P1027" si="2743">L1027&gt;D1027</f>
        <v>0</v>
      </c>
      <c r="Q1027" s="802">
        <f>COUNTIF(P$2:P1027, TRUE)/(COUNTIF(P$2:P1027,FALSE) + COUNTIF(P$2:P1027, TRUE))</f>
        <v>0.48343079922027288</v>
      </c>
      <c r="R1027" s="844">
        <v>214475.32</v>
      </c>
      <c r="S1027" s="846">
        <f t="shared" ref="S1027" si="2744">I1027-R1027</f>
        <v>88486.32</v>
      </c>
      <c r="T1027" s="800"/>
      <c r="U1027" s="800"/>
      <c r="V1027" s="802">
        <f>STDEV(D$2:D1027)*SQRT(252)</f>
        <v>0.14378674286300017</v>
      </c>
      <c r="W1027" s="802">
        <f>STDEV(L$2:L1027)*SQRT(252)</f>
        <v>0.24212118660105708</v>
      </c>
      <c r="X1027" s="801">
        <f t="shared" ref="X1027" si="2745">E1027/(A1027/365.25)/V1027</f>
        <v>0.79815597534658589</v>
      </c>
      <c r="Y1027" s="801">
        <f t="shared" ref="Y1027" si="2746">O1027/W1027</f>
        <v>0.4975079027102034</v>
      </c>
      <c r="Z1027" s="807">
        <f t="shared" ref="Z1027" si="2747">-(E1027-N1027)</f>
        <v>2.4330469363216201E-2</v>
      </c>
    </row>
    <row r="1028" spans="1:26" ht="20.100000000000001" customHeight="1" x14ac:dyDescent="0.2">
      <c r="A1028" s="776">
        <f t="shared" ref="A1028" si="2748">B1028-$B$2</f>
        <v>1562</v>
      </c>
      <c r="B1028" s="795">
        <v>43795</v>
      </c>
      <c r="C1028" s="820">
        <v>3140.52</v>
      </c>
      <c r="D1028" s="792">
        <f t="shared" ref="D1028" si="2749">(C1028-C1027)/C1027</f>
        <v>2.1955297992111759E-3</v>
      </c>
      <c r="E1028" s="819">
        <f t="shared" ref="E1028" si="2750">(C1028-$C$2)/$C$2</f>
        <v>0.49375011890945752</v>
      </c>
      <c r="F1028" s="816">
        <v>8647.93</v>
      </c>
      <c r="G1028" s="792">
        <f t="shared" ref="G1028" si="2751">(F1028-F1027)/F1027</f>
        <v>1.7897521917225095E-3</v>
      </c>
      <c r="H1028" s="797">
        <f t="shared" ref="H1028" si="2752">(F1028-F$2)/F$2</f>
        <v>0.69843667144568622</v>
      </c>
      <c r="I1028" s="841">
        <v>299211.64</v>
      </c>
      <c r="J1028" s="800">
        <v>200000</v>
      </c>
      <c r="K1028" s="800">
        <f t="shared" ref="K1028" si="2753">I1028-I1027-J1028+J1027</f>
        <v>-3750</v>
      </c>
      <c r="L1028" s="792">
        <f t="shared" ref="L1028" si="2754">K1028/I1027</f>
        <v>-1.2377804662002754E-2</v>
      </c>
      <c r="M1028" s="817">
        <f t="shared" ref="M1028" si="2755">I1028-J1028</f>
        <v>99211.640000000014</v>
      </c>
      <c r="N1028" s="802">
        <f t="shared" si="2741"/>
        <v>0.49605820000000006</v>
      </c>
      <c r="O1028" s="786">
        <f t="shared" si="2742"/>
        <v>0.11599568345070424</v>
      </c>
      <c r="P1028" s="817" t="b">
        <f t="shared" ref="P1028" si="2756">L1028&gt;D1028</f>
        <v>0</v>
      </c>
      <c r="Q1028" s="802">
        <f>COUNTIF(P$2:P1028, TRUE)/(COUNTIF(P$2:P1028,FALSE) + COUNTIF(P$2:P1028, TRUE))</f>
        <v>0.48296007789678674</v>
      </c>
      <c r="R1028" s="844">
        <v>212800.32</v>
      </c>
      <c r="S1028" s="846">
        <f t="shared" ref="S1028" si="2757">I1028-R1028</f>
        <v>86411.32</v>
      </c>
      <c r="T1028" s="800"/>
      <c r="U1028" s="800"/>
      <c r="V1028" s="802">
        <f>STDEV(D$2:D1028)*SQRT(252)</f>
        <v>0.14371924806975861</v>
      </c>
      <c r="W1028" s="802">
        <f>STDEV(L$2:L1028)*SQRT(252)</f>
        <v>0.2420866461543712</v>
      </c>
      <c r="X1028" s="801">
        <f t="shared" ref="X1028" si="2758">E1028/(A1028/365.25)/V1028</f>
        <v>0.8033438475257062</v>
      </c>
      <c r="Y1028" s="801">
        <f t="shared" ref="Y1028" si="2759">O1028/W1028</f>
        <v>0.47914945038619505</v>
      </c>
      <c r="Z1028" s="807">
        <f t="shared" ref="Z1028" si="2760">-(E1028-N1028)</f>
        <v>2.3080810905425353E-3</v>
      </c>
    </row>
    <row r="1029" spans="1:26" ht="20.100000000000001" customHeight="1" x14ac:dyDescent="0.2">
      <c r="A1029" s="776">
        <f t="shared" ref="A1029" si="2761">B1029-$B$2</f>
        <v>1563</v>
      </c>
      <c r="B1029" s="795">
        <v>43796</v>
      </c>
      <c r="C1029" s="820">
        <v>3153.63</v>
      </c>
      <c r="D1029" s="792">
        <f t="shared" ref="D1029" si="2762">(C1029-C1028)/C1028</f>
        <v>4.1744679225096887E-3</v>
      </c>
      <c r="E1029" s="819">
        <f t="shared" ref="E1029" si="2763">(C1029-$C$2)/$C$2</f>
        <v>0.49998573086509007</v>
      </c>
      <c r="F1029" s="816">
        <v>8705.17</v>
      </c>
      <c r="G1029" s="792">
        <f t="shared" ref="G1029" si="2764">(F1029-F1028)/F1028</f>
        <v>6.6189249912984704E-3</v>
      </c>
      <c r="H1029" s="797">
        <f t="shared" ref="H1029" si="2765">(F1029-F$2)/F$2</f>
        <v>0.70967849637645586</v>
      </c>
      <c r="I1029" s="841">
        <v>301307.12</v>
      </c>
      <c r="J1029" s="800">
        <v>200000</v>
      </c>
      <c r="K1029" s="800">
        <f t="shared" ref="K1029" si="2766">I1029-I1028-J1029+J1028</f>
        <v>2095.4799999999814</v>
      </c>
      <c r="L1029" s="792">
        <f t="shared" ref="L1029" si="2767">K1029/I1028</f>
        <v>7.0033371696367874E-3</v>
      </c>
      <c r="M1029" s="817">
        <f t="shared" ref="M1029" si="2768">I1029-J1029</f>
        <v>101307.12</v>
      </c>
      <c r="N1029" s="802">
        <f t="shared" si="2741"/>
        <v>0.50653559999999997</v>
      </c>
      <c r="O1029" s="786">
        <f t="shared" si="2742"/>
        <v>0.11836988349328215</v>
      </c>
      <c r="P1029" s="817" t="b">
        <f t="shared" ref="P1029" si="2769">L1029&gt;D1029</f>
        <v>1</v>
      </c>
      <c r="Q1029" s="802">
        <f>COUNTIF(P$2:P1029, TRUE)/(COUNTIF(P$2:P1029,FALSE) + COUNTIF(P$2:P1029, TRUE))</f>
        <v>0.48346303501945526</v>
      </c>
      <c r="R1029" s="844">
        <v>214895.8</v>
      </c>
      <c r="S1029" s="846">
        <f t="shared" ref="S1029" si="2770">I1029-R1029</f>
        <v>86411.32</v>
      </c>
      <c r="T1029" s="800"/>
      <c r="U1029" s="800"/>
      <c r="V1029" s="802">
        <f>STDEV(D$2:D1029)*SQRT(252)</f>
        <v>0.14366115303441751</v>
      </c>
      <c r="W1029" s="802">
        <f>STDEV(L$2:L1029)*SQRT(252)</f>
        <v>0.24199044453178148</v>
      </c>
      <c r="X1029" s="801">
        <f t="shared" ref="X1029" si="2771">E1029/(A1029/365.25)/V1029</f>
        <v>0.81329763412625944</v>
      </c>
      <c r="Y1029" s="801">
        <f t="shared" ref="Y1029" si="2772">O1029/W1029</f>
        <v>0.48915106430054184</v>
      </c>
      <c r="Z1029" s="807">
        <f t="shared" ref="Z1029" si="2773">-(E1029-N1029)</f>
        <v>6.5498691349099025E-3</v>
      </c>
    </row>
    <row r="1030" spans="1:26" ht="20.100000000000001" customHeight="1" x14ac:dyDescent="0.2">
      <c r="A1030" s="776">
        <f t="shared" ref="A1030" si="2774">B1030-$B$2</f>
        <v>1564</v>
      </c>
      <c r="B1030" s="795">
        <v>43797</v>
      </c>
      <c r="C1030" s="820">
        <v>3140.98</v>
      </c>
      <c r="D1030" s="792">
        <f t="shared" ref="D1030" si="2775">(C1030-C1029)/C1029</f>
        <v>-4.0112505271703057E-3</v>
      </c>
      <c r="E1030" s="819">
        <f t="shared" ref="E1030" si="2776">(C1030-$C$2)/$C$2</f>
        <v>0.49396891231140955</v>
      </c>
      <c r="F1030" s="816">
        <v>8665.4699999999993</v>
      </c>
      <c r="G1030" s="792">
        <f t="shared" ref="G1030" si="2777">(F1030-F1029)/F1029</f>
        <v>-4.5605082956450852E-3</v>
      </c>
      <c r="H1030" s="797">
        <f t="shared" ref="H1030" si="2778">(F1030-F$2)/F$2</f>
        <v>0.70188149341084505</v>
      </c>
      <c r="I1030" s="841">
        <v>298919.11</v>
      </c>
      <c r="J1030" s="800">
        <v>200000</v>
      </c>
      <c r="K1030" s="800">
        <f t="shared" ref="K1030" si="2779">I1030-I1029-J1030+J1029</f>
        <v>-2388.0100000000093</v>
      </c>
      <c r="L1030" s="792">
        <f t="shared" ref="L1030" si="2780">K1030/I1029</f>
        <v>-7.9255013953869035E-3</v>
      </c>
      <c r="M1030" s="817">
        <f t="shared" ref="M1030" si="2781">I1030-J1030</f>
        <v>98919.109999999986</v>
      </c>
      <c r="N1030" s="802">
        <f t="shared" si="2741"/>
        <v>0.49459554999999994</v>
      </c>
      <c r="O1030" s="786">
        <f t="shared" si="2742"/>
        <v>0.11550577022858055</v>
      </c>
      <c r="P1030" s="817" t="b">
        <f t="shared" ref="P1030" si="2782">L1030&gt;D1030</f>
        <v>0</v>
      </c>
      <c r="Q1030" s="802">
        <f>COUNTIF(P$2:P1030, TRUE)/(COUNTIF(P$2:P1030,FALSE) + COUNTIF(P$2:P1030, TRUE))</f>
        <v>0.48299319727891155</v>
      </c>
      <c r="R1030" s="844">
        <v>212504.58</v>
      </c>
      <c r="S1030" s="846">
        <f t="shared" ref="S1030" si="2783">I1030-R1030</f>
        <v>86414.53</v>
      </c>
      <c r="T1030" s="800"/>
      <c r="U1030" s="800"/>
      <c r="V1030" s="802">
        <f>STDEV(D$2:D1030)*SQRT(252)</f>
        <v>0.14360807381785332</v>
      </c>
      <c r="W1030" s="802">
        <f>STDEV(L$2:L1030)*SQRT(252)</f>
        <v>0.24190816434834644</v>
      </c>
      <c r="X1030" s="801">
        <f t="shared" ref="X1030" si="2784">E1030/(A1030/365.25)/V1030</f>
        <v>0.80329346967954485</v>
      </c>
      <c r="Y1030" s="801">
        <f t="shared" ref="Y1030" si="2785">O1030/W1030</f>
        <v>0.47747776739875908</v>
      </c>
      <c r="Z1030" s="807">
        <f t="shared" ref="Z1030" si="2786">-(E1030-N1030)</f>
        <v>6.2663768859039237E-4</v>
      </c>
    </row>
    <row r="1031" spans="1:26" ht="20.100000000000001" customHeight="1" x14ac:dyDescent="0.2">
      <c r="A1031" s="776">
        <f t="shared" ref="A1031" si="2787">B1031-$B$2</f>
        <v>1568</v>
      </c>
      <c r="B1031" s="795">
        <v>43801</v>
      </c>
      <c r="C1031" s="820">
        <v>3113.87</v>
      </c>
      <c r="D1031" s="792">
        <f t="shared" ref="D1031" si="2788">(C1031-C1030)/C1030</f>
        <v>-8.6310641901572518E-3</v>
      </c>
      <c r="E1031" s="819">
        <f t="shared" ref="E1031" si="2789">(C1031-$C$2)/$C$2</f>
        <v>0.48107437073115039</v>
      </c>
      <c r="F1031" s="816">
        <v>8567.98</v>
      </c>
      <c r="G1031" s="792">
        <f t="shared" ref="G1031" si="2790">(F1031-F1030)/F1030</f>
        <v>-1.1250399574402749E-2</v>
      </c>
      <c r="H1031" s="797">
        <f t="shared" ref="H1031" si="2791">(F1031-F$2)/F$2</f>
        <v>0.6827346465816917</v>
      </c>
      <c r="I1031" s="841">
        <v>300908.87</v>
      </c>
      <c r="J1031" s="800">
        <v>200000</v>
      </c>
      <c r="K1031" s="800">
        <f t="shared" ref="K1031" si="2792">I1031-I1030-J1031+J1030</f>
        <v>1989.7600000000093</v>
      </c>
      <c r="L1031" s="792">
        <f t="shared" ref="L1031" si="2793">K1031/I1030</f>
        <v>6.6565165405450639E-3</v>
      </c>
      <c r="M1031" s="817">
        <f t="shared" ref="M1031" si="2794">I1031-J1031</f>
        <v>100908.87</v>
      </c>
      <c r="N1031" s="802">
        <f t="shared" si="2741"/>
        <v>0.50454434999999997</v>
      </c>
      <c r="O1031" s="786">
        <f t="shared" si="2742"/>
        <v>0.11752858663105867</v>
      </c>
      <c r="P1031" s="817" t="b">
        <f t="shared" ref="P1031" si="2795">L1031&gt;D1031</f>
        <v>1</v>
      </c>
      <c r="Q1031" s="802">
        <f>COUNTIF(P$2:P1031, TRUE)/(COUNTIF(P$2:P1031,FALSE) + COUNTIF(P$2:P1031, TRUE))</f>
        <v>0.48349514563106794</v>
      </c>
      <c r="R1031" s="844">
        <v>210585.62</v>
      </c>
      <c r="S1031" s="846">
        <f t="shared" ref="S1031" si="2796">I1031-R1031</f>
        <v>90323.25</v>
      </c>
      <c r="T1031" s="800"/>
      <c r="U1031" s="800"/>
      <c r="V1031" s="802">
        <f>STDEV(D$2:D1031)*SQRT(252)</f>
        <v>0.14360825447016315</v>
      </c>
      <c r="W1031" s="802">
        <f>STDEV(L$2:L1031)*SQRT(252)</f>
        <v>0.24181002149892358</v>
      </c>
      <c r="X1031" s="801">
        <f t="shared" ref="X1031" si="2797">E1031/(A1031/365.25)/V1031</f>
        <v>0.7803276272396128</v>
      </c>
      <c r="Y1031" s="801">
        <f t="shared" ref="Y1031" si="2798">O1031/W1031</f>
        <v>0.48603687267602286</v>
      </c>
      <c r="Z1031" s="807">
        <f t="shared" ref="Z1031" si="2799">-(E1031-N1031)</f>
        <v>2.3469979268849583E-2</v>
      </c>
    </row>
    <row r="1032" spans="1:26" ht="20.100000000000001" customHeight="1" x14ac:dyDescent="0.2">
      <c r="A1032" s="776">
        <f t="shared" ref="A1032" si="2800">B1032-$B$2</f>
        <v>1569</v>
      </c>
      <c r="B1032" s="795">
        <v>43802</v>
      </c>
      <c r="C1032" s="820">
        <v>3093.2</v>
      </c>
      <c r="D1032" s="792">
        <f t="shared" ref="D1032" si="2801">(C1032-C1031)/C1031</f>
        <v>-6.638042050567324E-3</v>
      </c>
      <c r="E1032" s="819">
        <f t="shared" ref="E1032" si="2802">(C1032-$C$2)/$C$2</f>
        <v>0.47124293677821949</v>
      </c>
      <c r="F1032" s="816">
        <v>8520.64</v>
      </c>
      <c r="G1032" s="792">
        <f t="shared" ref="G1032" si="2803">(F1032-F1031)/F1031</f>
        <v>-5.525222981379526E-3</v>
      </c>
      <c r="H1032" s="797">
        <f t="shared" ref="H1032" si="2804">(F1032-F$2)/F$2</f>
        <v>0.67343716244083507</v>
      </c>
      <c r="I1032" s="841">
        <v>298053.65000000002</v>
      </c>
      <c r="J1032" s="800">
        <v>200000</v>
      </c>
      <c r="K1032" s="800">
        <f t="shared" ref="K1032" si="2805">I1032-I1031-J1032+J1031</f>
        <v>-2855.2199999999721</v>
      </c>
      <c r="L1032" s="792">
        <f t="shared" ref="L1032" si="2806">K1032/I1031</f>
        <v>-9.4886534916699926E-3</v>
      </c>
      <c r="M1032" s="817">
        <f t="shared" ref="M1032" si="2807">I1032-J1032</f>
        <v>98053.650000000023</v>
      </c>
      <c r="N1032" s="802">
        <f t="shared" si="2741"/>
        <v>0.49026825000000013</v>
      </c>
      <c r="O1032" s="786">
        <f t="shared" si="2742"/>
        <v>0.11413032397227536</v>
      </c>
      <c r="P1032" s="817" t="b">
        <f t="shared" ref="P1032" si="2808">L1032&gt;D1032</f>
        <v>0</v>
      </c>
      <c r="Q1032" s="802">
        <f>COUNTIF(P$2:P1032, TRUE)/(COUNTIF(P$2:P1032,FALSE) + COUNTIF(P$2:P1032, TRUE))</f>
        <v>0.4830261881668283</v>
      </c>
      <c r="R1032" s="844">
        <v>210421.3</v>
      </c>
      <c r="S1032" s="846">
        <f t="shared" ref="S1032" si="2809">I1032-R1032</f>
        <v>87632.350000000035</v>
      </c>
      <c r="T1032" s="800"/>
      <c r="U1032" s="800"/>
      <c r="V1032" s="802">
        <f>STDEV(D$2:D1032)*SQRT(252)</f>
        <v>0.1435809384677231</v>
      </c>
      <c r="W1032" s="802">
        <f>STDEV(L$2:L1032)*SQRT(252)</f>
        <v>0.2417424846344709</v>
      </c>
      <c r="X1032" s="801">
        <f t="shared" ref="X1032" si="2810">E1032/(A1032/365.25)/V1032</f>
        <v>0.76403868288479082</v>
      </c>
      <c r="Y1032" s="801">
        <f t="shared" ref="Y1032" si="2811">O1032/W1032</f>
        <v>0.47211529303526123</v>
      </c>
      <c r="Z1032" s="807">
        <f t="shared" ref="Z1032" si="2812">-(E1032-N1032)</f>
        <v>1.9025313221780638E-2</v>
      </c>
    </row>
    <row r="1033" spans="1:26" ht="20.100000000000001" customHeight="1" x14ac:dyDescent="0.2">
      <c r="A1033" s="776">
        <f t="shared" ref="A1033" si="2813">B1033-$B$2</f>
        <v>1570</v>
      </c>
      <c r="B1033" s="795">
        <v>43803</v>
      </c>
      <c r="C1033" s="820">
        <v>3112.76</v>
      </c>
      <c r="D1033" s="792">
        <f t="shared" ref="D1033" si="2814">(C1033-C1032)/C1032</f>
        <v>6.3235484288117162E-3</v>
      </c>
      <c r="E1033" s="819">
        <f t="shared" ref="E1033" si="2815">(C1033-$C$2)/$C$2</f>
        <v>0.48054641273948373</v>
      </c>
      <c r="F1033" s="816">
        <v>8566.67</v>
      </c>
      <c r="G1033" s="792">
        <f t="shared" ref="G1033" si="2816">(F1033-F1032)/F1032</f>
        <v>5.4021763623390562E-3</v>
      </c>
      <c r="H1033" s="797">
        <f t="shared" ref="H1033" si="2817">(F1033-F$2)/F$2</f>
        <v>0.68247736512363266</v>
      </c>
      <c r="I1033" s="841">
        <v>302081.05</v>
      </c>
      <c r="J1033" s="800">
        <v>200000</v>
      </c>
      <c r="K1033" s="800">
        <f t="shared" ref="K1033" si="2818">I1033-I1032-J1033+J1032</f>
        <v>4027.3999999999651</v>
      </c>
      <c r="L1033" s="792">
        <f t="shared" ref="L1033" si="2819">K1033/I1032</f>
        <v>1.3512332427400117E-2</v>
      </c>
      <c r="M1033" s="817">
        <f t="shared" ref="M1033" si="2820">I1033-J1033</f>
        <v>102081.04999999999</v>
      </c>
      <c r="N1033" s="802">
        <f t="shared" ref="N1033" si="2821">M1033/J1033</f>
        <v>0.51040524999999992</v>
      </c>
      <c r="O1033" s="786">
        <f t="shared" ref="O1033" si="2822">N1033/(A1033/365.25)</f>
        <v>0.11874236787420381</v>
      </c>
      <c r="P1033" s="817" t="b">
        <f t="shared" ref="P1033" si="2823">L1033&gt;D1033</f>
        <v>1</v>
      </c>
      <c r="Q1033" s="802">
        <f>COUNTIF(P$2:P1033, TRUE)/(COUNTIF(P$2:P1033,FALSE) + COUNTIF(P$2:P1033, TRUE))</f>
        <v>0.48352713178294576</v>
      </c>
      <c r="R1033" s="844">
        <v>214448.7</v>
      </c>
      <c r="S1033" s="846">
        <f t="shared" ref="S1033" si="2824">I1033-R1033</f>
        <v>87632.349999999977</v>
      </c>
      <c r="T1033" s="800"/>
      <c r="U1033" s="800"/>
      <c r="V1033" s="802">
        <f>STDEV(D$2:D1033)*SQRT(252)</f>
        <v>0.14354094015272015</v>
      </c>
      <c r="W1033" s="802">
        <f>STDEV(L$2:L1033)*SQRT(252)</f>
        <v>0.24171151813715913</v>
      </c>
      <c r="X1033" s="801">
        <f t="shared" ref="X1033" si="2825">E1033/(A1033/365.25)/V1033</f>
        <v>0.77884336663435749</v>
      </c>
      <c r="Y1033" s="801">
        <f t="shared" ref="Y1033" si="2826">O1033/W1033</f>
        <v>0.49125655570465404</v>
      </c>
      <c r="Z1033" s="807">
        <f t="shared" ref="Z1033" si="2827">-(E1033-N1033)</f>
        <v>2.9858837260516191E-2</v>
      </c>
    </row>
    <row r="1034" spans="1:26" ht="20.100000000000001" customHeight="1" x14ac:dyDescent="0.2">
      <c r="A1034" s="776">
        <f t="shared" ref="A1034" si="2828">B1034-$B$2</f>
        <v>1571</v>
      </c>
      <c r="B1034" s="795">
        <v>43804</v>
      </c>
      <c r="C1034" s="820">
        <v>3117.43</v>
      </c>
      <c r="D1034" s="792">
        <f t="shared" ref="D1034" si="2829">(C1034-C1033)/C1033</f>
        <v>1.5002762821417705E-3</v>
      </c>
      <c r="E1034" s="819">
        <f t="shared" ref="E1034" si="2830">(C1034-$C$2)/$C$2</f>
        <v>0.48276764140712686</v>
      </c>
      <c r="F1034" s="816">
        <v>8570.7000000000007</v>
      </c>
      <c r="G1034" s="792">
        <f t="shared" ref="G1034" si="2831">(F1034-F1033)/F1033</f>
        <v>4.7042783251842956E-4</v>
      </c>
      <c r="H1034" s="797">
        <f t="shared" ref="H1034" si="2832">(F1034-F$2)/F$2</f>
        <v>0.68326884930376908</v>
      </c>
      <c r="I1034" s="841">
        <v>301225.2</v>
      </c>
      <c r="J1034" s="800">
        <v>200000</v>
      </c>
      <c r="K1034" s="800">
        <f t="shared" ref="K1034" si="2833">I1034-I1033-J1034+J1033</f>
        <v>-855.84999999997672</v>
      </c>
      <c r="L1034" s="792">
        <f t="shared" ref="L1034" si="2834">K1034/I1033</f>
        <v>-2.8331800356228131E-3</v>
      </c>
      <c r="M1034" s="817">
        <f t="shared" ref="M1034" si="2835">I1034-J1034</f>
        <v>101225.20000000001</v>
      </c>
      <c r="N1034" s="802">
        <f t="shared" ref="N1034" si="2836">M1034/J1034</f>
        <v>0.50612600000000008</v>
      </c>
      <c r="O1034" s="786">
        <f t="shared" ref="O1034" si="2837">N1034/(A1034/365.25)</f>
        <v>0.11767187873965629</v>
      </c>
      <c r="P1034" s="817" t="b">
        <f t="shared" ref="P1034" si="2838">L1034&gt;D1034</f>
        <v>0</v>
      </c>
      <c r="Q1034" s="802">
        <f>COUNTIF(P$2:P1034, TRUE)/(COUNTIF(P$2:P1034,FALSE) + COUNTIF(P$2:P1034, TRUE))</f>
        <v>0.48305905130687321</v>
      </c>
      <c r="R1034" s="844">
        <v>211312.9</v>
      </c>
      <c r="S1034" s="846">
        <f t="shared" ref="S1034" si="2839">I1034-R1034</f>
        <v>89912.300000000017</v>
      </c>
      <c r="T1034" s="800"/>
      <c r="U1034" s="800"/>
      <c r="V1034" s="802">
        <f>STDEV(D$2:D1034)*SQRT(252)</f>
        <v>0.14347230102177752</v>
      </c>
      <c r="W1034" s="802">
        <f>STDEV(L$2:L1034)*SQRT(252)</f>
        <v>0.24159972513749275</v>
      </c>
      <c r="X1034" s="801">
        <f t="shared" ref="X1034" si="2840">E1034/(A1034/365.25)/V1034</f>
        <v>0.78231945177532325</v>
      </c>
      <c r="Y1034" s="801">
        <f t="shared" ref="Y1034" si="2841">O1034/W1034</f>
        <v>0.48705303233557085</v>
      </c>
      <c r="Z1034" s="807">
        <f t="shared" ref="Z1034" si="2842">-(E1034-N1034)</f>
        <v>2.3358358592873218E-2</v>
      </c>
    </row>
    <row r="1035" spans="1:26" ht="20.100000000000001" customHeight="1" x14ac:dyDescent="0.2">
      <c r="A1035" s="776">
        <f t="shared" ref="A1035" si="2843">B1035-$B$2</f>
        <v>1572</v>
      </c>
      <c r="B1035" s="795">
        <v>43805</v>
      </c>
      <c r="C1035" s="820">
        <v>3145.91</v>
      </c>
      <c r="D1035" s="792">
        <f t="shared" ref="D1035" si="2844">(C1035-C1034)/C1034</f>
        <v>9.135730393304748E-3</v>
      </c>
      <c r="E1035" s="819">
        <f t="shared" ref="E1035" si="2845">(C1035-$C$2)/$C$2</f>
        <v>0.49631380681493875</v>
      </c>
      <c r="F1035" s="816">
        <v>8656.52</v>
      </c>
      <c r="G1035" s="792">
        <f t="shared" ref="G1035" si="2846">(F1035-F1034)/F1034</f>
        <v>1.001318445401189E-2</v>
      </c>
      <c r="H1035" s="797">
        <f t="shared" ref="H1035" si="2847">(F1035-F$2)/F$2</f>
        <v>0.70012373077754009</v>
      </c>
      <c r="I1035" s="841">
        <v>306123.40000000002</v>
      </c>
      <c r="J1035" s="800">
        <v>200000</v>
      </c>
      <c r="K1035" s="800">
        <f t="shared" ref="K1035" si="2848">I1035-I1034-J1035+J1034</f>
        <v>4898.2000000000116</v>
      </c>
      <c r="L1035" s="792">
        <f t="shared" ref="L1035" si="2849">K1035/I1034</f>
        <v>1.6260923720857391E-2</v>
      </c>
      <c r="M1035" s="817">
        <f t="shared" ref="M1035" si="2850">I1035-J1035</f>
        <v>106123.40000000002</v>
      </c>
      <c r="N1035" s="802">
        <f t="shared" ref="N1035" si="2851">M1035/J1035</f>
        <v>0.53061700000000012</v>
      </c>
      <c r="O1035" s="786">
        <f t="shared" ref="O1035" si="2852">N1035/(A1035/365.25)</f>
        <v>0.12328744227099239</v>
      </c>
      <c r="P1035" s="817" t="b">
        <f t="shared" ref="P1035" si="2853">L1035&gt;D1035</f>
        <v>1</v>
      </c>
      <c r="Q1035" s="802">
        <f>COUNTIF(P$2:P1035, TRUE)/(COUNTIF(P$2:P1035,FALSE) + COUNTIF(P$2:P1035, TRUE))</f>
        <v>0.48355899419729209</v>
      </c>
      <c r="R1035" s="844">
        <v>201539.4</v>
      </c>
      <c r="S1035" s="846">
        <f t="shared" ref="S1035" si="2854">I1035-R1035</f>
        <v>104584.00000000003</v>
      </c>
      <c r="T1035" s="800"/>
      <c r="U1035" s="800"/>
      <c r="V1035" s="802">
        <f>STDEV(D$2:D1035)*SQRT(252)</f>
        <v>0.14346733233086773</v>
      </c>
      <c r="W1035" s="802">
        <f>STDEV(L$2:L1035)*SQRT(252)</f>
        <v>0.24160888234039213</v>
      </c>
      <c r="X1035" s="801">
        <f t="shared" ref="X1035" si="2855">E1035/(A1035/365.25)/V1035</f>
        <v>0.80378707201615052</v>
      </c>
      <c r="Y1035" s="801">
        <f t="shared" ref="Y1035" si="2856">O1035/W1035</f>
        <v>0.51027694460875883</v>
      </c>
      <c r="Z1035" s="807">
        <f t="shared" ref="Z1035" si="2857">-(E1035-N1035)</f>
        <v>3.4303193185061365E-2</v>
      </c>
    </row>
    <row r="1036" spans="1:26" ht="20.100000000000001" customHeight="1" x14ac:dyDescent="0.2">
      <c r="A1036" s="776">
        <f t="shared" ref="A1036" si="2858">B1036-$B$2</f>
        <v>1575</v>
      </c>
      <c r="B1036" s="795">
        <v>43808</v>
      </c>
      <c r="C1036" s="820">
        <v>3135.96</v>
      </c>
      <c r="D1036" s="792">
        <f t="shared" ref="D1036" si="2859">(C1036-C1035)/C1035</f>
        <v>-3.1628368262282833E-3</v>
      </c>
      <c r="E1036" s="819">
        <f t="shared" ref="E1036" si="2860">(C1036-$C$2)/$C$2</f>
        <v>0.49158121040315061</v>
      </c>
      <c r="F1036" s="816">
        <v>8621.82</v>
      </c>
      <c r="G1036" s="792">
        <f t="shared" ref="G1036" si="2861">(F1036-F1035)/F1035</f>
        <v>-4.0085392282349867E-3</v>
      </c>
      <c r="H1036" s="797">
        <f t="shared" ref="H1036" si="2862">(F1036-F$2)/F$2</f>
        <v>0.69330871810986505</v>
      </c>
      <c r="I1036" s="841">
        <v>306718.5</v>
      </c>
      <c r="J1036" s="800">
        <v>200000</v>
      </c>
      <c r="K1036" s="800">
        <f t="shared" ref="K1036" si="2863">I1036-I1035-J1036+J1035</f>
        <v>595.09999999997672</v>
      </c>
      <c r="L1036" s="792">
        <f t="shared" ref="L1036" si="2864">K1036/I1035</f>
        <v>1.9439872940127305E-3</v>
      </c>
      <c r="M1036" s="817">
        <f t="shared" ref="M1036" si="2865">I1036-J1036</f>
        <v>106718.5</v>
      </c>
      <c r="N1036" s="802">
        <f t="shared" ref="N1036" si="2866">M1036/J1036</f>
        <v>0.53359250000000003</v>
      </c>
      <c r="O1036" s="786">
        <f t="shared" ref="O1036" si="2867">N1036/(A1036/365.25)</f>
        <v>0.12374264166666668</v>
      </c>
      <c r="P1036" s="817" t="b">
        <f t="shared" ref="P1036" si="2868">L1036&gt;D1036</f>
        <v>1</v>
      </c>
      <c r="Q1036" s="802">
        <f>COUNTIF(P$2:P1036, TRUE)/(COUNTIF(P$2:P1036,FALSE) + COUNTIF(P$2:P1036, TRUE))</f>
        <v>0.48405797101449277</v>
      </c>
      <c r="R1036" s="844">
        <v>202134.5</v>
      </c>
      <c r="S1036" s="846">
        <f t="shared" ref="S1036" si="2869">I1036-R1036</f>
        <v>104584</v>
      </c>
      <c r="T1036" s="800"/>
      <c r="U1036" s="800"/>
      <c r="V1036" s="802">
        <f>STDEV(D$2:D1036)*SQRT(252)</f>
        <v>0.14340884874234125</v>
      </c>
      <c r="W1036" s="802">
        <f>STDEV(L$2:L1036)*SQRT(252)</f>
        <v>0.2414930123713932</v>
      </c>
      <c r="X1036" s="801">
        <f t="shared" ref="X1036" si="2870">E1036/(A1036/365.25)/V1036</f>
        <v>0.79493019123400144</v>
      </c>
      <c r="Y1036" s="801">
        <f t="shared" ref="Y1036" si="2871">O1036/W1036</f>
        <v>0.51240671707868013</v>
      </c>
      <c r="Z1036" s="807">
        <f t="shared" ref="Z1036" si="2872">-(E1036-N1036)</f>
        <v>4.201128959684941E-2</v>
      </c>
    </row>
    <row r="1037" spans="1:26" ht="20.100000000000001" customHeight="1" x14ac:dyDescent="0.2">
      <c r="A1037" s="776">
        <f t="shared" ref="A1037" si="2873">B1037-$B$2</f>
        <v>1576</v>
      </c>
      <c r="B1037" s="795">
        <v>43809</v>
      </c>
      <c r="C1037" s="820">
        <v>3132.52</v>
      </c>
      <c r="D1037" s="792">
        <f t="shared" ref="D1037" si="2874">(C1037-C1036)/C1036</f>
        <v>-1.0969527672547018E-3</v>
      </c>
      <c r="E1037" s="819">
        <f t="shared" ref="E1037" si="2875">(C1037-$C$2)/$C$2</f>
        <v>0.48994501626681375</v>
      </c>
      <c r="F1037" s="816">
        <v>8616.18</v>
      </c>
      <c r="G1037" s="792">
        <f t="shared" ref="G1037" si="2876">(F1037-F1036)/F1036</f>
        <v>-6.5415422729764923E-4</v>
      </c>
      <c r="H1037" s="797">
        <f t="shared" ref="H1037" si="2877">(F1037-F$2)/F$2</f>
        <v>0.69220103305379355</v>
      </c>
      <c r="I1037" s="841">
        <v>305904.09999999998</v>
      </c>
      <c r="J1037" s="800">
        <v>200000</v>
      </c>
      <c r="K1037" s="800">
        <f t="shared" ref="K1037" si="2878">I1037-I1036-J1037+J1036</f>
        <v>-814.40000000002328</v>
      </c>
      <c r="L1037" s="792">
        <f t="shared" ref="L1037" si="2879">K1037/I1036</f>
        <v>-2.6552033868189342E-3</v>
      </c>
      <c r="M1037" s="817">
        <f t="shared" ref="M1037" si="2880">I1037-J1037</f>
        <v>105904.09999999998</v>
      </c>
      <c r="N1037" s="802">
        <f t="shared" ref="N1037" si="2881">M1037/J1037</f>
        <v>0.52952049999999984</v>
      </c>
      <c r="O1037" s="786">
        <f t="shared" ref="O1037" si="2882">N1037/(A1037/365.25)</f>
        <v>0.12272040775697966</v>
      </c>
      <c r="P1037" s="817" t="b">
        <f t="shared" ref="P1037" si="2883">L1037&gt;D1037</f>
        <v>0</v>
      </c>
      <c r="Q1037" s="802">
        <f>COUNTIF(P$2:P1037, TRUE)/(COUNTIF(P$2:P1037,FALSE) + COUNTIF(P$2:P1037, TRUE))</f>
        <v>0.48359073359073357</v>
      </c>
      <c r="R1037" s="844">
        <v>202866.1</v>
      </c>
      <c r="S1037" s="846">
        <f t="shared" ref="S1037" si="2884">I1037-R1037</f>
        <v>103037.99999999997</v>
      </c>
      <c r="T1037" s="800"/>
      <c r="U1037" s="800"/>
      <c r="V1037" s="802">
        <f>STDEV(D$2:D1037)*SQRT(252)</f>
        <v>0.14334145922694536</v>
      </c>
      <c r="W1037" s="802">
        <f>STDEV(L$2:L1037)*SQRT(252)</f>
        <v>0.24138112303631046</v>
      </c>
      <c r="X1037" s="801">
        <f t="shared" ref="X1037" si="2885">E1037/(A1037/365.25)/V1037</f>
        <v>0.79215384493796448</v>
      </c>
      <c r="Y1037" s="801">
        <f t="shared" ref="Y1037" si="2886">O1037/W1037</f>
        <v>0.50840929983791272</v>
      </c>
      <c r="Z1037" s="807">
        <f t="shared" ref="Z1037" si="2887">-(E1037-N1037)</f>
        <v>3.957548373318609E-2</v>
      </c>
    </row>
  </sheetData>
  <conditionalFormatting sqref="L1:L2 L1038:L1048576">
    <cfRule type="colorScale" priority="617">
      <colorScale>
        <cfvo type="min"/>
        <cfvo type="num" val="0"/>
        <cfvo type="max"/>
        <color rgb="FFF8696B"/>
        <color rgb="FFFFEB84"/>
        <color rgb="FF63BE7B"/>
      </colorScale>
    </cfRule>
  </conditionalFormatting>
  <conditionalFormatting sqref="Z1:Z1048576">
    <cfRule type="dataBar" priority="1">
      <dataBar>
        <cfvo type="min"/>
        <cfvo type="max"/>
        <color rgb="FF63C384"/>
      </dataBar>
      <extLst>
        <ext xmlns:x14="http://schemas.microsoft.com/office/spreadsheetml/2009/9/main" uri="{B025F937-C7B1-47D3-B67F-A62EFF666E3E}">
          <x14:id>{DA1F4319-0D48-464C-BDA9-C5F5D6A706A4}</x14:id>
        </ext>
      </extLst>
    </cfRule>
  </conditionalFormatting>
  <conditionalFormatting sqref="D3:D1037">
    <cfRule type="colorScale" priority="1002">
      <colorScale>
        <cfvo type="min"/>
        <cfvo type="num" val="0"/>
        <cfvo type="max"/>
        <color rgb="FFF8696B"/>
        <color rgb="FFFFEB84"/>
        <color rgb="FF63BE7B"/>
      </colorScale>
    </cfRule>
  </conditionalFormatting>
  <conditionalFormatting sqref="G3:G1037">
    <cfRule type="colorScale" priority="1004">
      <colorScale>
        <cfvo type="min"/>
        <cfvo type="num" val="0"/>
        <cfvo type="max"/>
        <color rgb="FFF8696B"/>
        <color rgb="FFFFEB84"/>
        <color rgb="FF63BE7B"/>
      </colorScale>
    </cfRule>
  </conditionalFormatting>
  <conditionalFormatting sqref="L3:L1037">
    <cfRule type="colorScale" priority="1006">
      <colorScale>
        <cfvo type="min"/>
        <cfvo type="num" val="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A1F4319-0D48-464C-BDA9-C5F5D6A706A4}">
            <x14:dataBar minLength="0" maxLength="100" border="1" negativeBarBorderColorSameAsPositive="0">
              <x14:cfvo type="autoMin"/>
              <x14:cfvo type="autoMax"/>
              <x14:borderColor rgb="FF63C384"/>
              <x14:negativeFillColor rgb="FFFF0000"/>
              <x14:negativeBorderColor rgb="FFFF0000"/>
              <x14:axisColor rgb="FF000000"/>
            </x14:dataBar>
          </x14:cfRule>
          <xm:sqref>Z1:Z1048576</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C00000"/>
  </sheetPr>
  <dimension ref="A1:U307"/>
  <sheetViews>
    <sheetView workbookViewId="0">
      <pane ySplit="1" topLeftCell="A258" activePane="bottomLeft" state="frozen"/>
      <selection activeCell="M34" sqref="M34"/>
      <selection pane="bottomLeft" activeCell="W281" sqref="W281"/>
    </sheetView>
  </sheetViews>
  <sheetFormatPr defaultColWidth="9.140625" defaultRowHeight="18" customHeight="1" x14ac:dyDescent="0.25"/>
  <cols>
    <col min="1" max="1" width="9.5703125" style="219" bestFit="1" customWidth="1"/>
    <col min="2" max="2" width="11.28515625" style="24" customWidth="1"/>
    <col min="3" max="3" width="13.85546875" style="27" customWidth="1"/>
    <col min="4" max="4" width="12.5703125" style="24" customWidth="1"/>
    <col min="5" max="5" width="12.5703125" style="26" customWidth="1"/>
    <col min="6" max="6" width="13.7109375" style="24" customWidth="1"/>
    <col min="7" max="7" width="11.7109375" style="27" customWidth="1"/>
    <col min="8" max="8" width="12.42578125" style="24" customWidth="1"/>
    <col min="9" max="9" width="12.42578125" style="26" customWidth="1"/>
    <col min="10" max="10" width="9.28515625" style="27" bestFit="1" customWidth="1"/>
    <col min="11" max="11" width="9.28515625" style="26" bestFit="1" customWidth="1"/>
    <col min="12" max="12" width="11.42578125" style="27" bestFit="1" customWidth="1"/>
    <col min="13" max="13" width="9.28515625" style="27" bestFit="1" customWidth="1"/>
    <col min="14" max="14" width="10.140625" style="24" bestFit="1" customWidth="1"/>
    <col min="15" max="15" width="9.140625" style="24"/>
    <col min="16" max="16" width="9.5703125" style="24" bestFit="1" customWidth="1"/>
    <col min="17" max="17" width="11.28515625" style="24" bestFit="1" customWidth="1"/>
    <col min="18" max="19" width="10.140625" style="24" bestFit="1" customWidth="1"/>
    <col min="20" max="20" width="9.140625" style="24"/>
    <col min="21" max="21" width="11.42578125" style="24" customWidth="1"/>
    <col min="22" max="16384" width="9.140625" style="24"/>
  </cols>
  <sheetData>
    <row r="1" spans="1:17" s="23" customFormat="1" ht="18" customHeight="1" x14ac:dyDescent="0.25">
      <c r="A1" s="243" t="s">
        <v>1</v>
      </c>
      <c r="B1" s="244" t="s">
        <v>2</v>
      </c>
      <c r="C1" s="245" t="s">
        <v>4</v>
      </c>
      <c r="D1" s="244" t="s">
        <v>5</v>
      </c>
      <c r="E1" s="244" t="s">
        <v>94</v>
      </c>
      <c r="F1" s="246" t="s">
        <v>60</v>
      </c>
      <c r="G1" s="244" t="s">
        <v>3</v>
      </c>
      <c r="H1" s="245" t="s">
        <v>6</v>
      </c>
      <c r="I1" s="244" t="s">
        <v>7</v>
      </c>
      <c r="J1" s="245" t="s">
        <v>95</v>
      </c>
      <c r="K1" s="246" t="s">
        <v>61</v>
      </c>
      <c r="L1" s="244" t="s">
        <v>77</v>
      </c>
      <c r="M1" s="246" t="s">
        <v>38</v>
      </c>
      <c r="N1" s="245" t="s">
        <v>59</v>
      </c>
      <c r="O1" s="245" t="s">
        <v>76</v>
      </c>
    </row>
    <row r="2" spans="1:17" ht="18" customHeight="1" x14ac:dyDescent="0.25">
      <c r="A2" s="232" t="s">
        <v>12</v>
      </c>
      <c r="B2" s="233">
        <v>42151</v>
      </c>
      <c r="C2" s="234">
        <v>5</v>
      </c>
      <c r="D2" s="235">
        <v>42.7</v>
      </c>
      <c r="E2" s="236"/>
      <c r="F2" s="235">
        <f>C2*D2</f>
        <v>213.5</v>
      </c>
      <c r="G2" s="233">
        <v>42181</v>
      </c>
      <c r="H2" s="234">
        <v>5</v>
      </c>
      <c r="I2" s="235">
        <v>43.35</v>
      </c>
      <c r="J2" s="234">
        <v>0.01</v>
      </c>
      <c r="K2" s="235">
        <f>H2*I2-J2</f>
        <v>216.74</v>
      </c>
      <c r="L2" s="236"/>
      <c r="M2" s="235"/>
      <c r="N2" s="235"/>
      <c r="O2" s="237"/>
    </row>
    <row r="3" spans="1:17" ht="18" customHeight="1" x14ac:dyDescent="0.25">
      <c r="A3" s="645" t="s">
        <v>71</v>
      </c>
      <c r="B3" s="233">
        <v>42153</v>
      </c>
      <c r="C3" s="234">
        <v>25</v>
      </c>
      <c r="D3" s="235">
        <v>41.6</v>
      </c>
      <c r="E3" s="236"/>
      <c r="F3" s="235">
        <f>C3*D3</f>
        <v>1040</v>
      </c>
      <c r="G3" s="233">
        <v>42200</v>
      </c>
      <c r="H3" s="234">
        <v>10</v>
      </c>
      <c r="I3" s="235">
        <v>41.64</v>
      </c>
      <c r="J3" s="234">
        <v>0.01</v>
      </c>
      <c r="K3" s="235">
        <f>H3*I3-J3</f>
        <v>416.39</v>
      </c>
      <c r="L3" s="236"/>
      <c r="M3" s="235"/>
      <c r="N3" s="235"/>
      <c r="O3" s="237"/>
    </row>
    <row r="4" spans="1:17" ht="18" customHeight="1" x14ac:dyDescent="0.25">
      <c r="A4" s="232"/>
      <c r="B4" s="233">
        <v>42166</v>
      </c>
      <c r="C4" s="234">
        <v>10</v>
      </c>
      <c r="D4" s="235">
        <v>40</v>
      </c>
      <c r="E4" s="236"/>
      <c r="F4" s="235">
        <f>C4*D4</f>
        <v>400</v>
      </c>
      <c r="G4" s="233">
        <v>42201</v>
      </c>
      <c r="H4" s="234">
        <v>125</v>
      </c>
      <c r="I4" s="235">
        <v>42.6</v>
      </c>
      <c r="J4" s="234">
        <v>0.1</v>
      </c>
      <c r="K4" s="235">
        <f>H4*I4-J4</f>
        <v>5324.9</v>
      </c>
      <c r="L4" s="236"/>
      <c r="M4" s="235"/>
      <c r="N4" s="235"/>
      <c r="O4" s="237"/>
      <c r="Q4" s="145"/>
    </row>
    <row r="5" spans="1:17" ht="18" customHeight="1" x14ac:dyDescent="0.25">
      <c r="A5" s="232"/>
      <c r="B5" s="233">
        <v>42166</v>
      </c>
      <c r="C5" s="234">
        <v>100</v>
      </c>
      <c r="D5" s="235">
        <v>39.799999999999997</v>
      </c>
      <c r="E5" s="236"/>
      <c r="F5" s="235">
        <f>C5*D5</f>
        <v>3979.9999999999995</v>
      </c>
      <c r="G5" s="236"/>
      <c r="H5" s="234"/>
      <c r="I5" s="235"/>
      <c r="J5" s="234"/>
      <c r="K5" s="235"/>
      <c r="L5" s="236"/>
      <c r="M5" s="235"/>
      <c r="N5" s="235"/>
      <c r="O5" s="237"/>
    </row>
    <row r="6" spans="1:17" ht="17.25" customHeight="1" x14ac:dyDescent="0.25">
      <c r="A6" s="232"/>
      <c r="B6" s="238"/>
      <c r="C6" s="239">
        <f>SUM(C2:C5)</f>
        <v>140</v>
      </c>
      <c r="D6" s="240"/>
      <c r="E6" s="241"/>
      <c r="F6" s="240">
        <f>SUM(F2:F5)</f>
        <v>5633.5</v>
      </c>
      <c r="G6" s="241"/>
      <c r="H6" s="239">
        <f>SUM(H2:H5)</f>
        <v>140</v>
      </c>
      <c r="I6" s="240"/>
      <c r="J6" s="239"/>
      <c r="K6" s="240">
        <f>SUM(K2:K5)</f>
        <v>5958.03</v>
      </c>
      <c r="L6" s="241"/>
      <c r="M6" s="240"/>
      <c r="N6" s="240">
        <f>K6-F6</f>
        <v>324.52999999999975</v>
      </c>
      <c r="O6" s="242">
        <f>(N6+M6)/F6</f>
        <v>5.7607171385461925E-2</v>
      </c>
      <c r="P6" s="136"/>
    </row>
    <row r="7" spans="1:17" ht="17.25" customHeight="1" x14ac:dyDescent="0.25">
      <c r="A7" s="220"/>
      <c r="B7" s="140"/>
      <c r="C7" s="141"/>
      <c r="D7" s="142"/>
      <c r="E7" s="24"/>
      <c r="F7" s="142"/>
      <c r="G7" s="143"/>
      <c r="H7" s="141"/>
      <c r="I7" s="142"/>
      <c r="K7" s="142"/>
      <c r="L7" s="143"/>
      <c r="M7" s="142"/>
      <c r="N7" s="142"/>
      <c r="O7" s="144"/>
      <c r="P7" s="136"/>
    </row>
    <row r="8" spans="1:17" ht="17.25" customHeight="1" x14ac:dyDescent="0.25">
      <c r="A8" s="221" t="s">
        <v>18</v>
      </c>
      <c r="B8" s="222">
        <v>42153</v>
      </c>
      <c r="C8" s="223">
        <v>50</v>
      </c>
      <c r="D8" s="224">
        <v>36.4</v>
      </c>
      <c r="E8" s="224">
        <v>0</v>
      </c>
      <c r="F8" s="224">
        <f t="shared" ref="F8:F15" si="0">C8*D8</f>
        <v>1820</v>
      </c>
      <c r="G8" s="222">
        <v>42333</v>
      </c>
      <c r="H8" s="225">
        <v>80</v>
      </c>
      <c r="I8" s="224">
        <v>8.7200000000000006</v>
      </c>
      <c r="J8" s="224">
        <v>0.01</v>
      </c>
      <c r="K8" s="224">
        <f>I8*H8-J8</f>
        <v>697.59</v>
      </c>
      <c r="L8" s="223"/>
      <c r="M8" s="223"/>
      <c r="N8" s="223"/>
      <c r="O8" s="226"/>
      <c r="P8" s="4"/>
      <c r="Q8" s="158"/>
    </row>
    <row r="9" spans="1:17" ht="17.25" customHeight="1" x14ac:dyDescent="0.25">
      <c r="A9" s="227"/>
      <c r="B9" s="222">
        <v>42173</v>
      </c>
      <c r="C9" s="223">
        <v>5</v>
      </c>
      <c r="D9" s="224">
        <v>22.95</v>
      </c>
      <c r="E9" s="224">
        <v>0</v>
      </c>
      <c r="F9" s="224">
        <f t="shared" si="0"/>
        <v>114.75</v>
      </c>
      <c r="G9" s="222">
        <v>42335</v>
      </c>
      <c r="H9" s="225">
        <v>80</v>
      </c>
      <c r="I9" s="224">
        <v>8.98</v>
      </c>
      <c r="J9" s="224">
        <v>0.01</v>
      </c>
      <c r="K9" s="224">
        <f>I9*H9-J9</f>
        <v>718.3900000000001</v>
      </c>
      <c r="L9" s="223"/>
      <c r="M9" s="223"/>
      <c r="N9" s="223"/>
      <c r="O9" s="226"/>
      <c r="P9" s="4"/>
      <c r="Q9" s="3"/>
    </row>
    <row r="10" spans="1:17" ht="17.25" customHeight="1" x14ac:dyDescent="0.25">
      <c r="A10" s="228"/>
      <c r="B10" s="222">
        <v>42173</v>
      </c>
      <c r="C10" s="223">
        <v>10</v>
      </c>
      <c r="D10" s="224">
        <v>22.8</v>
      </c>
      <c r="E10" s="224">
        <v>0</v>
      </c>
      <c r="F10" s="224">
        <f t="shared" si="0"/>
        <v>228</v>
      </c>
      <c r="G10" s="222">
        <v>42362</v>
      </c>
      <c r="H10" s="225">
        <v>80</v>
      </c>
      <c r="I10" s="224">
        <v>9.4499999999999993</v>
      </c>
      <c r="J10" s="224">
        <v>0.01</v>
      </c>
      <c r="K10" s="224">
        <f>I10*H10-J10</f>
        <v>755.99</v>
      </c>
      <c r="L10" s="223"/>
      <c r="M10" s="223"/>
      <c r="N10" s="223"/>
      <c r="O10" s="226"/>
      <c r="P10" s="4"/>
      <c r="Q10" s="217"/>
    </row>
    <row r="11" spans="1:17" ht="18" customHeight="1" x14ac:dyDescent="0.25">
      <c r="A11" s="228"/>
      <c r="B11" s="222">
        <v>42234</v>
      </c>
      <c r="C11" s="223">
        <v>15</v>
      </c>
      <c r="D11" s="224">
        <v>13.9</v>
      </c>
      <c r="E11" s="224">
        <v>0</v>
      </c>
      <c r="F11" s="224">
        <f t="shared" si="0"/>
        <v>208.5</v>
      </c>
      <c r="G11" s="222">
        <v>42398</v>
      </c>
      <c r="H11" s="225">
        <v>3</v>
      </c>
      <c r="I11" s="224">
        <v>5.81</v>
      </c>
      <c r="J11" s="224">
        <v>0.01</v>
      </c>
      <c r="K11" s="224">
        <f>I11*H11-J11</f>
        <v>17.419999999999998</v>
      </c>
      <c r="L11" s="223"/>
      <c r="M11" s="223"/>
      <c r="N11" s="223"/>
      <c r="O11" s="226"/>
      <c r="P11" s="4"/>
      <c r="Q11" s="3"/>
    </row>
    <row r="12" spans="1:17" ht="18" customHeight="1" x14ac:dyDescent="0.25">
      <c r="A12" s="228"/>
      <c r="B12" s="885">
        <v>42328</v>
      </c>
      <c r="C12" s="223">
        <v>1</v>
      </c>
      <c r="D12" s="224">
        <v>8.59</v>
      </c>
      <c r="E12" s="224">
        <v>0</v>
      </c>
      <c r="F12" s="224">
        <f t="shared" si="0"/>
        <v>8.59</v>
      </c>
      <c r="G12" s="223"/>
      <c r="H12" s="225"/>
      <c r="I12" s="224"/>
      <c r="J12" s="224"/>
      <c r="K12" s="224"/>
      <c r="L12" s="223"/>
      <c r="M12" s="223"/>
      <c r="N12" s="223"/>
      <c r="O12" s="226"/>
      <c r="P12" s="4"/>
      <c r="Q12" s="3"/>
    </row>
    <row r="13" spans="1:17" ht="18" customHeight="1" x14ac:dyDescent="0.25">
      <c r="A13" s="228"/>
      <c r="B13" s="885"/>
      <c r="C13" s="223">
        <v>80</v>
      </c>
      <c r="D13" s="224">
        <v>8.59</v>
      </c>
      <c r="E13" s="224">
        <v>0</v>
      </c>
      <c r="F13" s="224">
        <f t="shared" si="0"/>
        <v>687.2</v>
      </c>
      <c r="G13" s="223"/>
      <c r="H13" s="225"/>
      <c r="I13" s="224"/>
      <c r="J13" s="224"/>
      <c r="K13" s="224"/>
      <c r="L13" s="223"/>
      <c r="M13" s="223"/>
      <c r="N13" s="223"/>
      <c r="O13" s="226"/>
      <c r="P13" s="4"/>
      <c r="Q13" s="3"/>
    </row>
    <row r="14" spans="1:17" ht="18" customHeight="1" x14ac:dyDescent="0.25">
      <c r="A14" s="228"/>
      <c r="B14" s="885">
        <v>42354</v>
      </c>
      <c r="C14" s="223">
        <v>2</v>
      </c>
      <c r="D14" s="224">
        <v>8.73</v>
      </c>
      <c r="E14" s="224">
        <v>0</v>
      </c>
      <c r="F14" s="224">
        <f t="shared" si="0"/>
        <v>17.46</v>
      </c>
      <c r="G14" s="223"/>
      <c r="H14" s="225"/>
      <c r="I14" s="224"/>
      <c r="J14" s="224"/>
      <c r="K14" s="224"/>
      <c r="L14" s="223"/>
      <c r="M14" s="223"/>
      <c r="N14" s="223"/>
      <c r="O14" s="226"/>
      <c r="P14" s="4"/>
      <c r="Q14" s="218"/>
    </row>
    <row r="15" spans="1:17" ht="18" customHeight="1" x14ac:dyDescent="0.25">
      <c r="A15" s="228"/>
      <c r="B15" s="885"/>
      <c r="C15" s="223">
        <v>80</v>
      </c>
      <c r="D15" s="224">
        <v>8.73</v>
      </c>
      <c r="E15" s="224">
        <v>0</v>
      </c>
      <c r="F15" s="224">
        <f t="shared" si="0"/>
        <v>698.40000000000009</v>
      </c>
      <c r="G15" s="223"/>
      <c r="H15" s="223"/>
      <c r="I15" s="224"/>
      <c r="J15" s="224"/>
      <c r="K15" s="224"/>
      <c r="L15" s="223"/>
      <c r="M15" s="223"/>
      <c r="N15" s="223"/>
      <c r="O15" s="223"/>
      <c r="P15" s="4"/>
      <c r="Q15" s="4"/>
    </row>
    <row r="16" spans="1:17" ht="18" customHeight="1" x14ac:dyDescent="0.25">
      <c r="A16" s="221"/>
      <c r="B16" s="226"/>
      <c r="C16" s="226">
        <f>SUM(C8:C15)</f>
        <v>243</v>
      </c>
      <c r="D16" s="229"/>
      <c r="E16" s="229"/>
      <c r="F16" s="229">
        <f>SUM(F8:F15)</f>
        <v>3782.9</v>
      </c>
      <c r="G16" s="229"/>
      <c r="H16" s="230">
        <f>SUM(H8:H12)</f>
        <v>243</v>
      </c>
      <c r="I16" s="229"/>
      <c r="J16" s="229"/>
      <c r="K16" s="229">
        <f>SUM(K8:K12)</f>
        <v>2189.3900000000003</v>
      </c>
      <c r="L16" s="229"/>
      <c r="M16" s="229"/>
      <c r="N16" s="229">
        <f>K16-F16</f>
        <v>-1593.5099999999998</v>
      </c>
      <c r="O16" s="231">
        <f>N16/F16</f>
        <v>-0.42124031827433972</v>
      </c>
      <c r="P16" s="4"/>
      <c r="Q16" s="4"/>
    </row>
    <row r="17" spans="1:20" ht="18" customHeight="1" x14ac:dyDescent="0.25">
      <c r="A17" s="24"/>
      <c r="B17" s="247"/>
      <c r="C17" s="248"/>
      <c r="D17" s="249"/>
      <c r="E17" s="249"/>
      <c r="F17" s="249"/>
      <c r="G17" s="247"/>
      <c r="H17" s="248"/>
      <c r="I17" s="249"/>
      <c r="J17" s="249"/>
      <c r="K17" s="249"/>
      <c r="L17" s="247"/>
      <c r="M17" s="249"/>
      <c r="N17" s="249"/>
      <c r="O17" s="250"/>
    </row>
    <row r="18" spans="1:20" ht="18" customHeight="1" x14ac:dyDescent="0.25">
      <c r="A18" s="232" t="s">
        <v>48</v>
      </c>
      <c r="B18" s="233">
        <v>42186</v>
      </c>
      <c r="C18" s="234">
        <v>10</v>
      </c>
      <c r="D18" s="235">
        <v>101.7</v>
      </c>
      <c r="E18" s="235"/>
      <c r="F18" s="235">
        <f>C18*D18</f>
        <v>1017</v>
      </c>
      <c r="G18" s="233">
        <v>42186</v>
      </c>
      <c r="H18" s="234">
        <v>10</v>
      </c>
      <c r="I18" s="235">
        <v>103</v>
      </c>
      <c r="J18" s="235">
        <v>0.02</v>
      </c>
      <c r="K18" s="235">
        <f>H18*I18-J18</f>
        <v>1029.98</v>
      </c>
      <c r="L18" s="236"/>
      <c r="M18" s="235"/>
      <c r="N18" s="235"/>
      <c r="O18" s="237"/>
    </row>
    <row r="19" spans="1:20" ht="18" customHeight="1" x14ac:dyDescent="0.25">
      <c r="A19" s="232"/>
      <c r="B19" s="238"/>
      <c r="C19" s="239">
        <f>SUM(C18)</f>
        <v>10</v>
      </c>
      <c r="D19" s="240"/>
      <c r="E19" s="240"/>
      <c r="F19" s="240">
        <f>SUM(F18)</f>
        <v>1017</v>
      </c>
      <c r="G19" s="241"/>
      <c r="H19" s="239">
        <f>SUM(H18)</f>
        <v>10</v>
      </c>
      <c r="I19" s="240"/>
      <c r="J19" s="240"/>
      <c r="K19" s="240">
        <f>SUM(K18)</f>
        <v>1029.98</v>
      </c>
      <c r="L19" s="241"/>
      <c r="M19" s="240"/>
      <c r="N19" s="240">
        <f>K19-F19</f>
        <v>12.980000000000018</v>
      </c>
      <c r="O19" s="242">
        <f>(N19+M19)/F19</f>
        <v>1.2763028515240922E-2</v>
      </c>
      <c r="P19" s="136"/>
    </row>
    <row r="20" spans="1:20" ht="18" customHeight="1" x14ac:dyDescent="0.25">
      <c r="A20" s="24"/>
      <c r="B20" s="247"/>
      <c r="C20" s="248"/>
      <c r="D20" s="249"/>
      <c r="E20" s="24"/>
      <c r="F20" s="249"/>
      <c r="G20" s="247"/>
      <c r="H20" s="248"/>
      <c r="I20" s="249"/>
      <c r="K20" s="249"/>
      <c r="L20" s="247"/>
      <c r="M20" s="249"/>
      <c r="N20" s="249"/>
      <c r="O20" s="250"/>
      <c r="R20" s="247"/>
      <c r="S20" s="248"/>
      <c r="T20" s="249"/>
    </row>
    <row r="21" spans="1:20" ht="18" customHeight="1" x14ac:dyDescent="0.25">
      <c r="A21" s="232" t="s">
        <v>68</v>
      </c>
      <c r="B21" s="233">
        <v>42164</v>
      </c>
      <c r="C21" s="234">
        <v>20</v>
      </c>
      <c r="D21" s="235">
        <v>11.25</v>
      </c>
      <c r="E21" s="236">
        <v>0</v>
      </c>
      <c r="F21" s="235">
        <f t="shared" ref="F21:F26" si="1">C21*D21+E21</f>
        <v>225</v>
      </c>
      <c r="G21" s="233">
        <v>42235</v>
      </c>
      <c r="H21" s="234">
        <v>110</v>
      </c>
      <c r="I21" s="235">
        <v>8.69</v>
      </c>
      <c r="J21" s="234">
        <v>0.02</v>
      </c>
      <c r="K21" s="235">
        <f>H21*I21-J21</f>
        <v>955.88</v>
      </c>
      <c r="L21" s="236">
        <v>42346</v>
      </c>
      <c r="M21" s="235">
        <f>21.93-0.91-2.19-4.38</f>
        <v>14.45</v>
      </c>
      <c r="N21" s="235"/>
      <c r="O21" s="237"/>
      <c r="R21" s="143"/>
      <c r="S21" s="141"/>
      <c r="T21" s="142"/>
    </row>
    <row r="22" spans="1:20" ht="18" customHeight="1" x14ac:dyDescent="0.25">
      <c r="A22" s="232" t="s">
        <v>123</v>
      </c>
      <c r="B22" s="233">
        <v>42187</v>
      </c>
      <c r="C22" s="234">
        <v>20</v>
      </c>
      <c r="D22" s="235">
        <v>10.28</v>
      </c>
      <c r="E22" s="236">
        <v>0</v>
      </c>
      <c r="F22" s="235">
        <f t="shared" si="1"/>
        <v>205.6</v>
      </c>
      <c r="G22" s="233">
        <v>42331</v>
      </c>
      <c r="H22" s="234">
        <v>150</v>
      </c>
      <c r="I22" s="235">
        <v>8.7100000000000009</v>
      </c>
      <c r="J22" s="234">
        <v>0.51</v>
      </c>
      <c r="K22" s="235">
        <f>H22*I22-J22</f>
        <v>1305.9900000000002</v>
      </c>
      <c r="L22" s="236"/>
      <c r="M22" s="235"/>
      <c r="N22" s="235"/>
      <c r="O22" s="237"/>
      <c r="R22" s="143"/>
      <c r="S22" s="141"/>
      <c r="T22" s="142"/>
    </row>
    <row r="23" spans="1:20" ht="18" customHeight="1" x14ac:dyDescent="0.25">
      <c r="A23" s="232"/>
      <c r="B23" s="233">
        <v>42198</v>
      </c>
      <c r="C23" s="234">
        <v>40</v>
      </c>
      <c r="D23" s="235">
        <v>10.119999999999999</v>
      </c>
      <c r="E23" s="236">
        <v>0</v>
      </c>
      <c r="F23" s="235">
        <f t="shared" si="1"/>
        <v>404.79999999999995</v>
      </c>
      <c r="G23" s="233">
        <v>42332</v>
      </c>
      <c r="H23" s="234">
        <v>120</v>
      </c>
      <c r="I23" s="235">
        <v>9.0500000000000007</v>
      </c>
      <c r="J23" s="234">
        <v>0.02</v>
      </c>
      <c r="K23" s="235">
        <f>H23*I23-J23</f>
        <v>1085.98</v>
      </c>
      <c r="L23" s="236"/>
      <c r="M23" s="235"/>
      <c r="N23" s="235"/>
      <c r="O23" s="237"/>
      <c r="R23" s="143"/>
      <c r="S23" s="141"/>
      <c r="T23" s="142"/>
    </row>
    <row r="24" spans="1:20" ht="18" customHeight="1" x14ac:dyDescent="0.25">
      <c r="A24" s="232"/>
      <c r="B24" s="233">
        <v>42198</v>
      </c>
      <c r="C24" s="234">
        <v>40</v>
      </c>
      <c r="D24" s="235">
        <v>9.94</v>
      </c>
      <c r="E24" s="236">
        <v>0</v>
      </c>
      <c r="F24" s="235">
        <f t="shared" si="1"/>
        <v>397.59999999999997</v>
      </c>
      <c r="G24" s="233"/>
      <c r="H24" s="234"/>
      <c r="I24" s="235"/>
      <c r="J24" s="234"/>
      <c r="K24" s="235"/>
      <c r="L24" s="236"/>
      <c r="M24" s="235"/>
      <c r="N24" s="235"/>
      <c r="O24" s="237"/>
    </row>
    <row r="25" spans="1:20" ht="18" customHeight="1" x14ac:dyDescent="0.25">
      <c r="A25" s="232"/>
      <c r="B25" s="233">
        <v>42233</v>
      </c>
      <c r="C25" s="234">
        <v>110</v>
      </c>
      <c r="D25" s="235">
        <v>8.48</v>
      </c>
      <c r="E25" s="236">
        <v>0</v>
      </c>
      <c r="F25" s="235">
        <f t="shared" si="1"/>
        <v>932.80000000000007</v>
      </c>
      <c r="G25" s="233"/>
      <c r="H25" s="234"/>
      <c r="I25" s="235"/>
      <c r="J25" s="234"/>
      <c r="K25" s="235"/>
      <c r="L25" s="236"/>
      <c r="M25" s="235"/>
      <c r="N25" s="235"/>
      <c r="O25" s="237"/>
    </row>
    <row r="26" spans="1:20" ht="18" customHeight="1" x14ac:dyDescent="0.25">
      <c r="A26" s="232"/>
      <c r="B26" s="233">
        <v>42270</v>
      </c>
      <c r="C26" s="234">
        <v>150</v>
      </c>
      <c r="D26" s="235">
        <v>7.73</v>
      </c>
      <c r="E26" s="236">
        <v>0</v>
      </c>
      <c r="F26" s="235">
        <f t="shared" si="1"/>
        <v>1159.5</v>
      </c>
      <c r="G26" s="233"/>
      <c r="H26" s="234"/>
      <c r="I26" s="235"/>
      <c r="J26" s="234"/>
      <c r="K26" s="235"/>
      <c r="L26" s="236"/>
      <c r="M26" s="235"/>
      <c r="N26" s="235"/>
      <c r="O26" s="237"/>
    </row>
    <row r="27" spans="1:20" ht="18" customHeight="1" x14ac:dyDescent="0.25">
      <c r="A27" s="232"/>
      <c r="B27" s="238"/>
      <c r="C27" s="239">
        <f>SUM(C21:C26)</f>
        <v>380</v>
      </c>
      <c r="D27" s="240"/>
      <c r="E27" s="241"/>
      <c r="F27" s="240">
        <f>SUM(F21:F26)</f>
        <v>3325.3</v>
      </c>
      <c r="G27" s="241"/>
      <c r="H27" s="239">
        <f>SUM(H21:H26)</f>
        <v>380</v>
      </c>
      <c r="I27" s="240"/>
      <c r="J27" s="239"/>
      <c r="K27" s="240">
        <f>SUM(K21:K26)</f>
        <v>3347.8500000000004</v>
      </c>
      <c r="L27" s="241"/>
      <c r="M27" s="240">
        <f>SUM(M21:M26)</f>
        <v>14.45</v>
      </c>
      <c r="N27" s="240">
        <f>K27-F27</f>
        <v>22.550000000000182</v>
      </c>
      <c r="O27" s="242">
        <f>(N27+M27)/F27</f>
        <v>1.112681562565789E-2</v>
      </c>
    </row>
    <row r="28" spans="1:20" ht="18" customHeight="1" x14ac:dyDescent="0.25">
      <c r="A28" s="24"/>
      <c r="B28" s="143"/>
      <c r="C28" s="141"/>
      <c r="D28" s="142"/>
      <c r="E28" s="24"/>
      <c r="F28" s="142"/>
      <c r="G28" s="143"/>
      <c r="H28" s="141"/>
      <c r="I28" s="142"/>
      <c r="K28" s="142"/>
      <c r="L28" s="143"/>
      <c r="M28" s="142"/>
      <c r="N28" s="142"/>
      <c r="O28" s="144"/>
    </row>
    <row r="29" spans="1:20" ht="18" customHeight="1" x14ac:dyDescent="0.25">
      <c r="A29" s="232" t="s">
        <v>29</v>
      </c>
      <c r="B29" s="233">
        <v>42164</v>
      </c>
      <c r="C29" s="234">
        <v>5</v>
      </c>
      <c r="D29" s="235">
        <v>45.9</v>
      </c>
      <c r="E29" s="236"/>
      <c r="F29" s="235">
        <f>C29*D29</f>
        <v>229.5</v>
      </c>
      <c r="G29" s="233">
        <v>42195</v>
      </c>
      <c r="H29" s="234">
        <v>20</v>
      </c>
      <c r="I29" s="235">
        <v>46.15</v>
      </c>
      <c r="J29" s="234">
        <v>0.02</v>
      </c>
      <c r="K29" s="235">
        <f>H29*I29-J29</f>
        <v>922.98</v>
      </c>
      <c r="L29" s="236"/>
      <c r="M29" s="235"/>
      <c r="N29" s="235"/>
      <c r="O29" s="237"/>
    </row>
    <row r="30" spans="1:20" ht="18" customHeight="1" x14ac:dyDescent="0.25">
      <c r="A30" s="232"/>
      <c r="B30" s="233">
        <v>42184</v>
      </c>
      <c r="C30" s="234">
        <v>5</v>
      </c>
      <c r="D30" s="235">
        <v>44.5</v>
      </c>
      <c r="E30" s="236"/>
      <c r="F30" s="235">
        <f>C30*D30</f>
        <v>222.5</v>
      </c>
      <c r="G30" s="236"/>
      <c r="H30" s="234"/>
      <c r="I30" s="235"/>
      <c r="J30" s="234"/>
      <c r="K30" s="235"/>
      <c r="L30" s="236"/>
      <c r="M30" s="235"/>
      <c r="N30" s="235"/>
      <c r="O30" s="237"/>
    </row>
    <row r="31" spans="1:20" ht="18" customHeight="1" x14ac:dyDescent="0.25">
      <c r="A31" s="232"/>
      <c r="B31" s="233">
        <v>42184</v>
      </c>
      <c r="C31" s="234">
        <v>10</v>
      </c>
      <c r="D31" s="235">
        <v>44.35</v>
      </c>
      <c r="E31" s="236"/>
      <c r="F31" s="235">
        <f>C31*D31</f>
        <v>443.5</v>
      </c>
      <c r="G31" s="236"/>
      <c r="H31" s="234"/>
      <c r="I31" s="235"/>
      <c r="J31" s="234"/>
      <c r="K31" s="235"/>
      <c r="L31" s="236"/>
      <c r="M31" s="235"/>
      <c r="N31" s="235"/>
      <c r="O31" s="237"/>
    </row>
    <row r="32" spans="1:20" ht="18" customHeight="1" x14ac:dyDescent="0.25">
      <c r="A32" s="232"/>
      <c r="B32" s="238"/>
      <c r="C32" s="239">
        <f>SUM(C29:C31)</f>
        <v>20</v>
      </c>
      <c r="D32" s="240"/>
      <c r="E32" s="241"/>
      <c r="F32" s="240">
        <f>SUM(F29:F31)</f>
        <v>895.5</v>
      </c>
      <c r="G32" s="241"/>
      <c r="H32" s="239">
        <f>SUM(H29:H31)</f>
        <v>20</v>
      </c>
      <c r="I32" s="240"/>
      <c r="J32" s="239"/>
      <c r="K32" s="240">
        <f>SUM(K29:K31)</f>
        <v>922.98</v>
      </c>
      <c r="L32" s="241"/>
      <c r="M32" s="240"/>
      <c r="N32" s="240">
        <f>K32-F32</f>
        <v>27.480000000000018</v>
      </c>
      <c r="O32" s="242">
        <f>(N32+M32)/F32</f>
        <v>3.0686767169179251E-2</v>
      </c>
    </row>
    <row r="33" spans="1:16" ht="18" customHeight="1" x14ac:dyDescent="0.25">
      <c r="A33" s="24"/>
      <c r="B33" s="247"/>
      <c r="C33" s="248"/>
      <c r="D33" s="249"/>
      <c r="E33" s="24"/>
      <c r="F33" s="249"/>
      <c r="G33" s="247"/>
      <c r="H33" s="248"/>
      <c r="I33" s="249"/>
      <c r="K33" s="249"/>
      <c r="L33" s="247"/>
      <c r="M33" s="249"/>
      <c r="N33" s="249"/>
      <c r="O33" s="250"/>
    </row>
    <row r="34" spans="1:16" ht="18" customHeight="1" x14ac:dyDescent="0.25">
      <c r="A34" s="221" t="s">
        <v>11</v>
      </c>
      <c r="B34" s="222">
        <v>42150</v>
      </c>
      <c r="C34" s="223">
        <v>5</v>
      </c>
      <c r="D34" s="224">
        <v>169</v>
      </c>
      <c r="E34" s="224">
        <v>0</v>
      </c>
      <c r="F34" s="224">
        <f>C34*D34+E34</f>
        <v>845</v>
      </c>
      <c r="G34" s="222">
        <v>42186</v>
      </c>
      <c r="H34" s="223">
        <v>100</v>
      </c>
      <c r="I34" s="224">
        <v>167</v>
      </c>
      <c r="J34" s="224">
        <v>0.31</v>
      </c>
      <c r="K34" s="224">
        <f t="shared" ref="K34:K49" si="2">H34*I34-J34</f>
        <v>16699.689999999999</v>
      </c>
      <c r="L34" s="223"/>
      <c r="M34" s="223"/>
      <c r="N34" s="223"/>
      <c r="O34" s="226"/>
    </row>
    <row r="35" spans="1:16" ht="18" customHeight="1" x14ac:dyDescent="0.25">
      <c r="A35" s="267"/>
      <c r="B35" s="222">
        <v>42150</v>
      </c>
      <c r="C35" s="223">
        <v>10</v>
      </c>
      <c r="D35" s="224">
        <v>166.5</v>
      </c>
      <c r="E35" s="224">
        <v>0</v>
      </c>
      <c r="F35" s="224">
        <f t="shared" ref="F35:F54" si="3">C35*D35+E35</f>
        <v>1665</v>
      </c>
      <c r="G35" s="222">
        <v>42186</v>
      </c>
      <c r="H35" s="223">
        <v>100</v>
      </c>
      <c r="I35" s="224">
        <v>167</v>
      </c>
      <c r="J35" s="224">
        <v>0.31</v>
      </c>
      <c r="K35" s="224">
        <f t="shared" si="2"/>
        <v>16699.689999999999</v>
      </c>
      <c r="L35" s="223"/>
      <c r="M35" s="223"/>
      <c r="N35" s="223"/>
      <c r="O35" s="226"/>
    </row>
    <row r="36" spans="1:16" ht="18" customHeight="1" x14ac:dyDescent="0.25">
      <c r="A36" s="223"/>
      <c r="B36" s="222">
        <v>42150</v>
      </c>
      <c r="C36" s="223">
        <v>30</v>
      </c>
      <c r="D36" s="224">
        <v>165.4</v>
      </c>
      <c r="E36" s="224">
        <v>0</v>
      </c>
      <c r="F36" s="224">
        <f t="shared" si="3"/>
        <v>4962</v>
      </c>
      <c r="G36" s="222">
        <v>42186</v>
      </c>
      <c r="H36" s="223">
        <v>50</v>
      </c>
      <c r="I36" s="224">
        <v>168.5</v>
      </c>
      <c r="J36" s="224">
        <v>0.16</v>
      </c>
      <c r="K36" s="224">
        <f t="shared" si="2"/>
        <v>8424.84</v>
      </c>
      <c r="L36" s="223"/>
      <c r="M36" s="223"/>
      <c r="N36" s="223"/>
      <c r="O36" s="226"/>
    </row>
    <row r="37" spans="1:16" ht="18" customHeight="1" x14ac:dyDescent="0.25">
      <c r="A37" s="223"/>
      <c r="B37" s="222">
        <v>42150</v>
      </c>
      <c r="C37" s="223">
        <v>10</v>
      </c>
      <c r="D37" s="224">
        <v>164.85</v>
      </c>
      <c r="E37" s="224">
        <v>0</v>
      </c>
      <c r="F37" s="224">
        <f t="shared" si="3"/>
        <v>1648.5</v>
      </c>
      <c r="G37" s="222">
        <v>42236</v>
      </c>
      <c r="H37" s="223">
        <v>10</v>
      </c>
      <c r="I37" s="224">
        <v>133.19999999999999</v>
      </c>
      <c r="J37" s="224">
        <v>0.02</v>
      </c>
      <c r="K37" s="224">
        <f t="shared" si="2"/>
        <v>1331.98</v>
      </c>
      <c r="L37" s="223"/>
      <c r="M37" s="223"/>
      <c r="N37" s="223"/>
      <c r="O37" s="226"/>
    </row>
    <row r="38" spans="1:16" ht="18" customHeight="1" x14ac:dyDescent="0.25">
      <c r="A38" s="223"/>
      <c r="B38" s="222">
        <v>42186</v>
      </c>
      <c r="C38" s="223">
        <v>145</v>
      </c>
      <c r="D38" s="224">
        <v>166</v>
      </c>
      <c r="E38" s="224">
        <v>0</v>
      </c>
      <c r="F38" s="224">
        <f t="shared" si="3"/>
        <v>24070</v>
      </c>
      <c r="G38" s="222">
        <v>42240</v>
      </c>
      <c r="H38" s="223">
        <v>20</v>
      </c>
      <c r="I38" s="224">
        <v>130</v>
      </c>
      <c r="J38" s="224">
        <v>0.05</v>
      </c>
      <c r="K38" s="224">
        <f t="shared" si="2"/>
        <v>2599.9499999999998</v>
      </c>
      <c r="L38" s="223"/>
      <c r="M38" s="223"/>
      <c r="N38" s="223"/>
      <c r="O38" s="226"/>
    </row>
    <row r="39" spans="1:16" ht="18" customHeight="1" x14ac:dyDescent="0.25">
      <c r="A39" s="223"/>
      <c r="B39" s="222">
        <v>42186</v>
      </c>
      <c r="C39" s="223">
        <v>100</v>
      </c>
      <c r="D39" s="224">
        <v>164</v>
      </c>
      <c r="E39" s="224">
        <v>0</v>
      </c>
      <c r="F39" s="224">
        <f t="shared" si="3"/>
        <v>16400</v>
      </c>
      <c r="G39" s="222">
        <v>42270</v>
      </c>
      <c r="H39" s="223">
        <v>50</v>
      </c>
      <c r="I39" s="224">
        <v>141.19999999999999</v>
      </c>
      <c r="J39" s="224">
        <v>0.13</v>
      </c>
      <c r="K39" s="224">
        <f t="shared" si="2"/>
        <v>7059.869999999999</v>
      </c>
      <c r="L39" s="223"/>
      <c r="M39" s="223"/>
      <c r="N39" s="223"/>
      <c r="O39" s="226"/>
    </row>
    <row r="40" spans="1:16" ht="18" customHeight="1" x14ac:dyDescent="0.25">
      <c r="A40" s="223"/>
      <c r="B40" s="222">
        <v>42235</v>
      </c>
      <c r="C40" s="223">
        <v>10</v>
      </c>
      <c r="D40" s="224">
        <v>124</v>
      </c>
      <c r="E40" s="224">
        <v>0</v>
      </c>
      <c r="F40" s="224">
        <f t="shared" si="3"/>
        <v>1240</v>
      </c>
      <c r="G40" s="222">
        <v>42305</v>
      </c>
      <c r="H40" s="223">
        <v>150</v>
      </c>
      <c r="I40" s="224">
        <v>82</v>
      </c>
      <c r="J40" s="224">
        <v>0.23</v>
      </c>
      <c r="K40" s="224">
        <f t="shared" si="2"/>
        <v>12299.77</v>
      </c>
      <c r="L40" s="223"/>
      <c r="M40" s="223"/>
      <c r="N40" s="223"/>
      <c r="O40" s="226"/>
    </row>
    <row r="41" spans="1:16" ht="18" customHeight="1" x14ac:dyDescent="0.25">
      <c r="A41" s="223"/>
      <c r="B41" s="222">
        <v>42240</v>
      </c>
      <c r="C41" s="223">
        <v>20</v>
      </c>
      <c r="D41" s="224">
        <v>123</v>
      </c>
      <c r="E41" s="224">
        <v>0</v>
      </c>
      <c r="F41" s="224">
        <f t="shared" si="3"/>
        <v>2460</v>
      </c>
      <c r="G41" s="222">
        <v>42307</v>
      </c>
      <c r="H41" s="223">
        <v>120</v>
      </c>
      <c r="I41" s="224">
        <v>85.8</v>
      </c>
      <c r="J41" s="224">
        <v>7.14</v>
      </c>
      <c r="K41" s="224">
        <f t="shared" si="2"/>
        <v>10288.86</v>
      </c>
      <c r="L41" s="223"/>
      <c r="M41" s="223"/>
      <c r="N41" s="223"/>
      <c r="O41" s="223"/>
    </row>
    <row r="42" spans="1:16" ht="18" customHeight="1" x14ac:dyDescent="0.25">
      <c r="A42" s="223"/>
      <c r="B42" s="222">
        <v>42271</v>
      </c>
      <c r="C42" s="223">
        <v>50</v>
      </c>
      <c r="D42" s="224">
        <v>123.05</v>
      </c>
      <c r="E42" s="224">
        <v>0</v>
      </c>
      <c r="F42" s="224">
        <f t="shared" si="3"/>
        <v>6152.5</v>
      </c>
      <c r="G42" s="222">
        <v>42313</v>
      </c>
      <c r="H42" s="223">
        <v>80</v>
      </c>
      <c r="I42" s="224">
        <v>83</v>
      </c>
      <c r="J42" s="224">
        <v>0.12</v>
      </c>
      <c r="K42" s="224">
        <f t="shared" si="2"/>
        <v>6639.88</v>
      </c>
      <c r="L42" s="223"/>
      <c r="M42" s="223"/>
      <c r="N42" s="223"/>
      <c r="O42" s="223"/>
    </row>
    <row r="43" spans="1:16" ht="18" customHeight="1" x14ac:dyDescent="0.25">
      <c r="A43" s="223"/>
      <c r="B43" s="222">
        <v>42271</v>
      </c>
      <c r="C43" s="223">
        <v>50</v>
      </c>
      <c r="D43" s="224">
        <v>138.5</v>
      </c>
      <c r="E43" s="224">
        <v>0</v>
      </c>
      <c r="F43" s="224">
        <f t="shared" si="3"/>
        <v>6925</v>
      </c>
      <c r="G43" s="222">
        <v>42320</v>
      </c>
      <c r="H43" s="223">
        <v>200</v>
      </c>
      <c r="I43" s="224">
        <v>73.5</v>
      </c>
      <c r="J43" s="224">
        <v>0.27</v>
      </c>
      <c r="K43" s="224">
        <f t="shared" si="2"/>
        <v>14699.73</v>
      </c>
      <c r="L43" s="223"/>
      <c r="M43" s="223"/>
      <c r="N43" s="223"/>
      <c r="O43" s="223"/>
    </row>
    <row r="44" spans="1:16" ht="18" customHeight="1" x14ac:dyDescent="0.25">
      <c r="A44" s="223"/>
      <c r="B44" s="222">
        <v>42277</v>
      </c>
      <c r="C44" s="223">
        <v>10</v>
      </c>
      <c r="D44" s="224">
        <v>101.5</v>
      </c>
      <c r="E44" s="224">
        <v>0</v>
      </c>
      <c r="F44" s="224">
        <f t="shared" si="3"/>
        <v>1015</v>
      </c>
      <c r="G44" s="222">
        <v>42327</v>
      </c>
      <c r="H44" s="223">
        <v>200</v>
      </c>
      <c r="I44" s="224">
        <v>73.95</v>
      </c>
      <c r="J44" s="224">
        <v>0.27</v>
      </c>
      <c r="K44" s="224">
        <f t="shared" si="2"/>
        <v>14789.73</v>
      </c>
      <c r="L44" s="223"/>
      <c r="M44" s="223"/>
      <c r="N44" s="223"/>
      <c r="O44" s="223"/>
    </row>
    <row r="45" spans="1:16" ht="18" customHeight="1" x14ac:dyDescent="0.25">
      <c r="A45" s="223"/>
      <c r="B45" s="222">
        <v>42278</v>
      </c>
      <c r="C45" s="223">
        <v>10</v>
      </c>
      <c r="D45" s="224">
        <v>93.95</v>
      </c>
      <c r="E45" s="224">
        <v>0</v>
      </c>
      <c r="F45" s="224">
        <f t="shared" si="3"/>
        <v>939.5</v>
      </c>
      <c r="G45" s="222">
        <v>42339</v>
      </c>
      <c r="H45" s="223">
        <v>60</v>
      </c>
      <c r="I45" s="224">
        <v>89.49</v>
      </c>
      <c r="J45" s="224">
        <v>0.1</v>
      </c>
      <c r="K45" s="224">
        <f t="shared" si="2"/>
        <v>5369.2999999999993</v>
      </c>
      <c r="L45" s="223"/>
      <c r="M45" s="223"/>
      <c r="N45" s="223"/>
      <c r="O45" s="223"/>
    </row>
    <row r="46" spans="1:16" ht="18" customHeight="1" x14ac:dyDescent="0.25">
      <c r="A46" s="223"/>
      <c r="B46" s="222">
        <v>42286</v>
      </c>
      <c r="C46" s="223">
        <v>30</v>
      </c>
      <c r="D46" s="224">
        <v>89.5</v>
      </c>
      <c r="E46" s="224">
        <v>0</v>
      </c>
      <c r="F46" s="224">
        <f t="shared" si="3"/>
        <v>2685</v>
      </c>
      <c r="G46" s="222">
        <v>42340</v>
      </c>
      <c r="H46" s="223">
        <v>60</v>
      </c>
      <c r="I46" s="224">
        <v>93.79</v>
      </c>
      <c r="J46" s="224">
        <v>0.1</v>
      </c>
      <c r="K46" s="224">
        <f t="shared" si="2"/>
        <v>5627.3</v>
      </c>
      <c r="L46" s="223"/>
      <c r="M46" s="223"/>
      <c r="N46" s="223"/>
      <c r="O46" s="223"/>
    </row>
    <row r="47" spans="1:16" ht="18" customHeight="1" x14ac:dyDescent="0.25">
      <c r="A47" s="223"/>
      <c r="B47" s="222">
        <v>42299</v>
      </c>
      <c r="C47" s="223">
        <v>50</v>
      </c>
      <c r="D47" s="224">
        <v>74.3</v>
      </c>
      <c r="E47" s="224">
        <v>0</v>
      </c>
      <c r="F47" s="224">
        <f t="shared" si="3"/>
        <v>3715</v>
      </c>
      <c r="G47" s="222">
        <v>42347</v>
      </c>
      <c r="H47" s="223">
        <v>60</v>
      </c>
      <c r="I47" s="224">
        <v>81.849999999999994</v>
      </c>
      <c r="J47" s="224">
        <v>0.09</v>
      </c>
      <c r="K47" s="224">
        <f t="shared" si="2"/>
        <v>4910.91</v>
      </c>
      <c r="L47" s="223"/>
      <c r="M47" s="223"/>
      <c r="N47" s="223"/>
      <c r="O47" s="223"/>
    </row>
    <row r="48" spans="1:16" ht="18" customHeight="1" x14ac:dyDescent="0.25">
      <c r="A48" s="223"/>
      <c r="B48" s="222">
        <v>42305</v>
      </c>
      <c r="C48" s="223">
        <v>150</v>
      </c>
      <c r="D48" s="224">
        <v>79.5</v>
      </c>
      <c r="E48" s="224">
        <v>0</v>
      </c>
      <c r="F48" s="224">
        <f t="shared" si="3"/>
        <v>11925</v>
      </c>
      <c r="G48" s="222">
        <v>42349</v>
      </c>
      <c r="H48" s="223">
        <v>220</v>
      </c>
      <c r="I48" s="224">
        <v>53.95</v>
      </c>
      <c r="J48" s="224">
        <v>0.22</v>
      </c>
      <c r="K48" s="224">
        <f t="shared" si="2"/>
        <v>11868.78</v>
      </c>
      <c r="L48" s="223"/>
      <c r="M48" s="224"/>
      <c r="N48" s="223"/>
      <c r="O48" s="223"/>
      <c r="P48" s="136"/>
    </row>
    <row r="49" spans="1:16" ht="18" customHeight="1" x14ac:dyDescent="0.25">
      <c r="A49" s="223"/>
      <c r="B49" s="222">
        <v>42310</v>
      </c>
      <c r="C49" s="223">
        <v>120</v>
      </c>
      <c r="D49" s="224">
        <v>82</v>
      </c>
      <c r="E49" s="224">
        <v>6.95</v>
      </c>
      <c r="F49" s="224">
        <f t="shared" si="3"/>
        <v>9846.9500000000007</v>
      </c>
      <c r="G49" s="222">
        <v>42354</v>
      </c>
      <c r="H49" s="223">
        <v>220</v>
      </c>
      <c r="I49" s="224">
        <v>59.47</v>
      </c>
      <c r="J49" s="224">
        <v>0.24</v>
      </c>
      <c r="K49" s="224">
        <f t="shared" si="2"/>
        <v>13083.16</v>
      </c>
      <c r="L49" s="223"/>
      <c r="M49" s="223"/>
      <c r="N49" s="223"/>
      <c r="O49" s="223"/>
      <c r="P49" s="136"/>
    </row>
    <row r="50" spans="1:16" ht="18" customHeight="1" x14ac:dyDescent="0.25">
      <c r="A50" s="223"/>
      <c r="B50" s="222">
        <v>42318</v>
      </c>
      <c r="C50" s="223">
        <v>80</v>
      </c>
      <c r="D50" s="224">
        <v>77.12</v>
      </c>
      <c r="E50" s="224">
        <v>0</v>
      </c>
      <c r="F50" s="224">
        <f t="shared" si="3"/>
        <v>6169.6</v>
      </c>
      <c r="G50" s="222"/>
      <c r="H50" s="223"/>
      <c r="I50" s="224"/>
      <c r="J50" s="224"/>
      <c r="K50" s="224"/>
      <c r="L50" s="223"/>
      <c r="M50" s="223"/>
      <c r="N50" s="223"/>
      <c r="O50" s="223"/>
      <c r="P50" s="136"/>
    </row>
    <row r="51" spans="1:16" ht="18" customHeight="1" x14ac:dyDescent="0.25">
      <c r="A51" s="223"/>
      <c r="B51" s="222">
        <v>42320</v>
      </c>
      <c r="C51" s="223">
        <v>200</v>
      </c>
      <c r="D51" s="224">
        <v>73.010000000000005</v>
      </c>
      <c r="E51" s="224">
        <v>0</v>
      </c>
      <c r="F51" s="224">
        <f t="shared" si="3"/>
        <v>14602.000000000002</v>
      </c>
      <c r="G51" s="222"/>
      <c r="H51" s="223"/>
      <c r="I51" s="224"/>
      <c r="J51" s="224"/>
      <c r="K51" s="224"/>
      <c r="L51" s="223"/>
      <c r="M51" s="223"/>
      <c r="N51" s="223"/>
      <c r="O51" s="223"/>
    </row>
    <row r="52" spans="1:16" ht="18" customHeight="1" x14ac:dyDescent="0.25">
      <c r="A52" s="223"/>
      <c r="B52" s="222">
        <v>42327</v>
      </c>
      <c r="C52" s="223">
        <v>200</v>
      </c>
      <c r="D52" s="224">
        <v>73.11</v>
      </c>
      <c r="E52" s="224">
        <v>0</v>
      </c>
      <c r="F52" s="224">
        <f t="shared" si="3"/>
        <v>14622</v>
      </c>
      <c r="G52" s="223"/>
      <c r="H52" s="223"/>
      <c r="I52" s="224"/>
      <c r="J52" s="224"/>
      <c r="K52" s="224"/>
      <c r="L52" s="223"/>
      <c r="M52" s="223"/>
      <c r="N52" s="223"/>
      <c r="O52" s="223"/>
    </row>
    <row r="53" spans="1:16" ht="18" customHeight="1" x14ac:dyDescent="0.25">
      <c r="A53" s="223"/>
      <c r="B53" s="222">
        <v>42339</v>
      </c>
      <c r="C53" s="223">
        <v>60</v>
      </c>
      <c r="D53" s="224">
        <v>89.38</v>
      </c>
      <c r="E53" s="224">
        <v>0</v>
      </c>
      <c r="F53" s="224">
        <f t="shared" si="3"/>
        <v>5362.7999999999993</v>
      </c>
      <c r="G53" s="223"/>
      <c r="H53" s="223"/>
      <c r="I53" s="224"/>
      <c r="J53" s="224"/>
      <c r="K53" s="224"/>
      <c r="L53" s="223"/>
      <c r="M53" s="223"/>
      <c r="N53" s="223"/>
      <c r="O53" s="223"/>
    </row>
    <row r="54" spans="1:16" ht="18" customHeight="1" x14ac:dyDescent="0.25">
      <c r="A54" s="223"/>
      <c r="B54" s="222">
        <v>42340</v>
      </c>
      <c r="C54" s="223">
        <v>60</v>
      </c>
      <c r="D54" s="224">
        <v>93.06</v>
      </c>
      <c r="E54" s="224">
        <v>0</v>
      </c>
      <c r="F54" s="224">
        <f t="shared" si="3"/>
        <v>5583.6</v>
      </c>
      <c r="G54" s="223"/>
      <c r="H54" s="223"/>
      <c r="I54" s="224"/>
      <c r="J54" s="224"/>
      <c r="K54" s="224"/>
      <c r="L54" s="223"/>
      <c r="M54" s="223"/>
      <c r="N54" s="223"/>
      <c r="O54" s="223"/>
    </row>
    <row r="55" spans="1:16" ht="18" customHeight="1" x14ac:dyDescent="0.25">
      <c r="A55" s="223"/>
      <c r="B55" s="222">
        <v>42342</v>
      </c>
      <c r="C55" s="223">
        <v>10</v>
      </c>
      <c r="D55" s="224">
        <v>80.989999999999995</v>
      </c>
      <c r="E55" s="224">
        <v>0</v>
      </c>
      <c r="F55" s="224">
        <f>C55*D55+E55</f>
        <v>809.9</v>
      </c>
      <c r="G55" s="223"/>
      <c r="H55" s="223"/>
      <c r="I55" s="224"/>
      <c r="J55" s="224"/>
      <c r="K55" s="224"/>
      <c r="L55" s="223"/>
      <c r="M55" s="223"/>
      <c r="N55" s="223"/>
      <c r="O55" s="223"/>
    </row>
    <row r="56" spans="1:16" ht="18" customHeight="1" x14ac:dyDescent="0.25">
      <c r="A56" s="223"/>
      <c r="B56" s="222">
        <v>42348</v>
      </c>
      <c r="C56" s="223">
        <v>70</v>
      </c>
      <c r="D56" s="224">
        <v>58.01</v>
      </c>
      <c r="E56" s="224">
        <v>0</v>
      </c>
      <c r="F56" s="224">
        <f>C56*D56+E56</f>
        <v>4060.7</v>
      </c>
      <c r="G56" s="223"/>
      <c r="H56" s="223"/>
      <c r="I56" s="224"/>
      <c r="J56" s="224"/>
      <c r="K56" s="224"/>
      <c r="L56" s="223"/>
      <c r="M56" s="223"/>
      <c r="N56" s="223"/>
      <c r="O56" s="223"/>
    </row>
    <row r="57" spans="1:16" ht="18" customHeight="1" x14ac:dyDescent="0.25">
      <c r="A57" s="223"/>
      <c r="B57" s="222">
        <v>42354</v>
      </c>
      <c r="C57" s="223">
        <v>220</v>
      </c>
      <c r="D57" s="224">
        <v>59.15</v>
      </c>
      <c r="E57" s="224">
        <v>0</v>
      </c>
      <c r="F57" s="224">
        <f>C57*D57+E57</f>
        <v>13013</v>
      </c>
      <c r="G57" s="223"/>
      <c r="H57" s="223"/>
      <c r="I57" s="224"/>
      <c r="J57" s="224"/>
      <c r="K57" s="224"/>
      <c r="L57" s="223"/>
      <c r="M57" s="223"/>
      <c r="N57" s="223"/>
      <c r="O57" s="223"/>
    </row>
    <row r="58" spans="1:16" ht="18" customHeight="1" x14ac:dyDescent="0.25">
      <c r="A58" s="226"/>
      <c r="B58" s="226"/>
      <c r="C58" s="226">
        <f>SUM(C34:C57)</f>
        <v>1700</v>
      </c>
      <c r="D58" s="229"/>
      <c r="E58" s="229"/>
      <c r="F58" s="229">
        <f>SUM(F34:F57)</f>
        <v>160718.04999999999</v>
      </c>
      <c r="G58" s="226"/>
      <c r="H58" s="226">
        <f>SUM(H34:H53)</f>
        <v>1700</v>
      </c>
      <c r="I58" s="229"/>
      <c r="J58" s="229"/>
      <c r="K58" s="229">
        <f>SUM(K34:K53)</f>
        <v>152393.44000000003</v>
      </c>
      <c r="L58" s="226"/>
      <c r="M58" s="226"/>
      <c r="N58" s="229">
        <f>K58-F58</f>
        <v>-8324.6099999999569</v>
      </c>
      <c r="O58" s="231">
        <f>N58/F58</f>
        <v>-5.1796360147475393E-2</v>
      </c>
    </row>
    <row r="59" spans="1:16" ht="18" customHeight="1" x14ac:dyDescent="0.25">
      <c r="B59" s="247"/>
      <c r="C59" s="248"/>
      <c r="D59" s="249"/>
      <c r="E59" s="249"/>
      <c r="F59" s="249"/>
      <c r="G59" s="247"/>
      <c r="H59" s="248"/>
      <c r="I59" s="249"/>
      <c r="K59" s="249"/>
      <c r="L59" s="247"/>
      <c r="M59" s="249"/>
      <c r="N59" s="249"/>
      <c r="O59" s="250"/>
      <c r="P59" s="136"/>
    </row>
    <row r="60" spans="1:16" ht="18" customHeight="1" x14ac:dyDescent="0.25">
      <c r="A60" s="232" t="s">
        <v>30</v>
      </c>
      <c r="B60" s="233">
        <v>42164</v>
      </c>
      <c r="C60" s="234">
        <v>10</v>
      </c>
      <c r="D60" s="235">
        <v>141.4</v>
      </c>
      <c r="E60" s="235"/>
      <c r="F60" s="235">
        <f>C60*D60</f>
        <v>1414</v>
      </c>
      <c r="G60" s="233">
        <v>42216</v>
      </c>
      <c r="H60" s="234">
        <v>10</v>
      </c>
      <c r="I60" s="235">
        <v>143.35</v>
      </c>
      <c r="J60" s="235">
        <v>0.03</v>
      </c>
      <c r="K60" s="235">
        <f>H60*I60-J60</f>
        <v>1433.47</v>
      </c>
      <c r="L60" s="236"/>
      <c r="M60" s="235"/>
      <c r="N60" s="235"/>
      <c r="O60" s="237"/>
    </row>
    <row r="61" spans="1:16" ht="18" customHeight="1" x14ac:dyDescent="0.25">
      <c r="A61" s="251"/>
      <c r="B61" s="252"/>
      <c r="C61" s="253">
        <f>SUM(C60)</f>
        <v>10</v>
      </c>
      <c r="D61" s="254"/>
      <c r="E61" s="254"/>
      <c r="F61" s="254">
        <f>SUM(F60)</f>
        <v>1414</v>
      </c>
      <c r="G61" s="255"/>
      <c r="H61" s="253">
        <f>SUM(H60)</f>
        <v>10</v>
      </c>
      <c r="I61" s="254"/>
      <c r="J61" s="253"/>
      <c r="K61" s="254">
        <f>SUM(K60)</f>
        <v>1433.47</v>
      </c>
      <c r="L61" s="255"/>
      <c r="M61" s="254"/>
      <c r="N61" s="254">
        <f>K61-F61</f>
        <v>19.470000000000027</v>
      </c>
      <c r="O61" s="256">
        <f>(N61+M61)/F61</f>
        <v>1.3769448373408788E-2</v>
      </c>
    </row>
    <row r="62" spans="1:16" ht="18" customHeight="1" x14ac:dyDescent="0.25">
      <c r="B62" s="247"/>
      <c r="C62" s="248"/>
      <c r="D62" s="249"/>
      <c r="E62" s="24"/>
      <c r="F62" s="249"/>
      <c r="G62" s="247"/>
      <c r="H62" s="248"/>
      <c r="I62" s="249"/>
      <c r="K62" s="249"/>
      <c r="L62" s="247"/>
      <c r="M62" s="249"/>
      <c r="N62" s="249"/>
      <c r="O62" s="250"/>
    </row>
    <row r="63" spans="1:16" ht="18" customHeight="1" x14ac:dyDescent="0.25">
      <c r="A63" s="232" t="s">
        <v>52</v>
      </c>
      <c r="B63" s="233">
        <v>42213</v>
      </c>
      <c r="C63" s="234">
        <v>25</v>
      </c>
      <c r="D63" s="235">
        <v>84.9</v>
      </c>
      <c r="E63" s="236"/>
      <c r="F63" s="235">
        <v>2122.5</v>
      </c>
      <c r="G63" s="233">
        <v>42221</v>
      </c>
      <c r="H63" s="234">
        <v>30</v>
      </c>
      <c r="I63" s="235">
        <v>84.23</v>
      </c>
      <c r="J63" s="235">
        <v>0</v>
      </c>
      <c r="K63" s="235">
        <v>2526.85</v>
      </c>
      <c r="L63" s="236"/>
      <c r="M63" s="235"/>
      <c r="N63" s="235"/>
      <c r="O63" s="237"/>
    </row>
    <row r="64" spans="1:16" ht="18" customHeight="1" x14ac:dyDescent="0.25">
      <c r="A64" s="232"/>
      <c r="B64" s="233">
        <v>42213</v>
      </c>
      <c r="C64" s="234">
        <v>5</v>
      </c>
      <c r="D64" s="235">
        <v>84.25</v>
      </c>
      <c r="E64" s="236"/>
      <c r="F64" s="235">
        <v>421.25</v>
      </c>
      <c r="G64" s="233">
        <v>42263</v>
      </c>
      <c r="H64" s="234">
        <v>40</v>
      </c>
      <c r="I64" s="235">
        <v>85</v>
      </c>
      <c r="J64" s="234">
        <v>0.06</v>
      </c>
      <c r="K64" s="235">
        <v>3399.94</v>
      </c>
      <c r="L64" s="236"/>
      <c r="M64" s="235"/>
      <c r="N64" s="235"/>
      <c r="O64" s="237"/>
    </row>
    <row r="65" spans="1:16" ht="18" customHeight="1" x14ac:dyDescent="0.25">
      <c r="A65" s="232"/>
      <c r="B65" s="233">
        <v>42214</v>
      </c>
      <c r="C65" s="234">
        <v>10</v>
      </c>
      <c r="D65" s="235">
        <v>83.2</v>
      </c>
      <c r="E65" s="236"/>
      <c r="F65" s="235">
        <v>832</v>
      </c>
      <c r="G65" s="236"/>
      <c r="H65" s="234"/>
      <c r="I65" s="235"/>
      <c r="J65" s="234"/>
      <c r="K65" s="235"/>
      <c r="L65" s="236"/>
      <c r="M65" s="235"/>
      <c r="N65" s="235"/>
      <c r="O65" s="237"/>
    </row>
    <row r="66" spans="1:16" ht="18" customHeight="1" x14ac:dyDescent="0.25">
      <c r="A66" s="232"/>
      <c r="B66" s="233">
        <v>42215</v>
      </c>
      <c r="C66" s="234">
        <v>5</v>
      </c>
      <c r="D66" s="235">
        <v>82.25</v>
      </c>
      <c r="E66" s="236"/>
      <c r="F66" s="235">
        <v>411.25</v>
      </c>
      <c r="G66" s="236"/>
      <c r="H66" s="234"/>
      <c r="I66" s="235"/>
      <c r="J66" s="234"/>
      <c r="K66" s="235"/>
      <c r="L66" s="236"/>
      <c r="M66" s="235"/>
      <c r="N66" s="235"/>
      <c r="O66" s="237"/>
    </row>
    <row r="67" spans="1:16" ht="18" customHeight="1" x14ac:dyDescent="0.25">
      <c r="A67" s="232"/>
      <c r="B67" s="233">
        <v>42220</v>
      </c>
      <c r="C67" s="234">
        <v>10</v>
      </c>
      <c r="D67" s="235">
        <v>81.349999999999994</v>
      </c>
      <c r="E67" s="236"/>
      <c r="F67" s="235">
        <v>813.5</v>
      </c>
      <c r="G67" s="236"/>
      <c r="H67" s="234"/>
      <c r="I67" s="235"/>
      <c r="J67" s="234"/>
      <c r="K67" s="235"/>
      <c r="L67" s="236"/>
      <c r="M67" s="235"/>
      <c r="N67" s="235"/>
      <c r="O67" s="237"/>
    </row>
    <row r="68" spans="1:16" ht="18" customHeight="1" x14ac:dyDescent="0.25">
      <c r="A68" s="232"/>
      <c r="B68" s="233">
        <v>42220</v>
      </c>
      <c r="C68" s="234">
        <v>5</v>
      </c>
      <c r="D68" s="235">
        <v>82.4</v>
      </c>
      <c r="E68" s="236"/>
      <c r="F68" s="235">
        <v>412</v>
      </c>
      <c r="G68" s="236"/>
      <c r="H68" s="234"/>
      <c r="I68" s="235"/>
      <c r="J68" s="234"/>
      <c r="K68" s="235"/>
      <c r="L68" s="236"/>
      <c r="M68" s="235"/>
      <c r="N68" s="235"/>
      <c r="O68" s="237"/>
    </row>
    <row r="69" spans="1:16" ht="18" customHeight="1" x14ac:dyDescent="0.25">
      <c r="A69" s="232"/>
      <c r="B69" s="233">
        <v>42221</v>
      </c>
      <c r="C69" s="234">
        <v>10</v>
      </c>
      <c r="D69" s="235">
        <v>80.7</v>
      </c>
      <c r="E69" s="236"/>
      <c r="F69" s="235">
        <v>807</v>
      </c>
      <c r="G69" s="236"/>
      <c r="H69" s="234"/>
      <c r="I69" s="235"/>
      <c r="J69" s="234"/>
      <c r="K69" s="235"/>
      <c r="L69" s="236"/>
      <c r="M69" s="235"/>
      <c r="N69" s="235"/>
      <c r="O69" s="237"/>
    </row>
    <row r="70" spans="1:16" ht="18" customHeight="1" x14ac:dyDescent="0.25">
      <c r="A70" s="251"/>
      <c r="B70" s="255"/>
      <c r="C70" s="253">
        <v>70</v>
      </c>
      <c r="D70" s="254"/>
      <c r="E70" s="255"/>
      <c r="F70" s="254">
        <f>SUM(F63:F69)</f>
        <v>5819.5</v>
      </c>
      <c r="G70" s="255"/>
      <c r="H70" s="253">
        <v>70</v>
      </c>
      <c r="I70" s="254"/>
      <c r="J70" s="253"/>
      <c r="K70" s="254">
        <f>SUM(K63:K64)</f>
        <v>5926.79</v>
      </c>
      <c r="L70" s="255"/>
      <c r="M70" s="254"/>
      <c r="N70" s="254">
        <f>K70-F70</f>
        <v>107.28999999999996</v>
      </c>
      <c r="O70" s="256">
        <f>N70/F70</f>
        <v>1.843629177764412E-2</v>
      </c>
    </row>
    <row r="71" spans="1:16" ht="18" customHeight="1" x14ac:dyDescent="0.25">
      <c r="B71" s="247"/>
      <c r="C71" s="248"/>
      <c r="D71" s="249"/>
      <c r="E71" s="249"/>
      <c r="F71" s="249"/>
      <c r="G71" s="247"/>
      <c r="H71" s="248"/>
      <c r="I71" s="249"/>
      <c r="K71" s="249"/>
      <c r="L71" s="247"/>
      <c r="M71" s="249"/>
      <c r="N71" s="249"/>
      <c r="O71" s="250"/>
    </row>
    <row r="72" spans="1:16" ht="18" customHeight="1" x14ac:dyDescent="0.25">
      <c r="A72" s="232" t="s">
        <v>8</v>
      </c>
      <c r="B72" s="233">
        <v>42145</v>
      </c>
      <c r="C72" s="234">
        <v>50</v>
      </c>
      <c r="D72" s="235">
        <v>61.7</v>
      </c>
      <c r="E72" s="235"/>
      <c r="F72" s="235">
        <f t="shared" ref="F72:F82" si="4">C72*D72</f>
        <v>3085</v>
      </c>
      <c r="G72" s="233">
        <v>42187</v>
      </c>
      <c r="H72" s="234">
        <v>300</v>
      </c>
      <c r="I72" s="235">
        <v>57.78</v>
      </c>
      <c r="J72" s="235">
        <v>0.32</v>
      </c>
      <c r="K72" s="235">
        <f>H72*I72-J72</f>
        <v>17333.68</v>
      </c>
      <c r="L72" s="233">
        <v>42185</v>
      </c>
      <c r="M72" s="235">
        <v>44.61</v>
      </c>
      <c r="N72" s="235"/>
      <c r="O72" s="237"/>
      <c r="P72" s="136"/>
    </row>
    <row r="73" spans="1:16" ht="18" customHeight="1" x14ac:dyDescent="0.25">
      <c r="A73" s="232"/>
      <c r="B73" s="233">
        <v>42146</v>
      </c>
      <c r="C73" s="234">
        <v>10</v>
      </c>
      <c r="D73" s="235">
        <v>61.37</v>
      </c>
      <c r="E73" s="235"/>
      <c r="F73" s="235">
        <f t="shared" si="4"/>
        <v>613.69999999999993</v>
      </c>
      <c r="G73" s="233">
        <v>42216</v>
      </c>
      <c r="H73" s="234">
        <v>300</v>
      </c>
      <c r="I73" s="235">
        <v>62</v>
      </c>
      <c r="J73" s="234">
        <v>0.34</v>
      </c>
      <c r="K73" s="235">
        <f>H73*I73-J73</f>
        <v>18599.66</v>
      </c>
      <c r="L73" s="236"/>
      <c r="M73" s="235"/>
      <c r="N73" s="235"/>
      <c r="O73" s="237"/>
    </row>
    <row r="74" spans="1:16" ht="18" customHeight="1" x14ac:dyDescent="0.25">
      <c r="A74" s="232"/>
      <c r="B74" s="233">
        <v>42146</v>
      </c>
      <c r="C74" s="234">
        <v>20</v>
      </c>
      <c r="D74" s="235">
        <v>61.12</v>
      </c>
      <c r="E74" s="235"/>
      <c r="F74" s="235">
        <f t="shared" si="4"/>
        <v>1222.3999999999999</v>
      </c>
      <c r="G74" s="236"/>
      <c r="H74" s="234"/>
      <c r="I74" s="235"/>
      <c r="J74" s="235"/>
      <c r="K74" s="235"/>
      <c r="L74" s="236"/>
      <c r="M74" s="235"/>
      <c r="N74" s="235"/>
      <c r="O74" s="237"/>
    </row>
    <row r="75" spans="1:16" ht="18" customHeight="1" x14ac:dyDescent="0.25">
      <c r="A75" s="232"/>
      <c r="B75" s="233">
        <v>42146</v>
      </c>
      <c r="C75" s="234">
        <v>20</v>
      </c>
      <c r="D75" s="235">
        <v>61.1</v>
      </c>
      <c r="E75" s="235"/>
      <c r="F75" s="235">
        <f t="shared" si="4"/>
        <v>1222</v>
      </c>
      <c r="G75" s="236"/>
      <c r="H75" s="234"/>
      <c r="I75" s="235"/>
      <c r="J75" s="234"/>
      <c r="K75" s="235"/>
      <c r="L75" s="236"/>
      <c r="M75" s="235"/>
      <c r="N75" s="235"/>
      <c r="O75" s="237"/>
    </row>
    <row r="76" spans="1:16" ht="18" customHeight="1" x14ac:dyDescent="0.25">
      <c r="A76" s="232"/>
      <c r="B76" s="233">
        <v>42146</v>
      </c>
      <c r="C76" s="234">
        <v>10</v>
      </c>
      <c r="D76" s="235">
        <v>60.8</v>
      </c>
      <c r="E76" s="235"/>
      <c r="F76" s="235">
        <f t="shared" si="4"/>
        <v>608</v>
      </c>
      <c r="G76" s="236"/>
      <c r="H76" s="234"/>
      <c r="I76" s="235"/>
      <c r="J76" s="235"/>
      <c r="K76" s="235"/>
      <c r="L76" s="236"/>
      <c r="M76" s="235"/>
      <c r="N76" s="235"/>
      <c r="O76" s="237"/>
    </row>
    <row r="77" spans="1:16" ht="18" customHeight="1" x14ac:dyDescent="0.25">
      <c r="A77" s="232"/>
      <c r="B77" s="233">
        <v>42146</v>
      </c>
      <c r="C77" s="234">
        <v>20</v>
      </c>
      <c r="D77" s="235">
        <v>60.7</v>
      </c>
      <c r="E77" s="235"/>
      <c r="F77" s="235">
        <f t="shared" si="4"/>
        <v>1214</v>
      </c>
      <c r="G77" s="236"/>
      <c r="H77" s="234"/>
      <c r="I77" s="235"/>
      <c r="J77" s="235"/>
      <c r="K77" s="235"/>
      <c r="L77" s="236"/>
      <c r="M77" s="235"/>
      <c r="N77" s="235"/>
      <c r="O77" s="237"/>
      <c r="P77" s="136"/>
    </row>
    <row r="78" spans="1:16" ht="18" customHeight="1" x14ac:dyDescent="0.25">
      <c r="A78" s="232"/>
      <c r="B78" s="233">
        <v>42150</v>
      </c>
      <c r="C78" s="234">
        <v>20</v>
      </c>
      <c r="D78" s="235">
        <v>60.6</v>
      </c>
      <c r="E78" s="235"/>
      <c r="F78" s="235">
        <f t="shared" si="4"/>
        <v>1212</v>
      </c>
      <c r="G78" s="236"/>
      <c r="H78" s="234"/>
      <c r="I78" s="235"/>
      <c r="J78" s="235"/>
      <c r="K78" s="235"/>
      <c r="L78" s="236"/>
      <c r="M78" s="235"/>
      <c r="N78" s="235"/>
      <c r="O78" s="237"/>
    </row>
    <row r="79" spans="1:16" ht="18" customHeight="1" x14ac:dyDescent="0.25">
      <c r="A79" s="232"/>
      <c r="B79" s="233">
        <v>42152</v>
      </c>
      <c r="C79" s="234">
        <v>30</v>
      </c>
      <c r="D79" s="235">
        <v>60.33</v>
      </c>
      <c r="E79" s="235"/>
      <c r="F79" s="235">
        <f t="shared" si="4"/>
        <v>1809.8999999999999</v>
      </c>
      <c r="G79" s="236"/>
      <c r="H79" s="234"/>
      <c r="I79" s="235"/>
      <c r="J79" s="235"/>
      <c r="K79" s="235"/>
      <c r="L79" s="236"/>
      <c r="M79" s="235"/>
      <c r="N79" s="235"/>
      <c r="O79" s="237"/>
    </row>
    <row r="80" spans="1:16" ht="18" customHeight="1" x14ac:dyDescent="0.25">
      <c r="A80" s="232"/>
      <c r="B80" s="233">
        <v>42152</v>
      </c>
      <c r="C80" s="234">
        <v>30</v>
      </c>
      <c r="D80" s="235">
        <v>60.39</v>
      </c>
      <c r="E80" s="235"/>
      <c r="F80" s="235">
        <f t="shared" si="4"/>
        <v>1811.7</v>
      </c>
      <c r="G80" s="236"/>
      <c r="H80" s="234"/>
      <c r="I80" s="235"/>
      <c r="J80" s="235"/>
      <c r="K80" s="235"/>
      <c r="L80" s="236"/>
      <c r="M80" s="235"/>
      <c r="N80" s="235"/>
      <c r="O80" s="237"/>
    </row>
    <row r="81" spans="1:16" ht="18" customHeight="1" x14ac:dyDescent="0.25">
      <c r="A81" s="232"/>
      <c r="B81" s="233">
        <v>42166</v>
      </c>
      <c r="C81" s="234">
        <v>100</v>
      </c>
      <c r="D81" s="235">
        <v>58</v>
      </c>
      <c r="E81" s="235"/>
      <c r="F81" s="235">
        <f t="shared" si="4"/>
        <v>5800</v>
      </c>
      <c r="G81" s="236"/>
      <c r="H81" s="234"/>
      <c r="I81" s="235"/>
      <c r="J81" s="235"/>
      <c r="K81" s="235"/>
      <c r="L81" s="236"/>
      <c r="M81" s="235"/>
      <c r="N81" s="235"/>
      <c r="O81" s="237"/>
    </row>
    <row r="82" spans="1:16" ht="18" customHeight="1" x14ac:dyDescent="0.25">
      <c r="A82" s="232"/>
      <c r="B82" s="233">
        <v>42187</v>
      </c>
      <c r="C82" s="234">
        <v>290</v>
      </c>
      <c r="D82" s="235">
        <v>57.85</v>
      </c>
      <c r="E82" s="235"/>
      <c r="F82" s="235">
        <f t="shared" si="4"/>
        <v>16776.5</v>
      </c>
      <c r="G82" s="236"/>
      <c r="H82" s="234"/>
      <c r="I82" s="235"/>
      <c r="J82" s="235"/>
      <c r="K82" s="235"/>
      <c r="L82" s="236"/>
      <c r="M82" s="235"/>
      <c r="N82" s="235"/>
      <c r="O82" s="237"/>
    </row>
    <row r="83" spans="1:16" ht="18" customHeight="1" x14ac:dyDescent="0.25">
      <c r="A83" s="232"/>
      <c r="B83" s="238"/>
      <c r="C83" s="239">
        <f>SUM(C72:C82)</f>
        <v>600</v>
      </c>
      <c r="D83" s="240"/>
      <c r="E83" s="240"/>
      <c r="F83" s="240">
        <f>SUM(F72:F82)</f>
        <v>35375.199999999997</v>
      </c>
      <c r="G83" s="241"/>
      <c r="H83" s="239">
        <f>SUM(H72:H82)</f>
        <v>600</v>
      </c>
      <c r="I83" s="240"/>
      <c r="J83" s="240"/>
      <c r="K83" s="240">
        <f>SUM(K72:K82)</f>
        <v>35933.339999999997</v>
      </c>
      <c r="L83" s="241"/>
      <c r="M83" s="240">
        <f>SUM(M72:M82)</f>
        <v>44.61</v>
      </c>
      <c r="N83" s="240">
        <f>K83-F83</f>
        <v>558.13999999999942</v>
      </c>
      <c r="O83" s="242">
        <f>(N83+M83)/F83</f>
        <v>1.7038772925665423E-2</v>
      </c>
      <c r="P83" s="136"/>
    </row>
    <row r="84" spans="1:16" ht="18" customHeight="1" x14ac:dyDescent="0.25">
      <c r="B84" s="247"/>
      <c r="C84" s="248"/>
      <c r="D84" s="249"/>
      <c r="E84" s="24"/>
      <c r="F84" s="249"/>
      <c r="G84" s="247"/>
      <c r="H84" s="248"/>
      <c r="I84" s="249"/>
      <c r="J84" s="249"/>
      <c r="K84" s="249"/>
      <c r="L84" s="247"/>
      <c r="M84" s="249"/>
      <c r="N84" s="249"/>
      <c r="O84" s="250"/>
    </row>
    <row r="85" spans="1:16" ht="18" customHeight="1" x14ac:dyDescent="0.25">
      <c r="A85" s="232" t="s">
        <v>40</v>
      </c>
      <c r="B85" s="233">
        <v>42184</v>
      </c>
      <c r="C85" s="234">
        <v>20</v>
      </c>
      <c r="D85" s="235">
        <v>164.18</v>
      </c>
      <c r="E85" s="235"/>
      <c r="F85" s="235">
        <f>C85*D85</f>
        <v>3283.6000000000004</v>
      </c>
      <c r="G85" s="233">
        <v>42216</v>
      </c>
      <c r="H85" s="234">
        <v>20</v>
      </c>
      <c r="I85" s="235">
        <v>158</v>
      </c>
      <c r="J85" s="235">
        <v>0.06</v>
      </c>
      <c r="K85" s="235">
        <f>H85*I85-J85</f>
        <v>3159.94</v>
      </c>
      <c r="L85" s="236"/>
      <c r="M85" s="235"/>
      <c r="N85" s="235"/>
      <c r="O85" s="234"/>
    </row>
    <row r="86" spans="1:16" ht="18" customHeight="1" x14ac:dyDescent="0.25">
      <c r="A86" s="232"/>
      <c r="B86" s="233">
        <v>42209</v>
      </c>
      <c r="C86" s="234">
        <v>10</v>
      </c>
      <c r="D86" s="235">
        <v>148</v>
      </c>
      <c r="E86" s="235"/>
      <c r="F86" s="235">
        <f>C86*D86</f>
        <v>1480</v>
      </c>
      <c r="G86" s="233">
        <v>42235</v>
      </c>
      <c r="H86" s="234">
        <v>20</v>
      </c>
      <c r="I86" s="235">
        <v>159.80000000000001</v>
      </c>
      <c r="J86" s="235">
        <v>0.06</v>
      </c>
      <c r="K86" s="235">
        <f>H86*I86-J86</f>
        <v>3195.94</v>
      </c>
      <c r="L86" s="236"/>
      <c r="M86" s="235"/>
      <c r="N86" s="235"/>
      <c r="O86" s="234"/>
    </row>
    <row r="87" spans="1:16" ht="18" customHeight="1" x14ac:dyDescent="0.25">
      <c r="A87" s="232"/>
      <c r="B87" s="233">
        <v>42209</v>
      </c>
      <c r="C87" s="234">
        <v>10</v>
      </c>
      <c r="D87" s="235">
        <v>146.69999999999999</v>
      </c>
      <c r="E87" s="235"/>
      <c r="F87" s="235">
        <f>C87*D87</f>
        <v>1467</v>
      </c>
      <c r="G87" s="236"/>
      <c r="H87" s="234"/>
      <c r="I87" s="235"/>
      <c r="J87" s="235"/>
      <c r="K87" s="235"/>
      <c r="L87" s="236"/>
      <c r="M87" s="235"/>
      <c r="N87" s="235"/>
      <c r="O87" s="234"/>
      <c r="P87" s="136"/>
    </row>
    <row r="88" spans="1:16" ht="18" customHeight="1" x14ac:dyDescent="0.25">
      <c r="A88" s="232"/>
      <c r="B88" s="241"/>
      <c r="C88" s="239">
        <f>SUM(C85:C87)</f>
        <v>40</v>
      </c>
      <c r="D88" s="240"/>
      <c r="E88" s="240"/>
      <c r="F88" s="240">
        <f>SUM(F85:F87)</f>
        <v>6230.6</v>
      </c>
      <c r="G88" s="241"/>
      <c r="H88" s="239">
        <f>SUM(H85:H87)</f>
        <v>40</v>
      </c>
      <c r="I88" s="240"/>
      <c r="J88" s="240"/>
      <c r="K88" s="240">
        <f>SUM(K85:K87)</f>
        <v>6355.88</v>
      </c>
      <c r="L88" s="241"/>
      <c r="M88" s="240"/>
      <c r="N88" s="240">
        <f>K88-F88</f>
        <v>125.27999999999975</v>
      </c>
      <c r="O88" s="242">
        <f>(N88+M88)/F88</f>
        <v>2.0107212788495449E-2</v>
      </c>
      <c r="P88" s="136"/>
    </row>
    <row r="89" spans="1:16" ht="18" customHeight="1" x14ac:dyDescent="0.25">
      <c r="B89" s="247"/>
      <c r="C89" s="248"/>
      <c r="D89" s="249"/>
      <c r="E89" s="249"/>
      <c r="F89" s="249"/>
      <c r="G89" s="247"/>
      <c r="H89" s="248"/>
      <c r="I89" s="249"/>
      <c r="J89" s="249"/>
      <c r="K89" s="249"/>
      <c r="L89" s="247"/>
      <c r="M89" s="249"/>
      <c r="N89" s="249"/>
      <c r="O89" s="250"/>
      <c r="P89" s="136"/>
    </row>
    <row r="90" spans="1:16" ht="18" customHeight="1" x14ac:dyDescent="0.25">
      <c r="A90" s="232" t="s">
        <v>19</v>
      </c>
      <c r="B90" s="233">
        <v>42152</v>
      </c>
      <c r="C90" s="234">
        <v>5</v>
      </c>
      <c r="D90" s="235">
        <v>35.049999999999997</v>
      </c>
      <c r="E90" s="235"/>
      <c r="F90" s="235">
        <v>175.25</v>
      </c>
      <c r="G90" s="233">
        <v>42206</v>
      </c>
      <c r="H90" s="234">
        <v>39</v>
      </c>
      <c r="I90" s="235">
        <v>35.65</v>
      </c>
      <c r="J90" s="234">
        <v>0.03</v>
      </c>
      <c r="K90" s="235">
        <f>H90*I90-J90</f>
        <v>1390.32</v>
      </c>
      <c r="L90" s="233">
        <v>42170</v>
      </c>
      <c r="M90" s="235">
        <v>7.73</v>
      </c>
      <c r="N90" s="235"/>
      <c r="O90" s="237"/>
      <c r="P90" s="136"/>
    </row>
    <row r="91" spans="1:16" ht="18" customHeight="1" x14ac:dyDescent="0.25">
      <c r="A91" s="232"/>
      <c r="B91" s="233">
        <v>42153</v>
      </c>
      <c r="C91" s="234">
        <v>25</v>
      </c>
      <c r="D91" s="235">
        <v>34.4</v>
      </c>
      <c r="E91" s="236"/>
      <c r="F91" s="235">
        <v>860</v>
      </c>
      <c r="G91" s="233">
        <v>42264</v>
      </c>
      <c r="H91" s="234">
        <v>51</v>
      </c>
      <c r="I91" s="235">
        <v>35</v>
      </c>
      <c r="J91" s="235">
        <v>0.03</v>
      </c>
      <c r="K91" s="235">
        <f>H91*I91-J91</f>
        <v>1784.97</v>
      </c>
      <c r="L91" s="233">
        <v>42262</v>
      </c>
      <c r="M91" s="235">
        <v>13.64</v>
      </c>
      <c r="N91" s="235"/>
      <c r="O91" s="237"/>
      <c r="P91" s="136"/>
    </row>
    <row r="92" spans="1:16" ht="18" customHeight="1" x14ac:dyDescent="0.25">
      <c r="A92" s="232"/>
      <c r="B92" s="233">
        <v>42173</v>
      </c>
      <c r="C92" s="234">
        <v>10</v>
      </c>
      <c r="D92" s="235">
        <v>34.1</v>
      </c>
      <c r="E92" s="235"/>
      <c r="F92" s="235">
        <v>341</v>
      </c>
      <c r="G92" s="236"/>
      <c r="H92" s="234"/>
      <c r="I92" s="235"/>
      <c r="J92" s="235"/>
      <c r="K92" s="235"/>
      <c r="L92" s="236"/>
      <c r="M92" s="235"/>
      <c r="N92" s="235"/>
      <c r="O92" s="237"/>
      <c r="P92" s="136"/>
    </row>
    <row r="93" spans="1:16" ht="18" customHeight="1" x14ac:dyDescent="0.25">
      <c r="A93" s="232"/>
      <c r="B93" s="233">
        <v>42228</v>
      </c>
      <c r="C93" s="234">
        <v>50</v>
      </c>
      <c r="D93" s="235">
        <v>33.44</v>
      </c>
      <c r="E93" s="235"/>
      <c r="F93" s="235">
        <v>1672.2</v>
      </c>
      <c r="G93" s="236"/>
      <c r="H93" s="234"/>
      <c r="I93" s="235"/>
      <c r="J93" s="235"/>
      <c r="K93" s="235"/>
      <c r="L93" s="236"/>
      <c r="M93" s="235"/>
      <c r="N93" s="235"/>
      <c r="O93" s="237"/>
      <c r="P93" s="136"/>
    </row>
    <row r="94" spans="1:16" ht="18" customHeight="1" x14ac:dyDescent="0.25">
      <c r="A94" s="232"/>
      <c r="B94" s="241"/>
      <c r="C94" s="239">
        <v>90</v>
      </c>
      <c r="D94" s="240"/>
      <c r="E94" s="240"/>
      <c r="F94" s="240">
        <f>SUM(F90:F93)</f>
        <v>3048.45</v>
      </c>
      <c r="G94" s="241"/>
      <c r="H94" s="239">
        <v>90</v>
      </c>
      <c r="I94" s="240"/>
      <c r="J94" s="240"/>
      <c r="K94" s="240">
        <f>SUM(K90:K91)</f>
        <v>3175.29</v>
      </c>
      <c r="L94" s="241"/>
      <c r="M94" s="240">
        <f>SUM(M90:M91)</f>
        <v>21.37</v>
      </c>
      <c r="N94" s="240">
        <f>K94-F94</f>
        <v>126.84000000000015</v>
      </c>
      <c r="O94" s="242">
        <f>N94/F94</f>
        <v>4.1608030310485704E-2</v>
      </c>
      <c r="P94" s="136"/>
    </row>
    <row r="95" spans="1:16" ht="18" customHeight="1" x14ac:dyDescent="0.25">
      <c r="B95" s="247"/>
      <c r="C95" s="248"/>
      <c r="D95" s="249"/>
      <c r="E95" s="249"/>
      <c r="F95" s="249"/>
      <c r="G95" s="247"/>
      <c r="H95" s="248"/>
      <c r="I95" s="249"/>
      <c r="J95" s="249"/>
      <c r="K95" s="249"/>
      <c r="L95" s="247"/>
      <c r="M95" s="249"/>
      <c r="N95" s="249"/>
      <c r="O95" s="250"/>
      <c r="P95" s="136"/>
    </row>
    <row r="96" spans="1:16" ht="18" customHeight="1" x14ac:dyDescent="0.25">
      <c r="A96" s="232" t="s">
        <v>17</v>
      </c>
      <c r="B96" s="233"/>
      <c r="C96" s="234"/>
      <c r="D96" s="235"/>
      <c r="E96" s="235"/>
      <c r="F96" s="235">
        <v>20818.210000000101</v>
      </c>
      <c r="G96" s="233"/>
      <c r="H96" s="234">
        <v>0</v>
      </c>
      <c r="I96" s="235"/>
      <c r="J96" s="234"/>
      <c r="K96" s="235"/>
      <c r="L96" s="233"/>
      <c r="M96" s="235"/>
      <c r="N96" s="235">
        <v>-20818.210000000101</v>
      </c>
      <c r="O96" s="237"/>
      <c r="P96" s="136"/>
    </row>
    <row r="97" spans="1:15" ht="18" customHeight="1" x14ac:dyDescent="0.25">
      <c r="B97" s="247"/>
      <c r="C97" s="248"/>
      <c r="D97" s="249"/>
      <c r="E97" s="24"/>
      <c r="F97" s="249"/>
      <c r="G97" s="247"/>
      <c r="H97" s="248"/>
      <c r="I97" s="249"/>
      <c r="K97" s="249"/>
      <c r="L97" s="247"/>
      <c r="M97" s="249"/>
      <c r="N97" s="249"/>
      <c r="O97" s="250"/>
    </row>
    <row r="98" spans="1:15" ht="18" customHeight="1" x14ac:dyDescent="0.25">
      <c r="A98" s="232" t="s">
        <v>32</v>
      </c>
      <c r="B98" s="233">
        <v>42166</v>
      </c>
      <c r="C98" s="234">
        <v>25</v>
      </c>
      <c r="D98" s="235">
        <v>41.2</v>
      </c>
      <c r="E98" s="236"/>
      <c r="F98" s="235">
        <f>C98*D98</f>
        <v>1030</v>
      </c>
      <c r="G98" s="233">
        <v>42200</v>
      </c>
      <c r="H98" s="234">
        <v>50</v>
      </c>
      <c r="I98" s="235">
        <v>42.08</v>
      </c>
      <c r="J98" s="234">
        <v>0.04</v>
      </c>
      <c r="K98" s="235">
        <f>H98*I98-J98</f>
        <v>2103.96</v>
      </c>
      <c r="L98" s="236"/>
      <c r="M98" s="235"/>
      <c r="N98" s="235"/>
      <c r="O98" s="237"/>
    </row>
    <row r="99" spans="1:15" ht="18" customHeight="1" x14ac:dyDescent="0.25">
      <c r="A99" s="232"/>
      <c r="B99" s="233">
        <v>42167</v>
      </c>
      <c r="C99" s="234">
        <v>25</v>
      </c>
      <c r="D99" s="235">
        <v>39.1</v>
      </c>
      <c r="E99" s="236"/>
      <c r="F99" s="235">
        <f>C99*D99</f>
        <v>977.5</v>
      </c>
      <c r="G99" s="236"/>
      <c r="H99" s="234"/>
      <c r="I99" s="235"/>
      <c r="J99" s="234"/>
      <c r="K99" s="235"/>
      <c r="L99" s="236"/>
      <c r="M99" s="235"/>
      <c r="N99" s="235"/>
      <c r="O99" s="237"/>
    </row>
    <row r="100" spans="1:15" ht="18" customHeight="1" x14ac:dyDescent="0.25">
      <c r="A100" s="232"/>
      <c r="B100" s="238"/>
      <c r="C100" s="239">
        <f>SUM(C98:C99)</f>
        <v>50</v>
      </c>
      <c r="D100" s="240"/>
      <c r="E100" s="241"/>
      <c r="F100" s="240">
        <f>SUM(F98:F99)</f>
        <v>2007.5</v>
      </c>
      <c r="G100" s="241"/>
      <c r="H100" s="239">
        <f>SUM(H98:H99)</f>
        <v>50</v>
      </c>
      <c r="I100" s="240"/>
      <c r="J100" s="239"/>
      <c r="K100" s="240">
        <f>SUM(K98:K99)</f>
        <v>2103.96</v>
      </c>
      <c r="L100" s="241"/>
      <c r="M100" s="240"/>
      <c r="N100" s="240">
        <f>K100-F100</f>
        <v>96.460000000000036</v>
      </c>
      <c r="O100" s="242">
        <f>(N100+M100)/F100</f>
        <v>4.804981320049815E-2</v>
      </c>
    </row>
    <row r="101" spans="1:15" ht="18" customHeight="1" x14ac:dyDescent="0.25">
      <c r="B101" s="247"/>
      <c r="C101" s="248"/>
      <c r="D101" s="249"/>
      <c r="E101" s="249"/>
      <c r="F101" s="249"/>
      <c r="G101" s="247"/>
      <c r="H101" s="248"/>
      <c r="I101" s="249"/>
      <c r="K101" s="249"/>
      <c r="L101" s="247"/>
      <c r="M101" s="249"/>
      <c r="N101" s="249"/>
      <c r="O101" s="250"/>
    </row>
    <row r="102" spans="1:15" ht="18" customHeight="1" x14ac:dyDescent="0.25">
      <c r="A102" s="232" t="s">
        <v>16</v>
      </c>
      <c r="B102" s="233">
        <v>42153</v>
      </c>
      <c r="C102" s="234">
        <v>1</v>
      </c>
      <c r="D102" s="235">
        <v>20.3</v>
      </c>
      <c r="E102" s="235"/>
      <c r="F102" s="235">
        <f>C102*D102</f>
        <v>20.3</v>
      </c>
      <c r="G102" s="233">
        <v>42187</v>
      </c>
      <c r="H102" s="234">
        <v>1</v>
      </c>
      <c r="I102" s="235">
        <v>28.5</v>
      </c>
      <c r="J102" s="235">
        <v>0.01</v>
      </c>
      <c r="K102" s="235">
        <f>H102*I102-J102</f>
        <v>28.49</v>
      </c>
      <c r="L102" s="236"/>
      <c r="M102" s="235"/>
      <c r="N102" s="235"/>
      <c r="O102" s="237"/>
    </row>
    <row r="103" spans="1:15" ht="18" customHeight="1" x14ac:dyDescent="0.25">
      <c r="A103" s="232"/>
      <c r="B103" s="241"/>
      <c r="C103" s="239">
        <f>SUM(C102)</f>
        <v>1</v>
      </c>
      <c r="D103" s="240"/>
      <c r="E103" s="240"/>
      <c r="F103" s="240">
        <f>SUM(F102)</f>
        <v>20.3</v>
      </c>
      <c r="G103" s="241"/>
      <c r="H103" s="239">
        <f>SUM(H102)</f>
        <v>1</v>
      </c>
      <c r="I103" s="240"/>
      <c r="J103" s="240"/>
      <c r="K103" s="240">
        <f>SUM(K102)</f>
        <v>28.49</v>
      </c>
      <c r="L103" s="241"/>
      <c r="M103" s="240"/>
      <c r="N103" s="240">
        <f>K103-F103</f>
        <v>8.1899999999999977</v>
      </c>
      <c r="O103" s="242">
        <f>(N103+M103)/F103</f>
        <v>0.40344827586206883</v>
      </c>
    </row>
    <row r="104" spans="1:15" ht="18" customHeight="1" x14ac:dyDescent="0.25">
      <c r="B104" s="247"/>
      <c r="C104" s="248"/>
      <c r="D104" s="249"/>
      <c r="E104" s="24"/>
      <c r="F104" s="249"/>
      <c r="G104" s="247"/>
      <c r="H104" s="248"/>
      <c r="I104" s="249"/>
      <c r="K104" s="249"/>
      <c r="L104" s="247"/>
      <c r="M104" s="249"/>
      <c r="N104" s="249"/>
      <c r="O104" s="250"/>
    </row>
    <row r="105" spans="1:15" ht="18" customHeight="1" x14ac:dyDescent="0.25">
      <c r="A105" s="232" t="s">
        <v>21</v>
      </c>
      <c r="B105" s="233">
        <v>42153</v>
      </c>
      <c r="C105" s="234">
        <v>10</v>
      </c>
      <c r="D105" s="235">
        <v>17.399999999999999</v>
      </c>
      <c r="E105" s="236"/>
      <c r="F105" s="235">
        <f>C105*D105</f>
        <v>174</v>
      </c>
      <c r="G105" s="233">
        <v>42186</v>
      </c>
      <c r="H105" s="234">
        <v>10</v>
      </c>
      <c r="I105" s="235">
        <v>24.2</v>
      </c>
      <c r="J105" s="234">
        <v>0.01</v>
      </c>
      <c r="K105" s="235">
        <f>H105*I105-J105</f>
        <v>241.99</v>
      </c>
      <c r="L105" s="236"/>
      <c r="M105" s="235"/>
      <c r="N105" s="235"/>
      <c r="O105" s="237"/>
    </row>
    <row r="106" spans="1:15" ht="18" customHeight="1" x14ac:dyDescent="0.25">
      <c r="A106" s="232"/>
      <c r="B106" s="233">
        <v>42187</v>
      </c>
      <c r="C106" s="234">
        <v>1000</v>
      </c>
      <c r="D106" s="235">
        <v>22.12</v>
      </c>
      <c r="E106" s="236"/>
      <c r="F106" s="235">
        <f>C106*D106</f>
        <v>22120</v>
      </c>
      <c r="G106" s="233">
        <v>42187</v>
      </c>
      <c r="H106" s="234">
        <v>4000</v>
      </c>
      <c r="I106" s="235">
        <v>21.81</v>
      </c>
      <c r="J106" s="234">
        <v>11.91</v>
      </c>
      <c r="K106" s="235">
        <f>H106*I106-J106</f>
        <v>87228.09</v>
      </c>
      <c r="L106" s="236"/>
      <c r="M106" s="235"/>
      <c r="N106" s="235"/>
      <c r="O106" s="237"/>
    </row>
    <row r="107" spans="1:15" ht="18" customHeight="1" x14ac:dyDescent="0.25">
      <c r="A107" s="232"/>
      <c r="B107" s="233">
        <v>42187</v>
      </c>
      <c r="C107" s="234">
        <v>1000</v>
      </c>
      <c r="D107" s="235">
        <v>21.7</v>
      </c>
      <c r="E107" s="236"/>
      <c r="F107" s="235">
        <f>C107*D107</f>
        <v>21700</v>
      </c>
      <c r="G107" s="233"/>
      <c r="H107" s="234"/>
      <c r="I107" s="235"/>
      <c r="J107" s="234"/>
      <c r="K107" s="235"/>
      <c r="L107" s="236"/>
      <c r="M107" s="235"/>
      <c r="N107" s="235"/>
      <c r="O107" s="237"/>
    </row>
    <row r="108" spans="1:15" ht="18" customHeight="1" x14ac:dyDescent="0.25">
      <c r="A108" s="232"/>
      <c r="B108" s="233">
        <v>42187</v>
      </c>
      <c r="C108" s="234">
        <v>2000</v>
      </c>
      <c r="D108" s="235">
        <v>21.49</v>
      </c>
      <c r="E108" s="236"/>
      <c r="F108" s="235">
        <f>C108*D108</f>
        <v>42980</v>
      </c>
      <c r="G108" s="233"/>
      <c r="H108" s="234"/>
      <c r="I108" s="235"/>
      <c r="J108" s="234"/>
      <c r="K108" s="235"/>
      <c r="L108" s="236"/>
      <c r="M108" s="235"/>
      <c r="N108" s="235"/>
      <c r="O108" s="237"/>
    </row>
    <row r="109" spans="1:15" ht="18" customHeight="1" x14ac:dyDescent="0.25">
      <c r="A109" s="232"/>
      <c r="B109" s="238"/>
      <c r="C109" s="239">
        <f>SUM(C105:C108)</f>
        <v>4010</v>
      </c>
      <c r="D109" s="240"/>
      <c r="E109" s="241"/>
      <c r="F109" s="240">
        <f>SUM(F105:F108)</f>
        <v>86974</v>
      </c>
      <c r="G109" s="241"/>
      <c r="H109" s="239">
        <f>SUM(H105:H108)</f>
        <v>4010</v>
      </c>
      <c r="I109" s="240"/>
      <c r="J109" s="239"/>
      <c r="K109" s="240">
        <f>SUM(K105:K108)</f>
        <v>87470.080000000002</v>
      </c>
      <c r="L109" s="241"/>
      <c r="M109" s="240"/>
      <c r="N109" s="240">
        <f>K109-F109</f>
        <v>496.08000000000175</v>
      </c>
      <c r="O109" s="242">
        <f>(N109+M109)/F109</f>
        <v>5.7037735415181746E-3</v>
      </c>
    </row>
    <row r="110" spans="1:15" ht="18" customHeight="1" x14ac:dyDescent="0.25">
      <c r="B110" s="247"/>
      <c r="C110" s="248"/>
      <c r="D110" s="249"/>
      <c r="E110" s="24"/>
      <c r="F110" s="249"/>
      <c r="G110" s="247"/>
      <c r="H110" s="248"/>
      <c r="I110" s="249"/>
      <c r="J110" s="249"/>
      <c r="K110" s="249"/>
      <c r="L110" s="247"/>
      <c r="M110" s="249"/>
      <c r="N110" s="248"/>
      <c r="O110" s="248"/>
    </row>
    <row r="111" spans="1:15" ht="18" customHeight="1" x14ac:dyDescent="0.25">
      <c r="A111" s="232" t="s">
        <v>9</v>
      </c>
      <c r="B111" s="233">
        <v>42145</v>
      </c>
      <c r="C111" s="234">
        <v>100</v>
      </c>
      <c r="D111" s="235">
        <v>5.55</v>
      </c>
      <c r="E111" s="235"/>
      <c r="F111" s="235">
        <f t="shared" ref="F111:F140" si="5">C111*D111</f>
        <v>555</v>
      </c>
      <c r="G111" s="233">
        <v>42187</v>
      </c>
      <c r="H111" s="234">
        <v>4200</v>
      </c>
      <c r="I111" s="235">
        <v>5.0199999999999996</v>
      </c>
      <c r="J111" s="235">
        <v>0.39</v>
      </c>
      <c r="K111" s="235">
        <f>H111*I111-J111</f>
        <v>21083.61</v>
      </c>
      <c r="L111" s="233">
        <v>42185</v>
      </c>
      <c r="M111" s="235">
        <v>656.25</v>
      </c>
      <c r="N111" s="234"/>
      <c r="O111" s="234"/>
    </row>
    <row r="112" spans="1:15" ht="18" customHeight="1" x14ac:dyDescent="0.25">
      <c r="A112" s="232"/>
      <c r="B112" s="233">
        <v>42146</v>
      </c>
      <c r="C112" s="234">
        <v>100</v>
      </c>
      <c r="D112" s="235">
        <v>5.47</v>
      </c>
      <c r="E112" s="235"/>
      <c r="F112" s="235">
        <f t="shared" si="5"/>
        <v>547</v>
      </c>
      <c r="G112" s="233">
        <v>42207</v>
      </c>
      <c r="H112" s="234">
        <v>1000</v>
      </c>
      <c r="I112" s="235">
        <v>5.12</v>
      </c>
      <c r="J112" s="235">
        <v>0.09</v>
      </c>
      <c r="K112" s="235">
        <f>H112*I112-J112</f>
        <v>5119.91</v>
      </c>
      <c r="L112" s="236"/>
      <c r="M112" s="235"/>
      <c r="N112" s="234"/>
      <c r="O112" s="234"/>
    </row>
    <row r="113" spans="1:16" ht="18" customHeight="1" x14ac:dyDescent="0.25">
      <c r="A113" s="232"/>
      <c r="B113" s="233">
        <v>42146</v>
      </c>
      <c r="C113" s="234">
        <v>100</v>
      </c>
      <c r="D113" s="235">
        <v>5.43</v>
      </c>
      <c r="E113" s="235"/>
      <c r="F113" s="235">
        <f t="shared" si="5"/>
        <v>543</v>
      </c>
      <c r="G113" s="233">
        <v>42207</v>
      </c>
      <c r="H113" s="234">
        <v>2000</v>
      </c>
      <c r="I113" s="235">
        <v>5.16</v>
      </c>
      <c r="J113" s="235">
        <v>0.19</v>
      </c>
      <c r="K113" s="235">
        <f t="shared" ref="K113:K120" si="6">H113*I113-J113</f>
        <v>10319.81</v>
      </c>
      <c r="L113" s="236"/>
      <c r="M113" s="235"/>
      <c r="N113" s="234"/>
      <c r="O113" s="234"/>
    </row>
    <row r="114" spans="1:16" ht="18" customHeight="1" x14ac:dyDescent="0.25">
      <c r="A114" s="232"/>
      <c r="B114" s="233">
        <v>42146</v>
      </c>
      <c r="C114" s="234">
        <v>100</v>
      </c>
      <c r="D114" s="235">
        <v>5.4</v>
      </c>
      <c r="E114" s="235"/>
      <c r="F114" s="235">
        <f t="shared" si="5"/>
        <v>540</v>
      </c>
      <c r="G114" s="233">
        <v>42207</v>
      </c>
      <c r="H114" s="234">
        <v>1000</v>
      </c>
      <c r="I114" s="235">
        <v>5.07</v>
      </c>
      <c r="J114" s="235">
        <v>0.09</v>
      </c>
      <c r="K114" s="235">
        <f t="shared" si="6"/>
        <v>5069.91</v>
      </c>
      <c r="L114" s="236"/>
      <c r="M114" s="235"/>
      <c r="N114" s="234"/>
      <c r="O114" s="234"/>
    </row>
    <row r="115" spans="1:16" ht="18" customHeight="1" x14ac:dyDescent="0.25">
      <c r="A115" s="232"/>
      <c r="B115" s="233">
        <v>42146</v>
      </c>
      <c r="C115" s="234">
        <v>200</v>
      </c>
      <c r="D115" s="235">
        <v>5.35</v>
      </c>
      <c r="E115" s="235"/>
      <c r="F115" s="235">
        <f t="shared" si="5"/>
        <v>1070</v>
      </c>
      <c r="G115" s="233">
        <v>42207</v>
      </c>
      <c r="H115" s="234">
        <v>1000</v>
      </c>
      <c r="I115" s="235">
        <v>5.09</v>
      </c>
      <c r="J115" s="235">
        <v>0.09</v>
      </c>
      <c r="K115" s="235">
        <f t="shared" si="6"/>
        <v>5089.91</v>
      </c>
      <c r="L115" s="236"/>
      <c r="M115" s="235"/>
      <c r="N115" s="234"/>
      <c r="O115" s="234"/>
    </row>
    <row r="116" spans="1:16" ht="18" customHeight="1" x14ac:dyDescent="0.25">
      <c r="A116" s="232"/>
      <c r="B116" s="233">
        <v>42152</v>
      </c>
      <c r="C116" s="234">
        <v>250</v>
      </c>
      <c r="D116" s="235">
        <v>5.3</v>
      </c>
      <c r="E116" s="235"/>
      <c r="F116" s="235">
        <f t="shared" si="5"/>
        <v>1325</v>
      </c>
      <c r="G116" s="233">
        <v>42207</v>
      </c>
      <c r="H116" s="234">
        <v>2000</v>
      </c>
      <c r="I116" s="235">
        <v>5.23</v>
      </c>
      <c r="J116" s="235">
        <v>0.19</v>
      </c>
      <c r="K116" s="235">
        <f t="shared" si="6"/>
        <v>10459.81</v>
      </c>
      <c r="L116" s="236"/>
      <c r="M116" s="235"/>
      <c r="N116" s="234"/>
      <c r="O116" s="234"/>
    </row>
    <row r="117" spans="1:16" ht="18" customHeight="1" x14ac:dyDescent="0.25">
      <c r="A117" s="232"/>
      <c r="B117" s="233">
        <v>42152</v>
      </c>
      <c r="C117" s="234">
        <v>200</v>
      </c>
      <c r="D117" s="235">
        <v>5.26</v>
      </c>
      <c r="E117" s="235"/>
      <c r="F117" s="235">
        <f t="shared" si="5"/>
        <v>1052</v>
      </c>
      <c r="G117" s="233">
        <v>42222</v>
      </c>
      <c r="H117" s="234">
        <v>5000</v>
      </c>
      <c r="I117" s="235">
        <v>5.12</v>
      </c>
      <c r="J117" s="235">
        <v>0.47</v>
      </c>
      <c r="K117" s="235">
        <f t="shared" si="6"/>
        <v>25599.53</v>
      </c>
      <c r="L117" s="236"/>
      <c r="M117" s="235"/>
      <c r="N117" s="234"/>
      <c r="O117" s="234"/>
    </row>
    <row r="118" spans="1:16" ht="18" customHeight="1" x14ac:dyDescent="0.25">
      <c r="A118" s="232"/>
      <c r="B118" s="233">
        <v>42152</v>
      </c>
      <c r="C118" s="234">
        <v>200</v>
      </c>
      <c r="D118" s="235">
        <v>5.22</v>
      </c>
      <c r="E118" s="235"/>
      <c r="F118" s="235">
        <f t="shared" si="5"/>
        <v>1044</v>
      </c>
      <c r="G118" s="233">
        <v>42222</v>
      </c>
      <c r="H118" s="234">
        <v>1000</v>
      </c>
      <c r="I118" s="235">
        <v>5.1100000000000003</v>
      </c>
      <c r="J118" s="235">
        <v>0.09</v>
      </c>
      <c r="K118" s="235">
        <f t="shared" si="6"/>
        <v>5109.91</v>
      </c>
      <c r="L118" s="236"/>
      <c r="M118" s="235"/>
      <c r="N118" s="234"/>
      <c r="O118" s="234"/>
    </row>
    <row r="119" spans="1:16" ht="18" customHeight="1" x14ac:dyDescent="0.25">
      <c r="A119" s="232"/>
      <c r="B119" s="233">
        <v>42152</v>
      </c>
      <c r="C119" s="234">
        <v>1000</v>
      </c>
      <c r="D119" s="235">
        <v>5.19</v>
      </c>
      <c r="E119" s="235"/>
      <c r="F119" s="235">
        <f t="shared" si="5"/>
        <v>5190</v>
      </c>
      <c r="G119" s="233">
        <v>42223</v>
      </c>
      <c r="H119" s="234">
        <v>1950</v>
      </c>
      <c r="I119" s="235">
        <v>5.2</v>
      </c>
      <c r="J119" s="235">
        <v>0.19</v>
      </c>
      <c r="K119" s="235">
        <f t="shared" si="6"/>
        <v>10139.81</v>
      </c>
      <c r="L119" s="236"/>
      <c r="M119" s="235"/>
      <c r="N119" s="234"/>
      <c r="O119" s="234"/>
    </row>
    <row r="120" spans="1:16" ht="18" customHeight="1" x14ac:dyDescent="0.25">
      <c r="A120" s="232"/>
      <c r="B120" s="233">
        <v>42152</v>
      </c>
      <c r="C120" s="234">
        <v>2000</v>
      </c>
      <c r="D120" s="235">
        <v>5.17</v>
      </c>
      <c r="E120" s="235"/>
      <c r="F120" s="235">
        <f t="shared" si="5"/>
        <v>10340</v>
      </c>
      <c r="G120" s="233">
        <v>42229</v>
      </c>
      <c r="H120" s="234">
        <v>50</v>
      </c>
      <c r="I120" s="235">
        <v>5.28</v>
      </c>
      <c r="J120" s="235">
        <v>0.01</v>
      </c>
      <c r="K120" s="235">
        <f t="shared" si="6"/>
        <v>263.99</v>
      </c>
      <c r="L120" s="236"/>
      <c r="M120" s="235"/>
      <c r="N120" s="234"/>
      <c r="O120" s="234"/>
    </row>
    <row r="121" spans="1:16" ht="18" customHeight="1" x14ac:dyDescent="0.25">
      <c r="A121" s="232"/>
      <c r="B121" s="233">
        <v>42152</v>
      </c>
      <c r="C121" s="234">
        <v>2000</v>
      </c>
      <c r="D121" s="235">
        <v>5.15</v>
      </c>
      <c r="E121" s="235"/>
      <c r="F121" s="235">
        <f t="shared" si="5"/>
        <v>10300</v>
      </c>
      <c r="G121" s="236"/>
      <c r="H121" s="234"/>
      <c r="I121" s="235"/>
      <c r="J121" s="235"/>
      <c r="K121" s="235"/>
      <c r="L121" s="236"/>
      <c r="M121" s="235"/>
      <c r="N121" s="234"/>
      <c r="O121" s="234"/>
    </row>
    <row r="122" spans="1:16" ht="18" customHeight="1" x14ac:dyDescent="0.25">
      <c r="A122" s="232"/>
      <c r="B122" s="233">
        <v>42158</v>
      </c>
      <c r="C122" s="234">
        <v>500</v>
      </c>
      <c r="D122" s="235">
        <v>5.09</v>
      </c>
      <c r="E122" s="235"/>
      <c r="F122" s="235">
        <f t="shared" si="5"/>
        <v>2545</v>
      </c>
      <c r="G122" s="236"/>
      <c r="H122" s="234"/>
      <c r="I122" s="235"/>
      <c r="J122" s="235"/>
      <c r="K122" s="235"/>
      <c r="L122" s="236"/>
      <c r="M122" s="235"/>
      <c r="N122" s="234"/>
      <c r="O122" s="234"/>
    </row>
    <row r="123" spans="1:16" ht="18" customHeight="1" x14ac:dyDescent="0.25">
      <c r="A123" s="232"/>
      <c r="B123" s="233">
        <v>42158</v>
      </c>
      <c r="C123" s="234">
        <v>1000</v>
      </c>
      <c r="D123" s="235">
        <v>5.04</v>
      </c>
      <c r="E123" s="236"/>
      <c r="F123" s="235">
        <f t="shared" si="5"/>
        <v>5040</v>
      </c>
      <c r="G123" s="236"/>
      <c r="H123" s="234"/>
      <c r="I123" s="235"/>
      <c r="J123" s="235"/>
      <c r="K123" s="235"/>
      <c r="L123" s="236"/>
      <c r="M123" s="235"/>
      <c r="N123" s="234"/>
      <c r="O123" s="234"/>
    </row>
    <row r="124" spans="1:16" ht="18" customHeight="1" x14ac:dyDescent="0.25">
      <c r="A124" s="232"/>
      <c r="B124" s="233">
        <v>42158</v>
      </c>
      <c r="C124" s="234">
        <v>200</v>
      </c>
      <c r="D124" s="235">
        <v>5.05</v>
      </c>
      <c r="E124" s="235"/>
      <c r="F124" s="235">
        <f t="shared" si="5"/>
        <v>1010</v>
      </c>
      <c r="G124" s="236"/>
      <c r="H124" s="234"/>
      <c r="I124" s="235"/>
      <c r="J124" s="235"/>
      <c r="K124" s="235"/>
      <c r="L124" s="236"/>
      <c r="M124" s="235"/>
      <c r="N124" s="234"/>
      <c r="O124" s="234"/>
    </row>
    <row r="125" spans="1:16" ht="18" customHeight="1" x14ac:dyDescent="0.25">
      <c r="A125" s="232"/>
      <c r="B125" s="233">
        <v>42164</v>
      </c>
      <c r="C125" s="234">
        <v>500</v>
      </c>
      <c r="D125" s="235">
        <v>5.07</v>
      </c>
      <c r="E125" s="235"/>
      <c r="F125" s="235">
        <f t="shared" si="5"/>
        <v>2535</v>
      </c>
      <c r="G125" s="236"/>
      <c r="H125" s="234"/>
      <c r="I125" s="235"/>
      <c r="J125" s="235"/>
      <c r="K125" s="235"/>
      <c r="L125" s="236"/>
      <c r="M125" s="235"/>
      <c r="N125" s="234"/>
      <c r="O125" s="234"/>
    </row>
    <row r="126" spans="1:16" ht="18" customHeight="1" x14ac:dyDescent="0.25">
      <c r="A126" s="232"/>
      <c r="B126" s="233">
        <v>42164</v>
      </c>
      <c r="C126" s="234">
        <v>1000</v>
      </c>
      <c r="D126" s="235">
        <v>5.04</v>
      </c>
      <c r="E126" s="235"/>
      <c r="F126" s="235">
        <f t="shared" si="5"/>
        <v>5040</v>
      </c>
      <c r="G126" s="236"/>
      <c r="H126" s="234"/>
      <c r="I126" s="235"/>
      <c r="J126" s="235"/>
      <c r="K126" s="235"/>
      <c r="L126" s="236"/>
      <c r="M126" s="235"/>
      <c r="N126" s="234"/>
      <c r="O126" s="234"/>
    </row>
    <row r="127" spans="1:16" ht="18" customHeight="1" x14ac:dyDescent="0.25">
      <c r="A127" s="232"/>
      <c r="B127" s="233">
        <v>42164</v>
      </c>
      <c r="C127" s="234">
        <v>1000</v>
      </c>
      <c r="D127" s="235">
        <v>5.01</v>
      </c>
      <c r="E127" s="235"/>
      <c r="F127" s="235">
        <f t="shared" si="5"/>
        <v>5010</v>
      </c>
      <c r="G127" s="236"/>
      <c r="H127" s="234"/>
      <c r="I127" s="235"/>
      <c r="J127" s="235"/>
      <c r="K127" s="235"/>
      <c r="L127" s="236"/>
      <c r="M127" s="235"/>
      <c r="N127" s="234"/>
      <c r="O127" s="234"/>
    </row>
    <row r="128" spans="1:16" ht="18" customHeight="1" x14ac:dyDescent="0.25">
      <c r="A128" s="232"/>
      <c r="B128" s="233">
        <v>42173</v>
      </c>
      <c r="C128" s="234">
        <v>500</v>
      </c>
      <c r="D128" s="235">
        <v>4.88</v>
      </c>
      <c r="E128" s="235"/>
      <c r="F128" s="235">
        <f t="shared" si="5"/>
        <v>2440</v>
      </c>
      <c r="G128" s="236"/>
      <c r="H128" s="234"/>
      <c r="I128" s="235"/>
      <c r="J128" s="235"/>
      <c r="K128" s="235"/>
      <c r="L128" s="236"/>
      <c r="M128" s="235"/>
      <c r="N128" s="234"/>
      <c r="O128" s="234"/>
      <c r="P128" s="136"/>
    </row>
    <row r="129" spans="1:16" ht="18" customHeight="1" x14ac:dyDescent="0.25">
      <c r="A129" s="232"/>
      <c r="B129" s="233">
        <v>42187</v>
      </c>
      <c r="C129" s="234">
        <v>2000</v>
      </c>
      <c r="D129" s="235">
        <v>4.9800000000000004</v>
      </c>
      <c r="E129" s="235"/>
      <c r="F129" s="235">
        <f t="shared" si="5"/>
        <v>9960</v>
      </c>
      <c r="G129" s="236"/>
      <c r="H129" s="234"/>
      <c r="I129" s="235"/>
      <c r="J129" s="235"/>
      <c r="K129" s="235"/>
      <c r="L129" s="236"/>
      <c r="M129" s="235"/>
      <c r="N129" s="234"/>
      <c r="O129" s="234"/>
    </row>
    <row r="130" spans="1:16" ht="18" customHeight="1" x14ac:dyDescent="0.25">
      <c r="A130" s="232"/>
      <c r="B130" s="233">
        <v>42187</v>
      </c>
      <c r="C130" s="234">
        <v>100</v>
      </c>
      <c r="D130" s="235">
        <v>4.9800000000000004</v>
      </c>
      <c r="E130" s="235"/>
      <c r="F130" s="235">
        <f t="shared" si="5"/>
        <v>498.00000000000006</v>
      </c>
      <c r="G130" s="236"/>
      <c r="H130" s="234"/>
      <c r="I130" s="235"/>
      <c r="J130" s="235"/>
      <c r="K130" s="235"/>
      <c r="L130" s="236"/>
      <c r="M130" s="235"/>
      <c r="N130" s="234"/>
      <c r="O130" s="234"/>
    </row>
    <row r="131" spans="1:16" ht="18" customHeight="1" x14ac:dyDescent="0.25">
      <c r="A131" s="232"/>
      <c r="B131" s="233">
        <v>42187</v>
      </c>
      <c r="C131" s="234">
        <v>100</v>
      </c>
      <c r="D131" s="235">
        <v>4.9800000000000004</v>
      </c>
      <c r="E131" s="235"/>
      <c r="F131" s="235">
        <f t="shared" si="5"/>
        <v>498.00000000000006</v>
      </c>
      <c r="G131" s="236"/>
      <c r="H131" s="234"/>
      <c r="I131" s="235"/>
      <c r="J131" s="235"/>
      <c r="K131" s="235"/>
      <c r="L131" s="236"/>
      <c r="M131" s="235"/>
      <c r="N131" s="234"/>
      <c r="O131" s="234"/>
      <c r="P131" s="136"/>
    </row>
    <row r="132" spans="1:16" ht="18" customHeight="1" x14ac:dyDescent="0.25">
      <c r="A132" s="232"/>
      <c r="B132" s="233">
        <v>42187</v>
      </c>
      <c r="C132" s="234">
        <v>2000</v>
      </c>
      <c r="D132" s="235">
        <v>4.97</v>
      </c>
      <c r="E132" s="235"/>
      <c r="F132" s="235">
        <f t="shared" si="5"/>
        <v>9940</v>
      </c>
      <c r="G132" s="236"/>
      <c r="H132" s="234"/>
      <c r="I132" s="235"/>
      <c r="J132" s="235"/>
      <c r="K132" s="235"/>
      <c r="L132" s="236"/>
      <c r="M132" s="235"/>
      <c r="N132" s="234"/>
      <c r="O132" s="234"/>
    </row>
    <row r="133" spans="1:16" ht="18" customHeight="1" x14ac:dyDescent="0.25">
      <c r="A133" s="232"/>
      <c r="B133" s="233">
        <v>42199</v>
      </c>
      <c r="C133" s="234">
        <v>500</v>
      </c>
      <c r="D133" s="235">
        <v>4.8</v>
      </c>
      <c r="E133" s="235"/>
      <c r="F133" s="235">
        <f t="shared" si="5"/>
        <v>2400</v>
      </c>
      <c r="G133" s="236"/>
      <c r="H133" s="234"/>
      <c r="I133" s="235"/>
      <c r="J133" s="235"/>
      <c r="K133" s="235"/>
      <c r="L133" s="236"/>
      <c r="M133" s="235"/>
      <c r="N133" s="234"/>
      <c r="O133" s="234"/>
    </row>
    <row r="134" spans="1:16" ht="18" customHeight="1" x14ac:dyDescent="0.25">
      <c r="A134" s="232"/>
      <c r="B134" s="233">
        <v>42212</v>
      </c>
      <c r="C134" s="234">
        <v>300</v>
      </c>
      <c r="D134" s="235">
        <v>4.76</v>
      </c>
      <c r="E134" s="235"/>
      <c r="F134" s="235">
        <f t="shared" si="5"/>
        <v>1428</v>
      </c>
      <c r="G134" s="236"/>
      <c r="H134" s="234"/>
      <c r="I134" s="235"/>
      <c r="J134" s="235"/>
      <c r="K134" s="235"/>
      <c r="L134" s="236"/>
      <c r="M134" s="235"/>
      <c r="N134" s="234"/>
      <c r="O134" s="234"/>
    </row>
    <row r="135" spans="1:16" ht="18" customHeight="1" x14ac:dyDescent="0.25">
      <c r="A135" s="232"/>
      <c r="B135" s="233">
        <v>42212</v>
      </c>
      <c r="C135" s="234">
        <v>1700</v>
      </c>
      <c r="D135" s="235">
        <v>4.76</v>
      </c>
      <c r="E135" s="235"/>
      <c r="F135" s="235">
        <f t="shared" si="5"/>
        <v>8092</v>
      </c>
      <c r="G135" s="236"/>
      <c r="H135" s="234"/>
      <c r="I135" s="235"/>
      <c r="J135" s="235"/>
      <c r="K135" s="235"/>
      <c r="L135" s="236"/>
      <c r="M135" s="235"/>
      <c r="N135" s="234"/>
      <c r="O135" s="234"/>
      <c r="P135" s="136"/>
    </row>
    <row r="136" spans="1:16" ht="18" customHeight="1" x14ac:dyDescent="0.25">
      <c r="A136" s="232"/>
      <c r="B136" s="233">
        <v>42214</v>
      </c>
      <c r="C136" s="234">
        <v>500</v>
      </c>
      <c r="D136" s="235">
        <v>4.68</v>
      </c>
      <c r="E136" s="235"/>
      <c r="F136" s="235">
        <f t="shared" si="5"/>
        <v>2340</v>
      </c>
      <c r="G136" s="236"/>
      <c r="H136" s="234"/>
      <c r="I136" s="235"/>
      <c r="J136" s="235"/>
      <c r="K136" s="235"/>
      <c r="L136" s="236"/>
      <c r="M136" s="235"/>
      <c r="N136" s="234"/>
      <c r="O136" s="234"/>
    </row>
    <row r="137" spans="1:16" ht="18" customHeight="1" x14ac:dyDescent="0.25">
      <c r="A137" s="232"/>
      <c r="B137" s="233">
        <v>42214</v>
      </c>
      <c r="C137" s="234">
        <v>50</v>
      </c>
      <c r="D137" s="235">
        <v>4.6500000000000004</v>
      </c>
      <c r="E137" s="235"/>
      <c r="F137" s="235">
        <f t="shared" si="5"/>
        <v>232.50000000000003</v>
      </c>
      <c r="G137" s="236"/>
      <c r="H137" s="234"/>
      <c r="I137" s="235"/>
      <c r="J137" s="235"/>
      <c r="K137" s="235"/>
      <c r="L137" s="236"/>
      <c r="M137" s="235"/>
      <c r="N137" s="234"/>
      <c r="O137" s="234"/>
    </row>
    <row r="138" spans="1:16" ht="18" customHeight="1" x14ac:dyDescent="0.25">
      <c r="A138" s="232"/>
      <c r="B138" s="233">
        <v>42214</v>
      </c>
      <c r="C138" s="234">
        <v>200</v>
      </c>
      <c r="D138" s="235">
        <v>4.63</v>
      </c>
      <c r="E138" s="235"/>
      <c r="F138" s="235">
        <f t="shared" si="5"/>
        <v>926</v>
      </c>
      <c r="G138" s="236"/>
      <c r="H138" s="234"/>
      <c r="I138" s="235"/>
      <c r="J138" s="235"/>
      <c r="K138" s="235"/>
      <c r="L138" s="236"/>
      <c r="M138" s="235"/>
      <c r="N138" s="234"/>
      <c r="O138" s="234"/>
    </row>
    <row r="139" spans="1:16" ht="18" customHeight="1" x14ac:dyDescent="0.25">
      <c r="A139" s="232"/>
      <c r="B139" s="233">
        <v>42214</v>
      </c>
      <c r="C139" s="234">
        <v>300</v>
      </c>
      <c r="D139" s="235">
        <v>4.59</v>
      </c>
      <c r="E139" s="235"/>
      <c r="F139" s="235">
        <f t="shared" si="5"/>
        <v>1377</v>
      </c>
      <c r="G139" s="236"/>
      <c r="H139" s="234"/>
      <c r="I139" s="235"/>
      <c r="J139" s="235"/>
      <c r="K139" s="235"/>
      <c r="L139" s="236"/>
      <c r="M139" s="235"/>
      <c r="N139" s="234"/>
      <c r="O139" s="234"/>
    </row>
    <row r="140" spans="1:16" ht="18" customHeight="1" x14ac:dyDescent="0.25">
      <c r="A140" s="232"/>
      <c r="B140" s="233">
        <v>42214</v>
      </c>
      <c r="C140" s="234">
        <v>500</v>
      </c>
      <c r="D140" s="235">
        <v>4.54</v>
      </c>
      <c r="E140" s="235"/>
      <c r="F140" s="235">
        <f t="shared" si="5"/>
        <v>2270</v>
      </c>
      <c r="G140" s="236"/>
      <c r="H140" s="234"/>
      <c r="I140" s="235"/>
      <c r="J140" s="235"/>
      <c r="K140" s="235"/>
      <c r="L140" s="236"/>
      <c r="M140" s="235"/>
      <c r="N140" s="234"/>
      <c r="O140" s="234"/>
    </row>
    <row r="141" spans="1:16" ht="18" customHeight="1" x14ac:dyDescent="0.25">
      <c r="A141" s="232"/>
      <c r="B141" s="241"/>
      <c r="C141" s="239">
        <f>SUM(C111:C140)</f>
        <v>19200</v>
      </c>
      <c r="D141" s="240"/>
      <c r="E141" s="240"/>
      <c r="F141" s="240">
        <f>SUM(F111:F140)</f>
        <v>96087.5</v>
      </c>
      <c r="G141" s="241"/>
      <c r="H141" s="239">
        <f>SUM(H111:H140)</f>
        <v>19200</v>
      </c>
      <c r="I141" s="240"/>
      <c r="J141" s="240"/>
      <c r="K141" s="240">
        <f>SUM(K111:K140)</f>
        <v>98256.200000000012</v>
      </c>
      <c r="L141" s="241"/>
      <c r="M141" s="240">
        <f>SUM(M111:M140)</f>
        <v>656.25</v>
      </c>
      <c r="N141" s="240">
        <f>K141-F141 -7897.19</f>
        <v>-5728.489999999988</v>
      </c>
      <c r="O141" s="242">
        <f>(N141+M141)/F141</f>
        <v>-5.278771952647314E-2</v>
      </c>
      <c r="P141" s="78"/>
    </row>
    <row r="142" spans="1:16" ht="18" customHeight="1" x14ac:dyDescent="0.25">
      <c r="B142" s="247"/>
      <c r="C142" s="248"/>
      <c r="D142" s="249"/>
      <c r="E142" s="24"/>
      <c r="F142" s="249"/>
      <c r="G142" s="247"/>
      <c r="H142" s="248"/>
      <c r="I142" s="249"/>
      <c r="K142" s="249"/>
      <c r="L142" s="247"/>
      <c r="M142" s="249"/>
      <c r="N142" s="249"/>
      <c r="O142" s="250"/>
      <c r="P142" s="78"/>
    </row>
    <row r="143" spans="1:16" ht="18" customHeight="1" x14ac:dyDescent="0.25">
      <c r="A143" s="300" t="s">
        <v>15</v>
      </c>
      <c r="B143" s="290">
        <v>42153</v>
      </c>
      <c r="C143" s="291">
        <v>1</v>
      </c>
      <c r="D143" s="292">
        <v>26.75</v>
      </c>
      <c r="E143" s="292">
        <v>0</v>
      </c>
      <c r="F143" s="292">
        <f>C143*D143</f>
        <v>26.75</v>
      </c>
      <c r="G143" s="290">
        <v>42226</v>
      </c>
      <c r="H143" s="291">
        <v>170</v>
      </c>
      <c r="I143" s="291">
        <v>22.35</v>
      </c>
      <c r="J143" s="292">
        <v>7.0000000000000007E-2</v>
      </c>
      <c r="K143" s="291">
        <f t="shared" ref="K143:K150" si="7">H143*I143-J143</f>
        <v>3799.4300000000003</v>
      </c>
      <c r="L143" s="291" t="s">
        <v>80</v>
      </c>
      <c r="M143" s="291"/>
      <c r="N143" s="291"/>
      <c r="O143" s="291"/>
      <c r="P143" s="78"/>
    </row>
    <row r="144" spans="1:16" ht="18" customHeight="1" x14ac:dyDescent="0.25">
      <c r="A144" s="301"/>
      <c r="B144" s="290">
        <v>42173</v>
      </c>
      <c r="C144" s="291">
        <v>19</v>
      </c>
      <c r="D144" s="292">
        <v>24.84</v>
      </c>
      <c r="E144" s="292">
        <v>0</v>
      </c>
      <c r="F144" s="292">
        <f t="shared" ref="F144:F157" si="8">C144*D144</f>
        <v>471.96</v>
      </c>
      <c r="G144" s="290">
        <v>42263</v>
      </c>
      <c r="H144" s="291">
        <v>120</v>
      </c>
      <c r="I144" s="291">
        <v>19.28</v>
      </c>
      <c r="J144" s="291">
        <v>0.04</v>
      </c>
      <c r="K144" s="291">
        <f t="shared" si="7"/>
        <v>2313.5600000000004</v>
      </c>
      <c r="L144" s="291"/>
      <c r="M144" s="291"/>
      <c r="N144" s="291"/>
      <c r="O144" s="291"/>
      <c r="P144" s="78"/>
    </row>
    <row r="145" spans="1:17" ht="18" customHeight="1" x14ac:dyDescent="0.25">
      <c r="A145" s="291"/>
      <c r="B145" s="290">
        <v>42184</v>
      </c>
      <c r="C145" s="291">
        <v>10</v>
      </c>
      <c r="D145" s="292">
        <v>24.33</v>
      </c>
      <c r="E145" s="292">
        <v>0</v>
      </c>
      <c r="F145" s="292">
        <f t="shared" si="8"/>
        <v>243.29999999999998</v>
      </c>
      <c r="G145" s="290">
        <v>42284</v>
      </c>
      <c r="H145" s="291">
        <v>40</v>
      </c>
      <c r="I145" s="291">
        <v>20.45</v>
      </c>
      <c r="J145" s="291">
        <v>0.02</v>
      </c>
      <c r="K145" s="291">
        <f t="shared" si="7"/>
        <v>817.98</v>
      </c>
      <c r="L145" s="291"/>
      <c r="M145" s="291"/>
      <c r="N145" s="291"/>
      <c r="O145" s="291"/>
      <c r="P145" s="78"/>
    </row>
    <row r="146" spans="1:17" ht="18" customHeight="1" x14ac:dyDescent="0.25">
      <c r="A146" s="291"/>
      <c r="B146" s="290">
        <v>42185</v>
      </c>
      <c r="C146" s="291">
        <v>5</v>
      </c>
      <c r="D146" s="292">
        <v>23.82</v>
      </c>
      <c r="E146" s="292">
        <v>0</v>
      </c>
      <c r="F146" s="292">
        <f t="shared" si="8"/>
        <v>119.1</v>
      </c>
      <c r="G146" s="290">
        <v>42285</v>
      </c>
      <c r="H146" s="291">
        <v>80</v>
      </c>
      <c r="I146" s="292">
        <v>21.14</v>
      </c>
      <c r="J146" s="292">
        <v>0.03</v>
      </c>
      <c r="K146" s="291">
        <f t="shared" si="7"/>
        <v>1691.17</v>
      </c>
      <c r="L146" s="291"/>
      <c r="M146" s="291"/>
      <c r="N146" s="291"/>
      <c r="O146" s="291"/>
      <c r="P146" s="78"/>
    </row>
    <row r="147" spans="1:17" ht="18" customHeight="1" x14ac:dyDescent="0.25">
      <c r="A147" s="291"/>
      <c r="B147" s="290">
        <v>42185</v>
      </c>
      <c r="C147" s="291">
        <v>15</v>
      </c>
      <c r="D147" s="292">
        <v>23.71</v>
      </c>
      <c r="E147" s="292">
        <v>0</v>
      </c>
      <c r="F147" s="292">
        <f t="shared" si="8"/>
        <v>355.65000000000003</v>
      </c>
      <c r="G147" s="290">
        <v>42010</v>
      </c>
      <c r="H147" s="291">
        <v>60</v>
      </c>
      <c r="I147" s="291">
        <v>17.760000000000002</v>
      </c>
      <c r="J147" s="291">
        <v>0.02</v>
      </c>
      <c r="K147" s="291">
        <f t="shared" si="7"/>
        <v>1065.5800000000002</v>
      </c>
      <c r="L147" s="291"/>
      <c r="M147" s="291"/>
      <c r="N147" s="291"/>
      <c r="O147" s="291"/>
      <c r="P147" s="78"/>
    </row>
    <row r="148" spans="1:17" ht="18" customHeight="1" x14ac:dyDescent="0.25">
      <c r="A148" s="291"/>
      <c r="B148" s="290">
        <v>42185</v>
      </c>
      <c r="C148" s="291">
        <v>30</v>
      </c>
      <c r="D148" s="292">
        <v>23.65</v>
      </c>
      <c r="E148" s="292">
        <v>0</v>
      </c>
      <c r="F148" s="292">
        <f t="shared" si="8"/>
        <v>709.5</v>
      </c>
      <c r="G148" s="290">
        <v>42398</v>
      </c>
      <c r="H148" s="291">
        <v>60</v>
      </c>
      <c r="I148" s="291">
        <v>17.559999999999999</v>
      </c>
      <c r="J148" s="291">
        <v>0.02</v>
      </c>
      <c r="K148" s="291">
        <f t="shared" si="7"/>
        <v>1053.58</v>
      </c>
      <c r="L148" s="291"/>
      <c r="M148" s="291"/>
      <c r="N148" s="291"/>
      <c r="O148" s="291"/>
      <c r="P148" s="78"/>
    </row>
    <row r="149" spans="1:17" ht="18" customHeight="1" x14ac:dyDescent="0.25">
      <c r="A149" s="291"/>
      <c r="B149" s="290">
        <v>42185</v>
      </c>
      <c r="C149" s="291">
        <v>40</v>
      </c>
      <c r="D149" s="292">
        <v>23.2</v>
      </c>
      <c r="E149" s="292">
        <v>0</v>
      </c>
      <c r="F149" s="292">
        <f t="shared" si="8"/>
        <v>928</v>
      </c>
      <c r="G149" s="290">
        <v>42416</v>
      </c>
      <c r="H149" s="291">
        <v>60</v>
      </c>
      <c r="I149" s="291">
        <v>16.82</v>
      </c>
      <c r="J149" s="291">
        <v>0.02</v>
      </c>
      <c r="K149" s="291">
        <f t="shared" si="7"/>
        <v>1009.1800000000001</v>
      </c>
      <c r="L149" s="291"/>
      <c r="M149" s="291"/>
      <c r="N149" s="291"/>
      <c r="O149" s="291"/>
      <c r="P149" s="78"/>
    </row>
    <row r="150" spans="1:17" ht="18" customHeight="1" x14ac:dyDescent="0.25">
      <c r="A150" s="291"/>
      <c r="B150" s="290">
        <v>42185</v>
      </c>
      <c r="C150" s="291">
        <v>50</v>
      </c>
      <c r="D150" s="292">
        <v>22.94</v>
      </c>
      <c r="E150" s="292">
        <v>0</v>
      </c>
      <c r="F150" s="292">
        <f t="shared" si="8"/>
        <v>1147</v>
      </c>
      <c r="G150" s="290">
        <v>42423</v>
      </c>
      <c r="H150" s="291">
        <v>60</v>
      </c>
      <c r="I150" s="291">
        <v>17.84</v>
      </c>
      <c r="J150" s="291">
        <v>0.02</v>
      </c>
      <c r="K150" s="291">
        <f t="shared" si="7"/>
        <v>1070.3800000000001</v>
      </c>
      <c r="L150" s="291"/>
      <c r="M150" s="291"/>
      <c r="N150" s="291"/>
      <c r="O150" s="291"/>
      <c r="P150" s="78"/>
    </row>
    <row r="151" spans="1:17" ht="18" customHeight="1" x14ac:dyDescent="0.25">
      <c r="A151" s="291"/>
      <c r="B151" s="290">
        <v>42209</v>
      </c>
      <c r="C151" s="291">
        <v>50</v>
      </c>
      <c r="D151" s="292">
        <v>19.75</v>
      </c>
      <c r="E151" s="292">
        <v>0</v>
      </c>
      <c r="F151" s="292">
        <f t="shared" si="8"/>
        <v>987.5</v>
      </c>
      <c r="G151" s="291"/>
      <c r="H151" s="291"/>
      <c r="I151" s="291"/>
      <c r="J151" s="291"/>
      <c r="K151" s="291"/>
      <c r="L151" s="291"/>
      <c r="M151" s="291"/>
      <c r="N151" s="291"/>
      <c r="O151" s="291"/>
      <c r="P151" s="78"/>
    </row>
    <row r="152" spans="1:17" ht="18" customHeight="1" x14ac:dyDescent="0.25">
      <c r="A152" s="291"/>
      <c r="B152" s="290">
        <v>42212</v>
      </c>
      <c r="C152" s="291">
        <v>30</v>
      </c>
      <c r="D152" s="292">
        <v>19.2</v>
      </c>
      <c r="E152" s="292">
        <v>0</v>
      </c>
      <c r="F152" s="292">
        <f t="shared" si="8"/>
        <v>576</v>
      </c>
      <c r="G152" s="291"/>
      <c r="H152" s="291"/>
      <c r="I152" s="291"/>
      <c r="J152" s="291"/>
      <c r="K152" s="291"/>
      <c r="L152" s="291"/>
      <c r="M152" s="291"/>
      <c r="N152" s="291"/>
      <c r="O152" s="291"/>
      <c r="P152" s="78"/>
    </row>
    <row r="153" spans="1:17" ht="18" customHeight="1" x14ac:dyDescent="0.25">
      <c r="A153" s="291"/>
      <c r="B153" s="290">
        <v>42240</v>
      </c>
      <c r="C153" s="291">
        <v>40</v>
      </c>
      <c r="D153" s="292">
        <v>19.93</v>
      </c>
      <c r="E153" s="292">
        <v>0</v>
      </c>
      <c r="F153" s="292">
        <f t="shared" si="8"/>
        <v>797.2</v>
      </c>
      <c r="G153" s="291"/>
      <c r="H153" s="291"/>
      <c r="I153" s="291"/>
      <c r="J153" s="291"/>
      <c r="K153" s="291"/>
      <c r="L153" s="291"/>
      <c r="M153" s="291"/>
      <c r="N153" s="291"/>
      <c r="O153" s="291"/>
      <c r="P153" s="78"/>
    </row>
    <row r="154" spans="1:17" ht="18" customHeight="1" x14ac:dyDescent="0.25">
      <c r="A154" s="291"/>
      <c r="B154" s="290">
        <v>42261</v>
      </c>
      <c r="C154" s="291">
        <v>120</v>
      </c>
      <c r="D154" s="292">
        <v>18.7</v>
      </c>
      <c r="E154" s="292">
        <v>0</v>
      </c>
      <c r="F154" s="292">
        <f t="shared" si="8"/>
        <v>2244</v>
      </c>
      <c r="G154" s="291"/>
      <c r="H154" s="291"/>
      <c r="I154" s="291"/>
      <c r="J154" s="291"/>
      <c r="K154" s="291"/>
      <c r="L154" s="291"/>
      <c r="M154" s="291"/>
      <c r="N154" s="291"/>
      <c r="O154" s="291"/>
      <c r="P154" s="78"/>
    </row>
    <row r="155" spans="1:17" ht="18" customHeight="1" x14ac:dyDescent="0.25">
      <c r="A155" s="291"/>
      <c r="B155" s="290">
        <v>42349</v>
      </c>
      <c r="C155" s="291">
        <v>60</v>
      </c>
      <c r="D155" s="292">
        <v>18.04</v>
      </c>
      <c r="E155" s="292">
        <v>0</v>
      </c>
      <c r="F155" s="292">
        <f t="shared" si="8"/>
        <v>1082.3999999999999</v>
      </c>
      <c r="G155" s="291"/>
      <c r="H155" s="291"/>
      <c r="I155" s="291"/>
      <c r="J155" s="291"/>
      <c r="K155" s="291"/>
      <c r="L155" s="291"/>
      <c r="M155" s="291"/>
      <c r="N155" s="291"/>
      <c r="O155" s="291"/>
      <c r="P155" s="78"/>
    </row>
    <row r="156" spans="1:17" ht="18" customHeight="1" x14ac:dyDescent="0.25">
      <c r="A156" s="291"/>
      <c r="B156" s="290">
        <v>42362</v>
      </c>
      <c r="C156" s="291">
        <v>120</v>
      </c>
      <c r="D156" s="292">
        <v>17.079999999999998</v>
      </c>
      <c r="E156" s="292">
        <v>0</v>
      </c>
      <c r="F156" s="292">
        <f t="shared" si="8"/>
        <v>2049.6</v>
      </c>
      <c r="G156" s="291"/>
      <c r="H156" s="291"/>
      <c r="I156" s="291"/>
      <c r="J156" s="291"/>
      <c r="K156" s="291"/>
      <c r="L156" s="291"/>
      <c r="M156" s="291"/>
      <c r="N156" s="291"/>
      <c r="O156" s="291"/>
      <c r="P156" s="78"/>
    </row>
    <row r="157" spans="1:17" ht="18" customHeight="1" x14ac:dyDescent="0.25">
      <c r="A157" s="291"/>
      <c r="B157" s="290">
        <v>42409</v>
      </c>
      <c r="C157" s="291">
        <v>60</v>
      </c>
      <c r="D157" s="292">
        <v>15.45</v>
      </c>
      <c r="E157" s="292">
        <v>0</v>
      </c>
      <c r="F157" s="292">
        <f t="shared" si="8"/>
        <v>927</v>
      </c>
      <c r="G157" s="291"/>
      <c r="H157" s="291"/>
      <c r="I157" s="291"/>
      <c r="J157" s="291"/>
      <c r="K157" s="291"/>
      <c r="L157" s="291"/>
      <c r="M157" s="291"/>
      <c r="N157" s="291"/>
      <c r="O157" s="291"/>
      <c r="P157" s="78"/>
    </row>
    <row r="158" spans="1:17" ht="18" customHeight="1" x14ac:dyDescent="0.25">
      <c r="A158" s="291"/>
      <c r="B158" s="291"/>
      <c r="C158" s="291"/>
      <c r="D158" s="292"/>
      <c r="E158" s="292"/>
      <c r="F158" s="292"/>
      <c r="G158" s="291"/>
      <c r="H158" s="291"/>
      <c r="I158" s="291"/>
      <c r="J158" s="291"/>
      <c r="K158" s="291"/>
      <c r="L158" s="291"/>
      <c r="M158" s="291"/>
      <c r="N158" s="291"/>
      <c r="O158" s="291"/>
      <c r="P158" s="78"/>
    </row>
    <row r="159" spans="1:17" ht="18" customHeight="1" x14ac:dyDescent="0.25">
      <c r="A159" s="291"/>
      <c r="B159" s="291"/>
      <c r="C159" s="291"/>
      <c r="D159" s="292"/>
      <c r="E159" s="292"/>
      <c r="F159" s="292"/>
      <c r="G159" s="291"/>
      <c r="H159" s="291"/>
      <c r="I159" s="291"/>
      <c r="J159" s="291"/>
      <c r="K159" s="291"/>
      <c r="L159" s="291"/>
      <c r="M159" s="291"/>
      <c r="N159" s="291"/>
      <c r="O159" s="291"/>
    </row>
    <row r="160" spans="1:17" ht="18" customHeight="1" x14ac:dyDescent="0.25">
      <c r="A160" s="21" t="s">
        <v>81</v>
      </c>
      <c r="B160" s="12"/>
      <c r="C160" s="21">
        <f>SUM(C143:C157)</f>
        <v>650</v>
      </c>
      <c r="D160" s="38"/>
      <c r="E160" s="38"/>
      <c r="F160" s="38">
        <f>SUM(F143:F157)</f>
        <v>12664.96</v>
      </c>
      <c r="G160" s="21"/>
      <c r="H160" s="21">
        <f>SUM(H143:H152)</f>
        <v>650</v>
      </c>
      <c r="I160" s="21"/>
      <c r="J160" s="21"/>
      <c r="K160" s="21">
        <f>SUM(K143:K152)</f>
        <v>12820.86</v>
      </c>
      <c r="L160" s="21"/>
      <c r="M160" s="21"/>
      <c r="N160" s="38">
        <f>K160-F160</f>
        <v>155.90000000000146</v>
      </c>
      <c r="O160" s="571">
        <f>N160/F160</f>
        <v>1.2309553287179862E-2</v>
      </c>
      <c r="Q160"/>
    </row>
    <row r="161" spans="1:18" ht="18" customHeight="1" x14ac:dyDescent="0.25">
      <c r="B161" s="143"/>
      <c r="C161" s="141"/>
      <c r="D161" s="142"/>
      <c r="E161" s="24"/>
      <c r="F161" s="142"/>
      <c r="G161" s="143"/>
      <c r="H161" s="141"/>
      <c r="I161" s="142"/>
      <c r="K161" s="142"/>
      <c r="L161" s="143"/>
      <c r="M161" s="142"/>
      <c r="N161" s="142"/>
      <c r="O161" s="144"/>
      <c r="P161" s="136"/>
      <c r="Q161"/>
    </row>
    <row r="162" spans="1:18" ht="18" customHeight="1" x14ac:dyDescent="0.25">
      <c r="A162" s="232" t="s">
        <v>25</v>
      </c>
      <c r="B162" s="233">
        <v>42163</v>
      </c>
      <c r="C162" s="234">
        <v>1</v>
      </c>
      <c r="D162" s="235">
        <v>117.3</v>
      </c>
      <c r="E162" s="236"/>
      <c r="F162" s="235">
        <f>C162*D162</f>
        <v>117.3</v>
      </c>
      <c r="G162" s="233">
        <v>42186</v>
      </c>
      <c r="H162" s="234">
        <v>1</v>
      </c>
      <c r="I162" s="235">
        <v>121.6</v>
      </c>
      <c r="J162" s="234">
        <v>0.01</v>
      </c>
      <c r="K162" s="235">
        <f>H162*I162-J162</f>
        <v>121.58999999999999</v>
      </c>
      <c r="L162" s="236"/>
      <c r="M162" s="235"/>
      <c r="N162" s="235"/>
      <c r="O162" s="237"/>
      <c r="Q162"/>
    </row>
    <row r="163" spans="1:18" ht="18" customHeight="1" x14ac:dyDescent="0.25">
      <c r="A163" s="232"/>
      <c r="B163" s="238"/>
      <c r="C163" s="239">
        <f>SUM(C162)</f>
        <v>1</v>
      </c>
      <c r="D163" s="240"/>
      <c r="E163" s="241"/>
      <c r="F163" s="240">
        <f>SUM(F162)</f>
        <v>117.3</v>
      </c>
      <c r="G163" s="241"/>
      <c r="H163" s="239">
        <f>SUM(H162)</f>
        <v>1</v>
      </c>
      <c r="I163" s="240"/>
      <c r="J163" s="239"/>
      <c r="K163" s="240">
        <f>SUM(K162)</f>
        <v>121.58999999999999</v>
      </c>
      <c r="L163" s="241"/>
      <c r="M163" s="240"/>
      <c r="N163" s="240">
        <f>K163-F163</f>
        <v>4.289999999999992</v>
      </c>
      <c r="O163" s="242">
        <f>(N163+M163)/F163</f>
        <v>3.6572890025575379E-2</v>
      </c>
      <c r="Q163" s="3"/>
      <c r="R163"/>
    </row>
    <row r="164" spans="1:18" ht="18" customHeight="1" x14ac:dyDescent="0.25">
      <c r="B164" s="247"/>
      <c r="C164" s="248"/>
      <c r="D164" s="249"/>
      <c r="E164" s="249"/>
      <c r="F164" s="249"/>
      <c r="G164" s="247"/>
      <c r="H164" s="248"/>
      <c r="I164" s="249"/>
      <c r="J164" s="249"/>
      <c r="K164" s="249"/>
      <c r="L164" s="247"/>
      <c r="M164" s="249"/>
      <c r="N164" s="249"/>
      <c r="O164" s="250"/>
      <c r="Q164" s="131"/>
      <c r="R164"/>
    </row>
    <row r="165" spans="1:18" ht="18" customHeight="1" x14ac:dyDescent="0.25">
      <c r="A165" s="232" t="s">
        <v>36</v>
      </c>
      <c r="B165" s="233">
        <v>42167</v>
      </c>
      <c r="C165" s="234">
        <v>25</v>
      </c>
      <c r="D165" s="235">
        <v>34.15</v>
      </c>
      <c r="E165" s="235"/>
      <c r="F165" s="235">
        <f>C165*D165</f>
        <v>853.75</v>
      </c>
      <c r="G165" s="233">
        <v>42186</v>
      </c>
      <c r="H165" s="234">
        <v>35</v>
      </c>
      <c r="I165" s="235">
        <v>34.799999999999997</v>
      </c>
      <c r="J165" s="235">
        <v>0.02</v>
      </c>
      <c r="K165" s="235">
        <f>H165*I165-J165</f>
        <v>1217.98</v>
      </c>
      <c r="L165" s="236"/>
      <c r="M165" s="235"/>
      <c r="N165" s="235"/>
      <c r="O165" s="237"/>
    </row>
    <row r="166" spans="1:18" ht="18" customHeight="1" x14ac:dyDescent="0.25">
      <c r="A166" s="232"/>
      <c r="B166" s="233">
        <v>42178</v>
      </c>
      <c r="C166" s="234">
        <v>10</v>
      </c>
      <c r="D166" s="235">
        <v>33.119999999999997</v>
      </c>
      <c r="E166" s="235"/>
      <c r="F166" s="235">
        <f>C166*D166</f>
        <v>331.2</v>
      </c>
      <c r="G166" s="236"/>
      <c r="H166" s="234"/>
      <c r="I166" s="235"/>
      <c r="J166" s="235"/>
      <c r="K166" s="235"/>
      <c r="L166" s="236"/>
      <c r="M166" s="235"/>
      <c r="N166" s="235"/>
      <c r="O166" s="237"/>
    </row>
    <row r="167" spans="1:18" ht="18" customHeight="1" x14ac:dyDescent="0.25">
      <c r="A167" s="232"/>
      <c r="B167" s="238"/>
      <c r="C167" s="239">
        <f>SUM(C165:C166)</f>
        <v>35</v>
      </c>
      <c r="D167" s="240"/>
      <c r="E167" s="240"/>
      <c r="F167" s="240">
        <f>SUM(F165:F166)</f>
        <v>1184.95</v>
      </c>
      <c r="G167" s="241"/>
      <c r="H167" s="239">
        <f>SUM(H165:H166)</f>
        <v>35</v>
      </c>
      <c r="I167" s="240"/>
      <c r="J167" s="240"/>
      <c r="K167" s="240">
        <f>SUM(K165:K166)</f>
        <v>1217.98</v>
      </c>
      <c r="L167" s="241"/>
      <c r="M167" s="240"/>
      <c r="N167" s="240">
        <f>K167-F167</f>
        <v>33.029999999999973</v>
      </c>
      <c r="O167" s="242">
        <f>(N167+M167)/F167</f>
        <v>2.7874593864720007E-2</v>
      </c>
    </row>
    <row r="168" spans="1:18" ht="18" customHeight="1" x14ac:dyDescent="0.25">
      <c r="B168" s="247"/>
      <c r="C168" s="248"/>
      <c r="D168" s="249"/>
      <c r="E168" s="24"/>
      <c r="F168" s="249"/>
      <c r="G168" s="247"/>
      <c r="H168" s="248"/>
      <c r="I168" s="249"/>
      <c r="K168" s="249"/>
      <c r="L168" s="247"/>
      <c r="M168" s="249"/>
      <c r="N168" s="249"/>
      <c r="O168" s="250"/>
    </row>
    <row r="169" spans="1:18" ht="18" customHeight="1" x14ac:dyDescent="0.25">
      <c r="A169" s="562" t="s">
        <v>356</v>
      </c>
      <c r="B169" s="563">
        <v>42767</v>
      </c>
      <c r="C169" s="564">
        <v>35</v>
      </c>
      <c r="D169" s="565">
        <v>69.58</v>
      </c>
      <c r="E169" s="565">
        <v>0</v>
      </c>
      <c r="F169" s="565">
        <f>C169*D169+E169</f>
        <v>2435.2999999999997</v>
      </c>
      <c r="G169" s="563">
        <v>42803</v>
      </c>
      <c r="H169" s="566">
        <v>35</v>
      </c>
      <c r="I169" s="565">
        <v>87.78</v>
      </c>
      <c r="J169" s="565">
        <v>7.0000000000000007E-2</v>
      </c>
      <c r="K169" s="565">
        <f>I169*H169-J169</f>
        <v>3072.23</v>
      </c>
      <c r="L169" s="563">
        <v>42829</v>
      </c>
      <c r="M169" s="564">
        <v>14.44</v>
      </c>
      <c r="N169" s="567"/>
      <c r="O169" s="568"/>
    </row>
    <row r="170" spans="1:18" ht="18" customHeight="1" x14ac:dyDescent="0.25">
      <c r="A170" s="569"/>
      <c r="B170" s="564"/>
      <c r="C170" s="569">
        <f>SUM(C169:C169)</f>
        <v>35</v>
      </c>
      <c r="D170" s="570"/>
      <c r="E170" s="570"/>
      <c r="F170" s="570">
        <f>SUM(F169:F169)</f>
        <v>2435.2999999999997</v>
      </c>
      <c r="G170" s="569"/>
      <c r="H170" s="569">
        <f>SUM(H169:H169)</f>
        <v>35</v>
      </c>
      <c r="I170" s="570"/>
      <c r="J170" s="570"/>
      <c r="K170" s="570">
        <f>SUM(K169:K169)</f>
        <v>3072.23</v>
      </c>
      <c r="L170" s="569"/>
      <c r="M170" s="570">
        <f>SUM(M169:M169)</f>
        <v>14.44</v>
      </c>
      <c r="N170" s="560">
        <f>K170-F170</f>
        <v>636.93000000000029</v>
      </c>
      <c r="O170" s="561">
        <f>(N170+M170)/F170</f>
        <v>0.26747012688375166</v>
      </c>
    </row>
    <row r="171" spans="1:18" ht="18" customHeight="1" x14ac:dyDescent="0.25">
      <c r="B171" s="143"/>
      <c r="C171" s="141"/>
      <c r="D171" s="142"/>
      <c r="E171" s="24"/>
      <c r="F171" s="142"/>
      <c r="G171" s="143"/>
      <c r="H171" s="141"/>
      <c r="I171" s="142"/>
      <c r="K171" s="142"/>
      <c r="L171" s="143"/>
      <c r="M171" s="142"/>
      <c r="N171" s="142"/>
      <c r="O171" s="144"/>
    </row>
    <row r="172" spans="1:18" ht="18" customHeight="1" x14ac:dyDescent="0.25">
      <c r="A172" s="232" t="s">
        <v>14</v>
      </c>
      <c r="B172" s="233">
        <v>42152</v>
      </c>
      <c r="C172" s="234">
        <v>2</v>
      </c>
      <c r="D172" s="235">
        <v>51.22</v>
      </c>
      <c r="E172" s="236"/>
      <c r="F172" s="235">
        <f>C172*D172</f>
        <v>102.44</v>
      </c>
      <c r="G172" s="233">
        <v>42187</v>
      </c>
      <c r="H172" s="234">
        <v>150</v>
      </c>
      <c r="I172" s="235">
        <v>48.92</v>
      </c>
      <c r="J172" s="234">
        <v>0.12</v>
      </c>
      <c r="K172" s="235">
        <f>H172*I172-J172</f>
        <v>7337.88</v>
      </c>
      <c r="L172" s="233">
        <v>42195</v>
      </c>
      <c r="M172" s="235">
        <v>52</v>
      </c>
      <c r="N172" s="235"/>
      <c r="O172" s="237"/>
    </row>
    <row r="173" spans="1:18" ht="18" customHeight="1" x14ac:dyDescent="0.25">
      <c r="A173" s="232"/>
      <c r="B173" s="233">
        <v>42164</v>
      </c>
      <c r="C173" s="234">
        <v>48</v>
      </c>
      <c r="D173" s="235">
        <v>49.9</v>
      </c>
      <c r="E173" s="236"/>
      <c r="F173" s="235">
        <f>C173*D173</f>
        <v>2395.1999999999998</v>
      </c>
      <c r="G173" s="236"/>
      <c r="H173" s="234"/>
      <c r="I173" s="235"/>
      <c r="J173" s="234"/>
      <c r="K173" s="235"/>
      <c r="L173" s="236"/>
      <c r="M173" s="235"/>
      <c r="N173" s="235"/>
      <c r="O173" s="237"/>
    </row>
    <row r="174" spans="1:18" ht="18" customHeight="1" x14ac:dyDescent="0.25">
      <c r="A174" s="232"/>
      <c r="B174" s="233">
        <v>42165</v>
      </c>
      <c r="C174" s="234">
        <v>50</v>
      </c>
      <c r="D174" s="235">
        <v>48.6</v>
      </c>
      <c r="E174" s="236"/>
      <c r="F174" s="235">
        <f>C174*D174</f>
        <v>2430</v>
      </c>
      <c r="G174" s="236"/>
      <c r="H174" s="234"/>
      <c r="I174" s="235"/>
      <c r="J174" s="234"/>
      <c r="K174" s="235"/>
      <c r="L174" s="236"/>
      <c r="M174" s="235"/>
      <c r="N174" s="235"/>
      <c r="O174" s="237"/>
    </row>
    <row r="175" spans="1:18" ht="18" customHeight="1" x14ac:dyDescent="0.25">
      <c r="A175" s="232"/>
      <c r="B175" s="233">
        <v>42173</v>
      </c>
      <c r="C175" s="234">
        <v>25</v>
      </c>
      <c r="D175" s="235">
        <v>47.62</v>
      </c>
      <c r="E175" s="236"/>
      <c r="F175" s="235">
        <f>C175*D175</f>
        <v>1190.5</v>
      </c>
      <c r="G175" s="236"/>
      <c r="H175" s="234"/>
      <c r="I175" s="235"/>
      <c r="J175" s="234"/>
      <c r="K175" s="235"/>
      <c r="L175" s="236"/>
      <c r="M175" s="235"/>
      <c r="N175" s="235"/>
      <c r="O175" s="237"/>
    </row>
    <row r="176" spans="1:18" ht="18" customHeight="1" x14ac:dyDescent="0.25">
      <c r="A176" s="232"/>
      <c r="B176" s="233">
        <v>42173</v>
      </c>
      <c r="C176" s="234">
        <v>25</v>
      </c>
      <c r="D176" s="235">
        <v>47.54</v>
      </c>
      <c r="E176" s="236"/>
      <c r="F176" s="235">
        <f>C176*D176</f>
        <v>1188.5</v>
      </c>
      <c r="G176" s="236"/>
      <c r="H176" s="234"/>
      <c r="I176" s="235"/>
      <c r="J176" s="234"/>
      <c r="K176" s="235"/>
      <c r="L176" s="236"/>
      <c r="M176" s="235"/>
      <c r="N176" s="235"/>
      <c r="O176" s="237"/>
      <c r="P176" s="136"/>
    </row>
    <row r="177" spans="1:16" ht="18" customHeight="1" x14ac:dyDescent="0.25">
      <c r="A177" s="232"/>
      <c r="B177" s="238"/>
      <c r="C177" s="239">
        <f>SUM(C172:C176)</f>
        <v>150</v>
      </c>
      <c r="D177" s="240"/>
      <c r="E177" s="241"/>
      <c r="F177" s="240">
        <f t="shared" ref="F177:M177" si="9">SUM(F172:F176)</f>
        <v>7306.6399999999994</v>
      </c>
      <c r="G177" s="241"/>
      <c r="H177" s="239">
        <f t="shared" si="9"/>
        <v>150</v>
      </c>
      <c r="I177" s="240"/>
      <c r="J177" s="239"/>
      <c r="K177" s="240">
        <f t="shared" si="9"/>
        <v>7337.88</v>
      </c>
      <c r="L177" s="241"/>
      <c r="M177" s="240">
        <f t="shared" si="9"/>
        <v>52</v>
      </c>
      <c r="N177" s="240">
        <f>K177-F177</f>
        <v>31.240000000000691</v>
      </c>
      <c r="O177" s="242">
        <f>(N177+M177)/F177</f>
        <v>1.1392377344442959E-2</v>
      </c>
    </row>
    <row r="178" spans="1:16" ht="18" customHeight="1" x14ac:dyDescent="0.25">
      <c r="B178" s="260"/>
      <c r="C178" s="248"/>
      <c r="D178" s="249"/>
      <c r="E178" s="248"/>
      <c r="F178" s="249"/>
      <c r="G178" s="263"/>
      <c r="H178" s="248"/>
      <c r="I178" s="249"/>
      <c r="J178" s="248"/>
      <c r="K178" s="249"/>
      <c r="L178" s="247"/>
      <c r="M178" s="249"/>
      <c r="N178" s="248"/>
      <c r="O178" s="248"/>
      <c r="P178"/>
    </row>
    <row r="179" spans="1:16" ht="18" customHeight="1" x14ac:dyDescent="0.25">
      <c r="A179" s="232" t="s">
        <v>26</v>
      </c>
      <c r="B179" s="233">
        <v>42163</v>
      </c>
      <c r="C179" s="234">
        <v>50</v>
      </c>
      <c r="D179" s="235">
        <v>5.9</v>
      </c>
      <c r="E179" s="234">
        <v>0</v>
      </c>
      <c r="F179" s="235">
        <v>295</v>
      </c>
      <c r="G179" s="262">
        <v>42187</v>
      </c>
      <c r="H179" s="234">
        <v>200</v>
      </c>
      <c r="I179" s="235">
        <v>6.45</v>
      </c>
      <c r="J179" s="234">
        <v>0.02</v>
      </c>
      <c r="K179" s="235">
        <v>1289.98</v>
      </c>
      <c r="L179" s="236"/>
      <c r="M179" s="235"/>
      <c r="N179" s="234"/>
      <c r="O179" s="234"/>
      <c r="P179"/>
    </row>
    <row r="180" spans="1:16" ht="18" customHeight="1" x14ac:dyDescent="0.25">
      <c r="A180" s="232"/>
      <c r="B180" s="233">
        <v>42163</v>
      </c>
      <c r="C180" s="234">
        <v>100</v>
      </c>
      <c r="D180" s="235">
        <v>6.2</v>
      </c>
      <c r="E180" s="234">
        <v>0</v>
      </c>
      <c r="F180" s="235">
        <v>620</v>
      </c>
      <c r="G180" s="262">
        <v>42261</v>
      </c>
      <c r="H180" s="234">
        <v>450</v>
      </c>
      <c r="I180" s="235">
        <v>6.23</v>
      </c>
      <c r="J180" s="234">
        <v>0.05</v>
      </c>
      <c r="K180" s="235">
        <v>2803.45</v>
      </c>
      <c r="L180" s="236"/>
      <c r="M180" s="235"/>
      <c r="N180" s="234"/>
      <c r="O180" s="234"/>
      <c r="P180"/>
    </row>
    <row r="181" spans="1:16" ht="18" customHeight="1" x14ac:dyDescent="0.25">
      <c r="A181" s="232"/>
      <c r="B181" s="233">
        <v>42187</v>
      </c>
      <c r="C181" s="234">
        <v>200</v>
      </c>
      <c r="D181" s="235">
        <v>6.3</v>
      </c>
      <c r="E181" s="234">
        <v>0</v>
      </c>
      <c r="F181" s="235">
        <v>1260</v>
      </c>
      <c r="G181" s="262"/>
      <c r="H181" s="234"/>
      <c r="I181" s="235"/>
      <c r="J181" s="234"/>
      <c r="K181" s="235"/>
      <c r="L181" s="236"/>
      <c r="M181" s="235"/>
      <c r="N181" s="234"/>
      <c r="O181" s="234"/>
      <c r="P181"/>
    </row>
    <row r="182" spans="1:16" ht="18" customHeight="1" x14ac:dyDescent="0.25">
      <c r="A182" s="232"/>
      <c r="B182" s="233">
        <v>42194</v>
      </c>
      <c r="C182" s="234">
        <v>150</v>
      </c>
      <c r="D182" s="235">
        <v>6.1</v>
      </c>
      <c r="E182" s="234">
        <v>0</v>
      </c>
      <c r="F182" s="235">
        <v>915</v>
      </c>
      <c r="G182" s="262"/>
      <c r="H182" s="234"/>
      <c r="I182" s="235"/>
      <c r="J182" s="234"/>
      <c r="K182" s="235"/>
      <c r="L182" s="236"/>
      <c r="M182" s="235"/>
      <c r="N182" s="234"/>
      <c r="O182" s="234"/>
      <c r="P182"/>
    </row>
    <row r="183" spans="1:16" ht="18" customHeight="1" x14ac:dyDescent="0.25">
      <c r="A183" s="232"/>
      <c r="B183" s="233">
        <v>42240</v>
      </c>
      <c r="C183" s="234">
        <v>150</v>
      </c>
      <c r="D183" s="235">
        <v>5.69</v>
      </c>
      <c r="E183" s="234">
        <v>0</v>
      </c>
      <c r="F183" s="235">
        <v>853.50000000000011</v>
      </c>
      <c r="G183" s="262"/>
      <c r="H183" s="234"/>
      <c r="I183" s="235"/>
      <c r="J183" s="234"/>
      <c r="K183" s="235"/>
      <c r="L183" s="236"/>
      <c r="M183" s="235"/>
      <c r="N183" s="234"/>
      <c r="O183" s="234"/>
    </row>
    <row r="184" spans="1:16" ht="18" customHeight="1" x14ac:dyDescent="0.25">
      <c r="A184" s="232"/>
      <c r="B184" s="238"/>
      <c r="C184" s="239">
        <v>650</v>
      </c>
      <c r="D184" s="240"/>
      <c r="E184" s="239"/>
      <c r="F184" s="240">
        <v>3943.5</v>
      </c>
      <c r="G184" s="264"/>
      <c r="H184" s="239">
        <v>650</v>
      </c>
      <c r="I184" s="240"/>
      <c r="J184" s="239"/>
      <c r="K184" s="240">
        <f>SUM(K179:K180)</f>
        <v>4093.43</v>
      </c>
      <c r="L184" s="241"/>
      <c r="M184" s="240"/>
      <c r="N184" s="240">
        <f>K184-F184</f>
        <v>149.92999999999984</v>
      </c>
      <c r="O184" s="242">
        <f>N184/K184</f>
        <v>3.6626985193346374E-2</v>
      </c>
    </row>
    <row r="185" spans="1:16" ht="18" customHeight="1" x14ac:dyDescent="0.25">
      <c r="B185" s="260"/>
      <c r="C185" s="248"/>
      <c r="D185" s="249"/>
      <c r="E185" s="248"/>
      <c r="F185" s="249"/>
      <c r="G185" s="263"/>
      <c r="H185" s="248"/>
      <c r="I185" s="249"/>
      <c r="J185" s="248"/>
      <c r="K185" s="249"/>
      <c r="L185" s="247"/>
      <c r="M185" s="249"/>
      <c r="N185" s="248"/>
      <c r="O185" s="248"/>
    </row>
    <row r="186" spans="1:16" ht="18" customHeight="1" x14ac:dyDescent="0.25">
      <c r="A186" s="221" t="s">
        <v>26</v>
      </c>
      <c r="B186" s="222">
        <v>42284</v>
      </c>
      <c r="C186" s="223">
        <v>150</v>
      </c>
      <c r="D186" s="224">
        <v>3.75</v>
      </c>
      <c r="E186" s="224">
        <v>0</v>
      </c>
      <c r="F186" s="224">
        <f>D186*C186</f>
        <v>562.5</v>
      </c>
      <c r="G186" s="222">
        <v>42291</v>
      </c>
      <c r="H186" s="225">
        <v>100</v>
      </c>
      <c r="I186" s="224">
        <v>4.4000000000000004</v>
      </c>
      <c r="J186" s="224">
        <v>0.01</v>
      </c>
      <c r="K186" s="223">
        <f>I186*H186-J186</f>
        <v>439.99000000000007</v>
      </c>
      <c r="L186" s="222"/>
      <c r="M186" s="224"/>
      <c r="N186" s="223"/>
      <c r="O186" s="226"/>
    </row>
    <row r="187" spans="1:16" ht="18" customHeight="1" x14ac:dyDescent="0.25">
      <c r="A187" s="267"/>
      <c r="B187" s="885">
        <v>42338</v>
      </c>
      <c r="C187" s="223">
        <v>50</v>
      </c>
      <c r="D187" s="224">
        <v>3.03</v>
      </c>
      <c r="E187" s="224">
        <v>0</v>
      </c>
      <c r="F187" s="224">
        <f>D187*C187</f>
        <v>151.5</v>
      </c>
      <c r="G187" s="222">
        <v>42333</v>
      </c>
      <c r="H187" s="223">
        <v>50</v>
      </c>
      <c r="I187" s="223">
        <v>3.16</v>
      </c>
      <c r="J187" s="223">
        <v>0.01</v>
      </c>
      <c r="K187" s="223">
        <f>I187*H187-J187</f>
        <v>157.99</v>
      </c>
      <c r="L187" s="223"/>
      <c r="M187" s="223"/>
      <c r="N187" s="223"/>
      <c r="O187" s="226"/>
    </row>
    <row r="188" spans="1:16" ht="18" customHeight="1" x14ac:dyDescent="0.25">
      <c r="A188" s="223"/>
      <c r="B188" s="885"/>
      <c r="C188" s="223">
        <v>2</v>
      </c>
      <c r="D188" s="224">
        <v>3.03</v>
      </c>
      <c r="E188" s="224">
        <v>0</v>
      </c>
      <c r="F188" s="224">
        <f>D188*C188</f>
        <v>6.06</v>
      </c>
      <c r="G188" s="222">
        <v>42339</v>
      </c>
      <c r="H188" s="223">
        <v>50</v>
      </c>
      <c r="I188" s="223">
        <v>3.38</v>
      </c>
      <c r="J188" s="223">
        <v>0.01</v>
      </c>
      <c r="K188" s="223">
        <f>I188*H188-J188</f>
        <v>168.99</v>
      </c>
      <c r="L188" s="223"/>
      <c r="M188" s="223"/>
      <c r="N188" s="223"/>
      <c r="O188" s="226"/>
      <c r="P188" s="136"/>
    </row>
    <row r="189" spans="1:16" ht="18" customHeight="1" x14ac:dyDescent="0.25">
      <c r="A189" s="223"/>
      <c r="B189" s="222">
        <v>42340</v>
      </c>
      <c r="C189" s="223">
        <v>52</v>
      </c>
      <c r="D189" s="224">
        <v>3.2</v>
      </c>
      <c r="E189" s="224">
        <v>0</v>
      </c>
      <c r="F189" s="224">
        <f>D189*C189</f>
        <v>166.4</v>
      </c>
      <c r="G189" s="223"/>
      <c r="H189" s="224">
        <v>54</v>
      </c>
      <c r="I189" s="224">
        <v>1.63</v>
      </c>
      <c r="J189" s="224">
        <v>0</v>
      </c>
      <c r="K189" s="223">
        <f>I189*H189-J189</f>
        <v>88.02</v>
      </c>
      <c r="L189" s="223"/>
      <c r="M189" s="223"/>
      <c r="N189" s="223"/>
      <c r="O189" s="226"/>
    </row>
    <row r="190" spans="1:16" ht="18" customHeight="1" x14ac:dyDescent="0.25">
      <c r="A190" s="226"/>
      <c r="B190" s="226"/>
      <c r="C190" s="226">
        <f>SUM(C186:C189)</f>
        <v>254</v>
      </c>
      <c r="D190" s="226"/>
      <c r="E190" s="229"/>
      <c r="F190" s="226">
        <f>SUM(F186:F189)</f>
        <v>886.45999999999992</v>
      </c>
      <c r="G190" s="226"/>
      <c r="H190" s="230">
        <f>SUM(H186:H189)</f>
        <v>254</v>
      </c>
      <c r="I190" s="226"/>
      <c r="J190" s="226"/>
      <c r="K190" s="226">
        <f>SUM(K186:K189)</f>
        <v>854.99</v>
      </c>
      <c r="L190" s="226"/>
      <c r="M190" s="229">
        <f>SUM(M186:M188)</f>
        <v>0</v>
      </c>
      <c r="N190" s="226">
        <f>K190-F190</f>
        <v>-31.469999999999914</v>
      </c>
      <c r="O190" s="231">
        <f>N190/F190</f>
        <v>-3.5500755815265121E-2</v>
      </c>
    </row>
    <row r="191" spans="1:16" ht="18" customHeight="1" x14ac:dyDescent="0.25">
      <c r="B191" s="260"/>
      <c r="C191" s="248"/>
      <c r="D191" s="249"/>
      <c r="E191" s="248"/>
      <c r="F191" s="249"/>
      <c r="G191" s="263"/>
      <c r="H191" s="248"/>
      <c r="I191" s="249"/>
      <c r="J191" s="248"/>
      <c r="K191" s="249"/>
      <c r="L191" s="247"/>
      <c r="M191" s="249"/>
      <c r="N191" s="248"/>
      <c r="O191" s="248"/>
      <c r="P191" s="136"/>
    </row>
    <row r="192" spans="1:16" ht="18" customHeight="1" x14ac:dyDescent="0.25">
      <c r="A192" s="232" t="s">
        <v>23</v>
      </c>
      <c r="B192" s="233">
        <v>42153</v>
      </c>
      <c r="C192" s="234">
        <v>50</v>
      </c>
      <c r="D192" s="235">
        <v>37.22</v>
      </c>
      <c r="E192" s="234"/>
      <c r="F192" s="235">
        <f>D192*C192</f>
        <v>1861</v>
      </c>
      <c r="G192" s="262">
        <v>42186</v>
      </c>
      <c r="H192" s="234">
        <v>50</v>
      </c>
      <c r="I192" s="235">
        <v>38.4</v>
      </c>
      <c r="J192" s="234">
        <v>0.04</v>
      </c>
      <c r="K192" s="235">
        <f>H192*I192-J192</f>
        <v>1919.96</v>
      </c>
      <c r="L192" s="236"/>
      <c r="M192" s="235"/>
      <c r="N192" s="234"/>
      <c r="O192" s="234"/>
    </row>
    <row r="193" spans="1:20" ht="18" customHeight="1" x14ac:dyDescent="0.25">
      <c r="A193" s="232"/>
      <c r="B193" s="233">
        <v>42208</v>
      </c>
      <c r="C193" s="234">
        <v>100</v>
      </c>
      <c r="D193" s="235">
        <v>36</v>
      </c>
      <c r="E193" s="236"/>
      <c r="F193" s="235">
        <f>D193*C193</f>
        <v>3600</v>
      </c>
      <c r="G193" s="262">
        <v>42230</v>
      </c>
      <c r="H193" s="234">
        <v>100</v>
      </c>
      <c r="I193" s="235">
        <v>35.96</v>
      </c>
      <c r="J193" s="234">
        <v>7.0000000000000007E-2</v>
      </c>
      <c r="K193" s="235">
        <f>H193*I193-J193</f>
        <v>3595.93</v>
      </c>
      <c r="L193" s="236"/>
      <c r="M193" s="235"/>
      <c r="N193" s="234"/>
      <c r="O193" s="234"/>
    </row>
    <row r="194" spans="1:20" ht="18" customHeight="1" x14ac:dyDescent="0.25">
      <c r="A194" s="232"/>
      <c r="B194" s="233">
        <v>42209</v>
      </c>
      <c r="C194" s="234">
        <v>20</v>
      </c>
      <c r="D194" s="234">
        <f>709.5/20</f>
        <v>35.475000000000001</v>
      </c>
      <c r="E194" s="234"/>
      <c r="F194" s="235">
        <f>D194*C194</f>
        <v>709.5</v>
      </c>
      <c r="G194" s="262">
        <v>42258</v>
      </c>
      <c r="H194" s="234">
        <v>40</v>
      </c>
      <c r="I194" s="235">
        <v>36.65</v>
      </c>
      <c r="J194" s="234">
        <v>0.03</v>
      </c>
      <c r="K194" s="235">
        <f>H194*I194-J194</f>
        <v>1465.97</v>
      </c>
      <c r="L194" s="236"/>
      <c r="M194" s="235"/>
      <c r="N194" s="234"/>
      <c r="O194" s="234"/>
      <c r="P194" s="136"/>
    </row>
    <row r="195" spans="1:20" ht="18" customHeight="1" x14ac:dyDescent="0.25">
      <c r="A195" s="232"/>
      <c r="B195" s="233">
        <v>42209</v>
      </c>
      <c r="C195" s="234">
        <v>20</v>
      </c>
      <c r="D195" s="235">
        <v>35.03</v>
      </c>
      <c r="E195" s="236"/>
      <c r="F195" s="235">
        <f>D195*C195</f>
        <v>700.6</v>
      </c>
      <c r="G195" s="262"/>
      <c r="H195" s="234"/>
      <c r="I195" s="235"/>
      <c r="J195" s="234"/>
      <c r="K195" s="235"/>
      <c r="L195" s="236"/>
      <c r="M195" s="235"/>
      <c r="N195" s="234"/>
      <c r="O195" s="234"/>
    </row>
    <row r="196" spans="1:20" ht="18" customHeight="1" x14ac:dyDescent="0.25">
      <c r="A196" s="232"/>
      <c r="B196" s="238"/>
      <c r="C196" s="239">
        <v>190</v>
      </c>
      <c r="D196" s="240"/>
      <c r="E196" s="239"/>
      <c r="F196" s="240">
        <f>SUM(F192:F195)</f>
        <v>6871.1</v>
      </c>
      <c r="G196" s="264"/>
      <c r="H196" s="239">
        <v>190</v>
      </c>
      <c r="I196" s="240"/>
      <c r="J196" s="239"/>
      <c r="K196" s="240">
        <f>SUM(K192:K194)</f>
        <v>6981.86</v>
      </c>
      <c r="L196" s="241"/>
      <c r="M196" s="240"/>
      <c r="N196" s="239">
        <f>K196-F196</f>
        <v>110.75999999999931</v>
      </c>
      <c r="O196" s="242">
        <f>(N196+M196)/F196</f>
        <v>1.6119689714892711E-2</v>
      </c>
    </row>
    <row r="197" spans="1:20" ht="18" customHeight="1" x14ac:dyDescent="0.25">
      <c r="B197" s="247"/>
      <c r="C197" s="248"/>
      <c r="D197" s="249"/>
      <c r="E197" s="249"/>
      <c r="F197" s="249"/>
      <c r="G197" s="247"/>
      <c r="H197" s="248"/>
      <c r="I197" s="249"/>
      <c r="J197" s="249"/>
      <c r="K197" s="249"/>
      <c r="L197" s="247"/>
      <c r="M197" s="249"/>
      <c r="N197" s="249"/>
      <c r="O197" s="250"/>
    </row>
    <row r="198" spans="1:20" ht="18" customHeight="1" x14ac:dyDescent="0.25">
      <c r="A198" s="232" t="s">
        <v>41</v>
      </c>
      <c r="B198" s="233">
        <v>42184</v>
      </c>
      <c r="C198" s="234">
        <v>10</v>
      </c>
      <c r="D198" s="235">
        <v>66</v>
      </c>
      <c r="E198" s="235"/>
      <c r="F198" s="235">
        <f>C198*D198</f>
        <v>660</v>
      </c>
      <c r="G198" s="233">
        <v>42219</v>
      </c>
      <c r="H198" s="234">
        <v>10</v>
      </c>
      <c r="I198" s="235">
        <v>70.45</v>
      </c>
      <c r="J198" s="235">
        <v>0.01</v>
      </c>
      <c r="K198" s="235">
        <f>H198*I198-J198</f>
        <v>704.49</v>
      </c>
      <c r="L198" s="236"/>
      <c r="M198" s="235"/>
      <c r="N198" s="235"/>
      <c r="O198" s="237"/>
      <c r="P198" s="136"/>
    </row>
    <row r="199" spans="1:20" ht="18" customHeight="1" x14ac:dyDescent="0.25">
      <c r="A199" s="232"/>
      <c r="B199" s="238"/>
      <c r="C199" s="239">
        <f>SUM(C198)</f>
        <v>10</v>
      </c>
      <c r="D199" s="240"/>
      <c r="E199" s="240"/>
      <c r="F199" s="240">
        <f>SUM(F198)</f>
        <v>660</v>
      </c>
      <c r="G199" s="241"/>
      <c r="H199" s="239">
        <f>SUM(H198)</f>
        <v>10</v>
      </c>
      <c r="I199" s="240"/>
      <c r="J199" s="240"/>
      <c r="K199" s="240">
        <f>SUM(K198)</f>
        <v>704.49</v>
      </c>
      <c r="L199" s="241"/>
      <c r="M199" s="240"/>
      <c r="N199" s="240">
        <f>K199-F199</f>
        <v>44.490000000000009</v>
      </c>
      <c r="O199" s="242">
        <f>(N199+M199)/F199</f>
        <v>6.7409090909090918E-2</v>
      </c>
      <c r="P199" s="136"/>
    </row>
    <row r="200" spans="1:20" ht="18" customHeight="1" x14ac:dyDescent="0.25">
      <c r="A200" s="11"/>
      <c r="B200" s="11"/>
      <c r="C200" s="11"/>
      <c r="D200" s="20"/>
      <c r="E200" s="20"/>
      <c r="F200" s="20"/>
      <c r="G200" s="11"/>
      <c r="H200" s="11"/>
      <c r="I200" s="20"/>
      <c r="J200" s="20"/>
      <c r="K200" s="20"/>
      <c r="L200" s="11"/>
      <c r="M200" s="11"/>
      <c r="N200" s="11"/>
      <c r="O200" s="11"/>
      <c r="P200" s="136"/>
    </row>
    <row r="201" spans="1:20" ht="18" customHeight="1" x14ac:dyDescent="0.25">
      <c r="A201" s="232" t="s">
        <v>35</v>
      </c>
      <c r="B201" s="233">
        <v>42166</v>
      </c>
      <c r="C201" s="234">
        <v>10</v>
      </c>
      <c r="D201" s="235">
        <v>55.7</v>
      </c>
      <c r="E201" s="235">
        <v>0</v>
      </c>
      <c r="F201" s="235">
        <f t="shared" ref="F201:F227" si="10">C201*D201+E201</f>
        <v>557</v>
      </c>
      <c r="G201" s="233">
        <v>42208</v>
      </c>
      <c r="H201" s="234">
        <v>10</v>
      </c>
      <c r="I201" s="235">
        <v>56</v>
      </c>
      <c r="J201" s="235">
        <v>0.01</v>
      </c>
      <c r="K201" s="235">
        <f t="shared" ref="K201:K224" si="11">H201*I201-J201</f>
        <v>559.99</v>
      </c>
      <c r="L201" s="236"/>
      <c r="M201" s="235"/>
      <c r="N201" s="235"/>
      <c r="O201" s="237"/>
      <c r="P201" s="136"/>
    </row>
    <row r="202" spans="1:20" ht="18" customHeight="1" x14ac:dyDescent="0.25">
      <c r="A202" s="232"/>
      <c r="B202" s="233">
        <v>42205</v>
      </c>
      <c r="C202" s="234">
        <v>10</v>
      </c>
      <c r="D202" s="235">
        <v>52.6</v>
      </c>
      <c r="E202" s="235">
        <v>0</v>
      </c>
      <c r="F202" s="235">
        <f t="shared" si="10"/>
        <v>526</v>
      </c>
      <c r="G202" s="233">
        <v>42234</v>
      </c>
      <c r="H202" s="234">
        <v>25</v>
      </c>
      <c r="I202" s="235">
        <v>50.88</v>
      </c>
      <c r="J202" s="235">
        <v>0.02</v>
      </c>
      <c r="K202" s="235">
        <f t="shared" si="11"/>
        <v>1271.98</v>
      </c>
      <c r="L202" s="236"/>
      <c r="M202" s="235"/>
      <c r="N202" s="235"/>
      <c r="O202" s="237"/>
      <c r="P202" s="136"/>
    </row>
    <row r="203" spans="1:20" ht="18" customHeight="1" x14ac:dyDescent="0.25">
      <c r="A203" s="232"/>
      <c r="B203" s="233">
        <v>42229</v>
      </c>
      <c r="C203" s="234">
        <v>15</v>
      </c>
      <c r="D203" s="235">
        <v>50.9</v>
      </c>
      <c r="E203" s="235">
        <v>0</v>
      </c>
      <c r="F203" s="235">
        <f t="shared" si="10"/>
        <v>763.5</v>
      </c>
      <c r="G203" s="233">
        <v>42314</v>
      </c>
      <c r="H203" s="234">
        <v>150</v>
      </c>
      <c r="I203" s="235">
        <v>31.5</v>
      </c>
      <c r="J203" s="235">
        <v>0.09</v>
      </c>
      <c r="K203" s="235">
        <f t="shared" si="11"/>
        <v>4724.91</v>
      </c>
      <c r="L203" s="236"/>
      <c r="M203" s="235"/>
      <c r="N203" s="235"/>
      <c r="O203" s="237"/>
    </row>
    <row r="204" spans="1:20" ht="18" customHeight="1" x14ac:dyDescent="0.25">
      <c r="A204" s="232"/>
      <c r="B204" s="233">
        <v>42233</v>
      </c>
      <c r="C204" s="234">
        <v>15</v>
      </c>
      <c r="D204" s="235">
        <v>46.8</v>
      </c>
      <c r="E204" s="235">
        <v>0</v>
      </c>
      <c r="F204" s="235">
        <f t="shared" si="10"/>
        <v>702</v>
      </c>
      <c r="G204" s="233">
        <v>42317</v>
      </c>
      <c r="H204" s="234">
        <v>150</v>
      </c>
      <c r="I204" s="235">
        <v>31.5</v>
      </c>
      <c r="J204" s="235">
        <v>0.09</v>
      </c>
      <c r="K204" s="235">
        <f t="shared" si="11"/>
        <v>4724.91</v>
      </c>
      <c r="L204" s="236"/>
      <c r="M204" s="235"/>
      <c r="N204" s="235"/>
      <c r="O204" s="237"/>
    </row>
    <row r="205" spans="1:20" ht="18" customHeight="1" x14ac:dyDescent="0.25">
      <c r="A205" s="232"/>
      <c r="B205" s="233">
        <v>42233</v>
      </c>
      <c r="C205" s="234">
        <v>20</v>
      </c>
      <c r="D205" s="235">
        <v>47.45</v>
      </c>
      <c r="E205" s="235">
        <v>0</v>
      </c>
      <c r="F205" s="235">
        <f t="shared" si="10"/>
        <v>949</v>
      </c>
      <c r="G205" s="233">
        <v>42340</v>
      </c>
      <c r="H205" s="234">
        <v>150</v>
      </c>
      <c r="I205" s="235">
        <v>30.55</v>
      </c>
      <c r="J205" s="235">
        <v>0.08</v>
      </c>
      <c r="K205" s="235">
        <f t="shared" si="11"/>
        <v>4582.42</v>
      </c>
      <c r="L205" s="236"/>
      <c r="M205" s="235"/>
      <c r="N205" s="235"/>
      <c r="O205" s="237"/>
      <c r="P205" s="136"/>
    </row>
    <row r="206" spans="1:20" ht="18" customHeight="1" x14ac:dyDescent="0.25">
      <c r="A206" s="232"/>
      <c r="B206" s="233">
        <v>42298</v>
      </c>
      <c r="C206" s="234">
        <v>35</v>
      </c>
      <c r="D206" s="235">
        <v>44.3</v>
      </c>
      <c r="E206" s="235">
        <v>0</v>
      </c>
      <c r="F206" s="235">
        <f t="shared" si="10"/>
        <v>1550.5</v>
      </c>
      <c r="G206" s="233">
        <v>42342</v>
      </c>
      <c r="H206" s="234">
        <v>150</v>
      </c>
      <c r="I206" s="235">
        <v>30.45</v>
      </c>
      <c r="J206" s="235">
        <v>0.08</v>
      </c>
      <c r="K206" s="235">
        <f t="shared" si="11"/>
        <v>4567.42</v>
      </c>
      <c r="L206" s="236"/>
      <c r="M206" s="235"/>
      <c r="N206" s="235"/>
      <c r="O206" s="237"/>
      <c r="Q206" s="357" t="s">
        <v>215</v>
      </c>
      <c r="R206" s="356"/>
      <c r="S206" s="337" t="s">
        <v>210</v>
      </c>
      <c r="T206" s="335"/>
    </row>
    <row r="207" spans="1:20" ht="18" customHeight="1" x14ac:dyDescent="0.25">
      <c r="A207" s="232"/>
      <c r="B207" s="233">
        <v>42299</v>
      </c>
      <c r="C207" s="234">
        <v>70</v>
      </c>
      <c r="D207" s="235">
        <v>41.35</v>
      </c>
      <c r="E207" s="235">
        <v>0</v>
      </c>
      <c r="F207" s="235">
        <f t="shared" si="10"/>
        <v>2894.5</v>
      </c>
      <c r="G207" s="233">
        <v>42345</v>
      </c>
      <c r="H207" s="234">
        <v>100</v>
      </c>
      <c r="I207" s="235">
        <v>34.5</v>
      </c>
      <c r="J207" s="235">
        <v>0.06</v>
      </c>
      <c r="K207" s="235">
        <f t="shared" si="11"/>
        <v>3449.94</v>
      </c>
      <c r="L207" s="236"/>
      <c r="M207" s="235"/>
      <c r="N207" s="235"/>
      <c r="O207" s="237"/>
      <c r="Q207" s="279"/>
      <c r="R207" s="356"/>
      <c r="S207" s="335">
        <v>2015</v>
      </c>
      <c r="T207" s="335">
        <v>1003.28</v>
      </c>
    </row>
    <row r="208" spans="1:20" ht="18" customHeight="1" x14ac:dyDescent="0.25">
      <c r="A208" s="232"/>
      <c r="B208" s="233">
        <v>42299</v>
      </c>
      <c r="C208" s="234">
        <v>60</v>
      </c>
      <c r="D208" s="235">
        <v>40.229999999999997</v>
      </c>
      <c r="E208" s="235">
        <v>0</v>
      </c>
      <c r="F208" s="235">
        <f t="shared" si="10"/>
        <v>2413.7999999999997</v>
      </c>
      <c r="G208" s="233">
        <v>42356</v>
      </c>
      <c r="H208" s="234">
        <v>150</v>
      </c>
      <c r="I208" s="235">
        <v>43.25</v>
      </c>
      <c r="J208" s="235">
        <v>0.12</v>
      </c>
      <c r="K208" s="235">
        <f t="shared" si="11"/>
        <v>6487.38</v>
      </c>
      <c r="L208" s="236"/>
      <c r="M208" s="235"/>
      <c r="N208" s="235"/>
      <c r="O208" s="237"/>
      <c r="P208" s="136"/>
      <c r="Q208" s="279"/>
      <c r="R208" s="356">
        <v>1.5</v>
      </c>
      <c r="S208" s="374">
        <v>42278</v>
      </c>
      <c r="T208" s="335">
        <v>0.19</v>
      </c>
    </row>
    <row r="209" spans="1:20" ht="18" customHeight="1" x14ac:dyDescent="0.25">
      <c r="A209" s="232"/>
      <c r="B209" s="233">
        <v>42300</v>
      </c>
      <c r="C209" s="234">
        <v>100</v>
      </c>
      <c r="D209" s="235">
        <v>39.57</v>
      </c>
      <c r="E209" s="235">
        <v>0</v>
      </c>
      <c r="F209" s="235">
        <f t="shared" si="10"/>
        <v>3957</v>
      </c>
      <c r="G209" s="233">
        <v>42359</v>
      </c>
      <c r="H209" s="234">
        <v>20</v>
      </c>
      <c r="I209" s="235">
        <v>51.05</v>
      </c>
      <c r="J209" s="235">
        <v>0.02</v>
      </c>
      <c r="K209" s="235">
        <f t="shared" si="11"/>
        <v>1020.98</v>
      </c>
      <c r="L209" s="236"/>
      <c r="M209" s="235"/>
      <c r="N209" s="235"/>
      <c r="O209" s="237"/>
      <c r="Q209" s="279"/>
      <c r="R209" s="356">
        <v>0.05</v>
      </c>
      <c r="S209" s="374">
        <v>42309</v>
      </c>
      <c r="T209" s="335">
        <v>0.26</v>
      </c>
    </row>
    <row r="210" spans="1:20" ht="18" customHeight="1" x14ac:dyDescent="0.25">
      <c r="A210" s="232"/>
      <c r="B210" s="233">
        <v>42304</v>
      </c>
      <c r="C210" s="234">
        <v>100</v>
      </c>
      <c r="D210" s="235">
        <v>37.950000000000003</v>
      </c>
      <c r="E210" s="235">
        <v>0</v>
      </c>
      <c r="F210" s="235">
        <f t="shared" si="10"/>
        <v>3795.0000000000005</v>
      </c>
      <c r="G210" s="233">
        <v>42361</v>
      </c>
      <c r="H210" s="234">
        <v>30</v>
      </c>
      <c r="I210" s="235">
        <v>57.95</v>
      </c>
      <c r="J210" s="235">
        <v>0.03</v>
      </c>
      <c r="K210" s="235">
        <f t="shared" si="11"/>
        <v>1738.47</v>
      </c>
      <c r="L210" s="236"/>
      <c r="M210" s="235"/>
      <c r="N210" s="235"/>
      <c r="O210" s="237"/>
      <c r="Q210" s="279"/>
      <c r="R210" s="356"/>
      <c r="S210" s="374">
        <v>42339</v>
      </c>
      <c r="T210" s="335">
        <v>0.23</v>
      </c>
    </row>
    <row r="211" spans="1:20" ht="18" customHeight="1" x14ac:dyDescent="0.25">
      <c r="A211" s="232"/>
      <c r="B211" s="233">
        <v>42311</v>
      </c>
      <c r="C211" s="234">
        <v>150</v>
      </c>
      <c r="D211" s="235">
        <v>30.5</v>
      </c>
      <c r="E211" s="235">
        <v>6.95</v>
      </c>
      <c r="F211" s="235">
        <f t="shared" si="10"/>
        <v>4581.95</v>
      </c>
      <c r="G211" s="233">
        <v>42426</v>
      </c>
      <c r="H211" s="234">
        <v>50</v>
      </c>
      <c r="I211" s="235">
        <v>19.149999999999999</v>
      </c>
      <c r="J211" s="235">
        <v>0.02</v>
      </c>
      <c r="K211" s="235">
        <f t="shared" si="11"/>
        <v>957.4799999999999</v>
      </c>
      <c r="L211" s="236"/>
      <c r="M211" s="235"/>
      <c r="N211" s="235"/>
      <c r="O211" s="237"/>
      <c r="Q211" s="278"/>
      <c r="R211" s="356"/>
      <c r="S211" s="374">
        <v>42370</v>
      </c>
      <c r="T211" s="335">
        <v>0.08</v>
      </c>
    </row>
    <row r="212" spans="1:20" ht="18" customHeight="1" x14ac:dyDescent="0.25">
      <c r="A212" s="232"/>
      <c r="B212" s="233">
        <v>42314</v>
      </c>
      <c r="C212" s="234">
        <v>150</v>
      </c>
      <c r="D212" s="235">
        <v>30.65</v>
      </c>
      <c r="E212" s="235">
        <v>0</v>
      </c>
      <c r="F212" s="235">
        <f t="shared" si="10"/>
        <v>4597.5</v>
      </c>
      <c r="G212" s="233">
        <v>42430</v>
      </c>
      <c r="H212" s="234">
        <v>75</v>
      </c>
      <c r="I212" s="235">
        <v>18.350000000000001</v>
      </c>
      <c r="J212" s="235">
        <v>0.03</v>
      </c>
      <c r="K212" s="235">
        <f t="shared" si="11"/>
        <v>1376.22</v>
      </c>
      <c r="L212" s="236"/>
      <c r="M212" s="235"/>
      <c r="N212" s="235"/>
      <c r="O212" s="237"/>
      <c r="Q212" s="278"/>
      <c r="R212" s="356"/>
      <c r="S212" s="374">
        <v>42401</v>
      </c>
      <c r="T212" s="335">
        <v>0.57999999999999996</v>
      </c>
    </row>
    <row r="213" spans="1:20" ht="18" customHeight="1" x14ac:dyDescent="0.25">
      <c r="A213" s="232"/>
      <c r="B213" s="233">
        <v>42317</v>
      </c>
      <c r="C213" s="234">
        <v>150</v>
      </c>
      <c r="D213" s="235">
        <v>30.65</v>
      </c>
      <c r="E213" s="235">
        <v>0</v>
      </c>
      <c r="F213" s="235">
        <f t="shared" si="10"/>
        <v>4597.5</v>
      </c>
      <c r="G213" s="233">
        <v>42432</v>
      </c>
      <c r="H213" s="234">
        <v>50</v>
      </c>
      <c r="I213" s="235">
        <v>20.67</v>
      </c>
      <c r="J213" s="235">
        <v>0.02</v>
      </c>
      <c r="K213" s="235">
        <f t="shared" si="11"/>
        <v>1033.48</v>
      </c>
      <c r="L213" s="236"/>
      <c r="M213" s="235"/>
      <c r="N213" s="235"/>
      <c r="O213" s="237"/>
      <c r="Q213" s="278"/>
      <c r="R213" s="356"/>
      <c r="S213" s="374">
        <v>42430</v>
      </c>
      <c r="T213" s="335">
        <v>0.68</v>
      </c>
    </row>
    <row r="214" spans="1:20" ht="18" customHeight="1" x14ac:dyDescent="0.25">
      <c r="A214" s="235"/>
      <c r="B214" s="233">
        <v>42340</v>
      </c>
      <c r="C214" s="234">
        <v>150</v>
      </c>
      <c r="D214" s="235">
        <v>30.21</v>
      </c>
      <c r="E214" s="235">
        <v>0</v>
      </c>
      <c r="F214" s="235">
        <f t="shared" si="10"/>
        <v>4531.5</v>
      </c>
      <c r="G214" s="233">
        <v>42437</v>
      </c>
      <c r="H214" s="234">
        <v>25</v>
      </c>
      <c r="I214" s="235">
        <v>26.85</v>
      </c>
      <c r="J214" s="235">
        <v>0.01</v>
      </c>
      <c r="K214" s="235">
        <f t="shared" si="11"/>
        <v>671.24</v>
      </c>
      <c r="L214" s="235"/>
      <c r="M214" s="235"/>
      <c r="N214" s="235"/>
      <c r="O214" s="235"/>
      <c r="Q214" s="278"/>
      <c r="R214" s="356"/>
      <c r="S214" s="374">
        <v>42461</v>
      </c>
      <c r="T214" s="335">
        <v>0.37</v>
      </c>
    </row>
    <row r="215" spans="1:20" ht="18" customHeight="1" x14ac:dyDescent="0.25">
      <c r="A215" s="235"/>
      <c r="B215" s="233">
        <v>42408</v>
      </c>
      <c r="C215" s="234">
        <v>25</v>
      </c>
      <c r="D215" s="235">
        <v>26.59</v>
      </c>
      <c r="E215" s="235">
        <v>0</v>
      </c>
      <c r="F215" s="235">
        <f t="shared" si="10"/>
        <v>664.75</v>
      </c>
      <c r="G215" s="233">
        <v>42466</v>
      </c>
      <c r="H215" s="234">
        <v>30</v>
      </c>
      <c r="I215" s="235">
        <v>28.08</v>
      </c>
      <c r="J215" s="235">
        <v>0.02</v>
      </c>
      <c r="K215" s="235">
        <f t="shared" si="11"/>
        <v>842.38</v>
      </c>
      <c r="L215" s="235"/>
      <c r="M215" s="235"/>
      <c r="N215" s="235"/>
      <c r="O215" s="235"/>
      <c r="Q215" s="278"/>
      <c r="R215" s="356"/>
      <c r="S215" s="374">
        <v>42491</v>
      </c>
      <c r="T215" s="335">
        <v>0.13</v>
      </c>
    </row>
    <row r="216" spans="1:20" ht="18" customHeight="1" x14ac:dyDescent="0.25">
      <c r="A216" s="235"/>
      <c r="B216" s="233">
        <v>42423</v>
      </c>
      <c r="C216" s="234">
        <v>50</v>
      </c>
      <c r="D216" s="235">
        <v>18.149999999999999</v>
      </c>
      <c r="E216" s="235">
        <v>0</v>
      </c>
      <c r="F216" s="235">
        <f t="shared" si="10"/>
        <v>907.49999999999989</v>
      </c>
      <c r="G216" s="233">
        <v>42471</v>
      </c>
      <c r="H216" s="234">
        <v>30</v>
      </c>
      <c r="I216" s="235">
        <v>29.37</v>
      </c>
      <c r="J216" s="235">
        <v>0.02</v>
      </c>
      <c r="K216" s="235">
        <f t="shared" si="11"/>
        <v>881.08</v>
      </c>
      <c r="L216" s="235"/>
      <c r="M216" s="235"/>
      <c r="N216" s="235"/>
      <c r="O216" s="235"/>
      <c r="Q216" s="278"/>
      <c r="R216" s="356"/>
      <c r="S216" s="374">
        <v>42552</v>
      </c>
      <c r="T216" s="335">
        <v>0.64</v>
      </c>
    </row>
    <row r="217" spans="1:20" ht="18" customHeight="1" x14ac:dyDescent="0.25">
      <c r="A217" s="235"/>
      <c r="B217" s="233">
        <v>42426</v>
      </c>
      <c r="C217" s="234">
        <v>50</v>
      </c>
      <c r="D217" s="235">
        <v>18.7</v>
      </c>
      <c r="E217" s="235">
        <v>0</v>
      </c>
      <c r="F217" s="235">
        <f t="shared" si="10"/>
        <v>935</v>
      </c>
      <c r="G217" s="233">
        <v>42480</v>
      </c>
      <c r="H217" s="234">
        <v>100</v>
      </c>
      <c r="I217" s="235">
        <v>31.79</v>
      </c>
      <c r="J217" s="235">
        <v>7.0000000000000007E-2</v>
      </c>
      <c r="K217" s="235">
        <f t="shared" si="11"/>
        <v>3178.93</v>
      </c>
      <c r="L217" s="235"/>
      <c r="M217" s="235"/>
      <c r="N217" s="235"/>
      <c r="O217" s="235"/>
      <c r="P217" s="136"/>
      <c r="Q217" s="278" t="s">
        <v>246</v>
      </c>
      <c r="R217" s="356"/>
      <c r="S217" s="374">
        <v>42580</v>
      </c>
      <c r="T217" s="335">
        <v>-0.66</v>
      </c>
    </row>
    <row r="218" spans="1:20" ht="18" customHeight="1" x14ac:dyDescent="0.25">
      <c r="A218" s="235"/>
      <c r="B218" s="233">
        <v>42430</v>
      </c>
      <c r="C218" s="234">
        <v>75</v>
      </c>
      <c r="D218" s="235">
        <v>17.989999999999998</v>
      </c>
      <c r="E218" s="235">
        <v>0</v>
      </c>
      <c r="F218" s="235">
        <f t="shared" si="10"/>
        <v>1349.2499999999998</v>
      </c>
      <c r="G218" s="233">
        <v>42486</v>
      </c>
      <c r="H218" s="234">
        <v>60</v>
      </c>
      <c r="I218" s="235">
        <v>32.5</v>
      </c>
      <c r="J218" s="235">
        <v>0.04</v>
      </c>
      <c r="K218" s="235">
        <f t="shared" si="11"/>
        <v>1949.96</v>
      </c>
      <c r="L218" s="235"/>
      <c r="M218" s="235"/>
      <c r="N218" s="235"/>
      <c r="O218" s="235"/>
      <c r="Q218" s="278"/>
      <c r="R218" s="356"/>
      <c r="S218" s="374">
        <v>42582</v>
      </c>
      <c r="T218" s="335">
        <v>0.26</v>
      </c>
    </row>
    <row r="219" spans="1:20" ht="18" customHeight="1" x14ac:dyDescent="0.25">
      <c r="A219" s="235"/>
      <c r="B219" s="233">
        <v>42451</v>
      </c>
      <c r="C219" s="234">
        <v>30</v>
      </c>
      <c r="D219" s="235">
        <v>25.08</v>
      </c>
      <c r="E219" s="235">
        <v>0</v>
      </c>
      <c r="F219" s="235">
        <f t="shared" si="10"/>
        <v>752.4</v>
      </c>
      <c r="G219" s="233">
        <v>42500</v>
      </c>
      <c r="H219" s="234">
        <v>200</v>
      </c>
      <c r="I219" s="235">
        <v>18.649999999999999</v>
      </c>
      <c r="J219" s="235">
        <v>0.08</v>
      </c>
      <c r="K219" s="235">
        <f t="shared" si="11"/>
        <v>3729.9199999999996</v>
      </c>
      <c r="L219" s="235"/>
      <c r="M219" s="235"/>
      <c r="N219" s="235"/>
      <c r="O219" s="235"/>
      <c r="Q219" s="278"/>
      <c r="R219" s="356"/>
      <c r="S219" s="374">
        <v>42608</v>
      </c>
      <c r="T219" s="335">
        <v>0.44</v>
      </c>
    </row>
    <row r="220" spans="1:20" ht="18" customHeight="1" x14ac:dyDescent="0.25">
      <c r="A220" s="235"/>
      <c r="B220" s="233">
        <v>42471</v>
      </c>
      <c r="C220" s="234">
        <v>30</v>
      </c>
      <c r="D220" s="235">
        <v>28.67</v>
      </c>
      <c r="E220" s="235">
        <v>0</v>
      </c>
      <c r="F220" s="235">
        <f t="shared" si="10"/>
        <v>860.1</v>
      </c>
      <c r="G220" s="233">
        <v>42510</v>
      </c>
      <c r="H220" s="234">
        <v>130</v>
      </c>
      <c r="I220" s="235">
        <v>21.35</v>
      </c>
      <c r="J220" s="235">
        <v>0.06</v>
      </c>
      <c r="K220" s="235">
        <f t="shared" si="11"/>
        <v>2775.44</v>
      </c>
      <c r="L220" s="235"/>
      <c r="M220" s="235"/>
      <c r="N220" s="235"/>
      <c r="O220" s="235"/>
      <c r="Q220" s="278"/>
      <c r="R220" s="356"/>
      <c r="S220" s="374">
        <v>42614</v>
      </c>
      <c r="T220" s="335">
        <v>0.23</v>
      </c>
    </row>
    <row r="221" spans="1:20" ht="18" customHeight="1" x14ac:dyDescent="0.25">
      <c r="A221" s="235"/>
      <c r="B221" s="233">
        <v>42485</v>
      </c>
      <c r="C221" s="234">
        <v>100</v>
      </c>
      <c r="D221" s="235">
        <v>31.25</v>
      </c>
      <c r="E221" s="235">
        <v>0</v>
      </c>
      <c r="F221" s="235">
        <f t="shared" si="10"/>
        <v>3125</v>
      </c>
      <c r="G221" s="233">
        <v>42513</v>
      </c>
      <c r="H221" s="234">
        <v>70</v>
      </c>
      <c r="I221" s="235">
        <v>23.68</v>
      </c>
      <c r="J221" s="235">
        <v>0.04</v>
      </c>
      <c r="K221" s="235">
        <f t="shared" si="11"/>
        <v>1657.56</v>
      </c>
      <c r="L221" s="235"/>
      <c r="M221" s="235"/>
      <c r="N221" s="235"/>
      <c r="O221" s="235"/>
      <c r="Q221" s="278"/>
      <c r="R221" s="356"/>
      <c r="S221" s="374">
        <v>42639</v>
      </c>
      <c r="T221" s="335">
        <v>0.56999999999999995</v>
      </c>
    </row>
    <row r="222" spans="1:20" ht="18" customHeight="1" x14ac:dyDescent="0.25">
      <c r="A222" s="235"/>
      <c r="B222" s="233">
        <v>42489</v>
      </c>
      <c r="C222" s="234">
        <v>60</v>
      </c>
      <c r="D222" s="235">
        <v>30.51</v>
      </c>
      <c r="E222" s="235">
        <v>0</v>
      </c>
      <c r="F222" s="235">
        <f t="shared" si="10"/>
        <v>1830.6000000000001</v>
      </c>
      <c r="G222" s="233">
        <v>42513</v>
      </c>
      <c r="H222" s="234">
        <v>40</v>
      </c>
      <c r="I222" s="235">
        <v>23.55</v>
      </c>
      <c r="J222" s="235">
        <v>0.02</v>
      </c>
      <c r="K222" s="235">
        <f t="shared" si="11"/>
        <v>941.98</v>
      </c>
      <c r="L222" s="235"/>
      <c r="M222" s="235"/>
      <c r="N222" s="235"/>
      <c r="O222" s="235"/>
      <c r="Q222" s="278"/>
      <c r="R222" s="356"/>
      <c r="S222" s="374">
        <v>42644</v>
      </c>
      <c r="T222" s="335">
        <v>0.14000000000000001</v>
      </c>
    </row>
    <row r="223" spans="1:20" ht="18" customHeight="1" x14ac:dyDescent="0.25">
      <c r="A223" s="235"/>
      <c r="B223" s="233">
        <v>42493</v>
      </c>
      <c r="C223" s="234">
        <v>30</v>
      </c>
      <c r="D223" s="235">
        <v>26.75</v>
      </c>
      <c r="E223" s="235">
        <v>0</v>
      </c>
      <c r="F223" s="235">
        <f t="shared" si="10"/>
        <v>802.5</v>
      </c>
      <c r="G223" s="233">
        <v>42527</v>
      </c>
      <c r="H223" s="234">
        <v>60</v>
      </c>
      <c r="I223" s="235">
        <v>22.79</v>
      </c>
      <c r="J223" s="235">
        <v>0.03</v>
      </c>
      <c r="K223" s="235">
        <f t="shared" si="11"/>
        <v>1367.37</v>
      </c>
      <c r="L223" s="235"/>
      <c r="M223" s="235"/>
      <c r="N223" s="235"/>
      <c r="O223" s="235"/>
      <c r="Q223" s="278"/>
      <c r="R223" s="356"/>
      <c r="S223" s="374">
        <v>42674</v>
      </c>
      <c r="T223" s="335">
        <v>0.45</v>
      </c>
    </row>
    <row r="224" spans="1:20" ht="18" customHeight="1" x14ac:dyDescent="0.25">
      <c r="A224" s="235"/>
      <c r="B224" s="233">
        <v>42495</v>
      </c>
      <c r="C224" s="234">
        <v>70</v>
      </c>
      <c r="D224" s="235">
        <v>21.65</v>
      </c>
      <c r="E224" s="235">
        <v>0</v>
      </c>
      <c r="F224" s="235">
        <f t="shared" si="10"/>
        <v>1515.5</v>
      </c>
      <c r="G224" s="233">
        <v>42541</v>
      </c>
      <c r="H224" s="234">
        <v>70</v>
      </c>
      <c r="I224" s="235">
        <v>22.45</v>
      </c>
      <c r="J224" s="235">
        <v>0.03</v>
      </c>
      <c r="K224" s="235">
        <f t="shared" si="11"/>
        <v>1571.47</v>
      </c>
      <c r="L224" s="235"/>
      <c r="M224" s="235"/>
      <c r="N224" s="235"/>
      <c r="O224" s="235"/>
      <c r="P224" s="136"/>
      <c r="Q224" s="278"/>
      <c r="R224" s="356"/>
      <c r="S224" s="374">
        <v>42704</v>
      </c>
      <c r="T224" s="335">
        <v>0.43</v>
      </c>
    </row>
    <row r="225" spans="1:20" ht="18" customHeight="1" x14ac:dyDescent="0.25">
      <c r="A225" s="235"/>
      <c r="B225" s="233">
        <v>42500</v>
      </c>
      <c r="C225" s="234">
        <v>200</v>
      </c>
      <c r="D225" s="235">
        <v>18.25</v>
      </c>
      <c r="E225" s="235">
        <v>0</v>
      </c>
      <c r="F225" s="235">
        <f t="shared" si="10"/>
        <v>3650</v>
      </c>
      <c r="G225" s="235"/>
      <c r="H225" s="235"/>
      <c r="I225" s="235"/>
      <c r="J225" s="235"/>
      <c r="K225" s="235"/>
      <c r="L225" s="235"/>
      <c r="M225" s="235"/>
      <c r="N225" s="235"/>
      <c r="O225" s="235"/>
      <c r="Q225" s="278"/>
      <c r="R225" s="356"/>
      <c r="S225" s="374">
        <v>43099</v>
      </c>
      <c r="T225" s="335">
        <v>0.64</v>
      </c>
    </row>
    <row r="226" spans="1:20" ht="18" customHeight="1" x14ac:dyDescent="0.25">
      <c r="A226" s="235"/>
      <c r="B226" s="233">
        <v>42500</v>
      </c>
      <c r="C226" s="234">
        <v>100</v>
      </c>
      <c r="D226" s="235">
        <v>16.510000000000002</v>
      </c>
      <c r="E226" s="235">
        <v>0</v>
      </c>
      <c r="F226" s="235">
        <f t="shared" si="10"/>
        <v>1651.0000000000002</v>
      </c>
      <c r="G226" s="235"/>
      <c r="H226" s="235"/>
      <c r="I226" s="235"/>
      <c r="J226" s="235"/>
      <c r="K226" s="235"/>
      <c r="L226" s="235"/>
      <c r="M226" s="235"/>
      <c r="N226" s="235"/>
      <c r="O226" s="235"/>
      <c r="Q226" s="278"/>
      <c r="R226" s="356"/>
      <c r="S226" s="374">
        <v>42760</v>
      </c>
      <c r="T226" s="335">
        <v>0.56999999999999995</v>
      </c>
    </row>
    <row r="227" spans="1:20" ht="18" customHeight="1" x14ac:dyDescent="0.25">
      <c r="A227" s="232"/>
      <c r="B227" s="261">
        <v>42531</v>
      </c>
      <c r="C227" s="234">
        <v>70</v>
      </c>
      <c r="D227" s="259">
        <v>21.65</v>
      </c>
      <c r="E227" s="235">
        <v>0</v>
      </c>
      <c r="F227" s="259">
        <f t="shared" si="10"/>
        <v>1515.5</v>
      </c>
      <c r="G227" s="261"/>
      <c r="H227" s="258"/>
      <c r="I227" s="259"/>
      <c r="J227" s="258"/>
      <c r="K227" s="259"/>
      <c r="L227" s="257"/>
      <c r="M227" s="259"/>
      <c r="N227" s="254"/>
      <c r="O227" s="256"/>
      <c r="P227" s="136"/>
      <c r="Q227" s="278"/>
      <c r="R227" s="356"/>
      <c r="S227" s="374">
        <v>42767</v>
      </c>
      <c r="T227" s="335">
        <v>0.12</v>
      </c>
    </row>
    <row r="228" spans="1:20" ht="18" customHeight="1" x14ac:dyDescent="0.25">
      <c r="A228" s="251"/>
      <c r="B228" s="255"/>
      <c r="C228" s="253">
        <f>SUM(C201:C227)</f>
        <v>1925</v>
      </c>
      <c r="D228" s="254"/>
      <c r="E228" s="255"/>
      <c r="F228" s="254">
        <f>SUM(F201:F227)</f>
        <v>55975.85</v>
      </c>
      <c r="G228" s="255"/>
      <c r="H228" s="253">
        <f>SUM(H201:H227)</f>
        <v>1925</v>
      </c>
      <c r="I228" s="254"/>
      <c r="J228" s="253"/>
      <c r="K228" s="254">
        <f>SUM(K201:K227)</f>
        <v>56062.910000000011</v>
      </c>
      <c r="L228" s="255"/>
      <c r="M228" s="254"/>
      <c r="N228" s="254">
        <f>K228-F228</f>
        <v>87.060000000012224</v>
      </c>
      <c r="O228" s="256">
        <f>(N228+M228)/F228</f>
        <v>1.5553135861270928E-3</v>
      </c>
      <c r="P228" s="136"/>
      <c r="Q228" s="278"/>
      <c r="R228" s="356"/>
      <c r="S228" s="374">
        <v>42794</v>
      </c>
      <c r="T228" s="335">
        <v>0.28000000000000003</v>
      </c>
    </row>
    <row r="229" spans="1:20" ht="18" customHeight="1" x14ac:dyDescent="0.25">
      <c r="B229" s="247"/>
      <c r="C229" s="248"/>
      <c r="D229" s="249"/>
      <c r="E229" s="24"/>
      <c r="F229" s="249"/>
      <c r="G229" s="247"/>
      <c r="H229" s="248"/>
      <c r="I229" s="249"/>
      <c r="K229" s="249"/>
      <c r="L229" s="247"/>
      <c r="M229" s="249"/>
      <c r="N229" s="345"/>
      <c r="O229" s="346"/>
      <c r="Q229" s="278"/>
      <c r="R229" s="356"/>
      <c r="S229" s="374">
        <v>42824</v>
      </c>
      <c r="T229" s="335">
        <v>0.81</v>
      </c>
    </row>
    <row r="230" spans="1:20" ht="18" customHeight="1" x14ac:dyDescent="0.25">
      <c r="A230" s="232" t="s">
        <v>46</v>
      </c>
      <c r="B230" s="261">
        <v>42185</v>
      </c>
      <c r="C230" s="258">
        <v>20</v>
      </c>
      <c r="D230" s="259">
        <v>28.2</v>
      </c>
      <c r="E230" s="257"/>
      <c r="F230" s="259">
        <f>C230*D230</f>
        <v>564</v>
      </c>
      <c r="G230" s="261">
        <v>42187</v>
      </c>
      <c r="H230" s="258">
        <v>20</v>
      </c>
      <c r="I230" s="259">
        <v>28.75</v>
      </c>
      <c r="J230" s="258">
        <v>0.01</v>
      </c>
      <c r="K230" s="259">
        <f>H230*I230-J230</f>
        <v>574.99</v>
      </c>
      <c r="L230" s="257"/>
      <c r="M230" s="259"/>
      <c r="N230" s="254"/>
      <c r="O230" s="256"/>
      <c r="Q230" s="278"/>
      <c r="R230" s="356"/>
      <c r="S230" s="374">
        <v>42851</v>
      </c>
      <c r="T230" s="335">
        <v>0.93</v>
      </c>
    </row>
    <row r="231" spans="1:20" ht="18" customHeight="1" x14ac:dyDescent="0.25">
      <c r="A231" s="251"/>
      <c r="B231" s="255"/>
      <c r="C231" s="253">
        <f>SUM(C230)</f>
        <v>20</v>
      </c>
      <c r="D231" s="254"/>
      <c r="E231" s="255"/>
      <c r="F231" s="254">
        <f>SUM(F230)</f>
        <v>564</v>
      </c>
      <c r="G231" s="255"/>
      <c r="H231" s="253">
        <f>SUM(H230)</f>
        <v>20</v>
      </c>
      <c r="I231" s="254"/>
      <c r="J231" s="253"/>
      <c r="K231" s="254">
        <f>SUM(K230)</f>
        <v>574.99</v>
      </c>
      <c r="L231" s="255"/>
      <c r="M231" s="254"/>
      <c r="N231" s="254">
        <f>K231-F231</f>
        <v>10.990000000000009</v>
      </c>
      <c r="O231" s="256">
        <f>(N231+M231)/F231</f>
        <v>1.9485815602836895E-2</v>
      </c>
      <c r="P231" s="136"/>
      <c r="Q231" s="278"/>
      <c r="R231" s="356"/>
      <c r="S231" s="374">
        <v>42853</v>
      </c>
      <c r="T231" s="335">
        <v>7.0000000000000007E-2</v>
      </c>
    </row>
    <row r="232" spans="1:20" ht="18" customHeight="1" x14ac:dyDescent="0.25">
      <c r="B232" s="247"/>
      <c r="C232" s="248"/>
      <c r="D232" s="249"/>
      <c r="E232" s="249"/>
      <c r="F232" s="249"/>
      <c r="G232" s="247"/>
      <c r="H232" s="248"/>
      <c r="I232" s="249"/>
      <c r="J232" s="249"/>
      <c r="K232" s="249"/>
      <c r="L232" s="247"/>
      <c r="M232" s="249"/>
      <c r="N232" s="249"/>
      <c r="O232" s="250"/>
      <c r="Q232" s="278"/>
      <c r="R232" s="356"/>
      <c r="S232" s="374">
        <v>42877</v>
      </c>
      <c r="T232" s="335">
        <v>0.56000000000000005</v>
      </c>
    </row>
    <row r="233" spans="1:20" ht="18" customHeight="1" x14ac:dyDescent="0.25">
      <c r="A233" s="232" t="s">
        <v>28</v>
      </c>
      <c r="B233" s="233">
        <v>42164</v>
      </c>
      <c r="C233" s="234">
        <v>20</v>
      </c>
      <c r="D233" s="235">
        <v>29.9</v>
      </c>
      <c r="E233" s="235"/>
      <c r="F233" s="235">
        <f>C233*D233</f>
        <v>598</v>
      </c>
      <c r="G233" s="233">
        <v>42187</v>
      </c>
      <c r="H233" s="234">
        <v>40</v>
      </c>
      <c r="I233" s="235">
        <v>30.4</v>
      </c>
      <c r="J233" s="235">
        <v>0.02</v>
      </c>
      <c r="K233" s="235">
        <f>H233*I233-J233</f>
        <v>1215.98</v>
      </c>
      <c r="L233" s="236"/>
      <c r="M233" s="235"/>
      <c r="N233" s="235"/>
      <c r="O233" s="237"/>
      <c r="P233" s="183"/>
      <c r="Q233" s="278"/>
      <c r="R233" s="356"/>
      <c r="S233" s="374">
        <v>42887</v>
      </c>
      <c r="T233" s="335">
        <v>0.24</v>
      </c>
    </row>
    <row r="234" spans="1:20" ht="18" customHeight="1" x14ac:dyDescent="0.25">
      <c r="A234" s="232"/>
      <c r="B234" s="233">
        <v>42166</v>
      </c>
      <c r="C234" s="234">
        <v>20</v>
      </c>
      <c r="D234" s="235">
        <v>29.3</v>
      </c>
      <c r="E234" s="235"/>
      <c r="F234" s="235">
        <f>C234*D234</f>
        <v>586</v>
      </c>
      <c r="G234" s="236"/>
      <c r="H234" s="234"/>
      <c r="I234" s="235"/>
      <c r="J234" s="234"/>
      <c r="K234" s="235"/>
      <c r="L234" s="236"/>
      <c r="M234" s="235"/>
      <c r="N234" s="235"/>
      <c r="O234" s="237"/>
      <c r="Q234" s="278"/>
      <c r="R234" s="356"/>
      <c r="S234" s="374">
        <v>42908</v>
      </c>
      <c r="T234" s="335">
        <v>0.42</v>
      </c>
    </row>
    <row r="235" spans="1:20" ht="18" customHeight="1" x14ac:dyDescent="0.25">
      <c r="A235" s="232"/>
      <c r="B235" s="238"/>
      <c r="C235" s="239">
        <f>SUM(C233:C234)</f>
        <v>40</v>
      </c>
      <c r="D235" s="240"/>
      <c r="E235" s="240"/>
      <c r="F235" s="240">
        <f>SUM(F233:F234)</f>
        <v>1184</v>
      </c>
      <c r="G235" s="241"/>
      <c r="H235" s="239">
        <f>SUM(H233:H234)</f>
        <v>40</v>
      </c>
      <c r="I235" s="240"/>
      <c r="J235" s="240"/>
      <c r="K235" s="240">
        <f>SUM(K233:K234)</f>
        <v>1215.98</v>
      </c>
      <c r="L235" s="241"/>
      <c r="M235" s="240"/>
      <c r="N235" s="240">
        <f>K235-F235</f>
        <v>31.980000000000018</v>
      </c>
      <c r="O235" s="242">
        <f>(N235+M235)/F235</f>
        <v>2.7010135135135151E-2</v>
      </c>
      <c r="Q235" s="278"/>
      <c r="R235" s="356"/>
      <c r="S235" s="374">
        <v>42916</v>
      </c>
      <c r="T235" s="335">
        <v>1.02</v>
      </c>
    </row>
    <row r="236" spans="1:20" ht="18" customHeight="1" x14ac:dyDescent="0.25">
      <c r="B236" s="260"/>
      <c r="C236" s="248"/>
      <c r="D236" s="249"/>
      <c r="E236" s="248"/>
      <c r="F236" s="249"/>
      <c r="G236" s="247"/>
      <c r="H236" s="248"/>
      <c r="I236" s="249"/>
      <c r="J236" s="248"/>
      <c r="K236" s="249"/>
      <c r="L236" s="247"/>
      <c r="M236" s="249"/>
      <c r="N236" s="247"/>
      <c r="O236" s="247"/>
      <c r="Q236" s="278"/>
      <c r="R236" s="356"/>
      <c r="S236" s="374">
        <v>42947</v>
      </c>
      <c r="T236" s="335">
        <v>7.97</v>
      </c>
    </row>
    <row r="237" spans="1:20" ht="18" customHeight="1" x14ac:dyDescent="0.25">
      <c r="A237" s="232" t="s">
        <v>44</v>
      </c>
      <c r="B237" s="233">
        <v>42185</v>
      </c>
      <c r="C237" s="234">
        <v>10</v>
      </c>
      <c r="D237" s="235">
        <v>71.2</v>
      </c>
      <c r="E237" s="234"/>
      <c r="F237" s="235">
        <f>C237*D237</f>
        <v>712</v>
      </c>
      <c r="G237" s="233">
        <v>42228</v>
      </c>
      <c r="H237" s="234">
        <v>10</v>
      </c>
      <c r="I237" s="235">
        <v>75.5</v>
      </c>
      <c r="J237" s="234">
        <v>0.01</v>
      </c>
      <c r="K237" s="235">
        <f>H237*I237-J237</f>
        <v>754.99</v>
      </c>
      <c r="L237" s="233">
        <v>42277</v>
      </c>
      <c r="M237" s="235">
        <v>2.83</v>
      </c>
      <c r="N237" s="236"/>
      <c r="O237" s="236"/>
      <c r="Q237" s="278"/>
      <c r="R237" s="356"/>
      <c r="S237" s="374">
        <v>42965</v>
      </c>
      <c r="T237" s="335">
        <v>3.88</v>
      </c>
    </row>
    <row r="238" spans="1:20" ht="18" customHeight="1" x14ac:dyDescent="0.25">
      <c r="A238" s="232"/>
      <c r="B238" s="233">
        <v>42220</v>
      </c>
      <c r="C238" s="234">
        <v>5</v>
      </c>
      <c r="D238" s="235">
        <v>70.650000000000006</v>
      </c>
      <c r="E238" s="235"/>
      <c r="F238" s="235">
        <f>C238*D238</f>
        <v>353.25</v>
      </c>
      <c r="G238" s="233">
        <v>42283</v>
      </c>
      <c r="H238" s="234">
        <v>5</v>
      </c>
      <c r="I238" s="235">
        <v>71.25</v>
      </c>
      <c r="J238" s="234">
        <v>0.01</v>
      </c>
      <c r="K238" s="235">
        <f>H238*I238-J238</f>
        <v>356.24</v>
      </c>
      <c r="L238" s="236"/>
      <c r="M238" s="234"/>
      <c r="N238" s="236"/>
      <c r="O238" s="236"/>
      <c r="Q238" s="278"/>
      <c r="R238" s="356"/>
      <c r="S238" s="374">
        <v>42978</v>
      </c>
      <c r="T238" s="335">
        <v>2.72</v>
      </c>
    </row>
    <row r="239" spans="1:20" ht="18" customHeight="1" x14ac:dyDescent="0.25">
      <c r="A239" s="232"/>
      <c r="B239" s="241"/>
      <c r="C239" s="239">
        <f>SUM(C237:C238)</f>
        <v>15</v>
      </c>
      <c r="D239" s="240"/>
      <c r="E239" s="240"/>
      <c r="F239" s="240">
        <f>SUM(F237:F238)</f>
        <v>1065.25</v>
      </c>
      <c r="G239" s="241"/>
      <c r="H239" s="239">
        <f>SUM(H237:H238)</f>
        <v>15</v>
      </c>
      <c r="I239" s="240"/>
      <c r="J239" s="240"/>
      <c r="K239" s="240">
        <f>SUM(K237:K238)</f>
        <v>1111.23</v>
      </c>
      <c r="L239" s="265"/>
      <c r="M239" s="240">
        <f>SUM(M237:M238)</f>
        <v>2.83</v>
      </c>
      <c r="N239" s="240">
        <f>K239-F239</f>
        <v>45.980000000000018</v>
      </c>
      <c r="O239" s="266">
        <f>(N239+M239)/F239</f>
        <v>4.5820229992959413E-2</v>
      </c>
      <c r="Q239" s="278"/>
      <c r="R239" s="356"/>
      <c r="S239" s="374">
        <v>43007</v>
      </c>
      <c r="T239" s="335">
        <v>7.89</v>
      </c>
    </row>
    <row r="240" spans="1:20" ht="18" customHeight="1" x14ac:dyDescent="0.25">
      <c r="B240" s="247"/>
      <c r="C240" s="248"/>
      <c r="D240" s="249"/>
      <c r="E240" s="24"/>
      <c r="F240" s="249"/>
      <c r="G240" s="247"/>
      <c r="H240" s="248"/>
      <c r="I240" s="249"/>
      <c r="K240" s="249"/>
      <c r="L240" s="247"/>
      <c r="M240" s="249"/>
      <c r="N240" s="249"/>
      <c r="O240" s="250"/>
      <c r="Q240" s="278"/>
      <c r="R240" s="356"/>
      <c r="S240" s="374">
        <v>43035</v>
      </c>
      <c r="T240" s="335">
        <v>10.63</v>
      </c>
    </row>
    <row r="241" spans="1:20" ht="18" customHeight="1" x14ac:dyDescent="0.25">
      <c r="A241" s="232" t="s">
        <v>0</v>
      </c>
      <c r="B241" s="233">
        <v>42144</v>
      </c>
      <c r="C241" s="234">
        <v>50</v>
      </c>
      <c r="D241" s="235">
        <v>130.16999999999999</v>
      </c>
      <c r="E241" s="236"/>
      <c r="F241" s="235">
        <f>C241*D241</f>
        <v>6508.4999999999991</v>
      </c>
      <c r="G241" s="233">
        <v>42186</v>
      </c>
      <c r="H241" s="234">
        <v>50</v>
      </c>
      <c r="I241" s="235">
        <v>133.5</v>
      </c>
      <c r="J241" s="234">
        <v>0.12</v>
      </c>
      <c r="K241" s="235">
        <f>H241*I241-J241</f>
        <v>6674.88</v>
      </c>
      <c r="L241" s="233">
        <v>42200</v>
      </c>
      <c r="M241" s="235">
        <v>7.5</v>
      </c>
      <c r="N241" s="234"/>
      <c r="O241" s="234"/>
      <c r="Q241" s="278"/>
      <c r="R241" s="356"/>
      <c r="S241" s="374">
        <v>43039</v>
      </c>
      <c r="T241" s="335">
        <v>0.96</v>
      </c>
    </row>
    <row r="242" spans="1:20" ht="18" customHeight="1" x14ac:dyDescent="0.25">
      <c r="A242" s="232"/>
      <c r="B242" s="238"/>
      <c r="C242" s="239">
        <f>SUM(C241)</f>
        <v>50</v>
      </c>
      <c r="D242" s="240"/>
      <c r="E242" s="241"/>
      <c r="F242" s="240">
        <f>SUM(F241)</f>
        <v>6508.4999999999991</v>
      </c>
      <c r="G242" s="241"/>
      <c r="H242" s="239">
        <f>SUM(H241)</f>
        <v>50</v>
      </c>
      <c r="I242" s="240"/>
      <c r="J242" s="239"/>
      <c r="K242" s="240">
        <f>SUM(K241)</f>
        <v>6674.88</v>
      </c>
      <c r="L242" s="241"/>
      <c r="M242" s="240">
        <f>SUM(M241)</f>
        <v>7.5</v>
      </c>
      <c r="N242" s="240">
        <f>K242-F242</f>
        <v>166.38000000000102</v>
      </c>
      <c r="O242" s="242">
        <f>(N242+M242)/F242</f>
        <v>2.6715833141276953E-2</v>
      </c>
      <c r="Q242" s="278"/>
      <c r="R242" s="356"/>
      <c r="S242" s="374">
        <v>11628</v>
      </c>
      <c r="T242" s="335">
        <v>5.66</v>
      </c>
    </row>
    <row r="243" spans="1:20" ht="18" customHeight="1" x14ac:dyDescent="0.25">
      <c r="B243" s="247"/>
      <c r="C243" s="248"/>
      <c r="D243" s="249"/>
      <c r="E243" s="249"/>
      <c r="F243" s="249"/>
      <c r="G243" s="247"/>
      <c r="H243" s="248"/>
      <c r="I243" s="249"/>
      <c r="J243" s="249"/>
      <c r="K243" s="249"/>
      <c r="L243" s="247"/>
      <c r="M243" s="249"/>
      <c r="N243" s="249"/>
      <c r="O243" s="250"/>
      <c r="Q243" s="278"/>
      <c r="R243" s="356"/>
      <c r="S243" s="374">
        <v>43098</v>
      </c>
      <c r="T243" s="335">
        <v>9.77</v>
      </c>
    </row>
    <row r="244" spans="1:20" ht="18" customHeight="1" x14ac:dyDescent="0.25">
      <c r="A244" s="232" t="s">
        <v>49</v>
      </c>
      <c r="B244" s="233">
        <v>42186</v>
      </c>
      <c r="C244" s="234">
        <v>100</v>
      </c>
      <c r="D244" s="235">
        <v>27.5</v>
      </c>
      <c r="E244" s="235"/>
      <c r="F244" s="235">
        <f>C244*D244</f>
        <v>2750</v>
      </c>
      <c r="G244" s="233">
        <v>42219</v>
      </c>
      <c r="H244" s="234">
        <v>100</v>
      </c>
      <c r="I244" s="235">
        <v>29.5</v>
      </c>
      <c r="J244" s="234">
        <v>0.05</v>
      </c>
      <c r="K244" s="235">
        <f>H244*I244-J244</f>
        <v>2949.95</v>
      </c>
      <c r="L244" s="233">
        <v>42216</v>
      </c>
      <c r="M244" s="235">
        <v>11</v>
      </c>
      <c r="N244" s="235"/>
      <c r="O244" s="237"/>
      <c r="Q244" s="278"/>
      <c r="R244" s="356"/>
      <c r="S244" s="374">
        <v>43132</v>
      </c>
      <c r="T244" s="335">
        <v>16.059999999999999</v>
      </c>
    </row>
    <row r="245" spans="1:20" ht="18" customHeight="1" x14ac:dyDescent="0.25">
      <c r="A245" s="232"/>
      <c r="B245" s="238"/>
      <c r="C245" s="239">
        <f>SUM(C244)</f>
        <v>100</v>
      </c>
      <c r="D245" s="240"/>
      <c r="E245" s="241"/>
      <c r="F245" s="240">
        <f>SUM(F244)</f>
        <v>2750</v>
      </c>
      <c r="G245" s="241"/>
      <c r="H245" s="239">
        <f>SUM(H244)</f>
        <v>100</v>
      </c>
      <c r="I245" s="240"/>
      <c r="J245" s="240"/>
      <c r="K245" s="240">
        <f>SUM(K244)</f>
        <v>2949.95</v>
      </c>
      <c r="L245" s="241"/>
      <c r="M245" s="240">
        <v>11</v>
      </c>
      <c r="N245" s="240">
        <f>K245-F245</f>
        <v>199.94999999999982</v>
      </c>
      <c r="O245" s="242">
        <f>(N245+M245)/F245</f>
        <v>7.6709090909090838E-2</v>
      </c>
      <c r="Q245" s="278"/>
      <c r="R245" s="356"/>
      <c r="S245" s="374">
        <v>43139</v>
      </c>
      <c r="T245" s="335">
        <v>4.05</v>
      </c>
    </row>
    <row r="246" spans="1:20" ht="18" customHeight="1" x14ac:dyDescent="0.25">
      <c r="B246" s="247"/>
      <c r="C246" s="248"/>
      <c r="D246" s="249"/>
      <c r="E246" s="24"/>
      <c r="F246" s="249"/>
      <c r="G246" s="247"/>
      <c r="H246" s="248"/>
      <c r="I246" s="249"/>
      <c r="K246" s="249"/>
      <c r="L246" s="247"/>
      <c r="M246" s="249"/>
      <c r="N246" s="249"/>
      <c r="O246" s="248"/>
      <c r="Q246" s="278"/>
      <c r="R246" s="356"/>
      <c r="S246" s="374">
        <v>43149</v>
      </c>
      <c r="T246" s="335">
        <v>10.16</v>
      </c>
    </row>
    <row r="247" spans="1:20" ht="18" customHeight="1" x14ac:dyDescent="0.25">
      <c r="A247" s="232" t="s">
        <v>13</v>
      </c>
      <c r="B247" s="233">
        <v>42151</v>
      </c>
      <c r="C247" s="234">
        <v>5</v>
      </c>
      <c r="D247" s="235">
        <v>54.2</v>
      </c>
      <c r="E247" s="236"/>
      <c r="F247" s="235">
        <f t="shared" ref="F247:F253" si="12">C247*D247</f>
        <v>271</v>
      </c>
      <c r="G247" s="233">
        <v>42181</v>
      </c>
      <c r="H247" s="234">
        <v>25</v>
      </c>
      <c r="I247" s="235">
        <v>55.4</v>
      </c>
      <c r="J247" s="234">
        <v>0.03</v>
      </c>
      <c r="K247" s="235">
        <f>H247*I247-J247</f>
        <v>1384.97</v>
      </c>
      <c r="L247" s="236"/>
      <c r="M247" s="235"/>
      <c r="N247" s="235"/>
      <c r="O247" s="237"/>
      <c r="Q247" s="278"/>
      <c r="R247" s="356"/>
      <c r="S247" s="374">
        <v>43171</v>
      </c>
      <c r="T247" s="335">
        <v>4.3600000000000003</v>
      </c>
    </row>
    <row r="248" spans="1:20" ht="18" customHeight="1" x14ac:dyDescent="0.25">
      <c r="A248" s="232"/>
      <c r="B248" s="233">
        <v>42152</v>
      </c>
      <c r="C248" s="234">
        <v>20</v>
      </c>
      <c r="D248" s="235">
        <v>53.35</v>
      </c>
      <c r="E248" s="236"/>
      <c r="F248" s="235">
        <f t="shared" si="12"/>
        <v>1067</v>
      </c>
      <c r="G248" s="233">
        <v>42200</v>
      </c>
      <c r="H248" s="234">
        <v>225</v>
      </c>
      <c r="I248" s="235">
        <v>55.56</v>
      </c>
      <c r="J248" s="234">
        <v>0.23</v>
      </c>
      <c r="K248" s="235">
        <f>H248*I248-J248</f>
        <v>12500.77</v>
      </c>
      <c r="L248" s="236"/>
      <c r="M248" s="235"/>
      <c r="N248" s="235"/>
      <c r="O248" s="237"/>
      <c r="Q248" s="278"/>
      <c r="R248" s="356"/>
      <c r="S248" s="374">
        <v>43191</v>
      </c>
      <c r="T248" s="335">
        <v>2.91</v>
      </c>
    </row>
    <row r="249" spans="1:20" ht="18" customHeight="1" x14ac:dyDescent="0.25">
      <c r="A249" s="232"/>
      <c r="B249" s="233">
        <v>42153</v>
      </c>
      <c r="C249" s="234">
        <v>25</v>
      </c>
      <c r="D249" s="235">
        <v>52.35</v>
      </c>
      <c r="E249" s="236"/>
      <c r="F249" s="235">
        <f t="shared" si="12"/>
        <v>1308.75</v>
      </c>
      <c r="G249" s="236"/>
      <c r="H249" s="234"/>
      <c r="I249" s="235"/>
      <c r="J249" s="234"/>
      <c r="K249" s="235"/>
      <c r="L249" s="236"/>
      <c r="M249" s="235"/>
      <c r="N249" s="235"/>
      <c r="O249" s="237"/>
      <c r="Q249" s="278"/>
      <c r="R249" s="356"/>
      <c r="S249" s="374">
        <v>43220</v>
      </c>
      <c r="T249" s="335">
        <v>6.24</v>
      </c>
    </row>
    <row r="250" spans="1:20" ht="18" customHeight="1" x14ac:dyDescent="0.25">
      <c r="A250" s="232"/>
      <c r="B250" s="233">
        <v>42153</v>
      </c>
      <c r="C250" s="234">
        <v>25</v>
      </c>
      <c r="D250" s="235">
        <v>51.75</v>
      </c>
      <c r="E250" s="236"/>
      <c r="F250" s="235">
        <f t="shared" si="12"/>
        <v>1293.75</v>
      </c>
      <c r="G250" s="236"/>
      <c r="H250" s="234"/>
      <c r="I250" s="235"/>
      <c r="J250" s="234"/>
      <c r="K250" s="235"/>
      <c r="L250" s="236"/>
      <c r="M250" s="235"/>
      <c r="N250" s="235"/>
      <c r="O250" s="237"/>
      <c r="Q250" s="278"/>
      <c r="R250" s="356"/>
      <c r="S250" s="374">
        <v>43252</v>
      </c>
      <c r="T250" s="335">
        <v>11.14</v>
      </c>
    </row>
    <row r="251" spans="1:20" ht="18" customHeight="1" x14ac:dyDescent="0.25">
      <c r="A251" s="232"/>
      <c r="B251" s="233">
        <v>42166</v>
      </c>
      <c r="C251" s="234">
        <v>25</v>
      </c>
      <c r="D251" s="235">
        <v>52.1</v>
      </c>
      <c r="E251" s="236"/>
      <c r="F251" s="235">
        <f t="shared" si="12"/>
        <v>1302.5</v>
      </c>
      <c r="G251" s="236"/>
      <c r="H251" s="234"/>
      <c r="I251" s="235"/>
      <c r="J251" s="234"/>
      <c r="K251" s="235"/>
      <c r="L251" s="236"/>
      <c r="M251" s="235"/>
      <c r="N251" s="235"/>
      <c r="O251" s="237"/>
      <c r="Q251" s="278"/>
      <c r="R251" s="356"/>
      <c r="S251" s="374">
        <v>43281</v>
      </c>
      <c r="T251" s="335">
        <v>7.58</v>
      </c>
    </row>
    <row r="252" spans="1:20" ht="18" customHeight="1" x14ac:dyDescent="0.25">
      <c r="A252" s="232"/>
      <c r="B252" s="233">
        <v>42166</v>
      </c>
      <c r="C252" s="234">
        <v>50</v>
      </c>
      <c r="D252" s="235">
        <v>51.5</v>
      </c>
      <c r="E252" s="236"/>
      <c r="F252" s="235">
        <f t="shared" si="12"/>
        <v>2575</v>
      </c>
      <c r="G252" s="236"/>
      <c r="H252" s="234"/>
      <c r="I252" s="235"/>
      <c r="J252" s="234"/>
      <c r="K252" s="235"/>
      <c r="L252" s="236"/>
      <c r="M252" s="235"/>
      <c r="N252" s="235"/>
      <c r="O252" s="237"/>
      <c r="Q252" s="278"/>
      <c r="R252" s="356"/>
      <c r="S252" s="374">
        <v>43305</v>
      </c>
      <c r="T252" s="335">
        <v>12.01</v>
      </c>
    </row>
    <row r="253" spans="1:20" ht="18" customHeight="1" x14ac:dyDescent="0.25">
      <c r="A253" s="232"/>
      <c r="B253" s="233">
        <v>42166</v>
      </c>
      <c r="C253" s="234">
        <v>100</v>
      </c>
      <c r="D253" s="235">
        <v>51.35</v>
      </c>
      <c r="E253" s="236"/>
      <c r="F253" s="235">
        <f t="shared" si="12"/>
        <v>5135</v>
      </c>
      <c r="G253" s="236"/>
      <c r="H253" s="234"/>
      <c r="I253" s="235"/>
      <c r="J253" s="234"/>
      <c r="K253" s="235"/>
      <c r="L253" s="236"/>
      <c r="M253" s="235"/>
      <c r="N253" s="235"/>
      <c r="O253" s="237"/>
      <c r="Q253" s="278"/>
      <c r="R253" s="356"/>
      <c r="S253" s="374">
        <v>43312</v>
      </c>
      <c r="T253" s="335">
        <v>3.04</v>
      </c>
    </row>
    <row r="254" spans="1:20" ht="18" customHeight="1" x14ac:dyDescent="0.25">
      <c r="A254" s="232"/>
      <c r="B254" s="238"/>
      <c r="C254" s="239">
        <f>SUM(C247:C253)</f>
        <v>250</v>
      </c>
      <c r="D254" s="240"/>
      <c r="E254" s="241"/>
      <c r="F254" s="240">
        <f>SUM(F247:F253)</f>
        <v>12953</v>
      </c>
      <c r="G254" s="241"/>
      <c r="H254" s="239">
        <f>SUM(H247:H253)</f>
        <v>250</v>
      </c>
      <c r="I254" s="240"/>
      <c r="J254" s="239"/>
      <c r="K254" s="240">
        <f>SUM(K247:K253)</f>
        <v>13885.74</v>
      </c>
      <c r="L254" s="241"/>
      <c r="M254" s="240"/>
      <c r="N254" s="240">
        <f>K254-F254</f>
        <v>932.73999999999978</v>
      </c>
      <c r="O254" s="242">
        <f>(N254+M254)/F254</f>
        <v>7.2009573071875221E-2</v>
      </c>
      <c r="Q254" s="278"/>
      <c r="R254" s="356"/>
      <c r="S254" s="374">
        <v>43340</v>
      </c>
      <c r="T254" s="335">
        <v>9.67</v>
      </c>
    </row>
    <row r="255" spans="1:20" ht="18" customHeight="1" x14ac:dyDescent="0.25">
      <c r="B255" s="247"/>
      <c r="C255" s="248"/>
      <c r="D255" s="249"/>
      <c r="E255" s="249"/>
      <c r="F255" s="249"/>
      <c r="G255" s="247"/>
      <c r="H255" s="248"/>
      <c r="I255" s="249"/>
      <c r="J255" s="249"/>
      <c r="K255" s="249"/>
      <c r="L255" s="247"/>
      <c r="M255" s="249"/>
      <c r="N255" s="249"/>
      <c r="O255" s="250"/>
      <c r="Q255" s="278"/>
      <c r="R255" s="356"/>
      <c r="S255" s="374">
        <v>43343</v>
      </c>
      <c r="T255" s="335">
        <v>1.9</v>
      </c>
    </row>
    <row r="256" spans="1:20" ht="18" customHeight="1" x14ac:dyDescent="0.25">
      <c r="A256" s="232" t="s">
        <v>20</v>
      </c>
      <c r="B256" s="233">
        <v>42153</v>
      </c>
      <c r="C256" s="234">
        <v>50</v>
      </c>
      <c r="D256" s="235">
        <v>20.99</v>
      </c>
      <c r="E256" s="236"/>
      <c r="F256" s="235">
        <f>C256*D256</f>
        <v>1049.5</v>
      </c>
      <c r="G256" s="233">
        <v>42186</v>
      </c>
      <c r="H256" s="234">
        <v>297</v>
      </c>
      <c r="I256" s="235">
        <v>19.399999999999999</v>
      </c>
      <c r="J256" s="235">
        <v>0.11</v>
      </c>
      <c r="K256" s="235">
        <f>H256*I256-J256</f>
        <v>5761.69</v>
      </c>
      <c r="L256" s="236"/>
      <c r="M256" s="235"/>
      <c r="N256" s="235"/>
      <c r="O256" s="237"/>
      <c r="Q256" s="278"/>
      <c r="R256" s="356"/>
      <c r="S256" s="374">
        <v>43371</v>
      </c>
      <c r="T256" s="335">
        <v>11.84</v>
      </c>
    </row>
    <row r="257" spans="1:21" ht="18" customHeight="1" x14ac:dyDescent="0.25">
      <c r="A257" s="232"/>
      <c r="B257" s="233">
        <v>42185</v>
      </c>
      <c r="C257" s="234">
        <v>100</v>
      </c>
      <c r="D257" s="235">
        <v>20.6</v>
      </c>
      <c r="E257" s="235"/>
      <c r="F257" s="235">
        <f>C257*D257</f>
        <v>2060</v>
      </c>
      <c r="G257" s="233">
        <v>42186</v>
      </c>
      <c r="H257" s="234">
        <v>300</v>
      </c>
      <c r="I257" s="235">
        <v>20.28</v>
      </c>
      <c r="J257" s="235">
        <v>0.11</v>
      </c>
      <c r="K257" s="235">
        <f>H257*I257-J257</f>
        <v>6083.89</v>
      </c>
      <c r="L257" s="236"/>
      <c r="M257" s="235"/>
      <c r="N257" s="235"/>
      <c r="O257" s="237"/>
      <c r="Q257" s="278"/>
      <c r="R257" s="356"/>
      <c r="S257" s="374">
        <v>43399</v>
      </c>
      <c r="T257" s="335">
        <v>9.8699999999999992</v>
      </c>
    </row>
    <row r="258" spans="1:21" ht="18" customHeight="1" x14ac:dyDescent="0.25">
      <c r="A258" s="232"/>
      <c r="B258" s="233">
        <v>42186</v>
      </c>
      <c r="C258" s="234">
        <v>150</v>
      </c>
      <c r="D258" s="235">
        <v>19.95</v>
      </c>
      <c r="E258" s="235"/>
      <c r="F258" s="235">
        <f>C258*D258</f>
        <v>2992.5</v>
      </c>
      <c r="G258" s="233">
        <v>42186</v>
      </c>
      <c r="H258" s="234">
        <v>300</v>
      </c>
      <c r="I258" s="235">
        <v>19.75</v>
      </c>
      <c r="J258" s="235">
        <v>0.11</v>
      </c>
      <c r="K258" s="235">
        <f>H258*I258-J258</f>
        <v>5924.89</v>
      </c>
      <c r="L258" s="236"/>
      <c r="M258" s="235"/>
      <c r="N258" s="235"/>
      <c r="O258" s="237"/>
      <c r="Q258" s="278"/>
      <c r="R258" s="356"/>
      <c r="S258" s="374">
        <v>43404</v>
      </c>
      <c r="T258" s="335">
        <v>0.56999999999999995</v>
      </c>
    </row>
    <row r="259" spans="1:21" ht="18" customHeight="1" x14ac:dyDescent="0.25">
      <c r="A259" s="232"/>
      <c r="B259" s="233">
        <v>42186</v>
      </c>
      <c r="C259" s="234">
        <v>300</v>
      </c>
      <c r="D259" s="235">
        <v>19.7</v>
      </c>
      <c r="E259" s="236"/>
      <c r="F259" s="235">
        <f>C259*D259</f>
        <v>5910</v>
      </c>
      <c r="G259" s="236"/>
      <c r="H259" s="234"/>
      <c r="I259" s="235"/>
      <c r="J259" s="235"/>
      <c r="K259" s="235"/>
      <c r="L259" s="236"/>
      <c r="M259" s="235"/>
      <c r="N259" s="235"/>
      <c r="O259" s="237"/>
      <c r="Q259" s="278"/>
      <c r="R259" s="356"/>
      <c r="S259" s="374">
        <v>43436</v>
      </c>
      <c r="T259" s="335">
        <v>7.1</v>
      </c>
    </row>
    <row r="260" spans="1:21" ht="18" customHeight="1" x14ac:dyDescent="0.25">
      <c r="A260" s="232"/>
      <c r="B260" s="233">
        <v>42186</v>
      </c>
      <c r="C260" s="234">
        <v>297</v>
      </c>
      <c r="D260" s="235">
        <v>19.13</v>
      </c>
      <c r="E260" s="235"/>
      <c r="F260" s="235">
        <f>C260*D260</f>
        <v>5681.61</v>
      </c>
      <c r="G260" s="236"/>
      <c r="H260" s="234"/>
      <c r="I260" s="235"/>
      <c r="J260" s="235"/>
      <c r="K260" s="235"/>
      <c r="L260" s="236"/>
      <c r="M260" s="235"/>
      <c r="N260" s="235"/>
      <c r="O260" s="237"/>
      <c r="Q260" s="278"/>
      <c r="R260" s="356"/>
      <c r="S260" s="374">
        <v>43436</v>
      </c>
      <c r="T260" s="335">
        <v>3.55</v>
      </c>
    </row>
    <row r="261" spans="1:21" ht="18" customHeight="1" x14ac:dyDescent="0.25">
      <c r="A261" s="232"/>
      <c r="B261" s="238"/>
      <c r="C261" s="239">
        <f>SUM(C256:C260)</f>
        <v>897</v>
      </c>
      <c r="D261" s="240"/>
      <c r="E261" s="240"/>
      <c r="F261" s="240">
        <f>SUM(F256:F260)</f>
        <v>17693.61</v>
      </c>
      <c r="G261" s="241"/>
      <c r="H261" s="239">
        <f>SUM(H256:H260)</f>
        <v>897</v>
      </c>
      <c r="I261" s="240"/>
      <c r="J261" s="240"/>
      <c r="K261" s="240">
        <f>SUM(K256:K260)</f>
        <v>17770.47</v>
      </c>
      <c r="L261" s="241"/>
      <c r="M261" s="240"/>
      <c r="N261" s="240">
        <f>K261-F261</f>
        <v>76.860000000000582</v>
      </c>
      <c r="O261" s="242">
        <f>(N261+M261)/F261</f>
        <v>4.3439411177255841E-3</v>
      </c>
      <c r="Q261" s="278"/>
      <c r="R261" s="356"/>
      <c r="S261" s="374">
        <v>43830</v>
      </c>
      <c r="T261" s="335">
        <v>1.1200000000000001</v>
      </c>
    </row>
    <row r="262" spans="1:21" ht="18" customHeight="1" x14ac:dyDescent="0.25">
      <c r="B262" s="247"/>
      <c r="C262" s="248"/>
      <c r="D262" s="249"/>
      <c r="E262" s="24"/>
      <c r="F262" s="249"/>
      <c r="G262" s="247"/>
      <c r="H262" s="248"/>
      <c r="I262" s="249"/>
      <c r="K262" s="249"/>
      <c r="L262" s="247"/>
      <c r="M262" s="249"/>
      <c r="N262" s="249"/>
      <c r="O262" s="250"/>
      <c r="Q262" s="278"/>
      <c r="R262" s="356"/>
      <c r="S262" s="374">
        <v>43473</v>
      </c>
      <c r="T262" s="335">
        <v>0.6</v>
      </c>
    </row>
    <row r="263" spans="1:21" ht="18" customHeight="1" x14ac:dyDescent="0.25">
      <c r="A263" s="232" t="s">
        <v>31</v>
      </c>
      <c r="B263" s="233">
        <v>42165</v>
      </c>
      <c r="C263" s="234">
        <v>1</v>
      </c>
      <c r="D263" s="235">
        <v>73.03</v>
      </c>
      <c r="E263" s="236"/>
      <c r="F263" s="235">
        <f>C263*D263</f>
        <v>73.03</v>
      </c>
      <c r="G263" s="233">
        <v>42195</v>
      </c>
      <c r="H263" s="234">
        <v>1</v>
      </c>
      <c r="I263" s="235">
        <v>73.5</v>
      </c>
      <c r="J263" s="234">
        <v>0.01</v>
      </c>
      <c r="K263" s="235">
        <f>H263*I263-J263</f>
        <v>73.489999999999995</v>
      </c>
      <c r="L263" s="236"/>
      <c r="M263" s="235"/>
      <c r="N263" s="235"/>
      <c r="O263" s="237"/>
      <c r="Q263" s="278"/>
      <c r="R263" s="356"/>
      <c r="S263" s="374">
        <v>43496</v>
      </c>
      <c r="T263" s="335">
        <v>3.66</v>
      </c>
    </row>
    <row r="264" spans="1:21" ht="18" customHeight="1" x14ac:dyDescent="0.25">
      <c r="A264" s="232"/>
      <c r="B264" s="238"/>
      <c r="C264" s="239">
        <f>SUM(C263)</f>
        <v>1</v>
      </c>
      <c r="D264" s="240"/>
      <c r="E264" s="241"/>
      <c r="F264" s="240">
        <f>SUM(F263)</f>
        <v>73.03</v>
      </c>
      <c r="G264" s="241"/>
      <c r="H264" s="239">
        <f>SUM(H263)</f>
        <v>1</v>
      </c>
      <c r="I264" s="240"/>
      <c r="J264" s="239"/>
      <c r="K264" s="240">
        <f>SUM(K263)</f>
        <v>73.489999999999995</v>
      </c>
      <c r="L264" s="241"/>
      <c r="M264" s="240"/>
      <c r="N264" s="240">
        <f>K264-F264</f>
        <v>0.45999999999999375</v>
      </c>
      <c r="O264" s="242">
        <f>(N264+M264)/F264</f>
        <v>6.2987813227439919E-3</v>
      </c>
      <c r="Q264" s="278"/>
      <c r="R264" s="356"/>
      <c r="S264" s="374">
        <v>43525</v>
      </c>
      <c r="T264" s="335">
        <v>11.45</v>
      </c>
    </row>
    <row r="265" spans="1:21" ht="18" customHeight="1" x14ac:dyDescent="0.25">
      <c r="A265" s="139"/>
      <c r="B265" s="140"/>
      <c r="C265" s="141"/>
      <c r="D265" s="142"/>
      <c r="E265" s="24"/>
      <c r="F265" s="142"/>
      <c r="G265" s="143"/>
      <c r="H265" s="141"/>
      <c r="I265" s="142"/>
      <c r="K265" s="142"/>
      <c r="L265" s="143"/>
      <c r="M265" s="142"/>
      <c r="N265" s="142"/>
      <c r="O265" s="144"/>
      <c r="Q265" s="278"/>
      <c r="R265" s="356"/>
      <c r="S265" s="374">
        <v>43552</v>
      </c>
      <c r="T265" s="335">
        <v>22.32</v>
      </c>
    </row>
    <row r="266" spans="1:21" ht="18" customHeight="1" x14ac:dyDescent="0.25">
      <c r="M266" s="25" t="s">
        <v>38</v>
      </c>
      <c r="N266" s="137">
        <f>0.5*(SUM(M2:M265))</f>
        <v>824.45</v>
      </c>
      <c r="Q266" s="278"/>
      <c r="R266" s="356"/>
      <c r="S266" s="374">
        <v>43573</v>
      </c>
      <c r="T266" s="335">
        <v>15.44</v>
      </c>
    </row>
    <row r="267" spans="1:21" ht="18" customHeight="1" x14ac:dyDescent="0.25">
      <c r="M267" s="28" t="s">
        <v>130</v>
      </c>
      <c r="N267" s="138">
        <f>SUM(N1:N265)</f>
        <v>-31852.030000000042</v>
      </c>
      <c r="Q267" s="278"/>
      <c r="R267" s="356"/>
      <c r="S267" s="374">
        <v>43585</v>
      </c>
      <c r="T267" s="335">
        <v>5.09</v>
      </c>
    </row>
    <row r="268" spans="1:21" ht="18" customHeight="1" x14ac:dyDescent="0.25">
      <c r="M268" s="25" t="s">
        <v>149</v>
      </c>
      <c r="N268" s="426">
        <f>T287</f>
        <v>1414.39</v>
      </c>
      <c r="Q268" s="278"/>
      <c r="R268" s="356"/>
      <c r="S268" s="374">
        <v>43613</v>
      </c>
      <c r="T268" s="335">
        <v>11.74</v>
      </c>
    </row>
    <row r="269" spans="1:21" ht="18" customHeight="1" x14ac:dyDescent="0.25">
      <c r="M269" s="25" t="s">
        <v>129</v>
      </c>
      <c r="N269" s="137">
        <f>SUM(ACTIVE!M:M)</f>
        <v>135518.83800000171</v>
      </c>
      <c r="Q269" s="278"/>
      <c r="R269" s="356"/>
      <c r="S269" s="374">
        <v>43616</v>
      </c>
      <c r="T269" s="335">
        <v>1.2</v>
      </c>
    </row>
    <row r="270" spans="1:21" ht="18" customHeight="1" x14ac:dyDescent="0.25">
      <c r="Q270" s="278"/>
      <c r="R270" s="356"/>
      <c r="S270" s="374"/>
      <c r="T270" s="335">
        <v>47.95</v>
      </c>
      <c r="U270" s="24" t="s">
        <v>1348</v>
      </c>
    </row>
    <row r="271" spans="1:21" ht="18" customHeight="1" x14ac:dyDescent="0.25">
      <c r="M271" s="25" t="s">
        <v>140</v>
      </c>
      <c r="N271" s="137">
        <f>SUM(N266:N269) -R287</f>
        <v>105904.09800000166</v>
      </c>
      <c r="Q271" s="278"/>
      <c r="R271" s="356"/>
      <c r="S271" s="374"/>
      <c r="T271" s="335">
        <v>17.93</v>
      </c>
      <c r="U271" s="24" t="s">
        <v>1348</v>
      </c>
    </row>
    <row r="272" spans="1:21" ht="18" customHeight="1" x14ac:dyDescent="0.25">
      <c r="M272" s="25" t="s">
        <v>141</v>
      </c>
      <c r="N272" s="137">
        <f>Balance!AA2</f>
        <v>105904.09999999998</v>
      </c>
      <c r="Q272" s="278"/>
      <c r="R272" s="356"/>
      <c r="S272" s="374"/>
      <c r="T272" s="335">
        <v>37.840000000000003</v>
      </c>
      <c r="U272" s="24" t="s">
        <v>1348</v>
      </c>
    </row>
    <row r="273" spans="13:21" ht="18" customHeight="1" x14ac:dyDescent="0.25">
      <c r="M273" s="25"/>
      <c r="N273" s="26"/>
      <c r="O273" s="270"/>
      <c r="Q273" s="278"/>
      <c r="R273" s="356"/>
      <c r="S273" s="374"/>
      <c r="T273" s="335">
        <v>27.91</v>
      </c>
      <c r="U273" s="24" t="s">
        <v>1349</v>
      </c>
    </row>
    <row r="274" spans="13:21" ht="18" customHeight="1" x14ac:dyDescent="0.25">
      <c r="Q274" s="278"/>
      <c r="R274" s="356"/>
      <c r="S274" s="374">
        <v>43643</v>
      </c>
      <c r="T274" s="335">
        <v>8.61</v>
      </c>
    </row>
    <row r="275" spans="13:21" ht="18" customHeight="1" x14ac:dyDescent="0.25">
      <c r="M275" s="25" t="s">
        <v>131</v>
      </c>
      <c r="N275" s="427">
        <f>N271-N273-N272</f>
        <v>-1.9999983196612448E-3</v>
      </c>
      <c r="Q275" s="278"/>
      <c r="R275" s="356"/>
      <c r="S275" s="374">
        <v>43647</v>
      </c>
      <c r="T275" s="335">
        <v>0.43</v>
      </c>
    </row>
    <row r="276" spans="13:21" ht="18" customHeight="1" x14ac:dyDescent="0.25">
      <c r="Q276" s="278"/>
      <c r="R276" s="356"/>
      <c r="S276" s="374">
        <v>43671</v>
      </c>
      <c r="T276" s="335">
        <v>5.33</v>
      </c>
    </row>
    <row r="277" spans="13:21" ht="18" customHeight="1" x14ac:dyDescent="0.25">
      <c r="Q277" s="278"/>
      <c r="R277" s="356"/>
      <c r="S277" s="374">
        <v>43678</v>
      </c>
      <c r="T277" s="335">
        <v>1.47</v>
      </c>
    </row>
    <row r="278" spans="13:21" ht="18" customHeight="1" x14ac:dyDescent="0.25">
      <c r="Q278" s="278"/>
      <c r="R278" s="356"/>
      <c r="S278" s="374">
        <v>43704</v>
      </c>
      <c r="T278" s="335">
        <v>1.24</v>
      </c>
    </row>
    <row r="279" spans="13:21" ht="18" customHeight="1" x14ac:dyDescent="0.25">
      <c r="Q279" s="278"/>
      <c r="R279" s="356"/>
      <c r="S279" s="374">
        <v>43711</v>
      </c>
      <c r="T279" s="335">
        <v>0.12</v>
      </c>
    </row>
    <row r="280" spans="13:21" ht="18" customHeight="1" x14ac:dyDescent="0.25">
      <c r="Q280" s="278"/>
      <c r="R280" s="356"/>
      <c r="S280" s="374">
        <v>43738</v>
      </c>
      <c r="T280" s="335">
        <v>1.72</v>
      </c>
    </row>
    <row r="281" spans="13:21" ht="18" customHeight="1" x14ac:dyDescent="0.25">
      <c r="Q281" s="278"/>
      <c r="R281" s="356"/>
      <c r="S281" s="374">
        <v>43769</v>
      </c>
      <c r="T281" s="335">
        <v>2.52</v>
      </c>
    </row>
    <row r="282" spans="13:21" ht="18" customHeight="1" x14ac:dyDescent="0.25">
      <c r="Q282" s="278"/>
      <c r="R282" s="356"/>
      <c r="S282" s="374">
        <v>43799</v>
      </c>
      <c r="T282" s="335">
        <v>3.21</v>
      </c>
    </row>
    <row r="283" spans="13:21" ht="18" customHeight="1" x14ac:dyDescent="0.25">
      <c r="Q283" s="278"/>
      <c r="R283" s="356"/>
      <c r="S283" s="374"/>
      <c r="T283" s="335"/>
    </row>
    <row r="284" spans="13:21" ht="18" customHeight="1" x14ac:dyDescent="0.25">
      <c r="Q284" s="278"/>
      <c r="R284" s="356"/>
      <c r="S284" s="374"/>
      <c r="T284" s="335"/>
    </row>
    <row r="285" spans="13:21" ht="18" customHeight="1" x14ac:dyDescent="0.25">
      <c r="Q285" s="278"/>
      <c r="R285" s="356"/>
      <c r="S285" s="374"/>
      <c r="T285" s="335"/>
    </row>
    <row r="286" spans="13:21" ht="18" customHeight="1" x14ac:dyDescent="0.25">
      <c r="Q286" s="278"/>
      <c r="R286" s="356"/>
      <c r="S286" s="374"/>
      <c r="T286" s="335"/>
    </row>
    <row r="287" spans="13:21" ht="18" customHeight="1" x14ac:dyDescent="0.25">
      <c r="Q287" s="278" t="s">
        <v>81</v>
      </c>
      <c r="R287" s="356">
        <f>SUM(R207:R226)</f>
        <v>1.55</v>
      </c>
      <c r="S287" s="336" t="s">
        <v>81</v>
      </c>
      <c r="T287" s="335">
        <f>SUM(T207:T282)</f>
        <v>1414.39</v>
      </c>
    </row>
    <row r="298" spans="1:1" ht="18" customHeight="1" x14ac:dyDescent="0.25">
      <c r="A298" s="403"/>
    </row>
    <row r="299" spans="1:1" ht="18" customHeight="1" x14ac:dyDescent="0.25">
      <c r="A299" s="404"/>
    </row>
    <row r="300" spans="1:1" ht="18" customHeight="1" x14ac:dyDescent="0.25">
      <c r="A300" s="404"/>
    </row>
    <row r="301" spans="1:1" ht="18" customHeight="1" x14ac:dyDescent="0.25">
      <c r="A301" s="403"/>
    </row>
    <row r="302" spans="1:1" ht="18" customHeight="1" x14ac:dyDescent="0.25">
      <c r="A302" s="404"/>
    </row>
    <row r="303" spans="1:1" ht="18" customHeight="1" x14ac:dyDescent="0.25">
      <c r="A303" s="404"/>
    </row>
    <row r="304" spans="1:1" ht="18" customHeight="1" x14ac:dyDescent="0.25">
      <c r="A304" s="403"/>
    </row>
    <row r="305" spans="1:1" ht="18" customHeight="1" x14ac:dyDescent="0.25">
      <c r="A305" s="404"/>
    </row>
    <row r="306" spans="1:1" ht="18" customHeight="1" x14ac:dyDescent="0.25">
      <c r="A306" s="404"/>
    </row>
    <row r="307" spans="1:1" ht="18" customHeight="1" x14ac:dyDescent="0.25">
      <c r="A307" s="404"/>
    </row>
  </sheetData>
  <mergeCells count="3">
    <mergeCell ref="B12:B13"/>
    <mergeCell ref="B14:B15"/>
    <mergeCell ref="B187:B188"/>
  </mergeCells>
  <conditionalFormatting sqref="Q13">
    <cfRule type="expression" dxfId="4205" priority="7">
      <formula>#REF!&gt;0</formula>
    </cfRule>
    <cfRule type="expression" dxfId="4204" priority="8">
      <formula>#REF!&lt;0</formula>
    </cfRule>
  </conditionalFormatting>
  <conditionalFormatting sqref="P141:P158">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AE74"/>
  <sheetViews>
    <sheetView workbookViewId="0">
      <pane ySplit="1" topLeftCell="A2" activePane="bottomLeft" state="frozen"/>
      <selection activeCell="M33" sqref="M33"/>
      <selection pane="bottomLeft" activeCell="A3" sqref="A3"/>
    </sheetView>
  </sheetViews>
  <sheetFormatPr defaultRowHeight="15" x14ac:dyDescent="0.25"/>
  <cols>
    <col min="4" max="5" width="9.140625" style="2"/>
    <col min="6" max="6" width="9.5703125" style="2" bestFit="1" customWidth="1"/>
    <col min="8" max="8" width="11.85546875" bestFit="1" customWidth="1"/>
    <col min="9" max="9" width="10.42578125" customWidth="1"/>
    <col min="11" max="11" width="9.140625" style="2"/>
    <col min="17" max="17" width="12.42578125" customWidth="1"/>
    <col min="18" max="18" width="18.5703125" style="33" customWidth="1"/>
    <col min="20" max="20" width="13.7109375" customWidth="1"/>
    <col min="21" max="21" width="19"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197</v>
      </c>
      <c r="B2" s="69"/>
      <c r="C2" s="4"/>
      <c r="D2" s="3"/>
      <c r="E2" s="3"/>
      <c r="F2" s="3"/>
      <c r="G2" s="69"/>
      <c r="H2" s="158"/>
      <c r="I2" s="3"/>
      <c r="J2" s="3"/>
      <c r="K2" s="3"/>
      <c r="L2" s="69"/>
      <c r="M2" s="4"/>
      <c r="O2" s="11" t="s">
        <v>57</v>
      </c>
      <c r="Q2">
        <f>C18-H18</f>
        <v>0</v>
      </c>
      <c r="T2" s="1"/>
    </row>
    <row r="3" spans="1:31" x14ac:dyDescent="0.25">
      <c r="A3" s="22" t="s">
        <v>71</v>
      </c>
      <c r="B3" s="281"/>
      <c r="C3" s="4"/>
      <c r="D3" s="3"/>
      <c r="E3" s="3"/>
      <c r="F3" s="3"/>
      <c r="G3" s="69"/>
      <c r="H3" s="158"/>
      <c r="I3" s="3"/>
      <c r="J3" s="3"/>
      <c r="K3" s="3"/>
      <c r="L3" s="4"/>
      <c r="M3" s="4"/>
      <c r="O3" s="11" t="s">
        <v>58</v>
      </c>
      <c r="Q3" s="174">
        <f>IF(Q2=0, Q4, (F18-K18-M18)/Q2)</f>
        <v>218.72</v>
      </c>
      <c r="X3" s="1"/>
      <c r="AB3" s="178"/>
      <c r="AE3" s="178"/>
    </row>
    <row r="4" spans="1:31" x14ac:dyDescent="0.25">
      <c r="B4" s="281"/>
      <c r="C4" s="4"/>
      <c r="D4" s="3"/>
      <c r="E4" s="3"/>
      <c r="F4" s="3"/>
      <c r="G4" s="69"/>
      <c r="H4" s="158"/>
      <c r="I4" s="3"/>
      <c r="J4" s="3"/>
      <c r="K4" s="3"/>
      <c r="L4" s="4"/>
      <c r="M4" s="4"/>
      <c r="O4" s="11" t="s">
        <v>66</v>
      </c>
      <c r="Q4" s="53">
        <v>218.72</v>
      </c>
      <c r="R4" s="411">
        <v>9.7000000000000003E-3</v>
      </c>
      <c r="T4" s="1"/>
      <c r="AB4" s="178"/>
      <c r="AE4" s="178"/>
    </row>
    <row r="5" spans="1:31" x14ac:dyDescent="0.25">
      <c r="B5" s="69"/>
      <c r="C5" s="4"/>
      <c r="D5" s="3"/>
      <c r="E5" s="3"/>
      <c r="F5" s="3"/>
      <c r="G5" s="69"/>
      <c r="H5" s="158"/>
      <c r="I5" s="3"/>
      <c r="J5" s="3"/>
      <c r="K5" s="3"/>
      <c r="L5" s="4"/>
      <c r="M5" s="4"/>
      <c r="O5" s="11" t="s">
        <v>67</v>
      </c>
      <c r="Q5" s="3">
        <f>Q4*Q2</f>
        <v>0</v>
      </c>
      <c r="T5" s="1"/>
      <c r="AB5" s="178"/>
      <c r="AE5" s="178"/>
    </row>
    <row r="6" spans="1:31" x14ac:dyDescent="0.25">
      <c r="B6" s="154"/>
      <c r="C6" s="4"/>
      <c r="D6" s="3"/>
      <c r="E6" s="3"/>
      <c r="F6" s="3"/>
      <c r="G6" s="69"/>
      <c r="H6" s="158"/>
      <c r="I6" s="3"/>
      <c r="J6" s="3"/>
      <c r="K6" s="3"/>
      <c r="L6" s="4"/>
      <c r="M6" s="4"/>
      <c r="O6" s="11" t="s">
        <v>64</v>
      </c>
      <c r="Q6" s="2">
        <f>Q3*Q2</f>
        <v>0</v>
      </c>
      <c r="AB6" s="178"/>
      <c r="AE6" s="178"/>
    </row>
    <row r="7" spans="1:31" x14ac:dyDescent="0.25">
      <c r="B7" s="154"/>
      <c r="C7" s="4"/>
      <c r="D7" s="3"/>
      <c r="E7" s="3"/>
      <c r="F7" s="3"/>
      <c r="G7" s="69"/>
      <c r="H7" s="158"/>
      <c r="I7" s="3"/>
      <c r="J7" s="3"/>
      <c r="K7" s="3"/>
      <c r="L7" s="4"/>
      <c r="M7" s="4"/>
      <c r="O7" s="11" t="s">
        <v>175</v>
      </c>
      <c r="Q7" s="2">
        <f>Q10+Q8</f>
        <v>363.09999999999945</v>
      </c>
      <c r="R7">
        <v>0</v>
      </c>
      <c r="AB7" s="178"/>
      <c r="AE7" s="178"/>
    </row>
    <row r="8" spans="1:31" x14ac:dyDescent="0.25">
      <c r="B8" s="69"/>
      <c r="C8" s="4"/>
      <c r="D8" s="3"/>
      <c r="E8" s="3"/>
      <c r="F8" s="3"/>
      <c r="G8" s="69"/>
      <c r="H8" s="158"/>
      <c r="I8" s="3"/>
      <c r="J8" s="3"/>
      <c r="K8" s="3"/>
      <c r="L8" s="4"/>
      <c r="M8" s="4"/>
      <c r="O8" s="11" t="s">
        <v>177</v>
      </c>
      <c r="P8" s="33"/>
      <c r="Q8" s="2">
        <f>K18+M18-F18+Q2*Q4</f>
        <v>0</v>
      </c>
      <c r="AB8" s="178"/>
      <c r="AE8" s="178"/>
    </row>
    <row r="9" spans="1:31" x14ac:dyDescent="0.25">
      <c r="B9" s="69"/>
      <c r="C9" s="4"/>
      <c r="D9" s="3"/>
      <c r="E9" s="3"/>
      <c r="F9" s="3"/>
      <c r="G9" s="69"/>
      <c r="H9" s="158"/>
      <c r="I9" s="3"/>
      <c r="J9" s="3"/>
      <c r="K9" s="3"/>
      <c r="L9" s="4"/>
      <c r="M9" s="4"/>
      <c r="O9" s="11" t="s">
        <v>202</v>
      </c>
      <c r="Q9" s="131">
        <f>IF(Q2=0, 0, Q8/Q6)</f>
        <v>0</v>
      </c>
      <c r="T9" s="148"/>
    </row>
    <row r="10" spans="1:31" x14ac:dyDescent="0.25">
      <c r="B10" s="69"/>
      <c r="C10" s="4"/>
      <c r="D10" s="3"/>
      <c r="E10" s="3"/>
      <c r="F10" s="3"/>
      <c r="G10" s="69"/>
      <c r="H10" s="158"/>
      <c r="I10" s="4"/>
      <c r="J10" s="4"/>
      <c r="K10" s="3"/>
      <c r="L10" s="4"/>
      <c r="O10" s="11" t="s">
        <v>201</v>
      </c>
      <c r="P10" s="33"/>
      <c r="Q10" s="2">
        <f>M55</f>
        <v>363.09999999999945</v>
      </c>
    </row>
    <row r="11" spans="1:31" x14ac:dyDescent="0.25">
      <c r="B11" s="69"/>
      <c r="C11" s="4"/>
      <c r="D11" s="3"/>
      <c r="E11" s="3"/>
      <c r="F11" s="3"/>
      <c r="G11" s="69"/>
      <c r="H11" s="158"/>
      <c r="I11" s="4"/>
      <c r="J11" s="4"/>
      <c r="K11" s="3"/>
      <c r="L11" s="4"/>
      <c r="O11" s="11" t="s">
        <v>173</v>
      </c>
      <c r="P11" s="33"/>
      <c r="Q11" s="131">
        <v>0</v>
      </c>
    </row>
    <row r="12" spans="1:31" x14ac:dyDescent="0.25">
      <c r="B12" s="69"/>
      <c r="C12" s="4"/>
      <c r="D12" s="3"/>
      <c r="E12" s="3"/>
      <c r="F12" s="3"/>
      <c r="G12" s="69"/>
      <c r="H12" s="158"/>
      <c r="I12" s="4"/>
      <c r="J12" s="4"/>
      <c r="K12" s="3"/>
      <c r="L12" s="4"/>
    </row>
    <row r="13" spans="1:31" x14ac:dyDescent="0.25">
      <c r="B13" s="69"/>
      <c r="C13" s="4"/>
      <c r="D13" s="3"/>
      <c r="E13" s="3"/>
      <c r="F13" s="3"/>
      <c r="G13" s="69"/>
      <c r="H13" s="158"/>
      <c r="I13" s="3"/>
      <c r="J13" s="4"/>
      <c r="K13" s="3"/>
      <c r="L13" s="4"/>
    </row>
    <row r="14" spans="1:31" x14ac:dyDescent="0.25">
      <c r="B14" s="69"/>
      <c r="C14" s="4"/>
      <c r="D14" s="3"/>
      <c r="E14" s="3"/>
      <c r="F14" s="3"/>
      <c r="G14" s="69"/>
      <c r="H14" s="158"/>
      <c r="I14" s="4"/>
      <c r="J14" s="4"/>
      <c r="K14" s="3"/>
      <c r="L14" s="4"/>
    </row>
    <row r="15" spans="1:31" x14ac:dyDescent="0.25">
      <c r="B15" s="4"/>
      <c r="C15" s="4"/>
      <c r="D15" s="3"/>
      <c r="E15" s="3"/>
      <c r="F15" s="3"/>
      <c r="G15" s="69"/>
      <c r="H15" s="158"/>
      <c r="I15" s="4"/>
      <c r="J15" s="4"/>
      <c r="K15" s="3"/>
      <c r="L15" s="4"/>
    </row>
    <row r="16" spans="1:31" x14ac:dyDescent="0.25">
      <c r="G16" s="1"/>
      <c r="H16" s="67"/>
    </row>
    <row r="17" spans="1:14" x14ac:dyDescent="0.25">
      <c r="G17" s="1"/>
      <c r="H17" s="67"/>
    </row>
    <row r="18" spans="1:14" x14ac:dyDescent="0.25">
      <c r="A18" s="31" t="s">
        <v>81</v>
      </c>
      <c r="B18" s="14"/>
      <c r="C18" s="14">
        <f>SUM(C2:C14)</f>
        <v>0</v>
      </c>
      <c r="D18" s="14"/>
      <c r="E18" s="14"/>
      <c r="F18" s="18">
        <f>SUM(F2:F14)</f>
        <v>0</v>
      </c>
      <c r="G18" s="14"/>
      <c r="H18" s="14">
        <f>SUM(H2:H14)</f>
        <v>0</v>
      </c>
      <c r="I18" s="14"/>
      <c r="J18" s="14"/>
      <c r="K18" s="18">
        <f>SUM(K2:K14)</f>
        <v>0</v>
      </c>
      <c r="L18" s="14"/>
      <c r="M18" s="18">
        <f>SUM(M2:M14)</f>
        <v>0</v>
      </c>
    </row>
    <row r="19" spans="1:14"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N19" s="2"/>
    </row>
    <row r="24" spans="1:14" x14ac:dyDescent="0.25">
      <c r="B24" s="159" t="s">
        <v>113</v>
      </c>
      <c r="C24" s="159" t="s">
        <v>143</v>
      </c>
      <c r="D24" s="160" t="s">
        <v>142</v>
      </c>
      <c r="E24" s="162" t="s">
        <v>144</v>
      </c>
      <c r="F24" s="163" t="s">
        <v>65</v>
      </c>
      <c r="G24" s="173" t="s">
        <v>148</v>
      </c>
      <c r="H24" s="163" t="s">
        <v>88</v>
      </c>
      <c r="I24" s="163" t="s">
        <v>151</v>
      </c>
    </row>
    <row r="25" spans="1:14" x14ac:dyDescent="0.25">
      <c r="B25" s="161">
        <v>42502</v>
      </c>
      <c r="C25" s="10">
        <v>25</v>
      </c>
      <c r="D25" s="39">
        <v>90.451999999999998</v>
      </c>
      <c r="E25" s="39">
        <v>90.34</v>
      </c>
      <c r="F25" s="39">
        <f t="shared" ref="F25:F34" si="0">C25*(E25-D25)</f>
        <v>-2.7999999999998693</v>
      </c>
      <c r="G25" s="39">
        <f t="shared" ref="G25:G34" si="1">D25*C25</f>
        <v>2261.3000000000002</v>
      </c>
      <c r="H25" s="175">
        <f t="shared" ref="H25:H34" si="2">(E25-D25)/D25</f>
        <v>-1.238225799318918E-3</v>
      </c>
      <c r="I25" s="175"/>
    </row>
    <row r="26" spans="1:14" x14ac:dyDescent="0.25">
      <c r="B26" s="161">
        <v>42506</v>
      </c>
      <c r="C26" s="181">
        <v>25</v>
      </c>
      <c r="D26" s="182">
        <v>90.451999999999998</v>
      </c>
      <c r="E26" s="39">
        <v>93.88</v>
      </c>
      <c r="F26" s="39">
        <f t="shared" si="0"/>
        <v>85.699999999999932</v>
      </c>
      <c r="G26" s="39">
        <f t="shared" si="1"/>
        <v>2261.3000000000002</v>
      </c>
      <c r="H26" s="175">
        <f t="shared" si="2"/>
        <v>3.7898553929155768E-2</v>
      </c>
      <c r="I26" s="175"/>
    </row>
    <row r="27" spans="1:14" x14ac:dyDescent="0.25">
      <c r="B27" s="161">
        <v>42515</v>
      </c>
      <c r="C27" s="10">
        <v>25</v>
      </c>
      <c r="D27" s="39">
        <v>90.451999999999998</v>
      </c>
      <c r="E27" s="39">
        <v>99.62</v>
      </c>
      <c r="F27" s="39">
        <f t="shared" si="0"/>
        <v>229.20000000000016</v>
      </c>
      <c r="G27" s="39">
        <f t="shared" si="1"/>
        <v>2261.3000000000002</v>
      </c>
      <c r="H27" s="175">
        <f t="shared" si="2"/>
        <v>0.10135762614425338</v>
      </c>
      <c r="I27" s="176" t="s">
        <v>206</v>
      </c>
    </row>
    <row r="28" spans="1:14" x14ac:dyDescent="0.25">
      <c r="B28" s="161">
        <v>42524</v>
      </c>
      <c r="C28" s="10">
        <v>25</v>
      </c>
      <c r="D28" s="39">
        <v>90.451999999999998</v>
      </c>
      <c r="E28" s="39">
        <v>97.84</v>
      </c>
      <c r="F28" s="39">
        <f t="shared" si="0"/>
        <v>184.70000000000013</v>
      </c>
      <c r="G28" s="39">
        <f t="shared" si="1"/>
        <v>2261.3000000000002</v>
      </c>
      <c r="H28" s="175">
        <f t="shared" si="2"/>
        <v>8.1678680405076781E-2</v>
      </c>
      <c r="I28" s="39"/>
    </row>
    <row r="29" spans="1:14" x14ac:dyDescent="0.25">
      <c r="B29" s="161">
        <v>42539</v>
      </c>
      <c r="C29" s="10">
        <v>25</v>
      </c>
      <c r="D29" s="39">
        <v>90.45</v>
      </c>
      <c r="E29" s="39">
        <v>95.33</v>
      </c>
      <c r="F29" s="39">
        <f t="shared" si="0"/>
        <v>121.99999999999989</v>
      </c>
      <c r="G29" s="39">
        <f t="shared" si="1"/>
        <v>2261.25</v>
      </c>
      <c r="H29" s="175">
        <f t="shared" si="2"/>
        <v>5.3952459922609122E-2</v>
      </c>
      <c r="I29" s="39"/>
    </row>
    <row r="30" spans="1:14" x14ac:dyDescent="0.25">
      <c r="B30" s="161">
        <v>42544</v>
      </c>
      <c r="C30" s="10">
        <v>25</v>
      </c>
      <c r="D30" s="39">
        <v>90.451999999999998</v>
      </c>
      <c r="E30" s="39">
        <v>96.1</v>
      </c>
      <c r="F30" s="39">
        <f t="shared" si="0"/>
        <v>141.1999999999999</v>
      </c>
      <c r="G30" s="39">
        <f t="shared" si="1"/>
        <v>2261.3000000000002</v>
      </c>
      <c r="H30" s="175">
        <f t="shared" si="2"/>
        <v>6.2441958165656883E-2</v>
      </c>
      <c r="I30" s="39"/>
    </row>
    <row r="31" spans="1:14" x14ac:dyDescent="0.25">
      <c r="B31" s="161">
        <v>42545</v>
      </c>
      <c r="C31" s="10">
        <v>50</v>
      </c>
      <c r="D31" s="39">
        <v>91.725999999999999</v>
      </c>
      <c r="E31" s="39">
        <v>93.4</v>
      </c>
      <c r="F31" s="39">
        <f t="shared" si="0"/>
        <v>83.70000000000033</v>
      </c>
      <c r="G31" s="39">
        <f t="shared" si="1"/>
        <v>4586.3</v>
      </c>
      <c r="H31" s="175">
        <f t="shared" si="2"/>
        <v>1.825000545101723E-2</v>
      </c>
      <c r="I31" s="39"/>
    </row>
    <row r="32" spans="1:14" x14ac:dyDescent="0.25">
      <c r="B32" s="161">
        <v>42548</v>
      </c>
      <c r="C32" s="10">
        <v>50</v>
      </c>
      <c r="D32" s="39">
        <v>91.725999999999999</v>
      </c>
      <c r="E32" s="39">
        <v>92.04</v>
      </c>
      <c r="F32" s="39">
        <f t="shared" si="0"/>
        <v>15.700000000000358</v>
      </c>
      <c r="G32" s="39">
        <f t="shared" si="1"/>
        <v>4586.3</v>
      </c>
      <c r="H32" s="175">
        <f t="shared" si="2"/>
        <v>3.4232387763557461E-3</v>
      </c>
      <c r="I32" s="39"/>
    </row>
    <row r="33" spans="2:21" x14ac:dyDescent="0.25">
      <c r="B33" s="161">
        <v>42549</v>
      </c>
      <c r="C33" s="7">
        <v>50</v>
      </c>
      <c r="D33" s="43">
        <v>91.73</v>
      </c>
      <c r="E33" s="39">
        <v>93.59</v>
      </c>
      <c r="F33" s="39">
        <f t="shared" si="0"/>
        <v>92.999999999999972</v>
      </c>
      <c r="G33" s="39">
        <f t="shared" si="1"/>
        <v>4586.5</v>
      </c>
      <c r="H33" s="175">
        <f t="shared" si="2"/>
        <v>2.0276899596642313E-2</v>
      </c>
      <c r="I33" s="39"/>
    </row>
    <row r="34" spans="2:21" x14ac:dyDescent="0.25">
      <c r="B34" s="161">
        <v>42552</v>
      </c>
      <c r="C34" s="181">
        <v>25</v>
      </c>
      <c r="D34" s="182">
        <v>87.174000000000007</v>
      </c>
      <c r="E34" s="39">
        <v>95.89</v>
      </c>
      <c r="F34" s="39">
        <f t="shared" si="0"/>
        <v>217.89999999999986</v>
      </c>
      <c r="G34" s="39">
        <f t="shared" si="1"/>
        <v>2179.3500000000004</v>
      </c>
      <c r="H34" s="175">
        <f t="shared" si="2"/>
        <v>9.9983940165645643E-2</v>
      </c>
      <c r="I34" s="39"/>
    </row>
    <row r="35" spans="2:21" x14ac:dyDescent="0.25">
      <c r="B35" s="161">
        <v>42556</v>
      </c>
      <c r="C35" s="10">
        <v>25</v>
      </c>
      <c r="D35" s="39">
        <v>87.174000000000007</v>
      </c>
      <c r="E35" s="39">
        <v>95.04</v>
      </c>
      <c r="F35" s="39">
        <f t="shared" ref="F35:F41" si="3">C35*(E35-D35)</f>
        <v>196.64999999999998</v>
      </c>
      <c r="G35" s="39">
        <f t="shared" ref="G35:G41" si="4">D35*C35</f>
        <v>2179.3500000000004</v>
      </c>
      <c r="H35" s="175">
        <f t="shared" ref="H35:H41" si="5">(E35-D35)/D35</f>
        <v>9.0233326450547172E-2</v>
      </c>
      <c r="I35" s="39"/>
    </row>
    <row r="36" spans="2:21" x14ac:dyDescent="0.25">
      <c r="B36" s="161">
        <v>42569</v>
      </c>
      <c r="C36" s="10">
        <v>25</v>
      </c>
      <c r="D36" s="39">
        <v>87.174000000000007</v>
      </c>
      <c r="E36" s="39">
        <v>99.83</v>
      </c>
      <c r="F36" s="39">
        <f t="shared" si="3"/>
        <v>316.39999999999981</v>
      </c>
      <c r="G36" s="39">
        <f t="shared" si="4"/>
        <v>2179.3500000000004</v>
      </c>
      <c r="H36" s="175">
        <f t="shared" si="5"/>
        <v>0.14518090256269062</v>
      </c>
      <c r="I36" s="180">
        <v>85</v>
      </c>
    </row>
    <row r="37" spans="2:21" x14ac:dyDescent="0.25">
      <c r="B37" s="161">
        <v>42570</v>
      </c>
      <c r="C37" s="10">
        <v>25</v>
      </c>
      <c r="D37" s="39">
        <v>87.174000000000007</v>
      </c>
      <c r="E37" s="39">
        <v>99.87</v>
      </c>
      <c r="F37" s="39">
        <f t="shared" si="3"/>
        <v>317.39999999999998</v>
      </c>
      <c r="G37" s="39">
        <f t="shared" si="4"/>
        <v>2179.3500000000004</v>
      </c>
      <c r="H37" s="175">
        <f t="shared" si="5"/>
        <v>0.14563975497281295</v>
      </c>
      <c r="I37" s="39"/>
    </row>
    <row r="38" spans="2:21" x14ac:dyDescent="0.25">
      <c r="B38" s="161">
        <v>42571</v>
      </c>
      <c r="C38" s="10">
        <v>25</v>
      </c>
      <c r="D38" s="39">
        <v>87.174000000000007</v>
      </c>
      <c r="E38" s="39">
        <v>99.96</v>
      </c>
      <c r="F38" s="39">
        <f t="shared" si="3"/>
        <v>319.64999999999969</v>
      </c>
      <c r="G38" s="39">
        <f t="shared" si="4"/>
        <v>2179.3500000000004</v>
      </c>
      <c r="H38" s="175">
        <f t="shared" si="5"/>
        <v>0.14667217289558798</v>
      </c>
      <c r="I38" s="39"/>
    </row>
    <row r="39" spans="2:21" ht="20.25" thickBot="1" x14ac:dyDescent="0.35">
      <c r="B39" s="161">
        <v>42575</v>
      </c>
      <c r="C39" s="10">
        <v>25</v>
      </c>
      <c r="D39" s="39">
        <v>87.174000000000007</v>
      </c>
      <c r="E39" s="39">
        <v>98.66</v>
      </c>
      <c r="F39" s="39">
        <f t="shared" si="3"/>
        <v>287.14999999999975</v>
      </c>
      <c r="G39" s="39">
        <f t="shared" si="4"/>
        <v>2179.3500000000004</v>
      </c>
      <c r="H39" s="175">
        <f t="shared" si="5"/>
        <v>0.13175946956661377</v>
      </c>
      <c r="I39" s="39"/>
      <c r="T39" s="107"/>
      <c r="U39" s="9"/>
    </row>
    <row r="40" spans="2:21" ht="15.75" thickTop="1" x14ac:dyDescent="0.25">
      <c r="B40" s="161">
        <v>42576</v>
      </c>
      <c r="C40" s="10">
        <v>25</v>
      </c>
      <c r="D40" s="39">
        <v>87.174000000000007</v>
      </c>
      <c r="E40" s="39">
        <v>97.34</v>
      </c>
      <c r="F40" s="39">
        <f t="shared" si="3"/>
        <v>254.14999999999992</v>
      </c>
      <c r="G40" s="39">
        <f t="shared" si="4"/>
        <v>2179.3500000000004</v>
      </c>
      <c r="H40" s="175">
        <f t="shared" si="5"/>
        <v>0.11661734003257848</v>
      </c>
      <c r="I40" s="39"/>
      <c r="T40" s="132"/>
      <c r="U40" s="282"/>
    </row>
    <row r="41" spans="2:21" x14ac:dyDescent="0.25">
      <c r="B41" s="161">
        <v>42577</v>
      </c>
      <c r="C41" s="10">
        <v>10</v>
      </c>
      <c r="D41" s="39">
        <v>67.069999999999993</v>
      </c>
      <c r="E41" s="39">
        <v>96.67</v>
      </c>
      <c r="F41" s="39">
        <f t="shared" si="3"/>
        <v>296.00000000000011</v>
      </c>
      <c r="G41" s="39">
        <f t="shared" si="4"/>
        <v>670.69999999999993</v>
      </c>
      <c r="H41" s="175">
        <f t="shared" si="5"/>
        <v>0.44132995377963341</v>
      </c>
      <c r="I41" s="39" t="s">
        <v>242</v>
      </c>
      <c r="T41" s="103"/>
      <c r="U41" s="283"/>
    </row>
    <row r="42" spans="2:21" ht="20.25" thickBot="1" x14ac:dyDescent="0.35">
      <c r="B42" s="161">
        <v>42577</v>
      </c>
      <c r="C42" s="10">
        <v>0</v>
      </c>
      <c r="D42" s="39"/>
      <c r="E42" s="39"/>
      <c r="F42" s="39">
        <v>363.1</v>
      </c>
      <c r="G42" s="39"/>
      <c r="H42" s="175"/>
      <c r="I42" s="39"/>
      <c r="O42" s="886" t="s">
        <v>78</v>
      </c>
      <c r="P42" s="886"/>
      <c r="T42" s="103"/>
      <c r="U42" s="283"/>
    </row>
    <row r="43" spans="2:21" ht="15.75" thickTop="1" x14ac:dyDescent="0.25">
      <c r="B43" s="161"/>
      <c r="C43" s="10"/>
      <c r="D43" s="39"/>
      <c r="E43" s="39"/>
      <c r="F43" s="39"/>
      <c r="G43" s="39"/>
      <c r="H43" s="175"/>
      <c r="I43" s="39"/>
      <c r="O43" s="78">
        <v>1.1000000000000001</v>
      </c>
      <c r="P43" s="78">
        <f>O43*$Q$4</f>
        <v>240.59200000000001</v>
      </c>
      <c r="Q43" s="2"/>
      <c r="T43" s="103"/>
      <c r="U43" s="283"/>
    </row>
    <row r="44" spans="2:21" x14ac:dyDescent="0.25">
      <c r="B44" s="161"/>
      <c r="C44" s="10"/>
      <c r="D44" s="39"/>
      <c r="E44" s="39"/>
      <c r="F44" s="39"/>
      <c r="G44" s="39"/>
      <c r="H44" s="175"/>
      <c r="I44" s="39"/>
      <c r="O44" s="78">
        <v>1.0900000000000001</v>
      </c>
      <c r="P44" s="78">
        <f t="shared" ref="P44:P63" si="6">O44*$Q$4</f>
        <v>238.40480000000002</v>
      </c>
      <c r="Q44" s="2"/>
      <c r="T44" s="103"/>
      <c r="U44" s="283"/>
    </row>
    <row r="45" spans="2:21" x14ac:dyDescent="0.25">
      <c r="B45" s="161"/>
      <c r="C45" s="10"/>
      <c r="D45" s="39"/>
      <c r="E45" s="39"/>
      <c r="F45" s="39"/>
      <c r="G45" s="39"/>
      <c r="H45" s="175"/>
      <c r="I45" s="39"/>
      <c r="O45" s="78">
        <v>1.08</v>
      </c>
      <c r="P45" s="78">
        <f t="shared" si="6"/>
        <v>236.2176</v>
      </c>
      <c r="Q45" s="2"/>
      <c r="T45" s="103"/>
      <c r="U45" s="283"/>
    </row>
    <row r="46" spans="2:21" x14ac:dyDescent="0.25">
      <c r="B46" s="161"/>
      <c r="C46" s="10"/>
      <c r="D46" s="39"/>
      <c r="E46" s="39"/>
      <c r="F46" s="39"/>
      <c r="G46" s="39"/>
      <c r="H46" s="175"/>
      <c r="I46" s="39"/>
      <c r="O46" s="78">
        <v>1.07</v>
      </c>
      <c r="P46" s="78">
        <f t="shared" si="6"/>
        <v>234.03040000000001</v>
      </c>
      <c r="Q46" s="2"/>
      <c r="T46" s="103"/>
      <c r="U46" s="283"/>
    </row>
    <row r="47" spans="2:21" x14ac:dyDescent="0.25">
      <c r="B47" s="161"/>
      <c r="C47" s="10"/>
      <c r="D47" s="39"/>
      <c r="E47" s="39"/>
      <c r="F47" s="39"/>
      <c r="G47" s="39"/>
      <c r="H47" s="175"/>
      <c r="I47" s="39"/>
      <c r="O47" s="78">
        <v>1.06</v>
      </c>
      <c r="P47" s="78">
        <f t="shared" si="6"/>
        <v>231.84320000000002</v>
      </c>
      <c r="Q47" s="2"/>
      <c r="T47" s="103"/>
      <c r="U47" s="283"/>
    </row>
    <row r="48" spans="2:21" x14ac:dyDescent="0.25">
      <c r="O48" s="78">
        <v>1.05</v>
      </c>
      <c r="P48" s="78">
        <f t="shared" si="6"/>
        <v>229.65600000000001</v>
      </c>
      <c r="Q48" s="2"/>
      <c r="T48" s="103"/>
      <c r="U48" s="283"/>
    </row>
    <row r="49" spans="1:21" x14ac:dyDescent="0.25">
      <c r="O49" s="78">
        <v>1.04</v>
      </c>
      <c r="P49" s="78">
        <f t="shared" si="6"/>
        <v>227.46880000000002</v>
      </c>
      <c r="Q49" s="2"/>
      <c r="T49" s="103"/>
      <c r="U49" s="283"/>
    </row>
    <row r="50" spans="1:21" x14ac:dyDescent="0.25">
      <c r="O50" s="78">
        <v>1.03</v>
      </c>
      <c r="P50" s="78">
        <f t="shared" si="6"/>
        <v>225.2816</v>
      </c>
      <c r="Q50" s="2"/>
      <c r="T50" s="103"/>
      <c r="U50" s="284"/>
    </row>
    <row r="51" spans="1:21" x14ac:dyDescent="0.25">
      <c r="O51" s="78">
        <v>1.02</v>
      </c>
      <c r="P51" s="78">
        <f t="shared" si="6"/>
        <v>223.09440000000001</v>
      </c>
      <c r="Q51" s="2"/>
      <c r="T51" s="103"/>
      <c r="U51" s="284"/>
    </row>
    <row r="52" spans="1:21" x14ac:dyDescent="0.25">
      <c r="O52" s="78">
        <v>1.01</v>
      </c>
      <c r="P52" s="78">
        <f t="shared" si="6"/>
        <v>220.90719999999999</v>
      </c>
      <c r="Q52" s="2"/>
      <c r="T52" s="103"/>
      <c r="U52" s="283"/>
    </row>
    <row r="53" spans="1:21" x14ac:dyDescent="0.25">
      <c r="O53" s="78">
        <v>1</v>
      </c>
      <c r="P53" s="78">
        <f t="shared" si="6"/>
        <v>218.72</v>
      </c>
      <c r="Q53" s="2"/>
      <c r="T53" s="103"/>
      <c r="U53" s="283"/>
    </row>
    <row r="54" spans="1:21" x14ac:dyDescent="0.25">
      <c r="O54" s="78">
        <v>0.99</v>
      </c>
      <c r="P54" s="78">
        <f t="shared" si="6"/>
        <v>216.53280000000001</v>
      </c>
      <c r="Q54" s="2"/>
      <c r="T54" s="103"/>
      <c r="U54" s="283"/>
    </row>
    <row r="55" spans="1:21" x14ac:dyDescent="0.25">
      <c r="L55" t="s">
        <v>65</v>
      </c>
      <c r="M55" s="2">
        <f>M73+K73-F73</f>
        <v>363.09999999999945</v>
      </c>
      <c r="O55" s="78">
        <v>0.98</v>
      </c>
      <c r="P55" s="78">
        <f t="shared" si="6"/>
        <v>214.34559999999999</v>
      </c>
      <c r="Q55" s="2"/>
      <c r="T55" s="103"/>
      <c r="U55" s="283"/>
    </row>
    <row r="56" spans="1:21" x14ac:dyDescent="0.25">
      <c r="A56" s="195" t="s">
        <v>1</v>
      </c>
      <c r="B56" s="195" t="s">
        <v>2</v>
      </c>
      <c r="C56" s="195" t="s">
        <v>4</v>
      </c>
      <c r="D56" s="196" t="s">
        <v>5</v>
      </c>
      <c r="E56" s="196" t="s">
        <v>94</v>
      </c>
      <c r="F56" s="196" t="s">
        <v>60</v>
      </c>
      <c r="G56" s="195" t="s">
        <v>3</v>
      </c>
      <c r="H56" s="195" t="s">
        <v>6</v>
      </c>
      <c r="I56" s="195" t="s">
        <v>7</v>
      </c>
      <c r="J56" s="195" t="s">
        <v>95</v>
      </c>
      <c r="K56" s="196" t="s">
        <v>61</v>
      </c>
      <c r="L56" s="195" t="s">
        <v>77</v>
      </c>
      <c r="M56" s="195" t="s">
        <v>38</v>
      </c>
      <c r="O56" s="78">
        <v>0.97</v>
      </c>
      <c r="P56" s="78">
        <f t="shared" si="6"/>
        <v>212.1584</v>
      </c>
    </row>
    <row r="57" spans="1:21" x14ac:dyDescent="0.25">
      <c r="A57" s="197" t="s">
        <v>197</v>
      </c>
      <c r="B57" s="198">
        <v>42502</v>
      </c>
      <c r="C57" s="193">
        <v>25</v>
      </c>
      <c r="D57" s="194">
        <v>90.65</v>
      </c>
      <c r="E57" s="194">
        <v>0</v>
      </c>
      <c r="F57" s="194">
        <f>C57*D57 + E57</f>
        <v>2266.25</v>
      </c>
      <c r="G57" s="198">
        <v>42502</v>
      </c>
      <c r="H57" s="199">
        <v>25</v>
      </c>
      <c r="I57" s="194">
        <v>90.64</v>
      </c>
      <c r="J57" s="194">
        <v>0.05</v>
      </c>
      <c r="K57" s="194">
        <f>H57*I57-J57</f>
        <v>2265.9499999999998</v>
      </c>
      <c r="L57" s="198">
        <v>42588</v>
      </c>
      <c r="M57" s="193"/>
      <c r="O57" s="78">
        <v>0.96</v>
      </c>
      <c r="P57" s="78">
        <f t="shared" si="6"/>
        <v>209.97119999999998</v>
      </c>
    </row>
    <row r="58" spans="1:21" x14ac:dyDescent="0.25">
      <c r="A58" s="200" t="s">
        <v>71</v>
      </c>
      <c r="B58" s="363">
        <v>42502</v>
      </c>
      <c r="C58" s="193">
        <v>25</v>
      </c>
      <c r="D58" s="194">
        <v>90.44</v>
      </c>
      <c r="E58" s="194">
        <v>0</v>
      </c>
      <c r="F58" s="194">
        <f>C58*D58 + E58</f>
        <v>2261</v>
      </c>
      <c r="G58" s="198">
        <v>42552</v>
      </c>
      <c r="H58" s="199">
        <v>25</v>
      </c>
      <c r="I58" s="194">
        <v>96.28</v>
      </c>
      <c r="J58" s="194">
        <v>0.05</v>
      </c>
      <c r="K58" s="194">
        <f>H58*I58-J58</f>
        <v>2406.9499999999998</v>
      </c>
      <c r="L58" s="193"/>
      <c r="M58" s="193"/>
      <c r="O58" s="78">
        <v>0.95</v>
      </c>
      <c r="P58" s="78">
        <f t="shared" si="6"/>
        <v>207.78399999999999</v>
      </c>
    </row>
    <row r="59" spans="1:21" x14ac:dyDescent="0.25">
      <c r="A59" s="193"/>
      <c r="B59" s="363">
        <v>42545</v>
      </c>
      <c r="C59" s="193">
        <v>25</v>
      </c>
      <c r="D59" s="194">
        <v>93</v>
      </c>
      <c r="E59" s="194">
        <v>0</v>
      </c>
      <c r="F59" s="194">
        <f>C59*D59 + E59</f>
        <v>2325</v>
      </c>
      <c r="G59" s="198">
        <v>42577</v>
      </c>
      <c r="H59" s="199">
        <v>15</v>
      </c>
      <c r="I59" s="194">
        <v>100.58</v>
      </c>
      <c r="J59" s="194">
        <v>0.03</v>
      </c>
      <c r="K59" s="194">
        <f>H59*I59-J59</f>
        <v>1508.67</v>
      </c>
      <c r="L59" s="193"/>
      <c r="M59" s="193"/>
      <c r="O59" s="78">
        <v>0.94</v>
      </c>
      <c r="P59" s="78">
        <f t="shared" si="6"/>
        <v>205.59679999999997</v>
      </c>
    </row>
    <row r="60" spans="1:21" x14ac:dyDescent="0.25">
      <c r="A60" s="193"/>
      <c r="B60" s="198"/>
      <c r="C60" s="193"/>
      <c r="D60" s="194"/>
      <c r="E60" s="194"/>
      <c r="F60" s="194"/>
      <c r="G60" s="198">
        <v>42577</v>
      </c>
      <c r="H60" s="199">
        <v>10</v>
      </c>
      <c r="I60" s="194">
        <v>103.38</v>
      </c>
      <c r="J60" s="194">
        <v>0.02</v>
      </c>
      <c r="K60" s="194">
        <f>H60*I60-J60</f>
        <v>1033.78</v>
      </c>
      <c r="L60" s="193"/>
      <c r="M60" s="193"/>
      <c r="O60" s="78">
        <v>0.93</v>
      </c>
      <c r="P60" s="78">
        <f t="shared" si="6"/>
        <v>203.40960000000001</v>
      </c>
    </row>
    <row r="61" spans="1:21" x14ac:dyDescent="0.25">
      <c r="A61" s="193"/>
      <c r="B61" s="364"/>
      <c r="C61" s="193"/>
      <c r="D61" s="194"/>
      <c r="E61" s="194"/>
      <c r="F61" s="194"/>
      <c r="G61" s="198"/>
      <c r="H61" s="199"/>
      <c r="I61" s="194"/>
      <c r="J61" s="194"/>
      <c r="K61" s="194"/>
      <c r="L61" s="193"/>
      <c r="M61" s="193"/>
      <c r="O61" s="78">
        <v>0.92</v>
      </c>
      <c r="P61" s="78">
        <f t="shared" si="6"/>
        <v>201.22240000000002</v>
      </c>
    </row>
    <row r="62" spans="1:21" x14ac:dyDescent="0.25">
      <c r="A62" s="193"/>
      <c r="B62" s="364"/>
      <c r="C62" s="193"/>
      <c r="D62" s="194"/>
      <c r="E62" s="194"/>
      <c r="F62" s="194"/>
      <c r="G62" s="198"/>
      <c r="H62" s="199"/>
      <c r="I62" s="194"/>
      <c r="J62" s="194"/>
      <c r="K62" s="194"/>
      <c r="L62" s="193"/>
      <c r="M62" s="193"/>
      <c r="O62" s="78">
        <v>0.91</v>
      </c>
      <c r="P62" s="78">
        <f t="shared" si="6"/>
        <v>199.0352</v>
      </c>
    </row>
    <row r="63" spans="1:21" x14ac:dyDescent="0.25">
      <c r="A63" s="193"/>
      <c r="B63" s="198"/>
      <c r="C63" s="193"/>
      <c r="D63" s="194"/>
      <c r="E63" s="194"/>
      <c r="F63" s="194"/>
      <c r="G63" s="198"/>
      <c r="H63" s="199"/>
      <c r="I63" s="194"/>
      <c r="J63" s="194"/>
      <c r="K63" s="194"/>
      <c r="L63" s="193"/>
      <c r="M63" s="193"/>
      <c r="O63" s="78">
        <v>0.9</v>
      </c>
      <c r="P63" s="78">
        <f t="shared" si="6"/>
        <v>196.84800000000001</v>
      </c>
    </row>
    <row r="64" spans="1:21" x14ac:dyDescent="0.25">
      <c r="A64" s="193"/>
      <c r="B64" s="198"/>
      <c r="C64" s="193"/>
      <c r="D64" s="194"/>
      <c r="E64" s="194"/>
      <c r="F64" s="194"/>
      <c r="G64" s="198"/>
      <c r="H64" s="199"/>
      <c r="I64" s="194"/>
      <c r="J64" s="194"/>
      <c r="K64" s="194"/>
      <c r="L64" s="193"/>
      <c r="M64" s="193"/>
    </row>
    <row r="65" spans="1:13" x14ac:dyDescent="0.25">
      <c r="A65" s="193"/>
      <c r="B65" s="198"/>
      <c r="C65" s="193"/>
      <c r="D65" s="194"/>
      <c r="E65" s="194"/>
      <c r="F65" s="194"/>
      <c r="G65" s="198"/>
      <c r="H65" s="199"/>
      <c r="I65" s="193"/>
      <c r="J65" s="193"/>
      <c r="K65" s="194"/>
      <c r="L65" s="193"/>
      <c r="M65" s="193"/>
    </row>
    <row r="66" spans="1:13" x14ac:dyDescent="0.25">
      <c r="A66" s="193"/>
      <c r="B66" s="198"/>
      <c r="C66" s="193"/>
      <c r="D66" s="194"/>
      <c r="E66" s="194"/>
      <c r="F66" s="194"/>
      <c r="G66" s="198"/>
      <c r="H66" s="199"/>
      <c r="I66" s="193"/>
      <c r="J66" s="193"/>
      <c r="K66" s="194"/>
      <c r="L66" s="193"/>
      <c r="M66" s="193"/>
    </row>
    <row r="67" spans="1:13" x14ac:dyDescent="0.25">
      <c r="A67" s="193"/>
      <c r="B67" s="198"/>
      <c r="C67" s="193"/>
      <c r="D67" s="194"/>
      <c r="E67" s="194"/>
      <c r="F67" s="194"/>
      <c r="G67" s="198"/>
      <c r="H67" s="199"/>
      <c r="I67" s="193"/>
      <c r="J67" s="193"/>
      <c r="K67" s="194"/>
      <c r="L67" s="193"/>
      <c r="M67" s="193"/>
    </row>
    <row r="68" spans="1:13" x14ac:dyDescent="0.25">
      <c r="A68" s="193"/>
      <c r="B68" s="198"/>
      <c r="C68" s="193"/>
      <c r="D68" s="194"/>
      <c r="E68" s="194"/>
      <c r="F68" s="194"/>
      <c r="G68" s="198"/>
      <c r="H68" s="199"/>
      <c r="I68" s="194"/>
      <c r="J68" s="193"/>
      <c r="K68" s="194"/>
      <c r="L68" s="193"/>
      <c r="M68" s="193"/>
    </row>
    <row r="69" spans="1:13" x14ac:dyDescent="0.25">
      <c r="A69" s="193"/>
      <c r="B69" s="198"/>
      <c r="C69" s="193"/>
      <c r="D69" s="194"/>
      <c r="E69" s="194"/>
      <c r="F69" s="194"/>
      <c r="G69" s="198"/>
      <c r="H69" s="199"/>
      <c r="I69" s="193"/>
      <c r="J69" s="193"/>
      <c r="K69" s="194"/>
      <c r="L69" s="193"/>
      <c r="M69" s="193"/>
    </row>
    <row r="70" spans="1:13" x14ac:dyDescent="0.25">
      <c r="A70" s="193"/>
      <c r="B70" s="193"/>
      <c r="C70" s="193"/>
      <c r="D70" s="194"/>
      <c r="E70" s="194"/>
      <c r="F70" s="194"/>
      <c r="G70" s="198"/>
      <c r="H70" s="199"/>
      <c r="I70" s="193"/>
      <c r="J70" s="193"/>
      <c r="K70" s="194"/>
      <c r="L70" s="193"/>
      <c r="M70" s="193"/>
    </row>
    <row r="71" spans="1:13" x14ac:dyDescent="0.25">
      <c r="A71" s="193"/>
      <c r="B71" s="193"/>
      <c r="C71" s="193"/>
      <c r="D71" s="194"/>
      <c r="E71" s="194"/>
      <c r="F71" s="194"/>
      <c r="G71" s="198"/>
      <c r="H71" s="199"/>
      <c r="I71" s="193"/>
      <c r="J71" s="193"/>
      <c r="K71" s="194"/>
      <c r="L71" s="193"/>
      <c r="M71" s="193"/>
    </row>
    <row r="72" spans="1:13" x14ac:dyDescent="0.25">
      <c r="A72" s="193"/>
      <c r="B72" s="193"/>
      <c r="C72" s="193"/>
      <c r="D72" s="194"/>
      <c r="E72" s="194"/>
      <c r="F72" s="194"/>
      <c r="G72" s="198"/>
      <c r="H72" s="199"/>
      <c r="I72" s="193"/>
      <c r="J72" s="193"/>
      <c r="K72" s="194"/>
      <c r="L72" s="193"/>
      <c r="M72" s="193"/>
    </row>
    <row r="73" spans="1:13" x14ac:dyDescent="0.25">
      <c r="A73" s="31" t="s">
        <v>81</v>
      </c>
      <c r="B73" s="14"/>
      <c r="C73" s="14">
        <f>SUM(C57:C69)</f>
        <v>75</v>
      </c>
      <c r="D73" s="14"/>
      <c r="E73" s="14"/>
      <c r="F73" s="18">
        <f>SUM(F57:F69)</f>
        <v>6852.25</v>
      </c>
      <c r="G73" s="14"/>
      <c r="H73" s="14">
        <f>SUM(H57:H69)</f>
        <v>75</v>
      </c>
      <c r="I73" s="14"/>
      <c r="J73" s="14"/>
      <c r="K73" s="18">
        <f>SUM(K57:K69)</f>
        <v>7215.3499999999995</v>
      </c>
      <c r="L73" s="14"/>
      <c r="M73" s="18">
        <f>SUM(M57:M69)</f>
        <v>0</v>
      </c>
    </row>
    <row r="74" spans="1:13" ht="15.75" thickBot="1" x14ac:dyDescent="0.3">
      <c r="A74" s="365"/>
      <c r="B74" s="366"/>
      <c r="C74" s="367"/>
      <c r="D74" s="367"/>
      <c r="E74" s="367"/>
      <c r="F74" s="368"/>
      <c r="G74" s="367"/>
      <c r="H74" s="367"/>
      <c r="I74" s="367"/>
      <c r="J74" s="367"/>
      <c r="K74" s="368"/>
      <c r="L74" s="367"/>
      <c r="M74" s="368"/>
    </row>
  </sheetData>
  <mergeCells count="1">
    <mergeCell ref="O42:P42"/>
  </mergeCells>
  <conditionalFormatting sqref="N19">
    <cfRule type="expression" dxfId="4203" priority="35">
      <formula>N19&gt;0</formula>
    </cfRule>
    <cfRule type="expression" dxfId="4202" priority="36">
      <formula>N19&lt;0</formula>
    </cfRule>
  </conditionalFormatting>
  <conditionalFormatting sqref="O43:O63">
    <cfRule type="colorScale" priority="34">
      <colorScale>
        <cfvo type="min"/>
        <cfvo type="percentile" val="50"/>
        <cfvo type="max"/>
        <color rgb="FFF8696B"/>
        <color rgb="FFFFEB84"/>
        <color rgb="FF63BE7B"/>
      </colorScale>
    </cfRule>
  </conditionalFormatting>
  <conditionalFormatting sqref="P43:P63">
    <cfRule type="colorScale" priority="33">
      <colorScale>
        <cfvo type="min"/>
        <cfvo type="percentile" val="50"/>
        <cfvo type="max"/>
        <color rgb="FFF8696B"/>
        <color rgb="FFFFEB84"/>
        <color rgb="FF63BE7B"/>
      </colorScale>
    </cfRule>
  </conditionalFormatting>
  <conditionalFormatting sqref="F25:F47">
    <cfRule type="expression" dxfId="4201" priority="21">
      <formula>F25&gt;0</formula>
    </cfRule>
    <cfRule type="expression" dxfId="4200" priority="22">
      <formula>F25&lt;0</formula>
    </cfRule>
  </conditionalFormatting>
  <conditionalFormatting sqref="H25:H47">
    <cfRule type="expression" dxfId="4199" priority="19">
      <formula>H25&gt;0</formula>
    </cfRule>
    <cfRule type="expression" dxfId="4198" priority="20">
      <formula>H25&lt;0</formula>
    </cfRule>
  </conditionalFormatting>
  <conditionalFormatting sqref="I25:I27">
    <cfRule type="expression" dxfId="4197" priority="15">
      <formula>I25&gt;0</formula>
    </cfRule>
    <cfRule type="expression" dxfId="4196" priority="16">
      <formula>I25&lt;0</formula>
    </cfRule>
  </conditionalFormatting>
  <conditionalFormatting sqref="Q7">
    <cfRule type="expression" dxfId="4195" priority="5">
      <formula>Q7&gt;0</formula>
    </cfRule>
    <cfRule type="expression" dxfId="4194" priority="6">
      <formula>Q7&lt;0</formula>
    </cfRule>
  </conditionalFormatting>
  <conditionalFormatting sqref="Q8">
    <cfRule type="expression" dxfId="4193" priority="3">
      <formula>Q8&gt;0</formula>
    </cfRule>
    <cfRule type="expression" dxfId="4192" priority="4">
      <formula>Q8&lt;0</formula>
    </cfRule>
  </conditionalFormatting>
  <hyperlinks>
    <hyperlink ref="A3" location="ACTIVE!A1" display="Back"/>
    <hyperlink ref="A58" location="ACTIVE!A1" display="Back"/>
  </hyperlinks>
  <pageMargins left="0.7" right="0.7" top="0.75" bottom="0.75" header="0.3" footer="0.3"/>
  <pageSetup orientation="portrait" horizontalDpi="1200" verticalDpi="120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3"/>
  <dimension ref="A1:U114"/>
  <sheetViews>
    <sheetView workbookViewId="0">
      <pane ySplit="1" topLeftCell="A2" activePane="bottomLeft" state="frozen"/>
      <selection activeCell="M33" sqref="M33"/>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1149</v>
      </c>
      <c r="B2" s="360">
        <v>43313</v>
      </c>
      <c r="C2" s="7">
        <v>50</v>
      </c>
      <c r="D2" s="43">
        <v>79.98</v>
      </c>
      <c r="E2" s="43">
        <v>0</v>
      </c>
      <c r="F2" s="43">
        <f t="shared" ref="F2:F11" si="0">C2*D2+E2</f>
        <v>3999</v>
      </c>
      <c r="G2" s="360">
        <v>43363</v>
      </c>
      <c r="H2" s="7">
        <v>50</v>
      </c>
      <c r="I2" s="43">
        <v>90.9</v>
      </c>
      <c r="J2" s="43">
        <v>0.06</v>
      </c>
      <c r="K2" s="43">
        <f t="shared" ref="K2:K11" si="1">H2*I2-J2</f>
        <v>4544.9399999999996</v>
      </c>
      <c r="L2" s="69">
        <v>43347</v>
      </c>
      <c r="M2" s="43">
        <v>19</v>
      </c>
      <c r="O2" s="11" t="s">
        <v>57</v>
      </c>
      <c r="Q2">
        <f>C18-H18</f>
        <v>0</v>
      </c>
      <c r="T2" s="1"/>
      <c r="U2" t="s">
        <v>1224</v>
      </c>
    </row>
    <row r="3" spans="1:21" x14ac:dyDescent="0.25">
      <c r="A3" s="22" t="s">
        <v>71</v>
      </c>
      <c r="B3" s="360">
        <v>43354</v>
      </c>
      <c r="C3" s="7">
        <v>50</v>
      </c>
      <c r="D3" s="43">
        <v>84.68</v>
      </c>
      <c r="E3" s="43">
        <v>0</v>
      </c>
      <c r="F3" s="43">
        <f t="shared" si="0"/>
        <v>4234</v>
      </c>
      <c r="G3" s="360">
        <v>43388</v>
      </c>
      <c r="H3" s="77">
        <v>50</v>
      </c>
      <c r="I3" s="43">
        <v>90.29</v>
      </c>
      <c r="J3" s="43">
        <v>0.06</v>
      </c>
      <c r="K3" s="43">
        <f t="shared" si="1"/>
        <v>4514.4399999999996</v>
      </c>
      <c r="L3" s="69">
        <v>43437</v>
      </c>
      <c r="M3" s="43">
        <v>20</v>
      </c>
      <c r="O3" s="11" t="s">
        <v>58</v>
      </c>
      <c r="Q3" s="174">
        <f>IF(Q2=0, Q4, (F18-K18-M18)/Q2)</f>
        <v>83.85</v>
      </c>
      <c r="T3" s="1"/>
      <c r="U3" t="s">
        <v>1307</v>
      </c>
    </row>
    <row r="4" spans="1:21" x14ac:dyDescent="0.25">
      <c r="B4" s="360">
        <v>43367</v>
      </c>
      <c r="C4" s="7">
        <v>50</v>
      </c>
      <c r="D4" s="43">
        <v>89.01</v>
      </c>
      <c r="E4" s="43">
        <v>0</v>
      </c>
      <c r="F4" s="43">
        <f t="shared" si="0"/>
        <v>4450.5</v>
      </c>
      <c r="G4" s="360">
        <v>43405</v>
      </c>
      <c r="H4" s="77">
        <v>50</v>
      </c>
      <c r="I4" s="43">
        <v>89.88</v>
      </c>
      <c r="J4" s="43">
        <v>0.06</v>
      </c>
      <c r="K4" s="43">
        <f t="shared" si="1"/>
        <v>4493.9399999999996</v>
      </c>
      <c r="L4" s="69">
        <v>43528</v>
      </c>
      <c r="M4" s="43">
        <v>40</v>
      </c>
      <c r="O4" s="11" t="s">
        <v>66</v>
      </c>
      <c r="Q4" s="53">
        <v>83.85</v>
      </c>
      <c r="R4" s="416">
        <v>-2.3099999999999999E-2</v>
      </c>
      <c r="T4" s="680"/>
      <c r="U4" s="30"/>
    </row>
    <row r="5" spans="1:21" x14ac:dyDescent="0.25">
      <c r="B5" s="360">
        <v>43397</v>
      </c>
      <c r="C5" s="7">
        <v>50</v>
      </c>
      <c r="D5" s="43">
        <v>87.8</v>
      </c>
      <c r="E5" s="43">
        <v>0</v>
      </c>
      <c r="F5" s="43">
        <f t="shared" si="0"/>
        <v>4390</v>
      </c>
      <c r="G5" s="360">
        <v>43496</v>
      </c>
      <c r="H5" s="77">
        <v>50</v>
      </c>
      <c r="I5" s="43">
        <v>85.8</v>
      </c>
      <c r="J5" s="43">
        <v>0.06</v>
      </c>
      <c r="K5" s="43">
        <f t="shared" si="1"/>
        <v>4289.9399999999996</v>
      </c>
      <c r="L5" s="69">
        <v>43619</v>
      </c>
      <c r="M5" s="43">
        <v>60</v>
      </c>
      <c r="O5" s="11" t="s">
        <v>67</v>
      </c>
      <c r="Q5" s="3">
        <f>Q4*Q2</f>
        <v>0</v>
      </c>
      <c r="U5" t="s">
        <v>1332</v>
      </c>
    </row>
    <row r="6" spans="1:21" x14ac:dyDescent="0.25">
      <c r="B6" s="360">
        <v>43440</v>
      </c>
      <c r="C6" s="7">
        <v>50</v>
      </c>
      <c r="D6" s="43">
        <v>84.28</v>
      </c>
      <c r="E6" s="43">
        <v>0</v>
      </c>
      <c r="F6" s="43">
        <f t="shared" si="0"/>
        <v>4214</v>
      </c>
      <c r="G6" s="360">
        <v>43516</v>
      </c>
      <c r="H6" s="77">
        <v>50</v>
      </c>
      <c r="I6" s="43">
        <v>86.61</v>
      </c>
      <c r="J6" s="43">
        <v>0.06</v>
      </c>
      <c r="K6" s="43">
        <f t="shared" si="1"/>
        <v>4330.4399999999996</v>
      </c>
      <c r="L6" s="4"/>
      <c r="M6" s="4"/>
      <c r="O6" s="11" t="s">
        <v>64</v>
      </c>
      <c r="Q6" s="2">
        <f>Q3*Q2</f>
        <v>0</v>
      </c>
      <c r="U6" t="s">
        <v>1333</v>
      </c>
    </row>
    <row r="7" spans="1:21" x14ac:dyDescent="0.25">
      <c r="B7" s="360">
        <v>43496</v>
      </c>
      <c r="C7" s="7">
        <v>50</v>
      </c>
      <c r="D7" s="43">
        <v>80.5</v>
      </c>
      <c r="E7" s="43">
        <v>0</v>
      </c>
      <c r="F7" s="43">
        <f t="shared" si="0"/>
        <v>4025</v>
      </c>
      <c r="G7" s="360">
        <v>43539</v>
      </c>
      <c r="H7" s="77">
        <v>50</v>
      </c>
      <c r="I7" s="43">
        <v>80.48</v>
      </c>
      <c r="J7" s="43">
        <v>0.05</v>
      </c>
      <c r="K7" s="43">
        <f t="shared" si="1"/>
        <v>4023.95</v>
      </c>
      <c r="L7" s="4"/>
      <c r="M7" s="4"/>
      <c r="O7" s="11" t="s">
        <v>175</v>
      </c>
      <c r="Q7" s="2">
        <f>Q10+Q8</f>
        <v>1957.6999999999971</v>
      </c>
      <c r="R7">
        <v>0</v>
      </c>
    </row>
    <row r="8" spans="1:21" x14ac:dyDescent="0.25">
      <c r="B8" s="360">
        <v>43531</v>
      </c>
      <c r="C8" s="7">
        <v>100</v>
      </c>
      <c r="D8" s="43">
        <v>76.2</v>
      </c>
      <c r="E8" s="43">
        <v>0</v>
      </c>
      <c r="F8" s="43">
        <f t="shared" si="0"/>
        <v>7620</v>
      </c>
      <c r="G8" s="360">
        <v>43579</v>
      </c>
      <c r="H8" s="77">
        <v>100</v>
      </c>
      <c r="I8" s="43">
        <v>74.42</v>
      </c>
      <c r="J8" s="43">
        <v>0.15</v>
      </c>
      <c r="K8" s="43">
        <f t="shared" si="1"/>
        <v>7441.85</v>
      </c>
      <c r="L8" s="4"/>
      <c r="M8" s="4"/>
      <c r="O8" s="11" t="s">
        <v>177</v>
      </c>
      <c r="P8" s="33"/>
      <c r="Q8" s="2">
        <f>K18+M18-F18+Q2*Q4</f>
        <v>1957.6999999999971</v>
      </c>
    </row>
    <row r="9" spans="1:21" x14ac:dyDescent="0.25">
      <c r="B9" s="360">
        <v>43549</v>
      </c>
      <c r="C9" s="7">
        <v>50</v>
      </c>
      <c r="D9" s="43">
        <v>76.88</v>
      </c>
      <c r="E9" s="43">
        <v>0</v>
      </c>
      <c r="F9" s="43">
        <f t="shared" si="0"/>
        <v>3844</v>
      </c>
      <c r="G9" s="360">
        <v>43587</v>
      </c>
      <c r="H9" s="77">
        <v>50</v>
      </c>
      <c r="I9" s="43">
        <v>77</v>
      </c>
      <c r="J9" s="43">
        <v>0.08</v>
      </c>
      <c r="K9" s="43">
        <f t="shared" si="1"/>
        <v>3849.92</v>
      </c>
      <c r="L9" s="4"/>
      <c r="M9" s="4"/>
      <c r="O9" s="11" t="s">
        <v>202</v>
      </c>
      <c r="Q9" s="131">
        <f>IF(Q2=0, 0, Q8/Q6)</f>
        <v>0</v>
      </c>
      <c r="T9" s="1">
        <v>43537</v>
      </c>
      <c r="U9" t="s">
        <v>1331</v>
      </c>
    </row>
    <row r="10" spans="1:21" x14ac:dyDescent="0.25">
      <c r="B10" s="360">
        <v>43565</v>
      </c>
      <c r="C10" s="7">
        <v>50</v>
      </c>
      <c r="D10" s="43">
        <v>73.58</v>
      </c>
      <c r="E10" s="43">
        <v>0</v>
      </c>
      <c r="F10" s="43">
        <f t="shared" si="0"/>
        <v>3679</v>
      </c>
      <c r="G10" s="360">
        <v>43606</v>
      </c>
      <c r="H10" s="77">
        <v>50</v>
      </c>
      <c r="I10" s="43">
        <v>80.58</v>
      </c>
      <c r="J10" s="43">
        <v>0.08</v>
      </c>
      <c r="K10" s="43">
        <f t="shared" si="1"/>
        <v>4028.92</v>
      </c>
      <c r="L10" s="4"/>
      <c r="M10" s="4"/>
      <c r="O10" s="11" t="s">
        <v>201</v>
      </c>
      <c r="P10" s="33"/>
      <c r="Q10" s="2">
        <f>M70</f>
        <v>0</v>
      </c>
    </row>
    <row r="11" spans="1:21" x14ac:dyDescent="0.25">
      <c r="B11" s="360">
        <v>43572</v>
      </c>
      <c r="C11" s="7">
        <v>100</v>
      </c>
      <c r="D11" s="43">
        <v>71.819999999999993</v>
      </c>
      <c r="E11" s="43">
        <v>0</v>
      </c>
      <c r="F11" s="43">
        <f t="shared" si="0"/>
        <v>7181.9999999999991</v>
      </c>
      <c r="G11" s="360">
        <v>43619</v>
      </c>
      <c r="H11" s="77">
        <v>100</v>
      </c>
      <c r="I11" s="43">
        <v>79.38</v>
      </c>
      <c r="J11" s="43">
        <v>0.14000000000000001</v>
      </c>
      <c r="K11" s="43">
        <f t="shared" si="1"/>
        <v>7937.86</v>
      </c>
      <c r="L11" s="4"/>
      <c r="M11" s="4"/>
      <c r="O11" s="11" t="s">
        <v>173</v>
      </c>
      <c r="P11" s="33"/>
      <c r="Q11" s="131">
        <f>R11*4/Q4</f>
        <v>1.8127608825283244E-2</v>
      </c>
      <c r="R11">
        <v>0.38</v>
      </c>
    </row>
    <row r="12" spans="1:21" x14ac:dyDescent="0.25">
      <c r="H12" s="67"/>
      <c r="O12" s="11" t="s">
        <v>82</v>
      </c>
      <c r="Q12" s="1" t="s">
        <v>1341</v>
      </c>
    </row>
    <row r="13" spans="1:21" x14ac:dyDescent="0.25">
      <c r="H13" s="67"/>
      <c r="O13" s="11" t="s">
        <v>901</v>
      </c>
      <c r="Q13" s="2">
        <f>Q4/6.49</f>
        <v>12.919876733436054</v>
      </c>
    </row>
    <row r="14" spans="1:21" x14ac:dyDescent="0.25">
      <c r="H14" s="67"/>
      <c r="O14" s="11" t="s">
        <v>988</v>
      </c>
      <c r="Q14" s="1">
        <v>43359</v>
      </c>
    </row>
    <row r="15" spans="1:21" x14ac:dyDescent="0.25">
      <c r="H15" s="67"/>
    </row>
    <row r="16" spans="1:21" x14ac:dyDescent="0.25">
      <c r="H16" s="67"/>
    </row>
    <row r="18" spans="1:17" x14ac:dyDescent="0.25">
      <c r="A18" s="31" t="s">
        <v>81</v>
      </c>
      <c r="B18" s="14"/>
      <c r="C18" s="14">
        <f>SUM(C2:C11)</f>
        <v>600</v>
      </c>
      <c r="D18" s="18"/>
      <c r="E18" s="18"/>
      <c r="F18" s="18">
        <f>SUM(F2:F11)</f>
        <v>47637.5</v>
      </c>
      <c r="G18" s="14"/>
      <c r="H18" s="68">
        <f>SUM(H2:H11)</f>
        <v>600</v>
      </c>
      <c r="I18" s="18"/>
      <c r="J18" s="18"/>
      <c r="K18" s="18">
        <f>SUM(K2:K11)</f>
        <v>49456.2</v>
      </c>
      <c r="L18" s="14"/>
      <c r="M18" s="18">
        <f>SUM(M2:M10)</f>
        <v>139</v>
      </c>
    </row>
    <row r="19" spans="1:17" ht="15.75" thickBot="1" x14ac:dyDescent="0.3">
      <c r="A19" s="273" t="s">
        <v>189</v>
      </c>
      <c r="B19" s="274"/>
      <c r="C19" s="275">
        <f>SumByColor($A$19,C2:C17)</f>
        <v>600</v>
      </c>
      <c r="D19" s="275"/>
      <c r="E19" s="275"/>
      <c r="F19" s="276">
        <f>SumByColor($A$19,F2:F17)</f>
        <v>47638</v>
      </c>
      <c r="G19" s="275"/>
      <c r="H19" s="275">
        <f>SumByColor($A$19,H2:H17)</f>
        <v>600</v>
      </c>
      <c r="I19" s="275"/>
      <c r="J19" s="275"/>
      <c r="K19" s="276">
        <f>SumByColor($A$19,K2:K17)</f>
        <v>49456</v>
      </c>
      <c r="L19" s="275"/>
      <c r="M19" s="276">
        <f>SumByColor($A$19,M2:M17)</f>
        <v>139</v>
      </c>
    </row>
    <row r="22" spans="1:17" ht="20.25" thickBot="1" x14ac:dyDescent="0.35">
      <c r="O22" s="749" t="s">
        <v>78</v>
      </c>
      <c r="P22" s="749"/>
    </row>
    <row r="23" spans="1:17" ht="15.75" thickTop="1" x14ac:dyDescent="0.25">
      <c r="O23" s="78">
        <v>1.1000000000000001</v>
      </c>
      <c r="P23" s="78">
        <f>O23*$Q$4</f>
        <v>92.234999999999999</v>
      </c>
      <c r="Q23" s="2"/>
    </row>
    <row r="24" spans="1:17" x14ac:dyDescent="0.25">
      <c r="B24" s="159" t="s">
        <v>113</v>
      </c>
      <c r="C24" s="159" t="s">
        <v>143</v>
      </c>
      <c r="D24" s="160" t="s">
        <v>142</v>
      </c>
      <c r="E24" s="162" t="s">
        <v>144</v>
      </c>
      <c r="F24" s="162" t="s">
        <v>65</v>
      </c>
      <c r="G24" s="173" t="s">
        <v>148</v>
      </c>
      <c r="H24" s="173" t="s">
        <v>88</v>
      </c>
      <c r="I24" s="173" t="s">
        <v>151</v>
      </c>
      <c r="J24" s="173" t="s">
        <v>147</v>
      </c>
      <c r="K24" s="173" t="s">
        <v>901</v>
      </c>
      <c r="L24" s="173"/>
      <c r="O24" s="78">
        <v>1.0900000000000001</v>
      </c>
      <c r="P24" s="78">
        <f t="shared" ref="P24:P43" si="2">O24*$Q$4</f>
        <v>91.396500000000003</v>
      </c>
      <c r="Q24" s="2"/>
    </row>
    <row r="25" spans="1:17" x14ac:dyDescent="0.25">
      <c r="B25" s="161">
        <v>43313</v>
      </c>
      <c r="C25" s="10">
        <v>50</v>
      </c>
      <c r="D25" s="39">
        <v>79.98</v>
      </c>
      <c r="E25" s="39">
        <v>79.489999999999995</v>
      </c>
      <c r="F25" s="39">
        <f t="shared" ref="F25:F30" si="3">C25*(E25-D25)</f>
        <v>-24.500000000000455</v>
      </c>
      <c r="G25" s="39">
        <f t="shared" ref="G25:G30" si="4">D25*C25</f>
        <v>3999</v>
      </c>
      <c r="H25" s="175">
        <f t="shared" ref="H25:H30" si="5">(E25-D25)/D25</f>
        <v>-6.1265316329083405E-3</v>
      </c>
      <c r="I25" s="39"/>
      <c r="J25" s="39"/>
      <c r="K25" s="39"/>
      <c r="L25" s="39"/>
      <c r="O25" s="78">
        <v>1.08</v>
      </c>
      <c r="P25" s="78">
        <f t="shared" si="2"/>
        <v>90.557999999999993</v>
      </c>
      <c r="Q25" s="2"/>
    </row>
    <row r="26" spans="1:17" x14ac:dyDescent="0.25">
      <c r="B26" s="161">
        <v>43316</v>
      </c>
      <c r="C26" s="10">
        <v>50</v>
      </c>
      <c r="D26" s="39">
        <v>79.98</v>
      </c>
      <c r="E26" s="39">
        <v>80.97</v>
      </c>
      <c r="F26" s="39">
        <f t="shared" si="3"/>
        <v>49.499999999999744</v>
      </c>
      <c r="G26" s="39">
        <f t="shared" si="4"/>
        <v>3999</v>
      </c>
      <c r="H26" s="175">
        <f t="shared" si="5"/>
        <v>1.2378094523630843E-2</v>
      </c>
      <c r="I26" s="39"/>
      <c r="J26" s="39"/>
      <c r="K26" s="39"/>
      <c r="L26" s="39"/>
      <c r="O26" s="78">
        <v>1.07</v>
      </c>
      <c r="P26" s="78">
        <f t="shared" si="2"/>
        <v>89.719499999999996</v>
      </c>
      <c r="Q26" s="2"/>
    </row>
    <row r="27" spans="1:17" x14ac:dyDescent="0.25">
      <c r="B27" s="161">
        <v>43326</v>
      </c>
      <c r="C27" s="10">
        <v>50</v>
      </c>
      <c r="D27" s="39">
        <v>79.98</v>
      </c>
      <c r="E27" s="39">
        <v>84.43</v>
      </c>
      <c r="F27" s="39">
        <f t="shared" si="3"/>
        <v>222.50000000000014</v>
      </c>
      <c r="G27" s="39">
        <f t="shared" si="4"/>
        <v>3999</v>
      </c>
      <c r="H27" s="175">
        <f t="shared" si="5"/>
        <v>5.5638909727431893E-2</v>
      </c>
      <c r="I27" s="39"/>
      <c r="J27" s="39"/>
      <c r="K27" s="39"/>
      <c r="L27" s="152"/>
      <c r="O27" s="78">
        <v>1.06</v>
      </c>
      <c r="P27" s="78">
        <f t="shared" si="2"/>
        <v>88.881</v>
      </c>
      <c r="Q27" s="2"/>
    </row>
    <row r="28" spans="1:17" x14ac:dyDescent="0.25">
      <c r="B28" s="161">
        <v>43329</v>
      </c>
      <c r="C28" s="10">
        <v>50</v>
      </c>
      <c r="D28" s="39">
        <v>79.98</v>
      </c>
      <c r="E28" s="39">
        <v>87.72</v>
      </c>
      <c r="F28" s="39">
        <f t="shared" si="3"/>
        <v>386.99999999999977</v>
      </c>
      <c r="G28" s="39">
        <f t="shared" si="4"/>
        <v>3999</v>
      </c>
      <c r="H28" s="175">
        <f t="shared" si="5"/>
        <v>9.6774193548387025E-2</v>
      </c>
      <c r="I28" s="39"/>
      <c r="J28" s="39"/>
      <c r="K28" s="39">
        <v>13.52</v>
      </c>
      <c r="L28" s="152"/>
      <c r="O28" s="78">
        <v>1.05</v>
      </c>
      <c r="P28" s="78">
        <f t="shared" si="2"/>
        <v>88.042500000000004</v>
      </c>
      <c r="Q28" s="2"/>
    </row>
    <row r="29" spans="1:17" x14ac:dyDescent="0.25">
      <c r="B29" s="161">
        <v>43334</v>
      </c>
      <c r="C29" s="10">
        <v>50</v>
      </c>
      <c r="D29" s="39">
        <v>79.98</v>
      </c>
      <c r="E29" s="39">
        <v>88.15</v>
      </c>
      <c r="F29" s="760">
        <f t="shared" si="3"/>
        <v>408.50000000000011</v>
      </c>
      <c r="G29" s="39">
        <f t="shared" si="4"/>
        <v>3999</v>
      </c>
      <c r="H29" s="175">
        <f t="shared" si="5"/>
        <v>0.10215053763440862</v>
      </c>
      <c r="I29" s="39"/>
      <c r="J29" s="39"/>
      <c r="K29" s="39">
        <v>13.58</v>
      </c>
      <c r="L29" s="152"/>
      <c r="O29" s="78">
        <v>1.04</v>
      </c>
      <c r="P29" s="78">
        <f t="shared" si="2"/>
        <v>87.203999999999994</v>
      </c>
      <c r="Q29" s="2"/>
    </row>
    <row r="30" spans="1:17" x14ac:dyDescent="0.25">
      <c r="B30" s="161">
        <v>43354</v>
      </c>
      <c r="C30" s="10">
        <v>100</v>
      </c>
      <c r="D30" s="39">
        <v>82.14</v>
      </c>
      <c r="E30" s="39">
        <v>84.1</v>
      </c>
      <c r="F30" s="39">
        <f t="shared" si="3"/>
        <v>195.99999999999937</v>
      </c>
      <c r="G30" s="39">
        <f t="shared" si="4"/>
        <v>8214</v>
      </c>
      <c r="H30" s="175">
        <f t="shared" si="5"/>
        <v>2.3861699537375138E-2</v>
      </c>
      <c r="I30" s="39"/>
      <c r="J30" s="39"/>
      <c r="K30" s="39">
        <v>12.96</v>
      </c>
      <c r="L30" s="152"/>
      <c r="O30" s="78">
        <v>1.03</v>
      </c>
      <c r="P30" s="78">
        <f t="shared" si="2"/>
        <v>86.365499999999997</v>
      </c>
      <c r="Q30" s="2"/>
    </row>
    <row r="31" spans="1:17" x14ac:dyDescent="0.25">
      <c r="B31" s="161">
        <v>43355</v>
      </c>
      <c r="C31" s="10">
        <v>100</v>
      </c>
      <c r="D31" s="39">
        <v>82.14</v>
      </c>
      <c r="E31" s="39">
        <v>85.21</v>
      </c>
      <c r="F31" s="39">
        <f t="shared" ref="F31:F36" si="6">C31*(E31-D31)</f>
        <v>306.99999999999932</v>
      </c>
      <c r="G31" s="39">
        <f t="shared" ref="G31:G36" si="7">D31*C31</f>
        <v>8214</v>
      </c>
      <c r="H31" s="175">
        <f t="shared" ref="H31:H61" si="8">(E31-D31)/D31</f>
        <v>3.7375213050888645E-2</v>
      </c>
      <c r="I31" s="39"/>
      <c r="J31" s="39"/>
      <c r="K31" s="39"/>
      <c r="L31" s="152"/>
      <c r="O31" s="78">
        <v>1.02</v>
      </c>
      <c r="P31" s="78">
        <f t="shared" si="2"/>
        <v>85.527000000000001</v>
      </c>
      <c r="Q31" s="2"/>
    </row>
    <row r="32" spans="1:17" x14ac:dyDescent="0.25">
      <c r="B32" s="161">
        <v>43358</v>
      </c>
      <c r="C32" s="10">
        <v>100</v>
      </c>
      <c r="D32" s="39">
        <v>82.14</v>
      </c>
      <c r="E32" s="39">
        <v>85.84</v>
      </c>
      <c r="F32" s="39">
        <f t="shared" si="6"/>
        <v>370.00000000000028</v>
      </c>
      <c r="G32" s="39">
        <f t="shared" si="7"/>
        <v>8214</v>
      </c>
      <c r="H32" s="175">
        <f t="shared" si="8"/>
        <v>4.5045045045045078E-2</v>
      </c>
      <c r="I32" s="39"/>
      <c r="J32" s="39"/>
      <c r="K32" s="39">
        <v>13.23</v>
      </c>
      <c r="L32" s="152"/>
      <c r="O32" s="78">
        <v>1.01</v>
      </c>
      <c r="P32" s="78">
        <f t="shared" si="2"/>
        <v>84.688499999999991</v>
      </c>
      <c r="Q32" s="2"/>
    </row>
    <row r="33" spans="1:17" x14ac:dyDescent="0.25">
      <c r="A33">
        <v>0</v>
      </c>
      <c r="B33" s="161">
        <v>43363</v>
      </c>
      <c r="C33" s="10">
        <v>50</v>
      </c>
      <c r="D33" s="39">
        <v>73.381200000000007</v>
      </c>
      <c r="E33" s="39">
        <v>91.06</v>
      </c>
      <c r="F33" s="760">
        <f t="shared" si="6"/>
        <v>883.93999999999983</v>
      </c>
      <c r="G33" s="39">
        <f t="shared" si="7"/>
        <v>3669.0600000000004</v>
      </c>
      <c r="H33" s="175">
        <f t="shared" si="8"/>
        <v>0.24091729216747607</v>
      </c>
      <c r="I33" s="39">
        <v>72</v>
      </c>
      <c r="J33" s="39"/>
      <c r="K33" s="39">
        <v>14.03</v>
      </c>
      <c r="L33" s="152"/>
      <c r="O33" s="78">
        <v>1</v>
      </c>
      <c r="P33" s="78">
        <f t="shared" si="2"/>
        <v>83.85</v>
      </c>
      <c r="Q33" s="2"/>
    </row>
    <row r="34" spans="1:17" x14ac:dyDescent="0.25">
      <c r="B34" s="161">
        <v>43367</v>
      </c>
      <c r="C34" s="10">
        <v>100</v>
      </c>
      <c r="D34" s="39">
        <v>81.195599999999999</v>
      </c>
      <c r="E34" s="39">
        <v>89.57</v>
      </c>
      <c r="F34" s="39">
        <f t="shared" si="6"/>
        <v>837.43999999999937</v>
      </c>
      <c r="G34" s="39">
        <f t="shared" si="7"/>
        <v>8119.5599999999995</v>
      </c>
      <c r="H34" s="175">
        <f t="shared" si="8"/>
        <v>0.10313859371690084</v>
      </c>
      <c r="I34" s="39"/>
      <c r="J34" s="39"/>
      <c r="K34" s="39">
        <v>13.8</v>
      </c>
      <c r="L34" s="152"/>
      <c r="O34" s="78">
        <v>0.99</v>
      </c>
      <c r="P34" s="78">
        <f t="shared" si="2"/>
        <v>83.011499999999998</v>
      </c>
      <c r="Q34" s="2"/>
    </row>
    <row r="35" spans="1:17" x14ac:dyDescent="0.25">
      <c r="A35">
        <v>0</v>
      </c>
      <c r="B35" s="161">
        <v>43388</v>
      </c>
      <c r="C35" s="10">
        <v>50</v>
      </c>
      <c r="D35" s="39">
        <v>72.102400000000003</v>
      </c>
      <c r="E35" s="39">
        <v>90.29</v>
      </c>
      <c r="F35" s="760">
        <f t="shared" si="6"/>
        <v>909.38000000000011</v>
      </c>
      <c r="G35" s="39">
        <f t="shared" si="7"/>
        <v>3605.1200000000003</v>
      </c>
      <c r="H35" s="175">
        <f t="shared" si="8"/>
        <v>0.25224680454464765</v>
      </c>
      <c r="I35" s="39"/>
      <c r="J35" s="39"/>
      <c r="K35" s="39">
        <v>13.63</v>
      </c>
      <c r="L35" s="152"/>
      <c r="O35" s="78">
        <v>0.98</v>
      </c>
      <c r="P35" s="78">
        <f t="shared" si="2"/>
        <v>82.172999999999988</v>
      </c>
      <c r="Q35" s="2"/>
    </row>
    <row r="36" spans="1:17" x14ac:dyDescent="0.25">
      <c r="A36">
        <v>0</v>
      </c>
      <c r="B36" s="161">
        <v>43397</v>
      </c>
      <c r="C36" s="10">
        <v>100</v>
      </c>
      <c r="D36" s="39">
        <v>79.9512</v>
      </c>
      <c r="E36" s="39">
        <v>84.49</v>
      </c>
      <c r="F36" s="98">
        <f t="shared" si="6"/>
        <v>453.87999999999948</v>
      </c>
      <c r="G36" s="39">
        <f t="shared" si="7"/>
        <v>7995.12</v>
      </c>
      <c r="H36" s="175">
        <f t="shared" si="8"/>
        <v>5.6769629473979059E-2</v>
      </c>
      <c r="I36" s="39"/>
      <c r="J36" s="39"/>
      <c r="K36" s="39">
        <v>13.02</v>
      </c>
      <c r="L36" s="39"/>
      <c r="O36" s="78">
        <v>0.97</v>
      </c>
      <c r="P36" s="78">
        <f t="shared" si="2"/>
        <v>81.334499999999991</v>
      </c>
    </row>
    <row r="37" spans="1:17" x14ac:dyDescent="0.25">
      <c r="A37" s="33">
        <v>0</v>
      </c>
      <c r="B37" s="161">
        <v>43405</v>
      </c>
      <c r="C37" s="10">
        <v>50</v>
      </c>
      <c r="D37" s="39">
        <v>70.023600000000002</v>
      </c>
      <c r="E37" s="39">
        <v>90.92</v>
      </c>
      <c r="F37" s="760">
        <f t="shared" ref="F37:F60" si="9">C37*(E37-D37)</f>
        <v>1044.82</v>
      </c>
      <c r="G37" s="39">
        <f t="shared" ref="G37:G61" si="10">D37*C37</f>
        <v>3501.1800000000003</v>
      </c>
      <c r="H37" s="175">
        <f t="shared" si="8"/>
        <v>0.29841939003421702</v>
      </c>
      <c r="I37" s="39"/>
      <c r="J37" s="39"/>
      <c r="K37" s="39">
        <v>14.01</v>
      </c>
      <c r="L37" s="39"/>
      <c r="O37" s="78">
        <v>0.96</v>
      </c>
      <c r="P37" s="78">
        <f t="shared" si="2"/>
        <v>80.495999999999995</v>
      </c>
    </row>
    <row r="38" spans="1:17" x14ac:dyDescent="0.25">
      <c r="A38">
        <v>50</v>
      </c>
      <c r="B38" s="161">
        <v>43436</v>
      </c>
      <c r="C38" s="10">
        <v>50</v>
      </c>
      <c r="D38" s="39">
        <v>70.02</v>
      </c>
      <c r="E38" s="39">
        <v>88.9</v>
      </c>
      <c r="F38" s="39">
        <f t="shared" si="9"/>
        <v>944.00000000000045</v>
      </c>
      <c r="G38" s="39">
        <f t="shared" si="10"/>
        <v>3501</v>
      </c>
      <c r="H38" s="175">
        <f t="shared" si="8"/>
        <v>0.26963724650099985</v>
      </c>
      <c r="I38" s="39"/>
      <c r="J38" s="39"/>
      <c r="K38" s="39">
        <v>13.7</v>
      </c>
      <c r="L38" s="39"/>
      <c r="O38" s="78">
        <v>0.95</v>
      </c>
      <c r="P38" s="78">
        <f t="shared" si="2"/>
        <v>79.657499999999985</v>
      </c>
    </row>
    <row r="39" spans="1:17" x14ac:dyDescent="0.25">
      <c r="A39">
        <v>50</v>
      </c>
      <c r="B39" s="161">
        <v>43437</v>
      </c>
      <c r="C39" s="10">
        <v>50</v>
      </c>
      <c r="D39" s="39">
        <v>69.623599999999996</v>
      </c>
      <c r="E39" s="39">
        <v>89.02</v>
      </c>
      <c r="F39" s="39">
        <f t="shared" si="9"/>
        <v>969.81999999999994</v>
      </c>
      <c r="G39" s="39">
        <f t="shared" si="10"/>
        <v>3481.18</v>
      </c>
      <c r="H39" s="175">
        <f t="shared" si="8"/>
        <v>0.27858944380928308</v>
      </c>
      <c r="I39" s="39"/>
      <c r="J39" s="39"/>
      <c r="K39" s="39">
        <v>13.72</v>
      </c>
      <c r="L39" s="39"/>
      <c r="O39" s="78">
        <v>0.94</v>
      </c>
      <c r="P39" s="78">
        <f t="shared" si="2"/>
        <v>78.818999999999988</v>
      </c>
    </row>
    <row r="40" spans="1:17" x14ac:dyDescent="0.25">
      <c r="A40">
        <v>50</v>
      </c>
      <c r="B40" s="161">
        <v>43440</v>
      </c>
      <c r="C40" s="10">
        <v>100</v>
      </c>
      <c r="D40" s="39">
        <v>76.951800000000006</v>
      </c>
      <c r="E40" s="39">
        <v>85.98</v>
      </c>
      <c r="F40" s="39">
        <f t="shared" si="9"/>
        <v>902.81999999999982</v>
      </c>
      <c r="G40" s="39">
        <f t="shared" si="10"/>
        <v>7695.18</v>
      </c>
      <c r="H40" s="175">
        <f t="shared" si="8"/>
        <v>0.11732279166959055</v>
      </c>
      <c r="I40" s="39"/>
      <c r="J40" s="39"/>
      <c r="K40" s="39">
        <v>13.25</v>
      </c>
      <c r="L40" s="39"/>
      <c r="O40" s="78">
        <v>0.93</v>
      </c>
      <c r="P40" s="78">
        <f t="shared" si="2"/>
        <v>77.980499999999992</v>
      </c>
    </row>
    <row r="41" spans="1:17" x14ac:dyDescent="0.25">
      <c r="A41">
        <v>50</v>
      </c>
      <c r="B41" s="161">
        <v>43442</v>
      </c>
      <c r="C41" s="10">
        <v>100</v>
      </c>
      <c r="D41" s="39">
        <v>76.95</v>
      </c>
      <c r="E41" s="39">
        <v>84.32</v>
      </c>
      <c r="F41" s="39">
        <f t="shared" si="9"/>
        <v>736.99999999999909</v>
      </c>
      <c r="G41" s="39">
        <f t="shared" si="10"/>
        <v>7695</v>
      </c>
      <c r="H41" s="175">
        <f t="shared" si="8"/>
        <v>9.5776478232618451E-2</v>
      </c>
      <c r="I41" s="39"/>
      <c r="J41" s="39"/>
      <c r="K41" s="39">
        <v>12.99</v>
      </c>
      <c r="L41" s="39"/>
      <c r="O41" s="78">
        <v>0.92</v>
      </c>
      <c r="P41" s="78">
        <f t="shared" si="2"/>
        <v>77.141999999999996</v>
      </c>
    </row>
    <row r="42" spans="1:17" x14ac:dyDescent="0.25">
      <c r="A42">
        <v>100</v>
      </c>
      <c r="B42" s="161">
        <v>43479</v>
      </c>
      <c r="C42" s="10">
        <v>100</v>
      </c>
      <c r="D42" s="39">
        <v>76.951800000000006</v>
      </c>
      <c r="E42" s="39">
        <v>76.86</v>
      </c>
      <c r="F42" s="39">
        <f t="shared" si="9"/>
        <v>-9.1800000000006321</v>
      </c>
      <c r="G42" s="39">
        <f t="shared" si="10"/>
        <v>7695.18</v>
      </c>
      <c r="H42" s="175">
        <f t="shared" si="8"/>
        <v>-1.1929545507708243E-3</v>
      </c>
      <c r="I42" s="39"/>
      <c r="J42" s="39"/>
      <c r="K42" s="39">
        <v>11.84</v>
      </c>
      <c r="L42" s="39"/>
      <c r="O42" s="78">
        <v>0.91</v>
      </c>
      <c r="P42" s="78">
        <f t="shared" si="2"/>
        <v>76.3035</v>
      </c>
    </row>
    <row r="43" spans="1:17" x14ac:dyDescent="0.25">
      <c r="A43">
        <v>100</v>
      </c>
      <c r="B43" s="161">
        <v>43485</v>
      </c>
      <c r="C43" s="10">
        <v>100</v>
      </c>
      <c r="D43" s="39">
        <v>76.95</v>
      </c>
      <c r="E43" s="39">
        <v>79.86</v>
      </c>
      <c r="F43" s="39">
        <f t="shared" si="9"/>
        <v>290.99999999999966</v>
      </c>
      <c r="G43" s="39">
        <f t="shared" si="10"/>
        <v>7695</v>
      </c>
      <c r="H43" s="175">
        <f t="shared" si="8"/>
        <v>3.7816764132553561E-2</v>
      </c>
      <c r="I43" s="39"/>
      <c r="J43" s="39"/>
      <c r="K43" s="39">
        <v>12.31</v>
      </c>
      <c r="L43" s="39"/>
      <c r="O43" s="78">
        <v>0.9</v>
      </c>
      <c r="P43" s="78">
        <f t="shared" si="2"/>
        <v>75.465000000000003</v>
      </c>
    </row>
    <row r="44" spans="1:17" x14ac:dyDescent="0.25">
      <c r="A44">
        <v>50</v>
      </c>
      <c r="B44" s="161">
        <v>43496</v>
      </c>
      <c r="C44" s="10">
        <v>50</v>
      </c>
      <c r="D44" s="39">
        <v>68.104799999999997</v>
      </c>
      <c r="E44" s="39">
        <v>85.8</v>
      </c>
      <c r="F44" s="39">
        <f t="shared" si="9"/>
        <v>884.76</v>
      </c>
      <c r="G44" s="39">
        <f t="shared" si="10"/>
        <v>3405.24</v>
      </c>
      <c r="H44" s="175">
        <f t="shared" si="8"/>
        <v>0.259823096169433</v>
      </c>
      <c r="I44" s="39"/>
      <c r="J44" s="39"/>
      <c r="K44" s="39">
        <v>13.22</v>
      </c>
      <c r="L44" s="39"/>
    </row>
    <row r="45" spans="1:17" x14ac:dyDescent="0.25">
      <c r="A45">
        <v>50</v>
      </c>
      <c r="B45" s="161">
        <v>43496</v>
      </c>
      <c r="C45" s="10">
        <v>100</v>
      </c>
      <c r="D45" s="39">
        <v>74.3</v>
      </c>
      <c r="E45" s="39">
        <v>80.5</v>
      </c>
      <c r="F45" s="39">
        <f t="shared" si="9"/>
        <v>620.00000000000023</v>
      </c>
      <c r="G45" s="39">
        <f t="shared" si="10"/>
        <v>7430</v>
      </c>
      <c r="H45" s="175">
        <f t="shared" si="8"/>
        <v>8.3445491251682408E-2</v>
      </c>
      <c r="I45" s="39"/>
      <c r="J45" s="39"/>
      <c r="K45" s="39"/>
      <c r="L45" s="39"/>
    </row>
    <row r="46" spans="1:17" x14ac:dyDescent="0.25">
      <c r="A46">
        <v>50</v>
      </c>
      <c r="B46" s="161">
        <v>43498</v>
      </c>
      <c r="C46" s="10">
        <v>100</v>
      </c>
      <c r="D46" s="39">
        <v>74.3</v>
      </c>
      <c r="E46" s="39">
        <v>83.76</v>
      </c>
      <c r="F46" s="39">
        <f t="shared" si="9"/>
        <v>946.0000000000008</v>
      </c>
      <c r="G46" s="39">
        <f t="shared" si="10"/>
        <v>7430</v>
      </c>
      <c r="H46" s="175">
        <f t="shared" si="8"/>
        <v>0.12732166890982516</v>
      </c>
      <c r="I46" s="39"/>
      <c r="J46" s="39"/>
      <c r="K46" s="39">
        <v>12.91</v>
      </c>
      <c r="L46" s="39"/>
    </row>
    <row r="47" spans="1:17" x14ac:dyDescent="0.25">
      <c r="A47">
        <v>50</v>
      </c>
      <c r="B47" s="161">
        <v>43513</v>
      </c>
      <c r="C47" s="10">
        <v>100</v>
      </c>
      <c r="D47" s="39">
        <v>74.304199999999994</v>
      </c>
      <c r="E47" s="39">
        <v>86.66</v>
      </c>
      <c r="F47" s="760">
        <f t="shared" si="9"/>
        <v>1235.5800000000002</v>
      </c>
      <c r="G47" s="39">
        <f t="shared" si="10"/>
        <v>7430.4199999999992</v>
      </c>
      <c r="H47" s="175">
        <f t="shared" si="8"/>
        <v>0.16628669711806335</v>
      </c>
      <c r="I47" s="39"/>
      <c r="J47" s="39"/>
      <c r="K47" s="39">
        <v>13.35</v>
      </c>
      <c r="L47" s="39"/>
    </row>
    <row r="48" spans="1:17" x14ac:dyDescent="0.25">
      <c r="A48">
        <v>0</v>
      </c>
      <c r="B48" s="161">
        <v>43516</v>
      </c>
      <c r="C48" s="10">
        <v>50</v>
      </c>
      <c r="D48" s="39">
        <v>61.996000000000002</v>
      </c>
      <c r="E48" s="39">
        <v>86.61</v>
      </c>
      <c r="F48" s="39">
        <f t="shared" si="9"/>
        <v>1230.6999999999998</v>
      </c>
      <c r="G48" s="39">
        <f t="shared" si="10"/>
        <v>3099.8</v>
      </c>
      <c r="H48" s="175">
        <f t="shared" si="8"/>
        <v>0.39702561455577773</v>
      </c>
      <c r="I48" s="39"/>
      <c r="J48" s="39"/>
      <c r="K48" s="39">
        <v>13.35</v>
      </c>
      <c r="L48" s="39"/>
    </row>
    <row r="49" spans="1:12" x14ac:dyDescent="0.25">
      <c r="A49">
        <v>50</v>
      </c>
      <c r="B49" s="161">
        <v>43528</v>
      </c>
      <c r="C49" s="10">
        <v>50</v>
      </c>
      <c r="D49" s="39">
        <v>61.195999999999998</v>
      </c>
      <c r="E49" s="39">
        <v>80.48</v>
      </c>
      <c r="F49" s="39">
        <f t="shared" si="9"/>
        <v>964.20000000000027</v>
      </c>
      <c r="G49" s="39">
        <f t="shared" si="10"/>
        <v>3059.7999999999997</v>
      </c>
      <c r="H49" s="175">
        <f t="shared" si="8"/>
        <v>0.31511863520491545</v>
      </c>
      <c r="I49" s="39"/>
      <c r="J49" s="39"/>
      <c r="K49" s="39">
        <v>12.4</v>
      </c>
      <c r="L49" s="39"/>
    </row>
    <row r="50" spans="1:12" x14ac:dyDescent="0.25">
      <c r="A50">
        <v>50</v>
      </c>
      <c r="B50" s="161">
        <v>43531</v>
      </c>
      <c r="C50" s="7">
        <v>150</v>
      </c>
      <c r="D50" s="43">
        <v>71.198700000000002</v>
      </c>
      <c r="E50" s="39">
        <v>76.33</v>
      </c>
      <c r="F50" s="39">
        <f t="shared" si="9"/>
        <v>769.69499999999937</v>
      </c>
      <c r="G50" s="39">
        <f t="shared" si="10"/>
        <v>10679.805</v>
      </c>
      <c r="H50" s="175">
        <f t="shared" si="8"/>
        <v>7.2070136112035693E-2</v>
      </c>
      <c r="I50" s="39"/>
      <c r="J50" s="39"/>
      <c r="K50" s="39">
        <v>11.76</v>
      </c>
      <c r="L50" s="39"/>
    </row>
    <row r="51" spans="1:12" x14ac:dyDescent="0.25">
      <c r="A51">
        <v>50</v>
      </c>
      <c r="B51" s="161">
        <v>43535</v>
      </c>
      <c r="C51" s="10">
        <v>150</v>
      </c>
      <c r="D51" s="39">
        <v>71.2</v>
      </c>
      <c r="E51" s="39">
        <v>77.95</v>
      </c>
      <c r="F51" s="39">
        <f t="shared" si="9"/>
        <v>1012.5</v>
      </c>
      <c r="G51" s="39">
        <f t="shared" si="10"/>
        <v>10680</v>
      </c>
      <c r="H51" s="175">
        <f t="shared" si="8"/>
        <v>9.480337078651685E-2</v>
      </c>
      <c r="I51" s="39"/>
      <c r="J51" s="39"/>
      <c r="K51" s="39">
        <v>12.01</v>
      </c>
      <c r="L51" s="39"/>
    </row>
    <row r="52" spans="1:12" x14ac:dyDescent="0.25">
      <c r="A52">
        <v>0</v>
      </c>
      <c r="B52" s="161">
        <v>43539</v>
      </c>
      <c r="C52" s="10">
        <v>100</v>
      </c>
      <c r="D52" s="39">
        <v>66.56</v>
      </c>
      <c r="E52" s="39">
        <v>80.48</v>
      </c>
      <c r="F52" s="760">
        <f t="shared" si="9"/>
        <v>1392.0000000000002</v>
      </c>
      <c r="G52" s="39">
        <f t="shared" si="10"/>
        <v>6656</v>
      </c>
      <c r="H52" s="175">
        <f t="shared" si="8"/>
        <v>0.20913461538461539</v>
      </c>
      <c r="I52" s="39"/>
      <c r="J52" s="39"/>
      <c r="K52" s="39">
        <v>12.25</v>
      </c>
      <c r="L52" s="39"/>
    </row>
    <row r="53" spans="1:12" x14ac:dyDescent="0.25">
      <c r="A53">
        <v>0</v>
      </c>
      <c r="B53" s="161">
        <v>43549</v>
      </c>
      <c r="C53" s="7">
        <v>150</v>
      </c>
      <c r="D53" s="43">
        <v>69.998999999999995</v>
      </c>
      <c r="E53" s="39">
        <v>77.099999999999994</v>
      </c>
      <c r="F53" s="39">
        <f t="shared" si="9"/>
        <v>1065.1499999999999</v>
      </c>
      <c r="G53" s="39">
        <f t="shared" si="10"/>
        <v>10499.849999999999</v>
      </c>
      <c r="H53" s="175">
        <f t="shared" si="8"/>
        <v>0.10144430634723353</v>
      </c>
      <c r="I53" s="39"/>
      <c r="J53" s="39"/>
      <c r="K53" s="39">
        <v>11.88</v>
      </c>
      <c r="L53" s="39"/>
    </row>
    <row r="54" spans="1:12" x14ac:dyDescent="0.25">
      <c r="A54" s="4">
        <v>0</v>
      </c>
      <c r="B54" s="161">
        <v>43555</v>
      </c>
      <c r="C54" s="10">
        <v>150</v>
      </c>
      <c r="D54" s="39">
        <v>70</v>
      </c>
      <c r="E54" s="39">
        <v>77.89</v>
      </c>
      <c r="F54" s="39">
        <f t="shared" si="9"/>
        <v>1183.5</v>
      </c>
      <c r="G54" s="39">
        <f t="shared" si="10"/>
        <v>10500</v>
      </c>
      <c r="H54" s="175">
        <f t="shared" si="8"/>
        <v>0.11271428571428573</v>
      </c>
      <c r="I54" s="39"/>
      <c r="J54" s="39"/>
      <c r="K54" s="39">
        <v>12</v>
      </c>
      <c r="L54" s="39"/>
    </row>
    <row r="55" spans="1:12" x14ac:dyDescent="0.25">
      <c r="A55" s="4">
        <v>100</v>
      </c>
      <c r="B55" s="161">
        <v>43566</v>
      </c>
      <c r="C55" s="10">
        <v>200</v>
      </c>
      <c r="D55" s="39">
        <v>70.894300000000001</v>
      </c>
      <c r="E55" s="39">
        <v>74.180000000000007</v>
      </c>
      <c r="F55" s="39">
        <f t="shared" si="9"/>
        <v>657.14000000000112</v>
      </c>
      <c r="G55" s="39">
        <f t="shared" si="10"/>
        <v>14178.86</v>
      </c>
      <c r="H55" s="175">
        <f t="shared" si="8"/>
        <v>4.6346462268475823E-2</v>
      </c>
      <c r="I55" s="39"/>
      <c r="J55" s="39"/>
      <c r="K55" s="39">
        <v>11.43</v>
      </c>
      <c r="L55" s="39"/>
    </row>
    <row r="56" spans="1:12" x14ac:dyDescent="0.25">
      <c r="A56" s="4">
        <v>100</v>
      </c>
      <c r="B56" s="161">
        <v>43572</v>
      </c>
      <c r="C56" s="10">
        <v>300</v>
      </c>
      <c r="D56" s="39">
        <v>71.202799999999996</v>
      </c>
      <c r="E56" s="39">
        <v>72.3</v>
      </c>
      <c r="F56" s="39">
        <f t="shared" si="9"/>
        <v>329.16000000000025</v>
      </c>
      <c r="G56" s="39">
        <f t="shared" si="10"/>
        <v>21360.84</v>
      </c>
      <c r="H56" s="175">
        <f t="shared" si="8"/>
        <v>1.5409506367727125E-2</v>
      </c>
      <c r="I56" s="39"/>
      <c r="J56" s="39"/>
      <c r="K56" s="39">
        <v>11.14</v>
      </c>
      <c r="L56" s="39"/>
    </row>
    <row r="57" spans="1:12" x14ac:dyDescent="0.25">
      <c r="A57" s="4">
        <v>50</v>
      </c>
      <c r="B57" s="161">
        <v>43579</v>
      </c>
      <c r="C57" s="10">
        <v>200</v>
      </c>
      <c r="D57" s="39">
        <v>69.594999999999999</v>
      </c>
      <c r="E57" s="39">
        <v>74.09</v>
      </c>
      <c r="F57" s="39">
        <f t="shared" si="9"/>
        <v>899.00000000000091</v>
      </c>
      <c r="G57" s="39">
        <f t="shared" si="10"/>
        <v>13919</v>
      </c>
      <c r="H57" s="175">
        <f t="shared" si="8"/>
        <v>6.4587973273942154E-2</v>
      </c>
      <c r="I57" s="39"/>
      <c r="J57" s="39"/>
      <c r="K57" s="39">
        <v>11.42</v>
      </c>
      <c r="L57" s="39"/>
    </row>
    <row r="58" spans="1:12" x14ac:dyDescent="0.25">
      <c r="A58" s="4">
        <v>0</v>
      </c>
      <c r="B58" s="161">
        <v>43587</v>
      </c>
      <c r="C58" s="7">
        <v>150</v>
      </c>
      <c r="D58" s="43">
        <v>67.127200000000002</v>
      </c>
      <c r="E58" s="39">
        <v>77.06</v>
      </c>
      <c r="F58" s="760">
        <f t="shared" si="9"/>
        <v>1489.92</v>
      </c>
      <c r="G58" s="39">
        <f t="shared" si="10"/>
        <v>10069.08</v>
      </c>
      <c r="H58" s="175">
        <f t="shared" si="8"/>
        <v>0.14796982445268089</v>
      </c>
      <c r="I58" s="39"/>
      <c r="J58" s="39"/>
      <c r="K58" s="39">
        <v>11.87</v>
      </c>
      <c r="L58" s="39"/>
    </row>
    <row r="59" spans="1:12" x14ac:dyDescent="0.25">
      <c r="A59" s="4">
        <v>100</v>
      </c>
      <c r="B59" s="161">
        <v>43606</v>
      </c>
      <c r="C59" s="10">
        <v>100</v>
      </c>
      <c r="D59" s="39">
        <v>60.4</v>
      </c>
      <c r="E59" s="39">
        <v>80.569999999999993</v>
      </c>
      <c r="F59" s="760">
        <f t="shared" si="9"/>
        <v>2016.9999999999995</v>
      </c>
      <c r="G59" s="39">
        <f t="shared" si="10"/>
        <v>6040</v>
      </c>
      <c r="H59" s="175">
        <f t="shared" si="8"/>
        <v>0.33394039735099329</v>
      </c>
      <c r="I59" s="39"/>
      <c r="J59" s="39"/>
      <c r="K59" s="39"/>
      <c r="L59" s="39"/>
    </row>
    <row r="60" spans="1:12" x14ac:dyDescent="0.25">
      <c r="A60" s="4">
        <v>100</v>
      </c>
      <c r="B60" s="161">
        <v>43614</v>
      </c>
      <c r="C60" s="10">
        <v>100</v>
      </c>
      <c r="D60" s="39">
        <v>60.4</v>
      </c>
      <c r="E60" s="39">
        <v>78.349999999999994</v>
      </c>
      <c r="F60" s="39">
        <f t="shared" si="9"/>
        <v>1794.9999999999995</v>
      </c>
      <c r="G60" s="39">
        <f t="shared" si="10"/>
        <v>6040</v>
      </c>
      <c r="H60" s="175">
        <f t="shared" si="8"/>
        <v>0.29718543046357609</v>
      </c>
      <c r="I60" s="39"/>
      <c r="J60" s="39"/>
      <c r="K60" s="39">
        <v>12.07</v>
      </c>
      <c r="L60" s="39"/>
    </row>
    <row r="61" spans="1:12" x14ac:dyDescent="0.25">
      <c r="A61" s="4"/>
      <c r="B61" s="161">
        <v>43619</v>
      </c>
      <c r="C61" s="10">
        <v>0</v>
      </c>
      <c r="D61" s="39">
        <v>60.4</v>
      </c>
      <c r="E61" s="39">
        <v>80.37</v>
      </c>
      <c r="F61" s="39">
        <v>1957.7</v>
      </c>
      <c r="G61" s="39">
        <f t="shared" si="10"/>
        <v>0</v>
      </c>
      <c r="H61" s="175">
        <f t="shared" si="8"/>
        <v>0.3306291390728478</v>
      </c>
      <c r="I61" s="39"/>
      <c r="J61" s="39"/>
      <c r="K61" s="39"/>
      <c r="L61" s="39"/>
    </row>
    <row r="62" spans="1:12" x14ac:dyDescent="0.25">
      <c r="B62" s="161"/>
      <c r="C62" s="10"/>
      <c r="D62" s="39"/>
      <c r="E62" s="39"/>
      <c r="F62" s="39"/>
      <c r="G62" s="39"/>
      <c r="H62" s="175"/>
      <c r="I62" s="39"/>
      <c r="J62" s="39"/>
      <c r="K62" s="39"/>
      <c r="L62" s="39"/>
    </row>
    <row r="63" spans="1:12" x14ac:dyDescent="0.25">
      <c r="A63" s="4"/>
      <c r="B63" s="161"/>
      <c r="C63" s="10"/>
      <c r="D63" s="39"/>
      <c r="E63" s="39"/>
      <c r="F63" s="39"/>
      <c r="G63" s="39"/>
      <c r="H63" s="175"/>
      <c r="I63" s="39"/>
      <c r="J63" s="39"/>
      <c r="K63" s="39"/>
      <c r="L63" s="39"/>
    </row>
    <row r="64" spans="1:12" x14ac:dyDescent="0.25">
      <c r="A64" s="4"/>
      <c r="B64" s="161"/>
      <c r="C64" s="10"/>
      <c r="D64" s="39"/>
      <c r="E64" s="39"/>
      <c r="F64" s="39"/>
      <c r="G64" s="39"/>
      <c r="H64" s="175"/>
      <c r="I64" s="39"/>
      <c r="J64" s="39"/>
      <c r="K64" s="39"/>
      <c r="L64" s="39"/>
    </row>
    <row r="65" spans="1:13" x14ac:dyDescent="0.25">
      <c r="A65" s="4"/>
      <c r="B65" s="161"/>
      <c r="C65" s="10"/>
      <c r="D65" s="39"/>
      <c r="E65" s="39"/>
      <c r="F65" s="39"/>
      <c r="G65" s="39"/>
      <c r="H65" s="175"/>
      <c r="I65" s="39"/>
      <c r="J65" s="39"/>
      <c r="K65" s="39"/>
      <c r="L65" s="39"/>
    </row>
    <row r="66" spans="1:13" x14ac:dyDescent="0.25">
      <c r="B66" s="161"/>
      <c r="C66" s="10"/>
      <c r="D66" s="39"/>
      <c r="E66" s="39"/>
      <c r="F66" s="39"/>
      <c r="G66" s="39"/>
      <c r="H66" s="175"/>
      <c r="I66" s="39"/>
      <c r="J66" s="39"/>
      <c r="K66" s="39"/>
      <c r="L66" s="39"/>
    </row>
    <row r="67" spans="1:13" x14ac:dyDescent="0.25">
      <c r="A67" s="4"/>
      <c r="B67" s="161"/>
      <c r="C67" s="10"/>
      <c r="D67" s="39"/>
      <c r="E67" s="39"/>
      <c r="F67" s="39"/>
      <c r="G67" s="39"/>
      <c r="H67" s="175"/>
      <c r="I67" s="39"/>
      <c r="J67" s="39"/>
      <c r="K67" s="39"/>
      <c r="L67" s="39"/>
    </row>
    <row r="68" spans="1:13" x14ac:dyDescent="0.25">
      <c r="A68" s="4"/>
      <c r="B68" s="4"/>
      <c r="C68" s="4"/>
      <c r="D68" s="3"/>
      <c r="E68" s="3"/>
      <c r="F68" s="3"/>
      <c r="G68" s="4"/>
      <c r="H68" s="4"/>
      <c r="I68" s="3"/>
      <c r="J68" s="3"/>
      <c r="K68" s="3"/>
      <c r="L68" s="4"/>
    </row>
    <row r="69" spans="1:13" x14ac:dyDescent="0.25">
      <c r="A69" s="4"/>
      <c r="B69" s="4"/>
      <c r="C69" s="4"/>
      <c r="D69" s="3"/>
      <c r="E69" s="3"/>
      <c r="F69" s="3"/>
      <c r="G69" s="4"/>
      <c r="H69" s="4"/>
      <c r="I69" s="3"/>
      <c r="J69" s="3"/>
      <c r="K69" s="3"/>
      <c r="L69" s="4"/>
    </row>
    <row r="70" spans="1:13" x14ac:dyDescent="0.25">
      <c r="A70" s="478"/>
      <c r="B70" s="478"/>
      <c r="C70" s="478"/>
      <c r="D70" s="479"/>
      <c r="E70" s="479"/>
      <c r="F70" s="479"/>
      <c r="G70" s="478"/>
      <c r="H70" s="478"/>
      <c r="I70" s="479"/>
      <c r="J70" s="479"/>
      <c r="K70" s="479"/>
      <c r="L70" s="478" t="s">
        <v>65</v>
      </c>
      <c r="M70" s="479">
        <f>M88+K88-F88</f>
        <v>0</v>
      </c>
    </row>
    <row r="71" spans="1:13" x14ac:dyDescent="0.25">
      <c r="A71" s="597" t="s">
        <v>1</v>
      </c>
      <c r="B71" s="597" t="s">
        <v>2</v>
      </c>
      <c r="C71" s="597" t="s">
        <v>4</v>
      </c>
      <c r="D71" s="598" t="s">
        <v>5</v>
      </c>
      <c r="E71" s="598" t="s">
        <v>94</v>
      </c>
      <c r="F71" s="598" t="s">
        <v>60</v>
      </c>
      <c r="G71" s="597" t="s">
        <v>3</v>
      </c>
      <c r="H71" s="597" t="s">
        <v>6</v>
      </c>
      <c r="I71" s="598" t="s">
        <v>7</v>
      </c>
      <c r="J71" s="598" t="s">
        <v>95</v>
      </c>
      <c r="K71" s="598" t="s">
        <v>61</v>
      </c>
      <c r="L71" s="597" t="s">
        <v>37</v>
      </c>
      <c r="M71" s="597" t="s">
        <v>38</v>
      </c>
    </row>
    <row r="72" spans="1:13" x14ac:dyDescent="0.25">
      <c r="A72" s="599" t="s">
        <v>1149</v>
      </c>
      <c r="B72" s="481"/>
      <c r="C72" s="478"/>
      <c r="D72" s="479"/>
      <c r="E72" s="479"/>
      <c r="F72" s="479"/>
      <c r="G72" s="481"/>
      <c r="H72" s="478"/>
      <c r="I72" s="479"/>
      <c r="J72" s="479"/>
      <c r="K72" s="479"/>
      <c r="L72" s="481"/>
      <c r="M72" s="479"/>
    </row>
    <row r="73" spans="1:13" x14ac:dyDescent="0.25">
      <c r="A73" s="600"/>
      <c r="B73" s="481"/>
      <c r="C73" s="478"/>
      <c r="D73" s="479"/>
      <c r="E73" s="479"/>
      <c r="F73" s="479"/>
      <c r="G73" s="481"/>
      <c r="H73" s="480"/>
      <c r="I73" s="479"/>
      <c r="J73" s="479"/>
      <c r="K73" s="479"/>
      <c r="L73" s="478"/>
      <c r="M73" s="478"/>
    </row>
    <row r="74" spans="1:13" x14ac:dyDescent="0.25">
      <c r="A74" s="478"/>
      <c r="B74" s="481"/>
      <c r="C74" s="478"/>
      <c r="D74" s="479"/>
      <c r="E74" s="479"/>
      <c r="F74" s="479"/>
      <c r="G74" s="481"/>
      <c r="H74" s="480"/>
      <c r="I74" s="479"/>
      <c r="J74" s="479"/>
      <c r="K74" s="479"/>
      <c r="L74" s="478"/>
      <c r="M74" s="478"/>
    </row>
    <row r="75" spans="1:13" x14ac:dyDescent="0.25">
      <c r="A75" s="478"/>
      <c r="B75" s="481"/>
      <c r="C75" s="478"/>
      <c r="D75" s="479"/>
      <c r="E75" s="479"/>
      <c r="F75" s="479"/>
      <c r="G75" s="478"/>
      <c r="H75" s="480"/>
      <c r="I75" s="479"/>
      <c r="J75" s="479"/>
      <c r="K75" s="479"/>
      <c r="L75" s="478"/>
      <c r="M75" s="478"/>
    </row>
    <row r="76" spans="1:13" x14ac:dyDescent="0.25">
      <c r="A76" s="478"/>
      <c r="B76" s="481"/>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80"/>
      <c r="I83" s="479"/>
      <c r="J83" s="479"/>
      <c r="K83" s="479"/>
      <c r="L83" s="478"/>
      <c r="M83" s="478"/>
    </row>
    <row r="84" spans="1:13" x14ac:dyDescent="0.25">
      <c r="A84" s="478"/>
      <c r="B84" s="478"/>
      <c r="C84" s="478"/>
      <c r="D84" s="479"/>
      <c r="E84" s="479"/>
      <c r="F84" s="479"/>
      <c r="G84" s="478"/>
      <c r="H84" s="480"/>
      <c r="I84" s="479"/>
      <c r="J84" s="479"/>
      <c r="K84" s="479"/>
      <c r="L84" s="478"/>
      <c r="M84" s="478"/>
    </row>
    <row r="85" spans="1:13" x14ac:dyDescent="0.25">
      <c r="A85" s="478"/>
      <c r="B85" s="478"/>
      <c r="C85" s="478"/>
      <c r="D85" s="479"/>
      <c r="E85" s="479"/>
      <c r="F85" s="479"/>
      <c r="G85" s="478"/>
      <c r="H85" s="480"/>
      <c r="I85" s="479"/>
      <c r="J85" s="479"/>
      <c r="K85" s="479"/>
      <c r="L85" s="478"/>
      <c r="M85" s="478"/>
    </row>
    <row r="86" spans="1:13" x14ac:dyDescent="0.25">
      <c r="A86" s="478"/>
      <c r="B86" s="478"/>
      <c r="C86" s="478"/>
      <c r="D86" s="479"/>
      <c r="E86" s="479"/>
      <c r="F86" s="479"/>
      <c r="G86" s="478"/>
      <c r="H86" s="480"/>
      <c r="I86" s="479"/>
      <c r="J86" s="479"/>
      <c r="K86" s="479"/>
      <c r="L86" s="478"/>
      <c r="M86" s="478"/>
    </row>
    <row r="87" spans="1:13" x14ac:dyDescent="0.25">
      <c r="A87" s="478"/>
      <c r="B87" s="478"/>
      <c r="C87" s="478"/>
      <c r="D87" s="479"/>
      <c r="E87" s="479"/>
      <c r="F87" s="479"/>
      <c r="G87" s="478"/>
      <c r="H87" s="478"/>
      <c r="I87" s="479"/>
      <c r="J87" s="479"/>
      <c r="K87" s="479"/>
      <c r="L87" s="478"/>
      <c r="M87" s="478"/>
    </row>
    <row r="88" spans="1:13" x14ac:dyDescent="0.25">
      <c r="A88" s="601" t="s">
        <v>81</v>
      </c>
      <c r="B88" s="602"/>
      <c r="C88" s="602">
        <f>SUM(C72:C76)</f>
        <v>0</v>
      </c>
      <c r="D88" s="603"/>
      <c r="E88" s="603"/>
      <c r="F88" s="603">
        <f>SUM(F72:F76)</f>
        <v>0</v>
      </c>
      <c r="G88" s="602"/>
      <c r="H88" s="604">
        <f>SUM(H72:H75)</f>
        <v>0</v>
      </c>
      <c r="I88" s="603"/>
      <c r="J88" s="603"/>
      <c r="K88" s="603">
        <f>SUM(K72:K75)</f>
        <v>0</v>
      </c>
      <c r="L88" s="602"/>
      <c r="M88" s="603">
        <f>SUM(M72:M80)</f>
        <v>0</v>
      </c>
    </row>
    <row r="89" spans="1:13" ht="15.75" thickBot="1" x14ac:dyDescent="0.3">
      <c r="A89" s="605" t="s">
        <v>189</v>
      </c>
      <c r="B89" s="637"/>
      <c r="C89" s="606">
        <f>SumByColor($A$19,C72:C87)</f>
        <v>0</v>
      </c>
      <c r="D89" s="606"/>
      <c r="E89" s="606"/>
      <c r="F89" s="607">
        <f>SumByColor($A$19,F72:F87)</f>
        <v>0</v>
      </c>
      <c r="G89" s="606"/>
      <c r="H89" s="606">
        <f>SumByColor($A$19,H72:H87)</f>
        <v>0</v>
      </c>
      <c r="I89" s="606"/>
      <c r="J89" s="606"/>
      <c r="K89" s="607">
        <f>SumByColor($A$19,K73:K87)</f>
        <v>0</v>
      </c>
      <c r="L89" s="606"/>
      <c r="M89" s="607">
        <f>SumByColor($A$19,M72:M87)</f>
        <v>0</v>
      </c>
    </row>
    <row r="92" spans="1:13" x14ac:dyDescent="0.25">
      <c r="B92" s="159" t="s">
        <v>113</v>
      </c>
      <c r="C92" s="159" t="s">
        <v>143</v>
      </c>
      <c r="D92" s="160" t="s">
        <v>142</v>
      </c>
      <c r="E92" s="162" t="s">
        <v>144</v>
      </c>
      <c r="F92" s="162" t="s">
        <v>65</v>
      </c>
      <c r="G92" s="173" t="s">
        <v>148</v>
      </c>
      <c r="H92" s="173" t="s">
        <v>88</v>
      </c>
      <c r="I92" s="173" t="s">
        <v>151</v>
      </c>
      <c r="J92" s="173" t="s">
        <v>147</v>
      </c>
      <c r="K92" s="173" t="s">
        <v>601</v>
      </c>
      <c r="L92" s="173" t="s">
        <v>607</v>
      </c>
    </row>
    <row r="93" spans="1:13" x14ac:dyDescent="0.25">
      <c r="B93" s="161"/>
      <c r="C93" s="10"/>
      <c r="D93" s="39"/>
      <c r="E93" s="39"/>
      <c r="F93" s="39"/>
      <c r="G93" s="39"/>
      <c r="H93" s="175"/>
      <c r="I93" s="39"/>
      <c r="J93" s="39"/>
      <c r="K93" s="39"/>
      <c r="L93" s="39"/>
    </row>
    <row r="94" spans="1:13" x14ac:dyDescent="0.25">
      <c r="B94" s="161"/>
      <c r="C94" s="10"/>
      <c r="D94" s="39"/>
      <c r="E94" s="39"/>
      <c r="F94" s="39"/>
      <c r="G94" s="39"/>
      <c r="H94" s="175"/>
      <c r="I94" s="39"/>
      <c r="J94" s="39"/>
      <c r="K94" s="39"/>
      <c r="L94" s="39"/>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152"/>
    </row>
    <row r="101" spans="2:12" x14ac:dyDescent="0.25">
      <c r="B101" s="161"/>
      <c r="C101" s="10"/>
      <c r="D101" s="39"/>
      <c r="E101" s="39"/>
      <c r="F101" s="39"/>
      <c r="G101" s="39"/>
      <c r="H101" s="175"/>
      <c r="I101" s="39"/>
      <c r="J101" s="39"/>
      <c r="K101" s="39"/>
      <c r="L101" s="152"/>
    </row>
    <row r="102" spans="2:12" x14ac:dyDescent="0.25">
      <c r="B102" s="161"/>
      <c r="C102" s="10"/>
      <c r="D102" s="39"/>
      <c r="E102" s="39"/>
      <c r="F102" s="39"/>
      <c r="G102" s="39"/>
      <c r="H102" s="175"/>
      <c r="I102" s="39"/>
      <c r="J102" s="39"/>
      <c r="K102" s="39"/>
      <c r="L102" s="152"/>
    </row>
    <row r="103" spans="2:12" x14ac:dyDescent="0.25">
      <c r="B103" s="161"/>
      <c r="C103" s="10"/>
      <c r="D103" s="39"/>
      <c r="E103" s="39"/>
      <c r="F103" s="39"/>
      <c r="G103" s="39"/>
      <c r="H103" s="175"/>
      <c r="I103" s="39"/>
      <c r="J103" s="39"/>
      <c r="K103" s="39"/>
      <c r="L103" s="152"/>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row r="111" spans="2:12" x14ac:dyDescent="0.25">
      <c r="B111" s="161"/>
      <c r="C111" s="10"/>
      <c r="D111" s="39"/>
      <c r="E111" s="39"/>
      <c r="F111" s="39"/>
      <c r="G111" s="39"/>
      <c r="H111" s="175"/>
      <c r="I111" s="39"/>
      <c r="J111" s="39"/>
      <c r="K111" s="39"/>
      <c r="L111" s="39"/>
    </row>
    <row r="112" spans="2:12" x14ac:dyDescent="0.25">
      <c r="B112" s="161"/>
      <c r="C112" s="10"/>
      <c r="D112" s="39"/>
      <c r="E112" s="39"/>
      <c r="F112" s="39"/>
      <c r="G112" s="39"/>
      <c r="H112" s="175"/>
      <c r="I112" s="39"/>
      <c r="J112" s="39"/>
      <c r="K112" s="39"/>
      <c r="L112" s="39"/>
    </row>
    <row r="113" spans="2:12" x14ac:dyDescent="0.25">
      <c r="B113" s="161"/>
      <c r="C113" s="10"/>
      <c r="D113" s="39"/>
      <c r="E113" s="39"/>
      <c r="F113" s="39"/>
      <c r="G113" s="39"/>
      <c r="H113" s="175"/>
      <c r="I113" s="39"/>
      <c r="J113" s="39"/>
      <c r="K113" s="39"/>
      <c r="L113" s="39"/>
    </row>
    <row r="114" spans="2:12" x14ac:dyDescent="0.25">
      <c r="B114" s="161"/>
      <c r="C114" s="10"/>
      <c r="D114" s="39"/>
      <c r="E114" s="39"/>
      <c r="F114" s="39"/>
      <c r="G114" s="39"/>
      <c r="H114" s="175"/>
      <c r="I114" s="39"/>
      <c r="J114" s="39"/>
      <c r="K114" s="39"/>
      <c r="L114" s="39"/>
    </row>
  </sheetData>
  <conditionalFormatting sqref="O23:O43">
    <cfRule type="colorScale" priority="36">
      <colorScale>
        <cfvo type="min"/>
        <cfvo type="percentile" val="50"/>
        <cfvo type="max"/>
        <color rgb="FFF8696B"/>
        <color rgb="FFFFEB84"/>
        <color rgb="FF63BE7B"/>
      </colorScale>
    </cfRule>
  </conditionalFormatting>
  <conditionalFormatting sqref="P23:P43">
    <cfRule type="colorScale" priority="35">
      <colorScale>
        <cfvo type="min"/>
        <cfvo type="percentile" val="50"/>
        <cfvo type="max"/>
        <color rgb="FFF8696B"/>
        <color rgb="FFFFEB84"/>
        <color rgb="FF63BE7B"/>
      </colorScale>
    </cfRule>
  </conditionalFormatting>
  <conditionalFormatting sqref="Q7 F33:F59 H33:H59 H64:H67 F64:F67">
    <cfRule type="expression" dxfId="4191" priority="31">
      <formula>F7&gt;0</formula>
    </cfRule>
    <cfRule type="expression" dxfId="4190" priority="32">
      <formula>F7&lt;0</formula>
    </cfRule>
  </conditionalFormatting>
  <conditionalFormatting sqref="Q8">
    <cfRule type="expression" dxfId="4189" priority="29">
      <formula>Q8&gt;0</formula>
    </cfRule>
    <cfRule type="expression" dxfId="4188" priority="30">
      <formula>Q8&lt;0</formula>
    </cfRule>
  </conditionalFormatting>
  <conditionalFormatting sqref="Q10">
    <cfRule type="expression" dxfId="4187" priority="23">
      <formula>Q10&gt;0</formula>
    </cfRule>
    <cfRule type="expression" dxfId="4186" priority="24">
      <formula>Q10&lt;0</formula>
    </cfRule>
  </conditionalFormatting>
  <conditionalFormatting sqref="J25:J38">
    <cfRule type="expression" dxfId="4185" priority="21">
      <formula>J25&gt;0</formula>
    </cfRule>
    <cfRule type="expression" dxfId="4184" priority="22">
      <formula>J25&lt;0</formula>
    </cfRule>
  </conditionalFormatting>
  <conditionalFormatting sqref="L25:L38">
    <cfRule type="expression" dxfId="4183" priority="17">
      <formula>L25&gt;0</formula>
    </cfRule>
    <cfRule type="expression" dxfId="4182" priority="18">
      <formula>L25&lt;0</formula>
    </cfRule>
  </conditionalFormatting>
  <conditionalFormatting sqref="F93:F114">
    <cfRule type="expression" dxfId="4181" priority="15">
      <formula>F93&gt;0</formula>
    </cfRule>
    <cfRule type="expression" dxfId="4180" priority="16">
      <formula>F93&lt;0</formula>
    </cfRule>
  </conditionalFormatting>
  <conditionalFormatting sqref="H93:H114">
    <cfRule type="expression" dxfId="4179" priority="13">
      <formula>H93&gt;0</formula>
    </cfRule>
    <cfRule type="expression" dxfId="4178" priority="14">
      <formula>H93&lt;0</formula>
    </cfRule>
  </conditionalFormatting>
  <conditionalFormatting sqref="J93:J106">
    <cfRule type="expression" dxfId="4177" priority="11">
      <formula>J93&gt;0</formula>
    </cfRule>
    <cfRule type="expression" dxfId="4176" priority="12">
      <formula>J93&lt;0</formula>
    </cfRule>
  </conditionalFormatting>
  <conditionalFormatting sqref="K93:K106">
    <cfRule type="expression" dxfId="4175" priority="9">
      <formula>K93&gt;0</formula>
    </cfRule>
    <cfRule type="expression" dxfId="4174" priority="10">
      <formula>K93&lt;0</formula>
    </cfRule>
  </conditionalFormatting>
  <conditionalFormatting sqref="L93:L106">
    <cfRule type="expression" dxfId="4173" priority="7">
      <formula>L93&gt;0</formula>
    </cfRule>
    <cfRule type="expression" dxfId="4172" priority="8">
      <formula>L93&lt;0</formula>
    </cfRule>
  </conditionalFormatting>
  <conditionalFormatting sqref="F25:F32">
    <cfRule type="expression" dxfId="4171" priority="5">
      <formula>F25&gt;0</formula>
    </cfRule>
    <cfRule type="expression" dxfId="4170" priority="6">
      <formula>F25&lt;0</formula>
    </cfRule>
  </conditionalFormatting>
  <conditionalFormatting sqref="H25:H32">
    <cfRule type="expression" dxfId="4169" priority="3">
      <formula>H25&gt;0</formula>
    </cfRule>
    <cfRule type="expression" dxfId="4168" priority="4">
      <formula>H25&lt;0</formula>
    </cfRule>
  </conditionalFormatting>
  <conditionalFormatting sqref="H60:H63 F60:F63">
    <cfRule type="expression" dxfId="4167" priority="1">
      <formula>F60&gt;0</formula>
    </cfRule>
    <cfRule type="expression" dxfId="4166" priority="2">
      <formula>F60&lt;0</formula>
    </cfRule>
  </conditionalFormatting>
  <hyperlinks>
    <hyperlink ref="A3" location="ACTIVE!A1" display="Back"/>
  </hyperlink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dimension ref="A1:AE213"/>
  <sheetViews>
    <sheetView zoomScaleNormal="100" workbookViewId="0">
      <pane ySplit="1" topLeftCell="A2" activePane="bottomLeft" state="frozen"/>
      <selection activeCell="M33" sqref="M33"/>
      <selection pane="bottomLeft" activeCell="A3" sqref="A3"/>
    </sheetView>
  </sheetViews>
  <sheetFormatPr defaultRowHeight="15" x14ac:dyDescent="0.25"/>
  <cols>
    <col min="4" max="5" width="9.140625" style="2"/>
    <col min="6" max="6" width="13.140625" style="2" bestFit="1" customWidth="1"/>
    <col min="8" max="8" width="11.85546875" bestFit="1" customWidth="1"/>
    <col min="9" max="9" width="13.85546875" bestFit="1" customWidth="1"/>
    <col min="11" max="11" width="9.140625" style="2"/>
    <col min="15" max="15" width="17" customWidth="1"/>
    <col min="16" max="16" width="8.7109375" customWidth="1"/>
    <col min="17" max="17" width="12" bestFit="1" customWidth="1"/>
    <col min="18" max="18" width="18.5703125" style="33" customWidth="1"/>
    <col min="19" max="19" width="12.42578125" bestFit="1" customWidth="1"/>
    <col min="20" max="20" width="13.7109375" customWidth="1"/>
    <col min="21" max="21" width="113.28515625" customWidth="1"/>
    <col min="23" max="23" width="12.42578125" customWidth="1"/>
    <col min="24" max="24" width="13.140625" bestFit="1" customWidth="1"/>
    <col min="25" max="27" width="7" bestFit="1" customWidth="1"/>
    <col min="28" max="28" width="9.140625" bestFit="1" customWidth="1"/>
    <col min="29" max="29" width="10.28515625" bestFit="1" customWidth="1"/>
    <col min="31" max="31" width="13.285156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207</v>
      </c>
      <c r="B2" s="360">
        <v>42998</v>
      </c>
      <c r="C2" s="7">
        <v>50</v>
      </c>
      <c r="D2" s="43">
        <v>65.680000000000007</v>
      </c>
      <c r="E2" s="43">
        <v>0</v>
      </c>
      <c r="F2" s="43">
        <f t="shared" ref="F2:F13" si="0">C2*D2+E2</f>
        <v>3284.0000000000005</v>
      </c>
      <c r="G2" s="360">
        <v>43028</v>
      </c>
      <c r="H2" s="7">
        <v>50</v>
      </c>
      <c r="I2" s="43">
        <v>65.28</v>
      </c>
      <c r="J2" s="43">
        <v>0.08</v>
      </c>
      <c r="K2" s="43">
        <f t="shared" ref="K2:K12" si="1">H2*I2-J2</f>
        <v>3263.92</v>
      </c>
      <c r="L2" s="69">
        <v>43069</v>
      </c>
      <c r="M2" s="43">
        <v>31</v>
      </c>
      <c r="O2" s="11" t="s">
        <v>57</v>
      </c>
      <c r="Q2" s="7">
        <f>C22-H22</f>
        <v>0</v>
      </c>
      <c r="T2" s="1">
        <v>42568</v>
      </c>
      <c r="U2" t="s">
        <v>232</v>
      </c>
    </row>
    <row r="3" spans="1:31" x14ac:dyDescent="0.25">
      <c r="A3" s="22" t="s">
        <v>71</v>
      </c>
      <c r="B3" s="360">
        <v>42998</v>
      </c>
      <c r="C3" s="7">
        <v>50</v>
      </c>
      <c r="D3" s="43">
        <v>64.98</v>
      </c>
      <c r="E3" s="43">
        <v>0</v>
      </c>
      <c r="F3" s="43">
        <f t="shared" si="0"/>
        <v>3249</v>
      </c>
      <c r="G3" s="360">
        <v>43028</v>
      </c>
      <c r="H3" s="77">
        <v>50</v>
      </c>
      <c r="I3" s="43">
        <v>66.08</v>
      </c>
      <c r="J3" s="43">
        <v>0.08</v>
      </c>
      <c r="K3" s="43">
        <f t="shared" si="1"/>
        <v>3303.92</v>
      </c>
      <c r="L3" s="69">
        <v>43160</v>
      </c>
      <c r="M3" s="43">
        <v>46.5</v>
      </c>
      <c r="O3" s="11" t="s">
        <v>58</v>
      </c>
      <c r="Q3" s="174">
        <f>IF(Q2=0, Q4, (F22-K22-M22)/Q2)</f>
        <v>16.45</v>
      </c>
      <c r="T3" s="1">
        <v>43112</v>
      </c>
      <c r="U3" t="s">
        <v>811</v>
      </c>
      <c r="X3" s="1"/>
      <c r="AB3" s="178"/>
      <c r="AE3" s="178"/>
    </row>
    <row r="4" spans="1:31" x14ac:dyDescent="0.25">
      <c r="B4" s="360">
        <v>43019</v>
      </c>
      <c r="C4" s="7">
        <v>50</v>
      </c>
      <c r="D4" s="43">
        <v>64.38</v>
      </c>
      <c r="E4" s="43">
        <v>0</v>
      </c>
      <c r="F4" s="43">
        <f t="shared" si="0"/>
        <v>3219</v>
      </c>
      <c r="G4" s="360">
        <v>43069</v>
      </c>
      <c r="H4" s="77">
        <v>50</v>
      </c>
      <c r="I4" s="43">
        <v>52.58</v>
      </c>
      <c r="J4" s="43">
        <v>0.06</v>
      </c>
      <c r="K4" s="43">
        <f t="shared" si="1"/>
        <v>2628.94</v>
      </c>
      <c r="L4" s="69">
        <v>43252</v>
      </c>
      <c r="M4" s="43">
        <v>92.5</v>
      </c>
      <c r="O4" s="11" t="s">
        <v>66</v>
      </c>
      <c r="Q4" s="53">
        <v>16.45</v>
      </c>
      <c r="R4" s="175">
        <v>1.47E-2</v>
      </c>
      <c r="T4" s="1">
        <v>43114</v>
      </c>
      <c r="U4" t="s">
        <v>810</v>
      </c>
      <c r="AB4" s="178"/>
      <c r="AE4" s="178"/>
    </row>
    <row r="5" spans="1:31" x14ac:dyDescent="0.25">
      <c r="B5" s="360">
        <v>43033</v>
      </c>
      <c r="C5" s="7">
        <v>50</v>
      </c>
      <c r="D5" s="43">
        <v>64.2</v>
      </c>
      <c r="E5" s="43">
        <v>0</v>
      </c>
      <c r="F5" s="43">
        <f t="shared" si="0"/>
        <v>3210</v>
      </c>
      <c r="G5" s="360">
        <v>43140</v>
      </c>
      <c r="H5" s="77">
        <v>50</v>
      </c>
      <c r="I5" s="43">
        <v>49.32</v>
      </c>
      <c r="J5" s="43">
        <v>0.06</v>
      </c>
      <c r="K5" s="43">
        <f t="shared" si="1"/>
        <v>2465.94</v>
      </c>
      <c r="L5" s="4"/>
      <c r="M5" s="4"/>
      <c r="O5" s="11" t="s">
        <v>67</v>
      </c>
      <c r="Q5" s="3">
        <f>Q4*Q2</f>
        <v>0</v>
      </c>
      <c r="T5" s="1">
        <v>43117</v>
      </c>
      <c r="U5" t="s">
        <v>821</v>
      </c>
      <c r="AB5" s="178"/>
      <c r="AE5" s="178"/>
    </row>
    <row r="6" spans="1:31" x14ac:dyDescent="0.25">
      <c r="B6" s="360">
        <v>43063</v>
      </c>
      <c r="C6" s="7">
        <v>50</v>
      </c>
      <c r="D6" s="43">
        <v>50.08</v>
      </c>
      <c r="E6" s="43">
        <v>0</v>
      </c>
      <c r="F6" s="43">
        <f t="shared" si="0"/>
        <v>2504</v>
      </c>
      <c r="G6" s="360">
        <v>43145</v>
      </c>
      <c r="H6" s="77">
        <v>50</v>
      </c>
      <c r="I6" s="43">
        <v>51.92</v>
      </c>
      <c r="J6" s="43">
        <v>0.06</v>
      </c>
      <c r="K6" s="43">
        <f t="shared" si="1"/>
        <v>2595.94</v>
      </c>
      <c r="L6" s="4"/>
      <c r="M6" s="4"/>
      <c r="O6" s="11" t="s">
        <v>64</v>
      </c>
      <c r="Q6" s="2">
        <f>Q3*Q2</f>
        <v>0</v>
      </c>
      <c r="AB6" s="178"/>
      <c r="AE6" s="178"/>
    </row>
    <row r="7" spans="1:31" x14ac:dyDescent="0.25">
      <c r="A7" t="s">
        <v>712</v>
      </c>
      <c r="B7" s="360">
        <v>43130</v>
      </c>
      <c r="C7" s="7">
        <v>50</v>
      </c>
      <c r="D7" s="43">
        <v>53.28</v>
      </c>
      <c r="E7" s="43">
        <v>0</v>
      </c>
      <c r="F7" s="43">
        <f t="shared" si="0"/>
        <v>2664</v>
      </c>
      <c r="G7" s="360">
        <v>43154</v>
      </c>
      <c r="H7" s="77">
        <v>50</v>
      </c>
      <c r="I7" s="43">
        <v>51.68</v>
      </c>
      <c r="J7" s="43">
        <v>0.06</v>
      </c>
      <c r="K7" s="43">
        <f t="shared" si="1"/>
        <v>2583.94</v>
      </c>
      <c r="L7" s="4"/>
      <c r="M7" s="4"/>
      <c r="O7" s="11" t="s">
        <v>175</v>
      </c>
      <c r="Q7" s="2">
        <f>Q10+Q8</f>
        <v>2131.6999999999971</v>
      </c>
      <c r="R7">
        <v>0</v>
      </c>
      <c r="AB7" s="178"/>
      <c r="AE7" s="178"/>
    </row>
    <row r="8" spans="1:31" x14ac:dyDescent="0.25">
      <c r="B8" s="360">
        <v>43140</v>
      </c>
      <c r="C8" s="7">
        <v>50</v>
      </c>
      <c r="D8" s="43">
        <v>47.88</v>
      </c>
      <c r="E8" s="43">
        <v>0</v>
      </c>
      <c r="F8" s="43">
        <f t="shared" si="0"/>
        <v>2394</v>
      </c>
      <c r="G8" s="360">
        <v>43180</v>
      </c>
      <c r="H8" s="77">
        <v>100</v>
      </c>
      <c r="I8" s="43">
        <v>39.700000000000003</v>
      </c>
      <c r="J8" s="43">
        <v>0.09</v>
      </c>
      <c r="K8" s="43">
        <f t="shared" si="1"/>
        <v>3969.9100000000003</v>
      </c>
      <c r="L8" s="4"/>
      <c r="M8" s="4"/>
      <c r="O8" s="11" t="s">
        <v>177</v>
      </c>
      <c r="P8" s="33"/>
      <c r="Q8" s="2">
        <f>K22+M22-F22+Q2*Q4</f>
        <v>973.83000000000175</v>
      </c>
      <c r="T8" s="680">
        <v>43173</v>
      </c>
      <c r="U8" t="s">
        <v>884</v>
      </c>
      <c r="AB8" s="178"/>
      <c r="AE8" s="178"/>
    </row>
    <row r="9" spans="1:31" x14ac:dyDescent="0.25">
      <c r="B9" s="360">
        <v>43143</v>
      </c>
      <c r="C9" s="7">
        <v>50</v>
      </c>
      <c r="D9" s="43">
        <v>47.2</v>
      </c>
      <c r="E9" s="43">
        <v>0</v>
      </c>
      <c r="F9" s="43">
        <f t="shared" si="0"/>
        <v>2360</v>
      </c>
      <c r="G9" s="360">
        <v>43257</v>
      </c>
      <c r="H9" s="77">
        <v>50</v>
      </c>
      <c r="I9" s="43">
        <v>53</v>
      </c>
      <c r="J9" s="43">
        <v>0.03</v>
      </c>
      <c r="K9" s="43">
        <f t="shared" si="1"/>
        <v>2649.97</v>
      </c>
      <c r="L9" s="4"/>
      <c r="M9" s="4"/>
      <c r="O9" s="11" t="s">
        <v>202</v>
      </c>
      <c r="Q9" s="175">
        <f>IF(Q2=0, 0, Q8/Q6)</f>
        <v>0</v>
      </c>
      <c r="T9" s="148"/>
      <c r="U9" t="s">
        <v>909</v>
      </c>
    </row>
    <row r="10" spans="1:31" x14ac:dyDescent="0.25">
      <c r="B10" s="360">
        <v>43151</v>
      </c>
      <c r="C10" s="7">
        <v>50</v>
      </c>
      <c r="D10" s="43">
        <v>50.35</v>
      </c>
      <c r="E10" s="43">
        <v>0</v>
      </c>
      <c r="F10" s="43">
        <f t="shared" si="0"/>
        <v>2517.5</v>
      </c>
      <c r="G10" s="360">
        <v>43259</v>
      </c>
      <c r="H10" s="77">
        <v>100</v>
      </c>
      <c r="I10" s="43">
        <v>55.26</v>
      </c>
      <c r="J10" s="43">
        <v>7.0000000000000007E-2</v>
      </c>
      <c r="K10" s="43">
        <f t="shared" si="1"/>
        <v>5525.93</v>
      </c>
      <c r="L10" s="4"/>
      <c r="M10" s="4"/>
      <c r="O10" s="11" t="s">
        <v>201</v>
      </c>
      <c r="P10" s="33"/>
      <c r="Q10" s="2">
        <f>M177</f>
        <v>1157.8699999999953</v>
      </c>
      <c r="U10" t="s">
        <v>907</v>
      </c>
    </row>
    <row r="11" spans="1:31" x14ac:dyDescent="0.25">
      <c r="B11" s="360">
        <v>43151</v>
      </c>
      <c r="C11" s="7">
        <v>50</v>
      </c>
      <c r="D11" s="43">
        <v>49.38</v>
      </c>
      <c r="E11" s="43">
        <v>0</v>
      </c>
      <c r="F11" s="43">
        <f t="shared" si="0"/>
        <v>2469</v>
      </c>
      <c r="G11" s="360">
        <v>43264</v>
      </c>
      <c r="H11" s="77">
        <v>50</v>
      </c>
      <c r="I11" s="43">
        <v>58.88</v>
      </c>
      <c r="J11" s="43">
        <v>0.04</v>
      </c>
      <c r="K11" s="43">
        <f t="shared" si="1"/>
        <v>2943.96</v>
      </c>
      <c r="L11" s="4"/>
      <c r="M11" s="4"/>
      <c r="O11" s="11" t="s">
        <v>173</v>
      </c>
      <c r="P11" s="33"/>
      <c r="Q11" s="131">
        <f>R11*4/Q4</f>
        <v>8.9969604863221891E-2</v>
      </c>
      <c r="R11" s="33">
        <f>1.48/4</f>
        <v>0.37</v>
      </c>
      <c r="U11" t="s">
        <v>908</v>
      </c>
    </row>
    <row r="12" spans="1:31" x14ac:dyDescent="0.25">
      <c r="B12" s="360">
        <v>43165</v>
      </c>
      <c r="C12" s="7">
        <v>50</v>
      </c>
      <c r="D12" s="43">
        <v>48.68</v>
      </c>
      <c r="E12" s="43">
        <v>0</v>
      </c>
      <c r="F12" s="43">
        <f t="shared" si="0"/>
        <v>2434</v>
      </c>
      <c r="G12" s="360">
        <v>43287</v>
      </c>
      <c r="H12" s="77">
        <v>50</v>
      </c>
      <c r="I12" s="43">
        <v>59</v>
      </c>
      <c r="J12" s="43">
        <v>0.04</v>
      </c>
      <c r="K12" s="43">
        <f t="shared" si="1"/>
        <v>2949.96</v>
      </c>
      <c r="L12" s="4"/>
      <c r="M12" s="4"/>
      <c r="O12" s="11" t="s">
        <v>875</v>
      </c>
      <c r="Q12" s="1"/>
    </row>
    <row r="13" spans="1:31" x14ac:dyDescent="0.25">
      <c r="B13" s="360">
        <v>43173</v>
      </c>
      <c r="C13" s="7">
        <v>100</v>
      </c>
      <c r="D13" s="43">
        <v>37.74</v>
      </c>
      <c r="E13" s="43">
        <v>0</v>
      </c>
      <c r="F13" s="43">
        <f t="shared" si="0"/>
        <v>3774</v>
      </c>
      <c r="G13" s="69"/>
      <c r="H13" s="158"/>
      <c r="I13" s="3"/>
      <c r="J13" s="4"/>
      <c r="K13" s="3"/>
      <c r="L13" s="4"/>
      <c r="M13" s="4"/>
      <c r="O13" s="11" t="s">
        <v>901</v>
      </c>
      <c r="Q13">
        <f>Q4/4</f>
        <v>4.1124999999999998</v>
      </c>
      <c r="T13" s="1">
        <v>43212</v>
      </c>
      <c r="U13" t="s">
        <v>951</v>
      </c>
    </row>
    <row r="14" spans="1:31" x14ac:dyDescent="0.25">
      <c r="B14" s="69"/>
      <c r="C14" s="4"/>
      <c r="D14" s="3"/>
      <c r="E14" s="3"/>
      <c r="F14" s="3"/>
      <c r="G14" s="69"/>
      <c r="H14" s="158"/>
      <c r="I14" s="4"/>
      <c r="J14" s="4"/>
      <c r="K14" s="3"/>
      <c r="L14" s="4"/>
      <c r="M14" s="4"/>
      <c r="O14" s="4"/>
      <c r="P14" s="4"/>
      <c r="Q14" s="4"/>
      <c r="R14" s="104"/>
      <c r="S14" s="4"/>
      <c r="T14" s="4"/>
      <c r="U14" s="4"/>
      <c r="V14" s="4"/>
      <c r="W14" s="4"/>
    </row>
    <row r="15" spans="1:31" x14ac:dyDescent="0.25">
      <c r="B15" s="69"/>
      <c r="C15" s="4"/>
      <c r="D15" s="3"/>
      <c r="E15" s="3"/>
      <c r="F15" s="3"/>
      <c r="G15" s="69"/>
      <c r="H15" s="158"/>
      <c r="I15" s="4"/>
      <c r="J15" s="4"/>
      <c r="K15" s="3"/>
      <c r="L15" s="4"/>
      <c r="M15" s="4"/>
      <c r="O15" s="339"/>
      <c r="P15" s="339"/>
      <c r="Q15" s="339"/>
      <c r="R15" s="339"/>
      <c r="S15" s="339"/>
      <c r="T15" s="114">
        <v>43243</v>
      </c>
      <c r="U15" s="17" t="s">
        <v>1023</v>
      </c>
      <c r="V15" s="339"/>
      <c r="W15" s="675"/>
    </row>
    <row r="16" spans="1:31" x14ac:dyDescent="0.25">
      <c r="B16" s="69"/>
      <c r="C16" s="4"/>
      <c r="D16" s="3"/>
      <c r="E16" s="3"/>
      <c r="F16" s="3"/>
      <c r="G16" s="69"/>
      <c r="H16" s="158"/>
      <c r="I16" s="4"/>
      <c r="J16" s="4"/>
      <c r="K16" s="3"/>
      <c r="L16" s="4"/>
      <c r="M16" s="4"/>
      <c r="O16" s="676"/>
      <c r="P16" s="4"/>
      <c r="Q16" s="4"/>
      <c r="R16" s="184"/>
      <c r="S16" s="184"/>
      <c r="V16" s="4"/>
      <c r="W16" s="218"/>
    </row>
    <row r="17" spans="1:23" x14ac:dyDescent="0.25">
      <c r="B17" s="69"/>
      <c r="C17" s="4"/>
      <c r="D17" s="3"/>
      <c r="E17" s="3"/>
      <c r="F17" s="3"/>
      <c r="G17" s="4"/>
      <c r="H17" s="4"/>
      <c r="I17" s="4"/>
      <c r="J17" s="4"/>
      <c r="K17" s="3"/>
      <c r="L17" s="4"/>
      <c r="M17" s="4"/>
      <c r="O17" s="677"/>
      <c r="P17" s="4"/>
      <c r="Q17" s="4"/>
      <c r="R17" s="184"/>
      <c r="S17" s="4"/>
      <c r="T17" s="114">
        <v>43257</v>
      </c>
      <c r="U17" s="17" t="s">
        <v>1044</v>
      </c>
      <c r="V17" s="4"/>
      <c r="W17" s="218"/>
    </row>
    <row r="18" spans="1:23" x14ac:dyDescent="0.25">
      <c r="O18" s="4"/>
      <c r="P18" s="4"/>
      <c r="Q18" s="4"/>
      <c r="R18" s="4"/>
      <c r="S18" s="4"/>
      <c r="T18" s="69">
        <v>43258</v>
      </c>
      <c r="U18" s="4" t="s">
        <v>1046</v>
      </c>
      <c r="V18" s="4"/>
      <c r="W18" s="218"/>
    </row>
    <row r="19" spans="1:23" x14ac:dyDescent="0.25">
      <c r="O19" s="4"/>
      <c r="P19" s="4"/>
      <c r="Q19" s="4"/>
      <c r="R19" s="4"/>
      <c r="S19" s="4"/>
      <c r="T19" s="4"/>
      <c r="U19" s="4"/>
      <c r="V19" s="4"/>
      <c r="W19" s="218"/>
    </row>
    <row r="20" spans="1:23" x14ac:dyDescent="0.25">
      <c r="O20" s="4"/>
      <c r="P20" s="4"/>
      <c r="Q20" s="4"/>
      <c r="R20" s="4"/>
      <c r="S20" s="4"/>
      <c r="T20" s="4"/>
      <c r="U20" s="4"/>
      <c r="V20" s="4"/>
      <c r="W20" s="218"/>
    </row>
    <row r="21" spans="1:23" x14ac:dyDescent="0.25">
      <c r="G21" s="1"/>
      <c r="H21" s="67"/>
      <c r="O21" s="4"/>
      <c r="P21" s="4"/>
      <c r="Q21" s="4"/>
      <c r="R21" s="4"/>
      <c r="S21" s="4"/>
      <c r="T21" s="4"/>
      <c r="U21" s="4"/>
      <c r="V21" s="4"/>
      <c r="W21" s="218"/>
    </row>
    <row r="22" spans="1:23" x14ac:dyDescent="0.25">
      <c r="A22" s="31" t="s">
        <v>81</v>
      </c>
      <c r="B22" s="14"/>
      <c r="C22" s="14">
        <f>SUM(C2:C17)</f>
        <v>650</v>
      </c>
      <c r="D22" s="14"/>
      <c r="E22" s="14"/>
      <c r="F22" s="18">
        <f>SUM(F2:F17)</f>
        <v>34078.5</v>
      </c>
      <c r="G22" s="14"/>
      <c r="H22" s="14">
        <f>SUM(H2:H14)</f>
        <v>650</v>
      </c>
      <c r="I22" s="14"/>
      <c r="J22" s="14"/>
      <c r="K22" s="14">
        <f>SUM(K2:K14)</f>
        <v>34882.33</v>
      </c>
      <c r="L22" s="14"/>
      <c r="M22" s="18">
        <f>SUM(M2:M14)</f>
        <v>170</v>
      </c>
      <c r="O22" s="4"/>
      <c r="P22" s="4"/>
      <c r="Q22" s="4"/>
      <c r="R22" s="4"/>
      <c r="S22" s="4"/>
      <c r="T22" s="4"/>
      <c r="U22" s="4"/>
      <c r="V22" s="4"/>
      <c r="W22" s="218"/>
    </row>
    <row r="23" spans="1:23" ht="15.75" thickBot="1" x14ac:dyDescent="0.3">
      <c r="A23" s="273" t="s">
        <v>189</v>
      </c>
      <c r="B23" s="274"/>
      <c r="C23" s="275">
        <f>SumByColor($A$23,C2:C21)</f>
        <v>650</v>
      </c>
      <c r="D23" s="275"/>
      <c r="E23" s="275"/>
      <c r="F23" s="276">
        <f>SumByColor($A$23,F2:F21)</f>
        <v>34079</v>
      </c>
      <c r="G23" s="275"/>
      <c r="H23" s="275">
        <f>SumByColor($A$23,H2:H21)</f>
        <v>650</v>
      </c>
      <c r="I23" s="275"/>
      <c r="J23" s="275"/>
      <c r="K23" s="276">
        <f>SumByColor($A$23,K2:K21)</f>
        <v>34883</v>
      </c>
      <c r="L23" s="275"/>
      <c r="M23" s="276">
        <f>SumByColor($A$23,M2:M21)</f>
        <v>170</v>
      </c>
      <c r="N23" s="2"/>
      <c r="O23" s="4"/>
      <c r="P23" s="4"/>
      <c r="Q23" s="4"/>
      <c r="R23" s="4"/>
      <c r="S23" s="4"/>
      <c r="T23" s="4"/>
      <c r="U23" s="4"/>
      <c r="V23" s="4"/>
      <c r="W23" s="218"/>
    </row>
    <row r="24" spans="1:23" x14ac:dyDescent="0.25">
      <c r="O24" s="4"/>
      <c r="P24" s="4"/>
      <c r="Q24" s="4"/>
      <c r="R24" s="4"/>
      <c r="S24" s="4"/>
      <c r="T24" s="4"/>
      <c r="U24" s="4"/>
      <c r="V24" s="4"/>
      <c r="W24" s="218"/>
    </row>
    <row r="25" spans="1:23" x14ac:dyDescent="0.25">
      <c r="O25" s="4"/>
      <c r="P25" s="4"/>
      <c r="Q25" s="4"/>
      <c r="R25" s="4"/>
      <c r="S25" s="4"/>
      <c r="T25" s="4"/>
      <c r="U25" s="4"/>
      <c r="V25" s="4"/>
      <c r="W25" s="218"/>
    </row>
    <row r="26" spans="1:23" x14ac:dyDescent="0.25">
      <c r="O26" s="4"/>
      <c r="P26" s="4"/>
      <c r="Q26" s="4"/>
      <c r="R26" s="4"/>
      <c r="S26" s="4"/>
      <c r="T26" s="4"/>
      <c r="U26" s="4"/>
      <c r="V26" s="4"/>
      <c r="W26" s="218"/>
    </row>
    <row r="27" spans="1:23" x14ac:dyDescent="0.25">
      <c r="O27" s="4"/>
      <c r="P27" s="4"/>
      <c r="Q27" s="4"/>
      <c r="R27" s="104"/>
      <c r="S27" s="4"/>
      <c r="T27" s="4"/>
      <c r="U27" s="4"/>
      <c r="V27" s="4"/>
      <c r="W27" s="4"/>
    </row>
    <row r="28" spans="1:23" x14ac:dyDescent="0.25">
      <c r="B28" s="405" t="s">
        <v>113</v>
      </c>
      <c r="C28" s="405" t="s">
        <v>143</v>
      </c>
      <c r="D28" s="406" t="s">
        <v>142</v>
      </c>
      <c r="E28" s="407" t="s">
        <v>144</v>
      </c>
      <c r="F28" s="408" t="s">
        <v>65</v>
      </c>
      <c r="G28" s="409" t="s">
        <v>148</v>
      </c>
      <c r="H28" s="408" t="s">
        <v>88</v>
      </c>
      <c r="I28" s="408" t="s">
        <v>151</v>
      </c>
      <c r="J28" s="408" t="s">
        <v>147</v>
      </c>
      <c r="K28" s="408" t="s">
        <v>901</v>
      </c>
      <c r="O28" s="4"/>
      <c r="P28" s="4"/>
      <c r="Q28" s="4"/>
      <c r="R28" s="104"/>
      <c r="S28" s="4"/>
      <c r="T28" s="4"/>
      <c r="U28" s="4"/>
      <c r="V28" s="4"/>
      <c r="W28" s="4"/>
    </row>
    <row r="29" spans="1:23" x14ac:dyDescent="0.25">
      <c r="B29" s="161">
        <v>43005</v>
      </c>
      <c r="C29" s="10">
        <v>100</v>
      </c>
      <c r="D29" s="39">
        <v>65.33</v>
      </c>
      <c r="E29" s="39">
        <v>66.55</v>
      </c>
      <c r="F29" s="39">
        <f t="shared" ref="F29:F38" si="2">C29*(E29-D29)</f>
        <v>121.99999999999989</v>
      </c>
      <c r="G29" s="39">
        <f t="shared" ref="G29:G38" si="3">D29*C29</f>
        <v>6533</v>
      </c>
      <c r="H29" s="175">
        <f t="shared" ref="H29:H38" si="4">(E29-D29)/D29</f>
        <v>1.8674422164396125E-2</v>
      </c>
      <c r="I29" s="39">
        <v>65</v>
      </c>
      <c r="J29" s="10"/>
      <c r="K29" s="10"/>
    </row>
    <row r="30" spans="1:23" x14ac:dyDescent="0.25">
      <c r="B30" s="161">
        <v>43019</v>
      </c>
      <c r="C30" s="10">
        <v>150</v>
      </c>
      <c r="D30" s="39">
        <v>65.013300000000001</v>
      </c>
      <c r="E30" s="39">
        <v>64.09</v>
      </c>
      <c r="F30" s="39">
        <f t="shared" si="2"/>
        <v>-138.49499999999964</v>
      </c>
      <c r="G30" s="39">
        <f t="shared" si="3"/>
        <v>9751.9950000000008</v>
      </c>
      <c r="H30" s="175">
        <f t="shared" si="4"/>
        <v>-1.4201709496364552E-2</v>
      </c>
      <c r="I30" s="39">
        <v>64.5</v>
      </c>
      <c r="J30" s="10"/>
      <c r="K30" s="10"/>
    </row>
    <row r="31" spans="1:23" x14ac:dyDescent="0.25">
      <c r="B31" s="161">
        <v>43028</v>
      </c>
      <c r="C31" s="10">
        <v>100</v>
      </c>
      <c r="D31" s="39">
        <v>64.880799999999994</v>
      </c>
      <c r="E31" s="39">
        <v>65.28</v>
      </c>
      <c r="F31" s="39">
        <f t="shared" si="2"/>
        <v>39.920000000000755</v>
      </c>
      <c r="G31" s="39">
        <f t="shared" si="3"/>
        <v>6488.079999999999</v>
      </c>
      <c r="H31" s="175">
        <f t="shared" si="4"/>
        <v>6.1528217901136786E-3</v>
      </c>
      <c r="I31" s="170" t="s">
        <v>683</v>
      </c>
      <c r="J31" s="39">
        <v>1198</v>
      </c>
      <c r="K31" s="39"/>
    </row>
    <row r="32" spans="1:23" x14ac:dyDescent="0.25">
      <c r="B32" s="161">
        <v>43028</v>
      </c>
      <c r="C32" s="10">
        <v>50</v>
      </c>
      <c r="D32" s="39">
        <v>63.683199999999999</v>
      </c>
      <c r="E32" s="39">
        <v>65.959999999999994</v>
      </c>
      <c r="F32" s="39">
        <f t="shared" si="2"/>
        <v>113.83999999999972</v>
      </c>
      <c r="G32" s="39">
        <f t="shared" si="3"/>
        <v>3184.16</v>
      </c>
      <c r="H32" s="175">
        <f t="shared" si="4"/>
        <v>3.5751972262700278E-2</v>
      </c>
      <c r="I32" s="39">
        <v>63.2</v>
      </c>
      <c r="J32" s="39">
        <v>1272</v>
      </c>
      <c r="K32" s="39"/>
    </row>
    <row r="33" spans="1:17" x14ac:dyDescent="0.25">
      <c r="B33" s="161">
        <v>43033</v>
      </c>
      <c r="C33" s="10">
        <v>100</v>
      </c>
      <c r="D33" s="39">
        <v>63.941600000000001</v>
      </c>
      <c r="E33" s="39">
        <v>65.5</v>
      </c>
      <c r="F33" s="39">
        <f t="shared" si="2"/>
        <v>155.83999999999989</v>
      </c>
      <c r="G33" s="39">
        <f t="shared" si="3"/>
        <v>6394.16</v>
      </c>
      <c r="H33" s="175">
        <f t="shared" si="4"/>
        <v>2.4372239668697671E-2</v>
      </c>
      <c r="I33" s="170" t="s">
        <v>685</v>
      </c>
      <c r="J33" s="39">
        <v>1314</v>
      </c>
      <c r="K33" s="39"/>
    </row>
    <row r="34" spans="1:17" x14ac:dyDescent="0.25">
      <c r="B34" s="161">
        <v>43048</v>
      </c>
      <c r="C34" s="10">
        <v>100</v>
      </c>
      <c r="D34" s="39">
        <v>63.94</v>
      </c>
      <c r="E34" s="39">
        <v>70.849999999999994</v>
      </c>
      <c r="F34" s="39">
        <f t="shared" si="2"/>
        <v>690.99999999999966</v>
      </c>
      <c r="G34" s="39">
        <f t="shared" si="3"/>
        <v>6394</v>
      </c>
      <c r="H34" s="175">
        <f t="shared" si="4"/>
        <v>0.10807006568658112</v>
      </c>
      <c r="I34" s="10"/>
      <c r="J34" s="39">
        <v>1849</v>
      </c>
      <c r="K34" s="39"/>
    </row>
    <row r="35" spans="1:17" x14ac:dyDescent="0.25">
      <c r="B35" s="161">
        <v>43063</v>
      </c>
      <c r="C35" s="10">
        <v>150</v>
      </c>
      <c r="D35" s="39">
        <v>59.320099999999996</v>
      </c>
      <c r="E35" s="39">
        <v>49.8</v>
      </c>
      <c r="F35" s="39">
        <f t="shared" si="2"/>
        <v>-1428.0149999999999</v>
      </c>
      <c r="G35" s="39">
        <f t="shared" si="3"/>
        <v>8898.0149999999994</v>
      </c>
      <c r="H35" s="175">
        <f t="shared" si="4"/>
        <v>-0.16048691758779907</v>
      </c>
      <c r="I35" s="10"/>
      <c r="J35" s="39">
        <v>-270</v>
      </c>
      <c r="K35" s="39"/>
    </row>
    <row r="36" spans="1:17" x14ac:dyDescent="0.25">
      <c r="A36">
        <v>50</v>
      </c>
      <c r="B36" s="161">
        <v>43069</v>
      </c>
      <c r="C36" s="10">
        <v>100</v>
      </c>
      <c r="D36" s="39">
        <v>62.6922</v>
      </c>
      <c r="E36" s="39">
        <v>52.38</v>
      </c>
      <c r="F36" s="39">
        <f t="shared" si="2"/>
        <v>-1031.2199999999998</v>
      </c>
      <c r="G36" s="39">
        <f t="shared" si="3"/>
        <v>6269.22</v>
      </c>
      <c r="H36" s="175">
        <f t="shared" si="4"/>
        <v>-0.16448936231301498</v>
      </c>
      <c r="I36" s="124" t="s">
        <v>697</v>
      </c>
      <c r="J36" s="39">
        <v>127</v>
      </c>
      <c r="K36" s="39"/>
    </row>
    <row r="37" spans="1:17" x14ac:dyDescent="0.25">
      <c r="A37">
        <v>50</v>
      </c>
      <c r="B37" s="161">
        <v>43070</v>
      </c>
      <c r="C37" s="10">
        <v>100</v>
      </c>
      <c r="D37" s="39">
        <v>62.382199999999997</v>
      </c>
      <c r="E37" s="39">
        <v>51.99</v>
      </c>
      <c r="F37" s="39">
        <f t="shared" si="2"/>
        <v>-1039.2199999999996</v>
      </c>
      <c r="G37" s="39">
        <f t="shared" si="3"/>
        <v>6238.2199999999993</v>
      </c>
      <c r="H37" s="175">
        <f t="shared" si="4"/>
        <v>-0.1665891873002234</v>
      </c>
      <c r="I37" s="170">
        <v>62.2</v>
      </c>
      <c r="J37" s="39">
        <v>119</v>
      </c>
      <c r="K37" s="39"/>
    </row>
    <row r="38" spans="1:17" x14ac:dyDescent="0.25">
      <c r="A38">
        <v>100</v>
      </c>
      <c r="B38" s="161">
        <v>43102</v>
      </c>
      <c r="C38" s="10">
        <v>100</v>
      </c>
      <c r="D38" s="39">
        <v>62.38</v>
      </c>
      <c r="E38" s="39">
        <v>55.29</v>
      </c>
      <c r="F38" s="39">
        <f t="shared" si="2"/>
        <v>-709.00000000000034</v>
      </c>
      <c r="G38" s="39">
        <f t="shared" si="3"/>
        <v>6238</v>
      </c>
      <c r="H38" s="175">
        <f t="shared" si="4"/>
        <v>-0.11365822378967623</v>
      </c>
      <c r="I38" s="10"/>
      <c r="J38" s="39">
        <v>449</v>
      </c>
      <c r="K38" s="39"/>
    </row>
    <row r="39" spans="1:17" ht="20.25" thickBot="1" x14ac:dyDescent="0.35">
      <c r="A39">
        <v>100</v>
      </c>
      <c r="B39" s="161">
        <v>43105</v>
      </c>
      <c r="C39" s="10">
        <v>100</v>
      </c>
      <c r="D39" s="39">
        <v>62.38</v>
      </c>
      <c r="E39" s="39">
        <v>56.93</v>
      </c>
      <c r="F39" s="39">
        <f t="shared" ref="F39:F51" si="5">C39*(E39-D39)</f>
        <v>-545.00000000000023</v>
      </c>
      <c r="G39" s="39">
        <f t="shared" ref="G39:G51" si="6">D39*C39</f>
        <v>6238</v>
      </c>
      <c r="H39" s="175">
        <f t="shared" ref="H39:H51" si="7">(E39-D39)/D39</f>
        <v>-8.736774607245916E-2</v>
      </c>
      <c r="I39" s="10"/>
      <c r="J39" s="39">
        <v>613</v>
      </c>
      <c r="K39" s="39"/>
      <c r="O39" s="584" t="s">
        <v>78</v>
      </c>
      <c r="P39" s="584"/>
    </row>
    <row r="40" spans="1:17" ht="15.75" thickTop="1" x14ac:dyDescent="0.25">
      <c r="B40" s="161">
        <v>43121</v>
      </c>
      <c r="C40" s="10">
        <v>100</v>
      </c>
      <c r="D40" s="39">
        <v>62.38</v>
      </c>
      <c r="E40" s="39">
        <v>55.07</v>
      </c>
      <c r="F40" s="39">
        <f t="shared" si="5"/>
        <v>-731.00000000000023</v>
      </c>
      <c r="G40" s="39">
        <f t="shared" si="6"/>
        <v>6238</v>
      </c>
      <c r="H40" s="175">
        <f t="shared" si="7"/>
        <v>-0.11718499519076631</v>
      </c>
      <c r="I40" s="10"/>
      <c r="J40" s="39">
        <v>427</v>
      </c>
      <c r="K40" s="39"/>
      <c r="O40" s="78">
        <v>1.1000000000000001</v>
      </c>
      <c r="P40" s="78">
        <f>O40*$Q$4</f>
        <v>18.095000000000002</v>
      </c>
    </row>
    <row r="41" spans="1:17" x14ac:dyDescent="0.25">
      <c r="A41">
        <v>100</v>
      </c>
      <c r="B41" s="161">
        <v>43123</v>
      </c>
      <c r="C41" s="10">
        <v>100</v>
      </c>
      <c r="D41" s="39">
        <v>62.38</v>
      </c>
      <c r="E41" s="39">
        <v>57.28</v>
      </c>
      <c r="F41" s="39">
        <f t="shared" si="5"/>
        <v>-510.00000000000011</v>
      </c>
      <c r="G41" s="39">
        <f t="shared" si="6"/>
        <v>6238</v>
      </c>
      <c r="H41" s="175">
        <f t="shared" si="7"/>
        <v>-8.1756973388906723E-2</v>
      </c>
      <c r="I41" s="10"/>
      <c r="J41" s="39">
        <v>648</v>
      </c>
      <c r="K41" s="39"/>
      <c r="O41" s="78">
        <v>1.0900000000000001</v>
      </c>
      <c r="P41" s="78">
        <f t="shared" ref="P41:P60" si="8">O41*$Q$4</f>
        <v>17.930500000000002</v>
      </c>
    </row>
    <row r="42" spans="1:17" x14ac:dyDescent="0.25">
      <c r="A42">
        <v>100</v>
      </c>
      <c r="B42" s="161">
        <v>43124</v>
      </c>
      <c r="C42" s="10">
        <v>100</v>
      </c>
      <c r="D42" s="39">
        <v>62.38</v>
      </c>
      <c r="E42" s="39">
        <v>55.92</v>
      </c>
      <c r="F42" s="39">
        <f t="shared" si="5"/>
        <v>-646.00000000000011</v>
      </c>
      <c r="G42" s="39">
        <f t="shared" si="6"/>
        <v>6238</v>
      </c>
      <c r="H42" s="175">
        <f t="shared" si="7"/>
        <v>-0.10355883295928182</v>
      </c>
      <c r="I42" s="10"/>
      <c r="J42" s="39">
        <v>512</v>
      </c>
      <c r="K42" s="39"/>
      <c r="O42" s="78">
        <v>1.08</v>
      </c>
      <c r="P42" s="78">
        <f t="shared" si="8"/>
        <v>17.766000000000002</v>
      </c>
    </row>
    <row r="43" spans="1:17" x14ac:dyDescent="0.25">
      <c r="B43" s="161">
        <v>43130</v>
      </c>
      <c r="C43" s="10">
        <v>150</v>
      </c>
      <c r="D43" s="39">
        <v>59.347999999999999</v>
      </c>
      <c r="E43" s="39">
        <v>52.86</v>
      </c>
      <c r="F43" s="39">
        <f t="shared" si="5"/>
        <v>-973.19999999999993</v>
      </c>
      <c r="G43" s="39">
        <f t="shared" si="6"/>
        <v>8902.2000000000007</v>
      </c>
      <c r="H43" s="175">
        <f t="shared" si="7"/>
        <v>-0.10932129136617914</v>
      </c>
      <c r="I43" s="10"/>
      <c r="J43" s="39">
        <v>185</v>
      </c>
      <c r="K43" s="39"/>
      <c r="O43" s="78">
        <v>1.07</v>
      </c>
      <c r="P43" s="78">
        <f t="shared" si="8"/>
        <v>17.601500000000001</v>
      </c>
      <c r="Q43" s="2"/>
    </row>
    <row r="44" spans="1:17" x14ac:dyDescent="0.25">
      <c r="A44">
        <v>50</v>
      </c>
      <c r="B44" s="161">
        <v>43140</v>
      </c>
      <c r="C44" s="10">
        <v>150</v>
      </c>
      <c r="D44" s="39">
        <v>58.869</v>
      </c>
      <c r="E44" s="39">
        <v>48.96</v>
      </c>
      <c r="F44" s="39">
        <f t="shared" si="5"/>
        <v>-1486.35</v>
      </c>
      <c r="G44" s="39">
        <f t="shared" si="6"/>
        <v>8830.35</v>
      </c>
      <c r="H44" s="175">
        <f t="shared" si="7"/>
        <v>-0.16832288640880597</v>
      </c>
      <c r="I44" s="10"/>
      <c r="J44" s="39">
        <v>-328</v>
      </c>
      <c r="K44" s="39"/>
      <c r="O44" s="78">
        <v>1.06</v>
      </c>
      <c r="P44" s="78">
        <f t="shared" si="8"/>
        <v>17.437000000000001</v>
      </c>
      <c r="Q44" s="2"/>
    </row>
    <row r="45" spans="1:17" x14ac:dyDescent="0.25">
      <c r="A45">
        <v>50</v>
      </c>
      <c r="B45" s="161">
        <v>43143</v>
      </c>
      <c r="C45" s="10">
        <v>200</v>
      </c>
      <c r="D45" s="39">
        <v>55.9514</v>
      </c>
      <c r="E45" s="39">
        <v>48.49</v>
      </c>
      <c r="F45" s="39">
        <f t="shared" si="5"/>
        <v>-1492.2799999999995</v>
      </c>
      <c r="G45" s="39">
        <f t="shared" si="6"/>
        <v>11190.28</v>
      </c>
      <c r="H45" s="175">
        <f t="shared" si="7"/>
        <v>-0.13335501881990439</v>
      </c>
      <c r="I45" s="10"/>
      <c r="J45" s="39">
        <v>-334</v>
      </c>
      <c r="K45" s="39"/>
      <c r="O45" s="78">
        <v>1.05</v>
      </c>
      <c r="P45" s="78">
        <f t="shared" si="8"/>
        <v>17.272500000000001</v>
      </c>
      <c r="Q45" s="2"/>
    </row>
    <row r="46" spans="1:17" x14ac:dyDescent="0.25">
      <c r="A46">
        <v>0</v>
      </c>
      <c r="B46" s="161">
        <v>43145</v>
      </c>
      <c r="C46" s="10">
        <v>150</v>
      </c>
      <c r="D46" s="39">
        <v>57.295999999999999</v>
      </c>
      <c r="E46" s="39">
        <v>51.12</v>
      </c>
      <c r="F46" s="39">
        <f t="shared" si="5"/>
        <v>-926.40000000000032</v>
      </c>
      <c r="G46" s="39">
        <f t="shared" si="6"/>
        <v>8594.4</v>
      </c>
      <c r="H46" s="175">
        <f t="shared" si="7"/>
        <v>-0.10779111979893888</v>
      </c>
      <c r="I46" s="10"/>
      <c r="J46" s="39">
        <v>234</v>
      </c>
      <c r="K46" s="39"/>
      <c r="O46" s="78">
        <v>1.04</v>
      </c>
      <c r="P46" s="78">
        <f t="shared" si="8"/>
        <v>17.108000000000001</v>
      </c>
      <c r="Q46" s="2"/>
    </row>
    <row r="47" spans="1:17" x14ac:dyDescent="0.25">
      <c r="B47" s="161">
        <v>43151</v>
      </c>
      <c r="C47" s="10">
        <v>200</v>
      </c>
      <c r="D47" s="39">
        <v>55.56</v>
      </c>
      <c r="E47" s="39">
        <v>50</v>
      </c>
      <c r="F47" s="39">
        <f t="shared" si="5"/>
        <v>-1112.0000000000005</v>
      </c>
      <c r="G47" s="39">
        <f t="shared" si="6"/>
        <v>11112</v>
      </c>
      <c r="H47" s="175">
        <f t="shared" si="7"/>
        <v>-0.1000719942404608</v>
      </c>
      <c r="I47" s="10"/>
      <c r="J47" s="39">
        <v>46</v>
      </c>
      <c r="K47" s="39"/>
      <c r="O47" s="78">
        <v>1.03</v>
      </c>
      <c r="P47" s="78">
        <f t="shared" si="8"/>
        <v>16.9435</v>
      </c>
      <c r="Q47" s="2"/>
    </row>
    <row r="48" spans="1:17" x14ac:dyDescent="0.25">
      <c r="A48">
        <v>0</v>
      </c>
      <c r="B48" s="161">
        <v>43151</v>
      </c>
      <c r="C48" s="10">
        <v>250</v>
      </c>
      <c r="D48" s="39">
        <v>54.323399999999999</v>
      </c>
      <c r="E48" s="39">
        <v>49.38</v>
      </c>
      <c r="F48" s="39">
        <f t="shared" si="5"/>
        <v>-1235.8499999999992</v>
      </c>
      <c r="G48" s="39">
        <f t="shared" si="6"/>
        <v>13580.85</v>
      </c>
      <c r="H48" s="175">
        <f t="shared" si="7"/>
        <v>-9.0999458796761565E-2</v>
      </c>
      <c r="I48" s="10"/>
      <c r="J48" s="39">
        <v>-78</v>
      </c>
      <c r="K48" s="39"/>
      <c r="O48" s="78">
        <v>1.02</v>
      </c>
      <c r="P48" s="78">
        <f t="shared" si="8"/>
        <v>16.779</v>
      </c>
      <c r="Q48" s="2"/>
    </row>
    <row r="49" spans="1:17" x14ac:dyDescent="0.25">
      <c r="A49">
        <v>0</v>
      </c>
      <c r="B49" s="161">
        <v>43154</v>
      </c>
      <c r="C49" s="10">
        <v>200</v>
      </c>
      <c r="D49" s="39">
        <v>54.984499999999997</v>
      </c>
      <c r="E49" s="39">
        <v>52.25</v>
      </c>
      <c r="F49" s="39">
        <f t="shared" si="5"/>
        <v>-546.89999999999941</v>
      </c>
      <c r="G49" s="39">
        <f t="shared" si="6"/>
        <v>10996.9</v>
      </c>
      <c r="H49" s="175">
        <f t="shared" si="7"/>
        <v>-4.9732197255590159E-2</v>
      </c>
      <c r="I49" s="10"/>
      <c r="J49" s="39">
        <v>611</v>
      </c>
      <c r="K49" s="39"/>
      <c r="O49" s="78">
        <v>1.01</v>
      </c>
      <c r="P49" s="78">
        <f t="shared" si="8"/>
        <v>16.6145</v>
      </c>
      <c r="Q49" s="2"/>
    </row>
    <row r="50" spans="1:17" x14ac:dyDescent="0.25">
      <c r="B50" s="161">
        <v>43162</v>
      </c>
      <c r="C50" s="10">
        <v>200</v>
      </c>
      <c r="D50" s="39">
        <v>54.752000000000002</v>
      </c>
      <c r="E50" s="39">
        <v>51.07</v>
      </c>
      <c r="F50" s="39">
        <f t="shared" si="5"/>
        <v>-736.40000000000043</v>
      </c>
      <c r="G50" s="39">
        <f t="shared" si="6"/>
        <v>10950.4</v>
      </c>
      <c r="H50" s="175">
        <f t="shared" si="7"/>
        <v>-6.7248684979544157E-2</v>
      </c>
      <c r="I50" s="10"/>
      <c r="J50" s="39">
        <v>421</v>
      </c>
      <c r="K50" s="39"/>
      <c r="O50" s="78">
        <v>1</v>
      </c>
      <c r="P50" s="78">
        <f t="shared" si="8"/>
        <v>16.45</v>
      </c>
      <c r="Q50" s="2"/>
    </row>
    <row r="51" spans="1:17" x14ac:dyDescent="0.25">
      <c r="A51">
        <v>0</v>
      </c>
      <c r="B51" s="161">
        <v>43165</v>
      </c>
      <c r="C51" s="10">
        <v>250</v>
      </c>
      <c r="D51" s="39">
        <v>53.54</v>
      </c>
      <c r="E51" s="39">
        <v>48.75</v>
      </c>
      <c r="F51" s="39">
        <f t="shared" si="5"/>
        <v>-1197.4999999999998</v>
      </c>
      <c r="G51" s="39">
        <f t="shared" si="6"/>
        <v>13385</v>
      </c>
      <c r="H51" s="175">
        <f t="shared" si="7"/>
        <v>-8.9465819947702641E-2</v>
      </c>
      <c r="I51" s="10"/>
      <c r="J51" s="39">
        <v>-39</v>
      </c>
      <c r="K51" s="39"/>
      <c r="O51" s="78">
        <v>0.99</v>
      </c>
      <c r="P51" s="78">
        <f t="shared" si="8"/>
        <v>16.285499999999999</v>
      </c>
      <c r="Q51" s="2"/>
    </row>
    <row r="52" spans="1:17" x14ac:dyDescent="0.25">
      <c r="B52" s="161">
        <v>43167</v>
      </c>
      <c r="C52" s="10">
        <v>250</v>
      </c>
      <c r="D52" s="39">
        <v>53.54</v>
      </c>
      <c r="E52" s="39">
        <v>47.86</v>
      </c>
      <c r="F52" s="39">
        <f t="shared" ref="F52:F63" si="9">C52*(E52-D52)</f>
        <v>-1420</v>
      </c>
      <c r="G52" s="39">
        <f t="shared" ref="G52:G63" si="10">D52*C52</f>
        <v>13385</v>
      </c>
      <c r="H52" s="175">
        <f t="shared" ref="H52:H63" si="11">(E52-D52)/D52</f>
        <v>-0.10608890549122152</v>
      </c>
      <c r="I52" s="10"/>
      <c r="J52" s="39">
        <v>-262</v>
      </c>
      <c r="K52" s="39"/>
      <c r="O52" s="78">
        <v>0.98</v>
      </c>
      <c r="P52" s="78">
        <f t="shared" si="8"/>
        <v>16.120999999999999</v>
      </c>
      <c r="Q52" s="2"/>
    </row>
    <row r="53" spans="1:17" x14ac:dyDescent="0.25">
      <c r="B53" s="161">
        <v>43168</v>
      </c>
      <c r="C53" s="10">
        <v>250</v>
      </c>
      <c r="D53" s="39">
        <v>53.54</v>
      </c>
      <c r="E53" s="39">
        <v>48.9</v>
      </c>
      <c r="F53" s="39">
        <f t="shared" si="9"/>
        <v>-1160.0000000000002</v>
      </c>
      <c r="G53" s="39">
        <f t="shared" si="10"/>
        <v>13385</v>
      </c>
      <c r="H53" s="175">
        <f t="shared" si="11"/>
        <v>-8.666417631677252E-2</v>
      </c>
      <c r="I53" s="10"/>
      <c r="J53" s="39">
        <v>-2</v>
      </c>
      <c r="K53" s="39"/>
      <c r="O53" s="78">
        <v>0.97</v>
      </c>
      <c r="P53" s="78">
        <f t="shared" si="8"/>
        <v>15.956499999999998</v>
      </c>
      <c r="Q53" s="2"/>
    </row>
    <row r="54" spans="1:17" x14ac:dyDescent="0.25">
      <c r="B54" s="161">
        <v>43172</v>
      </c>
      <c r="C54" s="10">
        <v>250</v>
      </c>
      <c r="D54" s="39">
        <v>53.54</v>
      </c>
      <c r="E54" s="39">
        <v>47.91</v>
      </c>
      <c r="F54" s="39">
        <f t="shared" si="9"/>
        <v>-1407.5000000000007</v>
      </c>
      <c r="G54" s="39">
        <f t="shared" si="10"/>
        <v>13385</v>
      </c>
      <c r="H54" s="175">
        <f t="shared" si="11"/>
        <v>-0.10515502428091152</v>
      </c>
      <c r="I54" s="10"/>
      <c r="J54" s="39">
        <v>-249</v>
      </c>
      <c r="K54" s="39"/>
      <c r="O54" s="78">
        <v>0.96</v>
      </c>
      <c r="P54" s="78">
        <f t="shared" si="8"/>
        <v>15.791999999999998</v>
      </c>
      <c r="Q54" s="2"/>
    </row>
    <row r="55" spans="1:17" x14ac:dyDescent="0.25">
      <c r="B55" s="161">
        <v>43173</v>
      </c>
      <c r="C55" s="10">
        <v>350</v>
      </c>
      <c r="D55" s="39">
        <v>49.02</v>
      </c>
      <c r="E55" s="39">
        <v>38.22</v>
      </c>
      <c r="F55" s="39">
        <f t="shared" si="9"/>
        <v>-3780.0000000000014</v>
      </c>
      <c r="G55" s="39">
        <f t="shared" si="10"/>
        <v>17157</v>
      </c>
      <c r="H55" s="175">
        <f t="shared" si="11"/>
        <v>-0.22031823745410045</v>
      </c>
      <c r="I55" s="10"/>
      <c r="J55" s="39">
        <v>-2624</v>
      </c>
      <c r="K55" s="39"/>
      <c r="O55" s="78">
        <v>0.95</v>
      </c>
      <c r="P55" s="78">
        <f t="shared" si="8"/>
        <v>15.627499999999998</v>
      </c>
      <c r="Q55" s="2"/>
    </row>
    <row r="56" spans="1:17" x14ac:dyDescent="0.25">
      <c r="B56" s="161">
        <v>43180</v>
      </c>
      <c r="C56" s="7">
        <v>250</v>
      </c>
      <c r="D56" s="43">
        <v>52.753999999999998</v>
      </c>
      <c r="E56" s="39">
        <v>39.92</v>
      </c>
      <c r="F56" s="39">
        <f t="shared" si="9"/>
        <v>-3208.4999999999991</v>
      </c>
      <c r="G56" s="39">
        <f t="shared" si="10"/>
        <v>13188.5</v>
      </c>
      <c r="H56" s="175">
        <f t="shared" si="11"/>
        <v>-0.24328013041665081</v>
      </c>
      <c r="I56" s="10"/>
      <c r="J56" s="39">
        <v>-2051</v>
      </c>
      <c r="K56" s="39"/>
      <c r="O56" s="78">
        <v>0.94</v>
      </c>
      <c r="P56" s="78">
        <f t="shared" si="8"/>
        <v>15.462999999999999</v>
      </c>
    </row>
    <row r="57" spans="1:17" x14ac:dyDescent="0.25">
      <c r="A57">
        <v>150</v>
      </c>
      <c r="B57" s="161">
        <v>43198</v>
      </c>
      <c r="C57" s="10">
        <v>250</v>
      </c>
      <c r="D57" s="39">
        <v>52.753999999999998</v>
      </c>
      <c r="E57" s="39">
        <v>37.43</v>
      </c>
      <c r="F57" s="39">
        <f t="shared" si="9"/>
        <v>-3830.9999999999995</v>
      </c>
      <c r="G57" s="39">
        <f t="shared" si="10"/>
        <v>13188.5</v>
      </c>
      <c r="H57" s="175">
        <f t="shared" si="11"/>
        <v>-0.29048034272282669</v>
      </c>
      <c r="I57" s="10"/>
      <c r="J57" s="39">
        <v>-2673</v>
      </c>
      <c r="K57" s="39"/>
      <c r="O57" s="78">
        <v>0.93</v>
      </c>
      <c r="P57" s="78">
        <f t="shared" si="8"/>
        <v>15.298500000000001</v>
      </c>
    </row>
    <row r="58" spans="1:17" x14ac:dyDescent="0.25">
      <c r="A58">
        <v>250</v>
      </c>
      <c r="B58" s="161">
        <v>43216</v>
      </c>
      <c r="C58" s="10">
        <v>250</v>
      </c>
      <c r="D58" s="39">
        <v>52.753999999999998</v>
      </c>
      <c r="E58" s="39">
        <v>40.18</v>
      </c>
      <c r="F58" s="39">
        <f t="shared" si="9"/>
        <v>-3143.4999999999995</v>
      </c>
      <c r="G58" s="39">
        <f t="shared" si="10"/>
        <v>13188.5</v>
      </c>
      <c r="H58" s="175">
        <f t="shared" si="11"/>
        <v>-0.2383515941919096</v>
      </c>
      <c r="I58" s="10"/>
      <c r="J58" s="39">
        <v>-1986</v>
      </c>
      <c r="K58" s="39"/>
      <c r="O58" s="78">
        <v>0.92</v>
      </c>
      <c r="P58" s="78">
        <f t="shared" si="8"/>
        <v>15.134</v>
      </c>
    </row>
    <row r="59" spans="1:17" x14ac:dyDescent="0.25">
      <c r="A59">
        <v>250</v>
      </c>
      <c r="B59" s="161">
        <v>43250</v>
      </c>
      <c r="C59" s="10">
        <v>250</v>
      </c>
      <c r="D59" s="39">
        <v>52.75</v>
      </c>
      <c r="E59" s="39">
        <v>43.05</v>
      </c>
      <c r="F59" s="39">
        <f t="shared" si="9"/>
        <v>-2425.0000000000009</v>
      </c>
      <c r="G59" s="39">
        <f t="shared" si="10"/>
        <v>13187.5</v>
      </c>
      <c r="H59" s="175">
        <f t="shared" si="11"/>
        <v>-0.18388625592417068</v>
      </c>
      <c r="I59" s="39"/>
      <c r="J59" s="39">
        <v>-1268</v>
      </c>
      <c r="K59" s="39"/>
      <c r="O59" s="78">
        <v>0.91</v>
      </c>
      <c r="P59" s="78">
        <f t="shared" si="8"/>
        <v>14.9695</v>
      </c>
    </row>
    <row r="60" spans="1:17" x14ac:dyDescent="0.25">
      <c r="A60">
        <v>250</v>
      </c>
      <c r="B60" s="161">
        <v>43253</v>
      </c>
      <c r="C60" s="7">
        <v>250</v>
      </c>
      <c r="D60" s="43">
        <v>52.384</v>
      </c>
      <c r="E60" s="39">
        <v>42.61</v>
      </c>
      <c r="F60" s="39">
        <f t="shared" si="9"/>
        <v>-2443.5</v>
      </c>
      <c r="G60" s="39">
        <f t="shared" si="10"/>
        <v>13096</v>
      </c>
      <c r="H60" s="175">
        <f t="shared" si="11"/>
        <v>-0.18658368967623704</v>
      </c>
      <c r="I60" s="10"/>
      <c r="J60" s="39">
        <v>-1286</v>
      </c>
      <c r="K60" s="39"/>
      <c r="O60" s="78">
        <v>0.9</v>
      </c>
      <c r="P60" s="78">
        <f t="shared" si="8"/>
        <v>14.805</v>
      </c>
    </row>
    <row r="61" spans="1:17" x14ac:dyDescent="0.25">
      <c r="A61">
        <v>200</v>
      </c>
      <c r="B61" s="161">
        <v>43257</v>
      </c>
      <c r="C61" s="10">
        <v>200</v>
      </c>
      <c r="D61" s="39">
        <v>52.2301</v>
      </c>
      <c r="E61" s="39">
        <v>52.2699</v>
      </c>
      <c r="F61" s="39">
        <f t="shared" si="9"/>
        <v>7.9599999999999227</v>
      </c>
      <c r="G61" s="39">
        <f t="shared" si="10"/>
        <v>10446.02</v>
      </c>
      <c r="H61" s="175">
        <f t="shared" si="11"/>
        <v>7.6201270914663406E-4</v>
      </c>
      <c r="I61" s="10"/>
      <c r="J61" s="39">
        <v>1166</v>
      </c>
      <c r="K61" s="39"/>
    </row>
    <row r="62" spans="1:17" x14ac:dyDescent="0.25">
      <c r="A62">
        <v>100</v>
      </c>
      <c r="B62" s="161">
        <v>43259</v>
      </c>
      <c r="C62" s="10">
        <v>100</v>
      </c>
      <c r="D62" s="39">
        <v>49.2</v>
      </c>
      <c r="E62" s="39">
        <v>55.41</v>
      </c>
      <c r="F62" s="39">
        <f t="shared" si="9"/>
        <v>620.99999999999932</v>
      </c>
      <c r="G62" s="39">
        <f t="shared" si="10"/>
        <v>4920</v>
      </c>
      <c r="H62" s="175">
        <f t="shared" si="11"/>
        <v>0.12621951219512181</v>
      </c>
      <c r="I62" s="10"/>
      <c r="J62" s="39">
        <v>1779</v>
      </c>
      <c r="K62" s="39"/>
    </row>
    <row r="63" spans="1:17" x14ac:dyDescent="0.25">
      <c r="A63">
        <v>50</v>
      </c>
      <c r="B63" s="161">
        <v>43264</v>
      </c>
      <c r="C63" s="10">
        <v>50</v>
      </c>
      <c r="D63" s="39">
        <v>39.522599999999997</v>
      </c>
      <c r="E63" s="39">
        <v>57.09</v>
      </c>
      <c r="F63" s="39">
        <f t="shared" si="9"/>
        <v>878.37000000000035</v>
      </c>
      <c r="G63" s="39">
        <f t="shared" si="10"/>
        <v>1976.1299999999999</v>
      </c>
      <c r="H63" s="175">
        <f t="shared" si="11"/>
        <v>0.44448998800686207</v>
      </c>
      <c r="I63" s="10"/>
      <c r="J63" s="39">
        <v>2036</v>
      </c>
      <c r="K63" s="39"/>
    </row>
    <row r="64" spans="1:17" x14ac:dyDescent="0.25">
      <c r="B64" s="161">
        <v>43287</v>
      </c>
      <c r="C64" s="10">
        <v>0</v>
      </c>
      <c r="D64" s="39"/>
      <c r="E64" s="39"/>
      <c r="F64" s="39">
        <v>973.83</v>
      </c>
      <c r="G64" s="10"/>
      <c r="H64" s="10"/>
      <c r="I64" s="10"/>
      <c r="J64" s="39">
        <v>2131.6999999999998</v>
      </c>
      <c r="K64" s="39"/>
    </row>
    <row r="65" spans="2:11" x14ac:dyDescent="0.25">
      <c r="B65" s="10"/>
      <c r="C65" s="10"/>
      <c r="D65" s="39"/>
      <c r="E65" s="39"/>
      <c r="F65" s="39"/>
      <c r="G65" s="10"/>
      <c r="H65" s="10"/>
      <c r="I65" s="10"/>
      <c r="J65" s="39"/>
      <c r="K65" s="39"/>
    </row>
    <row r="66" spans="2:11" x14ac:dyDescent="0.25">
      <c r="B66" s="10"/>
      <c r="C66" s="10"/>
      <c r="D66" s="39"/>
      <c r="E66" s="39"/>
      <c r="F66" s="39"/>
      <c r="G66" s="10"/>
      <c r="H66" s="10"/>
      <c r="I66" s="10"/>
      <c r="J66" s="39"/>
      <c r="K66" s="39"/>
    </row>
    <row r="67" spans="2:11" x14ac:dyDescent="0.25">
      <c r="B67" s="10"/>
      <c r="C67" s="10"/>
      <c r="D67" s="39"/>
      <c r="E67" s="39"/>
      <c r="F67" s="39"/>
      <c r="G67" s="10"/>
      <c r="H67" s="10"/>
      <c r="I67" s="10"/>
      <c r="J67" s="39"/>
      <c r="K67" s="39"/>
    </row>
    <row r="68" spans="2:11" x14ac:dyDescent="0.25">
      <c r="B68" s="10"/>
      <c r="C68" s="10"/>
      <c r="D68" s="39"/>
      <c r="E68" s="39"/>
      <c r="F68" s="39"/>
      <c r="G68" s="10"/>
      <c r="H68" s="10"/>
      <c r="I68" s="10"/>
      <c r="J68" s="39"/>
      <c r="K68" s="39"/>
    </row>
    <row r="75" spans="2:11" x14ac:dyDescent="0.25">
      <c r="B75" s="290">
        <v>42516</v>
      </c>
      <c r="C75" s="291">
        <v>20</v>
      </c>
      <c r="D75" s="292">
        <v>96.2</v>
      </c>
      <c r="E75" s="292">
        <v>97</v>
      </c>
      <c r="F75" s="292">
        <f t="shared" ref="F75:F83" si="12">C75*(E75-D75)</f>
        <v>15.999999999999943</v>
      </c>
      <c r="G75" s="292">
        <f t="shared" ref="G75:G83" si="13">D75*C75</f>
        <v>1924</v>
      </c>
      <c r="H75" s="293">
        <f t="shared" ref="H75:H83" si="14">(E75-D75)/D75</f>
        <v>8.316008316008287E-3</v>
      </c>
      <c r="I75" s="293"/>
    </row>
    <row r="76" spans="2:11" x14ac:dyDescent="0.25">
      <c r="B76" s="290">
        <v>42522</v>
      </c>
      <c r="C76" s="291">
        <v>20</v>
      </c>
      <c r="D76" s="292">
        <v>96.2</v>
      </c>
      <c r="E76" s="292">
        <v>98.73</v>
      </c>
      <c r="F76" s="292">
        <f t="shared" si="12"/>
        <v>50.600000000000023</v>
      </c>
      <c r="G76" s="292">
        <f t="shared" si="13"/>
        <v>1924</v>
      </c>
      <c r="H76" s="293">
        <f t="shared" si="14"/>
        <v>2.6299376299376311E-2</v>
      </c>
      <c r="I76" s="293"/>
    </row>
    <row r="77" spans="2:11" x14ac:dyDescent="0.25">
      <c r="B77" s="290">
        <v>42527</v>
      </c>
      <c r="C77" s="291">
        <v>45</v>
      </c>
      <c r="D77" s="292">
        <v>90.305599999999998</v>
      </c>
      <c r="E77" s="292">
        <v>86.39</v>
      </c>
      <c r="F77" s="292">
        <f t="shared" si="12"/>
        <v>-176.20199999999988</v>
      </c>
      <c r="G77" s="292">
        <f t="shared" si="13"/>
        <v>4063.752</v>
      </c>
      <c r="H77" s="293">
        <f t="shared" si="14"/>
        <v>-4.3359437288495929E-2</v>
      </c>
      <c r="I77" s="294"/>
    </row>
    <row r="78" spans="2:11" x14ac:dyDescent="0.25">
      <c r="B78" s="290">
        <v>42529</v>
      </c>
      <c r="C78" s="291">
        <v>25</v>
      </c>
      <c r="D78" s="292">
        <v>91.3596</v>
      </c>
      <c r="E78" s="292">
        <v>89.31</v>
      </c>
      <c r="F78" s="292">
        <f t="shared" si="12"/>
        <v>-51.239999999999952</v>
      </c>
      <c r="G78" s="292">
        <f t="shared" si="13"/>
        <v>2283.9899999999998</v>
      </c>
      <c r="H78" s="293">
        <f t="shared" si="14"/>
        <v>-2.2434423968581276E-2</v>
      </c>
      <c r="I78" s="293"/>
    </row>
    <row r="79" spans="2:11" x14ac:dyDescent="0.25">
      <c r="B79" s="290">
        <v>42534</v>
      </c>
      <c r="C79" s="291">
        <v>25</v>
      </c>
      <c r="D79" s="292">
        <v>91.3596</v>
      </c>
      <c r="E79" s="292">
        <v>85.51</v>
      </c>
      <c r="F79" s="292">
        <f t="shared" si="12"/>
        <v>-146.2399999999999</v>
      </c>
      <c r="G79" s="292">
        <f t="shared" si="13"/>
        <v>2283.9899999999998</v>
      </c>
      <c r="H79" s="293">
        <f t="shared" si="14"/>
        <v>-6.402830134983073E-2</v>
      </c>
      <c r="I79" s="293"/>
    </row>
    <row r="80" spans="2:11" x14ac:dyDescent="0.25">
      <c r="B80" s="290">
        <v>42535</v>
      </c>
      <c r="C80" s="291">
        <v>50</v>
      </c>
      <c r="D80" s="292">
        <v>87.0548</v>
      </c>
      <c r="E80" s="292">
        <v>83.87</v>
      </c>
      <c r="F80" s="292">
        <f t="shared" si="12"/>
        <v>-159.23999999999978</v>
      </c>
      <c r="G80" s="292">
        <f t="shared" si="13"/>
        <v>4352.74</v>
      </c>
      <c r="H80" s="293">
        <f t="shared" si="14"/>
        <v>-3.6583852929419118E-2</v>
      </c>
      <c r="I80" s="293"/>
    </row>
    <row r="81" spans="2:9" x14ac:dyDescent="0.25">
      <c r="B81" s="290">
        <v>42541</v>
      </c>
      <c r="C81" s="291">
        <v>25</v>
      </c>
      <c r="D81" s="292">
        <v>87.521600000000007</v>
      </c>
      <c r="E81" s="292">
        <v>86.01</v>
      </c>
      <c r="F81" s="292">
        <f t="shared" si="12"/>
        <v>-37.790000000000035</v>
      </c>
      <c r="G81" s="292">
        <f t="shared" si="13"/>
        <v>2188.04</v>
      </c>
      <c r="H81" s="293">
        <f t="shared" si="14"/>
        <v>-1.7271165060967823E-2</v>
      </c>
      <c r="I81" s="293"/>
    </row>
    <row r="82" spans="2:9" x14ac:dyDescent="0.25">
      <c r="B82" s="290">
        <v>42546</v>
      </c>
      <c r="C82" s="291">
        <v>25</v>
      </c>
      <c r="D82" s="292">
        <v>87.521600000000007</v>
      </c>
      <c r="E82" s="292">
        <v>82.02</v>
      </c>
      <c r="F82" s="292">
        <f t="shared" si="12"/>
        <v>-137.54000000000025</v>
      </c>
      <c r="G82" s="292">
        <f t="shared" si="13"/>
        <v>2188.04</v>
      </c>
      <c r="H82" s="293">
        <f t="shared" si="14"/>
        <v>-6.285991115336112E-2</v>
      </c>
      <c r="I82" s="293"/>
    </row>
    <row r="83" spans="2:9" x14ac:dyDescent="0.25">
      <c r="B83" s="290">
        <v>42548</v>
      </c>
      <c r="C83" s="291">
        <v>75</v>
      </c>
      <c r="D83" s="292">
        <v>81.493899999999996</v>
      </c>
      <c r="E83" s="292">
        <v>79.260000000000005</v>
      </c>
      <c r="F83" s="292">
        <f t="shared" si="12"/>
        <v>-167.54249999999934</v>
      </c>
      <c r="G83" s="292">
        <f t="shared" si="13"/>
        <v>6112.0424999999996</v>
      </c>
      <c r="H83" s="293">
        <f t="shared" si="14"/>
        <v>-2.7411867636718715E-2</v>
      </c>
      <c r="I83" s="293"/>
    </row>
    <row r="84" spans="2:9" x14ac:dyDescent="0.25">
      <c r="B84" s="290">
        <v>42549</v>
      </c>
      <c r="C84" s="291">
        <v>75</v>
      </c>
      <c r="D84" s="292">
        <v>81.493899999999996</v>
      </c>
      <c r="E84" s="292">
        <v>80.72</v>
      </c>
      <c r="F84" s="292">
        <f t="shared" ref="F84:F96" si="15">C84*(E84-D84)</f>
        <v>-58.042499999999819</v>
      </c>
      <c r="G84" s="292">
        <f t="shared" ref="G84:G96" si="16">D84*C84</f>
        <v>6112.0424999999996</v>
      </c>
      <c r="H84" s="293">
        <f t="shared" ref="H84:H96" si="17">(E84-D84)/D84</f>
        <v>-9.4964162961890114E-3</v>
      </c>
      <c r="I84" s="293"/>
    </row>
    <row r="85" spans="2:9" x14ac:dyDescent="0.25">
      <c r="B85" s="290">
        <v>42552</v>
      </c>
      <c r="C85" s="291">
        <v>55</v>
      </c>
      <c r="D85" s="292">
        <v>80.590500000000006</v>
      </c>
      <c r="E85" s="292">
        <v>84.15</v>
      </c>
      <c r="F85" s="292">
        <f t="shared" si="15"/>
        <v>195.77249999999998</v>
      </c>
      <c r="G85" s="292">
        <f t="shared" si="16"/>
        <v>4432.4775</v>
      </c>
      <c r="H85" s="293">
        <f t="shared" si="17"/>
        <v>4.4167736892065435E-2</v>
      </c>
      <c r="I85" s="293"/>
    </row>
    <row r="86" spans="2:9" x14ac:dyDescent="0.25">
      <c r="B86" s="290">
        <v>42556</v>
      </c>
      <c r="C86" s="291">
        <v>55</v>
      </c>
      <c r="D86" s="292">
        <v>80.590500000000006</v>
      </c>
      <c r="E86" s="292">
        <v>81.290000000000006</v>
      </c>
      <c r="F86" s="292">
        <f t="shared" si="15"/>
        <v>38.472500000000025</v>
      </c>
      <c r="G86" s="292">
        <f t="shared" si="16"/>
        <v>4432.4775</v>
      </c>
      <c r="H86" s="293">
        <f t="shared" si="17"/>
        <v>8.6796830891978632E-3</v>
      </c>
      <c r="I86" s="293"/>
    </row>
    <row r="87" spans="2:9" x14ac:dyDescent="0.25">
      <c r="B87" s="290">
        <v>42563</v>
      </c>
      <c r="C87" s="291">
        <v>55</v>
      </c>
      <c r="D87" s="292">
        <v>80.590500000000006</v>
      </c>
      <c r="E87" s="292">
        <v>89.07</v>
      </c>
      <c r="F87" s="292">
        <f t="shared" si="15"/>
        <v>466.37249999999932</v>
      </c>
      <c r="G87" s="292">
        <f t="shared" si="16"/>
        <v>4432.4775</v>
      </c>
      <c r="H87" s="293">
        <f t="shared" si="17"/>
        <v>0.10521711616133399</v>
      </c>
      <c r="I87" s="293"/>
    </row>
    <row r="88" spans="2:9" x14ac:dyDescent="0.25">
      <c r="B88" s="290">
        <v>42566</v>
      </c>
      <c r="C88" s="291">
        <v>55</v>
      </c>
      <c r="D88" s="292">
        <v>80.590500000000006</v>
      </c>
      <c r="E88" s="292">
        <v>90.34</v>
      </c>
      <c r="F88" s="292">
        <f t="shared" si="15"/>
        <v>536.22249999999985</v>
      </c>
      <c r="G88" s="292">
        <f t="shared" si="16"/>
        <v>4432.4775</v>
      </c>
      <c r="H88" s="293">
        <f t="shared" si="17"/>
        <v>0.12097579739547462</v>
      </c>
      <c r="I88" s="293"/>
    </row>
    <row r="89" spans="2:9" x14ac:dyDescent="0.25">
      <c r="B89" s="290">
        <v>42569</v>
      </c>
      <c r="C89" s="291">
        <v>50</v>
      </c>
      <c r="D89" s="292">
        <v>79.449799999999996</v>
      </c>
      <c r="E89" s="292">
        <v>92.26</v>
      </c>
      <c r="F89" s="292">
        <f t="shared" si="15"/>
        <v>640.51000000000045</v>
      </c>
      <c r="G89" s="292">
        <f t="shared" si="16"/>
        <v>3972.49</v>
      </c>
      <c r="H89" s="293">
        <f t="shared" si="17"/>
        <v>0.16123640336413697</v>
      </c>
      <c r="I89" s="293"/>
    </row>
    <row r="90" spans="2:9" x14ac:dyDescent="0.25">
      <c r="B90" s="290">
        <v>42570</v>
      </c>
      <c r="C90" s="291">
        <v>50</v>
      </c>
      <c r="D90" s="292">
        <v>79.449799999999996</v>
      </c>
      <c r="E90" s="292">
        <v>90.39</v>
      </c>
      <c r="F90" s="292">
        <f t="shared" si="15"/>
        <v>547.01000000000022</v>
      </c>
      <c r="G90" s="292">
        <f t="shared" si="16"/>
        <v>3972.49</v>
      </c>
      <c r="H90" s="293">
        <f t="shared" si="17"/>
        <v>0.13769952850730907</v>
      </c>
      <c r="I90" s="293"/>
    </row>
    <row r="91" spans="2:9" x14ac:dyDescent="0.25">
      <c r="B91" s="290">
        <v>42571</v>
      </c>
      <c r="C91" s="291">
        <v>50</v>
      </c>
      <c r="D91" s="292">
        <v>79.449799999999996</v>
      </c>
      <c r="E91" s="292">
        <v>89.55</v>
      </c>
      <c r="F91" s="292">
        <f t="shared" si="15"/>
        <v>505.01000000000005</v>
      </c>
      <c r="G91" s="292">
        <f t="shared" si="16"/>
        <v>3972.49</v>
      </c>
      <c r="H91" s="293">
        <f t="shared" si="17"/>
        <v>0.12712681466787834</v>
      </c>
      <c r="I91" s="293"/>
    </row>
    <row r="92" spans="2:9" x14ac:dyDescent="0.25">
      <c r="B92" s="290">
        <v>42572</v>
      </c>
      <c r="C92" s="291">
        <v>50</v>
      </c>
      <c r="D92" s="292">
        <v>79.449799999999996</v>
      </c>
      <c r="E92" s="292">
        <v>87.46</v>
      </c>
      <c r="F92" s="292">
        <f t="shared" si="15"/>
        <v>400.50999999999988</v>
      </c>
      <c r="G92" s="292">
        <f t="shared" si="16"/>
        <v>3972.49</v>
      </c>
      <c r="H92" s="293">
        <f t="shared" si="17"/>
        <v>0.1008208957102472</v>
      </c>
      <c r="I92" s="293"/>
    </row>
    <row r="93" spans="2:9" x14ac:dyDescent="0.25">
      <c r="B93" s="290">
        <v>42575</v>
      </c>
      <c r="C93" s="291">
        <v>50</v>
      </c>
      <c r="D93" s="292">
        <v>79.449799999999996</v>
      </c>
      <c r="E93" s="292">
        <v>89.53</v>
      </c>
      <c r="F93" s="292">
        <f t="shared" si="15"/>
        <v>504.01000000000022</v>
      </c>
      <c r="G93" s="292">
        <f t="shared" si="16"/>
        <v>3972.49</v>
      </c>
      <c r="H93" s="293">
        <f t="shared" si="17"/>
        <v>0.12687508338598719</v>
      </c>
      <c r="I93" s="293"/>
    </row>
    <row r="94" spans="2:9" x14ac:dyDescent="0.25">
      <c r="B94" s="290">
        <v>42576</v>
      </c>
      <c r="C94" s="291">
        <v>50</v>
      </c>
      <c r="D94" s="292">
        <v>79.449799999999996</v>
      </c>
      <c r="E94" s="292">
        <v>88.86</v>
      </c>
      <c r="F94" s="292">
        <f t="shared" si="15"/>
        <v>470.51000000000016</v>
      </c>
      <c r="G94" s="292">
        <f t="shared" si="16"/>
        <v>3972.49</v>
      </c>
      <c r="H94" s="293">
        <f t="shared" si="17"/>
        <v>0.11844208544263174</v>
      </c>
      <c r="I94" s="293"/>
    </row>
    <row r="95" spans="2:9" x14ac:dyDescent="0.25">
      <c r="B95" s="290">
        <v>42577</v>
      </c>
      <c r="C95" s="291">
        <v>50</v>
      </c>
      <c r="D95" s="292">
        <v>79.449799999999996</v>
      </c>
      <c r="E95" s="292">
        <v>89.46</v>
      </c>
      <c r="F95" s="292">
        <f t="shared" si="15"/>
        <v>500.50999999999988</v>
      </c>
      <c r="G95" s="292">
        <f t="shared" si="16"/>
        <v>3972.49</v>
      </c>
      <c r="H95" s="293">
        <f t="shared" si="17"/>
        <v>0.12599402389936787</v>
      </c>
      <c r="I95" s="293"/>
    </row>
    <row r="96" spans="2:9" x14ac:dyDescent="0.25">
      <c r="B96" s="290">
        <v>42580</v>
      </c>
      <c r="C96" s="291">
        <v>30</v>
      </c>
      <c r="D96" s="292">
        <v>73.937700000000007</v>
      </c>
      <c r="E96" s="292">
        <v>87.72</v>
      </c>
      <c r="F96" s="292">
        <f t="shared" si="15"/>
        <v>413.46899999999977</v>
      </c>
      <c r="G96" s="292">
        <f t="shared" si="16"/>
        <v>2218.1310000000003</v>
      </c>
      <c r="H96" s="293">
        <f t="shared" si="17"/>
        <v>0.18640422950673324</v>
      </c>
      <c r="I96" s="293"/>
    </row>
    <row r="97" spans="2:9" x14ac:dyDescent="0.25">
      <c r="B97" s="290">
        <v>42580</v>
      </c>
      <c r="C97" s="291">
        <v>0</v>
      </c>
      <c r="D97" s="292"/>
      <c r="E97" s="292"/>
      <c r="F97" s="292">
        <v>420.99</v>
      </c>
      <c r="G97" s="292"/>
      <c r="H97" s="293"/>
      <c r="I97" s="293"/>
    </row>
    <row r="98" spans="2:9" x14ac:dyDescent="0.25">
      <c r="B98" s="291"/>
      <c r="C98" s="291"/>
      <c r="D98" s="292"/>
      <c r="E98" s="292"/>
      <c r="F98" s="292"/>
      <c r="G98" s="291"/>
      <c r="H98" s="291"/>
      <c r="I98" s="291"/>
    </row>
    <row r="99" spans="2:9" x14ac:dyDescent="0.25">
      <c r="B99" s="405" t="s">
        <v>113</v>
      </c>
      <c r="C99" s="405" t="s">
        <v>143</v>
      </c>
      <c r="D99" s="406" t="s">
        <v>142</v>
      </c>
      <c r="E99" s="407" t="s">
        <v>144</v>
      </c>
      <c r="F99" s="408" t="s">
        <v>65</v>
      </c>
      <c r="G99" s="409" t="s">
        <v>148</v>
      </c>
      <c r="H99" s="408" t="s">
        <v>88</v>
      </c>
      <c r="I99" s="408" t="s">
        <v>151</v>
      </c>
    </row>
    <row r="100" spans="2:9" x14ac:dyDescent="0.25">
      <c r="B100" s="290">
        <v>42608</v>
      </c>
      <c r="C100" s="291">
        <v>25</v>
      </c>
      <c r="D100" s="292">
        <v>78.95</v>
      </c>
      <c r="E100" s="292">
        <v>80.650000000000006</v>
      </c>
      <c r="F100" s="292">
        <f t="shared" ref="F100:F116" si="18">C100*(E100-D100)</f>
        <v>42.500000000000071</v>
      </c>
      <c r="G100" s="292">
        <f t="shared" ref="G100:G116" si="19">D100*C100</f>
        <v>1973.75</v>
      </c>
      <c r="H100" s="293">
        <f t="shared" ref="H100:H116" si="20">(E100-D100)/D100</f>
        <v>2.1532615579480718E-2</v>
      </c>
      <c r="I100" s="293"/>
    </row>
    <row r="101" spans="2:9" x14ac:dyDescent="0.25">
      <c r="B101" s="290">
        <v>42609</v>
      </c>
      <c r="C101" s="291">
        <v>25</v>
      </c>
      <c r="D101" s="292">
        <v>78.95</v>
      </c>
      <c r="E101" s="292">
        <v>80.180000000000007</v>
      </c>
      <c r="F101" s="292">
        <f t="shared" si="18"/>
        <v>30.750000000000099</v>
      </c>
      <c r="G101" s="292">
        <f t="shared" si="19"/>
        <v>1973.75</v>
      </c>
      <c r="H101" s="293">
        <f t="shared" si="20"/>
        <v>1.5579480683977251E-2</v>
      </c>
      <c r="I101" s="293"/>
    </row>
    <row r="102" spans="2:9" x14ac:dyDescent="0.25">
      <c r="B102" s="290">
        <v>42613</v>
      </c>
      <c r="C102" s="291">
        <v>25</v>
      </c>
      <c r="D102" s="292">
        <v>78.95</v>
      </c>
      <c r="E102" s="292">
        <v>81.98</v>
      </c>
      <c r="F102" s="292">
        <f t="shared" si="18"/>
        <v>75.750000000000028</v>
      </c>
      <c r="G102" s="292">
        <f t="shared" si="19"/>
        <v>1973.75</v>
      </c>
      <c r="H102" s="293">
        <f t="shared" si="20"/>
        <v>3.8378720709309699E-2</v>
      </c>
      <c r="I102" s="293"/>
    </row>
    <row r="103" spans="2:9" x14ac:dyDescent="0.25">
      <c r="B103" s="290">
        <v>42619</v>
      </c>
      <c r="C103" s="291">
        <v>25</v>
      </c>
      <c r="D103" s="292">
        <v>78.95</v>
      </c>
      <c r="E103" s="292">
        <v>81.099999999999994</v>
      </c>
      <c r="F103" s="292">
        <f t="shared" si="18"/>
        <v>53.749999999999787</v>
      </c>
      <c r="G103" s="292">
        <f t="shared" si="19"/>
        <v>1973.75</v>
      </c>
      <c r="H103" s="293">
        <f t="shared" si="20"/>
        <v>2.7232425585813697E-2</v>
      </c>
      <c r="I103" s="293"/>
    </row>
    <row r="104" spans="2:9" x14ac:dyDescent="0.25">
      <c r="B104" s="290">
        <v>42620</v>
      </c>
      <c r="C104" s="291">
        <v>25</v>
      </c>
      <c r="D104" s="292">
        <v>78.95</v>
      </c>
      <c r="E104" s="292">
        <v>82.48</v>
      </c>
      <c r="F104" s="292">
        <f t="shared" si="18"/>
        <v>88.250000000000028</v>
      </c>
      <c r="G104" s="292">
        <f t="shared" si="19"/>
        <v>1973.75</v>
      </c>
      <c r="H104" s="293">
        <f t="shared" si="20"/>
        <v>4.4711842938568724E-2</v>
      </c>
      <c r="I104" s="293"/>
    </row>
    <row r="105" spans="2:9" x14ac:dyDescent="0.25">
      <c r="B105" s="290">
        <v>42621</v>
      </c>
      <c r="C105" s="291">
        <v>25</v>
      </c>
      <c r="D105" s="292">
        <v>78.95</v>
      </c>
      <c r="E105" s="292">
        <v>81.77</v>
      </c>
      <c r="F105" s="292">
        <f t="shared" si="18"/>
        <v>70.499999999999829</v>
      </c>
      <c r="G105" s="292">
        <f t="shared" si="19"/>
        <v>1973.75</v>
      </c>
      <c r="H105" s="293">
        <f t="shared" si="20"/>
        <v>3.5718809373020813E-2</v>
      </c>
      <c r="I105" s="293"/>
    </row>
    <row r="106" spans="2:9" x14ac:dyDescent="0.25">
      <c r="B106" s="290">
        <v>42622</v>
      </c>
      <c r="C106" s="291">
        <v>25</v>
      </c>
      <c r="D106" s="292">
        <v>78.95</v>
      </c>
      <c r="E106" s="292">
        <v>76.900000000000006</v>
      </c>
      <c r="F106" s="292">
        <f t="shared" si="18"/>
        <v>-51.249999999999929</v>
      </c>
      <c r="G106" s="292">
        <f t="shared" si="19"/>
        <v>1973.75</v>
      </c>
      <c r="H106" s="293">
        <f t="shared" si="20"/>
        <v>-2.5965801139961966E-2</v>
      </c>
      <c r="I106" s="293"/>
    </row>
    <row r="107" spans="2:9" x14ac:dyDescent="0.25">
      <c r="B107" s="290">
        <v>42629</v>
      </c>
      <c r="C107" s="291">
        <v>25</v>
      </c>
      <c r="D107" s="292">
        <v>78.95</v>
      </c>
      <c r="E107" s="292">
        <v>77.77</v>
      </c>
      <c r="F107" s="292">
        <f t="shared" si="18"/>
        <v>-29.500000000000171</v>
      </c>
      <c r="G107" s="292">
        <f t="shared" si="19"/>
        <v>1973.75</v>
      </c>
      <c r="H107" s="293">
        <f t="shared" si="20"/>
        <v>-1.4946168461051384E-2</v>
      </c>
      <c r="I107" s="293"/>
    </row>
    <row r="108" spans="2:9" x14ac:dyDescent="0.25">
      <c r="B108" s="290">
        <v>42633</v>
      </c>
      <c r="C108" s="291">
        <v>25</v>
      </c>
      <c r="D108" s="292">
        <v>78.95</v>
      </c>
      <c r="E108" s="292">
        <v>75.52</v>
      </c>
      <c r="F108" s="292">
        <f t="shared" si="18"/>
        <v>-85.750000000000171</v>
      </c>
      <c r="G108" s="292">
        <f t="shared" si="19"/>
        <v>1973.75</v>
      </c>
      <c r="H108" s="293">
        <f t="shared" si="20"/>
        <v>-4.3445218492716993E-2</v>
      </c>
      <c r="I108" s="293"/>
    </row>
    <row r="109" spans="2:9" x14ac:dyDescent="0.25">
      <c r="B109" s="290">
        <v>42635</v>
      </c>
      <c r="C109" s="291">
        <v>25</v>
      </c>
      <c r="D109" s="292">
        <v>78.95</v>
      </c>
      <c r="E109" s="292">
        <v>77.27</v>
      </c>
      <c r="F109" s="292">
        <f t="shared" si="18"/>
        <v>-42.000000000000171</v>
      </c>
      <c r="G109" s="292">
        <f t="shared" si="19"/>
        <v>1973.75</v>
      </c>
      <c r="H109" s="293">
        <f t="shared" si="20"/>
        <v>-2.1279290690310409E-2</v>
      </c>
      <c r="I109" s="293"/>
    </row>
    <row r="110" spans="2:9" x14ac:dyDescent="0.25">
      <c r="B110" s="290">
        <v>42636</v>
      </c>
      <c r="C110" s="291">
        <v>25</v>
      </c>
      <c r="D110" s="292">
        <v>78.95</v>
      </c>
      <c r="E110" s="292">
        <v>78.97</v>
      </c>
      <c r="F110" s="292">
        <f t="shared" si="18"/>
        <v>0.49999999999990052</v>
      </c>
      <c r="G110" s="292">
        <f t="shared" si="19"/>
        <v>1973.75</v>
      </c>
      <c r="H110" s="293">
        <f t="shared" si="20"/>
        <v>2.533248891703106E-4</v>
      </c>
      <c r="I110" s="293"/>
    </row>
    <row r="111" spans="2:9" x14ac:dyDescent="0.25">
      <c r="B111" s="290">
        <v>42639</v>
      </c>
      <c r="C111" s="291">
        <v>55</v>
      </c>
      <c r="D111" s="292">
        <v>76.400000000000006</v>
      </c>
      <c r="E111" s="292">
        <v>76.31</v>
      </c>
      <c r="F111" s="292">
        <f t="shared" si="18"/>
        <v>-4.9500000000001876</v>
      </c>
      <c r="G111" s="292">
        <f t="shared" si="19"/>
        <v>4202</v>
      </c>
      <c r="H111" s="293">
        <f t="shared" si="20"/>
        <v>-1.1780104712042331E-3</v>
      </c>
      <c r="I111" s="293"/>
    </row>
    <row r="112" spans="2:9" x14ac:dyDescent="0.25">
      <c r="B112" s="290">
        <v>42643</v>
      </c>
      <c r="C112" s="291">
        <v>55</v>
      </c>
      <c r="D112" s="292">
        <v>76.402699999999996</v>
      </c>
      <c r="E112" s="292">
        <v>74.53</v>
      </c>
      <c r="F112" s="292">
        <f t="shared" si="18"/>
        <v>-102.99849999999971</v>
      </c>
      <c r="G112" s="292">
        <f t="shared" si="19"/>
        <v>4202.1484999999993</v>
      </c>
      <c r="H112" s="293">
        <f t="shared" si="20"/>
        <v>-2.4510913881315644E-2</v>
      </c>
      <c r="I112" s="293"/>
    </row>
    <row r="113" spans="1:10" x14ac:dyDescent="0.25">
      <c r="B113" s="290">
        <v>42646</v>
      </c>
      <c r="C113" s="291">
        <v>55</v>
      </c>
      <c r="D113" s="292">
        <v>76.402699999999996</v>
      </c>
      <c r="E113" s="292">
        <v>75.72</v>
      </c>
      <c r="F113" s="292">
        <f t="shared" si="18"/>
        <v>-37.548499999999834</v>
      </c>
      <c r="G113" s="292">
        <f t="shared" si="19"/>
        <v>4202.1484999999993</v>
      </c>
      <c r="H113" s="293">
        <f t="shared" si="20"/>
        <v>-8.9355480892690572E-3</v>
      </c>
      <c r="I113" s="293"/>
    </row>
    <row r="114" spans="1:10" x14ac:dyDescent="0.25">
      <c r="B114" s="290">
        <v>42647</v>
      </c>
      <c r="C114" s="291">
        <v>55</v>
      </c>
      <c r="D114" s="292">
        <v>76.402699999999996</v>
      </c>
      <c r="E114" s="292">
        <v>77.819999999999993</v>
      </c>
      <c r="F114" s="292">
        <f t="shared" si="18"/>
        <v>77.951499999999854</v>
      </c>
      <c r="G114" s="292">
        <f t="shared" si="19"/>
        <v>4202.1484999999993</v>
      </c>
      <c r="H114" s="293">
        <f t="shared" si="20"/>
        <v>1.8550391543754308E-2</v>
      </c>
      <c r="I114" s="293"/>
    </row>
    <row r="115" spans="1:10" x14ac:dyDescent="0.25">
      <c r="B115" s="290">
        <v>42648</v>
      </c>
      <c r="C115" s="291">
        <v>30</v>
      </c>
      <c r="D115" s="292">
        <v>74.272999999999996</v>
      </c>
      <c r="E115" s="292">
        <v>81.430000000000007</v>
      </c>
      <c r="F115" s="292">
        <f t="shared" si="18"/>
        <v>214.71000000000032</v>
      </c>
      <c r="G115" s="292">
        <f t="shared" si="19"/>
        <v>2228.19</v>
      </c>
      <c r="H115" s="293">
        <f t="shared" si="20"/>
        <v>9.6360723277638047E-2</v>
      </c>
      <c r="I115" s="293"/>
    </row>
    <row r="116" spans="1:10" x14ac:dyDescent="0.25">
      <c r="B116" s="290">
        <v>42649</v>
      </c>
      <c r="C116" s="291">
        <v>30</v>
      </c>
      <c r="D116" s="292">
        <v>74.272999999999996</v>
      </c>
      <c r="E116" s="292">
        <v>80.069999999999993</v>
      </c>
      <c r="F116" s="292">
        <f t="shared" si="18"/>
        <v>173.90999999999991</v>
      </c>
      <c r="G116" s="292">
        <f t="shared" si="19"/>
        <v>2228.19</v>
      </c>
      <c r="H116" s="293">
        <f t="shared" si="20"/>
        <v>7.8049897001602156E-2</v>
      </c>
      <c r="I116" s="293"/>
    </row>
    <row r="117" spans="1:10" x14ac:dyDescent="0.25">
      <c r="B117" s="290">
        <v>42671</v>
      </c>
      <c r="C117" s="291">
        <v>0</v>
      </c>
      <c r="D117" s="292"/>
      <c r="E117" s="292"/>
      <c r="F117" s="292">
        <v>234.16</v>
      </c>
      <c r="G117" s="292"/>
      <c r="H117" s="293"/>
      <c r="I117" s="293"/>
    </row>
    <row r="118" spans="1:10" x14ac:dyDescent="0.25">
      <c r="B118" s="290"/>
      <c r="C118" s="291"/>
      <c r="D118" s="292"/>
      <c r="E118" s="292"/>
      <c r="F118" s="292"/>
      <c r="G118" s="292"/>
      <c r="H118" s="293"/>
      <c r="I118" s="293"/>
    </row>
    <row r="120" spans="1:10" x14ac:dyDescent="0.25">
      <c r="B120" s="161">
        <v>42746</v>
      </c>
      <c r="C120" s="10">
        <v>30</v>
      </c>
      <c r="D120" s="39">
        <v>81.81</v>
      </c>
      <c r="E120" s="39">
        <v>84.7</v>
      </c>
      <c r="F120" s="39">
        <f t="shared" ref="F120:F150" si="21">C120*(E120-D120)</f>
        <v>86.700000000000017</v>
      </c>
      <c r="G120" s="39">
        <f t="shared" ref="G120:G150" si="22">D120*C120</f>
        <v>2454.3000000000002</v>
      </c>
      <c r="H120" s="175">
        <f t="shared" ref="H120:H150" si="23">(E120-D120)/D120</f>
        <v>3.5325754797701996E-2</v>
      </c>
      <c r="I120" s="10"/>
      <c r="J120" s="10"/>
    </row>
    <row r="121" spans="1:10" x14ac:dyDescent="0.25">
      <c r="B121" s="161">
        <v>42748</v>
      </c>
      <c r="C121" s="10">
        <v>50</v>
      </c>
      <c r="D121" s="39">
        <v>81.09</v>
      </c>
      <c r="E121" s="39">
        <v>80.78</v>
      </c>
      <c r="F121" s="39">
        <f t="shared" si="21"/>
        <v>-15.500000000000114</v>
      </c>
      <c r="G121" s="39">
        <f t="shared" si="22"/>
        <v>4054.5</v>
      </c>
      <c r="H121" s="175">
        <f t="shared" si="23"/>
        <v>-3.8229128129239395E-3</v>
      </c>
      <c r="I121" s="10"/>
      <c r="J121" s="10"/>
    </row>
    <row r="122" spans="1:10" x14ac:dyDescent="0.25">
      <c r="B122" s="161">
        <v>42753</v>
      </c>
      <c r="C122" s="10">
        <v>20</v>
      </c>
      <c r="D122" s="39">
        <v>80.327500000000001</v>
      </c>
      <c r="E122" s="39">
        <v>81.599999999999994</v>
      </c>
      <c r="F122" s="39">
        <f t="shared" si="21"/>
        <v>25.449999999999875</v>
      </c>
      <c r="G122" s="39">
        <f t="shared" si="22"/>
        <v>1606.55</v>
      </c>
      <c r="H122" s="175">
        <f t="shared" si="23"/>
        <v>1.5841399271731272E-2</v>
      </c>
      <c r="I122" s="10"/>
      <c r="J122" s="10"/>
    </row>
    <row r="123" spans="1:10" x14ac:dyDescent="0.25">
      <c r="A123" t="s">
        <v>323</v>
      </c>
      <c r="B123" s="161">
        <v>42754</v>
      </c>
      <c r="C123" s="10">
        <v>50</v>
      </c>
      <c r="D123" s="39">
        <v>80.659000000000006</v>
      </c>
      <c r="E123" s="39">
        <v>80.77</v>
      </c>
      <c r="F123" s="39">
        <f t="shared" si="21"/>
        <v>5.5499999999994998</v>
      </c>
      <c r="G123" s="39">
        <f t="shared" si="22"/>
        <v>4032.9500000000003</v>
      </c>
      <c r="H123" s="175">
        <f t="shared" si="23"/>
        <v>1.3761638502831674E-3</v>
      </c>
      <c r="I123" s="10"/>
      <c r="J123" s="10"/>
    </row>
    <row r="124" spans="1:10" x14ac:dyDescent="0.25">
      <c r="A124" t="s">
        <v>323</v>
      </c>
      <c r="B124" s="161">
        <v>42760</v>
      </c>
      <c r="C124" s="10">
        <v>50</v>
      </c>
      <c r="D124" s="39">
        <v>80.659000000000006</v>
      </c>
      <c r="E124" s="39">
        <v>82.98</v>
      </c>
      <c r="F124" s="39">
        <f t="shared" si="21"/>
        <v>116.0499999999999</v>
      </c>
      <c r="G124" s="39">
        <f t="shared" si="22"/>
        <v>4032.9500000000003</v>
      </c>
      <c r="H124" s="175">
        <f t="shared" si="23"/>
        <v>2.8775462130698346E-2</v>
      </c>
      <c r="I124" s="10"/>
      <c r="J124" s="10"/>
    </row>
    <row r="125" spans="1:10" x14ac:dyDescent="0.25">
      <c r="A125" t="s">
        <v>354</v>
      </c>
      <c r="B125" s="161">
        <v>42766</v>
      </c>
      <c r="C125" s="10">
        <v>75</v>
      </c>
      <c r="D125" s="39">
        <v>79.439300000000003</v>
      </c>
      <c r="E125" s="39">
        <v>77.67</v>
      </c>
      <c r="F125" s="39">
        <f t="shared" si="21"/>
        <v>-132.6975000000001</v>
      </c>
      <c r="G125" s="39">
        <f t="shared" si="22"/>
        <v>5957.9475000000002</v>
      </c>
      <c r="H125" s="175">
        <f t="shared" si="23"/>
        <v>-2.2272351342471561E-2</v>
      </c>
      <c r="I125" s="10"/>
      <c r="J125" s="10"/>
    </row>
    <row r="126" spans="1:10" x14ac:dyDescent="0.25">
      <c r="A126" t="s">
        <v>319</v>
      </c>
      <c r="B126" s="161">
        <v>42772</v>
      </c>
      <c r="C126" s="181">
        <v>100</v>
      </c>
      <c r="D126" s="182">
        <v>78.391999999999996</v>
      </c>
      <c r="E126" s="39">
        <v>74.06</v>
      </c>
      <c r="F126" s="39">
        <f t="shared" si="21"/>
        <v>-433.19999999999936</v>
      </c>
      <c r="G126" s="39">
        <f t="shared" si="22"/>
        <v>7839.2</v>
      </c>
      <c r="H126" s="175">
        <f t="shared" si="23"/>
        <v>-5.5260740891927666E-2</v>
      </c>
      <c r="I126" s="10"/>
      <c r="J126" s="10"/>
    </row>
    <row r="127" spans="1:10" x14ac:dyDescent="0.25">
      <c r="A127" t="s">
        <v>373</v>
      </c>
      <c r="B127" s="161">
        <v>42773</v>
      </c>
      <c r="C127" s="10">
        <v>125</v>
      </c>
      <c r="D127" s="39">
        <v>77.329599999999999</v>
      </c>
      <c r="E127" s="39">
        <v>71.95</v>
      </c>
      <c r="F127" s="39">
        <f t="shared" si="21"/>
        <v>-672.44999999999959</v>
      </c>
      <c r="G127" s="39">
        <f t="shared" si="22"/>
        <v>9666.2000000000007</v>
      </c>
      <c r="H127" s="175">
        <f t="shared" si="23"/>
        <v>-6.9567151517659423E-2</v>
      </c>
      <c r="I127" s="10"/>
      <c r="J127" s="10"/>
    </row>
    <row r="128" spans="1:10" x14ac:dyDescent="0.25">
      <c r="A128" t="s">
        <v>408</v>
      </c>
      <c r="B128" s="161">
        <v>42788</v>
      </c>
      <c r="C128" s="10">
        <v>125</v>
      </c>
      <c r="D128" s="39">
        <v>77.329599999999999</v>
      </c>
      <c r="E128" s="39">
        <v>73.61</v>
      </c>
      <c r="F128" s="39">
        <f t="shared" si="21"/>
        <v>-464.95</v>
      </c>
      <c r="G128" s="39">
        <f t="shared" si="22"/>
        <v>9666.2000000000007</v>
      </c>
      <c r="H128" s="175">
        <f t="shared" si="23"/>
        <v>-4.8100597959901507E-2</v>
      </c>
      <c r="I128" s="10"/>
      <c r="J128" s="10"/>
    </row>
    <row r="129" spans="1:10" x14ac:dyDescent="0.25">
      <c r="A129" t="s">
        <v>422</v>
      </c>
      <c r="B129" s="161">
        <v>42794</v>
      </c>
      <c r="C129" s="10">
        <v>300</v>
      </c>
      <c r="D129" s="39">
        <v>71.360699999999994</v>
      </c>
      <c r="E129" s="39">
        <v>63.59</v>
      </c>
      <c r="F129" s="39">
        <f t="shared" si="21"/>
        <v>-2331.2099999999973</v>
      </c>
      <c r="G129" s="39">
        <f t="shared" si="22"/>
        <v>21408.21</v>
      </c>
      <c r="H129" s="175">
        <f t="shared" si="23"/>
        <v>-0.1088932703855202</v>
      </c>
      <c r="I129" s="10"/>
      <c r="J129" s="39"/>
    </row>
    <row r="130" spans="1:10" x14ac:dyDescent="0.25">
      <c r="A130" t="s">
        <v>422</v>
      </c>
      <c r="B130" s="161">
        <v>42795</v>
      </c>
      <c r="C130" s="10">
        <v>300</v>
      </c>
      <c r="D130" s="39">
        <v>71.317300000000003</v>
      </c>
      <c r="E130" s="39">
        <v>64.88</v>
      </c>
      <c r="F130" s="39">
        <f t="shared" si="21"/>
        <v>-1931.1900000000023</v>
      </c>
      <c r="G130" s="39">
        <f t="shared" si="22"/>
        <v>21395.190000000002</v>
      </c>
      <c r="H130" s="175">
        <f t="shared" si="23"/>
        <v>-9.0262811407610874E-2</v>
      </c>
      <c r="I130" s="10" t="s">
        <v>182</v>
      </c>
      <c r="J130" s="39"/>
    </row>
    <row r="131" spans="1:10" x14ac:dyDescent="0.25">
      <c r="A131">
        <v>75</v>
      </c>
      <c r="B131" s="161">
        <v>42800</v>
      </c>
      <c r="C131" s="10">
        <v>300</v>
      </c>
      <c r="D131" s="39">
        <v>71.317300000000003</v>
      </c>
      <c r="E131" s="39">
        <v>65.599999999999994</v>
      </c>
      <c r="F131" s="39">
        <f t="shared" si="21"/>
        <v>-1715.1900000000026</v>
      </c>
      <c r="G131" s="39">
        <f t="shared" si="22"/>
        <v>21395.190000000002</v>
      </c>
      <c r="H131" s="175">
        <f t="shared" si="23"/>
        <v>-8.0167084283897572E-2</v>
      </c>
      <c r="I131" s="10"/>
      <c r="J131" s="39"/>
    </row>
    <row r="132" spans="1:10" x14ac:dyDescent="0.25">
      <c r="A132">
        <v>0</v>
      </c>
      <c r="B132" s="161">
        <v>42803</v>
      </c>
      <c r="C132" s="10">
        <v>200</v>
      </c>
      <c r="D132" s="39">
        <v>72.186800000000005</v>
      </c>
      <c r="E132" s="39">
        <v>70.02</v>
      </c>
      <c r="F132" s="39">
        <f t="shared" si="21"/>
        <v>-433.36000000000183</v>
      </c>
      <c r="G132" s="39">
        <f t="shared" si="22"/>
        <v>14437.36</v>
      </c>
      <c r="H132" s="175">
        <f t="shared" si="23"/>
        <v>-3.0016568126028705E-2</v>
      </c>
      <c r="I132" s="10"/>
      <c r="J132" s="39"/>
    </row>
    <row r="133" spans="1:10" x14ac:dyDescent="0.25">
      <c r="A133">
        <v>0</v>
      </c>
      <c r="B133" s="161">
        <v>42804</v>
      </c>
      <c r="C133" s="10">
        <v>175</v>
      </c>
      <c r="D133" s="39">
        <v>72.130799999999994</v>
      </c>
      <c r="E133" s="39">
        <v>69.81</v>
      </c>
      <c r="F133" s="39">
        <f t="shared" si="21"/>
        <v>-406.13999999999851</v>
      </c>
      <c r="G133" s="39">
        <f t="shared" si="22"/>
        <v>12622.89</v>
      </c>
      <c r="H133" s="175">
        <f t="shared" si="23"/>
        <v>-3.2174882297160041E-2</v>
      </c>
      <c r="I133" s="10"/>
      <c r="J133" s="39">
        <v>269.81</v>
      </c>
    </row>
    <row r="134" spans="1:10" x14ac:dyDescent="0.25">
      <c r="A134">
        <v>0</v>
      </c>
      <c r="B134" s="161">
        <v>42808</v>
      </c>
      <c r="C134" s="7">
        <v>200</v>
      </c>
      <c r="D134" s="43">
        <v>71.599500000000006</v>
      </c>
      <c r="E134" s="39">
        <v>67.83</v>
      </c>
      <c r="F134" s="39">
        <f t="shared" si="21"/>
        <v>-753.90000000000157</v>
      </c>
      <c r="G134" s="39">
        <f t="shared" si="22"/>
        <v>14319.900000000001</v>
      </c>
      <c r="H134" s="175">
        <f t="shared" si="23"/>
        <v>-5.2647015691450465E-2</v>
      </c>
      <c r="I134" s="10"/>
      <c r="J134" s="39">
        <v>-78</v>
      </c>
    </row>
    <row r="135" spans="1:10" x14ac:dyDescent="0.25">
      <c r="A135">
        <v>0</v>
      </c>
      <c r="B135" s="161">
        <v>42809</v>
      </c>
      <c r="C135" s="10">
        <v>200</v>
      </c>
      <c r="D135" s="39">
        <v>71.599500000000006</v>
      </c>
      <c r="E135" s="39">
        <v>68.36</v>
      </c>
      <c r="F135" s="39">
        <f t="shared" si="21"/>
        <v>-647.90000000000134</v>
      </c>
      <c r="G135" s="39">
        <f t="shared" si="22"/>
        <v>14319.900000000001</v>
      </c>
      <c r="H135" s="175">
        <f t="shared" si="23"/>
        <v>-4.5244729362635301E-2</v>
      </c>
      <c r="I135" s="10"/>
      <c r="J135" s="39">
        <v>28.06</v>
      </c>
    </row>
    <row r="136" spans="1:10" x14ac:dyDescent="0.25">
      <c r="A136">
        <v>0</v>
      </c>
      <c r="B136" s="161">
        <v>42821</v>
      </c>
      <c r="C136" s="10">
        <v>200</v>
      </c>
      <c r="D136" s="39">
        <v>71.599500000000006</v>
      </c>
      <c r="E136" s="39">
        <v>69.66</v>
      </c>
      <c r="F136" s="39">
        <f t="shared" si="21"/>
        <v>-387.90000000000191</v>
      </c>
      <c r="G136" s="39">
        <f t="shared" si="22"/>
        <v>14319.900000000001</v>
      </c>
      <c r="H136" s="175">
        <f t="shared" si="23"/>
        <v>-2.7088177990069896E-2</v>
      </c>
      <c r="I136" s="10"/>
      <c r="J136" s="39">
        <v>288</v>
      </c>
    </row>
    <row r="137" spans="1:10" x14ac:dyDescent="0.25">
      <c r="A137">
        <v>200</v>
      </c>
      <c r="B137" s="161">
        <v>42862</v>
      </c>
      <c r="C137" s="10">
        <v>200</v>
      </c>
      <c r="D137" s="39">
        <v>71.599999999999994</v>
      </c>
      <c r="E137" s="39">
        <v>65.010000000000005</v>
      </c>
      <c r="F137" s="39">
        <f t="shared" si="21"/>
        <v>-1317.9999999999977</v>
      </c>
      <c r="G137" s="39">
        <f t="shared" si="22"/>
        <v>14319.999999999998</v>
      </c>
      <c r="H137" s="175">
        <f t="shared" si="23"/>
        <v>-9.2039106145251251E-2</v>
      </c>
      <c r="I137" s="10"/>
      <c r="J137" s="39">
        <v>-642</v>
      </c>
    </row>
    <row r="138" spans="1:10" x14ac:dyDescent="0.25">
      <c r="A138">
        <v>200</v>
      </c>
      <c r="B138" s="161">
        <v>42865</v>
      </c>
      <c r="C138" s="10">
        <v>300</v>
      </c>
      <c r="D138" s="39">
        <v>69.02</v>
      </c>
      <c r="E138" s="39">
        <v>63.04</v>
      </c>
      <c r="F138" s="39">
        <f t="shared" si="21"/>
        <v>-1793.9999999999991</v>
      </c>
      <c r="G138" s="39">
        <f t="shared" si="22"/>
        <v>20706</v>
      </c>
      <c r="H138" s="175">
        <f t="shared" si="23"/>
        <v>-8.6641553172993296E-2</v>
      </c>
      <c r="I138" s="10"/>
      <c r="J138" s="39">
        <v>-1117</v>
      </c>
    </row>
    <row r="139" spans="1:10" x14ac:dyDescent="0.25">
      <c r="A139">
        <v>200</v>
      </c>
      <c r="B139" s="161">
        <v>42866</v>
      </c>
      <c r="C139" s="10">
        <v>350</v>
      </c>
      <c r="D139" s="39">
        <v>67.884799999999998</v>
      </c>
      <c r="E139" s="39">
        <v>61.68</v>
      </c>
      <c r="F139" s="39">
        <f t="shared" si="21"/>
        <v>-2171.6799999999994</v>
      </c>
      <c r="G139" s="39">
        <f t="shared" si="22"/>
        <v>23759.68</v>
      </c>
      <c r="H139" s="175">
        <f t="shared" si="23"/>
        <v>-9.1401904402752879E-2</v>
      </c>
      <c r="I139" s="10"/>
      <c r="J139" s="39">
        <v>-1496</v>
      </c>
    </row>
    <row r="140" spans="1:10" x14ac:dyDescent="0.25">
      <c r="A140">
        <v>200</v>
      </c>
      <c r="B140" s="161">
        <v>42887</v>
      </c>
      <c r="C140" s="10">
        <v>400</v>
      </c>
      <c r="D140" s="39">
        <v>65.906700000000001</v>
      </c>
      <c r="E140" s="39">
        <v>52.41</v>
      </c>
      <c r="F140" s="39">
        <f t="shared" si="21"/>
        <v>-5398.6800000000021</v>
      </c>
      <c r="G140" s="39">
        <f t="shared" si="22"/>
        <v>26362.68</v>
      </c>
      <c r="H140" s="175">
        <f t="shared" si="23"/>
        <v>-0.20478494599183397</v>
      </c>
      <c r="I140" s="10"/>
      <c r="J140" s="39">
        <v>-4723</v>
      </c>
    </row>
    <row r="141" spans="1:10" x14ac:dyDescent="0.25">
      <c r="A141">
        <v>150</v>
      </c>
      <c r="B141" s="161">
        <v>42894</v>
      </c>
      <c r="C141" s="10">
        <v>350</v>
      </c>
      <c r="D141" s="39">
        <v>67.179299999999998</v>
      </c>
      <c r="E141" s="39">
        <v>56.97</v>
      </c>
      <c r="F141" s="39">
        <f t="shared" si="21"/>
        <v>-3573.2549999999997</v>
      </c>
      <c r="G141" s="39">
        <f t="shared" si="22"/>
        <v>23512.755000000001</v>
      </c>
      <c r="H141" s="175">
        <f t="shared" si="23"/>
        <v>-0.15197091961363096</v>
      </c>
      <c r="I141" s="10"/>
      <c r="J141" s="39">
        <v>-2897</v>
      </c>
    </row>
    <row r="142" spans="1:10" x14ac:dyDescent="0.25">
      <c r="A142">
        <v>250</v>
      </c>
      <c r="B142" s="161">
        <v>42917</v>
      </c>
      <c r="C142" s="10">
        <v>250</v>
      </c>
      <c r="D142" s="39">
        <v>68.349999999999994</v>
      </c>
      <c r="E142" s="39">
        <v>63.24</v>
      </c>
      <c r="F142" s="39">
        <f t="shared" si="21"/>
        <v>-1277.4999999999982</v>
      </c>
      <c r="G142" s="39">
        <f t="shared" si="22"/>
        <v>17087.5</v>
      </c>
      <c r="H142" s="175">
        <f t="shared" si="23"/>
        <v>-7.47622531089977E-2</v>
      </c>
      <c r="I142" s="10"/>
      <c r="J142" s="39">
        <v>-602</v>
      </c>
    </row>
    <row r="143" spans="1:10" x14ac:dyDescent="0.25">
      <c r="A143">
        <v>250</v>
      </c>
      <c r="B143" s="161">
        <v>42949</v>
      </c>
      <c r="C143" s="10">
        <v>300</v>
      </c>
      <c r="D143" s="39">
        <v>66.836299999999994</v>
      </c>
      <c r="E143" s="39">
        <v>58.88</v>
      </c>
      <c r="F143" s="39">
        <f t="shared" si="21"/>
        <v>-2386.8899999999976</v>
      </c>
      <c r="G143" s="39">
        <f t="shared" si="22"/>
        <v>20050.89</v>
      </c>
      <c r="H143" s="175">
        <f t="shared" si="23"/>
        <v>-0.11904159865222928</v>
      </c>
      <c r="I143" s="10"/>
      <c r="J143" s="39">
        <v>-1711</v>
      </c>
    </row>
    <row r="144" spans="1:10" x14ac:dyDescent="0.25">
      <c r="A144">
        <v>250</v>
      </c>
      <c r="B144" s="161">
        <v>42957</v>
      </c>
      <c r="C144" s="10">
        <v>350</v>
      </c>
      <c r="D144" s="39">
        <v>65.256900000000002</v>
      </c>
      <c r="E144" s="39">
        <v>55.65</v>
      </c>
      <c r="F144" s="39">
        <f t="shared" si="21"/>
        <v>-3362.4150000000009</v>
      </c>
      <c r="G144" s="39">
        <f t="shared" si="22"/>
        <v>22839.915000000001</v>
      </c>
      <c r="H144" s="175">
        <f t="shared" si="23"/>
        <v>-0.14721661617392187</v>
      </c>
      <c r="I144" s="10"/>
      <c r="J144" s="39">
        <v>-2686</v>
      </c>
    </row>
    <row r="145" spans="1:10" x14ac:dyDescent="0.25">
      <c r="A145">
        <v>150</v>
      </c>
      <c r="B145" s="161">
        <v>42972</v>
      </c>
      <c r="C145" s="10">
        <v>350</v>
      </c>
      <c r="D145" s="39">
        <v>64.94</v>
      </c>
      <c r="E145" s="39">
        <v>62.68</v>
      </c>
      <c r="F145" s="39">
        <f t="shared" si="21"/>
        <v>-790.99999999999932</v>
      </c>
      <c r="G145" s="39">
        <f t="shared" si="22"/>
        <v>22729</v>
      </c>
      <c r="H145" s="175">
        <f t="shared" si="23"/>
        <v>-3.4801355097012598E-2</v>
      </c>
      <c r="I145" s="10"/>
      <c r="J145" s="39">
        <v>-114</v>
      </c>
    </row>
    <row r="146" spans="1:10" x14ac:dyDescent="0.25">
      <c r="A146">
        <v>150</v>
      </c>
      <c r="B146" s="161">
        <v>42978</v>
      </c>
      <c r="C146" s="10">
        <v>350</v>
      </c>
      <c r="D146" s="39">
        <v>64.715999999999994</v>
      </c>
      <c r="E146" s="39">
        <v>62.68</v>
      </c>
      <c r="F146" s="39">
        <f t="shared" si="21"/>
        <v>-712.59999999999798</v>
      </c>
      <c r="G146" s="39">
        <f t="shared" si="22"/>
        <v>22650.6</v>
      </c>
      <c r="H146" s="175">
        <f t="shared" si="23"/>
        <v>-3.1460535261758987E-2</v>
      </c>
      <c r="I146" s="10"/>
      <c r="J146" s="39">
        <v>-576</v>
      </c>
    </row>
    <row r="147" spans="1:10" x14ac:dyDescent="0.25">
      <c r="A147">
        <v>200</v>
      </c>
      <c r="B147" s="161">
        <v>42980</v>
      </c>
      <c r="C147" s="10">
        <v>350</v>
      </c>
      <c r="D147" s="39">
        <v>64.715999999999994</v>
      </c>
      <c r="E147" s="39">
        <v>64.36</v>
      </c>
      <c r="F147" s="39">
        <f t="shared" si="21"/>
        <v>-124.59999999999809</v>
      </c>
      <c r="G147" s="39">
        <f t="shared" si="22"/>
        <v>22650.6</v>
      </c>
      <c r="H147" s="175">
        <f t="shared" si="23"/>
        <v>-5.500958032016728E-3</v>
      </c>
      <c r="I147" s="10"/>
      <c r="J147" s="39">
        <v>551</v>
      </c>
    </row>
    <row r="148" spans="1:10" x14ac:dyDescent="0.25">
      <c r="A148">
        <v>50</v>
      </c>
      <c r="B148" s="161">
        <v>42984</v>
      </c>
      <c r="C148" s="7">
        <v>200</v>
      </c>
      <c r="D148" s="43">
        <v>64.218900000000005</v>
      </c>
      <c r="E148" s="39">
        <v>65.2</v>
      </c>
      <c r="F148" s="39">
        <f t="shared" si="21"/>
        <v>196.21999999999957</v>
      </c>
      <c r="G148" s="39">
        <f t="shared" si="22"/>
        <v>12843.78</v>
      </c>
      <c r="H148" s="175">
        <f t="shared" si="23"/>
        <v>1.5277433901857519E-2</v>
      </c>
      <c r="I148" s="10"/>
      <c r="J148" s="39">
        <v>872</v>
      </c>
    </row>
    <row r="149" spans="1:10" x14ac:dyDescent="0.25">
      <c r="A149">
        <v>0</v>
      </c>
      <c r="B149" s="161">
        <v>42989</v>
      </c>
      <c r="C149" s="181">
        <v>100</v>
      </c>
      <c r="D149" s="182">
        <v>61.66</v>
      </c>
      <c r="E149" s="39">
        <v>66.239999999999995</v>
      </c>
      <c r="F149" s="39">
        <f t="shared" si="21"/>
        <v>457.99999999999983</v>
      </c>
      <c r="G149" s="39">
        <f t="shared" si="22"/>
        <v>6166</v>
      </c>
      <c r="H149" s="175">
        <f t="shared" si="23"/>
        <v>7.4278300356795307E-2</v>
      </c>
      <c r="I149" s="10"/>
      <c r="J149" s="39">
        <v>1134</v>
      </c>
    </row>
    <row r="150" spans="1:10" x14ac:dyDescent="0.25">
      <c r="A150" s="1">
        <v>43003</v>
      </c>
      <c r="B150" s="161">
        <v>42998</v>
      </c>
      <c r="C150" s="7">
        <v>200</v>
      </c>
      <c r="D150" s="43">
        <v>63.494700000000002</v>
      </c>
      <c r="E150" s="39">
        <v>64.91</v>
      </c>
      <c r="F150" s="39">
        <f t="shared" si="21"/>
        <v>283.05999999999898</v>
      </c>
      <c r="G150" s="39">
        <f t="shared" si="22"/>
        <v>12698.94</v>
      </c>
      <c r="H150" s="175">
        <f t="shared" si="23"/>
        <v>2.2290049405698346E-2</v>
      </c>
      <c r="I150" s="39">
        <v>63</v>
      </c>
      <c r="J150" s="39">
        <v>959</v>
      </c>
    </row>
    <row r="151" spans="1:10" x14ac:dyDescent="0.25">
      <c r="B151" s="10"/>
      <c r="C151" s="10"/>
      <c r="D151" s="39"/>
      <c r="E151" s="39"/>
      <c r="F151" s="39"/>
      <c r="G151" s="39"/>
      <c r="H151" s="175"/>
      <c r="I151" s="10"/>
      <c r="J151" s="39"/>
    </row>
    <row r="152" spans="1:10" x14ac:dyDescent="0.25">
      <c r="B152" s="10"/>
      <c r="C152" s="10"/>
      <c r="D152" s="39"/>
      <c r="E152" s="39"/>
      <c r="F152" s="39"/>
      <c r="G152" s="39"/>
      <c r="H152" s="175"/>
      <c r="I152" s="10"/>
      <c r="J152" s="39"/>
    </row>
    <row r="153" spans="1:10" x14ac:dyDescent="0.25">
      <c r="B153" s="10"/>
      <c r="C153" s="10"/>
      <c r="D153" s="39"/>
      <c r="E153" s="39"/>
      <c r="F153" s="39"/>
      <c r="G153" s="39"/>
      <c r="H153" s="175"/>
      <c r="I153" s="10"/>
      <c r="J153" s="39"/>
    </row>
    <row r="154" spans="1:10" x14ac:dyDescent="0.25">
      <c r="B154" s="10"/>
      <c r="C154" s="10"/>
      <c r="D154" s="39"/>
      <c r="E154" s="39"/>
      <c r="F154" s="39"/>
      <c r="G154" s="39"/>
      <c r="H154" s="175"/>
      <c r="I154" s="10"/>
      <c r="J154" s="39"/>
    </row>
    <row r="155" spans="1:10" x14ac:dyDescent="0.25">
      <c r="B155" s="10"/>
      <c r="C155" s="10"/>
      <c r="D155" s="39"/>
      <c r="E155" s="39"/>
      <c r="F155" s="39"/>
      <c r="G155" s="39"/>
      <c r="H155" s="175"/>
      <c r="I155" s="10"/>
      <c r="J155" s="39"/>
    </row>
    <row r="156" spans="1:10" x14ac:dyDescent="0.25">
      <c r="B156" s="10"/>
      <c r="C156" s="10"/>
      <c r="D156" s="39"/>
      <c r="E156" s="39"/>
      <c r="F156" s="39"/>
      <c r="G156" s="39"/>
      <c r="H156" s="175"/>
      <c r="I156" s="10"/>
      <c r="J156" s="39"/>
    </row>
    <row r="157" spans="1:10" x14ac:dyDescent="0.25">
      <c r="B157" s="10"/>
      <c r="C157" s="10"/>
      <c r="D157" s="39"/>
      <c r="E157" s="39"/>
      <c r="F157" s="39"/>
      <c r="G157" s="39"/>
      <c r="H157" s="175"/>
      <c r="I157" s="10"/>
      <c r="J157" s="39"/>
    </row>
    <row r="158" spans="1:10" x14ac:dyDescent="0.25">
      <c r="B158" s="10"/>
      <c r="C158" s="10"/>
      <c r="D158" s="39"/>
      <c r="E158" s="39"/>
      <c r="F158" s="39"/>
      <c r="G158" s="39"/>
      <c r="H158" s="175"/>
      <c r="I158" s="10"/>
      <c r="J158" s="39"/>
    </row>
    <row r="159" spans="1:10" x14ac:dyDescent="0.25">
      <c r="B159" s="10"/>
      <c r="C159" s="10"/>
      <c r="D159" s="39"/>
      <c r="E159" s="39"/>
      <c r="F159" s="39"/>
      <c r="G159" s="39"/>
      <c r="H159" s="175"/>
      <c r="I159" s="10"/>
      <c r="J159" s="39"/>
    </row>
    <row r="160" spans="1:10" x14ac:dyDescent="0.25">
      <c r="B160" s="10"/>
      <c r="C160" s="10"/>
      <c r="D160" s="39"/>
      <c r="E160" s="39"/>
      <c r="F160" s="39"/>
      <c r="G160" s="39"/>
      <c r="H160" s="175"/>
      <c r="I160" s="10"/>
      <c r="J160" s="39"/>
    </row>
    <row r="177" spans="1:13" x14ac:dyDescent="0.25">
      <c r="L177" t="s">
        <v>65</v>
      </c>
      <c r="M177" s="2">
        <f>K212+M212-F212</f>
        <v>1157.8699999999953</v>
      </c>
    </row>
    <row r="178" spans="1:13" x14ac:dyDescent="0.25">
      <c r="A178" s="195" t="s">
        <v>1</v>
      </c>
      <c r="B178" s="195" t="s">
        <v>2</v>
      </c>
      <c r="C178" s="195" t="s">
        <v>4</v>
      </c>
      <c r="D178" s="196" t="s">
        <v>5</v>
      </c>
      <c r="E178" s="196" t="s">
        <v>94</v>
      </c>
      <c r="F178" s="196" t="s">
        <v>60</v>
      </c>
      <c r="G178" s="195" t="s">
        <v>3</v>
      </c>
      <c r="H178" s="195" t="s">
        <v>6</v>
      </c>
      <c r="I178" s="195" t="s">
        <v>7</v>
      </c>
      <c r="J178" s="195" t="s">
        <v>95</v>
      </c>
      <c r="K178" s="196" t="s">
        <v>61</v>
      </c>
      <c r="L178" s="195" t="s">
        <v>77</v>
      </c>
      <c r="M178" s="195" t="s">
        <v>38</v>
      </c>
    </row>
    <row r="179" spans="1:13" x14ac:dyDescent="0.25">
      <c r="A179" s="197" t="s">
        <v>207</v>
      </c>
      <c r="B179" s="198">
        <v>42516</v>
      </c>
      <c r="C179" s="193">
        <v>20</v>
      </c>
      <c r="D179" s="194">
        <v>96.2</v>
      </c>
      <c r="E179" s="194">
        <v>0</v>
      </c>
      <c r="F179" s="194">
        <f t="shared" ref="F179:F184" si="24">C179*D179 + E179</f>
        <v>1924</v>
      </c>
      <c r="G179" s="198">
        <v>42516</v>
      </c>
      <c r="H179" s="193">
        <v>20</v>
      </c>
      <c r="I179" s="194">
        <v>88.99</v>
      </c>
      <c r="J179" s="194">
        <v>0.04</v>
      </c>
      <c r="K179" s="194">
        <f t="shared" ref="K179:K184" si="25">H179*I179 - J179</f>
        <v>1779.76</v>
      </c>
      <c r="L179" s="198">
        <v>42608</v>
      </c>
      <c r="M179" s="193">
        <v>13</v>
      </c>
    </row>
    <row r="180" spans="1:13" x14ac:dyDescent="0.25">
      <c r="A180" s="200" t="s">
        <v>71</v>
      </c>
      <c r="B180" s="363">
        <v>42527</v>
      </c>
      <c r="C180" s="193">
        <v>25</v>
      </c>
      <c r="D180" s="194">
        <v>85.59</v>
      </c>
      <c r="E180" s="194">
        <v>0</v>
      </c>
      <c r="F180" s="194">
        <f t="shared" si="24"/>
        <v>2139.75</v>
      </c>
      <c r="G180" s="198">
        <v>42541</v>
      </c>
      <c r="H180" s="199">
        <v>25</v>
      </c>
      <c r="I180" s="194">
        <v>86.59</v>
      </c>
      <c r="J180" s="194">
        <v>0.05</v>
      </c>
      <c r="K180" s="194">
        <f t="shared" si="25"/>
        <v>2164.6999999999998</v>
      </c>
      <c r="L180" s="198">
        <v>42702</v>
      </c>
      <c r="M180" s="193">
        <v>7.8</v>
      </c>
    </row>
    <row r="181" spans="1:13" x14ac:dyDescent="0.25">
      <c r="A181" s="193"/>
      <c r="B181" s="363">
        <v>42535</v>
      </c>
      <c r="C181" s="193">
        <v>20</v>
      </c>
      <c r="D181" s="194">
        <v>82.75</v>
      </c>
      <c r="E181" s="194">
        <v>0</v>
      </c>
      <c r="F181" s="194">
        <f t="shared" si="24"/>
        <v>1655</v>
      </c>
      <c r="G181" s="198">
        <v>42552</v>
      </c>
      <c r="H181" s="199">
        <v>20</v>
      </c>
      <c r="I181" s="194">
        <v>83.98</v>
      </c>
      <c r="J181" s="194">
        <v>0.04</v>
      </c>
      <c r="K181" s="194">
        <f t="shared" si="25"/>
        <v>1679.5600000000002</v>
      </c>
      <c r="L181" s="193"/>
      <c r="M181" s="193"/>
    </row>
    <row r="182" spans="1:13" x14ac:dyDescent="0.25">
      <c r="A182" s="193"/>
      <c r="B182" s="198">
        <v>42535</v>
      </c>
      <c r="C182" s="193">
        <v>5</v>
      </c>
      <c r="D182" s="194">
        <v>82.75</v>
      </c>
      <c r="E182" s="194">
        <v>0</v>
      </c>
      <c r="F182" s="194">
        <f t="shared" si="24"/>
        <v>413.75</v>
      </c>
      <c r="G182" s="198">
        <v>42569</v>
      </c>
      <c r="H182" s="199">
        <v>5</v>
      </c>
      <c r="I182" s="194">
        <v>92</v>
      </c>
      <c r="J182" s="194">
        <v>0.01</v>
      </c>
      <c r="K182" s="194">
        <f t="shared" si="25"/>
        <v>459.99</v>
      </c>
      <c r="L182" s="193"/>
      <c r="M182" s="193"/>
    </row>
    <row r="183" spans="1:13" x14ac:dyDescent="0.25">
      <c r="A183" s="193"/>
      <c r="B183" s="198">
        <v>42548</v>
      </c>
      <c r="C183" s="193">
        <v>20</v>
      </c>
      <c r="D183" s="194">
        <v>78.48</v>
      </c>
      <c r="E183" s="194">
        <v>0</v>
      </c>
      <c r="F183" s="194">
        <f t="shared" si="24"/>
        <v>1569.6000000000001</v>
      </c>
      <c r="G183" s="198">
        <v>42580</v>
      </c>
      <c r="H183" s="199">
        <v>20</v>
      </c>
      <c r="I183" s="194">
        <v>87.72</v>
      </c>
      <c r="J183" s="194">
        <v>0.04</v>
      </c>
      <c r="K183" s="194">
        <f t="shared" si="25"/>
        <v>1754.3600000000001</v>
      </c>
      <c r="L183" s="193"/>
      <c r="M183" s="193"/>
    </row>
    <row r="184" spans="1:13" x14ac:dyDescent="0.25">
      <c r="A184" s="193"/>
      <c r="B184" s="198">
        <v>42548</v>
      </c>
      <c r="C184" s="193">
        <v>30</v>
      </c>
      <c r="D184" s="194">
        <v>78.48</v>
      </c>
      <c r="E184" s="194">
        <v>0</v>
      </c>
      <c r="F184" s="194">
        <f t="shared" si="24"/>
        <v>2354.4</v>
      </c>
      <c r="G184" s="198">
        <v>42580</v>
      </c>
      <c r="H184" s="199">
        <v>30</v>
      </c>
      <c r="I184" s="194">
        <v>87.97</v>
      </c>
      <c r="J184" s="194">
        <v>-0.02</v>
      </c>
      <c r="K184" s="194">
        <f t="shared" si="25"/>
        <v>2639.12</v>
      </c>
      <c r="L184" s="193"/>
      <c r="M184" s="193"/>
    </row>
    <row r="185" spans="1:13" x14ac:dyDescent="0.25">
      <c r="A185" s="193"/>
      <c r="B185" s="198">
        <v>42608</v>
      </c>
      <c r="C185" s="193">
        <v>25</v>
      </c>
      <c r="D185" s="194">
        <v>78.95</v>
      </c>
      <c r="E185" s="194">
        <v>0</v>
      </c>
      <c r="F185" s="194">
        <v>1973.75</v>
      </c>
      <c r="G185" s="198">
        <v>42648</v>
      </c>
      <c r="H185" s="199">
        <v>25</v>
      </c>
      <c r="I185" s="194">
        <v>78.959999999999994</v>
      </c>
      <c r="J185" s="194">
        <v>0.04</v>
      </c>
      <c r="K185" s="194">
        <v>1973.9599999999998</v>
      </c>
      <c r="L185" s="193"/>
      <c r="M185" s="193"/>
    </row>
    <row r="186" spans="1:13" x14ac:dyDescent="0.25">
      <c r="A186" s="193"/>
      <c r="B186" s="198">
        <v>42640</v>
      </c>
      <c r="C186" s="193">
        <v>30</v>
      </c>
      <c r="D186" s="194">
        <v>74.28</v>
      </c>
      <c r="E186" s="194">
        <v>0</v>
      </c>
      <c r="F186" s="194">
        <v>2228.4</v>
      </c>
      <c r="G186" s="198">
        <v>42671</v>
      </c>
      <c r="H186" s="199">
        <v>30</v>
      </c>
      <c r="I186" s="194">
        <v>82.08</v>
      </c>
      <c r="J186" s="194">
        <v>0.05</v>
      </c>
      <c r="K186" s="194">
        <v>2462.35</v>
      </c>
      <c r="L186" s="193"/>
      <c r="M186" s="193"/>
    </row>
    <row r="187" spans="1:13" x14ac:dyDescent="0.25">
      <c r="A187" s="193"/>
      <c r="B187" s="198"/>
      <c r="C187" s="193"/>
      <c r="D187" s="194"/>
      <c r="E187" s="194"/>
      <c r="F187" s="194"/>
      <c r="G187" s="198"/>
      <c r="H187" s="199"/>
      <c r="I187" s="193"/>
      <c r="J187" s="193"/>
      <c r="K187" s="194"/>
      <c r="L187" s="193"/>
      <c r="M187" s="193"/>
    </row>
    <row r="188" spans="1:13" x14ac:dyDescent="0.25">
      <c r="A188" s="193"/>
      <c r="B188" s="548">
        <v>42746</v>
      </c>
      <c r="C188" s="547">
        <v>30</v>
      </c>
      <c r="D188" s="549">
        <v>81.81</v>
      </c>
      <c r="E188" s="549">
        <v>0</v>
      </c>
      <c r="F188" s="549">
        <f t="shared" ref="F188:F203" si="26">C188*D188+E188</f>
        <v>2454.3000000000002</v>
      </c>
      <c r="G188" s="548">
        <v>42746</v>
      </c>
      <c r="H188" s="547">
        <v>30</v>
      </c>
      <c r="I188" s="549">
        <v>81.599999999999994</v>
      </c>
      <c r="J188" s="549">
        <v>0.05</v>
      </c>
      <c r="K188" s="549">
        <f t="shared" ref="K188:K196" si="27">H188*I188-J188</f>
        <v>2447.9499999999998</v>
      </c>
      <c r="L188" s="548">
        <v>42794</v>
      </c>
      <c r="M188" s="549">
        <v>13</v>
      </c>
    </row>
    <row r="189" spans="1:13" x14ac:dyDescent="0.25">
      <c r="A189" s="193"/>
      <c r="B189" s="635">
        <v>42748</v>
      </c>
      <c r="C189" s="547">
        <v>20</v>
      </c>
      <c r="D189" s="549">
        <v>80.010000000000005</v>
      </c>
      <c r="E189" s="549">
        <v>0</v>
      </c>
      <c r="F189" s="549">
        <f t="shared" si="26"/>
        <v>1600.2</v>
      </c>
      <c r="G189" s="548">
        <v>42803</v>
      </c>
      <c r="H189" s="636">
        <v>100</v>
      </c>
      <c r="I189" s="549">
        <v>69.58</v>
      </c>
      <c r="J189" s="549">
        <v>0.15</v>
      </c>
      <c r="K189" s="549">
        <f t="shared" si="27"/>
        <v>6957.85</v>
      </c>
      <c r="L189" s="548">
        <v>42887</v>
      </c>
      <c r="M189" s="549">
        <v>62</v>
      </c>
    </row>
    <row r="190" spans="1:13" x14ac:dyDescent="0.25">
      <c r="A190" s="193"/>
      <c r="B190" s="635">
        <v>42754</v>
      </c>
      <c r="C190" s="547">
        <v>30</v>
      </c>
      <c r="D190" s="549">
        <v>80.88</v>
      </c>
      <c r="E190" s="549">
        <v>0</v>
      </c>
      <c r="F190" s="549">
        <f t="shared" si="26"/>
        <v>2426.3999999999996</v>
      </c>
      <c r="G190" s="548">
        <v>42804</v>
      </c>
      <c r="H190" s="636">
        <v>25</v>
      </c>
      <c r="I190" s="549">
        <v>72.58</v>
      </c>
      <c r="J190" s="549">
        <v>0.04</v>
      </c>
      <c r="K190" s="549">
        <f t="shared" si="27"/>
        <v>1814.46</v>
      </c>
      <c r="L190" s="548">
        <v>42978</v>
      </c>
      <c r="M190" s="549">
        <v>77.5</v>
      </c>
    </row>
    <row r="191" spans="1:13" x14ac:dyDescent="0.25">
      <c r="A191" s="193"/>
      <c r="B191" s="548">
        <v>42766</v>
      </c>
      <c r="C191" s="547">
        <v>25</v>
      </c>
      <c r="D191" s="549">
        <v>77</v>
      </c>
      <c r="E191" s="549">
        <v>0</v>
      </c>
      <c r="F191" s="549">
        <f t="shared" si="26"/>
        <v>1925</v>
      </c>
      <c r="G191" s="548">
        <v>42894</v>
      </c>
      <c r="H191" s="636">
        <v>50</v>
      </c>
      <c r="I191" s="549">
        <v>57</v>
      </c>
      <c r="J191" s="549">
        <v>0.06</v>
      </c>
      <c r="K191" s="549">
        <f t="shared" si="27"/>
        <v>2849.94</v>
      </c>
      <c r="L191" s="547"/>
      <c r="M191" s="547"/>
    </row>
    <row r="192" spans="1:13" x14ac:dyDescent="0.25">
      <c r="A192" s="193"/>
      <c r="B192" s="548">
        <v>42772</v>
      </c>
      <c r="C192" s="547">
        <v>25</v>
      </c>
      <c r="D192" s="549">
        <v>75.25</v>
      </c>
      <c r="E192" s="549">
        <v>0</v>
      </c>
      <c r="F192" s="549">
        <f t="shared" si="26"/>
        <v>1881.25</v>
      </c>
      <c r="G192" s="548">
        <v>42915</v>
      </c>
      <c r="H192" s="636">
        <v>100</v>
      </c>
      <c r="I192" s="549">
        <v>64.28</v>
      </c>
      <c r="J192" s="549">
        <v>0.15</v>
      </c>
      <c r="K192" s="549">
        <f t="shared" si="27"/>
        <v>6427.85</v>
      </c>
      <c r="L192" s="547"/>
      <c r="M192" s="547"/>
    </row>
    <row r="193" spans="1:13" x14ac:dyDescent="0.25">
      <c r="A193" s="193"/>
      <c r="B193" s="548">
        <v>42773</v>
      </c>
      <c r="C193" s="547">
        <v>25</v>
      </c>
      <c r="D193" s="549">
        <v>73.08</v>
      </c>
      <c r="E193" s="549">
        <v>0</v>
      </c>
      <c r="F193" s="549">
        <f t="shared" si="26"/>
        <v>1827</v>
      </c>
      <c r="G193" s="548">
        <v>42972</v>
      </c>
      <c r="H193" s="636">
        <v>100</v>
      </c>
      <c r="I193" s="549">
        <v>64</v>
      </c>
      <c r="J193" s="549">
        <v>0.15</v>
      </c>
      <c r="K193" s="549">
        <f t="shared" si="27"/>
        <v>6399.85</v>
      </c>
      <c r="L193" s="547"/>
      <c r="M193" s="547"/>
    </row>
    <row r="194" spans="1:13" x14ac:dyDescent="0.25">
      <c r="A194" s="193"/>
      <c r="B194" s="548">
        <v>42794</v>
      </c>
      <c r="C194" s="547">
        <v>50</v>
      </c>
      <c r="D194" s="549">
        <v>69.05</v>
      </c>
      <c r="E194" s="549">
        <v>0</v>
      </c>
      <c r="F194" s="549">
        <f t="shared" si="26"/>
        <v>3452.5</v>
      </c>
      <c r="G194" s="548">
        <v>42984</v>
      </c>
      <c r="H194" s="636">
        <v>150</v>
      </c>
      <c r="I194" s="549">
        <v>65.38</v>
      </c>
      <c r="J194" s="549">
        <v>0.23</v>
      </c>
      <c r="K194" s="549">
        <f t="shared" si="27"/>
        <v>9806.77</v>
      </c>
      <c r="L194" s="547"/>
      <c r="M194" s="547"/>
    </row>
    <row r="195" spans="1:13" x14ac:dyDescent="0.25">
      <c r="A195" s="193"/>
      <c r="B195" s="548">
        <v>42794</v>
      </c>
      <c r="C195" s="547">
        <v>50</v>
      </c>
      <c r="D195" s="549">
        <v>68.77</v>
      </c>
      <c r="E195" s="549">
        <v>0</v>
      </c>
      <c r="F195" s="549">
        <f t="shared" si="26"/>
        <v>3438.5</v>
      </c>
      <c r="G195" s="548">
        <v>42989</v>
      </c>
      <c r="H195" s="636">
        <v>100</v>
      </c>
      <c r="I195" s="549">
        <v>66.78</v>
      </c>
      <c r="J195" s="549">
        <v>0.15</v>
      </c>
      <c r="K195" s="549">
        <f t="shared" si="27"/>
        <v>6677.85</v>
      </c>
      <c r="L195" s="547"/>
      <c r="M195" s="547"/>
    </row>
    <row r="196" spans="1:13" x14ac:dyDescent="0.25">
      <c r="A196" s="193"/>
      <c r="B196" s="548">
        <v>42794</v>
      </c>
      <c r="C196" s="547">
        <v>50</v>
      </c>
      <c r="D196" s="549">
        <v>65.38</v>
      </c>
      <c r="E196" s="549">
        <v>0</v>
      </c>
      <c r="F196" s="549">
        <f t="shared" si="26"/>
        <v>3269</v>
      </c>
      <c r="G196" s="548">
        <v>43005</v>
      </c>
      <c r="H196" s="636">
        <v>100</v>
      </c>
      <c r="I196" s="549">
        <v>66.48</v>
      </c>
      <c r="J196" s="549">
        <v>0.15</v>
      </c>
      <c r="K196" s="549">
        <f t="shared" si="27"/>
        <v>6647.85</v>
      </c>
      <c r="L196" s="547"/>
      <c r="M196" s="547"/>
    </row>
    <row r="197" spans="1:13" x14ac:dyDescent="0.25">
      <c r="A197" s="193"/>
      <c r="B197" s="548">
        <v>42794</v>
      </c>
      <c r="C197" s="547">
        <v>25</v>
      </c>
      <c r="D197" s="549">
        <v>63.28</v>
      </c>
      <c r="E197" s="549">
        <v>0</v>
      </c>
      <c r="F197" s="549">
        <f t="shared" si="26"/>
        <v>1582</v>
      </c>
      <c r="G197" s="548"/>
      <c r="H197" s="636"/>
      <c r="I197" s="547"/>
      <c r="J197" s="547"/>
      <c r="K197" s="549"/>
      <c r="L197" s="547"/>
      <c r="M197" s="547"/>
    </row>
    <row r="198" spans="1:13" x14ac:dyDescent="0.25">
      <c r="A198" s="193"/>
      <c r="B198" s="548">
        <v>42808</v>
      </c>
      <c r="C198" s="547">
        <v>25</v>
      </c>
      <c r="D198" s="549">
        <v>67.88</v>
      </c>
      <c r="E198" s="549">
        <v>0</v>
      </c>
      <c r="F198" s="549">
        <f t="shared" si="26"/>
        <v>1697</v>
      </c>
      <c r="G198" s="548"/>
      <c r="H198" s="636"/>
      <c r="I198" s="547"/>
      <c r="J198" s="547"/>
      <c r="K198" s="549"/>
      <c r="L198" s="547"/>
      <c r="M198" s="547"/>
    </row>
    <row r="199" spans="1:13" x14ac:dyDescent="0.25">
      <c r="A199" s="193"/>
      <c r="B199" s="548">
        <v>42865</v>
      </c>
      <c r="C199" s="547">
        <v>100</v>
      </c>
      <c r="D199" s="549">
        <v>63.85</v>
      </c>
      <c r="E199" s="549">
        <v>0</v>
      </c>
      <c r="F199" s="549">
        <f t="shared" si="26"/>
        <v>6385</v>
      </c>
      <c r="G199" s="548"/>
      <c r="H199" s="636"/>
      <c r="I199" s="549"/>
      <c r="J199" s="547"/>
      <c r="K199" s="549"/>
      <c r="L199" s="547"/>
      <c r="M199" s="547"/>
    </row>
    <row r="200" spans="1:13" x14ac:dyDescent="0.25">
      <c r="A200" s="193"/>
      <c r="B200" s="548">
        <v>42866</v>
      </c>
      <c r="C200" s="547">
        <v>50</v>
      </c>
      <c r="D200" s="549">
        <v>61.1</v>
      </c>
      <c r="E200" s="549">
        <v>-0.2</v>
      </c>
      <c r="F200" s="549">
        <f t="shared" si="26"/>
        <v>3054.8</v>
      </c>
      <c r="G200" s="548"/>
      <c r="H200" s="636"/>
      <c r="I200" s="547"/>
      <c r="J200" s="547"/>
      <c r="K200" s="549"/>
      <c r="L200" s="547"/>
      <c r="M200" s="547"/>
    </row>
    <row r="201" spans="1:13" x14ac:dyDescent="0.25">
      <c r="A201" s="193"/>
      <c r="B201" s="548">
        <v>42879</v>
      </c>
      <c r="C201" s="547">
        <v>50</v>
      </c>
      <c r="D201" s="549">
        <v>53.3</v>
      </c>
      <c r="E201" s="549">
        <v>0</v>
      </c>
      <c r="F201" s="549">
        <f t="shared" si="26"/>
        <v>2665</v>
      </c>
      <c r="G201" s="548"/>
      <c r="H201" s="636"/>
      <c r="I201" s="547"/>
      <c r="J201" s="547"/>
      <c r="K201" s="549"/>
      <c r="L201" s="547"/>
      <c r="M201" s="547"/>
    </row>
    <row r="202" spans="1:13" x14ac:dyDescent="0.25">
      <c r="A202" s="193"/>
      <c r="B202" s="548">
        <v>42949</v>
      </c>
      <c r="C202" s="547">
        <v>50</v>
      </c>
      <c r="D202" s="549">
        <v>59.32</v>
      </c>
      <c r="E202" s="549">
        <v>0</v>
      </c>
      <c r="F202" s="549">
        <f t="shared" si="26"/>
        <v>2966</v>
      </c>
      <c r="G202" s="548"/>
      <c r="H202" s="636"/>
      <c r="I202" s="547"/>
      <c r="J202" s="547"/>
      <c r="K202" s="549"/>
      <c r="L202" s="547"/>
      <c r="M202" s="547"/>
    </row>
    <row r="203" spans="1:13" x14ac:dyDescent="0.25">
      <c r="A203" s="193"/>
      <c r="B203" s="548">
        <v>42957</v>
      </c>
      <c r="C203" s="547">
        <v>50</v>
      </c>
      <c r="D203" s="549">
        <v>55.78</v>
      </c>
      <c r="E203" s="549">
        <v>0</v>
      </c>
      <c r="F203" s="549">
        <f t="shared" si="26"/>
        <v>2789</v>
      </c>
      <c r="G203" s="547"/>
      <c r="H203" s="547"/>
      <c r="I203" s="547"/>
      <c r="J203" s="547"/>
      <c r="K203" s="549"/>
      <c r="L203" s="547"/>
      <c r="M203" s="547"/>
    </row>
    <row r="204" spans="1:13" x14ac:dyDescent="0.25">
      <c r="A204" s="193"/>
      <c r="B204" s="548">
        <v>42972</v>
      </c>
      <c r="C204" s="547">
        <v>100</v>
      </c>
      <c r="D204" s="549">
        <v>62.88</v>
      </c>
      <c r="E204" s="549">
        <v>0</v>
      </c>
      <c r="F204" s="549">
        <f>C204*D204+E204</f>
        <v>6288</v>
      </c>
      <c r="G204" s="548"/>
      <c r="H204" s="636"/>
      <c r="I204" s="547"/>
      <c r="J204" s="547"/>
      <c r="K204" s="549"/>
      <c r="L204" s="547"/>
      <c r="M204" s="547"/>
    </row>
    <row r="205" spans="1:13" x14ac:dyDescent="0.25">
      <c r="A205" s="193"/>
      <c r="B205" s="198"/>
      <c r="C205" s="193"/>
      <c r="D205" s="194"/>
      <c r="E205" s="194"/>
      <c r="F205" s="194"/>
      <c r="G205" s="198"/>
      <c r="H205" s="199"/>
      <c r="I205" s="194"/>
      <c r="J205" s="193"/>
      <c r="K205" s="194"/>
      <c r="L205" s="193"/>
      <c r="M205" s="193"/>
    </row>
    <row r="206" spans="1:13" x14ac:dyDescent="0.25">
      <c r="A206" s="193"/>
      <c r="B206" s="198"/>
      <c r="C206" s="193"/>
      <c r="D206" s="194"/>
      <c r="E206" s="194"/>
      <c r="F206" s="194"/>
      <c r="G206" s="198"/>
      <c r="H206" s="199"/>
      <c r="I206" s="193"/>
      <c r="J206" s="193"/>
      <c r="K206" s="194"/>
      <c r="L206" s="193"/>
      <c r="M206" s="193"/>
    </row>
    <row r="207" spans="1:13" x14ac:dyDescent="0.25">
      <c r="A207" s="193"/>
      <c r="B207" s="193"/>
      <c r="C207" s="193"/>
      <c r="D207" s="194"/>
      <c r="E207" s="194"/>
      <c r="F207" s="194"/>
      <c r="G207" s="198"/>
      <c r="H207" s="199"/>
      <c r="I207" s="193"/>
      <c r="J207" s="193"/>
      <c r="K207" s="194"/>
      <c r="L207" s="193"/>
      <c r="M207" s="193"/>
    </row>
    <row r="208" spans="1:13" x14ac:dyDescent="0.25">
      <c r="A208" s="193"/>
      <c r="B208" s="198"/>
      <c r="C208" s="193"/>
      <c r="D208" s="194"/>
      <c r="E208" s="194"/>
      <c r="F208" s="194"/>
      <c r="G208" s="198"/>
      <c r="H208" s="199"/>
      <c r="I208" s="194"/>
      <c r="J208" s="193"/>
      <c r="K208" s="194"/>
      <c r="L208" s="193"/>
      <c r="M208" s="193"/>
    </row>
    <row r="209" spans="1:13" x14ac:dyDescent="0.25">
      <c r="A209" s="193"/>
      <c r="B209" s="198"/>
      <c r="C209" s="193"/>
      <c r="D209" s="194"/>
      <c r="E209" s="194"/>
      <c r="F209" s="194"/>
      <c r="G209" s="198"/>
      <c r="H209" s="199"/>
      <c r="I209" s="193"/>
      <c r="J209" s="193"/>
      <c r="K209" s="194"/>
      <c r="L209" s="193"/>
      <c r="M209" s="193"/>
    </row>
    <row r="210" spans="1:13" x14ac:dyDescent="0.25">
      <c r="A210" s="193"/>
      <c r="B210" s="193"/>
      <c r="C210" s="193"/>
      <c r="D210" s="194"/>
      <c r="E210" s="194"/>
      <c r="F210" s="194"/>
      <c r="G210" s="198"/>
      <c r="H210" s="199"/>
      <c r="I210" s="193"/>
      <c r="J210" s="193"/>
      <c r="K210" s="194"/>
      <c r="L210" s="193"/>
      <c r="M210" s="193"/>
    </row>
    <row r="211" spans="1:13" x14ac:dyDescent="0.25">
      <c r="A211" s="193"/>
      <c r="B211" s="193"/>
      <c r="C211" s="193"/>
      <c r="D211" s="194"/>
      <c r="E211" s="194"/>
      <c r="F211" s="194"/>
      <c r="G211" s="198"/>
      <c r="H211" s="199"/>
      <c r="I211" s="193"/>
      <c r="J211" s="193"/>
      <c r="K211" s="194"/>
      <c r="L211" s="193"/>
      <c r="M211" s="193"/>
    </row>
    <row r="212" spans="1:13" x14ac:dyDescent="0.25">
      <c r="A212" s="31" t="s">
        <v>81</v>
      </c>
      <c r="B212" s="14"/>
      <c r="C212" s="14">
        <f>SUM(C179:C211)</f>
        <v>930</v>
      </c>
      <c r="D212" s="14"/>
      <c r="E212" s="14"/>
      <c r="F212" s="18">
        <f>SUM(F179:F211)</f>
        <v>63959.600000000006</v>
      </c>
      <c r="G212" s="14"/>
      <c r="H212" s="14">
        <f>SUM(H179:H211)</f>
        <v>930</v>
      </c>
      <c r="I212" s="14"/>
      <c r="J212" s="14"/>
      <c r="K212" s="18">
        <f>SUM(K179:K211)</f>
        <v>64944.17</v>
      </c>
      <c r="L212" s="14"/>
      <c r="M212" s="18">
        <f>SUM(M179:M211)</f>
        <v>173.3</v>
      </c>
    </row>
    <row r="213" spans="1:13" ht="15.75" thickBot="1" x14ac:dyDescent="0.3">
      <c r="A213" s="365" t="s">
        <v>189</v>
      </c>
      <c r="B213" s="366"/>
      <c r="C213" s="367">
        <f>SumByColor($A$23,C179:C211)</f>
        <v>0</v>
      </c>
      <c r="D213" s="367"/>
      <c r="E213" s="367"/>
      <c r="F213" s="368">
        <f>SumByColor($A$23,F179:F211)</f>
        <v>0</v>
      </c>
      <c r="G213" s="367"/>
      <c r="H213" s="367">
        <f>SumByColor($A$23,H179:H211)</f>
        <v>0</v>
      </c>
      <c r="I213" s="367"/>
      <c r="J213" s="367"/>
      <c r="K213" s="368">
        <f>SumByColor($A$23,K179:K211)</f>
        <v>0</v>
      </c>
      <c r="L213" s="367"/>
      <c r="M213" s="368">
        <f>SumByColor($A$23,M179:M211)</f>
        <v>0</v>
      </c>
    </row>
  </sheetData>
  <conditionalFormatting sqref="N23">
    <cfRule type="expression" dxfId="4165" priority="64">
      <formula>N23&gt;0</formula>
    </cfRule>
    <cfRule type="expression" dxfId="4164" priority="65">
      <formula>N23&lt;0</formula>
    </cfRule>
  </conditionalFormatting>
  <conditionalFormatting sqref="O40:O60">
    <cfRule type="colorScale" priority="63">
      <colorScale>
        <cfvo type="min"/>
        <cfvo type="percentile" val="50"/>
        <cfvo type="max"/>
        <color rgb="FFF8696B"/>
        <color rgb="FFFFEB84"/>
        <color rgb="FF63BE7B"/>
      </colorScale>
    </cfRule>
  </conditionalFormatting>
  <conditionalFormatting sqref="P40:P60">
    <cfRule type="colorScale" priority="62">
      <colorScale>
        <cfvo type="min"/>
        <cfvo type="percentile" val="50"/>
        <cfvo type="max"/>
        <color rgb="FFF8696B"/>
        <color rgb="FFFFEB84"/>
        <color rgb="FF63BE7B"/>
      </colorScale>
    </cfRule>
  </conditionalFormatting>
  <conditionalFormatting sqref="F79:F97 F101:F118">
    <cfRule type="expression" dxfId="4163" priority="58">
      <formula>F79&gt;0</formula>
    </cfRule>
    <cfRule type="expression" dxfId="4162" priority="59">
      <formula>F79&lt;0</formula>
    </cfRule>
  </conditionalFormatting>
  <conditionalFormatting sqref="H79:H97 H101:H118">
    <cfRule type="expression" dxfId="4161" priority="56">
      <formula>H79&gt;0</formula>
    </cfRule>
    <cfRule type="expression" dxfId="4160" priority="57">
      <formula>H79&lt;0</formula>
    </cfRule>
  </conditionalFormatting>
  <conditionalFormatting sqref="I75:I97 I100:I118">
    <cfRule type="expression" dxfId="4159" priority="54">
      <formula>I75&gt;0</formula>
    </cfRule>
    <cfRule type="expression" dxfId="4158" priority="55">
      <formula>I75&lt;0</formula>
    </cfRule>
  </conditionalFormatting>
  <conditionalFormatting sqref="Q7">
    <cfRule type="expression" dxfId="4157" priority="52">
      <formula>Q7&gt;0</formula>
    </cfRule>
    <cfRule type="expression" dxfId="4156" priority="53">
      <formula>Q7&lt;0</formula>
    </cfRule>
  </conditionalFormatting>
  <conditionalFormatting sqref="Q8">
    <cfRule type="expression" dxfId="4155" priority="50">
      <formula>Q8&gt;0</formula>
    </cfRule>
    <cfRule type="expression" dxfId="4154" priority="51">
      <formula>Q8&lt;0</formula>
    </cfRule>
  </conditionalFormatting>
  <conditionalFormatting sqref="F75:F78">
    <cfRule type="expression" dxfId="4153" priority="48">
      <formula>F75&gt;0</formula>
    </cfRule>
    <cfRule type="expression" dxfId="4152" priority="49">
      <formula>F75&lt;0</formula>
    </cfRule>
  </conditionalFormatting>
  <conditionalFormatting sqref="H75:H78">
    <cfRule type="expression" dxfId="4151" priority="46">
      <formula>H75&gt;0</formula>
    </cfRule>
    <cfRule type="expression" dxfId="4150" priority="47">
      <formula>H75&lt;0</formula>
    </cfRule>
  </conditionalFormatting>
  <conditionalFormatting sqref="F100:F114">
    <cfRule type="expression" dxfId="4149" priority="40">
      <formula>F100&gt;0</formula>
    </cfRule>
    <cfRule type="expression" dxfId="4148" priority="41">
      <formula>F100&lt;0</formula>
    </cfRule>
  </conditionalFormatting>
  <conditionalFormatting sqref="H100:H114">
    <cfRule type="expression" dxfId="4147" priority="38">
      <formula>H100&gt;0</formula>
    </cfRule>
    <cfRule type="expression" dxfId="4146" priority="39">
      <formula>H100&lt;0</formula>
    </cfRule>
  </conditionalFormatting>
  <conditionalFormatting sqref="F29:F67">
    <cfRule type="expression" dxfId="4145" priority="36">
      <formula>F29&gt;0</formula>
    </cfRule>
    <cfRule type="expression" dxfId="4144" priority="37">
      <formula>F29&lt;0</formula>
    </cfRule>
  </conditionalFormatting>
  <conditionalFormatting sqref="H29:H63">
    <cfRule type="expression" dxfId="4143" priority="34">
      <formula>H29&gt;0</formula>
    </cfRule>
    <cfRule type="expression" dxfId="4142" priority="35">
      <formula>H29&lt;0</formula>
    </cfRule>
  </conditionalFormatting>
  <conditionalFormatting sqref="J38:J68">
    <cfRule type="expression" dxfId="4141" priority="32">
      <formula>J38&gt;0</formula>
    </cfRule>
    <cfRule type="expression" dxfId="4140" priority="33">
      <formula>J38&lt;0</formula>
    </cfRule>
  </conditionalFormatting>
  <conditionalFormatting sqref="J43">
    <cfRule type="expression" dxfId="4139" priority="30">
      <formula>J43&gt;0</formula>
    </cfRule>
    <cfRule type="expression" dxfId="4138" priority="31">
      <formula>J43&lt;0</formula>
    </cfRule>
  </conditionalFormatting>
  <conditionalFormatting sqref="Q9">
    <cfRule type="expression" dxfId="4137" priority="24">
      <formula>Q9&gt;0</formula>
    </cfRule>
    <cfRule type="expression" dxfId="4136" priority="25">
      <formula>Q9&lt;0</formula>
    </cfRule>
  </conditionalFormatting>
  <conditionalFormatting sqref="R4">
    <cfRule type="expression" dxfId="4135" priority="26">
      <formula>R4&gt;0</formula>
    </cfRule>
    <cfRule type="expression" dxfId="4134" priority="27">
      <formula>R4&lt;0</formula>
    </cfRule>
  </conditionalFormatting>
  <conditionalFormatting sqref="W15:W26">
    <cfRule type="iconSet" priority="23">
      <iconSet iconSet="3Arrows">
        <cfvo type="percent" val="0"/>
        <cfvo type="num" val="0"/>
        <cfvo type="num" val="0"/>
      </iconSet>
    </cfRule>
  </conditionalFormatting>
  <conditionalFormatting sqref="F120:F160">
    <cfRule type="expression" dxfId="4133" priority="21">
      <formula>F120&gt;0</formula>
    </cfRule>
    <cfRule type="expression" dxfId="4132" priority="22">
      <formula>F120&lt;0</formula>
    </cfRule>
  </conditionalFormatting>
  <conditionalFormatting sqref="H120:H160">
    <cfRule type="expression" dxfId="4131" priority="19">
      <formula>H120&gt;0</formula>
    </cfRule>
    <cfRule type="expression" dxfId="4130" priority="20">
      <formula>H120&lt;0</formula>
    </cfRule>
  </conditionalFormatting>
  <conditionalFormatting sqref="J129:J160">
    <cfRule type="expression" dxfId="4129" priority="17">
      <formula>J129&gt;0</formula>
    </cfRule>
    <cfRule type="expression" dxfId="4128" priority="18">
      <formula>J129&lt;0</formula>
    </cfRule>
  </conditionalFormatting>
  <conditionalFormatting sqref="J134">
    <cfRule type="expression" dxfId="4127" priority="15">
      <formula>J134&gt;0</formula>
    </cfRule>
    <cfRule type="expression" dxfId="4126" priority="16">
      <formula>J134&lt;0</formula>
    </cfRule>
  </conditionalFormatting>
  <conditionalFormatting sqref="J31:J40">
    <cfRule type="expression" dxfId="4125" priority="13">
      <formula>J31&gt;0</formula>
    </cfRule>
    <cfRule type="expression" dxfId="4124" priority="14">
      <formula>J31&lt;0</formula>
    </cfRule>
  </conditionalFormatting>
  <conditionalFormatting sqref="J36:J37">
    <cfRule type="expression" dxfId="4123" priority="11">
      <formula>J36&gt;0</formula>
    </cfRule>
    <cfRule type="expression" dxfId="4122" priority="12">
      <formula>J36&lt;0</formula>
    </cfRule>
  </conditionalFormatting>
  <conditionalFormatting sqref="Q10">
    <cfRule type="expression" dxfId="4121" priority="9">
      <formula>Q10&gt;0</formula>
    </cfRule>
    <cfRule type="expression" dxfId="4120" priority="10">
      <formula>Q10&lt;0</formula>
    </cfRule>
  </conditionalFormatting>
  <conditionalFormatting sqref="K38:K55 K57:K68">
    <cfRule type="expression" dxfId="4119" priority="7">
      <formula>K38&gt;0</formula>
    </cfRule>
    <cfRule type="expression" dxfId="4118" priority="8">
      <formula>K38&lt;0</formula>
    </cfRule>
  </conditionalFormatting>
  <conditionalFormatting sqref="K43">
    <cfRule type="expression" dxfId="4117" priority="5">
      <formula>K43&gt;0</formula>
    </cfRule>
    <cfRule type="expression" dxfId="4116" priority="6">
      <formula>K43&lt;0</formula>
    </cfRule>
  </conditionalFormatting>
  <conditionalFormatting sqref="K31:K40">
    <cfRule type="expression" dxfId="4115" priority="3">
      <formula>K31&gt;0</formula>
    </cfRule>
    <cfRule type="expression" dxfId="4114" priority="4">
      <formula>K31&lt;0</formula>
    </cfRule>
  </conditionalFormatting>
  <conditionalFormatting sqref="K36:K37">
    <cfRule type="expression" dxfId="4113" priority="1">
      <formula>K36&gt;0</formula>
    </cfRule>
    <cfRule type="expression" dxfId="4112" priority="2">
      <formula>K36&lt;0</formula>
    </cfRule>
  </conditionalFormatting>
  <hyperlinks>
    <hyperlink ref="A3" location="ACTIVE!A1" display="Back"/>
    <hyperlink ref="A180" location="ACTIVE!A1" display="Back"/>
  </hyperlinks>
  <pageMargins left="0.7" right="0.7" top="0.75" bottom="0.75" header="0.3" footer="0.3"/>
  <pageSetup orientation="portrait" horizontalDpi="1200" verticalDpi="120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5"/>
  <dimension ref="A1:U110"/>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5.28515625"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1339</v>
      </c>
      <c r="B2" s="360">
        <v>43572</v>
      </c>
      <c r="C2" s="7">
        <v>20</v>
      </c>
      <c r="D2" s="43">
        <v>252</v>
      </c>
      <c r="E2" s="43">
        <v>0</v>
      </c>
      <c r="F2" s="43">
        <f>C2*D2+E2</f>
        <v>5040</v>
      </c>
      <c r="G2" s="360">
        <v>43626</v>
      </c>
      <c r="H2" s="43">
        <v>20</v>
      </c>
      <c r="I2" s="43">
        <v>275.81</v>
      </c>
      <c r="J2" s="43">
        <v>0.11</v>
      </c>
      <c r="K2" s="43">
        <f>H2*I2-J2</f>
        <v>5516.09</v>
      </c>
      <c r="L2" s="69"/>
      <c r="M2" s="3"/>
      <c r="O2" s="11" t="s">
        <v>57</v>
      </c>
      <c r="Q2">
        <f>C18-H18</f>
        <v>40</v>
      </c>
      <c r="T2" s="1"/>
    </row>
    <row r="3" spans="1:21" x14ac:dyDescent="0.25">
      <c r="A3" s="22" t="s">
        <v>71</v>
      </c>
      <c r="B3" s="69">
        <v>43627</v>
      </c>
      <c r="C3" s="4">
        <v>20</v>
      </c>
      <c r="D3" s="3">
        <v>262.01</v>
      </c>
      <c r="E3" s="3">
        <v>0</v>
      </c>
      <c r="F3" s="3">
        <f>C3*D3+E3</f>
        <v>5240.2</v>
      </c>
      <c r="G3" s="69"/>
      <c r="H3" s="158"/>
      <c r="I3" s="3"/>
      <c r="J3" s="3"/>
      <c r="K3" s="3"/>
      <c r="L3" s="69"/>
      <c r="M3" s="3"/>
      <c r="O3" s="11" t="s">
        <v>58</v>
      </c>
      <c r="Q3" s="174">
        <f>IF(Q2=0, Q4, (F18-K18-M18)/Q2)</f>
        <v>229.60275000000001</v>
      </c>
      <c r="T3" s="1"/>
    </row>
    <row r="4" spans="1:21" x14ac:dyDescent="0.25">
      <c r="B4" s="69">
        <v>43678</v>
      </c>
      <c r="C4" s="4">
        <v>20</v>
      </c>
      <c r="D4" s="3">
        <v>221</v>
      </c>
      <c r="E4" s="3">
        <v>0</v>
      </c>
      <c r="F4" s="3">
        <f>C4*D4+E4</f>
        <v>4420</v>
      </c>
      <c r="G4" s="69"/>
      <c r="H4" s="158"/>
      <c r="I4" s="3"/>
      <c r="J4" s="3"/>
      <c r="K4" s="3"/>
      <c r="L4" s="4"/>
      <c r="M4" s="4"/>
      <c r="O4" s="11" t="s">
        <v>66</v>
      </c>
      <c r="Q4" s="53">
        <v>179.75</v>
      </c>
      <c r="R4" s="416">
        <v>0.14199999999999999</v>
      </c>
      <c r="T4" s="1">
        <v>43678</v>
      </c>
      <c r="U4" t="s">
        <v>1357</v>
      </c>
    </row>
    <row r="5" spans="1:21" x14ac:dyDescent="0.25">
      <c r="B5" s="69"/>
      <c r="C5" s="4"/>
      <c r="D5" s="3"/>
      <c r="E5" s="3"/>
      <c r="F5" s="3"/>
      <c r="G5" s="69"/>
      <c r="H5" s="158"/>
      <c r="I5" s="3"/>
      <c r="J5" s="3"/>
      <c r="K5" s="3"/>
      <c r="L5" s="4"/>
      <c r="M5" s="4"/>
      <c r="O5" s="11" t="s">
        <v>67</v>
      </c>
      <c r="Q5" s="3">
        <f>Q4*Q2</f>
        <v>7190</v>
      </c>
      <c r="T5" s="680"/>
      <c r="U5" s="30"/>
    </row>
    <row r="6" spans="1:21" x14ac:dyDescent="0.25">
      <c r="B6" s="69"/>
      <c r="C6" s="4"/>
      <c r="D6" s="3"/>
      <c r="E6" s="3"/>
      <c r="F6" s="3"/>
      <c r="G6" s="69"/>
      <c r="H6" s="158"/>
      <c r="I6" s="3"/>
      <c r="J6" s="3"/>
      <c r="K6" s="3"/>
      <c r="L6" s="4"/>
      <c r="M6" s="4"/>
      <c r="O6" s="11" t="s">
        <v>64</v>
      </c>
      <c r="Q6" s="2">
        <f>Q3*Q2</f>
        <v>9184.11</v>
      </c>
      <c r="U6" s="396"/>
    </row>
    <row r="7" spans="1:21" x14ac:dyDescent="0.25">
      <c r="B7" s="69"/>
      <c r="C7" s="4"/>
      <c r="D7" s="3"/>
      <c r="E7" s="3"/>
      <c r="F7" s="3"/>
      <c r="G7" s="69"/>
      <c r="H7" s="158"/>
      <c r="I7" s="3"/>
      <c r="J7" s="3"/>
      <c r="K7" s="3"/>
      <c r="L7" s="4"/>
      <c r="M7" s="4"/>
      <c r="O7" s="11" t="s">
        <v>175</v>
      </c>
      <c r="Q7" s="2">
        <f>Q10+Q8</f>
        <v>-1994.1100000000006</v>
      </c>
      <c r="R7">
        <v>40</v>
      </c>
    </row>
    <row r="8" spans="1:21" x14ac:dyDescent="0.25">
      <c r="B8" s="69"/>
      <c r="C8" s="4"/>
      <c r="D8" s="3"/>
      <c r="E8" s="3"/>
      <c r="F8" s="3"/>
      <c r="G8" s="69"/>
      <c r="H8" s="158"/>
      <c r="I8" s="3"/>
      <c r="J8" s="3"/>
      <c r="K8" s="3"/>
      <c r="L8" s="4"/>
      <c r="M8" s="4"/>
      <c r="O8" s="11" t="s">
        <v>177</v>
      </c>
      <c r="P8" s="33"/>
      <c r="Q8" s="2">
        <f>K18+M18-F18+Q2*Q4</f>
        <v>-1994.1100000000006</v>
      </c>
      <c r="T8" s="1"/>
      <c r="U8" s="728"/>
    </row>
    <row r="9" spans="1:21" x14ac:dyDescent="0.25">
      <c r="B9" s="69"/>
      <c r="C9" s="4"/>
      <c r="D9" s="3"/>
      <c r="E9" s="3"/>
      <c r="F9" s="3"/>
      <c r="G9" s="4"/>
      <c r="H9" s="158"/>
      <c r="I9" s="3"/>
      <c r="J9" s="3"/>
      <c r="K9" s="3"/>
      <c r="L9" s="4"/>
      <c r="M9" s="4"/>
      <c r="O9" s="11" t="s">
        <v>202</v>
      </c>
      <c r="Q9" s="131">
        <f>IF(Q2=0, 0, Q8/Q6)</f>
        <v>-0.21712610149486455</v>
      </c>
    </row>
    <row r="10" spans="1:21" x14ac:dyDescent="0.25">
      <c r="B10" s="69"/>
      <c r="C10" s="4"/>
      <c r="D10" s="3"/>
      <c r="E10" s="3"/>
      <c r="F10" s="3"/>
      <c r="G10" s="4"/>
      <c r="H10" s="158"/>
      <c r="I10" s="3"/>
      <c r="J10" s="3"/>
      <c r="K10" s="3"/>
      <c r="L10" s="4"/>
      <c r="M10" s="4"/>
      <c r="O10" s="11" t="s">
        <v>201</v>
      </c>
      <c r="P10" s="33"/>
      <c r="Q10" s="2">
        <f>M66</f>
        <v>0</v>
      </c>
      <c r="T10" s="153"/>
    </row>
    <row r="11" spans="1:21" x14ac:dyDescent="0.25">
      <c r="B11" s="69"/>
      <c r="C11" s="4"/>
      <c r="D11" s="3"/>
      <c r="E11" s="3"/>
      <c r="F11" s="3"/>
      <c r="G11" s="4"/>
      <c r="H11" s="158"/>
      <c r="I11" s="3"/>
      <c r="J11" s="3"/>
      <c r="K11" s="3"/>
      <c r="L11" s="4"/>
      <c r="M11" s="4"/>
      <c r="O11" s="11" t="s">
        <v>173</v>
      </c>
      <c r="P11" s="33"/>
      <c r="Q11" s="131"/>
    </row>
    <row r="12" spans="1:21" x14ac:dyDescent="0.25">
      <c r="B12" s="4"/>
      <c r="C12" s="4"/>
      <c r="D12" s="3"/>
      <c r="E12" s="3"/>
      <c r="F12" s="3"/>
      <c r="G12" s="4"/>
      <c r="H12" s="158"/>
      <c r="I12" s="3"/>
      <c r="J12" s="3"/>
      <c r="K12" s="3"/>
      <c r="L12" s="4"/>
      <c r="M12" s="4"/>
      <c r="O12" s="11" t="s">
        <v>875</v>
      </c>
      <c r="Q12" s="1"/>
      <c r="T12" s="1"/>
    </row>
    <row r="13" spans="1:21" x14ac:dyDescent="0.25">
      <c r="B13" s="4"/>
      <c r="C13" s="4"/>
      <c r="D13" s="3"/>
      <c r="E13" s="3"/>
      <c r="F13" s="3"/>
      <c r="G13" s="4"/>
      <c r="H13" s="158"/>
      <c r="I13" s="3"/>
      <c r="J13" s="3"/>
      <c r="K13" s="3"/>
      <c r="L13" s="4"/>
      <c r="M13" s="4"/>
      <c r="O13" s="11" t="s">
        <v>901</v>
      </c>
      <c r="Q13" s="2"/>
    </row>
    <row r="14" spans="1:21" x14ac:dyDescent="0.25">
      <c r="H14" s="67"/>
      <c r="O14" s="11" t="s">
        <v>988</v>
      </c>
      <c r="Q14" s="1">
        <v>43631</v>
      </c>
      <c r="T14" s="1"/>
    </row>
    <row r="15" spans="1:21" x14ac:dyDescent="0.25">
      <c r="H15" s="67"/>
    </row>
    <row r="16" spans="1:21" x14ac:dyDescent="0.25">
      <c r="H16" s="67"/>
      <c r="T16" s="1"/>
    </row>
    <row r="18" spans="1:20" ht="20.25" thickBot="1" x14ac:dyDescent="0.35">
      <c r="A18" s="31" t="s">
        <v>81</v>
      </c>
      <c r="B18" s="14"/>
      <c r="C18" s="14">
        <f>SUM(C2:C12)</f>
        <v>60</v>
      </c>
      <c r="D18" s="18"/>
      <c r="E18" s="18"/>
      <c r="F18" s="18">
        <f>SUM(F2:F12)</f>
        <v>14700.2</v>
      </c>
      <c r="G18" s="14"/>
      <c r="H18" s="68">
        <f>SUM(H2:H8)</f>
        <v>20</v>
      </c>
      <c r="I18" s="18"/>
      <c r="J18" s="18"/>
      <c r="K18" s="18">
        <f>SUM(K2:K8)</f>
        <v>5516.09</v>
      </c>
      <c r="L18" s="14"/>
      <c r="M18" s="18">
        <f>SUM(M2:M10)</f>
        <v>0</v>
      </c>
      <c r="O18" s="856" t="s">
        <v>78</v>
      </c>
      <c r="P18" s="856"/>
      <c r="T18" s="1"/>
    </row>
    <row r="19" spans="1:20" ht="16.5" thickTop="1" thickBot="1" x14ac:dyDescent="0.3">
      <c r="A19" s="273" t="s">
        <v>189</v>
      </c>
      <c r="B19" s="274"/>
      <c r="C19" s="275">
        <f>SumByColor($A$19,C2:C17)</f>
        <v>20</v>
      </c>
      <c r="D19" s="275"/>
      <c r="E19" s="275"/>
      <c r="F19" s="276">
        <f>SumByColor($A$19,F2:F17)</f>
        <v>5040</v>
      </c>
      <c r="G19" s="275"/>
      <c r="H19" s="275">
        <f>SumByColor($A$19,H2:H17)</f>
        <v>20</v>
      </c>
      <c r="I19" s="275"/>
      <c r="J19" s="275"/>
      <c r="K19" s="276">
        <f>SumByColor($A$19,K2:K17)</f>
        <v>5516</v>
      </c>
      <c r="L19" s="275"/>
      <c r="M19" s="276">
        <f>SumByColor($A$19,M2:M17)</f>
        <v>0</v>
      </c>
      <c r="O19" s="78">
        <v>1.1000000000000001</v>
      </c>
      <c r="P19" s="78">
        <f>O19*$Q$4</f>
        <v>197.72500000000002</v>
      </c>
    </row>
    <row r="20" spans="1:20" x14ac:dyDescent="0.25">
      <c r="O20" s="78">
        <v>1.0900000000000001</v>
      </c>
      <c r="P20" s="78">
        <f t="shared" ref="P20:P39" si="0">O20*$Q$4</f>
        <v>195.92750000000001</v>
      </c>
    </row>
    <row r="21" spans="1:20" x14ac:dyDescent="0.25">
      <c r="O21" s="78">
        <v>1.08</v>
      </c>
      <c r="P21" s="78">
        <f t="shared" si="0"/>
        <v>194.13000000000002</v>
      </c>
      <c r="T21" s="1"/>
    </row>
    <row r="22" spans="1:20" x14ac:dyDescent="0.25">
      <c r="O22" s="78">
        <v>1.07</v>
      </c>
      <c r="P22" s="78">
        <f t="shared" si="0"/>
        <v>192.33250000000001</v>
      </c>
    </row>
    <row r="23" spans="1:20" x14ac:dyDescent="0.25">
      <c r="O23" s="78">
        <v>1.06</v>
      </c>
      <c r="P23" s="78">
        <f t="shared" si="0"/>
        <v>190.535</v>
      </c>
    </row>
    <row r="24" spans="1:20" x14ac:dyDescent="0.25">
      <c r="B24" s="159" t="s">
        <v>113</v>
      </c>
      <c r="C24" s="159" t="s">
        <v>143</v>
      </c>
      <c r="D24" s="160" t="s">
        <v>142</v>
      </c>
      <c r="E24" s="162" t="s">
        <v>144</v>
      </c>
      <c r="F24" s="162" t="s">
        <v>65</v>
      </c>
      <c r="G24" s="173" t="s">
        <v>148</v>
      </c>
      <c r="H24" s="173" t="s">
        <v>88</v>
      </c>
      <c r="I24" s="173" t="s">
        <v>151</v>
      </c>
      <c r="J24" s="173" t="s">
        <v>147</v>
      </c>
      <c r="K24" s="173" t="s">
        <v>452</v>
      </c>
      <c r="L24" s="173" t="s">
        <v>901</v>
      </c>
      <c r="O24" s="78">
        <v>1.05</v>
      </c>
      <c r="P24" s="78">
        <f t="shared" si="0"/>
        <v>188.73750000000001</v>
      </c>
    </row>
    <row r="25" spans="1:20" x14ac:dyDescent="0.25">
      <c r="B25" s="161">
        <v>43572</v>
      </c>
      <c r="C25" s="10">
        <v>20</v>
      </c>
      <c r="D25" s="39">
        <v>252</v>
      </c>
      <c r="E25" s="39">
        <v>251.49</v>
      </c>
      <c r="F25" s="39">
        <f>C25*(E25-D25)</f>
        <v>-10.199999999999818</v>
      </c>
      <c r="G25" s="39">
        <f>D25*C25</f>
        <v>5040</v>
      </c>
      <c r="H25" s="175"/>
      <c r="I25" s="39"/>
      <c r="J25" s="39">
        <v>-10.199999999999999</v>
      </c>
      <c r="K25" s="39"/>
      <c r="L25" s="39"/>
      <c r="O25" s="78">
        <v>1.04</v>
      </c>
      <c r="P25" s="78">
        <f t="shared" si="0"/>
        <v>186.94</v>
      </c>
    </row>
    <row r="26" spans="1:20" x14ac:dyDescent="0.25">
      <c r="B26" s="161">
        <v>43626</v>
      </c>
      <c r="C26" s="10">
        <v>0</v>
      </c>
      <c r="D26" s="39">
        <v>252.2</v>
      </c>
      <c r="E26" s="39">
        <v>275.81</v>
      </c>
      <c r="F26" s="39"/>
      <c r="G26" s="39"/>
      <c r="H26" s="175"/>
      <c r="I26" s="39"/>
      <c r="J26" s="39">
        <v>476.09</v>
      </c>
      <c r="K26" s="39"/>
      <c r="L26" s="39"/>
      <c r="O26" s="78">
        <v>1.03</v>
      </c>
      <c r="P26" s="78">
        <f t="shared" si="0"/>
        <v>185.14250000000001</v>
      </c>
      <c r="T26" s="153"/>
    </row>
    <row r="27" spans="1:20" x14ac:dyDescent="0.25">
      <c r="B27" s="161">
        <v>43627</v>
      </c>
      <c r="C27" s="10">
        <v>20</v>
      </c>
      <c r="D27" s="39">
        <v>238.2055</v>
      </c>
      <c r="E27" s="39">
        <v>262.02999999999997</v>
      </c>
      <c r="F27" s="39">
        <f t="shared" ref="F27:F34" si="1">C27*(E27-D27)</f>
        <v>476.48999999999944</v>
      </c>
      <c r="G27" s="39">
        <f t="shared" ref="G27:G34" si="2">D27*C27</f>
        <v>4764.1099999999997</v>
      </c>
      <c r="H27" s="175"/>
      <c r="I27" s="39"/>
      <c r="J27" s="39">
        <f t="shared" ref="J27:J34" si="3">F27</f>
        <v>476.48999999999944</v>
      </c>
      <c r="K27" s="39"/>
      <c r="L27" s="39"/>
      <c r="O27" s="78">
        <v>1.02</v>
      </c>
      <c r="P27" s="78">
        <f t="shared" si="0"/>
        <v>183.345</v>
      </c>
      <c r="T27" s="64"/>
    </row>
    <row r="28" spans="1:20" x14ac:dyDescent="0.25">
      <c r="B28" s="161">
        <v>43631</v>
      </c>
      <c r="C28" s="10">
        <v>20</v>
      </c>
      <c r="D28" s="39">
        <v>238.21</v>
      </c>
      <c r="E28" s="39">
        <v>250.96</v>
      </c>
      <c r="F28" s="39">
        <f t="shared" si="1"/>
        <v>255</v>
      </c>
      <c r="G28" s="39">
        <f t="shared" si="2"/>
        <v>4764.2</v>
      </c>
      <c r="H28" s="175"/>
      <c r="I28" s="39"/>
      <c r="J28" s="39">
        <f t="shared" si="3"/>
        <v>255</v>
      </c>
      <c r="K28" s="39"/>
      <c r="L28" s="39"/>
      <c r="O28" s="78">
        <v>1.01</v>
      </c>
      <c r="P28" s="78">
        <f t="shared" si="0"/>
        <v>181.54750000000001</v>
      </c>
      <c r="T28" s="153"/>
    </row>
    <row r="29" spans="1:20" x14ac:dyDescent="0.25">
      <c r="B29" s="161">
        <v>43678</v>
      </c>
      <c r="C29" s="10">
        <v>40</v>
      </c>
      <c r="D29" s="39">
        <v>229.6028</v>
      </c>
      <c r="E29" s="39">
        <v>204.87</v>
      </c>
      <c r="F29" s="39">
        <f t="shared" si="1"/>
        <v>-989.3119999999999</v>
      </c>
      <c r="G29" s="39">
        <f t="shared" si="2"/>
        <v>9184.112000000001</v>
      </c>
      <c r="H29" s="175"/>
      <c r="I29" s="39"/>
      <c r="J29" s="39">
        <f t="shared" si="3"/>
        <v>-989.3119999999999</v>
      </c>
      <c r="K29" s="39"/>
      <c r="L29" s="39"/>
      <c r="O29" s="78">
        <v>1</v>
      </c>
      <c r="P29" s="78">
        <f t="shared" si="0"/>
        <v>179.75</v>
      </c>
      <c r="T29" s="153"/>
    </row>
    <row r="30" spans="1:20" x14ac:dyDescent="0.25">
      <c r="B30" s="161">
        <v>43751</v>
      </c>
      <c r="C30" s="10">
        <v>40</v>
      </c>
      <c r="D30" s="39">
        <v>229.6028</v>
      </c>
      <c r="E30" s="39">
        <v>169.64</v>
      </c>
      <c r="F30" s="39">
        <f t="shared" si="1"/>
        <v>-2398.5120000000006</v>
      </c>
      <c r="G30" s="39">
        <f t="shared" si="2"/>
        <v>9184.112000000001</v>
      </c>
      <c r="H30" s="175"/>
      <c r="I30" s="39"/>
      <c r="J30" s="39">
        <f t="shared" si="3"/>
        <v>-2398.5120000000006</v>
      </c>
      <c r="K30" s="39"/>
      <c r="L30" s="39"/>
      <c r="O30" s="78">
        <v>0.99</v>
      </c>
      <c r="P30" s="78">
        <f t="shared" si="0"/>
        <v>177.95249999999999</v>
      </c>
      <c r="T30" s="153"/>
    </row>
    <row r="31" spans="1:20" x14ac:dyDescent="0.25">
      <c r="B31" s="161">
        <v>43762</v>
      </c>
      <c r="C31" s="10">
        <v>40</v>
      </c>
      <c r="D31" s="39">
        <v>229.6</v>
      </c>
      <c r="E31" s="39">
        <v>179.93</v>
      </c>
      <c r="F31" s="39">
        <f t="shared" si="1"/>
        <v>-1986.7999999999995</v>
      </c>
      <c r="G31" s="39">
        <f t="shared" si="2"/>
        <v>9184</v>
      </c>
      <c r="H31" s="175"/>
      <c r="I31" s="39"/>
      <c r="J31" s="39">
        <f t="shared" si="3"/>
        <v>-1986.7999999999995</v>
      </c>
      <c r="K31" s="39"/>
      <c r="L31" s="39"/>
      <c r="O31" s="78">
        <v>0.98</v>
      </c>
      <c r="P31" s="78">
        <f t="shared" si="0"/>
        <v>176.155</v>
      </c>
    </row>
    <row r="32" spans="1:20" x14ac:dyDescent="0.25">
      <c r="B32" s="161">
        <v>43777</v>
      </c>
      <c r="C32" s="10">
        <v>40</v>
      </c>
      <c r="D32" s="39">
        <v>229.6028</v>
      </c>
      <c r="E32" s="39">
        <v>219.62</v>
      </c>
      <c r="F32" s="39">
        <f t="shared" si="1"/>
        <v>-399.3119999999999</v>
      </c>
      <c r="G32" s="39">
        <f t="shared" si="2"/>
        <v>9184.112000000001</v>
      </c>
      <c r="H32" s="175"/>
      <c r="I32" s="39"/>
      <c r="J32" s="39">
        <f t="shared" si="3"/>
        <v>-399.3119999999999</v>
      </c>
      <c r="K32" s="39"/>
      <c r="L32" s="39"/>
      <c r="O32" s="78">
        <v>0.97</v>
      </c>
      <c r="P32" s="78">
        <f t="shared" si="0"/>
        <v>174.35749999999999</v>
      </c>
    </row>
    <row r="33" spans="2:17" x14ac:dyDescent="0.25">
      <c r="B33" s="161">
        <v>43781</v>
      </c>
      <c r="C33" s="10">
        <v>40</v>
      </c>
      <c r="D33" s="39">
        <v>229.6028</v>
      </c>
      <c r="E33" s="39">
        <v>223.54</v>
      </c>
      <c r="F33" s="39">
        <f t="shared" si="1"/>
        <v>-242.5120000000004</v>
      </c>
      <c r="G33" s="39">
        <f t="shared" si="2"/>
        <v>9184.112000000001</v>
      </c>
      <c r="H33" s="175"/>
      <c r="I33" s="39"/>
      <c r="J33" s="39">
        <f t="shared" si="3"/>
        <v>-242.5120000000004</v>
      </c>
      <c r="K33" s="39"/>
      <c r="L33" s="39"/>
      <c r="O33" s="78">
        <v>0.96</v>
      </c>
      <c r="P33" s="78">
        <f t="shared" si="0"/>
        <v>172.56</v>
      </c>
    </row>
    <row r="34" spans="2:17" x14ac:dyDescent="0.25">
      <c r="B34" s="161">
        <v>43797</v>
      </c>
      <c r="C34" s="10">
        <v>40</v>
      </c>
      <c r="D34" s="39">
        <v>229.6</v>
      </c>
      <c r="E34" s="39">
        <v>196.79</v>
      </c>
      <c r="F34" s="39">
        <f t="shared" si="1"/>
        <v>-1312.4</v>
      </c>
      <c r="G34" s="39">
        <f t="shared" si="2"/>
        <v>9184</v>
      </c>
      <c r="H34" s="175"/>
      <c r="I34" s="39"/>
      <c r="J34" s="39">
        <f t="shared" si="3"/>
        <v>-1312.4</v>
      </c>
      <c r="K34" s="39"/>
      <c r="L34" s="39"/>
      <c r="O34" s="78">
        <v>0.95</v>
      </c>
      <c r="P34" s="78">
        <f t="shared" si="0"/>
        <v>170.76249999999999</v>
      </c>
    </row>
    <row r="35" spans="2:17" x14ac:dyDescent="0.25">
      <c r="B35" s="161"/>
      <c r="C35" s="10"/>
      <c r="D35" s="39"/>
      <c r="E35" s="39"/>
      <c r="F35" s="39"/>
      <c r="G35" s="39"/>
      <c r="H35" s="175"/>
      <c r="I35" s="39"/>
      <c r="J35" s="39"/>
      <c r="K35" s="39"/>
      <c r="L35" s="39"/>
      <c r="O35" s="78">
        <v>0.94</v>
      </c>
      <c r="P35" s="78">
        <f t="shared" si="0"/>
        <v>168.965</v>
      </c>
    </row>
    <row r="36" spans="2:17" x14ac:dyDescent="0.25">
      <c r="B36" s="161"/>
      <c r="C36" s="10"/>
      <c r="D36" s="39"/>
      <c r="E36" s="39"/>
      <c r="F36" s="39"/>
      <c r="G36" s="39"/>
      <c r="H36" s="175"/>
      <c r="I36" s="39"/>
      <c r="J36" s="39"/>
      <c r="K36" s="39"/>
      <c r="L36" s="39"/>
      <c r="O36" s="78">
        <v>0.93</v>
      </c>
      <c r="P36" s="78">
        <f t="shared" si="0"/>
        <v>167.16750000000002</v>
      </c>
    </row>
    <row r="37" spans="2:17" x14ac:dyDescent="0.25">
      <c r="B37" s="161"/>
      <c r="C37" s="10"/>
      <c r="D37" s="39"/>
      <c r="E37" s="39"/>
      <c r="F37" s="39"/>
      <c r="G37" s="39"/>
      <c r="H37" s="175"/>
      <c r="I37" s="39"/>
      <c r="J37" s="39"/>
      <c r="K37" s="39"/>
      <c r="L37" s="39"/>
      <c r="O37" s="78">
        <v>0.92</v>
      </c>
      <c r="P37" s="78">
        <f t="shared" si="0"/>
        <v>165.37</v>
      </c>
    </row>
    <row r="38" spans="2:17" x14ac:dyDescent="0.25">
      <c r="B38" s="161"/>
      <c r="C38" s="10"/>
      <c r="D38" s="39"/>
      <c r="E38" s="39"/>
      <c r="F38" s="39"/>
      <c r="G38" s="39"/>
      <c r="H38" s="175"/>
      <c r="I38" s="39"/>
      <c r="J38" s="39"/>
      <c r="K38" s="39"/>
      <c r="L38" s="39"/>
      <c r="O38" s="78">
        <v>0.91</v>
      </c>
      <c r="P38" s="78">
        <f t="shared" si="0"/>
        <v>163.57250000000002</v>
      </c>
    </row>
    <row r="39" spans="2:17" x14ac:dyDescent="0.25">
      <c r="B39" s="161"/>
      <c r="C39" s="10"/>
      <c r="D39" s="39"/>
      <c r="E39" s="39"/>
      <c r="F39" s="39"/>
      <c r="G39" s="39"/>
      <c r="H39" s="175"/>
      <c r="I39" s="39"/>
      <c r="J39" s="39"/>
      <c r="K39" s="39"/>
      <c r="L39" s="39"/>
      <c r="O39" s="78">
        <v>0.9</v>
      </c>
      <c r="P39" s="78">
        <f t="shared" si="0"/>
        <v>161.77500000000001</v>
      </c>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3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161"/>
      <c r="C54" s="10"/>
      <c r="D54" s="39"/>
      <c r="E54" s="39"/>
      <c r="F54" s="39"/>
      <c r="G54" s="39"/>
      <c r="H54" s="175"/>
      <c r="I54" s="39"/>
      <c r="J54" s="760"/>
      <c r="K54" s="39"/>
      <c r="L54" s="39"/>
    </row>
    <row r="55" spans="1:17" x14ac:dyDescent="0.25">
      <c r="A55" s="4"/>
      <c r="B55" s="161"/>
      <c r="C55" s="10"/>
      <c r="D55" s="39"/>
      <c r="E55" s="39"/>
      <c r="F55" s="760"/>
      <c r="G55" s="39"/>
      <c r="H55" s="175"/>
      <c r="I55" s="39"/>
      <c r="J55" s="39"/>
      <c r="K55" s="39"/>
      <c r="L55" s="39"/>
    </row>
    <row r="56" spans="1:17" x14ac:dyDescent="0.25">
      <c r="A56" s="4"/>
      <c r="B56" s="161"/>
      <c r="C56" s="10"/>
      <c r="D56" s="39"/>
      <c r="E56" s="39"/>
      <c r="F56" s="760"/>
      <c r="G56" s="39"/>
      <c r="H56" s="175"/>
      <c r="I56" s="39"/>
      <c r="J56" s="39"/>
      <c r="K56" s="39"/>
      <c r="L56" s="39"/>
    </row>
    <row r="57" spans="1:17" x14ac:dyDescent="0.25">
      <c r="A57" s="4"/>
      <c r="B57" s="161"/>
      <c r="C57" s="10"/>
      <c r="D57" s="39"/>
      <c r="E57" s="39"/>
      <c r="F57" s="760"/>
      <c r="G57" s="39"/>
      <c r="H57" s="175"/>
      <c r="I57" s="39"/>
      <c r="J57" s="39"/>
      <c r="K57" s="39"/>
      <c r="L57" s="39"/>
    </row>
    <row r="58" spans="1:17" x14ac:dyDescent="0.25">
      <c r="A58" s="4"/>
      <c r="B58" s="161"/>
      <c r="C58" s="10"/>
      <c r="D58" s="39"/>
      <c r="E58" s="39"/>
      <c r="F58" s="39"/>
      <c r="G58" s="39"/>
      <c r="H58" s="175"/>
      <c r="I58" s="39"/>
      <c r="J58" s="39"/>
      <c r="K58" s="39"/>
      <c r="L58" s="39"/>
    </row>
    <row r="59" spans="1:17" x14ac:dyDescent="0.25">
      <c r="A59" s="4"/>
      <c r="B59" s="161"/>
      <c r="C59" s="10"/>
      <c r="D59" s="39"/>
      <c r="E59" s="39"/>
      <c r="F59" s="39"/>
      <c r="G59" s="39"/>
      <c r="H59" s="175"/>
      <c r="I59" s="39"/>
      <c r="J59" s="39"/>
      <c r="K59" s="39"/>
      <c r="L59" s="39"/>
    </row>
    <row r="60" spans="1:17" x14ac:dyDescent="0.25">
      <c r="A60" s="4"/>
      <c r="B60" s="161"/>
      <c r="C60" s="10"/>
      <c r="D60" s="39"/>
      <c r="E60" s="39"/>
      <c r="F60" s="39"/>
      <c r="G60" s="39"/>
      <c r="H60" s="175"/>
      <c r="I60" s="39"/>
      <c r="J60" s="39"/>
      <c r="K60" s="39"/>
      <c r="L60" s="39"/>
    </row>
    <row r="61" spans="1:17" x14ac:dyDescent="0.25">
      <c r="A61" s="4"/>
      <c r="B61" s="161"/>
      <c r="C61" s="10"/>
      <c r="D61" s="39"/>
      <c r="E61" s="39"/>
      <c r="F61" s="39"/>
      <c r="G61" s="39"/>
      <c r="H61" s="175"/>
      <c r="I61" s="39"/>
      <c r="J61" s="39"/>
      <c r="K61" s="39"/>
      <c r="L61" s="39"/>
    </row>
    <row r="62" spans="1:17" x14ac:dyDescent="0.25">
      <c r="A62" s="4"/>
      <c r="B62" s="161"/>
      <c r="C62" s="10"/>
      <c r="D62" s="39"/>
      <c r="E62" s="39"/>
      <c r="F62" s="39"/>
      <c r="G62" s="39"/>
      <c r="H62" s="175"/>
      <c r="I62" s="39"/>
      <c r="J62" s="39"/>
      <c r="K62" s="39"/>
      <c r="L62" s="39"/>
    </row>
    <row r="63" spans="1:17" x14ac:dyDescent="0.25">
      <c r="A63" s="4"/>
      <c r="B63" s="161"/>
      <c r="C63" s="10"/>
      <c r="D63" s="39"/>
      <c r="E63" s="39"/>
      <c r="F63" s="39"/>
      <c r="G63" s="39"/>
      <c r="H63" s="175"/>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19:O39">
    <cfRule type="colorScale" priority="38">
      <colorScale>
        <cfvo type="min"/>
        <cfvo type="percentile" val="50"/>
        <cfvo type="max"/>
        <color rgb="FFF8696B"/>
        <color rgb="FFFFEB84"/>
        <color rgb="FF63BE7B"/>
      </colorScale>
    </cfRule>
  </conditionalFormatting>
  <conditionalFormatting sqref="P19:P39">
    <cfRule type="colorScale" priority="37">
      <colorScale>
        <cfvo type="min"/>
        <cfvo type="percentile" val="50"/>
        <cfvo type="max"/>
        <color rgb="FFF8696B"/>
        <color rgb="FFFFEB84"/>
        <color rgb="FF63BE7B"/>
      </colorScale>
    </cfRule>
  </conditionalFormatting>
  <conditionalFormatting sqref="Q7">
    <cfRule type="expression" dxfId="4111" priority="35">
      <formula>Q7&gt;0</formula>
    </cfRule>
    <cfRule type="expression" dxfId="4110" priority="36">
      <formula>Q7&lt;0</formula>
    </cfRule>
  </conditionalFormatting>
  <conditionalFormatting sqref="Q8">
    <cfRule type="expression" dxfId="4109" priority="33">
      <formula>Q8&gt;0</formula>
    </cfRule>
    <cfRule type="expression" dxfId="4108" priority="34">
      <formula>Q8&lt;0</formula>
    </cfRule>
  </conditionalFormatting>
  <conditionalFormatting sqref="F34:F54 F58:F63">
    <cfRule type="expression" dxfId="4107" priority="31">
      <formula>F34&gt;0</formula>
    </cfRule>
    <cfRule type="expression" dxfId="4106" priority="32">
      <formula>F34&lt;0</formula>
    </cfRule>
  </conditionalFormatting>
  <conditionalFormatting sqref="H34:H54 H58:H63">
    <cfRule type="expression" dxfId="4105" priority="29">
      <formula>H34&gt;0</formula>
    </cfRule>
    <cfRule type="expression" dxfId="4104" priority="30">
      <formula>H34&lt;0</formula>
    </cfRule>
  </conditionalFormatting>
  <conditionalFormatting sqref="Q10">
    <cfRule type="expression" dxfId="4103" priority="27">
      <formula>Q10&gt;0</formula>
    </cfRule>
    <cfRule type="expression" dxfId="4102" priority="28">
      <formula>Q10&lt;0</formula>
    </cfRule>
  </conditionalFormatting>
  <conditionalFormatting sqref="J25:J38">
    <cfRule type="expression" dxfId="4101" priority="25">
      <formula>J25&gt;0</formula>
    </cfRule>
    <cfRule type="expression" dxfId="4100" priority="26">
      <formula>J25&lt;0</formula>
    </cfRule>
  </conditionalFormatting>
  <conditionalFormatting sqref="K25:K35 K37:K38">
    <cfRule type="expression" dxfId="4099" priority="23">
      <formula>K25&gt;0</formula>
    </cfRule>
    <cfRule type="expression" dxfId="4098" priority="24">
      <formula>K25&lt;0</formula>
    </cfRule>
  </conditionalFormatting>
  <conditionalFormatting sqref="F89:F110">
    <cfRule type="expression" dxfId="4097" priority="21">
      <formula>F89&gt;0</formula>
    </cfRule>
    <cfRule type="expression" dxfId="4096" priority="22">
      <formula>F89&lt;0</formula>
    </cfRule>
  </conditionalFormatting>
  <conditionalFormatting sqref="H89:H110">
    <cfRule type="expression" dxfId="4095" priority="19">
      <formula>H89&gt;0</formula>
    </cfRule>
    <cfRule type="expression" dxfId="4094" priority="20">
      <formula>H89&lt;0</formula>
    </cfRule>
  </conditionalFormatting>
  <conditionalFormatting sqref="J89:J102">
    <cfRule type="expression" dxfId="4093" priority="17">
      <formula>J89&gt;0</formula>
    </cfRule>
    <cfRule type="expression" dxfId="4092" priority="18">
      <formula>J89&lt;0</formula>
    </cfRule>
  </conditionalFormatting>
  <conditionalFormatting sqref="K89:K102">
    <cfRule type="expression" dxfId="4091" priority="15">
      <formula>K89&gt;0</formula>
    </cfRule>
    <cfRule type="expression" dxfId="4090" priority="16">
      <formula>K89&lt;0</formula>
    </cfRule>
  </conditionalFormatting>
  <conditionalFormatting sqref="L89:L102">
    <cfRule type="expression" dxfId="4089" priority="13">
      <formula>L89&gt;0</formula>
    </cfRule>
    <cfRule type="expression" dxfId="4088" priority="14">
      <formula>L89&lt;0</formula>
    </cfRule>
  </conditionalFormatting>
  <conditionalFormatting sqref="F25:F26 F30:F33">
    <cfRule type="expression" dxfId="4087" priority="11">
      <formula>F25&gt;0</formula>
    </cfRule>
    <cfRule type="expression" dxfId="4086" priority="12">
      <formula>F25&lt;0</formula>
    </cfRule>
  </conditionalFormatting>
  <conditionalFormatting sqref="H25:H33">
    <cfRule type="expression" dxfId="4085" priority="9">
      <formula>H25&gt;0</formula>
    </cfRule>
    <cfRule type="expression" dxfId="4084" priority="10">
      <formula>H25&lt;0</formula>
    </cfRule>
  </conditionalFormatting>
  <conditionalFormatting sqref="J54">
    <cfRule type="expression" dxfId="4083" priority="7">
      <formula>J54&gt;0</formula>
    </cfRule>
    <cfRule type="expression" dxfId="4082" priority="8">
      <formula>J54&lt;0</formula>
    </cfRule>
  </conditionalFormatting>
  <conditionalFormatting sqref="F55:F57">
    <cfRule type="expression" dxfId="4081" priority="5">
      <formula>F55&gt;0</formula>
    </cfRule>
    <cfRule type="expression" dxfId="4080" priority="6">
      <formula>F55&lt;0</formula>
    </cfRule>
  </conditionalFormatting>
  <conditionalFormatting sqref="H55:H57">
    <cfRule type="expression" dxfId="4079" priority="3">
      <formula>H55&gt;0</formula>
    </cfRule>
    <cfRule type="expression" dxfId="4078" priority="4">
      <formula>H55&lt;0</formula>
    </cfRule>
  </conditionalFormatting>
  <conditionalFormatting sqref="F27:F29">
    <cfRule type="expression" dxfId="4077" priority="1">
      <formula>F27&gt;0</formula>
    </cfRule>
    <cfRule type="expression" dxfId="4076" priority="2">
      <formula>F27&lt;0</formula>
    </cfRule>
  </conditionalFormatting>
  <hyperlinks>
    <hyperlink ref="A3" location="ACTIVE!A1" display="Back"/>
  </hyperlinks>
  <pageMargins left="0.7" right="0.7" top="0.75" bottom="0.75" header="0.3" footer="0.3"/>
  <pageSetup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dimension ref="A1:AE70"/>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0.42578125" style="2" bestFit="1" customWidth="1"/>
    <col min="7" max="7" width="9.7109375" bestFit="1" customWidth="1"/>
    <col min="9" max="11" width="9.140625" style="2"/>
    <col min="18" max="18" width="9.7109375" bestFit="1" customWidth="1"/>
    <col min="20" max="20" width="18.5703125" customWidth="1"/>
    <col min="21" max="21" width="35.7109375" customWidth="1"/>
    <col min="23" max="23" width="16.14062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218</v>
      </c>
      <c r="B2" s="69"/>
      <c r="C2" s="4"/>
      <c r="D2" s="3"/>
      <c r="E2" s="3"/>
      <c r="F2" s="3"/>
      <c r="G2" s="69"/>
      <c r="H2" s="158"/>
      <c r="I2" s="3"/>
      <c r="J2" s="3"/>
      <c r="K2" s="3"/>
      <c r="L2" s="69"/>
      <c r="M2" s="4"/>
      <c r="O2" s="11" t="s">
        <v>57</v>
      </c>
      <c r="Q2">
        <f>C18-H18</f>
        <v>0</v>
      </c>
      <c r="T2" s="1">
        <v>42571</v>
      </c>
      <c r="U2" t="s">
        <v>237</v>
      </c>
      <c r="W2" s="127">
        <v>42830</v>
      </c>
      <c r="X2" s="10">
        <v>78.59</v>
      </c>
      <c r="Y2" s="10">
        <v>79.03</v>
      </c>
      <c r="Z2" s="10">
        <v>77.66</v>
      </c>
      <c r="AA2" s="10">
        <v>77.760000000000005</v>
      </c>
      <c r="AB2" s="90">
        <v>2850200</v>
      </c>
      <c r="AC2" s="10">
        <v>77.760000000000005</v>
      </c>
      <c r="AD2" s="2">
        <f>Y2-Z2</f>
        <v>1.3700000000000045</v>
      </c>
      <c r="AE2" s="131" t="e">
        <f>AC2/AC3-1</f>
        <v>#DIV/0!</v>
      </c>
    </row>
    <row r="3" spans="1:31" x14ac:dyDescent="0.25">
      <c r="A3" s="22" t="s">
        <v>71</v>
      </c>
      <c r="B3" s="69"/>
      <c r="C3" s="4"/>
      <c r="D3" s="3"/>
      <c r="E3" s="3"/>
      <c r="F3" s="3"/>
      <c r="G3" s="4"/>
      <c r="H3" s="158"/>
      <c r="I3" s="3"/>
      <c r="J3" s="3"/>
      <c r="K3" s="3"/>
      <c r="L3" s="4"/>
      <c r="O3" s="11" t="s">
        <v>58</v>
      </c>
      <c r="Q3" s="174">
        <f>IF(Q2=0, Q4, (F18-K18-M18)/Q2)</f>
        <v>118.24</v>
      </c>
      <c r="T3" s="1">
        <v>42572</v>
      </c>
      <c r="U3" t="s">
        <v>228</v>
      </c>
      <c r="W3" s="127">
        <v>42830</v>
      </c>
      <c r="X3" s="10" t="s">
        <v>282</v>
      </c>
      <c r="Y3" s="10"/>
      <c r="Z3" s="10"/>
      <c r="AA3" s="10"/>
      <c r="AB3" s="90"/>
      <c r="AC3" s="10"/>
      <c r="AD3" s="2">
        <f t="shared" ref="AD3:AD66" si="0">Y3-Z3</f>
        <v>0</v>
      </c>
      <c r="AE3" s="131">
        <f t="shared" ref="AE3:AE66" si="1">AC3/AC4-1</f>
        <v>-1</v>
      </c>
    </row>
    <row r="4" spans="1:31" x14ac:dyDescent="0.25">
      <c r="B4" s="69"/>
      <c r="C4" s="4"/>
      <c r="D4" s="3"/>
      <c r="E4" s="3"/>
      <c r="F4" s="3"/>
      <c r="G4" s="4"/>
      <c r="H4" s="158"/>
      <c r="I4" s="3"/>
      <c r="J4" s="3"/>
      <c r="K4" s="3"/>
      <c r="L4" s="4"/>
      <c r="O4" s="11" t="s">
        <v>66</v>
      </c>
      <c r="Q4" s="53">
        <v>118.24</v>
      </c>
      <c r="R4" s="396">
        <v>9.4999999999999998E-3</v>
      </c>
      <c r="T4" s="153"/>
      <c r="U4" s="1"/>
      <c r="W4" s="127">
        <v>42829</v>
      </c>
      <c r="X4" s="10">
        <v>78.489999999999995</v>
      </c>
      <c r="Y4" s="10">
        <v>78.61</v>
      </c>
      <c r="Z4" s="10">
        <v>78.150000000000006</v>
      </c>
      <c r="AA4" s="10">
        <v>78.260000000000005</v>
      </c>
      <c r="AB4" s="90">
        <v>2563700</v>
      </c>
      <c r="AC4" s="10">
        <v>77.94</v>
      </c>
      <c r="AD4" s="2">
        <f t="shared" si="0"/>
        <v>0.45999999999999375</v>
      </c>
      <c r="AE4" s="131">
        <f t="shared" si="1"/>
        <v>-4.2161747796090054E-3</v>
      </c>
    </row>
    <row r="5" spans="1:31" x14ac:dyDescent="0.25">
      <c r="B5" s="69"/>
      <c r="C5" s="4"/>
      <c r="D5" s="3"/>
      <c r="E5" s="3"/>
      <c r="F5" s="3"/>
      <c r="G5" s="4"/>
      <c r="H5" s="158"/>
      <c r="I5" s="3"/>
      <c r="J5" s="3"/>
      <c r="K5" s="3"/>
      <c r="L5" s="4"/>
      <c r="O5" s="11" t="s">
        <v>67</v>
      </c>
      <c r="Q5" s="3">
        <f>Q4*Q2</f>
        <v>0</v>
      </c>
      <c r="W5" s="127">
        <v>42828</v>
      </c>
      <c r="X5" s="10">
        <v>79.17</v>
      </c>
      <c r="Y5" s="10">
        <v>79.180000000000007</v>
      </c>
      <c r="Z5" s="10">
        <v>77.97</v>
      </c>
      <c r="AA5" s="10">
        <v>78.59</v>
      </c>
      <c r="AB5" s="90">
        <v>3022700</v>
      </c>
      <c r="AC5" s="10">
        <v>78.27</v>
      </c>
      <c r="AD5" s="2">
        <f t="shared" si="0"/>
        <v>1.210000000000008</v>
      </c>
      <c r="AE5" s="131">
        <f t="shared" si="1"/>
        <v>-6.5998223124763555E-3</v>
      </c>
    </row>
    <row r="6" spans="1:31" x14ac:dyDescent="0.25">
      <c r="B6" s="69"/>
      <c r="C6" s="4"/>
      <c r="D6" s="3"/>
      <c r="E6" s="3"/>
      <c r="F6" s="3"/>
      <c r="G6" s="4"/>
      <c r="H6" s="158"/>
      <c r="I6" s="3"/>
      <c r="J6" s="3"/>
      <c r="K6" s="3"/>
      <c r="L6" s="4"/>
      <c r="O6" s="11" t="s">
        <v>64</v>
      </c>
      <c r="Q6" s="2">
        <f>Q3*Q2</f>
        <v>0</v>
      </c>
      <c r="W6" s="127">
        <v>42825</v>
      </c>
      <c r="X6" s="10">
        <v>78.930000000000007</v>
      </c>
      <c r="Y6" s="10">
        <v>79.430000000000007</v>
      </c>
      <c r="Z6" s="10">
        <v>78.8</v>
      </c>
      <c r="AA6" s="10">
        <v>79.11</v>
      </c>
      <c r="AB6" s="90">
        <v>5228400</v>
      </c>
      <c r="AC6" s="10">
        <v>78.790000000000006</v>
      </c>
      <c r="AD6" s="2">
        <f t="shared" si="0"/>
        <v>0.63000000000000966</v>
      </c>
      <c r="AE6" s="131">
        <f t="shared" si="1"/>
        <v>-1.2675877804537716E-3</v>
      </c>
    </row>
    <row r="7" spans="1:31" x14ac:dyDescent="0.25">
      <c r="B7" s="4"/>
      <c r="C7" s="4"/>
      <c r="D7" s="3"/>
      <c r="E7" s="3"/>
      <c r="F7" s="3"/>
      <c r="G7" s="4"/>
      <c r="H7" s="158"/>
      <c r="I7" s="3"/>
      <c r="J7" s="3"/>
      <c r="K7" s="3"/>
      <c r="L7" s="4"/>
      <c r="O7" s="11" t="s">
        <v>175</v>
      </c>
      <c r="Q7" s="2">
        <f>Q10+Q8</f>
        <v>231.53999999999996</v>
      </c>
      <c r="R7">
        <v>0</v>
      </c>
      <c r="W7" s="127">
        <v>42824</v>
      </c>
      <c r="X7" s="10">
        <v>78.2</v>
      </c>
      <c r="Y7" s="10">
        <v>79.3</v>
      </c>
      <c r="Z7" s="10">
        <v>78.09</v>
      </c>
      <c r="AA7" s="10">
        <v>79.209999999999994</v>
      </c>
      <c r="AB7" s="90">
        <v>2924100</v>
      </c>
      <c r="AC7" s="10">
        <v>78.89</v>
      </c>
      <c r="AD7" s="2">
        <f t="shared" si="0"/>
        <v>1.2099999999999937</v>
      </c>
      <c r="AE7" s="131">
        <f t="shared" si="1"/>
        <v>1.2318747593994539E-2</v>
      </c>
    </row>
    <row r="8" spans="1:31" x14ac:dyDescent="0.25">
      <c r="B8" s="4"/>
      <c r="C8" s="4"/>
      <c r="D8" s="3"/>
      <c r="E8" s="3"/>
      <c r="F8" s="3"/>
      <c r="G8" s="4"/>
      <c r="H8" s="158"/>
      <c r="I8" s="3"/>
      <c r="J8" s="3"/>
      <c r="K8" s="3"/>
      <c r="L8" s="4"/>
      <c r="O8" s="11" t="s">
        <v>177</v>
      </c>
      <c r="P8" s="33"/>
      <c r="Q8" s="2">
        <f>K18+M18-F18+Q2*Q4</f>
        <v>0</v>
      </c>
      <c r="W8" s="127">
        <v>42823</v>
      </c>
      <c r="X8" s="10">
        <v>78.45</v>
      </c>
      <c r="Y8" s="10">
        <v>79.34</v>
      </c>
      <c r="Z8" s="10">
        <v>78.14</v>
      </c>
      <c r="AA8" s="10">
        <v>78.25</v>
      </c>
      <c r="AB8" s="90">
        <v>2913600</v>
      </c>
      <c r="AC8" s="10">
        <v>77.930000000000007</v>
      </c>
      <c r="AD8" s="2">
        <f t="shared" si="0"/>
        <v>1.2000000000000028</v>
      </c>
      <c r="AE8" s="131">
        <f t="shared" si="1"/>
        <v>-4.9795709908068142E-3</v>
      </c>
    </row>
    <row r="9" spans="1:31" x14ac:dyDescent="0.25">
      <c r="H9" s="67"/>
      <c r="O9" s="11" t="s">
        <v>202</v>
      </c>
      <c r="Q9" s="131">
        <f>IF(Q2=0, 0, Q8/Q6)</f>
        <v>0</v>
      </c>
      <c r="W9" s="127">
        <v>42822</v>
      </c>
      <c r="X9" s="10">
        <v>77.510000000000005</v>
      </c>
      <c r="Y9" s="10">
        <v>78.86</v>
      </c>
      <c r="Z9" s="10">
        <v>77.39</v>
      </c>
      <c r="AA9" s="10">
        <v>78.64</v>
      </c>
      <c r="AB9" s="90">
        <v>4235900</v>
      </c>
      <c r="AC9" s="10">
        <v>78.319999999999993</v>
      </c>
      <c r="AD9" s="2">
        <f t="shared" si="0"/>
        <v>1.4699999999999989</v>
      </c>
      <c r="AE9" s="131">
        <f t="shared" si="1"/>
        <v>1.3457556935817738E-2</v>
      </c>
    </row>
    <row r="10" spans="1:31" x14ac:dyDescent="0.25">
      <c r="H10" s="67"/>
      <c r="O10" s="11" t="s">
        <v>201</v>
      </c>
      <c r="P10" s="33"/>
      <c r="Q10" s="2">
        <f>M48</f>
        <v>231.53999999999996</v>
      </c>
      <c r="W10" s="127">
        <v>42821</v>
      </c>
      <c r="X10" s="10">
        <v>77.209999999999994</v>
      </c>
      <c r="Y10" s="10">
        <v>77.819999999999993</v>
      </c>
      <c r="Z10" s="10">
        <v>76.67</v>
      </c>
      <c r="AA10" s="10">
        <v>77.599999999999994</v>
      </c>
      <c r="AB10" s="90">
        <v>3835300</v>
      </c>
      <c r="AC10" s="10">
        <v>77.28</v>
      </c>
      <c r="AD10" s="2">
        <f t="shared" si="0"/>
        <v>1.1499999999999915</v>
      </c>
      <c r="AE10" s="131">
        <f t="shared" si="1"/>
        <v>-7.7041602465330872E-3</v>
      </c>
    </row>
    <row r="11" spans="1:31" x14ac:dyDescent="0.25">
      <c r="H11" s="67"/>
      <c r="O11" s="11" t="s">
        <v>173</v>
      </c>
      <c r="P11" s="33"/>
      <c r="Q11" s="131">
        <f>IF(U58="N/A (N/A)", 0, VALUE(TRIM(CLEAN(MID(U58, FIND("(", U58)+1, 5)))))</f>
        <v>1.6199999999999999E-2</v>
      </c>
      <c r="W11" s="127">
        <v>42818</v>
      </c>
      <c r="X11" s="10">
        <v>78.11</v>
      </c>
      <c r="Y11" s="10">
        <v>78.84</v>
      </c>
      <c r="Z11" s="10">
        <v>77.87</v>
      </c>
      <c r="AA11" s="10">
        <v>78.2</v>
      </c>
      <c r="AB11" s="90">
        <v>4726800</v>
      </c>
      <c r="AC11" s="10">
        <v>77.88</v>
      </c>
      <c r="AD11" s="2">
        <f t="shared" si="0"/>
        <v>0.96999999999999886</v>
      </c>
      <c r="AE11" s="131">
        <f t="shared" si="1"/>
        <v>4.6439628482972672E-3</v>
      </c>
    </row>
    <row r="12" spans="1:31" x14ac:dyDescent="0.25">
      <c r="H12" s="67"/>
      <c r="W12" s="127">
        <v>42817</v>
      </c>
      <c r="X12" s="10">
        <v>77.569999999999993</v>
      </c>
      <c r="Y12" s="10">
        <v>78.400000000000006</v>
      </c>
      <c r="Z12" s="10">
        <v>77.510000000000005</v>
      </c>
      <c r="AA12" s="10">
        <v>77.84</v>
      </c>
      <c r="AB12" s="90">
        <v>4082900</v>
      </c>
      <c r="AC12" s="10">
        <v>77.52</v>
      </c>
      <c r="AD12" s="2">
        <f t="shared" si="0"/>
        <v>0.89000000000000057</v>
      </c>
      <c r="AE12" s="131">
        <f t="shared" si="1"/>
        <v>2.19780219780219E-3</v>
      </c>
    </row>
    <row r="13" spans="1:31" x14ac:dyDescent="0.25">
      <c r="H13" s="67"/>
      <c r="W13" s="127">
        <v>42816</v>
      </c>
      <c r="X13" s="10">
        <v>77.430000000000007</v>
      </c>
      <c r="Y13" s="10">
        <v>78.180000000000007</v>
      </c>
      <c r="Z13" s="10">
        <v>77.06</v>
      </c>
      <c r="AA13" s="10">
        <v>77.67</v>
      </c>
      <c r="AB13" s="90">
        <v>4877300</v>
      </c>
      <c r="AC13" s="10">
        <v>77.349999999999994</v>
      </c>
      <c r="AD13" s="2">
        <f t="shared" si="0"/>
        <v>1.1200000000000045</v>
      </c>
      <c r="AE13" s="131">
        <f t="shared" si="1"/>
        <v>1.8132366273799772E-3</v>
      </c>
    </row>
    <row r="14" spans="1:31" x14ac:dyDescent="0.25">
      <c r="H14" s="67"/>
      <c r="W14" s="127">
        <v>42815</v>
      </c>
      <c r="X14" s="10">
        <v>78.930000000000007</v>
      </c>
      <c r="Y14" s="10">
        <v>79.13</v>
      </c>
      <c r="Z14" s="10">
        <v>77.319999999999993</v>
      </c>
      <c r="AA14" s="10">
        <v>77.53</v>
      </c>
      <c r="AB14" s="90">
        <v>6804000</v>
      </c>
      <c r="AC14" s="10">
        <v>77.209999999999994</v>
      </c>
      <c r="AD14" s="2">
        <f t="shared" si="0"/>
        <v>1.8100000000000023</v>
      </c>
      <c r="AE14" s="131">
        <f t="shared" si="1"/>
        <v>-1.6808862854959972E-2</v>
      </c>
    </row>
    <row r="15" spans="1:31" x14ac:dyDescent="0.25">
      <c r="H15" s="67"/>
      <c r="W15" s="127">
        <v>42814</v>
      </c>
      <c r="X15" s="10">
        <v>79.150000000000006</v>
      </c>
      <c r="Y15" s="10">
        <v>79.599999999999994</v>
      </c>
      <c r="Z15" s="10">
        <v>78.83</v>
      </c>
      <c r="AA15" s="10">
        <v>78.849999999999994</v>
      </c>
      <c r="AB15" s="90">
        <v>3099500</v>
      </c>
      <c r="AC15" s="10">
        <v>78.53</v>
      </c>
      <c r="AD15" s="2">
        <f t="shared" si="0"/>
        <v>0.76999999999999602</v>
      </c>
      <c r="AE15" s="131">
        <f t="shared" si="1"/>
        <v>-5.0677815786139835E-3</v>
      </c>
    </row>
    <row r="16" spans="1:31" x14ac:dyDescent="0.25">
      <c r="H16" s="67"/>
      <c r="W16" s="127">
        <v>42811</v>
      </c>
      <c r="X16" s="10">
        <v>79.92</v>
      </c>
      <c r="Y16" s="10">
        <v>79.959999999999994</v>
      </c>
      <c r="Z16" s="10">
        <v>78.98</v>
      </c>
      <c r="AA16" s="10">
        <v>79.25</v>
      </c>
      <c r="AB16" s="90">
        <v>6672600</v>
      </c>
      <c r="AC16" s="10">
        <v>78.930000000000007</v>
      </c>
      <c r="AD16" s="2">
        <f t="shared" si="0"/>
        <v>0.97999999999998977</v>
      </c>
      <c r="AE16" s="131">
        <f t="shared" si="1"/>
        <v>-6.4199395770391243E-3</v>
      </c>
    </row>
    <row r="17" spans="1:31" x14ac:dyDescent="0.25">
      <c r="W17" s="127">
        <v>42810</v>
      </c>
      <c r="X17" s="10">
        <v>79.47</v>
      </c>
      <c r="Y17" s="10">
        <v>80.099999999999994</v>
      </c>
      <c r="Z17" s="10">
        <v>79.39</v>
      </c>
      <c r="AA17" s="10">
        <v>79.77</v>
      </c>
      <c r="AB17" s="90">
        <v>3474800</v>
      </c>
      <c r="AC17" s="10">
        <v>79.44</v>
      </c>
      <c r="AD17" s="2">
        <f t="shared" si="0"/>
        <v>0.70999999999999375</v>
      </c>
      <c r="AE17" s="131">
        <f t="shared" si="1"/>
        <v>6.7165124825752098E-3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7">
        <v>42809</v>
      </c>
      <c r="X18" s="10">
        <v>79.849999999999994</v>
      </c>
      <c r="Y18" s="10">
        <v>79.89</v>
      </c>
      <c r="Z18" s="10">
        <v>78.989999999999995</v>
      </c>
      <c r="AA18" s="10">
        <v>79.23</v>
      </c>
      <c r="AB18" s="90">
        <v>4337200</v>
      </c>
      <c r="AC18" s="10">
        <v>78.91</v>
      </c>
      <c r="AD18" s="2">
        <f t="shared" si="0"/>
        <v>0.90000000000000568</v>
      </c>
      <c r="AE18" s="131">
        <f t="shared" si="1"/>
        <v>-5.6703629032258673E-3</v>
      </c>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v>42808</v>
      </c>
      <c r="X19" s="10">
        <v>78.959999999999994</v>
      </c>
      <c r="Y19" s="10">
        <v>79.8</v>
      </c>
      <c r="Z19" s="10">
        <v>78.83</v>
      </c>
      <c r="AA19" s="10">
        <v>79.69</v>
      </c>
      <c r="AB19" s="90">
        <v>3321400</v>
      </c>
      <c r="AC19" s="10">
        <v>79.36</v>
      </c>
      <c r="AD19" s="2">
        <f t="shared" si="0"/>
        <v>0.96999999999999886</v>
      </c>
      <c r="AE19" s="131">
        <f t="shared" si="1"/>
        <v>5.9576625681327933E-3</v>
      </c>
    </row>
    <row r="20" spans="1:31" x14ac:dyDescent="0.25">
      <c r="W20" s="127">
        <v>42807</v>
      </c>
      <c r="X20" s="10">
        <v>79.38</v>
      </c>
      <c r="Y20" s="10">
        <v>79.540000000000006</v>
      </c>
      <c r="Z20" s="10">
        <v>79.06</v>
      </c>
      <c r="AA20" s="10">
        <v>79.209999999999994</v>
      </c>
      <c r="AB20" s="90">
        <v>3664300</v>
      </c>
      <c r="AC20" s="10">
        <v>78.89</v>
      </c>
      <c r="AD20" s="2">
        <f t="shared" si="0"/>
        <v>0.48000000000000398</v>
      </c>
      <c r="AE20" s="131">
        <f t="shared" si="1"/>
        <v>-2.1502656210473647E-3</v>
      </c>
    </row>
    <row r="21" spans="1:31" x14ac:dyDescent="0.25">
      <c r="W21" s="127">
        <v>42804</v>
      </c>
      <c r="X21" s="10">
        <v>79.38</v>
      </c>
      <c r="Y21" s="10">
        <v>79.459999999999994</v>
      </c>
      <c r="Z21" s="10">
        <v>78.88</v>
      </c>
      <c r="AA21" s="10">
        <v>79.38</v>
      </c>
      <c r="AB21" s="90">
        <v>3762800</v>
      </c>
      <c r="AC21" s="10">
        <v>79.06</v>
      </c>
      <c r="AD21" s="2">
        <f t="shared" si="0"/>
        <v>0.57999999999999829</v>
      </c>
      <c r="AE21" s="131">
        <f t="shared" si="1"/>
        <v>1.0129146619397567E-3</v>
      </c>
    </row>
    <row r="22" spans="1:31" x14ac:dyDescent="0.25">
      <c r="W22" s="127">
        <v>42803</v>
      </c>
      <c r="X22" s="10">
        <v>79.19</v>
      </c>
      <c r="Y22" s="10">
        <v>79.7</v>
      </c>
      <c r="Z22" s="10">
        <v>78.81</v>
      </c>
      <c r="AA22" s="10">
        <v>79.3</v>
      </c>
      <c r="AB22" s="90">
        <v>4573500</v>
      </c>
      <c r="AC22" s="10">
        <v>78.98</v>
      </c>
      <c r="AD22" s="2">
        <f t="shared" si="0"/>
        <v>0.89000000000000057</v>
      </c>
      <c r="AE22" s="131">
        <f t="shared" si="1"/>
        <v>3.3028455284553893E-3</v>
      </c>
    </row>
    <row r="23" spans="1:31" x14ac:dyDescent="0.25">
      <c r="W23" s="127">
        <v>42802</v>
      </c>
      <c r="X23" s="10">
        <v>80</v>
      </c>
      <c r="Y23" s="10">
        <v>80.37</v>
      </c>
      <c r="Z23" s="10">
        <v>78.97</v>
      </c>
      <c r="AA23" s="10">
        <v>79.040000000000006</v>
      </c>
      <c r="AB23" s="90">
        <v>4326800</v>
      </c>
      <c r="AC23" s="10">
        <v>78.72</v>
      </c>
      <c r="AD23" s="2">
        <f t="shared" si="0"/>
        <v>1.4000000000000057</v>
      </c>
      <c r="AE23" s="131">
        <f t="shared" si="1"/>
        <v>-6.6876971608832436E-3</v>
      </c>
    </row>
    <row r="24" spans="1:31" x14ac:dyDescent="0.25">
      <c r="B24" s="159" t="s">
        <v>113</v>
      </c>
      <c r="C24" s="159" t="s">
        <v>143</v>
      </c>
      <c r="D24" s="160" t="s">
        <v>142</v>
      </c>
      <c r="E24" s="162" t="s">
        <v>144</v>
      </c>
      <c r="F24" s="162" t="s">
        <v>65</v>
      </c>
      <c r="G24" s="173" t="s">
        <v>148</v>
      </c>
      <c r="H24" s="173" t="s">
        <v>88</v>
      </c>
      <c r="I24" s="173" t="s">
        <v>151</v>
      </c>
      <c r="W24" s="127">
        <v>42801</v>
      </c>
      <c r="X24" s="10">
        <v>79.77</v>
      </c>
      <c r="Y24" s="10">
        <v>80.02</v>
      </c>
      <c r="Z24" s="10">
        <v>79.33</v>
      </c>
      <c r="AA24" s="10">
        <v>79.58</v>
      </c>
      <c r="AB24" s="90">
        <v>4433500</v>
      </c>
      <c r="AC24" s="10">
        <v>79.25</v>
      </c>
      <c r="AD24" s="2">
        <f t="shared" si="0"/>
        <v>0.68999999999999773</v>
      </c>
      <c r="AE24" s="131">
        <f t="shared" si="1"/>
        <v>1.0104837691045088E-3</v>
      </c>
    </row>
    <row r="25" spans="1:31" x14ac:dyDescent="0.25">
      <c r="B25" s="161">
        <v>42548</v>
      </c>
      <c r="C25" s="10">
        <v>40</v>
      </c>
      <c r="D25" s="39">
        <v>59.08</v>
      </c>
      <c r="E25" s="39">
        <v>57.67</v>
      </c>
      <c r="F25" s="39">
        <f t="shared" ref="F25:F35" si="2">C25*(E25-D25)</f>
        <v>-56.399999999999864</v>
      </c>
      <c r="G25" s="39">
        <f t="shared" ref="G25:G35" si="3">D25*C25</f>
        <v>2363.1999999999998</v>
      </c>
      <c r="H25" s="175">
        <f t="shared" ref="H25:H35" si="4">(E25-D25)/D25</f>
        <v>-2.3865944482058168E-2</v>
      </c>
      <c r="I25" s="39"/>
      <c r="W25" s="127">
        <v>42800</v>
      </c>
      <c r="X25" s="10">
        <v>79.5</v>
      </c>
      <c r="Y25" s="10">
        <v>79.680000000000007</v>
      </c>
      <c r="Z25" s="10">
        <v>79.09</v>
      </c>
      <c r="AA25" s="10">
        <v>79.5</v>
      </c>
      <c r="AB25" s="90">
        <v>3670300</v>
      </c>
      <c r="AC25" s="10">
        <v>79.17</v>
      </c>
      <c r="AD25" s="2">
        <f t="shared" si="0"/>
        <v>0.59000000000000341</v>
      </c>
      <c r="AE25" s="131">
        <f t="shared" si="1"/>
        <v>-4.7768698931489606E-3</v>
      </c>
    </row>
    <row r="26" spans="1:31" x14ac:dyDescent="0.25">
      <c r="B26" s="161">
        <v>42550</v>
      </c>
      <c r="C26" s="10">
        <v>40</v>
      </c>
      <c r="D26" s="39">
        <v>59.08</v>
      </c>
      <c r="E26" s="39">
        <v>59.63</v>
      </c>
      <c r="F26" s="39">
        <f t="shared" si="2"/>
        <v>22.000000000000171</v>
      </c>
      <c r="G26" s="39">
        <f t="shared" si="3"/>
        <v>2363.1999999999998</v>
      </c>
      <c r="H26" s="175">
        <f t="shared" si="4"/>
        <v>9.3094109681788138E-3</v>
      </c>
      <c r="I26" s="39"/>
      <c r="W26" s="127">
        <v>42797</v>
      </c>
      <c r="X26" s="10">
        <v>80.099999999999994</v>
      </c>
      <c r="Y26" s="10">
        <v>80.66</v>
      </c>
      <c r="Z26" s="10">
        <v>79.819999999999993</v>
      </c>
      <c r="AA26" s="10">
        <v>79.88</v>
      </c>
      <c r="AB26" s="90">
        <v>4579600</v>
      </c>
      <c r="AC26" s="10">
        <v>79.55</v>
      </c>
      <c r="AD26" s="2">
        <f t="shared" si="0"/>
        <v>0.84000000000000341</v>
      </c>
      <c r="AE26" s="131">
        <f t="shared" si="1"/>
        <v>-2.7579290460072459E-3</v>
      </c>
    </row>
    <row r="27" spans="1:31" x14ac:dyDescent="0.25">
      <c r="B27" s="161">
        <v>42552</v>
      </c>
      <c r="C27" s="10">
        <v>40</v>
      </c>
      <c r="D27" s="39">
        <v>59.08</v>
      </c>
      <c r="E27" s="39">
        <v>60.69</v>
      </c>
      <c r="F27" s="39">
        <f t="shared" si="2"/>
        <v>64.399999999999977</v>
      </c>
      <c r="G27" s="39">
        <f t="shared" si="3"/>
        <v>2363.1999999999998</v>
      </c>
      <c r="H27" s="175">
        <f t="shared" si="4"/>
        <v>2.7251184834123213E-2</v>
      </c>
      <c r="I27" s="39"/>
      <c r="W27" s="127">
        <v>42796</v>
      </c>
      <c r="X27" s="10">
        <v>81.66</v>
      </c>
      <c r="Y27" s="10">
        <v>81.66</v>
      </c>
      <c r="Z27" s="10">
        <v>80.06</v>
      </c>
      <c r="AA27" s="10">
        <v>80.099999999999994</v>
      </c>
      <c r="AB27" s="90">
        <v>4409800</v>
      </c>
      <c r="AC27" s="10">
        <v>79.77</v>
      </c>
      <c r="AD27" s="2">
        <f t="shared" si="0"/>
        <v>1.5999999999999943</v>
      </c>
      <c r="AE27" s="131">
        <f t="shared" si="1"/>
        <v>-2.230665522735642E-2</v>
      </c>
    </row>
    <row r="28" spans="1:31" x14ac:dyDescent="0.25">
      <c r="B28" s="161">
        <v>42556</v>
      </c>
      <c r="C28" s="10">
        <v>40</v>
      </c>
      <c r="D28" s="39">
        <v>59.08</v>
      </c>
      <c r="E28" s="39">
        <v>59.15</v>
      </c>
      <c r="F28" s="39">
        <f t="shared" si="2"/>
        <v>2.8000000000000114</v>
      </c>
      <c r="G28" s="39">
        <f t="shared" si="3"/>
        <v>2363.1999999999998</v>
      </c>
      <c r="H28" s="175">
        <f t="shared" si="4"/>
        <v>1.1848341232227537E-3</v>
      </c>
      <c r="I28" s="39"/>
      <c r="W28" s="127">
        <v>42795</v>
      </c>
      <c r="X28" s="10">
        <v>81.05</v>
      </c>
      <c r="Y28" s="10">
        <v>82</v>
      </c>
      <c r="Z28" s="10">
        <v>81.02</v>
      </c>
      <c r="AA28" s="10">
        <v>81.92</v>
      </c>
      <c r="AB28" s="90">
        <v>4746400</v>
      </c>
      <c r="AC28" s="10">
        <v>81.59</v>
      </c>
      <c r="AD28" s="2">
        <f t="shared" si="0"/>
        <v>0.98000000000000398</v>
      </c>
      <c r="AE28" s="131">
        <f t="shared" si="1"/>
        <v>2.3328734478866187E-2</v>
      </c>
    </row>
    <row r="29" spans="1:31" x14ac:dyDescent="0.25">
      <c r="B29" s="161">
        <v>42557</v>
      </c>
      <c r="C29" s="10">
        <v>40</v>
      </c>
      <c r="D29" s="39">
        <v>59.08</v>
      </c>
      <c r="E29" s="39">
        <v>59.48</v>
      </c>
      <c r="F29" s="39">
        <f t="shared" si="2"/>
        <v>15.999999999999943</v>
      </c>
      <c r="G29" s="39">
        <f t="shared" si="3"/>
        <v>2363.1999999999998</v>
      </c>
      <c r="H29" s="175">
        <f t="shared" si="4"/>
        <v>6.7704807041299693E-3</v>
      </c>
      <c r="I29" s="39"/>
      <c r="W29" s="127">
        <v>42794</v>
      </c>
      <c r="X29" s="10">
        <v>80.12</v>
      </c>
      <c r="Y29" s="10">
        <v>80.489999999999995</v>
      </c>
      <c r="Z29" s="10">
        <v>79.77</v>
      </c>
      <c r="AA29" s="10">
        <v>80.06</v>
      </c>
      <c r="AB29" s="90">
        <v>4415300</v>
      </c>
      <c r="AC29" s="10">
        <v>79.73</v>
      </c>
      <c r="AD29" s="2">
        <f t="shared" si="0"/>
        <v>0.71999999999999886</v>
      </c>
      <c r="AE29" s="131">
        <f t="shared" si="1"/>
        <v>-1.3777555110220385E-3</v>
      </c>
    </row>
    <row r="30" spans="1:31" x14ac:dyDescent="0.25">
      <c r="B30" s="161">
        <v>42569</v>
      </c>
      <c r="C30" s="10">
        <v>40</v>
      </c>
      <c r="D30" s="39">
        <v>59.08</v>
      </c>
      <c r="E30" s="39">
        <v>63.99</v>
      </c>
      <c r="F30" s="39">
        <f t="shared" si="2"/>
        <v>196.40000000000015</v>
      </c>
      <c r="G30" s="39">
        <f t="shared" si="3"/>
        <v>2363.1999999999998</v>
      </c>
      <c r="H30" s="175">
        <f t="shared" si="4"/>
        <v>8.3107650643195738E-2</v>
      </c>
      <c r="I30" s="180">
        <v>57</v>
      </c>
      <c r="W30" s="127">
        <v>42793</v>
      </c>
      <c r="X30" s="10">
        <v>79.75</v>
      </c>
      <c r="Y30" s="10">
        <v>80.31</v>
      </c>
      <c r="Z30" s="10">
        <v>79.59</v>
      </c>
      <c r="AA30" s="10">
        <v>80.17</v>
      </c>
      <c r="AB30" s="90">
        <v>2619400</v>
      </c>
      <c r="AC30" s="10">
        <v>79.84</v>
      </c>
      <c r="AD30" s="2">
        <f t="shared" si="0"/>
        <v>0.71999999999999886</v>
      </c>
      <c r="AE30" s="131">
        <f t="shared" si="1"/>
        <v>5.1617776658692271E-3</v>
      </c>
    </row>
    <row r="31" spans="1:31" x14ac:dyDescent="0.25">
      <c r="B31" s="161">
        <v>42570</v>
      </c>
      <c r="C31" s="10">
        <v>40</v>
      </c>
      <c r="D31" s="39">
        <v>59.08</v>
      </c>
      <c r="E31" s="39">
        <v>64.16</v>
      </c>
      <c r="F31" s="39">
        <f t="shared" si="2"/>
        <v>203.19999999999993</v>
      </c>
      <c r="G31" s="39">
        <f t="shared" si="3"/>
        <v>2363.1999999999998</v>
      </c>
      <c r="H31" s="175">
        <f t="shared" si="4"/>
        <v>8.5985104942450888E-2</v>
      </c>
      <c r="I31" s="39"/>
      <c r="W31" s="127">
        <v>42790</v>
      </c>
      <c r="X31" s="10">
        <v>79.760000000000005</v>
      </c>
      <c r="Y31" s="10">
        <v>79.89</v>
      </c>
      <c r="Z31" s="10">
        <v>79.260000000000005</v>
      </c>
      <c r="AA31" s="10">
        <v>79.760000000000005</v>
      </c>
      <c r="AB31" s="90">
        <v>3932300</v>
      </c>
      <c r="AC31" s="10">
        <v>79.430000000000007</v>
      </c>
      <c r="AD31" s="2">
        <f t="shared" si="0"/>
        <v>0.62999999999999545</v>
      </c>
      <c r="AE31" s="131">
        <f t="shared" si="1"/>
        <v>-3.6377320622176246E-3</v>
      </c>
    </row>
    <row r="32" spans="1:31" x14ac:dyDescent="0.25">
      <c r="B32" s="161">
        <v>42571</v>
      </c>
      <c r="C32" s="10">
        <v>40</v>
      </c>
      <c r="D32" s="39">
        <v>59.08</v>
      </c>
      <c r="E32" s="39">
        <v>64.48</v>
      </c>
      <c r="F32" s="39">
        <f t="shared" si="2"/>
        <v>216.00000000000023</v>
      </c>
      <c r="G32" s="39">
        <f t="shared" si="3"/>
        <v>2363.1999999999998</v>
      </c>
      <c r="H32" s="175">
        <f t="shared" si="4"/>
        <v>9.140148950575501E-2</v>
      </c>
      <c r="I32" s="39" t="s">
        <v>236</v>
      </c>
      <c r="W32" s="127">
        <v>42789</v>
      </c>
      <c r="X32" s="10">
        <v>79.87</v>
      </c>
      <c r="Y32" s="10">
        <v>80.45</v>
      </c>
      <c r="Z32" s="10">
        <v>79.77</v>
      </c>
      <c r="AA32" s="10">
        <v>80.05</v>
      </c>
      <c r="AB32" s="90">
        <v>3339500</v>
      </c>
      <c r="AC32" s="10">
        <v>79.72</v>
      </c>
      <c r="AD32" s="2">
        <f t="shared" si="0"/>
        <v>0.68000000000000682</v>
      </c>
      <c r="AE32" s="131">
        <f t="shared" si="1"/>
        <v>2.3890355840563426E-3</v>
      </c>
    </row>
    <row r="33" spans="2:31" x14ac:dyDescent="0.25">
      <c r="B33" s="161">
        <v>42572</v>
      </c>
      <c r="C33" s="10">
        <v>40</v>
      </c>
      <c r="D33" s="39">
        <v>59.08</v>
      </c>
      <c r="E33" s="39">
        <v>63.43</v>
      </c>
      <c r="F33" s="39">
        <f t="shared" si="2"/>
        <v>174.00000000000006</v>
      </c>
      <c r="G33" s="39">
        <f t="shared" si="3"/>
        <v>2363.1999999999998</v>
      </c>
      <c r="H33" s="175">
        <f t="shared" si="4"/>
        <v>7.3628977657413705E-2</v>
      </c>
      <c r="I33" s="39"/>
      <c r="W33" s="127">
        <v>42788</v>
      </c>
      <c r="X33" s="10">
        <v>79.83</v>
      </c>
      <c r="Y33" s="10">
        <v>79.97</v>
      </c>
      <c r="Z33" s="10">
        <v>79.39</v>
      </c>
      <c r="AA33" s="10">
        <v>79.86</v>
      </c>
      <c r="AB33" s="90">
        <v>2943000</v>
      </c>
      <c r="AC33" s="10">
        <v>79.53</v>
      </c>
      <c r="AD33" s="2">
        <f t="shared" si="0"/>
        <v>0.57999999999999829</v>
      </c>
      <c r="AE33" s="131">
        <f t="shared" si="1"/>
        <v>-1.3812154696132284E-3</v>
      </c>
    </row>
    <row r="34" spans="2:31" x14ac:dyDescent="0.25">
      <c r="B34" s="161">
        <v>42575</v>
      </c>
      <c r="C34" s="10">
        <v>40</v>
      </c>
      <c r="D34" s="39">
        <v>59.08</v>
      </c>
      <c r="E34" s="39">
        <v>64.28</v>
      </c>
      <c r="F34" s="39">
        <f t="shared" si="2"/>
        <v>208.00000000000011</v>
      </c>
      <c r="G34" s="39">
        <f t="shared" si="3"/>
        <v>2363.1999999999998</v>
      </c>
      <c r="H34" s="175">
        <f t="shared" si="4"/>
        <v>8.8016249153689968E-2</v>
      </c>
      <c r="I34" s="39"/>
      <c r="W34" s="127">
        <v>42787</v>
      </c>
      <c r="X34" s="10">
        <v>79.92</v>
      </c>
      <c r="Y34" s="10">
        <v>80.45</v>
      </c>
      <c r="Z34" s="10">
        <v>79.64</v>
      </c>
      <c r="AA34" s="10">
        <v>79.97</v>
      </c>
      <c r="AB34" s="90">
        <v>3505500</v>
      </c>
      <c r="AC34" s="10">
        <v>79.64</v>
      </c>
      <c r="AD34" s="2">
        <f t="shared" si="0"/>
        <v>0.81000000000000227</v>
      </c>
      <c r="AE34" s="131">
        <f t="shared" si="1"/>
        <v>3.2753842277652989E-3</v>
      </c>
    </row>
    <row r="35" spans="2:31" x14ac:dyDescent="0.25">
      <c r="B35" s="161">
        <v>42576</v>
      </c>
      <c r="C35" s="10">
        <v>40</v>
      </c>
      <c r="D35" s="39">
        <v>59.08</v>
      </c>
      <c r="E35" s="39">
        <v>64.33</v>
      </c>
      <c r="F35" s="39">
        <f t="shared" si="2"/>
        <v>210</v>
      </c>
      <c r="G35" s="39">
        <f t="shared" si="3"/>
        <v>2363.1999999999998</v>
      </c>
      <c r="H35" s="175">
        <f t="shared" si="4"/>
        <v>8.8862559241706163E-2</v>
      </c>
      <c r="I35" s="39"/>
      <c r="W35" s="127">
        <v>42783</v>
      </c>
      <c r="X35" s="10">
        <v>79.22</v>
      </c>
      <c r="Y35" s="10">
        <v>79.78</v>
      </c>
      <c r="Z35" s="10">
        <v>78.900000000000006</v>
      </c>
      <c r="AA35" s="10">
        <v>79.709999999999994</v>
      </c>
      <c r="AB35" s="90">
        <v>2690300</v>
      </c>
      <c r="AC35" s="10">
        <v>79.38</v>
      </c>
      <c r="AD35" s="2">
        <f t="shared" si="0"/>
        <v>0.87999999999999545</v>
      </c>
      <c r="AE35" s="131">
        <f t="shared" si="1"/>
        <v>2.5258903763574203E-3</v>
      </c>
    </row>
    <row r="36" spans="2:31" x14ac:dyDescent="0.25">
      <c r="B36" s="161">
        <v>42593</v>
      </c>
      <c r="C36" s="10">
        <v>0</v>
      </c>
      <c r="D36" s="39"/>
      <c r="E36" s="39"/>
      <c r="F36" s="39">
        <v>231.54</v>
      </c>
      <c r="G36" s="39"/>
      <c r="H36" s="175"/>
      <c r="I36" s="39"/>
      <c r="W36" s="127">
        <v>42782</v>
      </c>
      <c r="X36" s="10">
        <v>79.459999999999994</v>
      </c>
      <c r="Y36" s="10">
        <v>79.599999999999994</v>
      </c>
      <c r="Z36" s="10">
        <v>78.92</v>
      </c>
      <c r="AA36" s="10">
        <v>79.510000000000005</v>
      </c>
      <c r="AB36" s="90">
        <v>4295000</v>
      </c>
      <c r="AC36" s="10">
        <v>79.180000000000007</v>
      </c>
      <c r="AD36" s="2">
        <f t="shared" si="0"/>
        <v>0.67999999999999261</v>
      </c>
      <c r="AE36" s="131">
        <f t="shared" si="1"/>
        <v>-1.1353601614733089E-3</v>
      </c>
    </row>
    <row r="37" spans="2:31" x14ac:dyDescent="0.25">
      <c r="B37" s="161"/>
      <c r="C37" s="10"/>
      <c r="D37" s="39"/>
      <c r="E37" s="39"/>
      <c r="F37" s="39"/>
      <c r="G37" s="39"/>
      <c r="H37" s="175"/>
      <c r="I37" s="39"/>
      <c r="W37" s="127">
        <v>42781</v>
      </c>
      <c r="X37" s="10">
        <v>79.790000000000006</v>
      </c>
      <c r="Y37" s="10">
        <v>80.099999999999994</v>
      </c>
      <c r="Z37" s="10">
        <v>78.67</v>
      </c>
      <c r="AA37" s="10">
        <v>79.599999999999994</v>
      </c>
      <c r="AB37" s="90">
        <v>5704100</v>
      </c>
      <c r="AC37" s="10">
        <v>79.27</v>
      </c>
      <c r="AD37" s="2">
        <f t="shared" si="0"/>
        <v>1.4299999999999926</v>
      </c>
      <c r="AE37" s="131">
        <f t="shared" si="1"/>
        <v>2.2758882286002535E-3</v>
      </c>
    </row>
    <row r="38" spans="2:31" x14ac:dyDescent="0.25">
      <c r="B38" s="161"/>
      <c r="C38" s="10"/>
      <c r="D38" s="39"/>
      <c r="E38" s="39"/>
      <c r="F38" s="39"/>
      <c r="G38" s="39"/>
      <c r="H38" s="175"/>
      <c r="I38" s="39"/>
      <c r="W38" s="127">
        <v>42780</v>
      </c>
      <c r="X38" s="10">
        <v>79</v>
      </c>
      <c r="Y38" s="10">
        <v>79.45</v>
      </c>
      <c r="Z38" s="10">
        <v>78.67</v>
      </c>
      <c r="AA38" s="10">
        <v>79.41</v>
      </c>
      <c r="AB38" s="90">
        <v>3511200</v>
      </c>
      <c r="AC38" s="10">
        <v>79.09</v>
      </c>
      <c r="AD38" s="2">
        <f t="shared" si="0"/>
        <v>0.78000000000000114</v>
      </c>
      <c r="AE38" s="131">
        <f t="shared" si="1"/>
        <v>6.362132586843039E-3</v>
      </c>
    </row>
    <row r="39" spans="2:31" x14ac:dyDescent="0.25">
      <c r="B39" s="161"/>
      <c r="C39" s="10"/>
      <c r="D39" s="39"/>
      <c r="E39" s="39"/>
      <c r="F39" s="39"/>
      <c r="G39" s="39"/>
      <c r="H39" s="175"/>
      <c r="I39" s="39"/>
      <c r="W39" s="127">
        <v>42779</v>
      </c>
      <c r="X39" s="10">
        <v>78.819999999999993</v>
      </c>
      <c r="Y39" s="10">
        <v>79.180000000000007</v>
      </c>
      <c r="Z39" s="10">
        <v>78.48</v>
      </c>
      <c r="AA39" s="10">
        <v>78.91</v>
      </c>
      <c r="AB39" s="90">
        <v>3317100</v>
      </c>
      <c r="AC39" s="10">
        <v>78.59</v>
      </c>
      <c r="AD39" s="2">
        <f t="shared" si="0"/>
        <v>0.70000000000000284</v>
      </c>
      <c r="AE39" s="131">
        <f t="shared" si="1"/>
        <v>5.501535312180339E-3</v>
      </c>
    </row>
    <row r="40" spans="2:31" ht="20.25" thickBot="1" x14ac:dyDescent="0.35">
      <c r="B40" s="161"/>
      <c r="C40" s="10"/>
      <c r="D40" s="39"/>
      <c r="E40" s="39"/>
      <c r="F40" s="39"/>
      <c r="G40" s="39"/>
      <c r="H40" s="175"/>
      <c r="I40" s="39"/>
      <c r="O40" s="886" t="s">
        <v>78</v>
      </c>
      <c r="P40" s="886"/>
      <c r="W40" s="127">
        <v>42776</v>
      </c>
      <c r="X40" s="10">
        <v>78.5</v>
      </c>
      <c r="Y40" s="10">
        <v>78.69</v>
      </c>
      <c r="Z40" s="10">
        <v>78.23</v>
      </c>
      <c r="AA40" s="10">
        <v>78.48</v>
      </c>
      <c r="AB40" s="90">
        <v>2191200</v>
      </c>
      <c r="AC40" s="10">
        <v>78.16</v>
      </c>
      <c r="AD40" s="2">
        <f t="shared" si="0"/>
        <v>0.45999999999999375</v>
      </c>
      <c r="AE40" s="131">
        <f t="shared" si="1"/>
        <v>3.8530696121243935E-3</v>
      </c>
    </row>
    <row r="41" spans="2:31" ht="15.75" thickTop="1" x14ac:dyDescent="0.25">
      <c r="B41" s="161"/>
      <c r="C41" s="10"/>
      <c r="D41" s="39"/>
      <c r="E41" s="39"/>
      <c r="F41" s="39"/>
      <c r="G41" s="39"/>
      <c r="H41" s="175"/>
      <c r="I41" s="39"/>
      <c r="O41" s="78">
        <v>1.1000000000000001</v>
      </c>
      <c r="P41" s="78">
        <f>O41*$Q$4</f>
        <v>130.06399999999999</v>
      </c>
      <c r="Q41" s="2"/>
      <c r="W41" s="127">
        <v>42775</v>
      </c>
      <c r="X41" s="10">
        <v>77.8</v>
      </c>
      <c r="Y41" s="10">
        <v>78.37</v>
      </c>
      <c r="Z41" s="10">
        <v>77.67</v>
      </c>
      <c r="AA41" s="10">
        <v>78.180000000000007</v>
      </c>
      <c r="AB41" s="90">
        <v>3031800</v>
      </c>
      <c r="AC41" s="10">
        <v>77.86</v>
      </c>
      <c r="AD41" s="2">
        <f t="shared" si="0"/>
        <v>0.70000000000000284</v>
      </c>
      <c r="AE41" s="131">
        <f t="shared" si="1"/>
        <v>4.9044914816727125E-3</v>
      </c>
    </row>
    <row r="42" spans="2:31" ht="20.25" thickBot="1" x14ac:dyDescent="0.35">
      <c r="B42" s="161"/>
      <c r="C42" s="10"/>
      <c r="D42" s="39"/>
      <c r="E42" s="39"/>
      <c r="F42" s="39"/>
      <c r="G42" s="39"/>
      <c r="H42" s="175"/>
      <c r="I42" s="39"/>
      <c r="O42" s="78">
        <v>1.0900000000000001</v>
      </c>
      <c r="P42" s="78">
        <f t="shared" ref="P42:P61" si="5">O42*$Q$4</f>
        <v>128.88159999999999</v>
      </c>
      <c r="Q42" s="2"/>
      <c r="T42" s="86" t="s">
        <v>112</v>
      </c>
      <c r="W42" s="127">
        <v>42774</v>
      </c>
      <c r="X42" s="10">
        <v>77.540000000000006</v>
      </c>
      <c r="Y42" s="10">
        <v>77.94</v>
      </c>
      <c r="Z42" s="10">
        <v>77.08</v>
      </c>
      <c r="AA42" s="10">
        <v>77.8</v>
      </c>
      <c r="AB42" s="90">
        <v>2223100</v>
      </c>
      <c r="AC42" s="10">
        <v>77.48</v>
      </c>
      <c r="AD42" s="2">
        <f t="shared" si="0"/>
        <v>0.85999999999999943</v>
      </c>
      <c r="AE42" s="131">
        <f t="shared" si="1"/>
        <v>1.0335917312660481E-3</v>
      </c>
    </row>
    <row r="43" spans="2:31" ht="15.75" thickTop="1" x14ac:dyDescent="0.25">
      <c r="B43" s="161"/>
      <c r="C43" s="10"/>
      <c r="D43" s="39"/>
      <c r="E43" s="39"/>
      <c r="F43" s="39"/>
      <c r="G43" s="39"/>
      <c r="H43" s="175"/>
      <c r="I43" s="39"/>
      <c r="O43" s="78">
        <v>1.08</v>
      </c>
      <c r="P43" s="78">
        <f t="shared" si="5"/>
        <v>127.6992</v>
      </c>
      <c r="Q43" s="2"/>
      <c r="T43" s="122" t="s">
        <v>97</v>
      </c>
      <c r="U43" s="123">
        <v>77.94</v>
      </c>
      <c r="W43" s="127">
        <v>42773</v>
      </c>
      <c r="X43" s="10">
        <v>78.06</v>
      </c>
      <c r="Y43" s="10">
        <v>78.38</v>
      </c>
      <c r="Z43" s="10">
        <v>77.52</v>
      </c>
      <c r="AA43" s="10">
        <v>77.72</v>
      </c>
      <c r="AB43" s="90">
        <v>2060200</v>
      </c>
      <c r="AC43" s="10">
        <v>77.400000000000006</v>
      </c>
      <c r="AD43" s="2">
        <f t="shared" si="0"/>
        <v>0.85999999999999943</v>
      </c>
      <c r="AE43" s="131">
        <f t="shared" si="1"/>
        <v>-1.290322580645098E-3</v>
      </c>
    </row>
    <row r="44" spans="2:31" x14ac:dyDescent="0.25">
      <c r="B44" s="161"/>
      <c r="C44" s="10"/>
      <c r="D44" s="39"/>
      <c r="E44" s="39"/>
      <c r="F44" s="39"/>
      <c r="G44" s="39"/>
      <c r="H44" s="175"/>
      <c r="I44" s="39"/>
      <c r="O44" s="78">
        <v>1.07</v>
      </c>
      <c r="P44" s="78">
        <f t="shared" si="5"/>
        <v>126.5168</v>
      </c>
      <c r="Q44" s="2"/>
      <c r="T44" s="88" t="s">
        <v>98</v>
      </c>
      <c r="U44" s="124">
        <v>78.510000000000005</v>
      </c>
      <c r="W44" s="127">
        <v>42772</v>
      </c>
      <c r="X44" s="10">
        <v>77.72</v>
      </c>
      <c r="Y44" s="10">
        <v>78.41</v>
      </c>
      <c r="Z44" s="10">
        <v>77.48</v>
      </c>
      <c r="AA44" s="10">
        <v>77.819999999999993</v>
      </c>
      <c r="AB44" s="90">
        <v>3229500</v>
      </c>
      <c r="AC44" s="10">
        <v>77.5</v>
      </c>
      <c r="AD44" s="2">
        <f t="shared" si="0"/>
        <v>0.92999999999999261</v>
      </c>
      <c r="AE44" s="131">
        <f t="shared" si="1"/>
        <v>-2.8306742151312791E-3</v>
      </c>
    </row>
    <row r="45" spans="2:31" x14ac:dyDescent="0.25">
      <c r="O45" s="78">
        <v>1.06</v>
      </c>
      <c r="P45" s="78">
        <f t="shared" si="5"/>
        <v>125.3344</v>
      </c>
      <c r="Q45" s="2"/>
      <c r="T45" s="88" t="s">
        <v>99</v>
      </c>
      <c r="U45" s="124" t="s">
        <v>128</v>
      </c>
      <c r="W45" s="127">
        <v>42769</v>
      </c>
      <c r="X45" s="10">
        <v>77.14</v>
      </c>
      <c r="Y45" s="10">
        <v>78.42</v>
      </c>
      <c r="Z45" s="10">
        <v>76.91</v>
      </c>
      <c r="AA45" s="10">
        <v>78.040000000000006</v>
      </c>
      <c r="AB45" s="90">
        <v>5235800</v>
      </c>
      <c r="AC45" s="10">
        <v>77.72</v>
      </c>
      <c r="AD45" s="2">
        <f t="shared" si="0"/>
        <v>1.5100000000000051</v>
      </c>
      <c r="AE45" s="131">
        <f t="shared" si="1"/>
        <v>1.9947506561679651E-2</v>
      </c>
    </row>
    <row r="46" spans="2:31" x14ac:dyDescent="0.25">
      <c r="O46" s="78">
        <v>1.05</v>
      </c>
      <c r="P46" s="78">
        <f t="shared" si="5"/>
        <v>124.152</v>
      </c>
      <c r="Q46" s="2"/>
      <c r="T46" s="88" t="s">
        <v>100</v>
      </c>
      <c r="U46" s="124" t="s">
        <v>128</v>
      </c>
      <c r="W46" s="127">
        <v>42768</v>
      </c>
      <c r="X46" s="10">
        <v>76.23</v>
      </c>
      <c r="Y46" s="10">
        <v>76.89</v>
      </c>
      <c r="Z46" s="10">
        <v>76.06</v>
      </c>
      <c r="AA46" s="10">
        <v>76.510000000000005</v>
      </c>
      <c r="AB46" s="90">
        <v>3655500</v>
      </c>
      <c r="AC46" s="10">
        <v>76.2</v>
      </c>
      <c r="AD46" s="2">
        <f t="shared" si="0"/>
        <v>0.82999999999999829</v>
      </c>
      <c r="AE46" s="131">
        <f t="shared" si="1"/>
        <v>-3.2701111837802888E-3</v>
      </c>
    </row>
    <row r="47" spans="2:31" x14ac:dyDescent="0.25">
      <c r="O47" s="78">
        <v>1.04</v>
      </c>
      <c r="P47" s="78">
        <f t="shared" si="5"/>
        <v>122.9696</v>
      </c>
      <c r="Q47" s="2"/>
      <c r="T47" s="88" t="s">
        <v>101</v>
      </c>
      <c r="U47" s="124">
        <v>81.44</v>
      </c>
      <c r="W47" s="127">
        <v>42767</v>
      </c>
      <c r="X47" s="10">
        <v>76.849999999999994</v>
      </c>
      <c r="Y47" s="10">
        <v>77.44</v>
      </c>
      <c r="Z47" s="10">
        <v>76.58</v>
      </c>
      <c r="AA47" s="10">
        <v>76.760000000000005</v>
      </c>
      <c r="AB47" s="90">
        <v>3916800</v>
      </c>
      <c r="AC47" s="10">
        <v>76.45</v>
      </c>
      <c r="AD47" s="2">
        <f t="shared" si="0"/>
        <v>0.85999999999999943</v>
      </c>
      <c r="AE47" s="131">
        <f t="shared" si="1"/>
        <v>4.9953989746287508E-3</v>
      </c>
    </row>
    <row r="48" spans="2:31" x14ac:dyDescent="0.25">
      <c r="L48" t="s">
        <v>65</v>
      </c>
      <c r="M48" s="2">
        <f>M66+K66-F66</f>
        <v>231.53999999999996</v>
      </c>
      <c r="O48" s="78">
        <v>1.03</v>
      </c>
      <c r="P48" s="78">
        <f t="shared" si="5"/>
        <v>121.7872</v>
      </c>
      <c r="Q48" s="2"/>
      <c r="T48" s="88" t="s">
        <v>102</v>
      </c>
      <c r="U48" s="124">
        <v>1.1648700000000001</v>
      </c>
      <c r="W48" s="127">
        <v>42766</v>
      </c>
      <c r="X48" s="10">
        <v>76.86</v>
      </c>
      <c r="Y48" s="10">
        <v>77.25</v>
      </c>
      <c r="Z48" s="10">
        <v>75.97</v>
      </c>
      <c r="AA48" s="10">
        <v>76.38</v>
      </c>
      <c r="AB48" s="90">
        <v>5568100</v>
      </c>
      <c r="AC48" s="10">
        <v>76.069999999999993</v>
      </c>
      <c r="AD48" s="2">
        <f t="shared" si="0"/>
        <v>1.2800000000000011</v>
      </c>
      <c r="AE48" s="131">
        <f t="shared" si="1"/>
        <v>-1.1564449064449089E-2</v>
      </c>
    </row>
    <row r="49" spans="1:31" x14ac:dyDescent="0.25">
      <c r="A49" s="297" t="s">
        <v>1</v>
      </c>
      <c r="B49" s="297" t="s">
        <v>2</v>
      </c>
      <c r="C49" s="297" t="s">
        <v>4</v>
      </c>
      <c r="D49" s="299" t="s">
        <v>5</v>
      </c>
      <c r="E49" s="299" t="s">
        <v>94</v>
      </c>
      <c r="F49" s="299" t="s">
        <v>60</v>
      </c>
      <c r="G49" s="297" t="s">
        <v>3</v>
      </c>
      <c r="H49" s="297" t="s">
        <v>6</v>
      </c>
      <c r="I49" s="299" t="s">
        <v>7</v>
      </c>
      <c r="J49" s="299" t="s">
        <v>95</v>
      </c>
      <c r="K49" s="299" t="s">
        <v>61</v>
      </c>
      <c r="L49" s="297" t="s">
        <v>37</v>
      </c>
      <c r="M49" s="297" t="s">
        <v>38</v>
      </c>
      <c r="O49" s="78">
        <v>1.02</v>
      </c>
      <c r="P49" s="78">
        <f t="shared" si="5"/>
        <v>120.6048</v>
      </c>
      <c r="Q49" s="2"/>
      <c r="T49" s="88" t="s">
        <v>103</v>
      </c>
      <c r="U49" s="124" t="s">
        <v>465</v>
      </c>
      <c r="W49" s="127">
        <v>42765</v>
      </c>
      <c r="X49" s="10">
        <v>76.83</v>
      </c>
      <c r="Y49" s="10">
        <v>77.319999999999993</v>
      </c>
      <c r="Z49" s="10">
        <v>76.540000000000006</v>
      </c>
      <c r="AA49" s="10">
        <v>77.28</v>
      </c>
      <c r="AB49" s="90">
        <v>5344500</v>
      </c>
      <c r="AC49" s="10">
        <v>76.959999999999994</v>
      </c>
      <c r="AD49" s="2">
        <f t="shared" si="0"/>
        <v>0.77999999999998693</v>
      </c>
      <c r="AE49" s="131">
        <f t="shared" si="1"/>
        <v>5.4873268879016557E-3</v>
      </c>
    </row>
    <row r="50" spans="1:31" x14ac:dyDescent="0.25">
      <c r="A50" s="300" t="s">
        <v>218</v>
      </c>
      <c r="B50" s="290">
        <v>42548</v>
      </c>
      <c r="C50" s="291">
        <v>40</v>
      </c>
      <c r="D50" s="292">
        <v>59.08</v>
      </c>
      <c r="E50" s="292">
        <v>0</v>
      </c>
      <c r="F50" s="292">
        <f>D50*C50+E50</f>
        <v>2363.1999999999998</v>
      </c>
      <c r="G50" s="290">
        <v>42580</v>
      </c>
      <c r="H50" s="295">
        <v>40</v>
      </c>
      <c r="I50" s="292">
        <v>64.58</v>
      </c>
      <c r="J50" s="292">
        <v>0.06</v>
      </c>
      <c r="K50" s="292">
        <f>I50*H50-J50</f>
        <v>2583.14</v>
      </c>
      <c r="L50" s="290">
        <v>42592</v>
      </c>
      <c r="M50" s="291">
        <v>11.6</v>
      </c>
      <c r="O50" s="78">
        <v>1.01</v>
      </c>
      <c r="P50" s="78">
        <f t="shared" si="5"/>
        <v>119.4224</v>
      </c>
      <c r="Q50" s="2"/>
      <c r="T50" s="88"/>
      <c r="U50" s="124"/>
      <c r="W50" s="127">
        <v>42762</v>
      </c>
      <c r="X50" s="10">
        <v>77</v>
      </c>
      <c r="Y50" s="10">
        <v>77.3</v>
      </c>
      <c r="Z50" s="10">
        <v>76.540000000000006</v>
      </c>
      <c r="AA50" s="10">
        <v>76.849999999999994</v>
      </c>
      <c r="AB50" s="90">
        <v>3530900</v>
      </c>
      <c r="AC50" s="10">
        <v>76.540000000000006</v>
      </c>
      <c r="AD50" s="2">
        <f t="shared" si="0"/>
        <v>0.75999999999999091</v>
      </c>
      <c r="AE50" s="131">
        <f t="shared" si="1"/>
        <v>-1.0441138084050783E-3</v>
      </c>
    </row>
    <row r="51" spans="1:31" x14ac:dyDescent="0.25">
      <c r="A51" s="301" t="s">
        <v>71</v>
      </c>
      <c r="B51" s="290"/>
      <c r="C51" s="291"/>
      <c r="D51" s="292"/>
      <c r="E51" s="292"/>
      <c r="F51" s="292"/>
      <c r="G51" s="291"/>
      <c r="H51" s="295"/>
      <c r="I51" s="292"/>
      <c r="J51" s="292"/>
      <c r="K51" s="292"/>
      <c r="L51" s="291"/>
      <c r="M51" s="291"/>
      <c r="O51" s="78">
        <v>1</v>
      </c>
      <c r="P51" s="78">
        <f t="shared" si="5"/>
        <v>118.24</v>
      </c>
      <c r="Q51" s="2"/>
      <c r="T51" s="88" t="s">
        <v>104</v>
      </c>
      <c r="U51" s="124" t="s">
        <v>511</v>
      </c>
      <c r="W51" s="127">
        <v>42761</v>
      </c>
      <c r="X51" s="10">
        <v>76.95</v>
      </c>
      <c r="Y51" s="10">
        <v>77.459999999999994</v>
      </c>
      <c r="Z51" s="10">
        <v>76.63</v>
      </c>
      <c r="AA51" s="10">
        <v>76.930000000000007</v>
      </c>
      <c r="AB51" s="90">
        <v>3344900</v>
      </c>
      <c r="AC51" s="10">
        <v>76.62</v>
      </c>
      <c r="AD51" s="2">
        <f t="shared" si="0"/>
        <v>0.82999999999999829</v>
      </c>
      <c r="AE51" s="131">
        <f t="shared" si="1"/>
        <v>5.2232958997144863E-4</v>
      </c>
    </row>
    <row r="52" spans="1:31" x14ac:dyDescent="0.25">
      <c r="A52" s="291"/>
      <c r="B52" s="290"/>
      <c r="C52" s="291"/>
      <c r="D52" s="292"/>
      <c r="E52" s="292"/>
      <c r="F52" s="292"/>
      <c r="G52" s="291"/>
      <c r="H52" s="295"/>
      <c r="I52" s="292"/>
      <c r="J52" s="292"/>
      <c r="K52" s="292"/>
      <c r="L52" s="291"/>
      <c r="M52" s="291"/>
      <c r="O52" s="78">
        <v>0.99</v>
      </c>
      <c r="P52" s="78">
        <f t="shared" si="5"/>
        <v>117.05759999999999</v>
      </c>
      <c r="Q52" s="2"/>
      <c r="T52" s="88" t="s">
        <v>105</v>
      </c>
      <c r="U52" s="124" t="s">
        <v>427</v>
      </c>
      <c r="W52" s="127">
        <v>42760</v>
      </c>
      <c r="X52" s="10">
        <v>78</v>
      </c>
      <c r="Y52" s="10">
        <v>78.02</v>
      </c>
      <c r="Z52" s="10">
        <v>76.400000000000006</v>
      </c>
      <c r="AA52" s="10">
        <v>76.89</v>
      </c>
      <c r="AB52" s="90">
        <v>5278300</v>
      </c>
      <c r="AC52" s="10">
        <v>76.58</v>
      </c>
      <c r="AD52" s="2">
        <f t="shared" si="0"/>
        <v>1.6199999999999903</v>
      </c>
      <c r="AE52" s="131">
        <f t="shared" si="1"/>
        <v>-6.8732978861366645E-3</v>
      </c>
    </row>
    <row r="53" spans="1:31" x14ac:dyDescent="0.25">
      <c r="A53" s="291"/>
      <c r="B53" s="290"/>
      <c r="C53" s="291"/>
      <c r="D53" s="292"/>
      <c r="E53" s="292"/>
      <c r="F53" s="292"/>
      <c r="G53" s="291"/>
      <c r="H53" s="295"/>
      <c r="I53" s="292"/>
      <c r="J53" s="292"/>
      <c r="K53" s="292"/>
      <c r="L53" s="291"/>
      <c r="M53" s="291"/>
      <c r="O53" s="78">
        <v>0.98</v>
      </c>
      <c r="P53" s="78">
        <f t="shared" si="5"/>
        <v>115.87519999999999</v>
      </c>
      <c r="Q53" s="2"/>
      <c r="T53" s="88" t="s">
        <v>106</v>
      </c>
      <c r="U53" s="125">
        <v>2858427</v>
      </c>
      <c r="W53" s="127">
        <v>42759</v>
      </c>
      <c r="X53" s="10">
        <v>76.33</v>
      </c>
      <c r="Y53" s="10">
        <v>77.66</v>
      </c>
      <c r="Z53" s="10">
        <v>76.09</v>
      </c>
      <c r="AA53" s="10">
        <v>77.430000000000007</v>
      </c>
      <c r="AB53" s="90">
        <v>4024300</v>
      </c>
      <c r="AC53" s="10">
        <v>77.11</v>
      </c>
      <c r="AD53" s="2">
        <f t="shared" si="0"/>
        <v>1.5699999999999932</v>
      </c>
      <c r="AE53" s="131">
        <f t="shared" si="1"/>
        <v>1.9164684113137653E-2</v>
      </c>
    </row>
    <row r="54" spans="1:31" x14ac:dyDescent="0.25">
      <c r="A54" s="291"/>
      <c r="B54" s="290"/>
      <c r="C54" s="291"/>
      <c r="D54" s="292"/>
      <c r="E54" s="292"/>
      <c r="F54" s="292"/>
      <c r="G54" s="291"/>
      <c r="H54" s="295"/>
      <c r="I54" s="292"/>
      <c r="J54" s="292"/>
      <c r="K54" s="292"/>
      <c r="L54" s="291"/>
      <c r="M54" s="291"/>
      <c r="O54" s="78">
        <v>0.97</v>
      </c>
      <c r="P54" s="78">
        <f t="shared" si="5"/>
        <v>114.69279999999999</v>
      </c>
      <c r="T54" s="88" t="s">
        <v>109</v>
      </c>
      <c r="U54" s="125">
        <v>4241430</v>
      </c>
      <c r="W54" s="127">
        <v>42758</v>
      </c>
      <c r="X54" s="10">
        <v>75.92</v>
      </c>
      <c r="Y54" s="10">
        <v>76.48</v>
      </c>
      <c r="Z54" s="10">
        <v>75.73</v>
      </c>
      <c r="AA54" s="10">
        <v>75.97</v>
      </c>
      <c r="AB54" s="90">
        <v>4444300</v>
      </c>
      <c r="AC54" s="10">
        <v>75.66</v>
      </c>
      <c r="AD54" s="2">
        <f t="shared" si="0"/>
        <v>0.75</v>
      </c>
      <c r="AE54" s="131">
        <f t="shared" si="1"/>
        <v>-3.0307023323231652E-3</v>
      </c>
    </row>
    <row r="55" spans="1:31" x14ac:dyDescent="0.25">
      <c r="A55" s="291"/>
      <c r="B55" s="291"/>
      <c r="C55" s="291"/>
      <c r="D55" s="292"/>
      <c r="E55" s="292"/>
      <c r="F55" s="292"/>
      <c r="G55" s="291"/>
      <c r="H55" s="295"/>
      <c r="I55" s="292"/>
      <c r="J55" s="292"/>
      <c r="K55" s="292"/>
      <c r="L55" s="291"/>
      <c r="M55" s="291"/>
      <c r="O55" s="78">
        <v>0.96</v>
      </c>
      <c r="P55" s="78">
        <f t="shared" si="5"/>
        <v>113.51039999999999</v>
      </c>
      <c r="T55" s="88" t="s">
        <v>107</v>
      </c>
      <c r="U55" s="124" t="s">
        <v>512</v>
      </c>
      <c r="W55" s="127">
        <v>42755</v>
      </c>
      <c r="X55" s="10">
        <v>75.989999999999995</v>
      </c>
      <c r="Y55" s="10">
        <v>76.91</v>
      </c>
      <c r="Z55" s="10">
        <v>75.39</v>
      </c>
      <c r="AA55" s="10">
        <v>76.2</v>
      </c>
      <c r="AB55" s="90">
        <v>8465900</v>
      </c>
      <c r="AC55" s="10">
        <v>75.89</v>
      </c>
      <c r="AD55" s="2">
        <f t="shared" si="0"/>
        <v>1.519999999999996</v>
      </c>
      <c r="AE55" s="131">
        <f t="shared" si="1"/>
        <v>-6.4152919612463499E-3</v>
      </c>
    </row>
    <row r="56" spans="1:31" x14ac:dyDescent="0.25">
      <c r="A56" s="291"/>
      <c r="B56" s="291"/>
      <c r="C56" s="291"/>
      <c r="D56" s="292"/>
      <c r="E56" s="292"/>
      <c r="F56" s="292"/>
      <c r="G56" s="291"/>
      <c r="H56" s="295"/>
      <c r="I56" s="292"/>
      <c r="J56" s="292"/>
      <c r="K56" s="292"/>
      <c r="L56" s="291"/>
      <c r="M56" s="291"/>
      <c r="O56" s="78">
        <v>0.95</v>
      </c>
      <c r="P56" s="78">
        <f t="shared" si="5"/>
        <v>112.32799999999999</v>
      </c>
      <c r="T56" s="88" t="s">
        <v>110</v>
      </c>
      <c r="U56" s="124">
        <v>13.76</v>
      </c>
      <c r="W56" s="127">
        <v>42754</v>
      </c>
      <c r="X56" s="10">
        <v>77.61</v>
      </c>
      <c r="Y56" s="10">
        <v>77.78</v>
      </c>
      <c r="Z56" s="10">
        <v>76.61</v>
      </c>
      <c r="AA56" s="10">
        <v>76.69</v>
      </c>
      <c r="AB56" s="90">
        <v>8111400</v>
      </c>
      <c r="AC56" s="10">
        <v>76.38</v>
      </c>
      <c r="AD56" s="2">
        <f t="shared" si="0"/>
        <v>1.1700000000000017</v>
      </c>
      <c r="AE56" s="131">
        <f t="shared" si="1"/>
        <v>-1.0237138784501831E-2</v>
      </c>
    </row>
    <row r="57" spans="1:31" x14ac:dyDescent="0.25">
      <c r="A57" s="291"/>
      <c r="B57" s="291"/>
      <c r="C57" s="291"/>
      <c r="D57" s="292"/>
      <c r="E57" s="292"/>
      <c r="F57" s="292"/>
      <c r="G57" s="291"/>
      <c r="H57" s="295"/>
      <c r="I57" s="292"/>
      <c r="J57" s="292"/>
      <c r="K57" s="292"/>
      <c r="L57" s="291"/>
      <c r="M57" s="291"/>
      <c r="O57" s="78">
        <v>0.94</v>
      </c>
      <c r="P57" s="78">
        <f t="shared" si="5"/>
        <v>111.14559999999999</v>
      </c>
      <c r="T57" s="88" t="s">
        <v>111</v>
      </c>
      <c r="U57" s="124">
        <v>5.65</v>
      </c>
      <c r="W57" s="127">
        <v>42753</v>
      </c>
      <c r="X57" s="10">
        <v>77.11</v>
      </c>
      <c r="Y57" s="10">
        <v>77.61</v>
      </c>
      <c r="Z57" s="10">
        <v>76.510000000000005</v>
      </c>
      <c r="AA57" s="10">
        <v>77.489999999999995</v>
      </c>
      <c r="AB57" s="90">
        <v>5988400</v>
      </c>
      <c r="AC57" s="10">
        <v>77.17</v>
      </c>
      <c r="AD57" s="2">
        <f t="shared" si="0"/>
        <v>1.0999999999999943</v>
      </c>
      <c r="AE57" s="131">
        <f t="shared" si="1"/>
        <v>1.1534932494429162E-2</v>
      </c>
    </row>
    <row r="58" spans="1:31" x14ac:dyDescent="0.25">
      <c r="A58" s="291"/>
      <c r="B58" s="291"/>
      <c r="C58" s="291"/>
      <c r="D58" s="292"/>
      <c r="E58" s="292"/>
      <c r="F58" s="292"/>
      <c r="G58" s="291"/>
      <c r="H58" s="295"/>
      <c r="I58" s="292"/>
      <c r="J58" s="292"/>
      <c r="K58" s="292"/>
      <c r="L58" s="291"/>
      <c r="M58" s="291"/>
      <c r="O58" s="78">
        <v>0.93</v>
      </c>
      <c r="P58" s="78">
        <f t="shared" si="5"/>
        <v>109.9632</v>
      </c>
      <c r="T58" s="88" t="s">
        <v>108</v>
      </c>
      <c r="U58" s="124" t="s">
        <v>486</v>
      </c>
      <c r="W58" s="127">
        <v>42752</v>
      </c>
      <c r="X58" s="10">
        <v>77.400000000000006</v>
      </c>
      <c r="Y58" s="10">
        <v>77.7</v>
      </c>
      <c r="Z58" s="10">
        <v>76.47</v>
      </c>
      <c r="AA58" s="10">
        <v>76.599999999999994</v>
      </c>
      <c r="AB58" s="90">
        <v>6450300</v>
      </c>
      <c r="AC58" s="10">
        <v>76.290000000000006</v>
      </c>
      <c r="AD58" s="2">
        <f t="shared" si="0"/>
        <v>1.230000000000004</v>
      </c>
      <c r="AE58" s="131">
        <f t="shared" si="1"/>
        <v>-2.6208884811951272E-4</v>
      </c>
    </row>
    <row r="59" spans="1:31" x14ac:dyDescent="0.25">
      <c r="A59" s="291"/>
      <c r="B59" s="291"/>
      <c r="C59" s="291"/>
      <c r="D59" s="292"/>
      <c r="E59" s="292"/>
      <c r="F59" s="292"/>
      <c r="G59" s="291"/>
      <c r="H59" s="295"/>
      <c r="I59" s="292"/>
      <c r="J59" s="292"/>
      <c r="K59" s="292"/>
      <c r="L59" s="291"/>
      <c r="M59" s="291"/>
      <c r="O59" s="78">
        <v>0.92</v>
      </c>
      <c r="P59" s="78">
        <f t="shared" si="5"/>
        <v>108.7808</v>
      </c>
      <c r="W59" s="127">
        <v>42748</v>
      </c>
      <c r="X59" s="10">
        <v>76.930000000000007</v>
      </c>
      <c r="Y59" s="10">
        <v>77.63</v>
      </c>
      <c r="Z59" s="10">
        <v>76.41</v>
      </c>
      <c r="AA59" s="10">
        <v>76.62</v>
      </c>
      <c r="AB59" s="90">
        <v>3454300</v>
      </c>
      <c r="AC59" s="10">
        <v>76.31</v>
      </c>
      <c r="AD59" s="2">
        <f t="shared" si="0"/>
        <v>1.2199999999999989</v>
      </c>
      <c r="AE59" s="131">
        <f t="shared" si="1"/>
        <v>-3.3955857385398192E-3</v>
      </c>
    </row>
    <row r="60" spans="1:31" x14ac:dyDescent="0.25">
      <c r="A60" s="291"/>
      <c r="B60" s="291"/>
      <c r="C60" s="291"/>
      <c r="D60" s="292"/>
      <c r="E60" s="292"/>
      <c r="F60" s="292"/>
      <c r="G60" s="291"/>
      <c r="H60" s="295"/>
      <c r="I60" s="292"/>
      <c r="J60" s="292"/>
      <c r="K60" s="292"/>
      <c r="L60" s="291"/>
      <c r="M60" s="291"/>
      <c r="O60" s="78">
        <v>0.91</v>
      </c>
      <c r="P60" s="78">
        <f t="shared" si="5"/>
        <v>107.5984</v>
      </c>
      <c r="W60" s="127">
        <v>42747</v>
      </c>
      <c r="X60" s="10">
        <v>76.83</v>
      </c>
      <c r="Y60" s="10">
        <v>76.95</v>
      </c>
      <c r="Z60" s="10">
        <v>75.84</v>
      </c>
      <c r="AA60" s="10">
        <v>76.88</v>
      </c>
      <c r="AB60" s="90">
        <v>4056700</v>
      </c>
      <c r="AC60" s="10">
        <v>76.569999999999993</v>
      </c>
      <c r="AD60" s="2">
        <f t="shared" si="0"/>
        <v>1.1099999999999994</v>
      </c>
      <c r="AE60" s="131">
        <f t="shared" si="1"/>
        <v>-3.916449086162066E-4</v>
      </c>
    </row>
    <row r="61" spans="1:31" x14ac:dyDescent="0.25">
      <c r="A61" s="291"/>
      <c r="B61" s="291"/>
      <c r="C61" s="291"/>
      <c r="D61" s="292"/>
      <c r="E61" s="292"/>
      <c r="F61" s="292"/>
      <c r="G61" s="291"/>
      <c r="H61" s="295"/>
      <c r="I61" s="292"/>
      <c r="J61" s="292"/>
      <c r="K61" s="292"/>
      <c r="L61" s="291"/>
      <c r="M61" s="291"/>
      <c r="O61" s="78">
        <v>0.9</v>
      </c>
      <c r="P61" s="78">
        <f t="shared" si="5"/>
        <v>106.416</v>
      </c>
      <c r="W61" s="127">
        <v>42746</v>
      </c>
      <c r="X61" s="10">
        <v>76.67</v>
      </c>
      <c r="Y61" s="10">
        <v>77.44</v>
      </c>
      <c r="Z61" s="10">
        <v>76.099999999999994</v>
      </c>
      <c r="AA61" s="10">
        <v>76.91</v>
      </c>
      <c r="AB61" s="90">
        <v>4500200</v>
      </c>
      <c r="AC61" s="10">
        <v>76.599999999999994</v>
      </c>
      <c r="AD61" s="2">
        <f t="shared" si="0"/>
        <v>1.3400000000000034</v>
      </c>
      <c r="AE61" s="131">
        <f t="shared" si="1"/>
        <v>3.405816085931157E-3</v>
      </c>
    </row>
    <row r="62" spans="1:31" x14ac:dyDescent="0.25">
      <c r="A62" s="291"/>
      <c r="B62" s="291"/>
      <c r="C62" s="291"/>
      <c r="D62" s="292"/>
      <c r="E62" s="292"/>
      <c r="F62" s="292"/>
      <c r="G62" s="291"/>
      <c r="H62" s="295"/>
      <c r="I62" s="292"/>
      <c r="J62" s="292"/>
      <c r="K62" s="292"/>
      <c r="L62" s="291"/>
      <c r="M62" s="291"/>
      <c r="W62" s="127">
        <v>42745</v>
      </c>
      <c r="X62" s="10">
        <v>76.52</v>
      </c>
      <c r="Y62" s="10">
        <v>78</v>
      </c>
      <c r="Z62" s="10">
        <v>76.12</v>
      </c>
      <c r="AA62" s="10">
        <v>76.650000000000006</v>
      </c>
      <c r="AB62" s="90">
        <v>9561400</v>
      </c>
      <c r="AC62" s="10">
        <v>76.34</v>
      </c>
      <c r="AD62" s="2">
        <f t="shared" si="0"/>
        <v>1.8799999999999955</v>
      </c>
      <c r="AE62" s="131">
        <f t="shared" si="1"/>
        <v>1.0456651224354907E-2</v>
      </c>
    </row>
    <row r="63" spans="1:31" x14ac:dyDescent="0.25">
      <c r="A63" s="291"/>
      <c r="B63" s="291"/>
      <c r="C63" s="291"/>
      <c r="D63" s="292"/>
      <c r="E63" s="292"/>
      <c r="F63" s="292"/>
      <c r="G63" s="291"/>
      <c r="H63" s="295"/>
      <c r="I63" s="292"/>
      <c r="J63" s="292"/>
      <c r="K63" s="292"/>
      <c r="L63" s="291"/>
      <c r="M63" s="291"/>
      <c r="W63" s="127">
        <v>42744</v>
      </c>
      <c r="X63" s="10">
        <v>76.14</v>
      </c>
      <c r="Y63" s="10">
        <v>76.5</v>
      </c>
      <c r="Z63" s="10">
        <v>75.53</v>
      </c>
      <c r="AA63" s="10">
        <v>75.86</v>
      </c>
      <c r="AB63" s="90">
        <v>4800900</v>
      </c>
      <c r="AC63" s="10">
        <v>75.55</v>
      </c>
      <c r="AD63" s="2">
        <f t="shared" si="0"/>
        <v>0.96999999999999886</v>
      </c>
      <c r="AE63" s="131">
        <f t="shared" si="1"/>
        <v>5.1889302820649075E-3</v>
      </c>
    </row>
    <row r="64" spans="1:31" x14ac:dyDescent="0.25">
      <c r="A64" s="291"/>
      <c r="B64" s="291"/>
      <c r="C64" s="291"/>
      <c r="D64" s="292"/>
      <c r="E64" s="292"/>
      <c r="F64" s="292"/>
      <c r="G64" s="291"/>
      <c r="H64" s="295"/>
      <c r="I64" s="292"/>
      <c r="J64" s="292"/>
      <c r="K64" s="292"/>
      <c r="L64" s="291"/>
      <c r="M64" s="291"/>
      <c r="W64" s="127">
        <v>42741</v>
      </c>
      <c r="X64" s="10">
        <v>75.400000000000006</v>
      </c>
      <c r="Y64" s="10">
        <v>75.92</v>
      </c>
      <c r="Z64" s="10">
        <v>75.06</v>
      </c>
      <c r="AA64" s="10">
        <v>75.47</v>
      </c>
      <c r="AB64" s="90">
        <v>3089600</v>
      </c>
      <c r="AC64" s="10">
        <v>75.16</v>
      </c>
      <c r="AD64" s="2">
        <f t="shared" si="0"/>
        <v>0.85999999999999943</v>
      </c>
      <c r="AE64" s="131">
        <f t="shared" si="1"/>
        <v>1.9997333688839269E-3</v>
      </c>
    </row>
    <row r="65" spans="1:31" x14ac:dyDescent="0.25">
      <c r="A65" s="291"/>
      <c r="B65" s="291"/>
      <c r="C65" s="291"/>
      <c r="D65" s="292"/>
      <c r="E65" s="292"/>
      <c r="F65" s="292"/>
      <c r="G65" s="291"/>
      <c r="H65" s="291"/>
      <c r="I65" s="292"/>
      <c r="J65" s="292"/>
      <c r="K65" s="292"/>
      <c r="L65" s="291"/>
      <c r="M65" s="291"/>
      <c r="W65" s="127">
        <v>42740</v>
      </c>
      <c r="X65" s="10">
        <v>76</v>
      </c>
      <c r="Y65" s="10">
        <v>76.180000000000007</v>
      </c>
      <c r="Z65" s="10">
        <v>74.819999999999993</v>
      </c>
      <c r="AA65" s="10">
        <v>75.319999999999993</v>
      </c>
      <c r="AB65" s="90">
        <v>3383000</v>
      </c>
      <c r="AC65" s="10">
        <v>75.010000000000005</v>
      </c>
      <c r="AD65" s="2">
        <f t="shared" si="0"/>
        <v>1.3600000000000136</v>
      </c>
      <c r="AE65" s="131">
        <f t="shared" si="1"/>
        <v>-1.2376563528637252E-2</v>
      </c>
    </row>
    <row r="66" spans="1:31" x14ac:dyDescent="0.25">
      <c r="A66" s="21" t="s">
        <v>81</v>
      </c>
      <c r="B66" s="12"/>
      <c r="C66" s="12">
        <f>SUM(C50:C54)</f>
        <v>40</v>
      </c>
      <c r="D66" s="13"/>
      <c r="E66" s="13"/>
      <c r="F66" s="13">
        <f>SUM(F50:F54)</f>
        <v>2363.1999999999998</v>
      </c>
      <c r="G66" s="12"/>
      <c r="H66" s="12">
        <f>SUM(H50:H53)</f>
        <v>40</v>
      </c>
      <c r="I66" s="13"/>
      <c r="J66" s="13"/>
      <c r="K66" s="13">
        <f>SUM(K50:K53)</f>
        <v>2583.14</v>
      </c>
      <c r="L66" s="12"/>
      <c r="M66" s="13">
        <f>SUM(M50:M58)</f>
        <v>11.6</v>
      </c>
      <c r="W66" s="127">
        <v>42739</v>
      </c>
      <c r="X66" s="10">
        <v>75.260000000000005</v>
      </c>
      <c r="Y66" s="10">
        <v>76.55</v>
      </c>
      <c r="Z66" s="10">
        <v>75.06</v>
      </c>
      <c r="AA66" s="10">
        <v>76.260000000000005</v>
      </c>
      <c r="AB66" s="90">
        <v>4635800</v>
      </c>
      <c r="AC66" s="10">
        <v>75.95</v>
      </c>
      <c r="AD66" s="2">
        <f t="shared" si="0"/>
        <v>1.4899999999999949</v>
      </c>
      <c r="AE66" s="131" t="e">
        <f t="shared" si="1"/>
        <v>#DIV/0!</v>
      </c>
    </row>
    <row r="67" spans="1:31" ht="15.75" thickBot="1" x14ac:dyDescent="0.3">
      <c r="A67" s="370" t="s">
        <v>189</v>
      </c>
      <c r="B67" s="371"/>
      <c r="C67" s="372">
        <f>SumByColor($A$19,C50:C65)</f>
        <v>0</v>
      </c>
      <c r="D67" s="372"/>
      <c r="E67" s="372"/>
      <c r="F67" s="373">
        <f>SumByColor($A$19,F50:F65)</f>
        <v>0</v>
      </c>
      <c r="G67" s="372"/>
      <c r="H67" s="372">
        <f>SumByColor($A$19,H50:H65)</f>
        <v>0</v>
      </c>
      <c r="I67" s="372"/>
      <c r="J67" s="372"/>
      <c r="K67" s="373">
        <f>SumByColor($A$19,K50:K65)</f>
        <v>0</v>
      </c>
      <c r="L67" s="372"/>
      <c r="M67" s="373">
        <f>SumByColor($A$19,M50:M65)</f>
        <v>0</v>
      </c>
      <c r="W67" s="127">
        <v>42739</v>
      </c>
      <c r="X67" s="10" t="s">
        <v>282</v>
      </c>
      <c r="Y67" s="10"/>
      <c r="Z67" s="10"/>
      <c r="AA67" s="10"/>
      <c r="AB67" s="90"/>
      <c r="AC67" s="10"/>
      <c r="AD67" s="2">
        <f>Y67-Z67</f>
        <v>0</v>
      </c>
      <c r="AE67" s="131" t="e">
        <f>AC67/#REF!-1</f>
        <v>#REF!</v>
      </c>
    </row>
    <row r="68" spans="1:31" x14ac:dyDescent="0.25">
      <c r="W68" s="127">
        <v>42738</v>
      </c>
      <c r="X68" s="10">
        <v>74.89</v>
      </c>
      <c r="Y68" s="10">
        <v>75.75</v>
      </c>
      <c r="Z68" s="10">
        <v>74.739999999999995</v>
      </c>
      <c r="AA68" s="10">
        <v>75.349999999999994</v>
      </c>
      <c r="AB68" s="90">
        <v>5853900</v>
      </c>
      <c r="AC68" s="10">
        <v>74.72</v>
      </c>
      <c r="AD68" s="2" t="e">
        <f>#REF!-#REF!</f>
        <v>#REF!</v>
      </c>
      <c r="AE68" s="131" t="e">
        <f>#REF!/AC70-1</f>
        <v>#REF!</v>
      </c>
    </row>
    <row r="69" spans="1:31" x14ac:dyDescent="0.25">
      <c r="W69" s="127">
        <v>42734</v>
      </c>
      <c r="X69" s="10">
        <v>73.959999999999994</v>
      </c>
      <c r="Y69" s="10">
        <v>74.34</v>
      </c>
      <c r="Z69" s="10">
        <v>73.84</v>
      </c>
      <c r="AA69" s="10">
        <v>74.08</v>
      </c>
      <c r="AB69" s="90">
        <v>3378800</v>
      </c>
      <c r="AC69" s="10">
        <v>73.459999999999994</v>
      </c>
      <c r="AD69" s="2">
        <f>Y70-Z70</f>
        <v>0</v>
      </c>
      <c r="AE69" s="131" t="e">
        <f>AC70/AC71-1</f>
        <v>#DIV/0!</v>
      </c>
    </row>
    <row r="70" spans="1:31" x14ac:dyDescent="0.25">
      <c r="W70" s="127" t="s">
        <v>120</v>
      </c>
      <c r="X70" s="10"/>
      <c r="Y70" s="10"/>
      <c r="Z70" s="10"/>
      <c r="AA70" s="10"/>
      <c r="AB70" s="90"/>
      <c r="AC70" s="10"/>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{404B3DA0-FEC0-4F6D-BBB0-8BC23A6F19B5}</x14:id>
        </ext>
      </extLst>
    </cfRule>
  </conditionalFormatting>
  <conditionalFormatting sqref="AE1:AE69">
    <cfRule type="iconSet" priority="11">
      <iconSet iconSet="3Arrows">
        <cfvo type="percent" val="0"/>
        <cfvo type="num" val="0"/>
        <cfvo type="num" val="0"/>
      </iconSet>
    </cfRule>
  </conditionalFormatting>
  <conditionalFormatting sqref="F36:F44 H36:H44">
    <cfRule type="expression" dxfId="4075" priority="9">
      <formula>F36&gt;0</formula>
    </cfRule>
    <cfRule type="expression" dxfId="4074" priority="10">
      <formula>F36&lt;0</formula>
    </cfRule>
  </conditionalFormatting>
  <conditionalFormatting sqref="F25:F35">
    <cfRule type="expression" dxfId="4073" priority="7">
      <formula>F25&gt;0</formula>
    </cfRule>
    <cfRule type="expression" dxfId="4072" priority="8">
      <formula>F25&lt;0</formula>
    </cfRule>
  </conditionalFormatting>
  <conditionalFormatting sqref="H25:H35">
    <cfRule type="expression" dxfId="4071" priority="5">
      <formula>H25&gt;0</formula>
    </cfRule>
    <cfRule type="expression" dxfId="4070" priority="6">
      <formula>H25&lt;0</formula>
    </cfRule>
  </conditionalFormatting>
  <conditionalFormatting sqref="Q7">
    <cfRule type="expression" dxfId="4069" priority="3">
      <formula>Q7&gt;0</formula>
    </cfRule>
    <cfRule type="expression" dxfId="4068" priority="4">
      <formula>Q7&lt;0</formula>
    </cfRule>
  </conditionalFormatting>
  <conditionalFormatting sqref="Q8">
    <cfRule type="expression" dxfId="4067" priority="1">
      <formula>Q8&gt;0</formula>
    </cfRule>
    <cfRule type="expression" dxfId="4066" priority="2">
      <formula>Q8&lt;0</formula>
    </cfRule>
  </conditionalFormatting>
  <hyperlinks>
    <hyperlink ref="A3" location="ACTIVE!A1" display="Back"/>
    <hyperlink ref="A51"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404B3DA0-FEC0-4F6D-BBB0-8BC23A6F19B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0"/>
  <dimension ref="A1:V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2" x14ac:dyDescent="0.25">
      <c r="A2" s="6" t="s">
        <v>258</v>
      </c>
      <c r="B2" s="69"/>
      <c r="C2" s="4"/>
      <c r="D2" s="3"/>
      <c r="E2" s="3"/>
      <c r="F2" s="3"/>
      <c r="G2" s="69"/>
      <c r="H2" s="4"/>
      <c r="I2" s="3"/>
      <c r="J2" s="3"/>
      <c r="K2" s="3"/>
      <c r="L2" s="69"/>
      <c r="M2" s="43"/>
      <c r="O2" s="11" t="s">
        <v>57</v>
      </c>
      <c r="Q2">
        <f>C18-H18</f>
        <v>0</v>
      </c>
      <c r="T2" s="1"/>
      <c r="V2" s="131"/>
    </row>
    <row r="3" spans="1:22" x14ac:dyDescent="0.25">
      <c r="A3" s="22" t="s">
        <v>71</v>
      </c>
      <c r="B3" s="1"/>
      <c r="G3" s="69"/>
      <c r="H3" s="158"/>
      <c r="I3" s="3"/>
      <c r="J3" s="3"/>
      <c r="K3" s="3"/>
      <c r="L3" s="69"/>
      <c r="M3" s="3"/>
      <c r="O3" s="11" t="s">
        <v>58</v>
      </c>
      <c r="Q3" s="174">
        <f>IF(Q2=0, Q4, (F18-K18-M18)/Q2)</f>
        <v>158.71</v>
      </c>
      <c r="T3" s="1"/>
      <c r="V3" s="131"/>
    </row>
    <row r="4" spans="1:22" x14ac:dyDescent="0.25">
      <c r="F4" s="3"/>
      <c r="G4" s="69"/>
      <c r="H4" s="158"/>
      <c r="I4" s="3"/>
      <c r="J4" s="3"/>
      <c r="K4" s="3"/>
      <c r="L4" s="4"/>
      <c r="M4" s="4"/>
      <c r="O4" s="11" t="s">
        <v>66</v>
      </c>
      <c r="Q4" s="53">
        <v>158.71</v>
      </c>
      <c r="R4" s="416">
        <v>9.4000000000000004E-3</v>
      </c>
      <c r="T4" s="153"/>
      <c r="U4" s="1"/>
      <c r="V4" s="131"/>
    </row>
    <row r="5" spans="1:22" x14ac:dyDescent="0.25">
      <c r="G5" s="4"/>
      <c r="H5" s="158"/>
      <c r="I5" s="3"/>
      <c r="J5" s="3"/>
      <c r="K5" s="3"/>
      <c r="L5" s="4"/>
      <c r="M5" s="4"/>
      <c r="O5" s="11" t="s">
        <v>67</v>
      </c>
      <c r="Q5" s="3">
        <f>Q4*Q2</f>
        <v>0</v>
      </c>
      <c r="V5" s="131"/>
    </row>
    <row r="6" spans="1:22" x14ac:dyDescent="0.25">
      <c r="G6" s="4"/>
      <c r="H6" s="158"/>
      <c r="I6" s="3"/>
      <c r="J6" s="3"/>
      <c r="K6" s="3"/>
      <c r="L6" s="4"/>
      <c r="M6" s="4"/>
      <c r="O6" s="11" t="s">
        <v>64</v>
      </c>
      <c r="Q6" s="2">
        <f>Q3*Q2</f>
        <v>0</v>
      </c>
      <c r="V6" s="131"/>
    </row>
    <row r="7" spans="1:22" x14ac:dyDescent="0.25">
      <c r="B7" s="4"/>
      <c r="C7" s="4"/>
      <c r="D7" s="3"/>
      <c r="E7" s="3"/>
      <c r="F7" s="3"/>
      <c r="G7" s="4"/>
      <c r="H7" s="158"/>
      <c r="I7" s="3"/>
      <c r="J7" s="3"/>
      <c r="K7" s="3"/>
      <c r="L7" s="4"/>
      <c r="M7" s="4"/>
      <c r="O7" s="11" t="s">
        <v>175</v>
      </c>
      <c r="Q7" s="2">
        <f>Q10+Q8</f>
        <v>1857.7799999999988</v>
      </c>
      <c r="R7">
        <v>0</v>
      </c>
      <c r="V7" s="131"/>
    </row>
    <row r="8" spans="1:22" x14ac:dyDescent="0.25">
      <c r="B8" s="4"/>
      <c r="C8" s="4"/>
      <c r="D8" s="3"/>
      <c r="E8" s="3"/>
      <c r="F8" s="3"/>
      <c r="G8" s="4"/>
      <c r="H8" s="158"/>
      <c r="I8" s="3"/>
      <c r="J8" s="3"/>
      <c r="K8" s="3"/>
      <c r="L8" s="4"/>
      <c r="M8" s="4"/>
      <c r="O8" s="11" t="s">
        <v>177</v>
      </c>
      <c r="P8" s="33"/>
      <c r="Q8" s="2">
        <f>K18+M18-F18+Q2*Q4</f>
        <v>0</v>
      </c>
      <c r="V8" s="131"/>
    </row>
    <row r="9" spans="1:22" x14ac:dyDescent="0.25">
      <c r="B9" s="4"/>
      <c r="C9" s="4"/>
      <c r="D9" s="3"/>
      <c r="E9" s="3"/>
      <c r="F9" s="3"/>
      <c r="G9" s="4"/>
      <c r="H9" s="158"/>
      <c r="I9" s="3"/>
      <c r="J9" s="3"/>
      <c r="K9" s="3"/>
      <c r="L9" s="4"/>
      <c r="M9" s="4"/>
      <c r="O9" s="11" t="s">
        <v>202</v>
      </c>
      <c r="Q9" s="131">
        <f>IF(Q2=0, 0, Q8/Q6)</f>
        <v>0</v>
      </c>
      <c r="V9" s="131"/>
    </row>
    <row r="10" spans="1:22" x14ac:dyDescent="0.25">
      <c r="H10" s="67"/>
      <c r="O10" s="11" t="s">
        <v>201</v>
      </c>
      <c r="P10" s="33"/>
      <c r="Q10" s="2">
        <f>M66</f>
        <v>1857.7799999999988</v>
      </c>
      <c r="V10" s="131"/>
    </row>
    <row r="11" spans="1:22" x14ac:dyDescent="0.25">
      <c r="H11" s="67"/>
      <c r="O11" s="11" t="s">
        <v>173</v>
      </c>
      <c r="P11" s="33"/>
      <c r="Q11" s="131">
        <f>IF(U58="N/A (N/A)", 0, VALUE(TRIM(CLEAN(MID(U58, FIND("(", U58)+1, 5)))))</f>
        <v>1.49E-2</v>
      </c>
      <c r="V11" s="131"/>
    </row>
    <row r="12" spans="1:22" x14ac:dyDescent="0.25">
      <c r="H12" s="67"/>
      <c r="V12" s="131"/>
    </row>
    <row r="13" spans="1:22" x14ac:dyDescent="0.25">
      <c r="H13" s="67"/>
      <c r="V13" s="131"/>
    </row>
    <row r="14" spans="1:22" x14ac:dyDescent="0.25">
      <c r="H14" s="67"/>
      <c r="V14" s="131"/>
    </row>
    <row r="15" spans="1:22" x14ac:dyDescent="0.25">
      <c r="H15" s="67"/>
      <c r="V15" s="131"/>
    </row>
    <row r="16" spans="1:22" x14ac:dyDescent="0.25">
      <c r="H16" s="67"/>
      <c r="V16" s="131"/>
    </row>
    <row r="17" spans="1:22" x14ac:dyDescent="0.25">
      <c r="V17" s="131"/>
    </row>
    <row r="18" spans="1:22" x14ac:dyDescent="0.25">
      <c r="A18" s="31" t="s">
        <v>81</v>
      </c>
      <c r="B18" s="14"/>
      <c r="C18" s="14">
        <f>SUM(C2:C17)</f>
        <v>0</v>
      </c>
      <c r="D18" s="18"/>
      <c r="E18" s="18"/>
      <c r="F18" s="18">
        <f>SUM(F2:F17)</f>
        <v>0</v>
      </c>
      <c r="G18" s="14"/>
      <c r="H18" s="68">
        <f>SUM(H2:H17)</f>
        <v>0</v>
      </c>
      <c r="I18" s="18"/>
      <c r="J18" s="18"/>
      <c r="K18" s="18">
        <f>SUM(K2:K5)</f>
        <v>0</v>
      </c>
      <c r="L18" s="14"/>
      <c r="M18" s="18">
        <f>SUM(M2:M10)</f>
        <v>0</v>
      </c>
      <c r="V18" s="131"/>
    </row>
    <row r="19" spans="1:22"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V19" s="131"/>
    </row>
    <row r="20" spans="1:22" x14ac:dyDescent="0.25">
      <c r="O20" s="7" t="s">
        <v>627</v>
      </c>
      <c r="P20" s="7" t="s">
        <v>628</v>
      </c>
      <c r="Q20" s="7" t="s">
        <v>629</v>
      </c>
      <c r="R20" s="7"/>
      <c r="V20" s="131"/>
    </row>
    <row r="21" spans="1:22" x14ac:dyDescent="0.25">
      <c r="O21" s="7" t="s">
        <v>630</v>
      </c>
      <c r="P21" s="7">
        <v>1.095</v>
      </c>
      <c r="Q21" s="595">
        <v>5828.3050000000003</v>
      </c>
      <c r="R21" s="7"/>
      <c r="V21" s="131"/>
    </row>
    <row r="22" spans="1:22" x14ac:dyDescent="0.25">
      <c r="O22" s="7" t="s">
        <v>631</v>
      </c>
      <c r="P22" s="7">
        <v>1.0920000000000001</v>
      </c>
      <c r="Q22" s="595">
        <v>5801.9129999999996</v>
      </c>
      <c r="R22" s="7"/>
      <c r="V22" s="131"/>
    </row>
    <row r="23" spans="1:22" x14ac:dyDescent="0.25">
      <c r="O23" s="7" t="s">
        <v>632</v>
      </c>
      <c r="P23" s="7" t="s">
        <v>633</v>
      </c>
      <c r="Q23" s="7">
        <v>0.30499999999999999</v>
      </c>
      <c r="R23" s="7">
        <v>0.45500000000000002</v>
      </c>
      <c r="V23" s="131"/>
    </row>
    <row r="24" spans="1:22" x14ac:dyDescent="0.25">
      <c r="B24" s="159" t="s">
        <v>113</v>
      </c>
      <c r="C24" s="159" t="s">
        <v>143</v>
      </c>
      <c r="D24" s="160" t="s">
        <v>142</v>
      </c>
      <c r="E24" s="162" t="s">
        <v>144</v>
      </c>
      <c r="F24" s="162" t="s">
        <v>65</v>
      </c>
      <c r="G24" s="173" t="s">
        <v>148</v>
      </c>
      <c r="H24" s="173" t="s">
        <v>88</v>
      </c>
      <c r="I24" s="173" t="s">
        <v>151</v>
      </c>
      <c r="J24" s="173" t="s">
        <v>147</v>
      </c>
      <c r="K24" s="173" t="s">
        <v>601</v>
      </c>
      <c r="L24" s="173" t="s">
        <v>607</v>
      </c>
      <c r="O24" s="7" t="s">
        <v>615</v>
      </c>
      <c r="P24" s="7" t="s">
        <v>634</v>
      </c>
      <c r="Q24" s="7" t="s">
        <v>634</v>
      </c>
      <c r="R24" s="7"/>
      <c r="V24" s="131"/>
    </row>
    <row r="25" spans="1:22" x14ac:dyDescent="0.25">
      <c r="B25" s="161">
        <v>42794</v>
      </c>
      <c r="C25" s="10">
        <v>50</v>
      </c>
      <c r="D25" s="39">
        <v>72.58</v>
      </c>
      <c r="E25" s="39">
        <v>73.02</v>
      </c>
      <c r="F25" s="39">
        <f>C25*(E25-D25)</f>
        <v>21.999999999999886</v>
      </c>
      <c r="G25" s="39">
        <f>D25*C25</f>
        <v>3629</v>
      </c>
      <c r="H25" s="175">
        <f>(E25-D25)/D25</f>
        <v>6.062276109120939E-3</v>
      </c>
      <c r="I25" s="39"/>
      <c r="J25" s="39"/>
      <c r="K25" s="39"/>
      <c r="L25" s="39"/>
      <c r="O25" s="7" t="s">
        <v>632</v>
      </c>
      <c r="P25" s="7" t="s">
        <v>635</v>
      </c>
      <c r="Q25" s="7">
        <v>1.42</v>
      </c>
      <c r="R25" s="7">
        <v>8.0939999999999994</v>
      </c>
      <c r="V25" s="131"/>
    </row>
    <row r="26" spans="1:22" x14ac:dyDescent="0.25">
      <c r="B26" s="161">
        <v>42795</v>
      </c>
      <c r="C26" s="10">
        <v>50</v>
      </c>
      <c r="D26" s="39">
        <v>72.58</v>
      </c>
      <c r="E26" s="39">
        <v>73.349999999999994</v>
      </c>
      <c r="F26" s="39">
        <f>C26*(E26-D26)</f>
        <v>38.499999999999801</v>
      </c>
      <c r="G26" s="39">
        <f>D26*C26</f>
        <v>3629</v>
      </c>
      <c r="H26" s="175">
        <f>(E26-D26)/D26</f>
        <v>1.0608983190961643E-2</v>
      </c>
      <c r="I26" s="39"/>
      <c r="J26" s="39"/>
      <c r="K26" s="39"/>
      <c r="L26" s="39"/>
      <c r="O26" s="7" t="s">
        <v>636</v>
      </c>
      <c r="P26" s="7" t="s">
        <v>628</v>
      </c>
      <c r="Q26" s="7" t="s">
        <v>629</v>
      </c>
      <c r="R26" s="7"/>
      <c r="V26" s="131"/>
    </row>
    <row r="27" spans="1:22" x14ac:dyDescent="0.25">
      <c r="A27">
        <v>0</v>
      </c>
      <c r="B27" s="161">
        <v>42809</v>
      </c>
      <c r="C27" s="10">
        <v>50</v>
      </c>
      <c r="D27" s="39">
        <v>72.58</v>
      </c>
      <c r="E27" s="39">
        <v>72.81</v>
      </c>
      <c r="F27" s="39">
        <f>C27*(E27-D27)</f>
        <v>11.500000000000199</v>
      </c>
      <c r="G27" s="39">
        <f>D27*C27</f>
        <v>3629</v>
      </c>
      <c r="H27" s="175">
        <f>(E27-D27)/D27</f>
        <v>3.1689170570405618E-3</v>
      </c>
      <c r="I27" s="39"/>
      <c r="J27" s="39">
        <v>169.8</v>
      </c>
      <c r="K27" s="39"/>
      <c r="L27" s="152"/>
      <c r="O27" s="7"/>
      <c r="P27" s="7"/>
      <c r="Q27" s="7"/>
      <c r="R27" s="7"/>
      <c r="V27" s="131"/>
    </row>
    <row r="28" spans="1:22" x14ac:dyDescent="0.25">
      <c r="B28" s="161">
        <v>42815</v>
      </c>
      <c r="C28" s="7">
        <v>100</v>
      </c>
      <c r="D28" s="43">
        <v>71.680000000000007</v>
      </c>
      <c r="E28" s="39">
        <v>70.010000000000005</v>
      </c>
      <c r="F28" s="39">
        <f t="shared" ref="F28:F35" si="0">C28*(E28-D28)</f>
        <v>-167.00000000000017</v>
      </c>
      <c r="G28" s="39">
        <f t="shared" ref="G28:G35" si="1">D28*C28</f>
        <v>7168.0000000000009</v>
      </c>
      <c r="H28" s="175">
        <f t="shared" ref="H28:H35" si="2">(E28-D28)/D28</f>
        <v>-2.3297991071428593E-2</v>
      </c>
      <c r="I28" s="39">
        <v>71.5</v>
      </c>
      <c r="J28" s="39">
        <v>-9</v>
      </c>
      <c r="K28" s="39"/>
      <c r="L28" s="152"/>
      <c r="O28" s="7" t="s">
        <v>631</v>
      </c>
      <c r="P28" s="7">
        <v>0.92200000000000004</v>
      </c>
      <c r="Q28" s="595">
        <v>5782.2860000000001</v>
      </c>
      <c r="R28" s="7"/>
      <c r="V28" s="131"/>
    </row>
    <row r="29" spans="1:22" x14ac:dyDescent="0.25">
      <c r="A29">
        <v>100</v>
      </c>
      <c r="B29" s="161">
        <v>42850</v>
      </c>
      <c r="C29" s="10">
        <v>100</v>
      </c>
      <c r="D29" s="39">
        <v>71.42</v>
      </c>
      <c r="E29" s="39">
        <v>71.55</v>
      </c>
      <c r="F29" s="39">
        <f t="shared" si="0"/>
        <v>12.999999999999545</v>
      </c>
      <c r="G29" s="39">
        <f t="shared" si="1"/>
        <v>7142</v>
      </c>
      <c r="H29" s="175">
        <f t="shared" si="2"/>
        <v>1.8202184262110816E-3</v>
      </c>
      <c r="I29" s="39"/>
      <c r="J29" s="39"/>
      <c r="K29" s="39"/>
      <c r="L29" s="152"/>
      <c r="O29" s="7" t="s">
        <v>615</v>
      </c>
      <c r="P29" s="7" t="s">
        <v>634</v>
      </c>
      <c r="Q29" s="7" t="s">
        <v>634</v>
      </c>
      <c r="R29" s="7"/>
      <c r="V29" s="131"/>
    </row>
    <row r="30" spans="1:22" x14ac:dyDescent="0.25">
      <c r="A30">
        <v>50</v>
      </c>
      <c r="B30" s="161">
        <v>42851</v>
      </c>
      <c r="C30" s="10">
        <v>50</v>
      </c>
      <c r="D30" s="39">
        <v>70.221599999999995</v>
      </c>
      <c r="E30" s="39">
        <v>72.599999999999994</v>
      </c>
      <c r="F30" s="39">
        <f t="shared" si="0"/>
        <v>118.91999999999996</v>
      </c>
      <c r="G30" s="39">
        <f t="shared" si="1"/>
        <v>3511.08</v>
      </c>
      <c r="H30" s="175">
        <f t="shared" si="2"/>
        <v>3.3869920366382984E-2</v>
      </c>
      <c r="I30" s="39"/>
      <c r="J30" s="39">
        <v>277.22000000000003</v>
      </c>
      <c r="K30" s="39"/>
      <c r="L30" s="152"/>
      <c r="O30" s="7" t="s">
        <v>637</v>
      </c>
      <c r="P30" s="7" t="s">
        <v>628</v>
      </c>
      <c r="Q30" s="7" t="s">
        <v>629</v>
      </c>
      <c r="R30" s="7"/>
      <c r="V30" s="131"/>
    </row>
    <row r="31" spans="1:22" x14ac:dyDescent="0.25">
      <c r="A31">
        <v>50</v>
      </c>
      <c r="B31" s="161">
        <v>42866</v>
      </c>
      <c r="C31" s="10">
        <v>50</v>
      </c>
      <c r="D31" s="39">
        <v>70.221599999999995</v>
      </c>
      <c r="E31" s="39">
        <v>72.06</v>
      </c>
      <c r="F31" s="39">
        <f t="shared" si="0"/>
        <v>91.920000000000357</v>
      </c>
      <c r="G31" s="39">
        <f t="shared" si="1"/>
        <v>3511.08</v>
      </c>
      <c r="H31" s="175">
        <f t="shared" si="2"/>
        <v>2.6179978809938925E-2</v>
      </c>
      <c r="I31" s="39"/>
      <c r="J31" s="39">
        <v>250</v>
      </c>
      <c r="K31" s="39"/>
      <c r="L31" s="152"/>
      <c r="O31" s="7"/>
      <c r="P31" s="7"/>
      <c r="Q31" s="7"/>
      <c r="R31" s="7"/>
      <c r="V31" s="131"/>
    </row>
    <row r="32" spans="1:22" x14ac:dyDescent="0.25">
      <c r="A32">
        <v>50</v>
      </c>
      <c r="B32" s="161">
        <v>42871</v>
      </c>
      <c r="C32" s="10">
        <v>100</v>
      </c>
      <c r="D32" s="39">
        <v>70.550799999999995</v>
      </c>
      <c r="E32" s="39">
        <v>70.94</v>
      </c>
      <c r="F32" s="39">
        <f t="shared" si="0"/>
        <v>38.920000000000243</v>
      </c>
      <c r="G32" s="39">
        <f t="shared" si="1"/>
        <v>7055.08</v>
      </c>
      <c r="H32" s="175">
        <f t="shared" si="2"/>
        <v>5.5165922994495093E-3</v>
      </c>
      <c r="I32" s="39"/>
      <c r="J32" s="39">
        <v>197.22</v>
      </c>
      <c r="K32" s="39"/>
      <c r="L32" s="152"/>
      <c r="O32" s="7" t="s">
        <v>630</v>
      </c>
      <c r="P32" s="7">
        <v>1.026</v>
      </c>
      <c r="Q32" s="595">
        <v>5609.625</v>
      </c>
      <c r="R32" s="7"/>
      <c r="V32" s="131"/>
    </row>
    <row r="33" spans="1:22" x14ac:dyDescent="0.25">
      <c r="A33" s="29">
        <v>42902</v>
      </c>
      <c r="B33" s="161">
        <v>42874</v>
      </c>
      <c r="C33" s="10">
        <v>50</v>
      </c>
      <c r="D33" s="39">
        <v>69.253200000000007</v>
      </c>
      <c r="E33" s="39">
        <v>71.95</v>
      </c>
      <c r="F33" s="39">
        <f t="shared" si="0"/>
        <v>134.8399999999998</v>
      </c>
      <c r="G33" s="39">
        <f t="shared" si="1"/>
        <v>3462.6600000000003</v>
      </c>
      <c r="H33" s="175">
        <f t="shared" si="2"/>
        <v>3.8941160841665018E-2</v>
      </c>
      <c r="I33" s="39"/>
      <c r="J33" s="39">
        <v>198.22</v>
      </c>
      <c r="K33" s="39"/>
      <c r="L33" s="152"/>
      <c r="V33" s="131"/>
    </row>
    <row r="34" spans="1:22" x14ac:dyDescent="0.25">
      <c r="B34" s="161">
        <v>42887</v>
      </c>
      <c r="C34" s="10">
        <v>100</v>
      </c>
      <c r="D34" s="39">
        <v>69.666600000000003</v>
      </c>
      <c r="E34" s="39">
        <v>78.19</v>
      </c>
      <c r="F34" s="39">
        <f t="shared" si="0"/>
        <v>852.33999999999946</v>
      </c>
      <c r="G34" s="39">
        <f t="shared" si="1"/>
        <v>6966.66</v>
      </c>
      <c r="H34" s="175">
        <f t="shared" si="2"/>
        <v>0.12234557162255651</v>
      </c>
      <c r="I34" s="39"/>
      <c r="J34" s="39">
        <v>1010.64</v>
      </c>
      <c r="K34" s="39"/>
      <c r="L34" s="152"/>
      <c r="V34" s="131"/>
    </row>
    <row r="35" spans="1:22" x14ac:dyDescent="0.25">
      <c r="A35">
        <v>100</v>
      </c>
      <c r="B35" s="161">
        <v>42942</v>
      </c>
      <c r="C35" s="10">
        <v>100</v>
      </c>
      <c r="D35" s="39">
        <v>69.406599999999997</v>
      </c>
      <c r="E35" s="39">
        <v>74.599999999999994</v>
      </c>
      <c r="F35" s="39">
        <f t="shared" si="0"/>
        <v>519.33999999999969</v>
      </c>
      <c r="G35" s="39">
        <f t="shared" si="1"/>
        <v>6940.66</v>
      </c>
      <c r="H35" s="175">
        <f t="shared" si="2"/>
        <v>7.4825737033653819E-2</v>
      </c>
      <c r="I35" s="39"/>
      <c r="J35" s="39">
        <v>678</v>
      </c>
      <c r="K35" s="39"/>
      <c r="L35" s="152"/>
      <c r="V35" s="131"/>
    </row>
    <row r="36" spans="1:22" x14ac:dyDescent="0.25">
      <c r="A36">
        <v>50</v>
      </c>
      <c r="B36" s="161">
        <v>42983</v>
      </c>
      <c r="C36" s="10">
        <v>100</v>
      </c>
      <c r="D36" s="39">
        <v>68.760000000000005</v>
      </c>
      <c r="E36" s="39">
        <v>74.36</v>
      </c>
      <c r="F36" s="39">
        <f>C36*(E36-D36)</f>
        <v>559.99999999999943</v>
      </c>
      <c r="G36" s="39">
        <f>D36*C36</f>
        <v>6876.0000000000009</v>
      </c>
      <c r="H36" s="175">
        <f>(E36-D36)/D36</f>
        <v>8.144269924374628E-2</v>
      </c>
      <c r="I36" s="351">
        <v>68</v>
      </c>
      <c r="J36" s="39">
        <v>718.56</v>
      </c>
      <c r="K36" s="39"/>
      <c r="L36" s="152"/>
      <c r="V36" s="131"/>
    </row>
    <row r="37" spans="1:22" x14ac:dyDescent="0.25">
      <c r="A37">
        <v>0</v>
      </c>
      <c r="B37" s="161">
        <v>42989</v>
      </c>
      <c r="C37" s="10">
        <v>50</v>
      </c>
      <c r="D37" s="39">
        <v>63.69</v>
      </c>
      <c r="E37" s="39">
        <v>77.819999999999993</v>
      </c>
      <c r="F37" s="39">
        <f>C37*(E37-D37)</f>
        <v>706.49999999999977</v>
      </c>
      <c r="G37" s="39">
        <f>D37*C37</f>
        <v>3184.5</v>
      </c>
      <c r="H37" s="175">
        <f>(E37-D37)/D37</f>
        <v>0.22185586434291091</v>
      </c>
      <c r="I37" s="39">
        <v>63</v>
      </c>
      <c r="J37" s="39">
        <v>1097</v>
      </c>
      <c r="K37" s="39"/>
      <c r="L37" s="152"/>
      <c r="V37" s="131"/>
    </row>
    <row r="38" spans="1:22" x14ac:dyDescent="0.25">
      <c r="A38">
        <v>0</v>
      </c>
      <c r="B38" s="161">
        <v>42997</v>
      </c>
      <c r="C38" s="7">
        <v>100</v>
      </c>
      <c r="D38" s="43">
        <v>70.036000000000001</v>
      </c>
      <c r="E38" s="39">
        <v>76.989999999999995</v>
      </c>
      <c r="F38" s="39">
        <f>C38*(E38-D38)</f>
        <v>695.39999999999941</v>
      </c>
      <c r="G38" s="39">
        <f>D38*C38</f>
        <v>7003.6</v>
      </c>
      <c r="H38" s="175">
        <f>(E38-D38)/D38</f>
        <v>9.9291792792278163E-2</v>
      </c>
      <c r="I38" s="39">
        <v>68</v>
      </c>
      <c r="J38" s="39">
        <v>1086</v>
      </c>
      <c r="K38" s="39"/>
      <c r="L38" s="152"/>
      <c r="V38" s="131"/>
    </row>
    <row r="39" spans="1:22" x14ac:dyDescent="0.25">
      <c r="B39" s="161"/>
      <c r="C39" s="10"/>
      <c r="D39" s="39"/>
      <c r="E39" s="39"/>
      <c r="F39" s="39"/>
      <c r="G39" s="39"/>
      <c r="H39" s="175"/>
      <c r="I39" s="39"/>
      <c r="J39" s="39"/>
      <c r="K39" s="39"/>
      <c r="L39" s="152"/>
      <c r="V39" s="131"/>
    </row>
    <row r="40" spans="1:22" ht="20.25" thickBot="1" x14ac:dyDescent="0.35">
      <c r="A40">
        <v>0</v>
      </c>
      <c r="B40" s="161">
        <v>43002</v>
      </c>
      <c r="C40" s="10">
        <v>100</v>
      </c>
      <c r="D40" s="39">
        <v>74.23</v>
      </c>
      <c r="E40" s="39">
        <v>77.66</v>
      </c>
      <c r="F40" s="39">
        <f>C40*(E40-D40)</f>
        <v>342.99999999999926</v>
      </c>
      <c r="G40" s="39">
        <f>D40*C40</f>
        <v>7423</v>
      </c>
      <c r="H40" s="175">
        <f>(E40-D40)/D40</f>
        <v>4.6207732722618786E-2</v>
      </c>
      <c r="I40" s="39">
        <v>73.5</v>
      </c>
      <c r="J40" s="39">
        <v>1153</v>
      </c>
      <c r="K40" s="39"/>
      <c r="L40" s="39"/>
      <c r="O40" s="886" t="s">
        <v>78</v>
      </c>
      <c r="P40" s="886"/>
      <c r="V40" s="131"/>
    </row>
    <row r="41" spans="1:22" ht="15.75" thickTop="1" x14ac:dyDescent="0.25">
      <c r="A41">
        <v>50</v>
      </c>
      <c r="B41" s="161">
        <v>43010</v>
      </c>
      <c r="C41" s="10">
        <v>50</v>
      </c>
      <c r="D41" s="39">
        <v>66.88</v>
      </c>
      <c r="E41" s="39">
        <v>81.900000000000006</v>
      </c>
      <c r="F41" s="39">
        <f>C41*(E41-D41)</f>
        <v>751.00000000000045</v>
      </c>
      <c r="G41" s="39">
        <f>D41*C41</f>
        <v>3344</v>
      </c>
      <c r="H41" s="175">
        <f>(E41-D41)/D41</f>
        <v>0.22458133971291883</v>
      </c>
      <c r="I41" s="39"/>
      <c r="J41" s="39">
        <v>1561</v>
      </c>
      <c r="K41" s="39"/>
      <c r="L41" s="39"/>
      <c r="O41" s="78">
        <v>1.1000000000000001</v>
      </c>
      <c r="P41" s="78">
        <f>O41*$Q$4</f>
        <v>174.58100000000002</v>
      </c>
      <c r="Q41" s="2"/>
      <c r="V41" s="131"/>
    </row>
    <row r="42" spans="1:22" ht="20.25" thickBot="1" x14ac:dyDescent="0.35">
      <c r="B42" s="10"/>
      <c r="C42" s="10"/>
      <c r="D42" s="39"/>
      <c r="E42" s="39"/>
      <c r="F42" s="39"/>
      <c r="G42" s="10"/>
      <c r="H42" s="10"/>
      <c r="I42" s="39"/>
      <c r="J42" s="39"/>
      <c r="K42" s="39"/>
      <c r="L42" s="39"/>
      <c r="O42" s="78">
        <v>1.0900000000000001</v>
      </c>
      <c r="P42" s="78">
        <f t="shared" ref="P42:P61" si="3">O42*$Q$4</f>
        <v>172.99390000000002</v>
      </c>
      <c r="Q42" s="2"/>
      <c r="T42" s="86" t="s">
        <v>112</v>
      </c>
      <c r="V42" s="131"/>
    </row>
    <row r="43" spans="1:22" ht="15.75" thickTop="1" x14ac:dyDescent="0.25">
      <c r="A43">
        <v>50</v>
      </c>
      <c r="B43" s="161">
        <v>43033</v>
      </c>
      <c r="C43" s="10">
        <v>50</v>
      </c>
      <c r="D43" s="39">
        <v>76.12</v>
      </c>
      <c r="E43" s="39">
        <v>83.97</v>
      </c>
      <c r="F43" s="39">
        <f>C43*(E43-D43)</f>
        <v>392.49999999999972</v>
      </c>
      <c r="G43" s="39">
        <f>D43*C43</f>
        <v>3806</v>
      </c>
      <c r="H43" s="175">
        <f>(E43-D43)/D43</f>
        <v>0.10312664214398311</v>
      </c>
      <c r="I43" s="39">
        <v>75.5</v>
      </c>
      <c r="J43" s="39">
        <v>1677</v>
      </c>
      <c r="K43" s="39"/>
      <c r="L43" s="39"/>
      <c r="O43" s="78">
        <v>1.08</v>
      </c>
      <c r="P43" s="78">
        <f t="shared" si="3"/>
        <v>171.40680000000003</v>
      </c>
      <c r="Q43" s="2"/>
      <c r="T43" s="122" t="s">
        <v>97</v>
      </c>
      <c r="U43" s="123">
        <v>68.349999999999994</v>
      </c>
      <c r="V43" s="131"/>
    </row>
    <row r="44" spans="1:22" x14ac:dyDescent="0.25">
      <c r="B44" s="161">
        <v>43060</v>
      </c>
      <c r="C44" s="10">
        <v>0</v>
      </c>
      <c r="D44" s="39"/>
      <c r="E44" s="39"/>
      <c r="F44" s="39">
        <v>592.9</v>
      </c>
      <c r="G44" s="39"/>
      <c r="H44" s="175"/>
      <c r="I44" s="39"/>
      <c r="J44" s="39">
        <v>1857.78</v>
      </c>
      <c r="K44" s="39"/>
      <c r="L44" s="39"/>
      <c r="O44" s="78">
        <v>1.07</v>
      </c>
      <c r="P44" s="78">
        <f t="shared" si="3"/>
        <v>169.81970000000001</v>
      </c>
      <c r="Q44" s="2"/>
      <c r="T44" s="88" t="s">
        <v>98</v>
      </c>
      <c r="U44" s="124">
        <v>68.5</v>
      </c>
      <c r="V44" s="131"/>
    </row>
    <row r="45" spans="1:22" x14ac:dyDescent="0.25">
      <c r="B45" s="161"/>
      <c r="C45" s="10"/>
      <c r="D45" s="39"/>
      <c r="E45" s="39"/>
      <c r="F45" s="39"/>
      <c r="G45" s="39"/>
      <c r="H45" s="175"/>
      <c r="I45" s="39"/>
      <c r="J45" s="39"/>
      <c r="K45" s="39"/>
      <c r="L45" s="39"/>
      <c r="O45" s="78">
        <v>1.06</v>
      </c>
      <c r="P45" s="78">
        <f t="shared" si="3"/>
        <v>168.23260000000002</v>
      </c>
      <c r="Q45" s="2"/>
      <c r="T45" s="88" t="s">
        <v>99</v>
      </c>
      <c r="U45" s="124" t="s">
        <v>128</v>
      </c>
      <c r="V45" s="131"/>
    </row>
    <row r="46" spans="1:22" x14ac:dyDescent="0.25">
      <c r="B46" s="161"/>
      <c r="C46" s="10"/>
      <c r="D46" s="39"/>
      <c r="E46" s="39"/>
      <c r="F46" s="39"/>
      <c r="G46" s="39"/>
      <c r="H46" s="175"/>
      <c r="I46" s="39"/>
      <c r="J46" s="39"/>
      <c r="K46" s="39"/>
      <c r="L46" s="39"/>
      <c r="O46" s="78">
        <v>1.05</v>
      </c>
      <c r="P46" s="78">
        <f t="shared" si="3"/>
        <v>166.64550000000003</v>
      </c>
      <c r="Q46" s="2"/>
      <c r="T46" s="88" t="s">
        <v>100</v>
      </c>
      <c r="U46" s="124" t="s">
        <v>128</v>
      </c>
      <c r="V46" s="131"/>
    </row>
    <row r="47" spans="1:22" x14ac:dyDescent="0.25">
      <c r="B47" s="69"/>
      <c r="C47" s="4"/>
      <c r="D47" s="3"/>
      <c r="E47" s="3"/>
      <c r="F47" s="3"/>
      <c r="G47" s="3"/>
      <c r="H47" s="212"/>
      <c r="I47" s="210"/>
      <c r="O47" s="78">
        <v>1.04</v>
      </c>
      <c r="P47" s="78">
        <f t="shared" si="3"/>
        <v>165.05840000000001</v>
      </c>
      <c r="Q47" s="2"/>
      <c r="T47" s="88" t="s">
        <v>101</v>
      </c>
      <c r="U47" s="124">
        <v>79.16</v>
      </c>
      <c r="V47" s="131"/>
    </row>
    <row r="48" spans="1:22" x14ac:dyDescent="0.25">
      <c r="B48" s="69"/>
      <c r="C48" s="4"/>
      <c r="D48" s="3"/>
      <c r="E48" s="3"/>
      <c r="F48" s="3"/>
      <c r="G48" s="3"/>
      <c r="H48" s="212"/>
      <c r="I48" s="3"/>
      <c r="O48" s="78">
        <v>1.03</v>
      </c>
      <c r="P48" s="78">
        <f t="shared" si="3"/>
        <v>163.47130000000001</v>
      </c>
      <c r="Q48" s="2"/>
      <c r="T48" s="88" t="s">
        <v>102</v>
      </c>
      <c r="U48" s="124">
        <v>0.71672999999999998</v>
      </c>
      <c r="V48" s="131"/>
    </row>
    <row r="49" spans="1:22" x14ac:dyDescent="0.25">
      <c r="B49" s="69"/>
      <c r="C49" s="4"/>
      <c r="D49" s="3"/>
      <c r="E49" s="3"/>
      <c r="F49" s="3"/>
      <c r="G49" s="3"/>
      <c r="H49" s="212"/>
      <c r="I49" s="3"/>
      <c r="O49" s="78">
        <v>1.02</v>
      </c>
      <c r="P49" s="78">
        <f t="shared" si="3"/>
        <v>161.88420000000002</v>
      </c>
      <c r="Q49" s="2"/>
      <c r="T49" s="88" t="s">
        <v>121</v>
      </c>
      <c r="U49" s="124" t="s">
        <v>459</v>
      </c>
      <c r="V49" s="131"/>
    </row>
    <row r="50" spans="1:22" x14ac:dyDescent="0.25">
      <c r="B50" s="69"/>
      <c r="C50" s="4"/>
      <c r="D50" s="3"/>
      <c r="E50" s="3"/>
      <c r="F50" s="3"/>
      <c r="G50" s="3"/>
      <c r="H50" s="212"/>
      <c r="I50" s="3"/>
      <c r="O50" s="78">
        <v>1.01</v>
      </c>
      <c r="P50" s="78">
        <f t="shared" si="3"/>
        <v>160.2971</v>
      </c>
      <c r="Q50" s="2"/>
      <c r="T50" s="88"/>
      <c r="U50" s="124"/>
      <c r="V50" s="131"/>
    </row>
    <row r="51" spans="1:22" x14ac:dyDescent="0.25">
      <c r="B51" s="69"/>
      <c r="C51" s="4"/>
      <c r="D51" s="3"/>
      <c r="E51" s="3"/>
      <c r="F51" s="3"/>
      <c r="G51" s="3"/>
      <c r="H51" s="212"/>
      <c r="I51" s="3"/>
      <c r="O51" s="78">
        <v>1</v>
      </c>
      <c r="P51" s="78">
        <f t="shared" si="3"/>
        <v>158.71</v>
      </c>
      <c r="Q51" s="2"/>
      <c r="T51" s="88" t="s">
        <v>104</v>
      </c>
      <c r="U51" s="124" t="s">
        <v>513</v>
      </c>
      <c r="V51" s="131"/>
    </row>
    <row r="52" spans="1:22" x14ac:dyDescent="0.25">
      <c r="B52" s="69"/>
      <c r="C52" s="4"/>
      <c r="D52" s="3"/>
      <c r="E52" s="3"/>
      <c r="F52" s="3"/>
      <c r="G52" s="3"/>
      <c r="H52" s="212"/>
      <c r="I52" s="3"/>
      <c r="O52" s="78">
        <v>0.99</v>
      </c>
      <c r="P52" s="78">
        <f t="shared" si="3"/>
        <v>157.12290000000002</v>
      </c>
      <c r="Q52" s="2"/>
      <c r="T52" s="88" t="s">
        <v>105</v>
      </c>
      <c r="U52" s="124" t="s">
        <v>292</v>
      </c>
      <c r="V52" s="131"/>
    </row>
    <row r="53" spans="1:22" x14ac:dyDescent="0.25">
      <c r="B53" s="69"/>
      <c r="C53" s="4"/>
      <c r="D53" s="3"/>
      <c r="E53" s="3"/>
      <c r="F53" s="3"/>
      <c r="G53" s="3"/>
      <c r="H53" s="212"/>
      <c r="I53" s="3"/>
      <c r="O53" s="78">
        <v>0.98</v>
      </c>
      <c r="P53" s="78">
        <f t="shared" si="3"/>
        <v>155.53579999999999</v>
      </c>
      <c r="Q53" s="2"/>
      <c r="T53" s="88" t="s">
        <v>106</v>
      </c>
      <c r="U53" s="125">
        <v>3269613</v>
      </c>
      <c r="V53" s="131"/>
    </row>
    <row r="54" spans="1:22" x14ac:dyDescent="0.25">
      <c r="A54" s="4"/>
      <c r="B54" s="69"/>
      <c r="C54" s="4"/>
      <c r="D54" s="3"/>
      <c r="E54" s="3"/>
      <c r="F54" s="3"/>
      <c r="G54" s="3"/>
      <c r="H54" s="212"/>
      <c r="I54" s="3"/>
      <c r="J54" s="3"/>
      <c r="K54" s="3"/>
      <c r="L54" s="4"/>
      <c r="O54" s="78">
        <v>0.97</v>
      </c>
      <c r="P54" s="78">
        <f t="shared" si="3"/>
        <v>153.9487</v>
      </c>
      <c r="T54" s="88" t="s">
        <v>109</v>
      </c>
      <c r="U54" s="125">
        <v>2991540</v>
      </c>
      <c r="V54" s="131"/>
    </row>
    <row r="55" spans="1:22" x14ac:dyDescent="0.25">
      <c r="A55" s="4"/>
      <c r="B55" s="69"/>
      <c r="C55" s="4"/>
      <c r="D55" s="3"/>
      <c r="E55" s="3"/>
      <c r="F55" s="3"/>
      <c r="G55" s="3"/>
      <c r="H55" s="212"/>
      <c r="I55" s="3"/>
      <c r="J55" s="3"/>
      <c r="K55" s="3"/>
      <c r="L55" s="4"/>
      <c r="O55" s="78">
        <v>0.96</v>
      </c>
      <c r="P55" s="78">
        <f t="shared" si="3"/>
        <v>152.36160000000001</v>
      </c>
      <c r="T55" s="88" t="s">
        <v>107</v>
      </c>
      <c r="U55" s="124" t="s">
        <v>514</v>
      </c>
      <c r="V55" s="131"/>
    </row>
    <row r="56" spans="1:22" x14ac:dyDescent="0.25">
      <c r="A56" s="4"/>
      <c r="B56" s="69"/>
      <c r="C56" s="4"/>
      <c r="D56" s="3"/>
      <c r="E56" s="3"/>
      <c r="F56" s="3"/>
      <c r="G56" s="3"/>
      <c r="H56" s="212"/>
      <c r="I56" s="3"/>
      <c r="J56" s="3"/>
      <c r="K56" s="3"/>
      <c r="L56" s="4"/>
      <c r="O56" s="78">
        <v>0.95</v>
      </c>
      <c r="P56" s="78">
        <f t="shared" si="3"/>
        <v>150.77449999999999</v>
      </c>
      <c r="T56" s="88" t="s">
        <v>110</v>
      </c>
      <c r="U56" s="124">
        <v>15.46</v>
      </c>
      <c r="V56" s="131"/>
    </row>
    <row r="57" spans="1:22" x14ac:dyDescent="0.25">
      <c r="A57" s="4"/>
      <c r="B57" s="69"/>
      <c r="C57" s="4"/>
      <c r="D57" s="3"/>
      <c r="E57" s="3"/>
      <c r="F57" s="3"/>
      <c r="G57" s="3"/>
      <c r="H57" s="212"/>
      <c r="I57" s="3"/>
      <c r="J57" s="3"/>
      <c r="K57" s="3"/>
      <c r="L57" s="4"/>
      <c r="O57" s="78">
        <v>0.94</v>
      </c>
      <c r="P57" s="78">
        <f t="shared" si="3"/>
        <v>149.1874</v>
      </c>
      <c r="T57" s="88" t="s">
        <v>111</v>
      </c>
      <c r="U57" s="124">
        <v>4.43</v>
      </c>
      <c r="V57" s="131"/>
    </row>
    <row r="58" spans="1:22" x14ac:dyDescent="0.25">
      <c r="A58" s="4"/>
      <c r="B58" s="69"/>
      <c r="C58" s="4"/>
      <c r="D58" s="3"/>
      <c r="E58" s="3"/>
      <c r="F58" s="3"/>
      <c r="G58" s="3"/>
      <c r="H58" s="212"/>
      <c r="I58" s="3"/>
      <c r="J58" s="3"/>
      <c r="K58" s="3"/>
      <c r="L58" s="4"/>
      <c r="O58" s="78">
        <v>0.93</v>
      </c>
      <c r="P58" s="78">
        <f t="shared" si="3"/>
        <v>147.6003</v>
      </c>
      <c r="T58" s="88" t="s">
        <v>108</v>
      </c>
      <c r="U58" s="124" t="s">
        <v>487</v>
      </c>
      <c r="V58" s="131"/>
    </row>
    <row r="59" spans="1:22" x14ac:dyDescent="0.25">
      <c r="A59" s="4"/>
      <c r="B59" s="69"/>
      <c r="C59" s="4"/>
      <c r="D59" s="3"/>
      <c r="E59" s="3"/>
      <c r="F59" s="3"/>
      <c r="G59" s="3"/>
      <c r="H59" s="212"/>
      <c r="I59" s="3"/>
      <c r="J59" s="3"/>
      <c r="K59" s="3"/>
      <c r="L59" s="4"/>
      <c r="O59" s="78">
        <v>0.92</v>
      </c>
      <c r="P59" s="78">
        <f t="shared" si="3"/>
        <v>146.01320000000001</v>
      </c>
      <c r="V59" s="131"/>
    </row>
    <row r="60" spans="1:22" x14ac:dyDescent="0.25">
      <c r="A60" s="4"/>
      <c r="B60" s="69"/>
      <c r="C60" s="4"/>
      <c r="D60" s="3"/>
      <c r="E60" s="3"/>
      <c r="F60" s="3"/>
      <c r="G60" s="3"/>
      <c r="H60" s="212"/>
      <c r="I60" s="3"/>
      <c r="J60" s="3"/>
      <c r="K60" s="3"/>
      <c r="L60" s="4"/>
      <c r="O60" s="78">
        <v>0.91</v>
      </c>
      <c r="P60" s="78">
        <f t="shared" si="3"/>
        <v>144.42610000000002</v>
      </c>
      <c r="V60" s="131"/>
    </row>
    <row r="61" spans="1:22" x14ac:dyDescent="0.25">
      <c r="A61" s="4"/>
      <c r="B61" s="69"/>
      <c r="C61" s="4"/>
      <c r="D61" s="3"/>
      <c r="E61" s="3"/>
      <c r="F61" s="3"/>
      <c r="G61" s="3"/>
      <c r="H61" s="212"/>
      <c r="I61" s="3"/>
      <c r="J61" s="3"/>
      <c r="K61" s="3"/>
      <c r="L61" s="4"/>
      <c r="O61" s="78">
        <v>0.9</v>
      </c>
      <c r="P61" s="78">
        <f t="shared" si="3"/>
        <v>142.839</v>
      </c>
      <c r="V61" s="131"/>
    </row>
    <row r="62" spans="1:22" x14ac:dyDescent="0.25">
      <c r="A62" s="4"/>
      <c r="B62" s="69"/>
      <c r="C62" s="4"/>
      <c r="D62" s="3"/>
      <c r="E62" s="3"/>
      <c r="F62" s="3"/>
      <c r="G62" s="3"/>
      <c r="H62" s="212"/>
      <c r="I62" s="3"/>
      <c r="J62" s="3"/>
      <c r="K62" s="3"/>
      <c r="L62" s="4"/>
      <c r="V62" s="131"/>
    </row>
    <row r="63" spans="1:22" x14ac:dyDescent="0.25">
      <c r="A63" s="4"/>
      <c r="B63" s="69"/>
      <c r="C63" s="4"/>
      <c r="D63" s="3"/>
      <c r="E63" s="3"/>
      <c r="F63" s="3"/>
      <c r="G63" s="3"/>
      <c r="H63" s="212"/>
      <c r="I63" s="3"/>
      <c r="J63" s="3"/>
      <c r="K63" s="3"/>
      <c r="L63" s="4"/>
      <c r="V63" s="131"/>
    </row>
    <row r="64" spans="1:22" x14ac:dyDescent="0.25">
      <c r="A64" s="4"/>
      <c r="B64" s="4"/>
      <c r="C64" s="4"/>
      <c r="D64" s="3"/>
      <c r="E64" s="3"/>
      <c r="F64" s="3"/>
      <c r="G64" s="4"/>
      <c r="H64" s="4"/>
      <c r="I64" s="3"/>
      <c r="J64" s="3"/>
      <c r="K64" s="3"/>
      <c r="L64" s="4"/>
      <c r="V64" s="131"/>
    </row>
    <row r="65" spans="1:22" x14ac:dyDescent="0.25">
      <c r="A65" s="4"/>
      <c r="B65" s="4"/>
      <c r="C65" s="4"/>
      <c r="D65" s="3"/>
      <c r="E65" s="3"/>
      <c r="F65" s="3"/>
      <c r="G65" s="4"/>
      <c r="H65" s="4"/>
      <c r="I65" s="3"/>
      <c r="J65" s="3"/>
      <c r="K65" s="3"/>
      <c r="L65" s="4"/>
      <c r="V65" s="131"/>
    </row>
    <row r="66" spans="1:22" x14ac:dyDescent="0.25">
      <c r="A66" s="4"/>
      <c r="B66" s="4"/>
      <c r="C66" s="4"/>
      <c r="D66" s="3"/>
      <c r="E66" s="3"/>
      <c r="F66" s="3"/>
      <c r="G66" s="4"/>
      <c r="H66" s="4"/>
      <c r="I66" s="3"/>
      <c r="J66" s="3"/>
      <c r="K66" s="3"/>
      <c r="L66" s="4" t="s">
        <v>65</v>
      </c>
      <c r="M66" s="2">
        <f>M84+K84-F84</f>
        <v>1857.7799999999988</v>
      </c>
      <c r="V66" s="131"/>
    </row>
    <row r="67" spans="1:22"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c r="V67" s="131"/>
    </row>
    <row r="68" spans="1:22" x14ac:dyDescent="0.25">
      <c r="A68" s="433" t="s">
        <v>258</v>
      </c>
      <c r="B68" s="417">
        <v>42619</v>
      </c>
      <c r="C68" s="418">
        <v>20</v>
      </c>
      <c r="D68" s="420">
        <v>72.08</v>
      </c>
      <c r="E68" s="420">
        <v>0</v>
      </c>
      <c r="F68" s="420">
        <f>C68*D68+E68</f>
        <v>1441.6</v>
      </c>
      <c r="G68" s="417">
        <v>42683</v>
      </c>
      <c r="H68" s="434">
        <v>35</v>
      </c>
      <c r="I68" s="420">
        <v>71.36</v>
      </c>
      <c r="J68" s="420">
        <v>0.05</v>
      </c>
      <c r="K68" s="420">
        <f>H68*I68-J68</f>
        <v>2497.5499999999997</v>
      </c>
      <c r="L68" s="417">
        <v>42642</v>
      </c>
      <c r="M68" s="420">
        <v>10</v>
      </c>
      <c r="V68" s="131"/>
    </row>
    <row r="69" spans="1:22" x14ac:dyDescent="0.25">
      <c r="A69" s="435" t="s">
        <v>71</v>
      </c>
      <c r="B69" s="417">
        <v>42621</v>
      </c>
      <c r="C69" s="418">
        <v>20</v>
      </c>
      <c r="D69" s="420">
        <v>70.45</v>
      </c>
      <c r="E69" s="420">
        <v>0</v>
      </c>
      <c r="F69" s="420">
        <f>C69*D69+E69</f>
        <v>1409</v>
      </c>
      <c r="G69" s="417">
        <v>42684</v>
      </c>
      <c r="H69" s="434">
        <v>30</v>
      </c>
      <c r="I69" s="420">
        <v>73.28</v>
      </c>
      <c r="J69" s="420">
        <v>0.05</v>
      </c>
      <c r="K69" s="420">
        <f>H69*I69-J69</f>
        <v>2198.35</v>
      </c>
      <c r="L69" s="418"/>
      <c r="M69" s="418"/>
      <c r="V69" s="131"/>
    </row>
    <row r="70" spans="1:22" x14ac:dyDescent="0.25">
      <c r="A70" s="418"/>
      <c r="B70" s="417">
        <v>42648</v>
      </c>
      <c r="C70" s="418">
        <v>25</v>
      </c>
      <c r="D70" s="420">
        <v>67.88</v>
      </c>
      <c r="E70" s="420">
        <v>0</v>
      </c>
      <c r="F70" s="420">
        <f>C70*D70+E70</f>
        <v>1697</v>
      </c>
      <c r="G70" s="417"/>
      <c r="H70" s="434"/>
      <c r="I70" s="420"/>
      <c r="J70" s="420"/>
      <c r="K70" s="420"/>
      <c r="L70" s="418"/>
      <c r="M70" s="418"/>
    </row>
    <row r="71" spans="1:22" x14ac:dyDescent="0.25">
      <c r="A71" s="418"/>
      <c r="B71" s="417"/>
      <c r="C71" s="418"/>
      <c r="D71" s="420"/>
      <c r="E71" s="420"/>
      <c r="F71" s="420"/>
      <c r="G71" s="418"/>
      <c r="H71" s="434"/>
      <c r="I71" s="420"/>
      <c r="J71" s="420"/>
      <c r="K71" s="420"/>
      <c r="L71" s="418"/>
      <c r="M71" s="418"/>
    </row>
    <row r="72" spans="1:22" x14ac:dyDescent="0.25">
      <c r="A72" s="418"/>
      <c r="B72" s="360">
        <v>42794</v>
      </c>
      <c r="C72" s="7">
        <v>50</v>
      </c>
      <c r="D72" s="43">
        <v>72.58</v>
      </c>
      <c r="E72" s="43">
        <v>0</v>
      </c>
      <c r="F72" s="43">
        <f>C72*D72+E72</f>
        <v>3629</v>
      </c>
      <c r="G72" s="360">
        <v>42851</v>
      </c>
      <c r="H72" s="77">
        <v>50</v>
      </c>
      <c r="I72" s="43">
        <v>72.62</v>
      </c>
      <c r="J72" s="43">
        <v>0.08</v>
      </c>
      <c r="K72" s="43">
        <f>I72*H72-J72</f>
        <v>3630.92</v>
      </c>
      <c r="L72" s="69">
        <v>42850</v>
      </c>
      <c r="M72" s="43">
        <v>26</v>
      </c>
    </row>
    <row r="73" spans="1:22" x14ac:dyDescent="0.25">
      <c r="A73" s="418"/>
      <c r="B73" s="360">
        <v>42815</v>
      </c>
      <c r="C73" s="7">
        <v>50</v>
      </c>
      <c r="D73" s="43">
        <v>70.78</v>
      </c>
      <c r="E73" s="43">
        <v>0</v>
      </c>
      <c r="F73" s="43">
        <f>C73*D73+E73</f>
        <v>3539</v>
      </c>
      <c r="G73" s="360">
        <v>42874</v>
      </c>
      <c r="H73" s="77">
        <v>50</v>
      </c>
      <c r="I73" s="43">
        <v>71.849999999999994</v>
      </c>
      <c r="J73" s="43">
        <v>0.08</v>
      </c>
      <c r="K73" s="43">
        <f>I73*H73-J73</f>
        <v>3592.4199999999996</v>
      </c>
      <c r="L73" s="69">
        <v>42942</v>
      </c>
      <c r="M73" s="43">
        <v>26</v>
      </c>
    </row>
    <row r="74" spans="1:22" x14ac:dyDescent="0.25">
      <c r="A74" s="418"/>
      <c r="B74" s="360">
        <v>42871</v>
      </c>
      <c r="C74" s="7">
        <v>50</v>
      </c>
      <c r="D74" s="43">
        <v>70.88</v>
      </c>
      <c r="E74" s="43">
        <v>0</v>
      </c>
      <c r="F74" s="43">
        <f>C74*D74+E74</f>
        <v>3544</v>
      </c>
      <c r="G74" s="360">
        <v>42983</v>
      </c>
      <c r="H74" s="77">
        <v>50</v>
      </c>
      <c r="I74" s="43">
        <v>73.38</v>
      </c>
      <c r="J74" s="43">
        <v>0.08</v>
      </c>
      <c r="K74" s="43">
        <f>I74*H74-J74</f>
        <v>3668.92</v>
      </c>
      <c r="L74" s="4"/>
      <c r="M74" s="4"/>
    </row>
    <row r="75" spans="1:22" x14ac:dyDescent="0.25">
      <c r="A75" s="418"/>
      <c r="B75" s="418"/>
      <c r="C75" s="418"/>
      <c r="D75" s="420"/>
      <c r="E75" s="420"/>
      <c r="F75" s="420"/>
      <c r="G75" s="418"/>
      <c r="H75" s="434"/>
      <c r="I75" s="420"/>
      <c r="J75" s="420"/>
      <c r="K75" s="420"/>
      <c r="L75" s="418"/>
      <c r="M75" s="418"/>
    </row>
    <row r="76" spans="1:22" x14ac:dyDescent="0.25">
      <c r="A76" s="418"/>
      <c r="B76" s="360">
        <v>42879</v>
      </c>
      <c r="C76" s="7">
        <v>50</v>
      </c>
      <c r="D76" s="43">
        <v>70.08</v>
      </c>
      <c r="E76" s="43">
        <v>0</v>
      </c>
      <c r="F76" s="43">
        <f>C76*D76+E76</f>
        <v>3504</v>
      </c>
      <c r="G76" s="360">
        <v>42991</v>
      </c>
      <c r="H76" s="7">
        <v>50</v>
      </c>
      <c r="I76" s="43">
        <v>78.47</v>
      </c>
      <c r="J76" s="43">
        <v>0.09</v>
      </c>
      <c r="K76" s="43">
        <f>H76*I76-J76</f>
        <v>3923.41</v>
      </c>
      <c r="L76" s="418"/>
      <c r="M76" s="418"/>
    </row>
    <row r="77" spans="1:22" x14ac:dyDescent="0.25">
      <c r="A77" s="418"/>
      <c r="B77" s="418"/>
      <c r="C77" s="418"/>
      <c r="D77" s="420"/>
      <c r="E77" s="420"/>
      <c r="F77" s="420"/>
      <c r="G77" s="418"/>
      <c r="H77" s="434"/>
      <c r="I77" s="420"/>
      <c r="J77" s="420"/>
      <c r="K77" s="420"/>
      <c r="L77" s="418"/>
      <c r="M77" s="418"/>
    </row>
    <row r="78" spans="1:22" x14ac:dyDescent="0.25">
      <c r="A78" s="418"/>
      <c r="B78" s="360">
        <v>42978</v>
      </c>
      <c r="C78" s="7">
        <v>50</v>
      </c>
      <c r="D78" s="43">
        <v>72.08</v>
      </c>
      <c r="E78" s="43">
        <v>0</v>
      </c>
      <c r="F78" s="43">
        <f>C78*D78+E78</f>
        <v>3604</v>
      </c>
      <c r="G78" s="360">
        <v>43010</v>
      </c>
      <c r="H78" s="7">
        <v>50</v>
      </c>
      <c r="I78" s="43">
        <v>81.58</v>
      </c>
      <c r="J78" s="43">
        <v>0.09</v>
      </c>
      <c r="K78" s="43">
        <f>H78*I78-J78</f>
        <v>4078.91</v>
      </c>
      <c r="L78" s="69"/>
      <c r="M78" s="418"/>
    </row>
    <row r="79" spans="1:22" x14ac:dyDescent="0.25">
      <c r="A79" s="418"/>
      <c r="B79" s="418"/>
      <c r="C79" s="418"/>
      <c r="D79" s="420"/>
      <c r="E79" s="420"/>
      <c r="F79" s="420"/>
      <c r="G79" s="418"/>
      <c r="H79" s="434"/>
      <c r="I79" s="420"/>
      <c r="J79" s="420"/>
      <c r="K79" s="420"/>
      <c r="L79" s="418"/>
      <c r="M79" s="418"/>
    </row>
    <row r="80" spans="1:22" x14ac:dyDescent="0.25">
      <c r="A80" s="418"/>
      <c r="B80" s="69">
        <v>42997</v>
      </c>
      <c r="C80" s="4">
        <v>50</v>
      </c>
      <c r="D80" s="3">
        <v>76.38</v>
      </c>
      <c r="E80" s="3">
        <v>0</v>
      </c>
      <c r="F80" s="3">
        <f>C80*D80+E80</f>
        <v>3819</v>
      </c>
      <c r="G80" s="69">
        <v>43060</v>
      </c>
      <c r="H80" s="4">
        <v>50</v>
      </c>
      <c r="I80" s="3">
        <v>87.58</v>
      </c>
      <c r="J80" s="3">
        <v>0.1</v>
      </c>
      <c r="K80" s="3">
        <f>H80*I80-J80</f>
        <v>4378.8999999999996</v>
      </c>
      <c r="L80" s="69">
        <v>43033</v>
      </c>
      <c r="M80" s="43">
        <v>13</v>
      </c>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SUM(C68:C83)</f>
        <v>365</v>
      </c>
      <c r="D84" s="438"/>
      <c r="E84" s="438"/>
      <c r="F84" s="438">
        <f>SUM(F68:F83)</f>
        <v>26186.6</v>
      </c>
      <c r="G84" s="437"/>
      <c r="H84" s="459">
        <f>SUM(H68:H83)</f>
        <v>365</v>
      </c>
      <c r="I84" s="438"/>
      <c r="J84" s="438"/>
      <c r="K84" s="438">
        <f>SUM(K68:K83)</f>
        <v>27969.379999999997</v>
      </c>
      <c r="L84" s="437"/>
      <c r="M84" s="438">
        <f>SUM(M68:M83)</f>
        <v>75</v>
      </c>
    </row>
    <row r="85" spans="1:13" ht="15.75" thickBot="1" x14ac:dyDescent="0.3">
      <c r="A85" s="439" t="s">
        <v>189</v>
      </c>
      <c r="B85" s="440"/>
      <c r="C85" s="441">
        <f>SumByColor($A$19,C68:C83)</f>
        <v>250</v>
      </c>
      <c r="D85" s="441"/>
      <c r="E85" s="441"/>
      <c r="F85" s="442">
        <f>SumByColor($A$19,F68:F83)</f>
        <v>17820</v>
      </c>
      <c r="G85" s="441"/>
      <c r="H85" s="441">
        <f>SumByColor($A$19,H68:H83)</f>
        <v>250</v>
      </c>
      <c r="I85" s="441"/>
      <c r="J85" s="441"/>
      <c r="K85" s="442">
        <f>SumByColor($A$19,K68:K83)</f>
        <v>18894</v>
      </c>
      <c r="L85" s="441"/>
      <c r="M85" s="442">
        <f>SumByColor($A$19,M68:M83)</f>
        <v>65</v>
      </c>
    </row>
    <row r="88" spans="1:13" x14ac:dyDescent="0.25">
      <c r="B88" s="159" t="s">
        <v>113</v>
      </c>
      <c r="C88" s="159" t="s">
        <v>143</v>
      </c>
      <c r="D88" s="160" t="s">
        <v>142</v>
      </c>
      <c r="E88" s="162" t="s">
        <v>144</v>
      </c>
      <c r="F88" s="162" t="s">
        <v>65</v>
      </c>
      <c r="G88" s="173" t="s">
        <v>148</v>
      </c>
      <c r="H88" s="173" t="s">
        <v>88</v>
      </c>
      <c r="I88" s="173" t="s">
        <v>151</v>
      </c>
    </row>
    <row r="89" spans="1:13" x14ac:dyDescent="0.25">
      <c r="B89" s="161">
        <v>42619</v>
      </c>
      <c r="C89" s="10">
        <v>20</v>
      </c>
      <c r="D89" s="39">
        <v>72.08</v>
      </c>
      <c r="E89" s="39">
        <v>72</v>
      </c>
      <c r="F89" s="39">
        <f t="shared" ref="F89:F100" si="4">C89*(E89-D89)</f>
        <v>-1.5999999999999659</v>
      </c>
      <c r="G89" s="39">
        <f t="shared" ref="G89:G100" si="5">D89*C89</f>
        <v>1441.6</v>
      </c>
      <c r="H89" s="175">
        <f t="shared" ref="H89:H100" si="6">(E89-D89)/D89</f>
        <v>-1.1098779134294991E-3</v>
      </c>
      <c r="I89" s="39"/>
    </row>
    <row r="90" spans="1:13" x14ac:dyDescent="0.25">
      <c r="B90" s="161">
        <v>42620</v>
      </c>
      <c r="C90" s="10">
        <v>20</v>
      </c>
      <c r="D90" s="39">
        <v>72.08</v>
      </c>
      <c r="E90" s="39">
        <v>71.75</v>
      </c>
      <c r="F90" s="39">
        <f t="shared" si="4"/>
        <v>-6.5999999999999659</v>
      </c>
      <c r="G90" s="39">
        <f t="shared" si="5"/>
        <v>1441.6</v>
      </c>
      <c r="H90" s="175">
        <f t="shared" si="6"/>
        <v>-4.5782463928967579E-3</v>
      </c>
      <c r="I90" s="39"/>
    </row>
    <row r="91" spans="1:13" x14ac:dyDescent="0.25">
      <c r="B91" s="161">
        <v>42621</v>
      </c>
      <c r="C91" s="10">
        <v>40</v>
      </c>
      <c r="D91" s="39">
        <v>71.265000000000001</v>
      </c>
      <c r="E91" s="39">
        <v>70.67</v>
      </c>
      <c r="F91" s="39">
        <f t="shared" si="4"/>
        <v>-23.799999999999955</v>
      </c>
      <c r="G91" s="39">
        <f t="shared" si="5"/>
        <v>2850.6</v>
      </c>
      <c r="H91" s="175">
        <f t="shared" si="6"/>
        <v>-8.3491194836174676E-3</v>
      </c>
      <c r="I91" s="39"/>
    </row>
    <row r="92" spans="1:13" x14ac:dyDescent="0.25">
      <c r="B92" s="161">
        <v>42627</v>
      </c>
      <c r="C92" s="10">
        <v>40</v>
      </c>
      <c r="D92" s="39">
        <v>71.265000000000001</v>
      </c>
      <c r="E92" s="39">
        <v>71.510000000000005</v>
      </c>
      <c r="F92" s="39">
        <f t="shared" si="4"/>
        <v>9.8000000000001819</v>
      </c>
      <c r="G92" s="39">
        <f t="shared" si="5"/>
        <v>2850.6</v>
      </c>
      <c r="H92" s="175">
        <f t="shared" si="6"/>
        <v>3.4378727285484397E-3</v>
      </c>
      <c r="I92" s="39"/>
    </row>
    <row r="93" spans="1:13" x14ac:dyDescent="0.25">
      <c r="B93" s="161">
        <v>42628</v>
      </c>
      <c r="C93" s="10">
        <v>40</v>
      </c>
      <c r="D93" s="39">
        <v>71.265000000000001</v>
      </c>
      <c r="E93" s="39">
        <v>72.53</v>
      </c>
      <c r="F93" s="39">
        <f t="shared" si="4"/>
        <v>50.600000000000023</v>
      </c>
      <c r="G93" s="39">
        <f t="shared" si="5"/>
        <v>2850.6</v>
      </c>
      <c r="H93" s="175">
        <f t="shared" si="6"/>
        <v>1.7750648986178355E-2</v>
      </c>
      <c r="I93" s="39"/>
    </row>
    <row r="94" spans="1:13" x14ac:dyDescent="0.25">
      <c r="B94" s="161">
        <v>42641</v>
      </c>
      <c r="C94" s="10">
        <v>40</v>
      </c>
      <c r="D94" s="39">
        <v>71.265000000000001</v>
      </c>
      <c r="E94" s="39">
        <v>70.5</v>
      </c>
      <c r="F94" s="39">
        <f t="shared" si="4"/>
        <v>-30.600000000000023</v>
      </c>
      <c r="G94" s="39">
        <f t="shared" si="5"/>
        <v>2850.6</v>
      </c>
      <c r="H94" s="175">
        <f t="shared" si="6"/>
        <v>-1.0734582193222488E-2</v>
      </c>
      <c r="I94" s="39"/>
    </row>
    <row r="95" spans="1:13" x14ac:dyDescent="0.25">
      <c r="B95" s="161">
        <v>42647</v>
      </c>
      <c r="C95" s="10">
        <v>40</v>
      </c>
      <c r="D95" s="39">
        <v>71.265000000000001</v>
      </c>
      <c r="E95" s="39">
        <v>68.05</v>
      </c>
      <c r="F95" s="39">
        <f t="shared" si="4"/>
        <v>-128.60000000000014</v>
      </c>
      <c r="G95" s="39">
        <f t="shared" si="5"/>
        <v>2850.6</v>
      </c>
      <c r="H95" s="175">
        <f t="shared" si="6"/>
        <v>-4.5113309478706287E-2</v>
      </c>
      <c r="I95" s="39"/>
    </row>
    <row r="96" spans="1:13" x14ac:dyDescent="0.25">
      <c r="B96" s="161">
        <v>42648</v>
      </c>
      <c r="C96" s="10">
        <v>65</v>
      </c>
      <c r="D96" s="39">
        <v>69.809200000000004</v>
      </c>
      <c r="E96" s="39">
        <v>66.97</v>
      </c>
      <c r="F96" s="39">
        <f t="shared" si="4"/>
        <v>-184.54800000000034</v>
      </c>
      <c r="G96" s="39">
        <f t="shared" si="5"/>
        <v>4537.598</v>
      </c>
      <c r="H96" s="175">
        <f t="shared" si="6"/>
        <v>-4.0670857136308754E-2</v>
      </c>
      <c r="I96" s="39"/>
    </row>
    <row r="97" spans="2:9" x14ac:dyDescent="0.25">
      <c r="B97" s="161">
        <v>42649</v>
      </c>
      <c r="C97" s="10">
        <v>65</v>
      </c>
      <c r="D97" s="39">
        <v>69.809200000000004</v>
      </c>
      <c r="E97" s="39">
        <v>69.05</v>
      </c>
      <c r="F97" s="39">
        <f t="shared" si="4"/>
        <v>-49.348000000000454</v>
      </c>
      <c r="G97" s="39">
        <f t="shared" si="5"/>
        <v>4537.598</v>
      </c>
      <c r="H97" s="175">
        <f t="shared" si="6"/>
        <v>-1.0875357402749307E-2</v>
      </c>
      <c r="I97" s="39"/>
    </row>
    <row r="98" spans="2:9" x14ac:dyDescent="0.25">
      <c r="B98" s="161">
        <v>42650</v>
      </c>
      <c r="C98" s="10">
        <v>65</v>
      </c>
      <c r="D98" s="39">
        <v>69.809200000000004</v>
      </c>
      <c r="E98" s="39">
        <v>69.66</v>
      </c>
      <c r="F98" s="39">
        <f t="shared" si="4"/>
        <v>-9.6980000000004907</v>
      </c>
      <c r="G98" s="39">
        <f t="shared" si="5"/>
        <v>4537.598</v>
      </c>
      <c r="H98" s="175">
        <f t="shared" si="6"/>
        <v>-2.1372541155035086E-3</v>
      </c>
      <c r="I98" s="39"/>
    </row>
    <row r="99" spans="2:9" x14ac:dyDescent="0.25">
      <c r="B99" s="161">
        <v>42674</v>
      </c>
      <c r="C99" s="10">
        <v>65</v>
      </c>
      <c r="D99" s="39">
        <v>69.809200000000004</v>
      </c>
      <c r="E99" s="39">
        <v>69.09</v>
      </c>
      <c r="F99" s="39">
        <f t="shared" si="4"/>
        <v>-46.748000000000047</v>
      </c>
      <c r="G99" s="39">
        <f t="shared" si="5"/>
        <v>4537.598</v>
      </c>
      <c r="H99" s="175">
        <f t="shared" si="6"/>
        <v>-1.0302367023257689E-2</v>
      </c>
      <c r="I99" s="39"/>
    </row>
    <row r="100" spans="2:9" x14ac:dyDescent="0.25">
      <c r="B100" s="161">
        <v>42676</v>
      </c>
      <c r="C100" s="10">
        <v>65</v>
      </c>
      <c r="D100" s="39">
        <v>69.809200000000004</v>
      </c>
      <c r="E100" s="39">
        <v>69.599999999999994</v>
      </c>
      <c r="F100" s="39">
        <f t="shared" si="4"/>
        <v>-13.598000000000638</v>
      </c>
      <c r="G100" s="39">
        <f t="shared" si="5"/>
        <v>4537.598</v>
      </c>
      <c r="H100" s="175">
        <f t="shared" si="6"/>
        <v>-2.9967396847408339E-3</v>
      </c>
      <c r="I100" s="39"/>
    </row>
    <row r="101" spans="2:9" x14ac:dyDescent="0.25">
      <c r="B101" s="161">
        <v>42701</v>
      </c>
      <c r="C101" s="10">
        <v>0</v>
      </c>
      <c r="D101" s="39"/>
      <c r="E101" s="39"/>
      <c r="F101" s="39">
        <v>158.30000000000001</v>
      </c>
      <c r="G101" s="39"/>
      <c r="H101" s="175"/>
      <c r="I101" s="39"/>
    </row>
    <row r="102" spans="2:9" x14ac:dyDescent="0.25">
      <c r="B102" s="161"/>
      <c r="C102" s="10"/>
      <c r="D102" s="39"/>
      <c r="E102" s="39"/>
      <c r="F102" s="39"/>
      <c r="G102" s="39"/>
      <c r="H102" s="175"/>
      <c r="I102" s="39"/>
    </row>
    <row r="103" spans="2:9" x14ac:dyDescent="0.25">
      <c r="B103" s="161"/>
      <c r="C103" s="10"/>
      <c r="D103" s="39"/>
      <c r="E103" s="39"/>
      <c r="F103" s="39"/>
      <c r="G103" s="39"/>
      <c r="H103" s="175"/>
      <c r="I103" s="39"/>
    </row>
    <row r="104" spans="2:9" x14ac:dyDescent="0.25">
      <c r="B104" s="161"/>
      <c r="C104" s="10"/>
      <c r="D104" s="39"/>
      <c r="E104" s="39"/>
      <c r="F104" s="39"/>
      <c r="G104" s="39"/>
      <c r="H104" s="175"/>
      <c r="I104" s="39"/>
    </row>
    <row r="105" spans="2:9" x14ac:dyDescent="0.25">
      <c r="B105" s="161"/>
      <c r="C105" s="10"/>
      <c r="D105" s="39"/>
      <c r="E105" s="39"/>
      <c r="F105" s="39"/>
      <c r="G105" s="39"/>
      <c r="H105" s="175"/>
      <c r="I105" s="39"/>
    </row>
    <row r="106" spans="2:9" x14ac:dyDescent="0.25">
      <c r="B106" s="161"/>
      <c r="C106" s="10"/>
      <c r="D106" s="39"/>
      <c r="E106" s="39"/>
      <c r="F106" s="39"/>
      <c r="G106" s="39"/>
      <c r="H106" s="175"/>
      <c r="I106" s="39"/>
    </row>
    <row r="107" spans="2:9" x14ac:dyDescent="0.25">
      <c r="B107" s="161"/>
      <c r="C107" s="10"/>
      <c r="D107" s="39"/>
      <c r="E107" s="39"/>
      <c r="F107" s="39"/>
      <c r="G107" s="39"/>
      <c r="H107" s="175"/>
      <c r="I107" s="39"/>
    </row>
    <row r="108" spans="2:9" x14ac:dyDescent="0.25">
      <c r="B108" s="161"/>
      <c r="C108" s="10"/>
      <c r="D108" s="39"/>
      <c r="E108" s="39"/>
      <c r="F108" s="39"/>
      <c r="G108" s="39"/>
      <c r="H108" s="175"/>
      <c r="I108" s="39"/>
    </row>
    <row r="109" spans="2:9" x14ac:dyDescent="0.25">
      <c r="B109" s="161"/>
      <c r="C109" s="10"/>
      <c r="D109" s="39"/>
      <c r="E109" s="39"/>
      <c r="F109" s="39"/>
      <c r="G109" s="39"/>
      <c r="H109" s="175"/>
      <c r="I109" s="39"/>
    </row>
    <row r="110" spans="2:9" x14ac:dyDescent="0.25">
      <c r="B110" s="161"/>
      <c r="C110" s="10"/>
      <c r="D110" s="39"/>
      <c r="E110" s="39"/>
      <c r="F110" s="39"/>
      <c r="G110" s="39"/>
      <c r="H110" s="175"/>
      <c r="I110" s="39"/>
    </row>
  </sheetData>
  <mergeCells count="1">
    <mergeCell ref="O40:P40"/>
  </mergeCells>
  <conditionalFormatting sqref="O41:O61">
    <cfRule type="colorScale" priority="42">
      <colorScale>
        <cfvo type="min"/>
        <cfvo type="percentile" val="50"/>
        <cfvo type="max"/>
        <color rgb="FFF8696B"/>
        <color rgb="FFFFEB84"/>
        <color rgb="FF63BE7B"/>
      </colorScale>
    </cfRule>
  </conditionalFormatting>
  <conditionalFormatting sqref="P41:P61">
    <cfRule type="colorScale" priority="41">
      <colorScale>
        <cfvo type="min"/>
        <cfvo type="percentile" val="50"/>
        <cfvo type="max"/>
        <color rgb="FFF8696B"/>
        <color rgb="FFFFEB84"/>
        <color rgb="FF63BE7B"/>
      </colorScale>
    </cfRule>
  </conditionalFormatting>
  <conditionalFormatting sqref="V1:V69">
    <cfRule type="iconSet" priority="39">
      <iconSet iconSet="3Arrows">
        <cfvo type="percent" val="0"/>
        <cfvo type="num" val="0"/>
        <cfvo type="num" val="0"/>
      </iconSet>
    </cfRule>
  </conditionalFormatting>
  <conditionalFormatting sqref="F47:F63 H47:H63 F25:F38 H25:H38 F40:F41 F43 H40:H41 H43">
    <cfRule type="expression" dxfId="4065" priority="37">
      <formula>F25&gt;0</formula>
    </cfRule>
    <cfRule type="expression" dxfId="4064" priority="38">
      <formula>F25&lt;0</formula>
    </cfRule>
  </conditionalFormatting>
  <conditionalFormatting sqref="Q7">
    <cfRule type="expression" dxfId="4063" priority="35">
      <formula>Q7&gt;0</formula>
    </cfRule>
    <cfRule type="expression" dxfId="4062" priority="36">
      <formula>Q7&lt;0</formula>
    </cfRule>
  </conditionalFormatting>
  <conditionalFormatting sqref="Q8">
    <cfRule type="expression" dxfId="4061" priority="33">
      <formula>Q8&gt;0</formula>
    </cfRule>
    <cfRule type="expression" dxfId="4060" priority="34">
      <formula>Q8&lt;0</formula>
    </cfRule>
  </conditionalFormatting>
  <conditionalFormatting sqref="F44:F46">
    <cfRule type="expression" dxfId="4059" priority="31">
      <formula>F44&gt;0</formula>
    </cfRule>
    <cfRule type="expression" dxfId="4058" priority="32">
      <formula>F44&lt;0</formula>
    </cfRule>
  </conditionalFormatting>
  <conditionalFormatting sqref="H44:H46">
    <cfRule type="expression" dxfId="4057" priority="29">
      <formula>H44&gt;0</formula>
    </cfRule>
    <cfRule type="expression" dxfId="4056" priority="30">
      <formula>H44&lt;0</formula>
    </cfRule>
  </conditionalFormatting>
  <conditionalFormatting sqref="F89:F110">
    <cfRule type="expression" dxfId="4055" priority="27">
      <formula>F89&gt;0</formula>
    </cfRule>
    <cfRule type="expression" dxfId="4054" priority="28">
      <formula>F89&lt;0</formula>
    </cfRule>
  </conditionalFormatting>
  <conditionalFormatting sqref="H89:H110">
    <cfRule type="expression" dxfId="4053" priority="25">
      <formula>H89&gt;0</formula>
    </cfRule>
    <cfRule type="expression" dxfId="4052" priority="26">
      <formula>H89&lt;0</formula>
    </cfRule>
  </conditionalFormatting>
  <conditionalFormatting sqref="Q10">
    <cfRule type="expression" dxfId="4051" priority="23">
      <formula>Q10&gt;0</formula>
    </cfRule>
    <cfRule type="expression" dxfId="4050" priority="24">
      <formula>Q10&lt;0</formula>
    </cfRule>
  </conditionalFormatting>
  <conditionalFormatting sqref="J25:J38">
    <cfRule type="expression" dxfId="4049" priority="21">
      <formula>J25&gt;0</formula>
    </cfRule>
    <cfRule type="expression" dxfId="4048" priority="22">
      <formula>J25&lt;0</formula>
    </cfRule>
  </conditionalFormatting>
  <conditionalFormatting sqref="K25:K38">
    <cfRule type="expression" dxfId="4047" priority="19">
      <formula>K25&gt;0</formula>
    </cfRule>
    <cfRule type="expression" dxfId="4046" priority="20">
      <formula>K25&lt;0</formula>
    </cfRule>
  </conditionalFormatting>
  <conditionalFormatting sqref="L25:L38">
    <cfRule type="expression" dxfId="4045" priority="17">
      <formula>L25&gt;0</formula>
    </cfRule>
    <cfRule type="expression" dxfId="4044" priority="18">
      <formula>L25&lt;0</formula>
    </cfRule>
  </conditionalFormatting>
  <conditionalFormatting sqref="J40">
    <cfRule type="expression" dxfId="4043" priority="15">
      <formula>J40&gt;0</formula>
    </cfRule>
    <cfRule type="expression" dxfId="4042" priority="16">
      <formula>J40&lt;0</formula>
    </cfRule>
  </conditionalFormatting>
  <conditionalFormatting sqref="L39">
    <cfRule type="expression" dxfId="4041" priority="11">
      <formula>L39&gt;0</formula>
    </cfRule>
    <cfRule type="expression" dxfId="4040" priority="12">
      <formula>L39&lt;0</formula>
    </cfRule>
  </conditionalFormatting>
  <conditionalFormatting sqref="F39">
    <cfRule type="expression" dxfId="4039" priority="9">
      <formula>F39&gt;0</formula>
    </cfRule>
    <cfRule type="expression" dxfId="4038" priority="10">
      <formula>F39&lt;0</formula>
    </cfRule>
  </conditionalFormatting>
  <conditionalFormatting sqref="H39">
    <cfRule type="expression" dxfId="4037" priority="7">
      <formula>H39&gt;0</formula>
    </cfRule>
    <cfRule type="expression" dxfId="4036" priority="8">
      <formula>H39&lt;0</formula>
    </cfRule>
  </conditionalFormatting>
  <conditionalFormatting sqref="J41">
    <cfRule type="expression" dxfId="4035" priority="5">
      <formula>J41&gt;0</formula>
    </cfRule>
    <cfRule type="expression" dxfId="4034" priority="6">
      <formula>J41&lt;0</formula>
    </cfRule>
  </conditionalFormatting>
  <conditionalFormatting sqref="J43">
    <cfRule type="expression" dxfId="4033" priority="3">
      <formula>J43&gt;0</formula>
    </cfRule>
    <cfRule type="expression" dxfId="4032" priority="4">
      <formula>J43&lt;0</formula>
    </cfRule>
  </conditionalFormatting>
  <conditionalFormatting sqref="J44">
    <cfRule type="expression" dxfId="4031" priority="1">
      <formula>J44&gt;0</formula>
    </cfRule>
    <cfRule type="expression" dxfId="4030" priority="2">
      <formula>J44&lt;0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dimension ref="A1:AN74"/>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1" customWidth="1"/>
    <col min="21" max="21" width="19.140625" customWidth="1"/>
    <col min="23" max="23" width="17.85546875" style="33" customWidth="1"/>
    <col min="24" max="24" width="5.85546875" customWidth="1"/>
    <col min="25" max="26" width="5.5703125" style="2" customWidth="1"/>
    <col min="27" max="27" width="5.85546875" customWidth="1"/>
    <col min="28" max="28" width="9.140625" customWidth="1"/>
    <col min="29" max="29" width="10.28515625" style="164"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79"/>
      <c r="W1" s="87" t="s">
        <v>113</v>
      </c>
      <c r="X1" s="88" t="s">
        <v>114</v>
      </c>
      <c r="Y1" s="97" t="s">
        <v>115</v>
      </c>
      <c r="Z1" s="97" t="s">
        <v>116</v>
      </c>
      <c r="AA1" s="88" t="s">
        <v>117</v>
      </c>
      <c r="AB1" s="88" t="s">
        <v>118</v>
      </c>
      <c r="AC1" s="188" t="s">
        <v>119</v>
      </c>
      <c r="AD1" s="11" t="s">
        <v>125</v>
      </c>
      <c r="AE1" s="11" t="s">
        <v>127</v>
      </c>
    </row>
    <row r="2" spans="1:40" ht="14.25" customHeight="1" x14ac:dyDescent="0.25">
      <c r="A2" s="6" t="s">
        <v>23</v>
      </c>
      <c r="B2" s="69"/>
      <c r="G2" s="69"/>
      <c r="L2" s="1"/>
      <c r="M2" s="3"/>
      <c r="O2" s="11" t="s">
        <v>57</v>
      </c>
      <c r="Q2">
        <f>C18-H18</f>
        <v>0</v>
      </c>
      <c r="T2" s="80"/>
      <c r="W2" s="89">
        <v>42830</v>
      </c>
      <c r="X2" s="280">
        <v>31.9</v>
      </c>
      <c r="Y2" s="39">
        <v>32.130000000000003</v>
      </c>
      <c r="Z2" s="39">
        <v>31.57</v>
      </c>
      <c r="AA2" s="280">
        <v>31.67</v>
      </c>
      <c r="AB2" s="90">
        <v>341300</v>
      </c>
      <c r="AC2" s="187">
        <v>31.67</v>
      </c>
      <c r="AD2" s="2">
        <f>Y2-Z2</f>
        <v>0.56000000000000227</v>
      </c>
      <c r="AE2" s="131">
        <f>AC2/AC3-1</f>
        <v>-3.774771940861843E-3</v>
      </c>
    </row>
    <row r="3" spans="1:40" x14ac:dyDescent="0.25">
      <c r="A3" s="22" t="s">
        <v>71</v>
      </c>
      <c r="B3" s="69"/>
      <c r="C3" s="4"/>
      <c r="D3" s="3"/>
      <c r="E3" s="3"/>
      <c r="F3" s="3"/>
      <c r="G3" s="69"/>
      <c r="H3" s="158"/>
      <c r="I3" s="3"/>
      <c r="J3" s="3"/>
      <c r="K3" s="3"/>
      <c r="O3" s="11" t="s">
        <v>58</v>
      </c>
      <c r="Q3" s="75">
        <f>IF(Q2=0, Q4, (F18-K18-M18)/Q2)</f>
        <v>34.630000000000003</v>
      </c>
      <c r="T3" s="115"/>
      <c r="W3" s="89">
        <v>42829</v>
      </c>
      <c r="X3" s="280">
        <v>32.1</v>
      </c>
      <c r="Y3" s="39">
        <v>32.1</v>
      </c>
      <c r="Z3" s="39">
        <v>31.67</v>
      </c>
      <c r="AA3" s="280">
        <v>31.79</v>
      </c>
      <c r="AB3" s="90">
        <v>466600</v>
      </c>
      <c r="AC3" s="187">
        <v>31.79</v>
      </c>
      <c r="AD3" s="2">
        <f>Y3-Z3</f>
        <v>0.42999999999999972</v>
      </c>
      <c r="AE3" s="131">
        <f>AC3/AC4-1</f>
        <v>-9.6573208722742221E-3</v>
      </c>
      <c r="AN3" s="178"/>
    </row>
    <row r="4" spans="1:40" x14ac:dyDescent="0.25">
      <c r="B4" s="69"/>
      <c r="C4" s="4"/>
      <c r="D4" s="3"/>
      <c r="E4" s="3"/>
      <c r="F4" s="3"/>
      <c r="G4" s="69"/>
      <c r="H4" s="158"/>
      <c r="I4" s="3"/>
      <c r="J4" s="3"/>
      <c r="K4" s="3"/>
      <c r="O4" s="11" t="s">
        <v>66</v>
      </c>
      <c r="Q4" s="53">
        <v>34.630000000000003</v>
      </c>
      <c r="R4" s="396">
        <v>1.14E-2</v>
      </c>
      <c r="T4" s="115"/>
      <c r="W4" s="89">
        <v>42828</v>
      </c>
      <c r="X4" s="280">
        <v>31.84</v>
      </c>
      <c r="Y4" s="39">
        <v>32.200000000000003</v>
      </c>
      <c r="Z4" s="39">
        <v>31.82</v>
      </c>
      <c r="AA4" s="280">
        <v>32.1</v>
      </c>
      <c r="AB4" s="90">
        <v>472300</v>
      </c>
      <c r="AC4" s="187">
        <v>32.1</v>
      </c>
      <c r="AD4" s="2">
        <f t="shared" ref="AD4:AD67" si="0">Y4-Z4</f>
        <v>0.38000000000000256</v>
      </c>
      <c r="AE4" s="131">
        <f t="shared" ref="AE4:AE67" si="1">AC4/AC5-1</f>
        <v>8.4825636192271681E-3</v>
      </c>
      <c r="AK4" s="178"/>
      <c r="AN4" s="178"/>
    </row>
    <row r="5" spans="1:40" x14ac:dyDescent="0.25">
      <c r="B5" s="69"/>
      <c r="C5" s="4"/>
      <c r="D5" s="3"/>
      <c r="E5" s="3"/>
      <c r="F5" s="3"/>
      <c r="G5" s="69"/>
      <c r="H5" s="158"/>
      <c r="I5" s="3"/>
      <c r="J5" s="3"/>
      <c r="K5" s="3"/>
      <c r="O5" s="11" t="s">
        <v>67</v>
      </c>
      <c r="Q5" s="3">
        <f>Q4*Q2</f>
        <v>0</v>
      </c>
      <c r="W5" s="89">
        <v>42825</v>
      </c>
      <c r="X5" s="280">
        <v>31.85</v>
      </c>
      <c r="Y5" s="39">
        <v>32.090000000000003</v>
      </c>
      <c r="Z5" s="39">
        <v>31.76</v>
      </c>
      <c r="AA5" s="280">
        <v>31.83</v>
      </c>
      <c r="AB5" s="90">
        <v>318100</v>
      </c>
      <c r="AC5" s="187">
        <v>31.83</v>
      </c>
      <c r="AD5" s="2">
        <f t="shared" si="0"/>
        <v>0.33000000000000185</v>
      </c>
      <c r="AE5" s="131">
        <f t="shared" si="1"/>
        <v>-1.5683814303638632E-3</v>
      </c>
      <c r="AK5" s="178"/>
      <c r="AN5" s="178"/>
    </row>
    <row r="6" spans="1:40" x14ac:dyDescent="0.25">
      <c r="B6" s="4"/>
      <c r="C6" s="4"/>
      <c r="D6" s="3"/>
      <c r="E6" s="3"/>
      <c r="F6" s="3"/>
      <c r="G6" s="4"/>
      <c r="H6" s="158"/>
      <c r="I6" s="3"/>
      <c r="J6" s="3"/>
      <c r="K6" s="3"/>
      <c r="O6" s="11" t="s">
        <v>64</v>
      </c>
      <c r="Q6" s="2">
        <f>Q3*Q2</f>
        <v>0</v>
      </c>
      <c r="W6" s="89">
        <v>42824</v>
      </c>
      <c r="X6" s="280">
        <v>31.52</v>
      </c>
      <c r="Y6" s="39">
        <v>31.92</v>
      </c>
      <c r="Z6" s="39">
        <v>31.46</v>
      </c>
      <c r="AA6" s="280">
        <v>31.88</v>
      </c>
      <c r="AB6" s="90">
        <v>261900</v>
      </c>
      <c r="AC6" s="187">
        <v>31.88</v>
      </c>
      <c r="AD6" s="2">
        <f t="shared" si="0"/>
        <v>0.46000000000000085</v>
      </c>
      <c r="AE6" s="131">
        <f t="shared" si="1"/>
        <v>6.3131313131312705E-3</v>
      </c>
    </row>
    <row r="7" spans="1:40" x14ac:dyDescent="0.25">
      <c r="B7" s="4"/>
      <c r="C7" s="4"/>
      <c r="D7" s="3"/>
      <c r="E7" s="3"/>
      <c r="F7" s="3"/>
      <c r="G7" s="4"/>
      <c r="H7" s="4"/>
      <c r="I7" s="3"/>
      <c r="J7" s="3"/>
      <c r="K7" s="3"/>
      <c r="O7" s="11" t="s">
        <v>175</v>
      </c>
      <c r="P7"/>
      <c r="Q7" s="2">
        <f>Q10+Q8</f>
        <v>171.89999999999964</v>
      </c>
      <c r="R7">
        <v>0</v>
      </c>
      <c r="T7" s="80"/>
      <c r="W7" s="89">
        <v>42823</v>
      </c>
      <c r="X7" s="280">
        <v>31.87</v>
      </c>
      <c r="Y7" s="39">
        <v>31.88</v>
      </c>
      <c r="Z7" s="39">
        <v>31.46</v>
      </c>
      <c r="AA7" s="280">
        <v>31.68</v>
      </c>
      <c r="AB7" s="90">
        <v>462100</v>
      </c>
      <c r="AC7" s="187">
        <v>31.68</v>
      </c>
      <c r="AD7" s="2">
        <f t="shared" si="0"/>
        <v>0.41999999999999815</v>
      </c>
      <c r="AE7" s="131">
        <f t="shared" si="1"/>
        <v>-5.3375196232339217E-3</v>
      </c>
      <c r="AK7" s="178"/>
      <c r="AN7" s="178"/>
    </row>
    <row r="8" spans="1:40" x14ac:dyDescent="0.25">
      <c r="B8" s="4"/>
      <c r="C8" s="4"/>
      <c r="D8" s="3"/>
      <c r="E8" s="3"/>
      <c r="F8" s="3"/>
      <c r="G8" s="4"/>
      <c r="H8" s="4"/>
      <c r="I8" s="3"/>
      <c r="J8" s="3"/>
      <c r="K8" s="3"/>
      <c r="O8" s="11" t="s">
        <v>177</v>
      </c>
      <c r="Q8" s="2">
        <f>K18+M18-F18+Q2*Q4</f>
        <v>0</v>
      </c>
      <c r="W8" s="89">
        <v>42822</v>
      </c>
      <c r="X8" s="280">
        <v>31.14</v>
      </c>
      <c r="Y8" s="39">
        <v>31.89</v>
      </c>
      <c r="Z8" s="39">
        <v>30.82</v>
      </c>
      <c r="AA8" s="280">
        <v>31.85</v>
      </c>
      <c r="AB8" s="90">
        <v>888100</v>
      </c>
      <c r="AC8" s="187">
        <v>31.85</v>
      </c>
      <c r="AD8" s="2">
        <f t="shared" si="0"/>
        <v>1.0700000000000003</v>
      </c>
      <c r="AE8" s="131">
        <f t="shared" si="1"/>
        <v>5.2892561983471031E-2</v>
      </c>
    </row>
    <row r="9" spans="1:40" x14ac:dyDescent="0.25">
      <c r="O9" s="11" t="s">
        <v>202</v>
      </c>
      <c r="P9"/>
      <c r="Q9" s="131">
        <f>IF(Q2=0, 0, Q8/Q6)</f>
        <v>0</v>
      </c>
      <c r="W9" s="89">
        <v>42821</v>
      </c>
      <c r="X9" s="280">
        <v>29.99</v>
      </c>
      <c r="Y9" s="39">
        <v>30.37</v>
      </c>
      <c r="Z9" s="39">
        <v>29.99</v>
      </c>
      <c r="AA9" s="280">
        <v>30.25</v>
      </c>
      <c r="AB9" s="90">
        <v>320000</v>
      </c>
      <c r="AC9" s="187">
        <v>30.25</v>
      </c>
      <c r="AD9" s="2">
        <f t="shared" si="0"/>
        <v>0.38000000000000256</v>
      </c>
      <c r="AE9" s="131">
        <f t="shared" si="1"/>
        <v>4.983388704318914E-3</v>
      </c>
      <c r="AK9" s="178"/>
      <c r="AN9" s="178"/>
    </row>
    <row r="10" spans="1:40" ht="12.75" customHeight="1" x14ac:dyDescent="0.25">
      <c r="O10" s="11" t="s">
        <v>201</v>
      </c>
      <c r="Q10" s="2">
        <f>M37</f>
        <v>171.89999999999964</v>
      </c>
      <c r="W10" s="89">
        <v>42818</v>
      </c>
      <c r="X10" s="280">
        <v>29.9</v>
      </c>
      <c r="Y10" s="39">
        <v>30.3</v>
      </c>
      <c r="Z10" s="39">
        <v>29.8</v>
      </c>
      <c r="AA10" s="280">
        <v>30.1</v>
      </c>
      <c r="AB10" s="90">
        <v>528400</v>
      </c>
      <c r="AC10" s="187">
        <v>30.1</v>
      </c>
      <c r="AD10" s="2">
        <f t="shared" si="0"/>
        <v>0.5</v>
      </c>
      <c r="AE10" s="131">
        <f t="shared" si="1"/>
        <v>8.3752093802345051E-3</v>
      </c>
    </row>
    <row r="11" spans="1:40" x14ac:dyDescent="0.25">
      <c r="O11" s="11" t="s">
        <v>173</v>
      </c>
      <c r="Q11" s="131">
        <v>0</v>
      </c>
      <c r="W11" s="89">
        <v>42817</v>
      </c>
      <c r="X11" s="280">
        <v>30.09</v>
      </c>
      <c r="Y11" s="39">
        <v>30.2</v>
      </c>
      <c r="Z11" s="39">
        <v>29.79</v>
      </c>
      <c r="AA11" s="280">
        <v>29.85</v>
      </c>
      <c r="AB11" s="90">
        <v>276500</v>
      </c>
      <c r="AC11" s="187">
        <v>29.85</v>
      </c>
      <c r="AD11" s="2">
        <f t="shared" si="0"/>
        <v>0.41000000000000014</v>
      </c>
      <c r="AE11" s="131">
        <f t="shared" si="1"/>
        <v>-8.3056478405315604E-3</v>
      </c>
      <c r="AK11" s="178"/>
      <c r="AN11" s="178"/>
    </row>
    <row r="12" spans="1:40" x14ac:dyDescent="0.25">
      <c r="W12" s="89">
        <v>42816</v>
      </c>
      <c r="X12" s="280">
        <v>30.32</v>
      </c>
      <c r="Y12" s="39">
        <v>30.42</v>
      </c>
      <c r="Z12" s="39">
        <v>29.93</v>
      </c>
      <c r="AA12" s="280">
        <v>30.1</v>
      </c>
      <c r="AB12" s="90">
        <v>235400</v>
      </c>
      <c r="AC12" s="187">
        <v>30.1</v>
      </c>
      <c r="AD12" s="2">
        <f t="shared" si="0"/>
        <v>0.49000000000000199</v>
      </c>
      <c r="AE12" s="131">
        <f t="shared" si="1"/>
        <v>-8.2372322899505468E-3</v>
      </c>
    </row>
    <row r="13" spans="1:40" x14ac:dyDescent="0.25">
      <c r="W13" s="89">
        <v>42815</v>
      </c>
      <c r="X13" s="280">
        <v>30.91</v>
      </c>
      <c r="Y13" s="39">
        <v>31.31</v>
      </c>
      <c r="Z13" s="39">
        <v>30.28</v>
      </c>
      <c r="AA13" s="280">
        <v>30.35</v>
      </c>
      <c r="AB13" s="90">
        <v>607200</v>
      </c>
      <c r="AC13" s="187">
        <v>30.35</v>
      </c>
      <c r="AD13" s="2">
        <f t="shared" si="0"/>
        <v>1.0299999999999976</v>
      </c>
      <c r="AE13" s="131">
        <f t="shared" si="1"/>
        <v>-1.3970110461338558E-2</v>
      </c>
      <c r="AK13" s="178"/>
      <c r="AN13" s="178"/>
    </row>
    <row r="14" spans="1:40" x14ac:dyDescent="0.25">
      <c r="T14" s="79"/>
      <c r="U14" s="11"/>
      <c r="W14" s="89">
        <v>42814</v>
      </c>
      <c r="X14" s="280">
        <v>31.09</v>
      </c>
      <c r="Y14" s="39">
        <v>31.38</v>
      </c>
      <c r="Z14" s="39">
        <v>30.62</v>
      </c>
      <c r="AA14" s="280">
        <v>30.78</v>
      </c>
      <c r="AB14" s="90">
        <v>1149200</v>
      </c>
      <c r="AC14" s="187">
        <v>30.78</v>
      </c>
      <c r="AD14" s="2">
        <f t="shared" si="0"/>
        <v>0.75999999999999801</v>
      </c>
      <c r="AE14" s="131">
        <f t="shared" si="1"/>
        <v>-1.028938906752408E-2</v>
      </c>
    </row>
    <row r="15" spans="1:40" x14ac:dyDescent="0.25">
      <c r="W15" s="89">
        <v>42811</v>
      </c>
      <c r="X15" s="280">
        <v>31.19</v>
      </c>
      <c r="Y15" s="39">
        <v>31.23</v>
      </c>
      <c r="Z15" s="39">
        <v>30.79</v>
      </c>
      <c r="AA15" s="280">
        <v>31.1</v>
      </c>
      <c r="AB15" s="90">
        <v>314400</v>
      </c>
      <c r="AC15" s="187">
        <v>31.1</v>
      </c>
      <c r="AD15" s="2">
        <f t="shared" si="0"/>
        <v>0.44000000000000128</v>
      </c>
      <c r="AE15" s="131">
        <f t="shared" si="1"/>
        <v>-2.8855402372555128E-3</v>
      </c>
      <c r="AK15" s="178"/>
      <c r="AN15" s="178"/>
    </row>
    <row r="16" spans="1:40" x14ac:dyDescent="0.25">
      <c r="W16" s="89">
        <v>42810</v>
      </c>
      <c r="X16" s="280">
        <v>31.31</v>
      </c>
      <c r="Y16" s="39">
        <v>31.51</v>
      </c>
      <c r="Z16" s="39">
        <v>31.02</v>
      </c>
      <c r="AA16" s="280">
        <v>31.19</v>
      </c>
      <c r="AB16" s="90">
        <v>345600</v>
      </c>
      <c r="AC16" s="187">
        <v>31.19</v>
      </c>
      <c r="AD16" s="2">
        <f t="shared" si="0"/>
        <v>0.49000000000000199</v>
      </c>
      <c r="AE16" s="131">
        <f t="shared" si="1"/>
        <v>-3.5143769968051242E-3</v>
      </c>
    </row>
    <row r="17" spans="1:40" x14ac:dyDescent="0.25">
      <c r="W17" s="89">
        <v>42809</v>
      </c>
      <c r="X17" s="280">
        <v>30.8</v>
      </c>
      <c r="Y17" s="39">
        <v>31.58</v>
      </c>
      <c r="Z17" s="39">
        <v>30.8</v>
      </c>
      <c r="AA17" s="280">
        <v>31.3</v>
      </c>
      <c r="AB17" s="90">
        <v>598800</v>
      </c>
      <c r="AC17" s="187">
        <v>31.3</v>
      </c>
      <c r="AD17" s="2">
        <f t="shared" si="0"/>
        <v>0.77999999999999758</v>
      </c>
      <c r="AE17" s="131">
        <f t="shared" si="1"/>
        <v>1.065547303842429E-2</v>
      </c>
      <c r="AK17" s="178"/>
      <c r="AN17" s="178"/>
    </row>
    <row r="18" spans="1:40" x14ac:dyDescent="0.25">
      <c r="A18" s="31" t="s">
        <v>81</v>
      </c>
      <c r="B18" s="14"/>
      <c r="C18" s="14">
        <f>SUM(C2:C6)</f>
        <v>0</v>
      </c>
      <c r="D18" s="14"/>
      <c r="E18" s="14"/>
      <c r="F18" s="18">
        <f>SUM(F2:F6)</f>
        <v>0</v>
      </c>
      <c r="G18" s="18"/>
      <c r="H18" s="68">
        <f>SUM(H2:H6)</f>
        <v>0</v>
      </c>
      <c r="I18" s="18"/>
      <c r="J18" s="18"/>
      <c r="K18" s="18">
        <f>SUM(K2:K6)</f>
        <v>0</v>
      </c>
      <c r="L18" s="18"/>
      <c r="M18" s="18">
        <f>SUM(M2:M6)</f>
        <v>0</v>
      </c>
      <c r="W18" s="89">
        <v>42808</v>
      </c>
      <c r="X18" s="280">
        <v>31</v>
      </c>
      <c r="Y18" s="39">
        <v>31.02</v>
      </c>
      <c r="Z18" s="39">
        <v>30.66</v>
      </c>
      <c r="AA18" s="280">
        <v>30.97</v>
      </c>
      <c r="AB18" s="90">
        <v>236500</v>
      </c>
      <c r="AC18" s="187">
        <v>30.97</v>
      </c>
      <c r="AD18" s="2">
        <f t="shared" si="0"/>
        <v>0.35999999999999943</v>
      </c>
      <c r="AE18" s="131">
        <f t="shared" si="1"/>
        <v>-2.8976175144881378E-3</v>
      </c>
    </row>
    <row r="19" spans="1:40" x14ac:dyDescent="0.25">
      <c r="W19" s="89">
        <v>42807</v>
      </c>
      <c r="X19" s="280">
        <v>30.56</v>
      </c>
      <c r="Y19" s="39">
        <v>31.14</v>
      </c>
      <c r="Z19" s="39">
        <v>30.56</v>
      </c>
      <c r="AA19" s="280">
        <v>31.06</v>
      </c>
      <c r="AB19" s="90">
        <v>348200</v>
      </c>
      <c r="AC19" s="187">
        <v>31.06</v>
      </c>
      <c r="AD19" s="2">
        <f t="shared" si="0"/>
        <v>0.58000000000000185</v>
      </c>
      <c r="AE19" s="131">
        <f t="shared" si="1"/>
        <v>6.8071312803887896E-3</v>
      </c>
      <c r="AK19" s="178"/>
      <c r="AN19" s="178"/>
    </row>
    <row r="20" spans="1:40" x14ac:dyDescent="0.25">
      <c r="B20" s="159" t="s">
        <v>113</v>
      </c>
      <c r="C20" s="159" t="s">
        <v>143</v>
      </c>
      <c r="D20" s="160" t="s">
        <v>142</v>
      </c>
      <c r="E20" s="162" t="s">
        <v>144</v>
      </c>
      <c r="F20" s="162" t="s">
        <v>65</v>
      </c>
      <c r="G20" s="173" t="s">
        <v>148</v>
      </c>
      <c r="H20" s="173" t="s">
        <v>88</v>
      </c>
      <c r="I20" s="173" t="s">
        <v>151</v>
      </c>
      <c r="W20" s="89">
        <v>42804</v>
      </c>
      <c r="X20" s="280">
        <v>30.96</v>
      </c>
      <c r="Y20" s="39">
        <v>30.98</v>
      </c>
      <c r="Z20" s="39">
        <v>30.6</v>
      </c>
      <c r="AA20" s="280">
        <v>30.85</v>
      </c>
      <c r="AB20" s="90">
        <v>256300</v>
      </c>
      <c r="AC20" s="187">
        <v>30.85</v>
      </c>
      <c r="AD20" s="2">
        <f t="shared" si="0"/>
        <v>0.37999999999999901</v>
      </c>
      <c r="AE20" s="131">
        <f t="shared" si="1"/>
        <v>1.9486846378695688E-3</v>
      </c>
    </row>
    <row r="21" spans="1:40" x14ac:dyDescent="0.25">
      <c r="B21" s="161"/>
      <c r="C21" s="10"/>
      <c r="D21" s="39"/>
      <c r="E21" s="39"/>
      <c r="F21" s="39"/>
      <c r="G21" s="39"/>
      <c r="H21" s="175"/>
      <c r="I21" s="39"/>
      <c r="W21" s="89">
        <v>42803</v>
      </c>
      <c r="X21" s="280">
        <v>30.79</v>
      </c>
      <c r="Y21" s="39">
        <v>30.9</v>
      </c>
      <c r="Z21" s="39">
        <v>30.61</v>
      </c>
      <c r="AA21" s="280">
        <v>30.79</v>
      </c>
      <c r="AB21" s="90">
        <v>235100</v>
      </c>
      <c r="AC21" s="187">
        <v>30.79</v>
      </c>
      <c r="AD21" s="2">
        <f t="shared" si="0"/>
        <v>0.28999999999999915</v>
      </c>
      <c r="AE21" s="131">
        <f t="shared" si="1"/>
        <v>-3.2467532467539417E-4</v>
      </c>
      <c r="AK21" s="178"/>
      <c r="AN21" s="178"/>
    </row>
    <row r="22" spans="1:40" x14ac:dyDescent="0.25">
      <c r="B22" s="161"/>
      <c r="C22" s="10"/>
      <c r="D22" s="39"/>
      <c r="E22" s="39"/>
      <c r="F22" s="39"/>
      <c r="G22" s="39"/>
      <c r="H22" s="175"/>
      <c r="I22" s="39"/>
      <c r="W22" s="89">
        <v>42802</v>
      </c>
      <c r="X22" s="280">
        <v>30.76</v>
      </c>
      <c r="Y22" s="39">
        <v>30.88</v>
      </c>
      <c r="Z22" s="39">
        <v>30.63</v>
      </c>
      <c r="AA22" s="280">
        <v>30.8</v>
      </c>
      <c r="AB22" s="90">
        <v>254700</v>
      </c>
      <c r="AC22" s="187">
        <v>30.8</v>
      </c>
      <c r="AD22" s="2">
        <f t="shared" si="0"/>
        <v>0.25</v>
      </c>
      <c r="AE22" s="131">
        <f t="shared" si="1"/>
        <v>2.277904328018332E-3</v>
      </c>
    </row>
    <row r="23" spans="1:40" x14ac:dyDescent="0.25">
      <c r="B23" s="161"/>
      <c r="C23" s="10"/>
      <c r="D23" s="39"/>
      <c r="E23" s="39"/>
      <c r="F23" s="39"/>
      <c r="G23" s="39"/>
      <c r="H23" s="175"/>
      <c r="I23" s="39"/>
      <c r="W23" s="89">
        <v>42801</v>
      </c>
      <c r="X23" s="280">
        <v>31.07</v>
      </c>
      <c r="Y23" s="39">
        <v>31.09</v>
      </c>
      <c r="Z23" s="39">
        <v>30.67</v>
      </c>
      <c r="AA23" s="280">
        <v>30.73</v>
      </c>
      <c r="AB23" s="90">
        <v>319300</v>
      </c>
      <c r="AC23" s="187">
        <v>30.73</v>
      </c>
      <c r="AD23" s="2">
        <f t="shared" si="0"/>
        <v>0.41999999999999815</v>
      </c>
      <c r="AE23" s="131">
        <f t="shared" si="1"/>
        <v>-1.1261261261261146E-2</v>
      </c>
      <c r="AK23" s="178"/>
    </row>
    <row r="24" spans="1:40" x14ac:dyDescent="0.25">
      <c r="B24" s="161"/>
      <c r="C24" s="10"/>
      <c r="D24" s="39"/>
      <c r="E24" s="39"/>
      <c r="F24" s="39"/>
      <c r="G24" s="39"/>
      <c r="H24" s="175"/>
      <c r="I24" s="39"/>
      <c r="W24" s="89">
        <v>42800</v>
      </c>
      <c r="X24" s="280">
        <v>31.01</v>
      </c>
      <c r="Y24" s="39">
        <v>31.24</v>
      </c>
      <c r="Z24" s="39">
        <v>30.93</v>
      </c>
      <c r="AA24" s="280">
        <v>31.08</v>
      </c>
      <c r="AB24" s="90">
        <v>348500</v>
      </c>
      <c r="AC24" s="187">
        <v>31.08</v>
      </c>
      <c r="AD24" s="2">
        <f t="shared" si="0"/>
        <v>0.30999999999999872</v>
      </c>
      <c r="AE24" s="131">
        <f t="shared" si="1"/>
        <v>-2.2471910112359383E-3</v>
      </c>
    </row>
    <row r="25" spans="1:40" x14ac:dyDescent="0.25">
      <c r="B25" s="161"/>
      <c r="C25" s="10"/>
      <c r="D25" s="39"/>
      <c r="E25" s="39"/>
      <c r="F25" s="39"/>
      <c r="G25" s="39"/>
      <c r="H25" s="175"/>
      <c r="I25" s="39"/>
      <c r="W25" s="89">
        <v>42797</v>
      </c>
      <c r="X25" s="280">
        <v>31.1</v>
      </c>
      <c r="Y25" s="39">
        <v>31.36</v>
      </c>
      <c r="Z25" s="39">
        <v>31.03</v>
      </c>
      <c r="AA25" s="280">
        <v>31.15</v>
      </c>
      <c r="AB25" s="90">
        <v>706300</v>
      </c>
      <c r="AC25" s="187">
        <v>31.15</v>
      </c>
      <c r="AD25" s="2">
        <f t="shared" si="0"/>
        <v>0.32999999999999829</v>
      </c>
      <c r="AE25" s="131">
        <f t="shared" si="1"/>
        <v>-7.9617834394904996E-3</v>
      </c>
    </row>
    <row r="26" spans="1:40" x14ac:dyDescent="0.25">
      <c r="B26" s="161"/>
      <c r="C26" s="10"/>
      <c r="D26" s="39"/>
      <c r="E26" s="39"/>
      <c r="F26" s="39"/>
      <c r="G26" s="39"/>
      <c r="H26" s="175"/>
      <c r="I26" s="39"/>
      <c r="W26" s="89">
        <v>42796</v>
      </c>
      <c r="X26" s="280">
        <v>31.54</v>
      </c>
      <c r="Y26" s="39">
        <v>31.54</v>
      </c>
      <c r="Z26" s="39">
        <v>31.24</v>
      </c>
      <c r="AA26" s="280">
        <v>31.4</v>
      </c>
      <c r="AB26" s="90">
        <v>283100</v>
      </c>
      <c r="AC26" s="187">
        <v>31.4</v>
      </c>
      <c r="AD26" s="2">
        <f t="shared" si="0"/>
        <v>0.30000000000000071</v>
      </c>
      <c r="AE26" s="131">
        <f t="shared" si="1"/>
        <v>-2.8580501746585663E-3</v>
      </c>
    </row>
    <row r="27" spans="1:40" x14ac:dyDescent="0.25">
      <c r="B27" s="161"/>
      <c r="C27" s="10"/>
      <c r="D27" s="39"/>
      <c r="E27" s="39"/>
      <c r="F27" s="39"/>
      <c r="G27" s="39"/>
      <c r="H27" s="175"/>
      <c r="I27" s="39"/>
      <c r="W27" s="89">
        <v>42795</v>
      </c>
      <c r="X27" s="280">
        <v>31.49</v>
      </c>
      <c r="Y27" s="39">
        <v>31.77</v>
      </c>
      <c r="Z27" s="39">
        <v>31.3</v>
      </c>
      <c r="AA27" s="280">
        <v>31.49</v>
      </c>
      <c r="AB27" s="90">
        <v>375800</v>
      </c>
      <c r="AC27" s="187">
        <v>31.49</v>
      </c>
      <c r="AD27" s="2">
        <f t="shared" si="0"/>
        <v>0.46999999999999886</v>
      </c>
      <c r="AE27" s="131">
        <f t="shared" si="1"/>
        <v>1.9090041361755627E-3</v>
      </c>
    </row>
    <row r="28" spans="1:40" x14ac:dyDescent="0.25">
      <c r="B28" s="161"/>
      <c r="C28" s="10"/>
      <c r="D28" s="39"/>
      <c r="E28" s="39"/>
      <c r="F28" s="39"/>
      <c r="G28" s="39"/>
      <c r="H28" s="175"/>
      <c r="I28" s="39"/>
      <c r="W28" s="89">
        <v>42794</v>
      </c>
      <c r="X28" s="280">
        <v>31.82</v>
      </c>
      <c r="Y28" s="39">
        <v>32.03</v>
      </c>
      <c r="Z28" s="39">
        <v>31.29</v>
      </c>
      <c r="AA28" s="280">
        <v>31.43</v>
      </c>
      <c r="AB28" s="90">
        <v>613700</v>
      </c>
      <c r="AC28" s="187">
        <v>31.43</v>
      </c>
      <c r="AD28" s="2">
        <f t="shared" si="0"/>
        <v>0.74000000000000199</v>
      </c>
      <c r="AE28" s="131">
        <f t="shared" si="1"/>
        <v>-1.9344773790951564E-2</v>
      </c>
    </row>
    <row r="29" spans="1:40" x14ac:dyDescent="0.25">
      <c r="B29" s="161"/>
      <c r="C29" s="10"/>
      <c r="D29" s="39"/>
      <c r="E29" s="39"/>
      <c r="F29" s="39"/>
      <c r="G29" s="39"/>
      <c r="H29" s="175"/>
      <c r="I29" s="39"/>
      <c r="W29" s="89">
        <v>42793</v>
      </c>
      <c r="X29" s="280">
        <v>31.32</v>
      </c>
      <c r="Y29" s="39">
        <v>32.07</v>
      </c>
      <c r="Z29" s="39">
        <v>31.18</v>
      </c>
      <c r="AA29" s="280">
        <v>32.049999999999997</v>
      </c>
      <c r="AB29" s="90">
        <v>922800</v>
      </c>
      <c r="AC29" s="187">
        <v>32.049999999999997</v>
      </c>
      <c r="AD29" s="2">
        <f t="shared" si="0"/>
        <v>0.89000000000000057</v>
      </c>
      <c r="AE29" s="131">
        <f t="shared" si="1"/>
        <v>2.2654754307594116E-2</v>
      </c>
    </row>
    <row r="30" spans="1:40" x14ac:dyDescent="0.25">
      <c r="B30" s="161"/>
      <c r="C30" s="10"/>
      <c r="D30" s="39"/>
      <c r="E30" s="39"/>
      <c r="F30" s="39"/>
      <c r="G30" s="39"/>
      <c r="H30" s="175"/>
      <c r="I30" s="39"/>
      <c r="W30" s="89">
        <v>42790</v>
      </c>
      <c r="X30" s="280">
        <v>31.28</v>
      </c>
      <c r="Y30" s="39">
        <v>31.45</v>
      </c>
      <c r="Z30" s="39">
        <v>31.25</v>
      </c>
      <c r="AA30" s="280">
        <v>31.34</v>
      </c>
      <c r="AB30" s="90">
        <v>561000</v>
      </c>
      <c r="AC30" s="187">
        <v>31.34</v>
      </c>
      <c r="AD30" s="2">
        <f t="shared" si="0"/>
        <v>0.19999999999999929</v>
      </c>
      <c r="AE30" s="131">
        <f t="shared" si="1"/>
        <v>-3.1806615776082126E-3</v>
      </c>
    </row>
    <row r="31" spans="1:40" x14ac:dyDescent="0.25">
      <c r="B31" s="161"/>
      <c r="C31" s="10"/>
      <c r="D31" s="39"/>
      <c r="E31" s="39"/>
      <c r="F31" s="39"/>
      <c r="G31" s="39"/>
      <c r="H31" s="175"/>
      <c r="I31" s="39"/>
      <c r="W31" s="89">
        <v>42789</v>
      </c>
      <c r="X31" s="280">
        <v>31.69</v>
      </c>
      <c r="Y31" s="39">
        <v>31.82</v>
      </c>
      <c r="Z31" s="39">
        <v>31.39</v>
      </c>
      <c r="AA31" s="280">
        <v>31.44</v>
      </c>
      <c r="AB31" s="90">
        <v>553200</v>
      </c>
      <c r="AC31" s="187">
        <v>31.44</v>
      </c>
      <c r="AD31" s="2">
        <f t="shared" si="0"/>
        <v>0.42999999999999972</v>
      </c>
      <c r="AE31" s="131">
        <f t="shared" si="1"/>
        <v>-9.1396155058304229E-3</v>
      </c>
    </row>
    <row r="32" spans="1:40" x14ac:dyDescent="0.25">
      <c r="B32" s="161"/>
      <c r="C32" s="10"/>
      <c r="D32" s="39"/>
      <c r="E32" s="39"/>
      <c r="F32" s="39"/>
      <c r="G32" s="39"/>
      <c r="H32" s="175"/>
      <c r="I32" s="39"/>
      <c r="W32" s="89">
        <v>42788</v>
      </c>
      <c r="X32" s="280">
        <v>31.5</v>
      </c>
      <c r="Y32" s="39">
        <v>31.98</v>
      </c>
      <c r="Z32" s="39">
        <v>31.5</v>
      </c>
      <c r="AA32" s="280">
        <v>31.73</v>
      </c>
      <c r="AB32" s="90">
        <v>467100</v>
      </c>
      <c r="AC32" s="187">
        <v>31.73</v>
      </c>
      <c r="AD32" s="2">
        <f t="shared" si="0"/>
        <v>0.48000000000000043</v>
      </c>
      <c r="AE32" s="131">
        <f t="shared" si="1"/>
        <v>3.79626700411273E-3</v>
      </c>
    </row>
    <row r="33" spans="1:31" x14ac:dyDescent="0.25">
      <c r="B33" s="161"/>
      <c r="C33" s="10"/>
      <c r="D33" s="39"/>
      <c r="E33" s="39"/>
      <c r="F33" s="39"/>
      <c r="G33" s="39"/>
      <c r="H33" s="175"/>
      <c r="I33" s="39"/>
      <c r="W33" s="89">
        <v>42787</v>
      </c>
      <c r="X33" s="280">
        <v>31.27</v>
      </c>
      <c r="Y33" s="39">
        <v>31.74</v>
      </c>
      <c r="Z33" s="39">
        <v>31.08</v>
      </c>
      <c r="AA33" s="280">
        <v>31.61</v>
      </c>
      <c r="AB33" s="90">
        <v>358700</v>
      </c>
      <c r="AC33" s="187">
        <v>31.61</v>
      </c>
      <c r="AD33" s="2">
        <f t="shared" si="0"/>
        <v>0.66000000000000014</v>
      </c>
      <c r="AE33" s="131">
        <f t="shared" si="1"/>
        <v>8.2934609250397973E-3</v>
      </c>
    </row>
    <row r="34" spans="1:31" x14ac:dyDescent="0.25">
      <c r="B34" s="161"/>
      <c r="C34" s="10"/>
      <c r="D34" s="39"/>
      <c r="E34" s="39"/>
      <c r="F34" s="39"/>
      <c r="G34" s="39"/>
      <c r="H34" s="175"/>
      <c r="I34" s="39"/>
      <c r="W34" s="89">
        <v>42783</v>
      </c>
      <c r="X34" s="280">
        <v>31.19</v>
      </c>
      <c r="Y34" s="39">
        <v>31.41</v>
      </c>
      <c r="Z34" s="39">
        <v>30.97</v>
      </c>
      <c r="AA34" s="280">
        <v>31.35</v>
      </c>
      <c r="AB34" s="90">
        <v>416000</v>
      </c>
      <c r="AC34" s="187">
        <v>31.35</v>
      </c>
      <c r="AD34" s="2">
        <f t="shared" si="0"/>
        <v>0.44000000000000128</v>
      </c>
      <c r="AE34" s="131">
        <f t="shared" si="1"/>
        <v>4.8076923076922906E-3</v>
      </c>
    </row>
    <row r="35" spans="1:31" x14ac:dyDescent="0.25">
      <c r="B35" s="161"/>
      <c r="C35" s="10"/>
      <c r="D35" s="39"/>
      <c r="E35" s="39"/>
      <c r="F35" s="39"/>
      <c r="G35" s="39"/>
      <c r="H35" s="175"/>
      <c r="I35" s="39"/>
      <c r="W35" s="89">
        <v>42782</v>
      </c>
      <c r="X35" s="280">
        <v>31.56</v>
      </c>
      <c r="Y35" s="39">
        <v>31.61</v>
      </c>
      <c r="Z35" s="39">
        <v>31.06</v>
      </c>
      <c r="AA35" s="280">
        <v>31.2</v>
      </c>
      <c r="AB35" s="90">
        <v>459800</v>
      </c>
      <c r="AC35" s="187">
        <v>31.2</v>
      </c>
      <c r="AD35" s="2">
        <f t="shared" si="0"/>
        <v>0.55000000000000071</v>
      </c>
      <c r="AE35" s="131">
        <f t="shared" si="1"/>
        <v>-7.6335877862595547E-3</v>
      </c>
    </row>
    <row r="36" spans="1:31" x14ac:dyDescent="0.25">
      <c r="W36" s="89">
        <v>42781</v>
      </c>
      <c r="X36" s="280">
        <v>31.84</v>
      </c>
      <c r="Y36" s="39">
        <v>31.92</v>
      </c>
      <c r="Z36" s="39">
        <v>31.42</v>
      </c>
      <c r="AA36" s="280">
        <v>31.44</v>
      </c>
      <c r="AB36" s="90">
        <v>501300</v>
      </c>
      <c r="AC36" s="187">
        <v>31.44</v>
      </c>
      <c r="AD36" s="2">
        <f t="shared" si="0"/>
        <v>0.5</v>
      </c>
      <c r="AE36" s="131">
        <f t="shared" si="1"/>
        <v>-1.5962441314553932E-2</v>
      </c>
    </row>
    <row r="37" spans="1:31" x14ac:dyDescent="0.25">
      <c r="L37" t="s">
        <v>201</v>
      </c>
      <c r="M37" s="2">
        <f>M55+K55-F55</f>
        <v>171.89999999999964</v>
      </c>
      <c r="W37" s="89">
        <v>42780</v>
      </c>
      <c r="X37" s="280">
        <v>31.56</v>
      </c>
      <c r="Y37" s="39">
        <v>31.98</v>
      </c>
      <c r="Z37" s="39">
        <v>31.56</v>
      </c>
      <c r="AA37" s="280">
        <v>31.95</v>
      </c>
      <c r="AB37" s="90">
        <v>367800</v>
      </c>
      <c r="AC37" s="187">
        <v>31.95</v>
      </c>
      <c r="AD37" s="2">
        <f t="shared" si="0"/>
        <v>0.42000000000000171</v>
      </c>
      <c r="AE37" s="131">
        <f t="shared" si="1"/>
        <v>1.2678288431061668E-2</v>
      </c>
    </row>
    <row r="38" spans="1:31" x14ac:dyDescent="0.25">
      <c r="A38" s="195" t="s">
        <v>1</v>
      </c>
      <c r="B38" s="195" t="s">
        <v>2</v>
      </c>
      <c r="C38" s="195" t="s">
        <v>4</v>
      </c>
      <c r="D38" s="196" t="s">
        <v>5</v>
      </c>
      <c r="E38" s="196" t="s">
        <v>90</v>
      </c>
      <c r="F38" s="196" t="s">
        <v>60</v>
      </c>
      <c r="G38" s="195" t="s">
        <v>3</v>
      </c>
      <c r="H38" s="195" t="s">
        <v>6</v>
      </c>
      <c r="I38" s="196" t="s">
        <v>7</v>
      </c>
      <c r="J38" s="196" t="s">
        <v>89</v>
      </c>
      <c r="K38" s="196" t="s">
        <v>61</v>
      </c>
      <c r="L38" s="195" t="s">
        <v>77</v>
      </c>
      <c r="M38" s="195" t="s">
        <v>38</v>
      </c>
      <c r="W38" s="89">
        <v>42779</v>
      </c>
      <c r="X38" s="280">
        <v>31.4</v>
      </c>
      <c r="Y38" s="39">
        <v>31.59</v>
      </c>
      <c r="Z38" s="39">
        <v>31.2</v>
      </c>
      <c r="AA38" s="280">
        <v>31.55</v>
      </c>
      <c r="AB38" s="90">
        <v>608400</v>
      </c>
      <c r="AC38" s="187">
        <v>31.55</v>
      </c>
      <c r="AD38" s="2">
        <f t="shared" si="0"/>
        <v>0.39000000000000057</v>
      </c>
      <c r="AE38" s="131">
        <f t="shared" si="1"/>
        <v>7.022023619533968E-3</v>
      </c>
    </row>
    <row r="39" spans="1:31" ht="20.25" thickBot="1" x14ac:dyDescent="0.35">
      <c r="A39" s="197" t="s">
        <v>23</v>
      </c>
      <c r="B39" s="198">
        <v>42619</v>
      </c>
      <c r="C39" s="193">
        <v>50</v>
      </c>
      <c r="D39" s="194">
        <v>31.18</v>
      </c>
      <c r="E39" s="194">
        <v>0</v>
      </c>
      <c r="F39" s="194">
        <f>D39*C39+E39</f>
        <v>1559</v>
      </c>
      <c r="G39" s="198">
        <v>42741</v>
      </c>
      <c r="H39" s="193">
        <v>50</v>
      </c>
      <c r="I39" s="194">
        <v>31.62</v>
      </c>
      <c r="J39" s="194">
        <v>0.03</v>
      </c>
      <c r="K39" s="194">
        <f>I39*H39-J39</f>
        <v>1580.97</v>
      </c>
      <c r="L39" s="198"/>
      <c r="M39" s="194"/>
      <c r="O39" s="11"/>
      <c r="P39" s="886" t="s">
        <v>78</v>
      </c>
      <c r="Q39" s="886"/>
      <c r="R39" s="33"/>
      <c r="T39" s="86" t="s">
        <v>112</v>
      </c>
      <c r="W39" s="89">
        <v>42776</v>
      </c>
      <c r="X39" s="280">
        <v>31.47</v>
      </c>
      <c r="Y39" s="39">
        <v>31.64</v>
      </c>
      <c r="Z39" s="39">
        <v>31.04</v>
      </c>
      <c r="AA39" s="280">
        <v>31.33</v>
      </c>
      <c r="AB39" s="90">
        <v>491100</v>
      </c>
      <c r="AC39" s="187">
        <v>31.33</v>
      </c>
      <c r="AD39" s="2">
        <f t="shared" si="0"/>
        <v>0.60000000000000142</v>
      </c>
      <c r="AE39" s="131">
        <f t="shared" si="1"/>
        <v>-4.4486812837623013E-3</v>
      </c>
    </row>
    <row r="40" spans="1:31" ht="15.75" thickTop="1" x14ac:dyDescent="0.25">
      <c r="A40" s="200" t="s">
        <v>71</v>
      </c>
      <c r="B40" s="69">
        <v>42773</v>
      </c>
      <c r="C40">
        <v>100</v>
      </c>
      <c r="D40" s="2">
        <v>29.28</v>
      </c>
      <c r="E40" s="2">
        <v>0</v>
      </c>
      <c r="F40" s="2">
        <f>C40*D40+E40</f>
        <v>2928</v>
      </c>
      <c r="G40" s="69">
        <v>42804</v>
      </c>
      <c r="H40">
        <v>100</v>
      </c>
      <c r="I40" s="2">
        <v>30.78</v>
      </c>
      <c r="J40" s="2">
        <v>7.0000000000000007E-2</v>
      </c>
      <c r="K40" s="2">
        <f>H40*I40-J40</f>
        <v>3077.93</v>
      </c>
      <c r="L40" s="1"/>
      <c r="M40" s="193"/>
      <c r="O40" s="2"/>
      <c r="P40" s="78">
        <v>1.1000000000000001</v>
      </c>
      <c r="Q40" s="78">
        <f>P40*$Q$4</f>
        <v>38.093000000000004</v>
      </c>
      <c r="R40" s="33"/>
      <c r="T40" s="92" t="s">
        <v>97</v>
      </c>
      <c r="U40" s="123">
        <v>31.79</v>
      </c>
      <c r="W40" s="89">
        <v>42775</v>
      </c>
      <c r="X40" s="280">
        <v>31.14</v>
      </c>
      <c r="Y40" s="39">
        <v>31.56</v>
      </c>
      <c r="Z40" s="39">
        <v>31.02</v>
      </c>
      <c r="AA40" s="280">
        <v>31.47</v>
      </c>
      <c r="AB40" s="90">
        <v>597900</v>
      </c>
      <c r="AC40" s="187">
        <v>31.47</v>
      </c>
      <c r="AD40" s="2">
        <f t="shared" si="0"/>
        <v>0.53999999999999915</v>
      </c>
      <c r="AE40" s="131">
        <f t="shared" si="1"/>
        <v>1.2548262548262468E-2</v>
      </c>
    </row>
    <row r="41" spans="1:31" x14ac:dyDescent="0.25">
      <c r="A41" s="193"/>
      <c r="B41" s="198"/>
      <c r="C41" s="193"/>
      <c r="D41" s="194"/>
      <c r="E41" s="194"/>
      <c r="F41" s="194"/>
      <c r="G41" s="198"/>
      <c r="H41" s="199"/>
      <c r="I41" s="194"/>
      <c r="J41" s="194"/>
      <c r="K41" s="194"/>
      <c r="L41" s="193"/>
      <c r="M41" s="193"/>
      <c r="O41" s="2"/>
      <c r="P41" s="78">
        <v>1.0900000000000001</v>
      </c>
      <c r="Q41" s="78">
        <f t="shared" ref="Q41:Q60" si="2">P41*$Q$4</f>
        <v>37.746700000000004</v>
      </c>
      <c r="R41" s="33"/>
      <c r="T41" s="82" t="s">
        <v>98</v>
      </c>
      <c r="U41" s="124">
        <v>31.9</v>
      </c>
      <c r="W41" s="89">
        <v>42774</v>
      </c>
      <c r="X41" s="280">
        <v>30.82</v>
      </c>
      <c r="Y41" s="39">
        <v>31.19</v>
      </c>
      <c r="Z41" s="39">
        <v>30.72</v>
      </c>
      <c r="AA41" s="280">
        <v>31.08</v>
      </c>
      <c r="AB41" s="90">
        <v>950100</v>
      </c>
      <c r="AC41" s="187">
        <v>31.08</v>
      </c>
      <c r="AD41" s="2">
        <f t="shared" si="0"/>
        <v>0.47000000000000242</v>
      </c>
      <c r="AE41" s="131">
        <f t="shared" si="1"/>
        <v>1.073170731707318E-2</v>
      </c>
    </row>
    <row r="42" spans="1:31" x14ac:dyDescent="0.25">
      <c r="A42" s="193"/>
      <c r="B42" s="198"/>
      <c r="C42" s="193"/>
      <c r="D42" s="194"/>
      <c r="E42" s="194"/>
      <c r="F42" s="194"/>
      <c r="G42" s="198"/>
      <c r="H42" s="199"/>
      <c r="I42" s="194"/>
      <c r="J42" s="194"/>
      <c r="K42" s="194"/>
      <c r="L42" s="193"/>
      <c r="M42" s="193"/>
      <c r="O42" s="2"/>
      <c r="P42" s="78">
        <v>1.08</v>
      </c>
      <c r="Q42" s="78">
        <f t="shared" si="2"/>
        <v>37.400400000000005</v>
      </c>
      <c r="R42" s="33"/>
      <c r="T42" s="82" t="s">
        <v>99</v>
      </c>
      <c r="U42" s="124" t="s">
        <v>128</v>
      </c>
      <c r="W42" s="89">
        <v>42773</v>
      </c>
      <c r="X42" s="280">
        <v>31.54</v>
      </c>
      <c r="Y42" s="39">
        <v>31.9</v>
      </c>
      <c r="Z42" s="39">
        <v>29.15</v>
      </c>
      <c r="AA42" s="280">
        <v>30.75</v>
      </c>
      <c r="AB42" s="90">
        <v>2003200</v>
      </c>
      <c r="AC42" s="187">
        <v>30.75</v>
      </c>
      <c r="AD42" s="2">
        <f t="shared" si="0"/>
        <v>2.75</v>
      </c>
      <c r="AE42" s="131">
        <f t="shared" si="1"/>
        <v>-4.4437538844002478E-2</v>
      </c>
    </row>
    <row r="43" spans="1:31" x14ac:dyDescent="0.25">
      <c r="A43" s="193"/>
      <c r="B43" s="193"/>
      <c r="C43" s="193"/>
      <c r="D43" s="194"/>
      <c r="E43" s="194"/>
      <c r="F43" s="194"/>
      <c r="G43" s="193"/>
      <c r="H43" s="199"/>
      <c r="I43" s="194"/>
      <c r="J43" s="194"/>
      <c r="K43" s="194"/>
      <c r="L43" s="193"/>
      <c r="M43" s="193"/>
      <c r="O43" s="2"/>
      <c r="P43" s="78">
        <v>1.07</v>
      </c>
      <c r="Q43" s="78">
        <f t="shared" si="2"/>
        <v>37.054100000000005</v>
      </c>
      <c r="R43" s="78"/>
      <c r="T43" s="82" t="s">
        <v>100</v>
      </c>
      <c r="U43" s="124" t="s">
        <v>476</v>
      </c>
      <c r="W43" s="89">
        <v>42772</v>
      </c>
      <c r="X43" s="280">
        <v>31.72</v>
      </c>
      <c r="Y43" s="39">
        <v>32.26</v>
      </c>
      <c r="Z43" s="39">
        <v>31.58</v>
      </c>
      <c r="AA43" s="280">
        <v>32.18</v>
      </c>
      <c r="AB43" s="90">
        <v>704900</v>
      </c>
      <c r="AC43" s="187">
        <v>32.18</v>
      </c>
      <c r="AD43" s="2">
        <f t="shared" si="0"/>
        <v>0.67999999999999972</v>
      </c>
      <c r="AE43" s="131">
        <f t="shared" si="1"/>
        <v>1.0678391959799027E-2</v>
      </c>
    </row>
    <row r="44" spans="1:31" x14ac:dyDescent="0.25">
      <c r="A44" s="193"/>
      <c r="B44" s="193"/>
      <c r="C44" s="193"/>
      <c r="D44" s="194"/>
      <c r="E44" s="194"/>
      <c r="F44" s="194"/>
      <c r="G44" s="193"/>
      <c r="H44" s="193"/>
      <c r="I44" s="194"/>
      <c r="J44" s="194"/>
      <c r="K44" s="194"/>
      <c r="L44" s="193"/>
      <c r="M44" s="193"/>
      <c r="O44" s="2"/>
      <c r="P44" s="78">
        <v>1.06</v>
      </c>
      <c r="Q44" s="78">
        <f t="shared" si="2"/>
        <v>36.707800000000006</v>
      </c>
      <c r="R44" s="78"/>
      <c r="T44" s="82" t="s">
        <v>101</v>
      </c>
      <c r="U44" s="124">
        <v>37.67</v>
      </c>
      <c r="W44" s="89">
        <v>42769</v>
      </c>
      <c r="X44" s="280">
        <v>31.43</v>
      </c>
      <c r="Y44" s="39">
        <v>32.03</v>
      </c>
      <c r="Z44" s="39">
        <v>31.37</v>
      </c>
      <c r="AA44" s="280">
        <v>31.84</v>
      </c>
      <c r="AB44" s="90">
        <v>503400</v>
      </c>
      <c r="AC44" s="187">
        <v>31.84</v>
      </c>
      <c r="AD44" s="2">
        <f t="shared" si="0"/>
        <v>0.66000000000000014</v>
      </c>
      <c r="AE44" s="131">
        <f t="shared" si="1"/>
        <v>1.1435832274459878E-2</v>
      </c>
    </row>
    <row r="45" spans="1:31" x14ac:dyDescent="0.25">
      <c r="A45" s="193"/>
      <c r="B45" s="193"/>
      <c r="C45" s="193"/>
      <c r="D45" s="194"/>
      <c r="E45" s="194"/>
      <c r="F45" s="194"/>
      <c r="G45" s="193"/>
      <c r="H45" s="193"/>
      <c r="I45" s="194"/>
      <c r="J45" s="194"/>
      <c r="K45" s="194"/>
      <c r="L45" s="193"/>
      <c r="M45" s="193"/>
      <c r="O45" s="2"/>
      <c r="P45" s="78">
        <v>1.05</v>
      </c>
      <c r="Q45" s="78">
        <f t="shared" si="2"/>
        <v>36.361500000000007</v>
      </c>
      <c r="R45" s="78"/>
      <c r="T45" s="82" t="s">
        <v>102</v>
      </c>
      <c r="U45" s="124">
        <v>0.445183</v>
      </c>
      <c r="W45" s="89">
        <v>42768</v>
      </c>
      <c r="X45" s="280">
        <v>31.7</v>
      </c>
      <c r="Y45" s="39">
        <v>31.83</v>
      </c>
      <c r="Z45" s="39">
        <v>31.37</v>
      </c>
      <c r="AA45" s="280">
        <v>31.48</v>
      </c>
      <c r="AB45" s="90">
        <v>417200</v>
      </c>
      <c r="AC45" s="187">
        <v>31.48</v>
      </c>
      <c r="AD45" s="2">
        <f t="shared" si="0"/>
        <v>0.4599999999999973</v>
      </c>
      <c r="AE45" s="131">
        <f t="shared" si="1"/>
        <v>-5.3712480252764427E-3</v>
      </c>
    </row>
    <row r="46" spans="1:31" x14ac:dyDescent="0.25">
      <c r="A46" s="193"/>
      <c r="B46" s="193"/>
      <c r="C46" s="193"/>
      <c r="D46" s="194"/>
      <c r="E46" s="194"/>
      <c r="F46" s="194"/>
      <c r="G46" s="193"/>
      <c r="H46" s="193"/>
      <c r="I46" s="194"/>
      <c r="J46" s="194"/>
      <c r="K46" s="194"/>
      <c r="L46" s="193"/>
      <c r="M46" s="193"/>
      <c r="O46" s="2"/>
      <c r="P46" s="78">
        <v>1.04</v>
      </c>
      <c r="Q46" s="78">
        <f t="shared" si="2"/>
        <v>36.015200000000007</v>
      </c>
      <c r="R46" s="78"/>
      <c r="T46" s="82" t="s">
        <v>121</v>
      </c>
      <c r="U46" s="176" t="s">
        <v>386</v>
      </c>
      <c r="W46" s="89">
        <v>42767</v>
      </c>
      <c r="X46" s="280">
        <v>31.89</v>
      </c>
      <c r="Y46" s="39">
        <v>32.17</v>
      </c>
      <c r="Z46" s="39">
        <v>31.47</v>
      </c>
      <c r="AA46" s="280">
        <v>31.65</v>
      </c>
      <c r="AB46" s="90">
        <v>357500</v>
      </c>
      <c r="AC46" s="187">
        <v>31.65</v>
      </c>
      <c r="AD46" s="2">
        <f t="shared" si="0"/>
        <v>0.70000000000000284</v>
      </c>
      <c r="AE46" s="131">
        <f t="shared" si="1"/>
        <v>-6.5913370998117449E-3</v>
      </c>
    </row>
    <row r="47" spans="1:31" x14ac:dyDescent="0.25">
      <c r="A47" s="193"/>
      <c r="B47" s="193"/>
      <c r="C47" s="193"/>
      <c r="D47" s="194"/>
      <c r="E47" s="194"/>
      <c r="F47" s="194"/>
      <c r="G47" s="193"/>
      <c r="H47" s="193"/>
      <c r="I47" s="194"/>
      <c r="J47" s="194"/>
      <c r="K47" s="194"/>
      <c r="L47" s="193"/>
      <c r="M47" s="193"/>
      <c r="O47" s="2"/>
      <c r="P47" s="78">
        <v>1.03</v>
      </c>
      <c r="Q47" s="78">
        <f t="shared" si="2"/>
        <v>35.668900000000001</v>
      </c>
      <c r="R47" s="78"/>
      <c r="T47" s="82"/>
      <c r="U47" s="124"/>
      <c r="W47" s="89">
        <v>42766</v>
      </c>
      <c r="X47" s="280">
        <v>31.04</v>
      </c>
      <c r="Y47" s="39">
        <v>31.87</v>
      </c>
      <c r="Z47" s="39">
        <v>30.97</v>
      </c>
      <c r="AA47" s="280">
        <v>31.86</v>
      </c>
      <c r="AB47" s="90">
        <v>623000</v>
      </c>
      <c r="AC47" s="187">
        <v>31.86</v>
      </c>
      <c r="AD47" s="2">
        <f t="shared" si="0"/>
        <v>0.90000000000000213</v>
      </c>
      <c r="AE47" s="131">
        <f t="shared" si="1"/>
        <v>2.774193548387105E-2</v>
      </c>
    </row>
    <row r="48" spans="1:31" x14ac:dyDescent="0.25">
      <c r="A48" s="193"/>
      <c r="B48" s="193"/>
      <c r="C48" s="193"/>
      <c r="D48" s="194"/>
      <c r="E48" s="194"/>
      <c r="F48" s="194"/>
      <c r="G48" s="193"/>
      <c r="H48" s="193"/>
      <c r="I48" s="194"/>
      <c r="J48" s="194"/>
      <c r="K48" s="194"/>
      <c r="L48" s="193"/>
      <c r="M48" s="193"/>
      <c r="O48" s="2"/>
      <c r="P48" s="78">
        <v>1.02</v>
      </c>
      <c r="Q48" s="78">
        <f t="shared" si="2"/>
        <v>35.322600000000001</v>
      </c>
      <c r="R48" s="78"/>
      <c r="T48" s="82" t="s">
        <v>104</v>
      </c>
      <c r="U48" s="124" t="s">
        <v>515</v>
      </c>
      <c r="W48" s="89">
        <v>42765</v>
      </c>
      <c r="X48" s="280">
        <v>31.05</v>
      </c>
      <c r="Y48" s="39">
        <v>31.15</v>
      </c>
      <c r="Z48" s="39">
        <v>30.82</v>
      </c>
      <c r="AA48" s="280">
        <v>31</v>
      </c>
      <c r="AB48" s="90">
        <v>453200</v>
      </c>
      <c r="AC48" s="187">
        <v>31</v>
      </c>
      <c r="AD48" s="2">
        <f t="shared" si="0"/>
        <v>0.32999999999999829</v>
      </c>
      <c r="AE48" s="131">
        <f t="shared" si="1"/>
        <v>-7.0467648942984518E-3</v>
      </c>
    </row>
    <row r="49" spans="1:31" x14ac:dyDescent="0.25">
      <c r="A49" s="193"/>
      <c r="B49" s="193"/>
      <c r="C49" s="193"/>
      <c r="D49" s="194"/>
      <c r="E49" s="194"/>
      <c r="F49" s="194"/>
      <c r="G49" s="193"/>
      <c r="H49" s="193"/>
      <c r="I49" s="194"/>
      <c r="J49" s="194"/>
      <c r="K49" s="194"/>
      <c r="L49" s="193"/>
      <c r="M49" s="193"/>
      <c r="O49" s="2"/>
      <c r="P49" s="78">
        <v>1.01</v>
      </c>
      <c r="Q49" s="78">
        <f t="shared" si="2"/>
        <v>34.976300000000002</v>
      </c>
      <c r="R49" s="78"/>
      <c r="T49" s="82" t="s">
        <v>105</v>
      </c>
      <c r="U49" s="124" t="s">
        <v>310</v>
      </c>
      <c r="W49" s="89">
        <v>42762</v>
      </c>
      <c r="X49" s="280">
        <v>31.63</v>
      </c>
      <c r="Y49" s="39">
        <v>31.63</v>
      </c>
      <c r="Z49" s="39">
        <v>31.03</v>
      </c>
      <c r="AA49" s="280">
        <v>31.22</v>
      </c>
      <c r="AB49" s="90">
        <v>809200</v>
      </c>
      <c r="AC49" s="187">
        <v>31.22</v>
      </c>
      <c r="AD49" s="2">
        <f t="shared" si="0"/>
        <v>0.59999999999999787</v>
      </c>
      <c r="AE49" s="131">
        <f t="shared" si="1"/>
        <v>-9.2034274833386887E-3</v>
      </c>
    </row>
    <row r="50" spans="1:31" x14ac:dyDescent="0.25">
      <c r="A50" s="193"/>
      <c r="B50" s="193"/>
      <c r="C50" s="193"/>
      <c r="D50" s="194"/>
      <c r="E50" s="194"/>
      <c r="F50" s="194"/>
      <c r="G50" s="193"/>
      <c r="H50" s="193"/>
      <c r="I50" s="194"/>
      <c r="J50" s="194"/>
      <c r="K50" s="194"/>
      <c r="L50" s="193"/>
      <c r="M50" s="193"/>
      <c r="O50" s="2"/>
      <c r="P50" s="78">
        <v>1</v>
      </c>
      <c r="Q50" s="78">
        <f t="shared" si="2"/>
        <v>34.630000000000003</v>
      </c>
      <c r="R50" s="78"/>
      <c r="T50" s="82" t="s">
        <v>106</v>
      </c>
      <c r="U50" s="125">
        <v>349106</v>
      </c>
      <c r="W50" s="89">
        <v>42761</v>
      </c>
      <c r="X50" s="280">
        <v>31.42</v>
      </c>
      <c r="Y50" s="39">
        <v>31.8</v>
      </c>
      <c r="Z50" s="39">
        <v>31.27</v>
      </c>
      <c r="AA50" s="280">
        <v>31.51</v>
      </c>
      <c r="AB50" s="90">
        <v>839400</v>
      </c>
      <c r="AC50" s="187">
        <v>31.51</v>
      </c>
      <c r="AD50" s="2">
        <f t="shared" si="0"/>
        <v>0.53000000000000114</v>
      </c>
      <c r="AE50" s="131">
        <f t="shared" si="1"/>
        <v>3.5031847133759619E-3</v>
      </c>
    </row>
    <row r="51" spans="1:31" x14ac:dyDescent="0.25">
      <c r="A51" s="193"/>
      <c r="B51" s="193"/>
      <c r="C51" s="193"/>
      <c r="D51" s="194"/>
      <c r="E51" s="194"/>
      <c r="F51" s="194"/>
      <c r="G51" s="193"/>
      <c r="H51" s="193"/>
      <c r="I51" s="194"/>
      <c r="J51" s="194"/>
      <c r="K51" s="194"/>
      <c r="L51" s="193"/>
      <c r="M51" s="193"/>
      <c r="O51" s="2"/>
      <c r="P51" s="78">
        <v>0.99</v>
      </c>
      <c r="Q51" s="78">
        <f t="shared" si="2"/>
        <v>34.283700000000003</v>
      </c>
      <c r="R51" s="78"/>
      <c r="T51" s="82" t="s">
        <v>109</v>
      </c>
      <c r="U51" s="125">
        <v>511145</v>
      </c>
      <c r="W51" s="89">
        <v>42760</v>
      </c>
      <c r="X51" s="280">
        <v>31.65</v>
      </c>
      <c r="Y51" s="39">
        <v>31.83</v>
      </c>
      <c r="Z51" s="39">
        <v>31.38</v>
      </c>
      <c r="AA51" s="280">
        <v>31.4</v>
      </c>
      <c r="AB51" s="90">
        <v>807700</v>
      </c>
      <c r="AC51" s="187">
        <v>31.4</v>
      </c>
      <c r="AD51" s="2">
        <f t="shared" si="0"/>
        <v>0.44999999999999929</v>
      </c>
      <c r="AE51" s="131">
        <f t="shared" si="1"/>
        <v>-8.5254183770130387E-3</v>
      </c>
    </row>
    <row r="52" spans="1:31" x14ac:dyDescent="0.25">
      <c r="A52" s="193"/>
      <c r="B52" s="193"/>
      <c r="C52" s="193"/>
      <c r="D52" s="194"/>
      <c r="E52" s="194"/>
      <c r="F52" s="194"/>
      <c r="G52" s="193"/>
      <c r="H52" s="193"/>
      <c r="I52" s="194"/>
      <c r="J52" s="194"/>
      <c r="K52" s="194"/>
      <c r="L52" s="193"/>
      <c r="M52" s="193"/>
      <c r="O52" s="2"/>
      <c r="P52" s="78">
        <v>0.98</v>
      </c>
      <c r="Q52" s="78">
        <f t="shared" si="2"/>
        <v>33.937400000000004</v>
      </c>
      <c r="R52" s="78"/>
      <c r="T52" s="82" t="s">
        <v>107</v>
      </c>
      <c r="U52" s="124" t="s">
        <v>516</v>
      </c>
      <c r="W52" s="89">
        <v>42759</v>
      </c>
      <c r="X52" s="280">
        <v>31.76</v>
      </c>
      <c r="Y52" s="39">
        <v>31.84</v>
      </c>
      <c r="Z52" s="39">
        <v>31.32</v>
      </c>
      <c r="AA52" s="280">
        <v>31.67</v>
      </c>
      <c r="AB52" s="90">
        <v>1254600</v>
      </c>
      <c r="AC52" s="187">
        <v>31.67</v>
      </c>
      <c r="AD52" s="2">
        <f t="shared" si="0"/>
        <v>0.51999999999999957</v>
      </c>
      <c r="AE52" s="131">
        <f t="shared" si="1"/>
        <v>-4.0880503144653524E-3</v>
      </c>
    </row>
    <row r="53" spans="1:31" x14ac:dyDescent="0.25">
      <c r="A53" s="193"/>
      <c r="B53" s="193"/>
      <c r="C53" s="193"/>
      <c r="D53" s="194"/>
      <c r="E53" s="194"/>
      <c r="F53" s="194"/>
      <c r="G53" s="193"/>
      <c r="H53" s="193"/>
      <c r="I53" s="194"/>
      <c r="J53" s="194"/>
      <c r="K53" s="194"/>
      <c r="L53" s="193"/>
      <c r="M53" s="193"/>
      <c r="O53" s="2"/>
      <c r="P53" s="78">
        <v>0.97</v>
      </c>
      <c r="Q53" s="78">
        <f t="shared" si="2"/>
        <v>33.591100000000004</v>
      </c>
      <c r="R53" s="78"/>
      <c r="T53" s="82" t="s">
        <v>110</v>
      </c>
      <c r="U53" s="124">
        <v>15.28</v>
      </c>
      <c r="W53" s="89">
        <v>42758</v>
      </c>
      <c r="X53" s="280">
        <v>32.340000000000003</v>
      </c>
      <c r="Y53" s="39">
        <v>32.340000000000003</v>
      </c>
      <c r="Z53" s="39">
        <v>31.79</v>
      </c>
      <c r="AA53" s="280">
        <v>31.8</v>
      </c>
      <c r="AB53" s="90">
        <v>430400</v>
      </c>
      <c r="AC53" s="187">
        <v>31.8</v>
      </c>
      <c r="AD53" s="2">
        <f t="shared" si="0"/>
        <v>0.55000000000000426</v>
      </c>
      <c r="AE53" s="131">
        <f t="shared" si="1"/>
        <v>-1.8215498610682279E-2</v>
      </c>
    </row>
    <row r="54" spans="1:31" x14ac:dyDescent="0.25">
      <c r="A54" s="193"/>
      <c r="B54" s="193"/>
      <c r="C54" s="193"/>
      <c r="D54" s="194"/>
      <c r="E54" s="194"/>
      <c r="F54" s="194"/>
      <c r="G54" s="193"/>
      <c r="H54" s="193"/>
      <c r="I54" s="194"/>
      <c r="J54" s="194"/>
      <c r="K54" s="194"/>
      <c r="L54" s="193"/>
      <c r="M54" s="193"/>
      <c r="O54" s="2"/>
      <c r="P54" s="78">
        <v>0.96</v>
      </c>
      <c r="Q54" s="78">
        <f t="shared" si="2"/>
        <v>33.244799999999998</v>
      </c>
      <c r="R54" s="78"/>
      <c r="T54" s="82" t="s">
        <v>111</v>
      </c>
      <c r="U54" s="124">
        <v>2.0699999999999998</v>
      </c>
      <c r="W54" s="89">
        <v>42755</v>
      </c>
      <c r="X54" s="280">
        <v>32.5</v>
      </c>
      <c r="Y54" s="39">
        <v>32.56</v>
      </c>
      <c r="Z54" s="39">
        <v>32.29</v>
      </c>
      <c r="AA54" s="280">
        <v>32.39</v>
      </c>
      <c r="AB54" s="90">
        <v>214600</v>
      </c>
      <c r="AC54" s="187">
        <v>32.39</v>
      </c>
      <c r="AD54" s="2">
        <f t="shared" si="0"/>
        <v>0.27000000000000313</v>
      </c>
      <c r="AE54" s="131">
        <f t="shared" si="1"/>
        <v>1.2364760432765909E-3</v>
      </c>
    </row>
    <row r="55" spans="1:31" x14ac:dyDescent="0.25">
      <c r="A55" s="31" t="s">
        <v>81</v>
      </c>
      <c r="B55" s="14"/>
      <c r="C55" s="14">
        <f>SUM(C39:C43)</f>
        <v>150</v>
      </c>
      <c r="D55" s="14"/>
      <c r="E55" s="14"/>
      <c r="F55" s="18">
        <f>SUM(F39:F43)</f>
        <v>4487</v>
      </c>
      <c r="G55" s="18"/>
      <c r="H55" s="68">
        <f>SUM(H39:H43)</f>
        <v>150</v>
      </c>
      <c r="I55" s="18"/>
      <c r="J55" s="18"/>
      <c r="K55" s="18">
        <f>SUM(K39:K43)</f>
        <v>4658.8999999999996</v>
      </c>
      <c r="L55" s="18"/>
      <c r="M55" s="18">
        <f>SUM(M39:M43)</f>
        <v>0</v>
      </c>
      <c r="O55" s="2"/>
      <c r="P55" s="78">
        <v>0.95</v>
      </c>
      <c r="Q55" s="78">
        <f t="shared" si="2"/>
        <v>32.898499999999999</v>
      </c>
      <c r="R55" s="78"/>
      <c r="T55" s="82" t="s">
        <v>108</v>
      </c>
      <c r="U55" s="124" t="s">
        <v>122</v>
      </c>
      <c r="W55" s="89">
        <v>42754</v>
      </c>
      <c r="X55" s="280">
        <v>32.69</v>
      </c>
      <c r="Y55" s="39">
        <v>32.79</v>
      </c>
      <c r="Z55" s="39">
        <v>32.33</v>
      </c>
      <c r="AA55" s="280">
        <v>32.35</v>
      </c>
      <c r="AB55" s="90">
        <v>347500</v>
      </c>
      <c r="AC55" s="187">
        <v>32.35</v>
      </c>
      <c r="AD55" s="2">
        <f t="shared" si="0"/>
        <v>0.46000000000000085</v>
      </c>
      <c r="AE55" s="131">
        <f t="shared" si="1"/>
        <v>-1.2816600549282908E-2</v>
      </c>
    </row>
    <row r="56" spans="1:31" x14ac:dyDescent="0.25">
      <c r="O56" s="2"/>
      <c r="P56" s="78">
        <v>0.94</v>
      </c>
      <c r="Q56" s="78">
        <f t="shared" si="2"/>
        <v>32.552199999999999</v>
      </c>
      <c r="R56" s="78"/>
      <c r="W56" s="89">
        <v>42753</v>
      </c>
      <c r="X56" s="280">
        <v>32.75</v>
      </c>
      <c r="Y56" s="39">
        <v>32.86</v>
      </c>
      <c r="Z56" s="39">
        <v>32.4</v>
      </c>
      <c r="AA56" s="280">
        <v>32.770000000000003</v>
      </c>
      <c r="AB56" s="90">
        <v>353000</v>
      </c>
      <c r="AC56" s="187">
        <v>32.770000000000003</v>
      </c>
      <c r="AD56" s="2">
        <f t="shared" si="0"/>
        <v>0.46000000000000085</v>
      </c>
      <c r="AE56" s="131">
        <f t="shared" si="1"/>
        <v>3.9828431372550543E-3</v>
      </c>
    </row>
    <row r="57" spans="1:31" x14ac:dyDescent="0.25">
      <c r="O57" s="2"/>
      <c r="P57" s="78">
        <v>0.93</v>
      </c>
      <c r="Q57" s="78">
        <f t="shared" si="2"/>
        <v>32.205900000000007</v>
      </c>
      <c r="R57" s="78"/>
      <c r="W57" s="89">
        <v>42752</v>
      </c>
      <c r="X57" s="280">
        <v>32.46</v>
      </c>
      <c r="Y57" s="39">
        <v>32.67</v>
      </c>
      <c r="Z57" s="39">
        <v>32.159999999999997</v>
      </c>
      <c r="AA57" s="280">
        <v>32.64</v>
      </c>
      <c r="AB57" s="90">
        <v>283300</v>
      </c>
      <c r="AC57" s="187">
        <v>32.64</v>
      </c>
      <c r="AD57" s="2">
        <f t="shared" si="0"/>
        <v>0.51000000000000512</v>
      </c>
      <c r="AE57" s="131">
        <f t="shared" si="1"/>
        <v>3.6900369003689537E-3</v>
      </c>
    </row>
    <row r="58" spans="1:31" x14ac:dyDescent="0.25">
      <c r="O58" s="2"/>
      <c r="P58" s="78">
        <v>0.92</v>
      </c>
      <c r="Q58" s="78">
        <f t="shared" si="2"/>
        <v>31.859600000000004</v>
      </c>
      <c r="R58" s="78"/>
      <c r="W58" s="89">
        <v>42748</v>
      </c>
      <c r="X58" s="280">
        <v>32.15</v>
      </c>
      <c r="Y58" s="39">
        <v>32.54</v>
      </c>
      <c r="Z58" s="39">
        <v>32.04</v>
      </c>
      <c r="AA58" s="280">
        <v>32.520000000000003</v>
      </c>
      <c r="AB58" s="90">
        <v>257000</v>
      </c>
      <c r="AC58" s="187">
        <v>32.520000000000003</v>
      </c>
      <c r="AD58" s="2">
        <f t="shared" si="0"/>
        <v>0.5</v>
      </c>
      <c r="AE58" s="131">
        <f t="shared" si="1"/>
        <v>1.2768607910308427E-2</v>
      </c>
    </row>
    <row r="59" spans="1:31" x14ac:dyDescent="0.25">
      <c r="B59" s="159" t="s">
        <v>113</v>
      </c>
      <c r="C59" s="159" t="s">
        <v>143</v>
      </c>
      <c r="D59" s="160" t="s">
        <v>142</v>
      </c>
      <c r="E59" s="162" t="s">
        <v>144</v>
      </c>
      <c r="F59" s="162" t="s">
        <v>65</v>
      </c>
      <c r="G59" s="173" t="s">
        <v>148</v>
      </c>
      <c r="H59" s="173" t="s">
        <v>88</v>
      </c>
      <c r="I59" s="173" t="s">
        <v>151</v>
      </c>
      <c r="O59" s="2"/>
      <c r="P59" s="78">
        <v>0.91</v>
      </c>
      <c r="Q59" s="78">
        <f t="shared" si="2"/>
        <v>31.513300000000005</v>
      </c>
      <c r="R59" s="78"/>
      <c r="W59" s="89">
        <v>42747</v>
      </c>
      <c r="X59" s="280">
        <v>31.7</v>
      </c>
      <c r="Y59" s="39">
        <v>32.15</v>
      </c>
      <c r="Z59" s="39">
        <v>31.61</v>
      </c>
      <c r="AA59" s="280">
        <v>32.11</v>
      </c>
      <c r="AB59" s="90">
        <v>244700</v>
      </c>
      <c r="AC59" s="187">
        <v>32.11</v>
      </c>
      <c r="AD59" s="2">
        <f t="shared" si="0"/>
        <v>0.53999999999999915</v>
      </c>
      <c r="AE59" s="131">
        <f t="shared" si="1"/>
        <v>8.1632653061223248E-3</v>
      </c>
    </row>
    <row r="60" spans="1:31" x14ac:dyDescent="0.25">
      <c r="B60" s="198">
        <v>42619</v>
      </c>
      <c r="C60" s="193">
        <v>50</v>
      </c>
      <c r="D60" s="194">
        <v>31.18</v>
      </c>
      <c r="E60" s="194">
        <v>31.29</v>
      </c>
      <c r="F60" s="194">
        <f t="shared" ref="F60:F65" si="3">C60*(E60-D60)</f>
        <v>5.4999999999999716</v>
      </c>
      <c r="G60" s="194">
        <f t="shared" ref="G60:G65" si="4">D60*C60</f>
        <v>1559</v>
      </c>
      <c r="H60" s="208">
        <f t="shared" ref="H60:H65" si="5">(E60-D60)/D60</f>
        <v>3.5279025016035736E-3</v>
      </c>
      <c r="I60" s="194"/>
      <c r="O60" s="2"/>
      <c r="P60" s="78">
        <v>0.9</v>
      </c>
      <c r="Q60" s="78">
        <f t="shared" si="2"/>
        <v>31.167000000000002</v>
      </c>
      <c r="R60" s="78"/>
      <c r="W60" s="89">
        <v>42746</v>
      </c>
      <c r="X60" s="280">
        <v>32.090000000000003</v>
      </c>
      <c r="Y60" s="39">
        <v>32.24</v>
      </c>
      <c r="Z60" s="39">
        <v>31.69</v>
      </c>
      <c r="AA60" s="280">
        <v>31.85</v>
      </c>
      <c r="AB60" s="90">
        <v>292300</v>
      </c>
      <c r="AC60" s="187">
        <v>31.85</v>
      </c>
      <c r="AD60" s="2">
        <f t="shared" si="0"/>
        <v>0.55000000000000071</v>
      </c>
      <c r="AE60" s="131">
        <f t="shared" si="1"/>
        <v>-7.7881619937694158E-3</v>
      </c>
    </row>
    <row r="61" spans="1:31" x14ac:dyDescent="0.25">
      <c r="B61" s="198">
        <v>42620</v>
      </c>
      <c r="C61" s="193">
        <v>50</v>
      </c>
      <c r="D61" s="194">
        <v>31.18</v>
      </c>
      <c r="E61" s="194">
        <v>31.51</v>
      </c>
      <c r="F61" s="194">
        <f t="shared" si="3"/>
        <v>16.500000000000092</v>
      </c>
      <c r="G61" s="194">
        <f t="shared" si="4"/>
        <v>1559</v>
      </c>
      <c r="H61" s="208">
        <f t="shared" si="5"/>
        <v>1.0583707504810835E-2</v>
      </c>
      <c r="I61" s="194"/>
      <c r="W61" s="89">
        <v>42745</v>
      </c>
      <c r="X61" s="280">
        <v>31.82</v>
      </c>
      <c r="Y61" s="39">
        <v>32.340000000000003</v>
      </c>
      <c r="Z61" s="39">
        <v>31.66</v>
      </c>
      <c r="AA61" s="280">
        <v>32.1</v>
      </c>
      <c r="AB61" s="90">
        <v>581000</v>
      </c>
      <c r="AC61" s="187">
        <v>32.1</v>
      </c>
      <c r="AD61" s="2">
        <f t="shared" si="0"/>
        <v>0.68000000000000327</v>
      </c>
      <c r="AE61" s="131">
        <f t="shared" si="1"/>
        <v>9.7514941805600941E-3</v>
      </c>
    </row>
    <row r="62" spans="1:31" x14ac:dyDescent="0.25">
      <c r="B62" s="198">
        <v>42621</v>
      </c>
      <c r="C62" s="193">
        <v>50</v>
      </c>
      <c r="D62" s="194">
        <v>31.18</v>
      </c>
      <c r="E62" s="194">
        <v>31.65</v>
      </c>
      <c r="F62" s="194">
        <f t="shared" si="3"/>
        <v>23.499999999999943</v>
      </c>
      <c r="G62" s="194">
        <f t="shared" si="4"/>
        <v>1559</v>
      </c>
      <c r="H62" s="208">
        <f t="shared" si="5"/>
        <v>1.5073765234124403E-2</v>
      </c>
      <c r="I62" s="194"/>
      <c r="W62" s="89">
        <v>42744</v>
      </c>
      <c r="X62" s="280">
        <v>31.86</v>
      </c>
      <c r="Y62" s="39">
        <v>31.97</v>
      </c>
      <c r="Z62" s="39">
        <v>31.62</v>
      </c>
      <c r="AA62" s="280">
        <v>31.79</v>
      </c>
      <c r="AB62" s="90">
        <v>678600</v>
      </c>
      <c r="AC62" s="187">
        <v>31.79</v>
      </c>
      <c r="AD62" s="2">
        <f t="shared" si="0"/>
        <v>0.34999999999999787</v>
      </c>
      <c r="AE62" s="131">
        <f t="shared" si="1"/>
        <v>-6.2873310279787376E-4</v>
      </c>
    </row>
    <row r="63" spans="1:31" x14ac:dyDescent="0.25">
      <c r="B63" s="198">
        <v>42622</v>
      </c>
      <c r="C63" s="193">
        <v>50</v>
      </c>
      <c r="D63" s="194">
        <v>31.18</v>
      </c>
      <c r="E63" s="194">
        <v>31.5</v>
      </c>
      <c r="F63" s="194">
        <f t="shared" si="3"/>
        <v>16.000000000000014</v>
      </c>
      <c r="G63" s="194">
        <f t="shared" si="4"/>
        <v>1559</v>
      </c>
      <c r="H63" s="208">
        <f t="shared" si="5"/>
        <v>1.0262989095574096E-2</v>
      </c>
      <c r="I63" s="194"/>
      <c r="W63" s="89">
        <v>42741</v>
      </c>
      <c r="X63" s="280">
        <v>31.12</v>
      </c>
      <c r="Y63" s="39">
        <v>31.82</v>
      </c>
      <c r="Z63" s="39">
        <v>31</v>
      </c>
      <c r="AA63" s="280">
        <v>31.81</v>
      </c>
      <c r="AB63" s="90">
        <v>376900</v>
      </c>
      <c r="AC63" s="187">
        <v>31.81</v>
      </c>
      <c r="AD63" s="2">
        <f t="shared" si="0"/>
        <v>0.82000000000000028</v>
      </c>
      <c r="AE63" s="131">
        <f t="shared" si="1"/>
        <v>2.2172236503855913E-2</v>
      </c>
    </row>
    <row r="64" spans="1:31" x14ac:dyDescent="0.25">
      <c r="B64" s="198">
        <v>42634</v>
      </c>
      <c r="C64" s="193">
        <v>50</v>
      </c>
      <c r="D64" s="194">
        <v>31.18</v>
      </c>
      <c r="E64" s="194">
        <v>32.049999999999997</v>
      </c>
      <c r="F64" s="194">
        <f t="shared" si="3"/>
        <v>43.499999999999872</v>
      </c>
      <c r="G64" s="194">
        <f t="shared" si="4"/>
        <v>1559</v>
      </c>
      <c r="H64" s="208">
        <f t="shared" si="5"/>
        <v>2.7902501603591964E-2</v>
      </c>
      <c r="I64" s="194"/>
      <c r="W64" s="89">
        <v>42740</v>
      </c>
      <c r="X64" s="280">
        <v>31.12</v>
      </c>
      <c r="Y64" s="39">
        <v>31.55</v>
      </c>
      <c r="Z64" s="39">
        <v>31.03</v>
      </c>
      <c r="AA64" s="280">
        <v>31.12</v>
      </c>
      <c r="AB64" s="90">
        <v>871500</v>
      </c>
      <c r="AC64" s="187">
        <v>31.12</v>
      </c>
      <c r="AD64" s="2">
        <f t="shared" si="0"/>
        <v>0.51999999999999957</v>
      </c>
      <c r="AE64" s="131">
        <f t="shared" si="1"/>
        <v>3.2144005143042165E-4</v>
      </c>
    </row>
    <row r="65" spans="2:31" x14ac:dyDescent="0.25">
      <c r="B65" s="198">
        <v>42648</v>
      </c>
      <c r="C65" s="193">
        <v>50</v>
      </c>
      <c r="D65" s="194">
        <v>31.18</v>
      </c>
      <c r="E65" s="194">
        <v>31.87</v>
      </c>
      <c r="F65" s="194">
        <f t="shared" si="3"/>
        <v>34.500000000000064</v>
      </c>
      <c r="G65" s="194">
        <f t="shared" si="4"/>
        <v>1559</v>
      </c>
      <c r="H65" s="208">
        <f t="shared" si="5"/>
        <v>2.2129570237331662E-2</v>
      </c>
      <c r="I65" s="194"/>
      <c r="W65" s="89">
        <v>42739</v>
      </c>
      <c r="X65" s="280">
        <v>31.05</v>
      </c>
      <c r="Y65" s="39">
        <v>31.65</v>
      </c>
      <c r="Z65" s="39">
        <v>30.96</v>
      </c>
      <c r="AA65" s="280">
        <v>31.11</v>
      </c>
      <c r="AB65" s="90">
        <v>895800</v>
      </c>
      <c r="AC65" s="187">
        <v>31.11</v>
      </c>
      <c r="AD65" s="2">
        <f t="shared" si="0"/>
        <v>0.68999999999999773</v>
      </c>
      <c r="AE65" s="131">
        <f t="shared" si="1"/>
        <v>9.6525096525090781E-4</v>
      </c>
    </row>
    <row r="66" spans="2:31" x14ac:dyDescent="0.25">
      <c r="B66" s="198">
        <v>42649</v>
      </c>
      <c r="C66" s="193">
        <v>50</v>
      </c>
      <c r="D66" s="194">
        <v>31.18</v>
      </c>
      <c r="E66" s="194">
        <v>31.61</v>
      </c>
      <c r="F66" s="194">
        <f>C66*(E66-D66)</f>
        <v>21.499999999999986</v>
      </c>
      <c r="G66" s="194">
        <f>D66*C66</f>
        <v>1559</v>
      </c>
      <c r="H66" s="208">
        <f>(E66-D66)/D66</f>
        <v>1.379089159717767E-2</v>
      </c>
      <c r="I66" s="194"/>
      <c r="W66" s="89">
        <v>42738</v>
      </c>
      <c r="X66" s="280">
        <v>30.41</v>
      </c>
      <c r="Y66" s="39">
        <v>31.08</v>
      </c>
      <c r="Z66" s="39">
        <v>30.26</v>
      </c>
      <c r="AA66" s="280">
        <v>31.08</v>
      </c>
      <c r="AB66" s="90">
        <v>572200</v>
      </c>
      <c r="AC66" s="187">
        <v>31.08</v>
      </c>
      <c r="AD66" s="2">
        <f t="shared" si="0"/>
        <v>0.81999999999999673</v>
      </c>
      <c r="AE66" s="131">
        <f t="shared" si="1"/>
        <v>2.3715415019762709E-2</v>
      </c>
    </row>
    <row r="67" spans="2:31" x14ac:dyDescent="0.25">
      <c r="B67" s="198">
        <v>42701</v>
      </c>
      <c r="C67" s="193">
        <v>50</v>
      </c>
      <c r="D67" s="194">
        <v>31.18</v>
      </c>
      <c r="E67" s="194">
        <v>29.98</v>
      </c>
      <c r="F67" s="194">
        <f>C67*(E67-D67)</f>
        <v>-59.999999999999964</v>
      </c>
      <c r="G67" s="194">
        <f>D67*C67</f>
        <v>1559</v>
      </c>
      <c r="H67" s="208">
        <f>(E67-D67)/D67</f>
        <v>-3.8486209108402801E-2</v>
      </c>
      <c r="I67" s="194"/>
      <c r="W67" s="89">
        <v>42734</v>
      </c>
      <c r="X67" s="280">
        <v>30.42</v>
      </c>
      <c r="Y67" s="39">
        <v>30.48</v>
      </c>
      <c r="Z67" s="39">
        <v>30.21</v>
      </c>
      <c r="AA67" s="280">
        <v>30.36</v>
      </c>
      <c r="AB67" s="90">
        <v>304700</v>
      </c>
      <c r="AC67" s="187">
        <v>30.36</v>
      </c>
      <c r="AD67" s="2">
        <f t="shared" si="0"/>
        <v>0.26999999999999957</v>
      </c>
      <c r="AE67" s="131" t="e">
        <f t="shared" si="1"/>
        <v>#DIV/0!</v>
      </c>
    </row>
    <row r="68" spans="2:31" x14ac:dyDescent="0.25">
      <c r="B68" s="198">
        <v>42741</v>
      </c>
      <c r="C68" s="193">
        <v>0</v>
      </c>
      <c r="D68" s="194"/>
      <c r="E68" s="194">
        <v>21.97</v>
      </c>
      <c r="F68" s="194"/>
      <c r="G68" s="194"/>
      <c r="H68" s="208"/>
      <c r="I68" s="194"/>
      <c r="W68" s="89" t="s">
        <v>120</v>
      </c>
      <c r="X68" s="10"/>
      <c r="Y68" s="39"/>
      <c r="Z68" s="39"/>
      <c r="AA68" s="10"/>
      <c r="AB68" s="90"/>
      <c r="AC68" s="187"/>
      <c r="AD68" s="2">
        <f>Y68-Z68</f>
        <v>0</v>
      </c>
      <c r="AE68" s="131" t="e">
        <f>AC68/AC69-1</f>
        <v>#DIV/0!</v>
      </c>
    </row>
    <row r="69" spans="2:31" x14ac:dyDescent="0.25">
      <c r="B69" s="161">
        <v>42773</v>
      </c>
      <c r="C69" s="10">
        <v>100</v>
      </c>
      <c r="D69" s="39">
        <v>29.28</v>
      </c>
      <c r="E69" s="39">
        <v>30.75</v>
      </c>
      <c r="F69" s="39">
        <f>C69*(E69-D69)</f>
        <v>146.99999999999989</v>
      </c>
      <c r="G69" s="39">
        <f>D69*C69</f>
        <v>2928</v>
      </c>
      <c r="H69" s="175">
        <f>(E69-D69)/D69</f>
        <v>5.0204918032786844E-2</v>
      </c>
      <c r="I69" s="39"/>
      <c r="W69" s="171"/>
      <c r="X69" s="91"/>
      <c r="Y69" s="187"/>
      <c r="Z69" s="187"/>
      <c r="AA69" s="91"/>
      <c r="AB69" s="172"/>
      <c r="AC69" s="187"/>
      <c r="AD69" s="2">
        <f>Y69-Z69</f>
        <v>0</v>
      </c>
      <c r="AE69" s="131" t="e">
        <f>AC69/AC70-1</f>
        <v>#DIV/0!</v>
      </c>
    </row>
    <row r="70" spans="2:31" x14ac:dyDescent="0.25">
      <c r="B70" s="161">
        <v>42804</v>
      </c>
      <c r="C70" s="10">
        <v>0</v>
      </c>
      <c r="D70" s="39"/>
      <c r="E70" s="39">
        <v>30.85</v>
      </c>
      <c r="F70" s="39">
        <v>149.93</v>
      </c>
      <c r="G70" s="39"/>
      <c r="H70" s="175"/>
      <c r="I70" s="39"/>
    </row>
    <row r="71" spans="2:31" x14ac:dyDescent="0.25">
      <c r="B71" s="161"/>
      <c r="C71" s="10"/>
      <c r="D71" s="39"/>
      <c r="E71" s="39"/>
      <c r="F71" s="39"/>
      <c r="G71" s="39"/>
      <c r="H71" s="175"/>
      <c r="I71" s="39"/>
    </row>
    <row r="72" spans="2:31" x14ac:dyDescent="0.25">
      <c r="B72" s="161"/>
      <c r="C72" s="10"/>
      <c r="D72" s="39"/>
      <c r="E72" s="39"/>
      <c r="F72" s="39"/>
      <c r="G72" s="39"/>
      <c r="H72" s="175"/>
      <c r="I72" s="39"/>
    </row>
    <row r="73" spans="2:31" x14ac:dyDescent="0.25">
      <c r="B73" s="161"/>
      <c r="C73" s="10"/>
      <c r="D73" s="39"/>
      <c r="E73" s="39"/>
      <c r="F73" s="39"/>
      <c r="G73" s="39"/>
      <c r="H73" s="175"/>
      <c r="I73" s="39"/>
    </row>
    <row r="74" spans="2:31" x14ac:dyDescent="0.25">
      <c r="B74" s="161"/>
      <c r="C74" s="10"/>
      <c r="D74" s="39"/>
      <c r="E74" s="39"/>
      <c r="F74" s="39"/>
      <c r="G74" s="39"/>
      <c r="H74" s="175"/>
      <c r="I74" s="39"/>
    </row>
  </sheetData>
  <mergeCells count="1">
    <mergeCell ref="P39:Q39"/>
  </mergeCells>
  <conditionalFormatting sqref="P40:P60">
    <cfRule type="colorScale" priority="41">
      <colorScale>
        <cfvo type="min"/>
        <cfvo type="percentile" val="50"/>
        <cfvo type="max"/>
        <color rgb="FFF8696B"/>
        <color rgb="FFFFEB84"/>
        <color rgb="FF63BE7B"/>
      </colorScale>
    </cfRule>
  </conditionalFormatting>
  <conditionalFormatting sqref="Q40:Q60">
    <cfRule type="colorScale" priority="38">
      <colorScale>
        <cfvo type="min"/>
        <cfvo type="percentile" val="50"/>
        <cfvo type="max"/>
        <color rgb="FFF8696B"/>
        <color rgb="FFFFEB84"/>
        <color rgb="FF63BE7B"/>
      </colorScale>
    </cfRule>
  </conditionalFormatting>
  <conditionalFormatting sqref="R43:R60">
    <cfRule type="colorScale" priority="37">
      <colorScale>
        <cfvo type="min"/>
        <cfvo type="percentile" val="50"/>
        <cfvo type="max"/>
        <color rgb="FFF8696B"/>
        <color rgb="FFFFEB84"/>
        <color rgb="FF63BE7B"/>
      </colorScale>
    </cfRule>
  </conditionalFormatting>
  <conditionalFormatting sqref="AD1:AD69">
    <cfRule type="dataBar" priority="36">
      <dataBar>
        <cfvo type="min"/>
        <cfvo type="max"/>
        <color rgb="FFFF555A"/>
      </dataBar>
      <extLst>
        <ext xmlns:x14="http://schemas.microsoft.com/office/spreadsheetml/2009/9/main" uri="{B025F937-C7B1-47D3-B67F-A62EFF666E3E}">
          <x14:id>{37E1C477-5BBA-4531-A326-6B5B896DB9B2}</x14:id>
        </ext>
      </extLst>
    </cfRule>
  </conditionalFormatting>
  <conditionalFormatting sqref="AE1:AE69">
    <cfRule type="iconSet" priority="35">
      <iconSet iconSet="3Arrows">
        <cfvo type="percent" val="0"/>
        <cfvo type="num" val="0"/>
        <cfvo type="num" val="0"/>
      </iconSet>
    </cfRule>
  </conditionalFormatting>
  <conditionalFormatting sqref="F29 F31:F35">
    <cfRule type="expression" dxfId="4029" priority="31">
      <formula>F29&gt;0</formula>
    </cfRule>
    <cfRule type="expression" dxfId="4028" priority="32">
      <formula>F29&lt;0</formula>
    </cfRule>
  </conditionalFormatting>
  <conditionalFormatting sqref="F29 F31:F35">
    <cfRule type="expression" dxfId="4027" priority="33">
      <formula>F29&gt;0</formula>
    </cfRule>
    <cfRule type="expression" dxfId="4026" priority="34">
      <formula>F29&lt;0</formula>
    </cfRule>
  </conditionalFormatting>
  <conditionalFormatting sqref="H29 H31:H35">
    <cfRule type="expression" dxfId="4025" priority="29">
      <formula>H29&gt;0</formula>
    </cfRule>
    <cfRule type="expression" dxfId="4024" priority="30">
      <formula>H29&lt;0</formula>
    </cfRule>
  </conditionalFormatting>
  <conditionalFormatting sqref="F21:F28">
    <cfRule type="expression" dxfId="4023" priority="27">
      <formula>F21&gt;0</formula>
    </cfRule>
    <cfRule type="expression" dxfId="4022" priority="28">
      <formula>F21&lt;0</formula>
    </cfRule>
  </conditionalFormatting>
  <conditionalFormatting sqref="H21:H28">
    <cfRule type="expression" dxfId="4021" priority="25">
      <formula>H21&gt;0</formula>
    </cfRule>
    <cfRule type="expression" dxfId="4020" priority="26">
      <formula>H21&lt;0</formula>
    </cfRule>
  </conditionalFormatting>
  <conditionalFormatting sqref="Q8">
    <cfRule type="expression" dxfId="4019" priority="21">
      <formula>Q8&gt;0</formula>
    </cfRule>
    <cfRule type="expression" dxfId="4018" priority="22">
      <formula>Q8&lt;0</formula>
    </cfRule>
  </conditionalFormatting>
  <conditionalFormatting sqref="Q7">
    <cfRule type="expression" dxfId="4017" priority="23">
      <formula>Q7&gt;0</formula>
    </cfRule>
    <cfRule type="expression" dxfId="4016" priority="24">
      <formula>Q7&lt;0</formula>
    </cfRule>
  </conditionalFormatting>
  <conditionalFormatting sqref="F30">
    <cfRule type="expression" dxfId="4015" priority="19">
      <formula>F30&gt;0</formula>
    </cfRule>
    <cfRule type="expression" dxfId="4014" priority="20">
      <formula>F30&lt;0</formula>
    </cfRule>
  </conditionalFormatting>
  <conditionalFormatting sqref="H30">
    <cfRule type="expression" dxfId="4013" priority="17">
      <formula>H30&gt;0</formula>
    </cfRule>
    <cfRule type="expression" dxfId="4012" priority="18">
      <formula>H30&lt;0</formula>
    </cfRule>
  </conditionalFormatting>
  <conditionalFormatting sqref="F68 F70:F74">
    <cfRule type="expression" dxfId="4011" priority="13">
      <formula>F68&gt;0</formula>
    </cfRule>
    <cfRule type="expression" dxfId="4010" priority="14">
      <formula>F68&lt;0</formula>
    </cfRule>
  </conditionalFormatting>
  <conditionalFormatting sqref="F68 F70:F74">
    <cfRule type="expression" dxfId="4009" priority="15">
      <formula>F68&gt;0</formula>
    </cfRule>
    <cfRule type="expression" dxfId="4008" priority="16">
      <formula>F68&lt;0</formula>
    </cfRule>
  </conditionalFormatting>
  <conditionalFormatting sqref="H68 H70:H74">
    <cfRule type="expression" dxfId="4007" priority="11">
      <formula>H68&gt;0</formula>
    </cfRule>
    <cfRule type="expression" dxfId="4006" priority="12">
      <formula>H68&lt;0</formula>
    </cfRule>
  </conditionalFormatting>
  <conditionalFormatting sqref="F60:F67">
    <cfRule type="expression" dxfId="4005" priority="9">
      <formula>F60&gt;0</formula>
    </cfRule>
    <cfRule type="expression" dxfId="4004" priority="10">
      <formula>F60&lt;0</formula>
    </cfRule>
  </conditionalFormatting>
  <conditionalFormatting sqref="H60:H67">
    <cfRule type="expression" dxfId="4003" priority="7">
      <formula>H60&gt;0</formula>
    </cfRule>
    <cfRule type="expression" dxfId="4002" priority="8">
      <formula>H60&lt;0</formula>
    </cfRule>
  </conditionalFormatting>
  <conditionalFormatting sqref="F69">
    <cfRule type="expression" dxfId="4001" priority="5">
      <formula>F69&gt;0</formula>
    </cfRule>
    <cfRule type="expression" dxfId="4000" priority="6">
      <formula>F69&lt;0</formula>
    </cfRule>
  </conditionalFormatting>
  <conditionalFormatting sqref="H69">
    <cfRule type="expression" dxfId="3999" priority="3">
      <formula>H69&gt;0</formula>
    </cfRule>
    <cfRule type="expression" dxfId="3998" priority="4">
      <formula>H69&lt;0</formula>
    </cfRule>
  </conditionalFormatting>
  <conditionalFormatting sqref="Q10">
    <cfRule type="expression" dxfId="3997" priority="1">
      <formula>Q10&gt;0</formula>
    </cfRule>
    <cfRule type="expression" dxfId="3996" priority="2">
      <formula>Q10&lt;0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37E1C477-5BBA-4531-A326-6B5B896DB9B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6"/>
  <dimension ref="A1:AM128"/>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9" width="11.85546875" style="2" bestFit="1" customWidth="1"/>
    <col min="10" max="11" width="9" style="2"/>
    <col min="17" max="17" width="11.85546875" bestFit="1" customWidth="1"/>
    <col min="18" max="18" width="10.42578125" bestFit="1" customWidth="1"/>
    <col min="19" max="19" width="11.85546875" bestFit="1" customWidth="1"/>
    <col min="20" max="20" width="13.7109375" customWidth="1"/>
    <col min="21" max="21" width="88.5703125" customWidth="1"/>
    <col min="22" max="22" width="22.85546875" customWidth="1"/>
    <col min="23" max="23" width="14.85546875" customWidth="1"/>
    <col min="24" max="24" width="7.85546875" bestFit="1" customWidth="1"/>
    <col min="25" max="25" width="5.85546875" customWidth="1"/>
    <col min="26" max="26" width="6.7109375" bestFit="1" customWidth="1"/>
    <col min="27" max="27" width="7.5703125" bestFit="1" customWidth="1"/>
    <col min="28" max="28" width="9.85546875" customWidth="1"/>
    <col min="29" max="29" width="9"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16"/>
    </row>
    <row r="2" spans="1:39" x14ac:dyDescent="0.25">
      <c r="A2" s="6" t="s">
        <v>308</v>
      </c>
      <c r="B2" s="360">
        <v>42969</v>
      </c>
      <c r="C2" s="4">
        <v>50</v>
      </c>
      <c r="D2" s="3">
        <v>18.100000000000001</v>
      </c>
      <c r="E2" s="3">
        <v>0</v>
      </c>
      <c r="F2" s="3">
        <f t="shared" ref="F2:F7" si="0">C2*D2+E2</f>
        <v>905.00000000000011</v>
      </c>
      <c r="G2" s="360">
        <v>42984</v>
      </c>
      <c r="H2" s="7">
        <v>50</v>
      </c>
      <c r="I2" s="43">
        <v>16.899999999999999</v>
      </c>
      <c r="J2" s="43">
        <v>0.02</v>
      </c>
      <c r="K2" s="43">
        <f t="shared" ref="K2:K10" si="1">H2*I2-J2</f>
        <v>844.9799999999999</v>
      </c>
      <c r="L2" s="69"/>
      <c r="M2" s="3"/>
      <c r="O2" s="11" t="s">
        <v>57</v>
      </c>
      <c r="Q2">
        <f>C18-H18</f>
        <v>0</v>
      </c>
      <c r="T2" s="1" t="s">
        <v>414</v>
      </c>
      <c r="X2" s="647"/>
      <c r="AA2" s="2"/>
      <c r="AD2" s="2"/>
      <c r="AG2" s="2"/>
      <c r="AI2" s="2"/>
      <c r="AM2" s="2"/>
    </row>
    <row r="3" spans="1:39" x14ac:dyDescent="0.25">
      <c r="A3" s="22" t="s">
        <v>71</v>
      </c>
      <c r="B3" s="360">
        <v>42969</v>
      </c>
      <c r="C3" s="4">
        <v>100</v>
      </c>
      <c r="D3" s="3">
        <v>18.100000000000001</v>
      </c>
      <c r="E3" s="3">
        <v>0</v>
      </c>
      <c r="F3" s="3">
        <f t="shared" si="0"/>
        <v>1810.0000000000002</v>
      </c>
      <c r="G3" s="360">
        <v>42986</v>
      </c>
      <c r="H3" s="77">
        <v>200</v>
      </c>
      <c r="I3" s="43">
        <v>14.6</v>
      </c>
      <c r="J3" s="43">
        <v>7.0000000000000007E-2</v>
      </c>
      <c r="K3" s="43">
        <f t="shared" si="1"/>
        <v>2919.93</v>
      </c>
      <c r="L3" s="4"/>
      <c r="M3" s="4"/>
      <c r="O3" s="11" t="s">
        <v>58</v>
      </c>
      <c r="Q3" s="388">
        <f>IF(Q2=0, Q4, (F18-K18-M18)/Q2)</f>
        <v>6.08</v>
      </c>
      <c r="T3" s="482" t="s">
        <v>431</v>
      </c>
      <c r="AA3" s="2"/>
      <c r="AD3" s="2"/>
      <c r="AG3" s="2"/>
      <c r="AI3" s="2"/>
    </row>
    <row r="4" spans="1:39" x14ac:dyDescent="0.25">
      <c r="B4" s="360">
        <v>42977</v>
      </c>
      <c r="C4" s="4">
        <v>50</v>
      </c>
      <c r="D4" s="3">
        <v>16.535</v>
      </c>
      <c r="E4" s="3">
        <v>0</v>
      </c>
      <c r="F4" s="3">
        <f t="shared" si="0"/>
        <v>826.75</v>
      </c>
      <c r="G4" s="360">
        <v>43040</v>
      </c>
      <c r="H4" s="77">
        <v>100</v>
      </c>
      <c r="I4" s="43">
        <v>14.69</v>
      </c>
      <c r="J4" s="43">
        <v>0.03</v>
      </c>
      <c r="K4" s="43">
        <f t="shared" si="1"/>
        <v>1468.97</v>
      </c>
      <c r="L4" s="4"/>
      <c r="M4" s="4"/>
      <c r="O4" s="11" t="s">
        <v>66</v>
      </c>
      <c r="Q4" s="342">
        <v>6.08</v>
      </c>
      <c r="R4" s="396">
        <v>2.06E-2</v>
      </c>
      <c r="T4" s="153" t="s">
        <v>432</v>
      </c>
      <c r="U4" s="1"/>
      <c r="AA4" s="2"/>
      <c r="AD4" s="2"/>
      <c r="AG4" s="2"/>
      <c r="AI4" s="2"/>
    </row>
    <row r="5" spans="1:39" x14ac:dyDescent="0.25">
      <c r="A5" s="1"/>
      <c r="B5" s="360">
        <v>42977</v>
      </c>
      <c r="C5" s="7">
        <v>50</v>
      </c>
      <c r="D5" s="43">
        <v>16.535</v>
      </c>
      <c r="E5" s="43">
        <v>0</v>
      </c>
      <c r="F5" s="43">
        <f t="shared" si="0"/>
        <v>826.75</v>
      </c>
      <c r="G5" s="360">
        <v>43069</v>
      </c>
      <c r="H5" s="77">
        <v>100</v>
      </c>
      <c r="I5" s="43">
        <v>14.23</v>
      </c>
      <c r="J5" s="43">
        <v>0.03</v>
      </c>
      <c r="K5" s="43">
        <f t="shared" si="1"/>
        <v>1422.97</v>
      </c>
      <c r="L5" s="4"/>
      <c r="M5" s="4"/>
      <c r="O5" s="11" t="s">
        <v>67</v>
      </c>
      <c r="Q5" s="3">
        <f>Q4*Q2</f>
        <v>0</v>
      </c>
      <c r="T5" t="s">
        <v>433</v>
      </c>
      <c r="AA5" s="2"/>
      <c r="AD5" s="2"/>
      <c r="AG5" s="2"/>
      <c r="AI5" s="2"/>
    </row>
    <row r="6" spans="1:39" x14ac:dyDescent="0.25">
      <c r="B6" s="360">
        <v>42986</v>
      </c>
      <c r="C6" s="7">
        <v>100</v>
      </c>
      <c r="D6" s="43">
        <v>13.84</v>
      </c>
      <c r="E6" s="43">
        <v>0</v>
      </c>
      <c r="F6" s="43">
        <f t="shared" si="0"/>
        <v>1384</v>
      </c>
      <c r="G6" s="360">
        <v>43095</v>
      </c>
      <c r="H6" s="77">
        <v>300</v>
      </c>
      <c r="I6" s="43">
        <v>13.28</v>
      </c>
      <c r="J6" s="43">
        <v>0.09</v>
      </c>
      <c r="K6" s="43">
        <f t="shared" si="1"/>
        <v>3983.91</v>
      </c>
      <c r="L6" s="4"/>
      <c r="M6" s="4"/>
      <c r="O6" s="11" t="s">
        <v>64</v>
      </c>
      <c r="Q6" s="2">
        <f>Q3*Q2</f>
        <v>0</v>
      </c>
      <c r="AA6" s="2"/>
      <c r="AD6" s="2"/>
      <c r="AG6" s="2"/>
      <c r="AI6" s="2"/>
    </row>
    <row r="7" spans="1:39" x14ac:dyDescent="0.25">
      <c r="B7" s="360">
        <v>42986</v>
      </c>
      <c r="C7" s="7">
        <v>100</v>
      </c>
      <c r="D7" s="43">
        <v>13.84</v>
      </c>
      <c r="E7" s="43">
        <v>0</v>
      </c>
      <c r="F7" s="43">
        <f t="shared" si="0"/>
        <v>1384</v>
      </c>
      <c r="G7" s="360">
        <v>43126</v>
      </c>
      <c r="H7" s="77">
        <v>300</v>
      </c>
      <c r="I7" s="43">
        <v>12.48</v>
      </c>
      <c r="J7" s="43">
        <v>0.09</v>
      </c>
      <c r="K7" s="43">
        <f t="shared" si="1"/>
        <v>3743.91</v>
      </c>
      <c r="L7" s="4"/>
      <c r="M7" s="4"/>
      <c r="O7" s="11" t="s">
        <v>175</v>
      </c>
      <c r="Q7" s="2">
        <f>Q10+Q8</f>
        <v>98.479999999995925</v>
      </c>
      <c r="R7">
        <v>0</v>
      </c>
      <c r="T7" s="1">
        <v>43453</v>
      </c>
      <c r="U7" t="s">
        <v>767</v>
      </c>
      <c r="AA7" s="2"/>
      <c r="AD7" s="2"/>
      <c r="AG7" s="2"/>
      <c r="AI7" s="2"/>
    </row>
    <row r="8" spans="1:39" x14ac:dyDescent="0.25">
      <c r="B8" s="360">
        <v>43035</v>
      </c>
      <c r="C8" s="7">
        <v>100</v>
      </c>
      <c r="D8" s="43">
        <v>13.88</v>
      </c>
      <c r="E8" s="43">
        <v>0</v>
      </c>
      <c r="F8" s="43">
        <f t="shared" ref="F8:F14" si="2">C8*D8+E8</f>
        <v>1388</v>
      </c>
      <c r="G8" s="360">
        <v>43161</v>
      </c>
      <c r="H8" s="158">
        <v>200</v>
      </c>
      <c r="I8" s="3">
        <v>9.2799999999999994</v>
      </c>
      <c r="J8" s="3">
        <v>0.04</v>
      </c>
      <c r="K8" s="3">
        <f t="shared" si="1"/>
        <v>1855.9599999999998</v>
      </c>
      <c r="L8" s="4"/>
      <c r="M8" s="4"/>
      <c r="O8" s="11" t="s">
        <v>177</v>
      </c>
      <c r="P8" s="33"/>
      <c r="Q8" s="2">
        <f>K18+M18-F18+Q2*Q4</f>
        <v>-1184.9399999999987</v>
      </c>
      <c r="AA8" s="2"/>
      <c r="AD8" s="2"/>
      <c r="AG8" s="2"/>
      <c r="AI8" s="2"/>
    </row>
    <row r="9" spans="1:39" x14ac:dyDescent="0.25">
      <c r="B9" s="360">
        <v>43048</v>
      </c>
      <c r="C9" s="7">
        <v>100</v>
      </c>
      <c r="D9" s="43">
        <v>12.98</v>
      </c>
      <c r="E9" s="43">
        <v>0</v>
      </c>
      <c r="F9" s="43">
        <f t="shared" si="2"/>
        <v>1298</v>
      </c>
      <c r="G9" s="360">
        <v>43161</v>
      </c>
      <c r="H9" s="158">
        <v>100</v>
      </c>
      <c r="I9" s="3">
        <v>9.6999999999999993</v>
      </c>
      <c r="J9" s="3">
        <v>0.02</v>
      </c>
      <c r="K9" s="3">
        <f t="shared" si="1"/>
        <v>969.9799999999999</v>
      </c>
      <c r="L9" s="4"/>
      <c r="M9" s="4"/>
      <c r="O9" s="11" t="s">
        <v>202</v>
      </c>
      <c r="Q9" s="175">
        <f>IF(Q2=0, 0, Q8/Q6)</f>
        <v>0</v>
      </c>
      <c r="T9" s="29">
        <v>43103</v>
      </c>
      <c r="U9" t="s">
        <v>759</v>
      </c>
      <c r="AA9" s="2"/>
      <c r="AD9" s="2"/>
      <c r="AG9" s="2"/>
      <c r="AI9" s="2"/>
    </row>
    <row r="10" spans="1:39" x14ac:dyDescent="0.25">
      <c r="A10" t="s">
        <v>712</v>
      </c>
      <c r="B10" s="360">
        <v>43089</v>
      </c>
      <c r="C10" s="4">
        <v>100</v>
      </c>
      <c r="D10" s="3">
        <v>13.42</v>
      </c>
      <c r="E10" s="3">
        <v>0</v>
      </c>
      <c r="F10" s="3">
        <f t="shared" si="2"/>
        <v>1342</v>
      </c>
      <c r="G10" s="360">
        <v>43249</v>
      </c>
      <c r="H10" s="158">
        <v>300</v>
      </c>
      <c r="I10" s="3">
        <v>12.75</v>
      </c>
      <c r="J10" s="3">
        <v>0.05</v>
      </c>
      <c r="K10" s="3">
        <f t="shared" si="1"/>
        <v>3824.95</v>
      </c>
      <c r="L10" s="4"/>
      <c r="M10" s="4"/>
      <c r="O10" s="11" t="s">
        <v>201</v>
      </c>
      <c r="P10" s="33"/>
      <c r="Q10" s="2">
        <f>M58</f>
        <v>1283.4199999999946</v>
      </c>
      <c r="U10" t="s">
        <v>760</v>
      </c>
      <c r="AA10" s="2"/>
      <c r="AD10" s="2"/>
      <c r="AG10" s="2"/>
      <c r="AI10" s="2"/>
    </row>
    <row r="11" spans="1:39" x14ac:dyDescent="0.25">
      <c r="B11" s="360">
        <v>43091</v>
      </c>
      <c r="C11" s="7">
        <v>300</v>
      </c>
      <c r="D11" s="43">
        <v>12.88</v>
      </c>
      <c r="E11" s="43">
        <v>0</v>
      </c>
      <c r="F11" s="43">
        <f t="shared" si="2"/>
        <v>3864.0000000000005</v>
      </c>
      <c r="G11" s="4"/>
      <c r="H11" s="158"/>
      <c r="I11" s="3"/>
      <c r="J11" s="3"/>
      <c r="K11" s="3"/>
      <c r="L11" s="4"/>
      <c r="M11" s="4"/>
      <c r="O11" s="11" t="s">
        <v>173</v>
      </c>
      <c r="P11" s="33"/>
      <c r="Q11" s="131">
        <v>0</v>
      </c>
      <c r="U11" t="s">
        <v>761</v>
      </c>
      <c r="AA11" s="2"/>
      <c r="AD11" s="2"/>
      <c r="AG11" s="2"/>
      <c r="AI11" s="2"/>
    </row>
    <row r="12" spans="1:39" x14ac:dyDescent="0.25">
      <c r="B12" s="360">
        <v>43103</v>
      </c>
      <c r="C12" s="7">
        <v>300</v>
      </c>
      <c r="D12" s="43">
        <v>12.16</v>
      </c>
      <c r="E12" s="43">
        <v>0</v>
      </c>
      <c r="F12" s="43">
        <f t="shared" si="2"/>
        <v>3648</v>
      </c>
      <c r="G12" s="4"/>
      <c r="H12" s="158"/>
      <c r="I12" s="3"/>
      <c r="J12" s="3"/>
      <c r="K12" s="3"/>
      <c r="L12" s="4"/>
      <c r="M12" s="4"/>
      <c r="O12" s="11" t="s">
        <v>923</v>
      </c>
      <c r="Q12" s="1"/>
      <c r="AA12" s="2"/>
      <c r="AD12" s="2"/>
      <c r="AG12" s="2"/>
      <c r="AI12" s="2"/>
    </row>
    <row r="13" spans="1:39" x14ac:dyDescent="0.25">
      <c r="B13" s="360">
        <v>43131</v>
      </c>
      <c r="C13" s="4">
        <v>200</v>
      </c>
      <c r="D13" s="3">
        <v>11.88</v>
      </c>
      <c r="E13" s="3">
        <v>0</v>
      </c>
      <c r="F13" s="3">
        <f t="shared" si="2"/>
        <v>2376</v>
      </c>
      <c r="G13" s="4"/>
      <c r="H13" s="158"/>
      <c r="I13" s="3"/>
      <c r="J13" s="3"/>
      <c r="K13" s="3"/>
      <c r="L13" s="4"/>
      <c r="M13" s="4"/>
      <c r="O13" s="11" t="s">
        <v>901</v>
      </c>
      <c r="Q13">
        <f>Q4/0.32</f>
        <v>19</v>
      </c>
      <c r="U13" t="s">
        <v>768</v>
      </c>
      <c r="AA13" s="2"/>
      <c r="AD13" s="2"/>
      <c r="AG13" s="2"/>
      <c r="AI13" s="2"/>
    </row>
    <row r="14" spans="1:39" x14ac:dyDescent="0.25">
      <c r="B14" s="360">
        <v>43132</v>
      </c>
      <c r="C14" s="4">
        <v>100</v>
      </c>
      <c r="D14" s="3">
        <v>11.68</v>
      </c>
      <c r="E14" s="3">
        <v>0</v>
      </c>
      <c r="F14" s="3">
        <f t="shared" si="2"/>
        <v>1168</v>
      </c>
      <c r="G14" s="4"/>
      <c r="H14" s="158"/>
      <c r="I14" s="3"/>
      <c r="J14" s="3"/>
      <c r="K14" s="3"/>
      <c r="L14" s="4"/>
      <c r="M14" s="4"/>
      <c r="AA14" s="2"/>
      <c r="AD14" s="2"/>
      <c r="AG14" s="2"/>
      <c r="AI14" s="2"/>
    </row>
    <row r="15" spans="1:39" ht="20.25" thickBot="1" x14ac:dyDescent="0.35">
      <c r="C15" s="4"/>
      <c r="H15" s="67"/>
      <c r="O15" s="886" t="s">
        <v>78</v>
      </c>
      <c r="P15" s="886"/>
      <c r="T15" s="1">
        <v>43114</v>
      </c>
      <c r="U15" t="s">
        <v>799</v>
      </c>
      <c r="AA15" s="2"/>
      <c r="AD15" s="2"/>
      <c r="AG15" s="2"/>
      <c r="AI15" s="2"/>
    </row>
    <row r="16" spans="1:39" ht="15.75" thickTop="1" x14ac:dyDescent="0.25">
      <c r="H16" s="67"/>
      <c r="O16" s="78">
        <v>1.1499999999999999</v>
      </c>
      <c r="P16" s="78">
        <f t="shared" ref="P16:P27" si="3">O16*$Q$4</f>
        <v>6.9919999999999991</v>
      </c>
      <c r="U16" s="396" t="s">
        <v>800</v>
      </c>
      <c r="AA16" s="2"/>
      <c r="AD16" s="2"/>
      <c r="AG16" s="2"/>
      <c r="AI16" s="2"/>
    </row>
    <row r="17" spans="1:39" x14ac:dyDescent="0.25">
      <c r="O17" s="78">
        <v>1.1399999999999999</v>
      </c>
      <c r="P17" s="78">
        <f t="shared" si="3"/>
        <v>6.9311999999999996</v>
      </c>
      <c r="AA17" s="2"/>
      <c r="AD17" s="2"/>
      <c r="AG17" s="2"/>
      <c r="AI17" s="2"/>
      <c r="AM17" s="2"/>
    </row>
    <row r="18" spans="1:39" x14ac:dyDescent="0.25">
      <c r="A18" s="31" t="s">
        <v>81</v>
      </c>
      <c r="B18" s="14"/>
      <c r="C18" s="14">
        <f>SUM(C2:C15)</f>
        <v>1650</v>
      </c>
      <c r="D18" s="18"/>
      <c r="E18" s="18"/>
      <c r="F18" s="18">
        <f>SUM(F2:F15)</f>
        <v>22220.5</v>
      </c>
      <c r="G18" s="14"/>
      <c r="H18" s="14">
        <f>SUM(H2:H10)</f>
        <v>1650</v>
      </c>
      <c r="I18" s="18"/>
      <c r="J18" s="18"/>
      <c r="K18" s="18">
        <f>SUM(K2:K10)</f>
        <v>21035.56</v>
      </c>
      <c r="L18" s="14"/>
      <c r="M18" s="18">
        <f>SUM(M2:M10)</f>
        <v>0</v>
      </c>
      <c r="O18" s="78">
        <v>1.1299999999999999</v>
      </c>
      <c r="P18" s="78">
        <f t="shared" si="3"/>
        <v>6.8703999999999992</v>
      </c>
      <c r="T18" s="1">
        <v>43140</v>
      </c>
      <c r="U18" t="s">
        <v>854</v>
      </c>
      <c r="X18" s="131"/>
    </row>
    <row r="19" spans="1:39" ht="15.75" thickBot="1" x14ac:dyDescent="0.3">
      <c r="A19" s="273" t="s">
        <v>189</v>
      </c>
      <c r="B19" s="274"/>
      <c r="C19" s="275">
        <f>SumByColor($A$19,C2:C17)</f>
        <v>1050</v>
      </c>
      <c r="D19" s="275"/>
      <c r="E19" s="275"/>
      <c r="F19" s="276">
        <f>SumByColor($A$19,F2:F17)</f>
        <v>13793</v>
      </c>
      <c r="G19" s="275"/>
      <c r="H19" s="275">
        <f>SumByColor($A$19,H2:H17)</f>
        <v>1050</v>
      </c>
      <c r="I19" s="275"/>
      <c r="J19" s="275"/>
      <c r="K19" s="276">
        <f>SumByColor($A$19,K2:K17)</f>
        <v>14385</v>
      </c>
      <c r="L19" s="275"/>
      <c r="M19" s="276">
        <f>SumByColor($A$19,M2:M17)</f>
        <v>0</v>
      </c>
      <c r="O19" s="78">
        <v>1.1200000000000001</v>
      </c>
      <c r="P19" s="78">
        <f t="shared" si="3"/>
        <v>6.8096000000000005</v>
      </c>
      <c r="X19" s="131"/>
    </row>
    <row r="20" spans="1:39" x14ac:dyDescent="0.25">
      <c r="O20" s="78">
        <v>1.1100000000000001</v>
      </c>
      <c r="P20" s="78">
        <f t="shared" si="3"/>
        <v>6.748800000000001</v>
      </c>
      <c r="T20" s="1">
        <v>43152</v>
      </c>
      <c r="U20" t="s">
        <v>858</v>
      </c>
      <c r="X20" s="131"/>
    </row>
    <row r="21" spans="1:39" x14ac:dyDescent="0.25">
      <c r="O21" s="78">
        <v>1.1000000000000001</v>
      </c>
      <c r="P21" s="78">
        <f t="shared" si="3"/>
        <v>6.6880000000000006</v>
      </c>
      <c r="X21" s="131"/>
    </row>
    <row r="22" spans="1:39" x14ac:dyDescent="0.25">
      <c r="O22" s="78">
        <v>1.0900000000000001</v>
      </c>
      <c r="P22" s="78">
        <f t="shared" si="3"/>
        <v>6.6272000000000002</v>
      </c>
      <c r="T22" s="1">
        <v>43160</v>
      </c>
      <c r="U22" t="s">
        <v>806</v>
      </c>
      <c r="X22" s="131"/>
    </row>
    <row r="23" spans="1:39" x14ac:dyDescent="0.25">
      <c r="O23" s="78">
        <v>1.08</v>
      </c>
      <c r="P23" s="78">
        <f t="shared" si="3"/>
        <v>6.5664000000000007</v>
      </c>
      <c r="X23" s="131"/>
    </row>
    <row r="24" spans="1:39" x14ac:dyDescent="0.25">
      <c r="B24" s="159" t="s">
        <v>113</v>
      </c>
      <c r="C24" s="159" t="s">
        <v>143</v>
      </c>
      <c r="D24" s="160" t="s">
        <v>142</v>
      </c>
      <c r="E24" s="162" t="s">
        <v>144</v>
      </c>
      <c r="F24" s="162" t="s">
        <v>65</v>
      </c>
      <c r="G24" s="173" t="s">
        <v>148</v>
      </c>
      <c r="H24" s="173" t="s">
        <v>88</v>
      </c>
      <c r="I24" s="173" t="s">
        <v>151</v>
      </c>
      <c r="J24" s="173" t="s">
        <v>147</v>
      </c>
      <c r="K24" s="173" t="s">
        <v>452</v>
      </c>
      <c r="O24" s="78">
        <v>1.07</v>
      </c>
      <c r="P24" s="78">
        <f t="shared" si="3"/>
        <v>6.5056000000000003</v>
      </c>
      <c r="T24" s="1">
        <v>43191</v>
      </c>
      <c r="U24" t="s">
        <v>921</v>
      </c>
      <c r="X24" s="131"/>
    </row>
    <row r="25" spans="1:39" x14ac:dyDescent="0.25">
      <c r="A25" s="4"/>
      <c r="B25" s="161">
        <v>42969</v>
      </c>
      <c r="C25" s="10">
        <v>150</v>
      </c>
      <c r="D25" s="168">
        <v>18.100000000000001</v>
      </c>
      <c r="E25" s="39">
        <v>18.010000000000002</v>
      </c>
      <c r="F25" s="39">
        <f t="shared" ref="F25:F30" si="4">C25*(E25-D25)</f>
        <v>-13.499999999999979</v>
      </c>
      <c r="G25" s="39">
        <f t="shared" ref="G25:G30" si="5">D25*C25</f>
        <v>2715</v>
      </c>
      <c r="H25" s="175">
        <f t="shared" ref="H25:H30" si="6">(E25-D25)/D25</f>
        <v>-4.9723756906077266E-3</v>
      </c>
      <c r="I25" s="39"/>
      <c r="J25" s="39"/>
      <c r="K25" s="39"/>
      <c r="L25" s="4"/>
      <c r="O25" s="78">
        <v>1.06</v>
      </c>
      <c r="P25" s="78">
        <f t="shared" si="3"/>
        <v>6.4448000000000008</v>
      </c>
      <c r="X25" s="131"/>
    </row>
    <row r="26" spans="1:39" x14ac:dyDescent="0.25">
      <c r="A26" s="4"/>
      <c r="B26" s="161">
        <v>42977</v>
      </c>
      <c r="C26" s="10">
        <v>250</v>
      </c>
      <c r="D26" s="168">
        <v>17.474</v>
      </c>
      <c r="E26" s="39">
        <v>16.510000000000002</v>
      </c>
      <c r="F26" s="39">
        <f t="shared" si="4"/>
        <v>-240.99999999999966</v>
      </c>
      <c r="G26" s="39">
        <f t="shared" si="5"/>
        <v>4368.5</v>
      </c>
      <c r="H26" s="175">
        <f t="shared" si="6"/>
        <v>-5.5167677692571741E-2</v>
      </c>
      <c r="I26" s="39"/>
      <c r="J26" s="39"/>
      <c r="K26" s="39"/>
      <c r="L26" s="4"/>
      <c r="O26" s="78">
        <v>1.05</v>
      </c>
      <c r="P26" s="78">
        <f t="shared" si="3"/>
        <v>6.3840000000000003</v>
      </c>
      <c r="T26" s="1">
        <v>43237</v>
      </c>
      <c r="U26" t="s">
        <v>1015</v>
      </c>
      <c r="X26" s="131"/>
    </row>
    <row r="27" spans="1:39" x14ac:dyDescent="0.25">
      <c r="A27" s="4"/>
      <c r="B27" s="161">
        <v>42983</v>
      </c>
      <c r="C27" s="10">
        <v>250</v>
      </c>
      <c r="D27" s="168">
        <v>17.474</v>
      </c>
      <c r="E27" s="39">
        <v>16.309999999999999</v>
      </c>
      <c r="F27" s="39">
        <f t="shared" si="4"/>
        <v>-291.00000000000034</v>
      </c>
      <c r="G27" s="39">
        <f t="shared" si="5"/>
        <v>4368.5</v>
      </c>
      <c r="H27" s="175">
        <f t="shared" si="6"/>
        <v>-6.6613253977337847E-2</v>
      </c>
      <c r="I27" s="39"/>
      <c r="J27" s="39">
        <v>992</v>
      </c>
      <c r="K27" s="39"/>
      <c r="L27" s="4"/>
      <c r="O27" s="78">
        <v>1.04</v>
      </c>
      <c r="P27" s="78">
        <f t="shared" si="3"/>
        <v>6.3231999999999999</v>
      </c>
      <c r="X27" s="131"/>
    </row>
    <row r="28" spans="1:39" x14ac:dyDescent="0.25">
      <c r="A28" s="4"/>
      <c r="B28" s="161">
        <v>42984</v>
      </c>
      <c r="C28" s="10">
        <v>200</v>
      </c>
      <c r="D28" s="168">
        <v>17.617599999999999</v>
      </c>
      <c r="E28" s="39">
        <v>16.899999999999999</v>
      </c>
      <c r="F28" s="39">
        <f t="shared" si="4"/>
        <v>-143.52000000000018</v>
      </c>
      <c r="G28" s="39">
        <f t="shared" si="5"/>
        <v>3523.52</v>
      </c>
      <c r="H28" s="175">
        <f t="shared" si="6"/>
        <v>-4.0731995277449876E-2</v>
      </c>
      <c r="I28" s="39"/>
      <c r="J28" s="39">
        <v>1082</v>
      </c>
      <c r="K28" s="39"/>
      <c r="L28" s="4"/>
      <c r="O28" s="78">
        <v>1.03</v>
      </c>
      <c r="P28" s="78">
        <f t="shared" ref="P28:P41" si="7">O28*$Q$4</f>
        <v>6.2624000000000004</v>
      </c>
      <c r="X28" s="131"/>
    </row>
    <row r="29" spans="1:39" x14ac:dyDescent="0.25">
      <c r="A29" s="4"/>
      <c r="B29" s="161">
        <v>42986</v>
      </c>
      <c r="C29" s="10">
        <v>200</v>
      </c>
      <c r="D29" s="168">
        <v>16.857949999999999</v>
      </c>
      <c r="E29" s="39">
        <v>13.8</v>
      </c>
      <c r="F29" s="39">
        <f t="shared" si="4"/>
        <v>-611.58999999999969</v>
      </c>
      <c r="G29" s="39">
        <f t="shared" si="5"/>
        <v>3371.5899999999997</v>
      </c>
      <c r="H29" s="175">
        <f t="shared" si="6"/>
        <v>-0.18139512811462832</v>
      </c>
      <c r="I29" s="39"/>
      <c r="J29" s="39">
        <v>672</v>
      </c>
      <c r="K29" s="39"/>
      <c r="L29" s="4"/>
      <c r="O29" s="78">
        <v>1.02</v>
      </c>
      <c r="P29" s="78">
        <f t="shared" si="7"/>
        <v>6.2016</v>
      </c>
      <c r="X29" s="131"/>
    </row>
    <row r="30" spans="1:39" x14ac:dyDescent="0.25">
      <c r="A30" s="4"/>
      <c r="B30" s="161">
        <v>42999</v>
      </c>
      <c r="C30" s="10">
        <v>200</v>
      </c>
      <c r="D30" s="168">
        <v>16.858000000000001</v>
      </c>
      <c r="E30" s="39">
        <v>15.16</v>
      </c>
      <c r="F30" s="39">
        <f t="shared" si="4"/>
        <v>-339.60000000000008</v>
      </c>
      <c r="G30" s="39">
        <f t="shared" si="5"/>
        <v>3371.6</v>
      </c>
      <c r="H30" s="175">
        <f t="shared" si="6"/>
        <v>-0.10072369201566024</v>
      </c>
      <c r="I30" s="39"/>
      <c r="J30" s="39">
        <v>944</v>
      </c>
      <c r="K30" s="39"/>
      <c r="L30" s="4"/>
      <c r="O30" s="78">
        <v>1.01</v>
      </c>
      <c r="P30" s="78">
        <f t="shared" si="7"/>
        <v>6.1408000000000005</v>
      </c>
      <c r="X30" s="131"/>
    </row>
    <row r="31" spans="1:39" x14ac:dyDescent="0.25">
      <c r="A31" s="4"/>
      <c r="B31" s="161">
        <v>43023</v>
      </c>
      <c r="C31" s="10">
        <v>200</v>
      </c>
      <c r="D31" s="168">
        <v>16.858000000000001</v>
      </c>
      <c r="E31" s="39">
        <v>14.1</v>
      </c>
      <c r="F31" s="39">
        <f t="shared" ref="F31:F39" si="8">C31*(E31-D31)</f>
        <v>-551.60000000000014</v>
      </c>
      <c r="G31" s="39">
        <f t="shared" ref="G31:G39" si="9">D31*C31</f>
        <v>3371.6</v>
      </c>
      <c r="H31" s="175">
        <f t="shared" ref="H31:H39" si="10">(E31-D31)/D31</f>
        <v>-0.16360185075335157</v>
      </c>
      <c r="I31" s="39"/>
      <c r="J31" s="39">
        <v>732</v>
      </c>
      <c r="K31" s="39"/>
      <c r="L31" s="4"/>
      <c r="O31" s="78">
        <v>1</v>
      </c>
      <c r="P31" s="78">
        <f t="shared" si="7"/>
        <v>6.08</v>
      </c>
      <c r="X31" s="131"/>
    </row>
    <row r="32" spans="1:39" x14ac:dyDescent="0.25">
      <c r="A32" s="4"/>
      <c r="B32" s="161">
        <v>43035</v>
      </c>
      <c r="C32" s="7">
        <v>300</v>
      </c>
      <c r="D32" s="74">
        <v>15.8653</v>
      </c>
      <c r="E32" s="39">
        <v>13.88</v>
      </c>
      <c r="F32" s="39">
        <f t="shared" si="8"/>
        <v>-595.58999999999958</v>
      </c>
      <c r="G32" s="39">
        <f t="shared" si="9"/>
        <v>4759.59</v>
      </c>
      <c r="H32" s="175">
        <f t="shared" si="10"/>
        <v>-0.12513472799127648</v>
      </c>
      <c r="I32" s="39"/>
      <c r="J32" s="39"/>
      <c r="K32" s="39"/>
      <c r="L32" s="4"/>
      <c r="O32" s="78">
        <v>0.99</v>
      </c>
      <c r="P32" s="78">
        <f t="shared" si="7"/>
        <v>6.0191999999999997</v>
      </c>
      <c r="X32" s="131"/>
    </row>
    <row r="33" spans="1:24" x14ac:dyDescent="0.25">
      <c r="A33" s="4">
        <v>100</v>
      </c>
      <c r="B33" s="161">
        <v>43040</v>
      </c>
      <c r="C33" s="10">
        <v>200</v>
      </c>
      <c r="D33" s="168">
        <v>16.453099999999999</v>
      </c>
      <c r="E33" s="39">
        <v>14.44</v>
      </c>
      <c r="F33" s="39">
        <f t="shared" si="8"/>
        <v>-402.61999999999995</v>
      </c>
      <c r="G33" s="39">
        <f t="shared" si="9"/>
        <v>3290.62</v>
      </c>
      <c r="H33" s="175">
        <f t="shared" si="10"/>
        <v>-0.12235384213309344</v>
      </c>
      <c r="I33" s="39"/>
      <c r="J33" s="39">
        <v>880.8</v>
      </c>
      <c r="K33" s="39"/>
      <c r="L33" s="4"/>
      <c r="O33" s="78">
        <v>0.98</v>
      </c>
      <c r="P33" s="78">
        <f t="shared" si="7"/>
        <v>5.9584000000000001</v>
      </c>
      <c r="X33" s="131"/>
    </row>
    <row r="34" spans="1:24" x14ac:dyDescent="0.25">
      <c r="A34" s="4">
        <v>100</v>
      </c>
      <c r="B34" s="161">
        <v>43048</v>
      </c>
      <c r="C34" s="7">
        <v>300</v>
      </c>
      <c r="D34" s="74">
        <v>15.295400000000001</v>
      </c>
      <c r="E34" s="39">
        <v>13.44</v>
      </c>
      <c r="F34" s="39">
        <f t="shared" si="8"/>
        <v>-556.62000000000035</v>
      </c>
      <c r="G34" s="39">
        <f t="shared" si="9"/>
        <v>4588.62</v>
      </c>
      <c r="H34" s="175">
        <f t="shared" si="10"/>
        <v>-0.12130444447350192</v>
      </c>
      <c r="I34" s="39"/>
      <c r="J34" s="39">
        <v>727</v>
      </c>
      <c r="K34" s="39"/>
      <c r="L34" s="4"/>
      <c r="O34" s="78">
        <v>0.97</v>
      </c>
      <c r="P34" s="78">
        <f t="shared" si="7"/>
        <v>5.8975999999999997</v>
      </c>
      <c r="X34" s="131"/>
    </row>
    <row r="35" spans="1:24" x14ac:dyDescent="0.25">
      <c r="A35" s="4"/>
      <c r="B35" s="161">
        <v>43069</v>
      </c>
      <c r="C35" s="10">
        <v>200</v>
      </c>
      <c r="D35" s="168">
        <v>15.828250000000001</v>
      </c>
      <c r="E35" s="39">
        <v>14.03</v>
      </c>
      <c r="F35" s="39">
        <f t="shared" si="8"/>
        <v>-359.65000000000026</v>
      </c>
      <c r="G35" s="39">
        <f t="shared" si="9"/>
        <v>3165.65</v>
      </c>
      <c r="H35" s="175">
        <f t="shared" si="10"/>
        <v>-0.11361015905106384</v>
      </c>
      <c r="I35" s="39"/>
      <c r="J35" s="39">
        <v>924</v>
      </c>
      <c r="K35" s="39"/>
      <c r="L35" s="4"/>
      <c r="O35" s="78">
        <v>0.96</v>
      </c>
      <c r="P35" s="78">
        <f t="shared" si="7"/>
        <v>5.8368000000000002</v>
      </c>
      <c r="X35" s="131"/>
    </row>
    <row r="36" spans="1:24" x14ac:dyDescent="0.25">
      <c r="A36" s="4">
        <v>200</v>
      </c>
      <c r="B36" s="161">
        <v>43089</v>
      </c>
      <c r="C36" s="7">
        <v>300</v>
      </c>
      <c r="D36" s="74">
        <v>15.026</v>
      </c>
      <c r="E36" s="39">
        <v>13.38</v>
      </c>
      <c r="F36" s="39">
        <f t="shared" si="8"/>
        <v>-493.79999999999973</v>
      </c>
      <c r="G36" s="39">
        <f t="shared" si="9"/>
        <v>4507.8</v>
      </c>
      <c r="H36" s="175">
        <f t="shared" si="10"/>
        <v>-0.10954345800612265</v>
      </c>
      <c r="I36" s="39">
        <v>14.75</v>
      </c>
      <c r="J36" s="39">
        <v>790</v>
      </c>
      <c r="K36" s="39"/>
      <c r="L36" s="4"/>
      <c r="O36" s="78">
        <v>0.95</v>
      </c>
      <c r="P36" s="78">
        <f t="shared" si="7"/>
        <v>5.7759999999999998</v>
      </c>
      <c r="X36" s="131"/>
    </row>
    <row r="37" spans="1:24" x14ac:dyDescent="0.25">
      <c r="A37" s="4">
        <v>200</v>
      </c>
      <c r="B37" s="161">
        <v>43091</v>
      </c>
      <c r="C37" s="10">
        <v>600</v>
      </c>
      <c r="D37" s="168">
        <v>13.952999999999999</v>
      </c>
      <c r="E37" s="39">
        <v>12.99</v>
      </c>
      <c r="F37" s="39">
        <f t="shared" si="8"/>
        <v>-577.7999999999995</v>
      </c>
      <c r="G37" s="39">
        <f t="shared" si="9"/>
        <v>8371.7999999999993</v>
      </c>
      <c r="H37" s="175">
        <f t="shared" si="10"/>
        <v>-6.9017415609546273E-2</v>
      </c>
      <c r="I37" s="39"/>
      <c r="J37" s="39">
        <v>706</v>
      </c>
      <c r="K37" s="39"/>
      <c r="L37" s="4"/>
      <c r="O37" s="78">
        <v>0.94</v>
      </c>
      <c r="P37" s="78">
        <f t="shared" si="7"/>
        <v>5.7151999999999994</v>
      </c>
      <c r="X37" s="131"/>
    </row>
    <row r="38" spans="1:24" x14ac:dyDescent="0.25">
      <c r="A38" s="4">
        <v>0</v>
      </c>
      <c r="B38" s="161">
        <v>43095</v>
      </c>
      <c r="C38" s="7">
        <v>300</v>
      </c>
      <c r="D38" s="74">
        <v>14.625999999999999</v>
      </c>
      <c r="E38" s="39">
        <v>13.28</v>
      </c>
      <c r="F38" s="39">
        <f t="shared" si="8"/>
        <v>-403.8</v>
      </c>
      <c r="G38" s="39">
        <f t="shared" si="9"/>
        <v>4387.8</v>
      </c>
      <c r="H38" s="175">
        <f t="shared" si="10"/>
        <v>-9.2027895528510886E-2</v>
      </c>
      <c r="I38" s="429" t="s">
        <v>837</v>
      </c>
      <c r="J38" s="39">
        <v>880</v>
      </c>
      <c r="K38" s="39"/>
      <c r="L38" s="4"/>
      <c r="O38" s="78">
        <v>0.93</v>
      </c>
      <c r="P38" s="78">
        <f t="shared" si="7"/>
        <v>5.6544000000000008</v>
      </c>
      <c r="X38" s="131"/>
    </row>
    <row r="39" spans="1:24" x14ac:dyDescent="0.25">
      <c r="A39" s="4">
        <v>0</v>
      </c>
      <c r="B39" s="161">
        <v>43103</v>
      </c>
      <c r="C39" s="10">
        <v>600</v>
      </c>
      <c r="D39" s="168">
        <v>13.392899999999999</v>
      </c>
      <c r="E39" s="39">
        <v>12.14</v>
      </c>
      <c r="F39" s="39">
        <f t="shared" si="8"/>
        <v>-751.7399999999991</v>
      </c>
      <c r="G39" s="39">
        <f t="shared" si="9"/>
        <v>8035.74</v>
      </c>
      <c r="H39" s="175">
        <f t="shared" si="10"/>
        <v>-9.3549567308051182E-2</v>
      </c>
      <c r="I39" s="39"/>
      <c r="J39" s="39">
        <v>532</v>
      </c>
      <c r="K39" s="39">
        <v>36</v>
      </c>
      <c r="L39" s="4"/>
      <c r="O39" s="78">
        <v>0.92</v>
      </c>
      <c r="P39" s="78">
        <f t="shared" si="7"/>
        <v>5.5936000000000003</v>
      </c>
      <c r="X39" s="131"/>
    </row>
    <row r="40" spans="1:24" x14ac:dyDescent="0.25">
      <c r="A40" s="4">
        <v>0</v>
      </c>
      <c r="B40" s="161">
        <v>43108</v>
      </c>
      <c r="C40" s="470">
        <v>600</v>
      </c>
      <c r="D40" s="492">
        <v>13.392899999999999</v>
      </c>
      <c r="E40" s="39">
        <v>12.09</v>
      </c>
      <c r="F40" s="39">
        <f t="shared" ref="F40:F45" si="11">C40*(E40-D40)</f>
        <v>-781.73999999999955</v>
      </c>
      <c r="G40" s="39">
        <f t="shared" ref="G40:G45" si="12">D40*C40</f>
        <v>8035.74</v>
      </c>
      <c r="H40" s="175">
        <f t="shared" ref="H40:H45" si="13">(E40-D40)/D40</f>
        <v>-9.7282888694756126E-2</v>
      </c>
      <c r="I40" s="39"/>
      <c r="J40" s="39">
        <v>502</v>
      </c>
      <c r="K40" s="39"/>
      <c r="L40" s="4"/>
      <c r="O40" s="78">
        <v>0.91</v>
      </c>
      <c r="P40" s="78">
        <f t="shared" si="7"/>
        <v>5.5327999999999999</v>
      </c>
      <c r="X40" s="131"/>
    </row>
    <row r="41" spans="1:24" x14ac:dyDescent="0.25">
      <c r="A41" s="4">
        <v>0</v>
      </c>
      <c r="B41" s="161">
        <v>43110</v>
      </c>
      <c r="C41" s="10">
        <v>600</v>
      </c>
      <c r="D41" s="168">
        <v>13.393000000000001</v>
      </c>
      <c r="E41" s="39">
        <v>11.9</v>
      </c>
      <c r="F41" s="39">
        <f t="shared" si="11"/>
        <v>-895.80000000000018</v>
      </c>
      <c r="G41" s="39">
        <f t="shared" si="12"/>
        <v>8035.8</v>
      </c>
      <c r="H41" s="175">
        <f t="shared" si="13"/>
        <v>-0.1114761442544613</v>
      </c>
      <c r="I41" s="39"/>
      <c r="J41" s="39">
        <v>388</v>
      </c>
      <c r="K41" s="39"/>
      <c r="L41" s="4"/>
      <c r="O41" s="78">
        <v>0.9</v>
      </c>
      <c r="P41" s="78">
        <f t="shared" si="7"/>
        <v>5.4720000000000004</v>
      </c>
      <c r="X41" s="131"/>
    </row>
    <row r="42" spans="1:24" x14ac:dyDescent="0.25">
      <c r="A42" s="4">
        <v>0</v>
      </c>
      <c r="B42" s="161">
        <v>43126</v>
      </c>
      <c r="C42" s="7">
        <v>300</v>
      </c>
      <c r="D42" s="74">
        <v>14.305999999999999</v>
      </c>
      <c r="E42" s="39">
        <v>12.48</v>
      </c>
      <c r="F42" s="39">
        <f t="shared" si="11"/>
        <v>-547.79999999999961</v>
      </c>
      <c r="G42" s="39">
        <f t="shared" si="12"/>
        <v>4291.8</v>
      </c>
      <c r="H42" s="175">
        <f t="shared" si="13"/>
        <v>-0.12763875297078142</v>
      </c>
      <c r="I42" s="429" t="s">
        <v>838</v>
      </c>
      <c r="J42" s="39">
        <v>736</v>
      </c>
      <c r="K42" s="39"/>
      <c r="L42" s="4"/>
      <c r="O42" s="78">
        <v>0.89</v>
      </c>
      <c r="P42" s="78">
        <f>O42*$Q$4</f>
        <v>5.4112</v>
      </c>
      <c r="Q42" s="2"/>
      <c r="X42" s="131"/>
    </row>
    <row r="43" spans="1:24" x14ac:dyDescent="0.25">
      <c r="A43" s="4">
        <v>0</v>
      </c>
      <c r="B43" s="161">
        <v>43131</v>
      </c>
      <c r="C43" s="10">
        <v>500</v>
      </c>
      <c r="D43" s="168">
        <v>13.335660000000001</v>
      </c>
      <c r="E43" s="39">
        <v>11.93</v>
      </c>
      <c r="F43" s="39">
        <f t="shared" si="11"/>
        <v>-702.8300000000005</v>
      </c>
      <c r="G43" s="39">
        <f t="shared" si="12"/>
        <v>6667.83</v>
      </c>
      <c r="H43" s="175">
        <f t="shared" si="13"/>
        <v>-0.10540610663439237</v>
      </c>
      <c r="I43" s="39"/>
      <c r="J43" s="39">
        <v>581</v>
      </c>
      <c r="K43" s="39"/>
      <c r="L43" s="4"/>
      <c r="O43" s="78">
        <v>0.88</v>
      </c>
      <c r="P43" s="78">
        <f>O43*$Q$4</f>
        <v>5.3504000000000005</v>
      </c>
      <c r="Q43" s="2"/>
      <c r="X43" s="131"/>
    </row>
    <row r="44" spans="1:24" x14ac:dyDescent="0.25">
      <c r="A44" s="4"/>
      <c r="B44" s="161">
        <v>43132</v>
      </c>
      <c r="C44" s="470">
        <v>600</v>
      </c>
      <c r="D44" s="492">
        <v>13.06</v>
      </c>
      <c r="E44" s="39">
        <v>11.45</v>
      </c>
      <c r="F44" s="39">
        <f t="shared" si="11"/>
        <v>-966.00000000000068</v>
      </c>
      <c r="G44" s="39">
        <f t="shared" si="12"/>
        <v>7836</v>
      </c>
      <c r="H44" s="175">
        <f t="shared" si="13"/>
        <v>-0.1232771822358347</v>
      </c>
      <c r="I44" s="39"/>
      <c r="J44" s="39">
        <v>318</v>
      </c>
      <c r="K44" s="39"/>
      <c r="L44" s="4"/>
      <c r="O44" s="78">
        <v>0.87</v>
      </c>
      <c r="P44" s="78">
        <f>O44*$Q$4</f>
        <v>5.2896000000000001</v>
      </c>
      <c r="Q44" s="2"/>
      <c r="X44" s="131"/>
    </row>
    <row r="45" spans="1:24" x14ac:dyDescent="0.25">
      <c r="A45" s="4"/>
      <c r="B45" s="161">
        <v>43137</v>
      </c>
      <c r="C45" s="10">
        <v>600</v>
      </c>
      <c r="D45" s="168">
        <v>13.06</v>
      </c>
      <c r="E45" s="39">
        <v>10.6</v>
      </c>
      <c r="F45" s="39">
        <f t="shared" si="11"/>
        <v>-1476.0000000000005</v>
      </c>
      <c r="G45" s="39">
        <f t="shared" si="12"/>
        <v>7836</v>
      </c>
      <c r="H45" s="175">
        <f t="shared" si="13"/>
        <v>-0.18836140888208275</v>
      </c>
      <c r="I45" s="39"/>
      <c r="J45" s="39">
        <v>-192</v>
      </c>
      <c r="K45" s="39"/>
      <c r="L45" s="4"/>
      <c r="O45" s="78"/>
      <c r="P45" s="78"/>
      <c r="Q45" s="2"/>
      <c r="X45" s="131"/>
    </row>
    <row r="46" spans="1:24" x14ac:dyDescent="0.25">
      <c r="A46" s="4"/>
      <c r="B46" s="161">
        <v>43151</v>
      </c>
      <c r="C46" s="10">
        <v>600</v>
      </c>
      <c r="D46" s="168">
        <v>13.06</v>
      </c>
      <c r="E46" s="39">
        <v>10.18</v>
      </c>
      <c r="F46" s="39">
        <f t="shared" ref="F46:F53" si="14">C46*(E46-D46)</f>
        <v>-1728.0000000000005</v>
      </c>
      <c r="G46" s="39">
        <f t="shared" ref="G46:G53" si="15">D46*C46</f>
        <v>7836</v>
      </c>
      <c r="H46" s="175">
        <f t="shared" ref="H46:H53" si="16">(E46-D46)/D46</f>
        <v>-0.22052067381317003</v>
      </c>
      <c r="I46" s="39"/>
      <c r="J46" s="39">
        <v>-444</v>
      </c>
      <c r="K46" s="39"/>
      <c r="L46" s="4"/>
      <c r="O46" s="78"/>
      <c r="P46" s="78"/>
      <c r="Q46" s="2"/>
      <c r="X46" s="131"/>
    </row>
    <row r="47" spans="1:24" x14ac:dyDescent="0.25">
      <c r="A47" s="4">
        <v>300</v>
      </c>
      <c r="B47" s="161">
        <v>43158</v>
      </c>
      <c r="C47" s="10">
        <v>600</v>
      </c>
      <c r="D47" s="168">
        <v>13.06</v>
      </c>
      <c r="E47" s="39">
        <v>9.3000000000000007</v>
      </c>
      <c r="F47" s="39">
        <f t="shared" si="14"/>
        <v>-2256</v>
      </c>
      <c r="G47" s="39">
        <f t="shared" si="15"/>
        <v>7836</v>
      </c>
      <c r="H47" s="175">
        <f t="shared" si="16"/>
        <v>-0.28790199081163859</v>
      </c>
      <c r="I47" s="39"/>
      <c r="J47" s="39">
        <v>-972</v>
      </c>
      <c r="K47" s="39"/>
      <c r="L47" s="4"/>
      <c r="O47" s="78"/>
      <c r="P47" s="78"/>
      <c r="Q47" s="2"/>
      <c r="S47" t="s">
        <v>438</v>
      </c>
      <c r="T47" s="482" t="s">
        <v>431</v>
      </c>
      <c r="X47" s="131"/>
    </row>
    <row r="48" spans="1:24" x14ac:dyDescent="0.25">
      <c r="A48" s="4">
        <v>300</v>
      </c>
      <c r="B48" s="161">
        <v>43162</v>
      </c>
      <c r="C48" s="7">
        <v>300</v>
      </c>
      <c r="D48" s="74">
        <v>16.7</v>
      </c>
      <c r="E48" s="39">
        <v>9.75</v>
      </c>
      <c r="F48" s="39">
        <f t="shared" si="14"/>
        <v>-2085</v>
      </c>
      <c r="G48" s="39">
        <f t="shared" si="15"/>
        <v>5010</v>
      </c>
      <c r="H48" s="175">
        <f t="shared" si="16"/>
        <v>-0.41616766467065863</v>
      </c>
      <c r="I48" s="39"/>
      <c r="J48" s="39">
        <v>-801</v>
      </c>
      <c r="K48" s="39"/>
      <c r="L48" s="4"/>
      <c r="O48" s="78"/>
      <c r="P48" s="78"/>
      <c r="Q48" s="2"/>
      <c r="S48" t="s">
        <v>442</v>
      </c>
      <c r="T48" s="22" t="s">
        <v>441</v>
      </c>
      <c r="X48" s="131"/>
    </row>
    <row r="49" spans="1:24" x14ac:dyDescent="0.25">
      <c r="A49" s="4"/>
      <c r="B49" s="161">
        <v>43172</v>
      </c>
      <c r="C49" s="7">
        <v>300</v>
      </c>
      <c r="D49" s="74">
        <v>16.7</v>
      </c>
      <c r="E49" s="39">
        <v>10.58</v>
      </c>
      <c r="F49" s="39">
        <f t="shared" si="14"/>
        <v>-1835.9999999999998</v>
      </c>
      <c r="G49" s="39">
        <f t="shared" si="15"/>
        <v>5010</v>
      </c>
      <c r="H49" s="175">
        <f t="shared" si="16"/>
        <v>-0.36646706586826344</v>
      </c>
      <c r="I49" s="39"/>
      <c r="J49" s="39">
        <v>-552</v>
      </c>
      <c r="K49" s="39"/>
      <c r="L49" s="4"/>
      <c r="O49" s="78"/>
      <c r="P49" s="78"/>
      <c r="Q49" s="2"/>
      <c r="S49" t="s">
        <v>443</v>
      </c>
      <c r="T49" s="22" t="s">
        <v>444</v>
      </c>
      <c r="X49" s="131"/>
    </row>
    <row r="50" spans="1:24" x14ac:dyDescent="0.25">
      <c r="A50" s="4">
        <v>300</v>
      </c>
      <c r="B50" s="161">
        <v>43184</v>
      </c>
      <c r="C50" s="7">
        <v>300</v>
      </c>
      <c r="D50" s="74">
        <v>16.7</v>
      </c>
      <c r="E50" s="39">
        <v>9.84</v>
      </c>
      <c r="F50" s="39">
        <f t="shared" si="14"/>
        <v>-2058</v>
      </c>
      <c r="G50" s="39">
        <f t="shared" si="15"/>
        <v>5010</v>
      </c>
      <c r="H50" s="175">
        <f t="shared" si="16"/>
        <v>-0.41077844311377243</v>
      </c>
      <c r="I50" s="39"/>
      <c r="J50" s="39">
        <v>-775</v>
      </c>
      <c r="K50" s="39"/>
      <c r="L50" s="4"/>
      <c r="O50" s="78"/>
      <c r="P50" s="78"/>
      <c r="Q50" s="2"/>
      <c r="S50" t="s">
        <v>445</v>
      </c>
      <c r="T50" s="22" t="s">
        <v>446</v>
      </c>
      <c r="X50" s="131"/>
    </row>
    <row r="51" spans="1:24" x14ac:dyDescent="0.25">
      <c r="A51" s="4"/>
      <c r="B51" s="161">
        <v>43185</v>
      </c>
      <c r="C51" s="7">
        <v>300</v>
      </c>
      <c r="D51" s="74">
        <v>16.7</v>
      </c>
      <c r="E51" s="39">
        <v>9.61</v>
      </c>
      <c r="F51" s="39">
        <f t="shared" si="14"/>
        <v>-2127</v>
      </c>
      <c r="G51" s="39">
        <f t="shared" si="15"/>
        <v>5010</v>
      </c>
      <c r="H51" s="175">
        <f t="shared" si="16"/>
        <v>-0.42455089820359282</v>
      </c>
      <c r="I51" s="39"/>
      <c r="J51" s="39">
        <v>-843</v>
      </c>
      <c r="K51" s="39"/>
      <c r="L51" s="4"/>
      <c r="O51" s="78"/>
      <c r="P51" s="78"/>
      <c r="Q51" s="2"/>
      <c r="X51" s="131"/>
    </row>
    <row r="52" spans="1:24" x14ac:dyDescent="0.25">
      <c r="B52" s="161">
        <v>43207</v>
      </c>
      <c r="C52" s="10">
        <v>300</v>
      </c>
      <c r="D52" s="39">
        <v>16.7</v>
      </c>
      <c r="E52" s="39">
        <v>11.05</v>
      </c>
      <c r="F52" s="39">
        <f t="shared" si="14"/>
        <v>-1694.9999999999995</v>
      </c>
      <c r="G52" s="39">
        <f t="shared" si="15"/>
        <v>5010</v>
      </c>
      <c r="H52" s="175">
        <f t="shared" si="16"/>
        <v>-0.33832335329341312</v>
      </c>
      <c r="I52" s="39"/>
      <c r="J52" s="39">
        <v>-411</v>
      </c>
      <c r="K52" s="39"/>
      <c r="O52" s="78"/>
      <c r="P52" s="78"/>
      <c r="Q52" s="2"/>
      <c r="X52" s="131"/>
    </row>
    <row r="53" spans="1:24" x14ac:dyDescent="0.25">
      <c r="A53">
        <v>300</v>
      </c>
      <c r="B53" s="161">
        <v>43229</v>
      </c>
      <c r="C53" s="10">
        <v>300</v>
      </c>
      <c r="D53" s="39">
        <v>16.7</v>
      </c>
      <c r="E53" s="39">
        <v>10.83</v>
      </c>
      <c r="F53" s="39">
        <f t="shared" si="14"/>
        <v>-1760.9999999999998</v>
      </c>
      <c r="G53" s="39">
        <f t="shared" si="15"/>
        <v>5010</v>
      </c>
      <c r="H53" s="175">
        <f t="shared" si="16"/>
        <v>-0.35149700598802391</v>
      </c>
      <c r="I53" s="39"/>
      <c r="J53" s="39">
        <v>-477</v>
      </c>
      <c r="K53" s="39"/>
      <c r="O53" s="78"/>
      <c r="P53" s="78"/>
      <c r="Q53" s="2"/>
      <c r="S53" t="s">
        <v>449</v>
      </c>
      <c r="T53" s="22" t="s">
        <v>439</v>
      </c>
      <c r="X53" s="131"/>
    </row>
    <row r="54" spans="1:24" x14ac:dyDescent="0.25">
      <c r="B54" s="161">
        <v>43249</v>
      </c>
      <c r="C54" s="10">
        <v>0</v>
      </c>
      <c r="D54" s="39"/>
      <c r="E54" s="39">
        <v>12.62</v>
      </c>
      <c r="F54" s="39">
        <v>-1184.94</v>
      </c>
      <c r="G54" s="39"/>
      <c r="H54" s="175"/>
      <c r="I54" s="39"/>
      <c r="J54" s="39">
        <v>98.48</v>
      </c>
      <c r="K54" s="39"/>
      <c r="O54" s="78"/>
      <c r="P54" s="78"/>
      <c r="S54" t="s">
        <v>448</v>
      </c>
      <c r="T54" s="22" t="s">
        <v>440</v>
      </c>
      <c r="X54" s="131"/>
    </row>
    <row r="55" spans="1:24" x14ac:dyDescent="0.25">
      <c r="B55" s="161"/>
      <c r="C55" s="10"/>
      <c r="D55" s="39"/>
      <c r="E55" s="39"/>
      <c r="F55" s="39"/>
      <c r="G55" s="39"/>
      <c r="H55" s="175"/>
      <c r="I55" s="39"/>
      <c r="J55" s="39"/>
      <c r="K55" s="39"/>
      <c r="O55" s="78"/>
      <c r="P55" s="78"/>
      <c r="S55" t="s">
        <v>447</v>
      </c>
      <c r="T55" s="22" t="s">
        <v>450</v>
      </c>
      <c r="X55" s="131"/>
    </row>
    <row r="56" spans="1:24" x14ac:dyDescent="0.25">
      <c r="B56" s="161"/>
      <c r="C56" s="10"/>
      <c r="D56" s="39"/>
      <c r="E56" s="39"/>
      <c r="F56" s="39"/>
      <c r="G56" s="39"/>
      <c r="H56" s="175"/>
      <c r="I56" s="39"/>
      <c r="J56" s="39"/>
      <c r="K56" s="39"/>
      <c r="O56" s="78"/>
      <c r="P56" s="78"/>
      <c r="X56" s="131"/>
    </row>
    <row r="57" spans="1:24" x14ac:dyDescent="0.25">
      <c r="B57" s="161"/>
      <c r="C57" s="10"/>
      <c r="D57" s="39"/>
      <c r="E57" s="39"/>
      <c r="F57" s="39"/>
      <c r="G57" s="39"/>
      <c r="H57" s="175"/>
      <c r="I57" s="39"/>
      <c r="J57" s="39"/>
      <c r="K57" s="39"/>
      <c r="O57" s="78"/>
      <c r="P57" s="78"/>
      <c r="X57" s="131"/>
    </row>
    <row r="58" spans="1:24" x14ac:dyDescent="0.25">
      <c r="L58" t="s">
        <v>65</v>
      </c>
      <c r="M58" s="2">
        <f>M76+K76-F76</f>
        <v>1283.4199999999946</v>
      </c>
      <c r="O58" s="78"/>
      <c r="P58" s="78"/>
      <c r="X58" s="131"/>
    </row>
    <row r="59" spans="1:24" x14ac:dyDescent="0.25">
      <c r="A59" s="431" t="s">
        <v>1</v>
      </c>
      <c r="B59" s="431" t="s">
        <v>2</v>
      </c>
      <c r="C59" s="431" t="s">
        <v>4</v>
      </c>
      <c r="D59" s="432" t="s">
        <v>5</v>
      </c>
      <c r="E59" s="432" t="s">
        <v>94</v>
      </c>
      <c r="F59" s="432" t="s">
        <v>60</v>
      </c>
      <c r="G59" s="431" t="s">
        <v>3</v>
      </c>
      <c r="H59" s="431" t="s">
        <v>6</v>
      </c>
      <c r="I59" s="432" t="s">
        <v>7</v>
      </c>
      <c r="J59" s="432" t="s">
        <v>95</v>
      </c>
      <c r="K59" s="432" t="s">
        <v>61</v>
      </c>
      <c r="L59" s="431" t="s">
        <v>37</v>
      </c>
      <c r="M59" s="431" t="s">
        <v>38</v>
      </c>
      <c r="O59" s="78"/>
      <c r="P59" s="78"/>
      <c r="X59" s="131"/>
    </row>
    <row r="60" spans="1:24" x14ac:dyDescent="0.25">
      <c r="A60" s="433" t="s">
        <v>272</v>
      </c>
      <c r="B60" s="417">
        <v>42639</v>
      </c>
      <c r="C60" s="418">
        <v>80</v>
      </c>
      <c r="D60" s="420">
        <v>26.38</v>
      </c>
      <c r="E60" s="420">
        <v>0</v>
      </c>
      <c r="F60" s="420">
        <f>C60*D60+E60</f>
        <v>2110.4</v>
      </c>
      <c r="G60" s="417">
        <v>42677</v>
      </c>
      <c r="H60" s="434">
        <v>100</v>
      </c>
      <c r="I60" s="420">
        <v>26.49</v>
      </c>
      <c r="J60" s="420">
        <v>0.56000000000000005</v>
      </c>
      <c r="K60" s="420">
        <f>I60*H60-J60</f>
        <v>2648.44</v>
      </c>
      <c r="L60" s="417"/>
      <c r="M60" s="420"/>
      <c r="O60" s="78"/>
      <c r="P60" s="78"/>
      <c r="X60" s="131"/>
    </row>
    <row r="61" spans="1:24" x14ac:dyDescent="0.25">
      <c r="A61" s="435" t="s">
        <v>71</v>
      </c>
      <c r="B61" s="417">
        <v>42639</v>
      </c>
      <c r="C61" s="418">
        <v>20</v>
      </c>
      <c r="D61" s="420">
        <v>25.48</v>
      </c>
      <c r="E61" s="420">
        <v>0</v>
      </c>
      <c r="F61" s="420">
        <f>C61*D61+E61</f>
        <v>509.6</v>
      </c>
      <c r="G61" s="417">
        <v>42678</v>
      </c>
      <c r="H61" s="434">
        <v>20</v>
      </c>
      <c r="I61" s="420">
        <v>27.31</v>
      </c>
      <c r="J61" s="420">
        <v>0.01</v>
      </c>
      <c r="K61" s="420">
        <f>I61*H61-J61</f>
        <v>546.18999999999994</v>
      </c>
      <c r="L61" s="418"/>
      <c r="M61" s="418"/>
      <c r="X61" s="131"/>
    </row>
    <row r="62" spans="1:24" x14ac:dyDescent="0.25">
      <c r="A62" s="418"/>
      <c r="B62" s="417">
        <v>42639</v>
      </c>
      <c r="C62" s="418">
        <v>20</v>
      </c>
      <c r="D62" s="420">
        <v>25.48</v>
      </c>
      <c r="E62" s="420">
        <v>0</v>
      </c>
      <c r="F62" s="420">
        <f>C62*D62+E62</f>
        <v>509.6</v>
      </c>
      <c r="G62" s="417">
        <v>42681</v>
      </c>
      <c r="H62" s="434">
        <v>80</v>
      </c>
      <c r="I62" s="420">
        <v>28.17</v>
      </c>
      <c r="J62" s="420">
        <v>0.05</v>
      </c>
      <c r="K62" s="420">
        <f>I62*H62-J62</f>
        <v>2253.5500000000002</v>
      </c>
      <c r="L62" s="418"/>
      <c r="M62" s="418"/>
      <c r="X62" s="131"/>
    </row>
    <row r="63" spans="1:24" x14ac:dyDescent="0.25">
      <c r="A63" s="418"/>
      <c r="B63" s="417">
        <v>42649</v>
      </c>
      <c r="C63" s="418">
        <v>80</v>
      </c>
      <c r="D63" s="420">
        <v>24.67</v>
      </c>
      <c r="E63" s="420">
        <v>0</v>
      </c>
      <c r="F63" s="420">
        <f>C63*D63+E63</f>
        <v>1973.6000000000001</v>
      </c>
      <c r="G63" s="418"/>
      <c r="H63" s="434"/>
      <c r="I63" s="420"/>
      <c r="J63" s="420"/>
      <c r="K63" s="420"/>
      <c r="L63" s="418"/>
      <c r="M63" s="418"/>
      <c r="X63" s="131"/>
    </row>
    <row r="64" spans="1:24" x14ac:dyDescent="0.25">
      <c r="A64" s="418"/>
      <c r="B64" s="360">
        <v>42684</v>
      </c>
      <c r="C64" s="7">
        <v>100</v>
      </c>
      <c r="D64" s="43">
        <v>22.54</v>
      </c>
      <c r="E64" s="43">
        <v>0</v>
      </c>
      <c r="F64" s="43">
        <f t="shared" ref="F64:F74" si="17">D64*C64+E64</f>
        <v>2254</v>
      </c>
      <c r="G64" s="360">
        <v>42724</v>
      </c>
      <c r="H64" s="7">
        <v>100</v>
      </c>
      <c r="I64" s="43">
        <v>21.98</v>
      </c>
      <c r="J64" s="43">
        <v>0.55000000000000004</v>
      </c>
      <c r="K64" s="43">
        <f t="shared" ref="K64:K72" si="18">I64*H64-J64</f>
        <v>2197.4499999999998</v>
      </c>
      <c r="L64" s="69"/>
      <c r="M64" s="3"/>
      <c r="X64" s="131"/>
    </row>
    <row r="65" spans="1:24" x14ac:dyDescent="0.25">
      <c r="A65" s="418"/>
      <c r="B65" s="360">
        <v>42685</v>
      </c>
      <c r="C65" s="7">
        <v>100</v>
      </c>
      <c r="D65" s="43">
        <v>21.28</v>
      </c>
      <c r="E65" s="43">
        <v>0</v>
      </c>
      <c r="F65" s="43">
        <f t="shared" si="17"/>
        <v>2128</v>
      </c>
      <c r="G65" s="360">
        <v>42766</v>
      </c>
      <c r="H65" s="77">
        <v>100</v>
      </c>
      <c r="I65" s="43">
        <v>21.22</v>
      </c>
      <c r="J65" s="43">
        <v>0.05</v>
      </c>
      <c r="K65" s="43">
        <f t="shared" si="18"/>
        <v>2121.9499999999998</v>
      </c>
      <c r="L65" s="4"/>
      <c r="M65" s="4"/>
      <c r="X65" s="131"/>
    </row>
    <row r="66" spans="1:24" x14ac:dyDescent="0.25">
      <c r="A66" s="418"/>
      <c r="B66" s="360">
        <v>42706</v>
      </c>
      <c r="C66" s="7">
        <v>100</v>
      </c>
      <c r="D66" s="43">
        <v>21.13</v>
      </c>
      <c r="E66" s="43">
        <v>0</v>
      </c>
      <c r="F66" s="43">
        <f t="shared" si="17"/>
        <v>2113</v>
      </c>
      <c r="G66" s="360">
        <v>42766</v>
      </c>
      <c r="H66" s="77">
        <v>100</v>
      </c>
      <c r="I66" s="43">
        <v>21.58</v>
      </c>
      <c r="J66" s="43">
        <v>0.05</v>
      </c>
      <c r="K66" s="43">
        <f t="shared" si="18"/>
        <v>2157.9499999999998</v>
      </c>
      <c r="L66" s="4"/>
      <c r="M66" s="4"/>
      <c r="X66" s="131"/>
    </row>
    <row r="67" spans="1:24" x14ac:dyDescent="0.25">
      <c r="A67" s="418"/>
      <c r="B67" s="360">
        <v>42732</v>
      </c>
      <c r="C67" s="7">
        <v>100</v>
      </c>
      <c r="D67" s="43">
        <v>21.06</v>
      </c>
      <c r="E67" s="43">
        <v>0</v>
      </c>
      <c r="F67" s="43">
        <f t="shared" si="17"/>
        <v>2106</v>
      </c>
      <c r="G67" s="360">
        <v>42828</v>
      </c>
      <c r="H67" s="77">
        <v>200</v>
      </c>
      <c r="I67" s="43">
        <v>19.98</v>
      </c>
      <c r="J67" s="43">
        <v>1.0900000000000001</v>
      </c>
      <c r="K67" s="43">
        <f t="shared" si="18"/>
        <v>3994.91</v>
      </c>
      <c r="L67" s="4"/>
      <c r="M67" s="4"/>
      <c r="X67" s="131"/>
    </row>
    <row r="68" spans="1:24" x14ac:dyDescent="0.25">
      <c r="A68" s="418"/>
      <c r="B68" s="360">
        <v>42746</v>
      </c>
      <c r="C68" s="7">
        <v>100</v>
      </c>
      <c r="D68" s="43">
        <v>20.18</v>
      </c>
      <c r="E68" s="43">
        <v>0</v>
      </c>
      <c r="F68" s="43">
        <f t="shared" si="17"/>
        <v>2018</v>
      </c>
      <c r="G68" s="360">
        <v>42828</v>
      </c>
      <c r="H68" s="77">
        <v>200</v>
      </c>
      <c r="I68" s="43">
        <v>20.71</v>
      </c>
      <c r="J68" s="43">
        <v>0.09</v>
      </c>
      <c r="K68" s="43">
        <f t="shared" si="18"/>
        <v>4141.91</v>
      </c>
      <c r="L68" s="4"/>
      <c r="M68" s="4"/>
      <c r="X68" s="131"/>
    </row>
    <row r="69" spans="1:24" x14ac:dyDescent="0.25">
      <c r="A69" s="418"/>
      <c r="B69" s="360">
        <v>42753</v>
      </c>
      <c r="C69" s="7">
        <v>100</v>
      </c>
      <c r="D69" s="43">
        <v>20.28</v>
      </c>
      <c r="E69" s="43">
        <v>0</v>
      </c>
      <c r="F69" s="43">
        <f t="shared" si="17"/>
        <v>2028</v>
      </c>
      <c r="G69" s="360">
        <v>42830</v>
      </c>
      <c r="H69" s="77">
        <v>100</v>
      </c>
      <c r="I69" s="43">
        <v>20.04</v>
      </c>
      <c r="J69" s="43">
        <v>0.04</v>
      </c>
      <c r="K69" s="43">
        <f t="shared" si="18"/>
        <v>2003.96</v>
      </c>
      <c r="L69" s="4"/>
      <c r="M69" s="4"/>
      <c r="X69" s="131"/>
    </row>
    <row r="70" spans="1:24" x14ac:dyDescent="0.25">
      <c r="A70" s="418"/>
      <c r="B70" s="360">
        <v>42754</v>
      </c>
      <c r="C70" s="7">
        <v>100</v>
      </c>
      <c r="D70" s="43">
        <v>20.079999999999998</v>
      </c>
      <c r="E70" s="43">
        <v>0</v>
      </c>
      <c r="F70" s="43">
        <f t="shared" si="17"/>
        <v>2007.9999999999998</v>
      </c>
      <c r="G70" s="360">
        <v>42831</v>
      </c>
      <c r="H70" s="77">
        <v>100</v>
      </c>
      <c r="I70" s="43">
        <v>20.420000000000002</v>
      </c>
      <c r="J70" s="43">
        <v>0.04</v>
      </c>
      <c r="K70" s="43">
        <f t="shared" si="18"/>
        <v>2041.9600000000003</v>
      </c>
      <c r="L70" s="4"/>
      <c r="M70" s="4"/>
    </row>
    <row r="71" spans="1:24" x14ac:dyDescent="0.25">
      <c r="A71" s="418"/>
      <c r="B71" s="360">
        <v>42768</v>
      </c>
      <c r="C71" s="7">
        <v>100</v>
      </c>
      <c r="D71" s="43">
        <v>20.68</v>
      </c>
      <c r="E71" s="43">
        <v>0</v>
      </c>
      <c r="F71" s="43">
        <f t="shared" si="17"/>
        <v>2068</v>
      </c>
      <c r="G71" s="360">
        <v>42852</v>
      </c>
      <c r="H71" s="77">
        <v>100</v>
      </c>
      <c r="I71" s="43">
        <v>21.87</v>
      </c>
      <c r="J71" s="43">
        <v>0.55000000000000004</v>
      </c>
      <c r="K71" s="43">
        <f t="shared" si="18"/>
        <v>2186.4499999999998</v>
      </c>
      <c r="L71" s="4"/>
      <c r="M71" s="4"/>
    </row>
    <row r="72" spans="1:24" x14ac:dyDescent="0.25">
      <c r="A72" s="418"/>
      <c r="B72" s="360">
        <v>42773</v>
      </c>
      <c r="C72" s="7">
        <v>100</v>
      </c>
      <c r="D72" s="43">
        <v>19.48</v>
      </c>
      <c r="E72" s="43">
        <v>0</v>
      </c>
      <c r="F72" s="43">
        <f t="shared" si="17"/>
        <v>1948</v>
      </c>
      <c r="G72" s="360">
        <v>42864</v>
      </c>
      <c r="H72" s="77">
        <v>200</v>
      </c>
      <c r="I72" s="43">
        <v>22.46</v>
      </c>
      <c r="J72" s="43">
        <v>1.1000000000000001</v>
      </c>
      <c r="K72" s="43">
        <f t="shared" si="18"/>
        <v>4490.8999999999996</v>
      </c>
    </row>
    <row r="73" spans="1:24" x14ac:dyDescent="0.25">
      <c r="A73" s="418"/>
      <c r="B73" s="360">
        <v>42816</v>
      </c>
      <c r="C73" s="7">
        <v>200</v>
      </c>
      <c r="D73" s="43">
        <v>18.8</v>
      </c>
      <c r="E73" s="43">
        <v>0</v>
      </c>
      <c r="F73" s="43">
        <f t="shared" si="17"/>
        <v>3760</v>
      </c>
      <c r="H73" s="67"/>
    </row>
    <row r="74" spans="1:24" x14ac:dyDescent="0.25">
      <c r="A74" s="418"/>
      <c r="B74" s="360">
        <v>42829</v>
      </c>
      <c r="C74" s="7">
        <v>100</v>
      </c>
      <c r="D74" s="43">
        <v>19.68</v>
      </c>
      <c r="E74" s="43">
        <v>0</v>
      </c>
      <c r="F74" s="43">
        <f t="shared" si="17"/>
        <v>1968</v>
      </c>
      <c r="H74" s="67"/>
    </row>
    <row r="75" spans="1:24" x14ac:dyDescent="0.25">
      <c r="A75" s="418"/>
      <c r="H75" s="67"/>
    </row>
    <row r="76" spans="1:24" x14ac:dyDescent="0.25">
      <c r="A76" s="436" t="s">
        <v>81</v>
      </c>
      <c r="B76" s="437"/>
      <c r="C76" s="437">
        <f>SUM(C60:C75)</f>
        <v>1400</v>
      </c>
      <c r="D76" s="438"/>
      <c r="E76" s="438"/>
      <c r="F76" s="438">
        <f>SUM(F60:F75)</f>
        <v>29502.2</v>
      </c>
      <c r="G76" s="437"/>
      <c r="H76" s="459">
        <f>SUM(H60:H75)</f>
        <v>1400</v>
      </c>
      <c r="I76" s="438"/>
      <c r="J76" s="438"/>
      <c r="K76" s="438">
        <f>SUM(K60:K75)</f>
        <v>30785.619999999995</v>
      </c>
      <c r="L76" s="437"/>
      <c r="M76" s="438">
        <f>SUM(M60:M68)</f>
        <v>0</v>
      </c>
    </row>
    <row r="77" spans="1:24" ht="15.75" thickBot="1" x14ac:dyDescent="0.3">
      <c r="A77" s="439" t="s">
        <v>189</v>
      </c>
      <c r="B77" s="440"/>
      <c r="C77" s="441">
        <f>SumByColor($A$19,C60:C75)</f>
        <v>1200</v>
      </c>
      <c r="D77" s="441"/>
      <c r="E77" s="441"/>
      <c r="F77" s="442">
        <f>SumByColor($A$19,F60:F75)</f>
        <v>24399</v>
      </c>
      <c r="G77" s="441"/>
      <c r="H77" s="441">
        <f>SumByColor($A$19,H60:H75)</f>
        <v>1200</v>
      </c>
      <c r="I77" s="441"/>
      <c r="J77" s="441"/>
      <c r="K77" s="442">
        <f>SumByColor($A$19,K60:K75)</f>
        <v>25337</v>
      </c>
      <c r="L77" s="441"/>
      <c r="M77" s="442">
        <f>SumByColor($A$19,M60:M75)</f>
        <v>0</v>
      </c>
    </row>
    <row r="82" spans="2:11" x14ac:dyDescent="0.25">
      <c r="B82" s="159" t="s">
        <v>113</v>
      </c>
      <c r="C82" s="159" t="s">
        <v>143</v>
      </c>
      <c r="D82" s="160" t="s">
        <v>142</v>
      </c>
      <c r="E82" s="162" t="s">
        <v>144</v>
      </c>
      <c r="F82" s="162" t="s">
        <v>65</v>
      </c>
      <c r="G82" s="173" t="s">
        <v>148</v>
      </c>
      <c r="H82" s="173" t="s">
        <v>88</v>
      </c>
      <c r="I82" s="173" t="s">
        <v>151</v>
      </c>
    </row>
    <row r="83" spans="2:11" x14ac:dyDescent="0.25">
      <c r="B83" s="290">
        <v>42639</v>
      </c>
      <c r="C83" s="291">
        <v>80</v>
      </c>
      <c r="D83" s="292">
        <v>26.38</v>
      </c>
      <c r="E83" s="292">
        <v>25.53</v>
      </c>
      <c r="F83" s="292">
        <f t="shared" ref="F83:F92" si="19">C83*(E83-D83)</f>
        <v>-67.999999999999829</v>
      </c>
      <c r="G83" s="292">
        <f t="shared" ref="G83:G92" si="20">D83*C83</f>
        <v>2110.4</v>
      </c>
      <c r="H83" s="293">
        <f t="shared" ref="H83:H92" si="21">(E83-D83)/D83</f>
        <v>-3.2221379833206894E-2</v>
      </c>
      <c r="I83" s="292"/>
    </row>
    <row r="84" spans="2:11" x14ac:dyDescent="0.25">
      <c r="B84" s="290">
        <v>42639</v>
      </c>
      <c r="C84" s="291">
        <v>120</v>
      </c>
      <c r="D84" s="292">
        <v>26.08</v>
      </c>
      <c r="E84" s="292">
        <v>25.53</v>
      </c>
      <c r="F84" s="292">
        <f t="shared" si="19"/>
        <v>-65.999999999999659</v>
      </c>
      <c r="G84" s="292">
        <f t="shared" si="20"/>
        <v>3129.6</v>
      </c>
      <c r="H84" s="293">
        <f t="shared" si="21"/>
        <v>-2.1088957055214616E-2</v>
      </c>
      <c r="I84" s="292"/>
    </row>
    <row r="85" spans="2:11" x14ac:dyDescent="0.25">
      <c r="B85" s="290">
        <v>42641</v>
      </c>
      <c r="C85" s="291">
        <v>120</v>
      </c>
      <c r="D85" s="292">
        <v>26.08</v>
      </c>
      <c r="E85" s="292">
        <v>26</v>
      </c>
      <c r="F85" s="292">
        <f t="shared" si="19"/>
        <v>-9.5999999999997954</v>
      </c>
      <c r="G85" s="292">
        <f t="shared" si="20"/>
        <v>3129.6</v>
      </c>
      <c r="H85" s="293">
        <f t="shared" si="21"/>
        <v>-3.0674846625766221E-3</v>
      </c>
      <c r="I85" s="292"/>
    </row>
    <row r="86" spans="2:11" x14ac:dyDescent="0.25">
      <c r="B86" s="290">
        <v>42643</v>
      </c>
      <c r="C86" s="291">
        <v>120</v>
      </c>
      <c r="D86" s="292">
        <v>26.08</v>
      </c>
      <c r="E86" s="292">
        <v>26.59</v>
      </c>
      <c r="F86" s="292">
        <f t="shared" si="19"/>
        <v>61.200000000000188</v>
      </c>
      <c r="G86" s="292">
        <f t="shared" si="20"/>
        <v>3129.6</v>
      </c>
      <c r="H86" s="293">
        <f t="shared" si="21"/>
        <v>1.9555214723926441E-2</v>
      </c>
      <c r="I86" s="292"/>
    </row>
    <row r="87" spans="2:11" x14ac:dyDescent="0.25">
      <c r="B87" s="290">
        <v>42649</v>
      </c>
      <c r="C87" s="291">
        <v>200</v>
      </c>
      <c r="D87" s="292">
        <v>25.515999999999998</v>
      </c>
      <c r="E87" s="292">
        <v>25.21</v>
      </c>
      <c r="F87" s="292">
        <f t="shared" si="19"/>
        <v>-61.199999999999477</v>
      </c>
      <c r="G87" s="292">
        <f t="shared" si="20"/>
        <v>5103.2</v>
      </c>
      <c r="H87" s="293">
        <f t="shared" si="21"/>
        <v>-1.1992475309609556E-2</v>
      </c>
      <c r="I87" s="292"/>
    </row>
    <row r="88" spans="2:11" x14ac:dyDescent="0.25">
      <c r="B88" s="290">
        <v>42650</v>
      </c>
      <c r="C88" s="291">
        <v>200</v>
      </c>
      <c r="D88" s="292">
        <v>25.515999999999998</v>
      </c>
      <c r="E88" s="292">
        <v>25.33</v>
      </c>
      <c r="F88" s="292">
        <f t="shared" si="19"/>
        <v>-37.199999999999989</v>
      </c>
      <c r="G88" s="292">
        <f t="shared" si="20"/>
        <v>5103.2</v>
      </c>
      <c r="H88" s="293">
        <f t="shared" si="21"/>
        <v>-7.2895438156450835E-3</v>
      </c>
      <c r="I88" s="292"/>
    </row>
    <row r="89" spans="2:11" x14ac:dyDescent="0.25">
      <c r="B89" s="290">
        <v>42661</v>
      </c>
      <c r="C89" s="291">
        <v>200</v>
      </c>
      <c r="D89" s="292">
        <v>25.515999999999998</v>
      </c>
      <c r="E89" s="292">
        <v>26.25</v>
      </c>
      <c r="F89" s="292">
        <f t="shared" si="19"/>
        <v>146.80000000000035</v>
      </c>
      <c r="G89" s="292">
        <f t="shared" si="20"/>
        <v>5103.2</v>
      </c>
      <c r="H89" s="293">
        <f t="shared" si="21"/>
        <v>2.876626430475003E-2</v>
      </c>
      <c r="I89" s="292"/>
    </row>
    <row r="90" spans="2:11" x14ac:dyDescent="0.25">
      <c r="B90" s="290">
        <v>42674</v>
      </c>
      <c r="C90" s="291">
        <v>200</v>
      </c>
      <c r="D90" s="292">
        <v>25.515999999999998</v>
      </c>
      <c r="E90" s="292">
        <v>26.42</v>
      </c>
      <c r="F90" s="292">
        <f t="shared" si="19"/>
        <v>180.80000000000069</v>
      </c>
      <c r="G90" s="292">
        <f t="shared" si="20"/>
        <v>5103.2</v>
      </c>
      <c r="H90" s="293">
        <f t="shared" si="21"/>
        <v>3.5428750587866577E-2</v>
      </c>
      <c r="I90" s="292"/>
    </row>
    <row r="91" spans="2:11" x14ac:dyDescent="0.25">
      <c r="B91" s="290">
        <v>42677</v>
      </c>
      <c r="C91" s="291">
        <v>100</v>
      </c>
      <c r="D91" s="292">
        <v>24.547599999999999</v>
      </c>
      <c r="E91" s="292">
        <v>26.69</v>
      </c>
      <c r="F91" s="292">
        <f t="shared" si="19"/>
        <v>214.24000000000021</v>
      </c>
      <c r="G91" s="292">
        <f t="shared" si="20"/>
        <v>2454.7599999999998</v>
      </c>
      <c r="H91" s="293">
        <f t="shared" si="21"/>
        <v>8.7275334452247971E-2</v>
      </c>
      <c r="I91" s="369"/>
    </row>
    <row r="92" spans="2:11" x14ac:dyDescent="0.25">
      <c r="B92" s="290">
        <v>42678</v>
      </c>
      <c r="C92" s="291">
        <v>80</v>
      </c>
      <c r="D92" s="292">
        <v>23.857099999999999</v>
      </c>
      <c r="E92" s="292">
        <v>27.24</v>
      </c>
      <c r="F92" s="292">
        <f t="shared" si="19"/>
        <v>270.63199999999995</v>
      </c>
      <c r="G92" s="292">
        <f t="shared" si="20"/>
        <v>1908.568</v>
      </c>
      <c r="H92" s="293">
        <f t="shared" si="21"/>
        <v>0.1417984583205838</v>
      </c>
      <c r="I92" s="292"/>
    </row>
    <row r="93" spans="2:11" x14ac:dyDescent="0.25">
      <c r="B93" s="290">
        <v>42681</v>
      </c>
      <c r="C93" s="291">
        <v>0</v>
      </c>
      <c r="D93" s="292"/>
      <c r="E93" s="292"/>
      <c r="F93" s="292">
        <v>344.98</v>
      </c>
      <c r="G93" s="292"/>
      <c r="H93" s="293"/>
      <c r="I93" s="292"/>
    </row>
    <row r="94" spans="2:11" x14ac:dyDescent="0.25">
      <c r="B94" s="290"/>
      <c r="C94" s="291"/>
      <c r="D94" s="292"/>
      <c r="E94" s="292"/>
      <c r="F94" s="292"/>
      <c r="G94" s="292"/>
      <c r="H94" s="293"/>
      <c r="I94" s="292"/>
    </row>
    <row r="95" spans="2:11" x14ac:dyDescent="0.25">
      <c r="B95" s="159" t="s">
        <v>113</v>
      </c>
      <c r="C95" s="159" t="s">
        <v>143</v>
      </c>
      <c r="D95" s="160" t="s">
        <v>142</v>
      </c>
      <c r="E95" s="162" t="s">
        <v>144</v>
      </c>
      <c r="F95" s="162" t="s">
        <v>65</v>
      </c>
      <c r="G95" s="173" t="s">
        <v>148</v>
      </c>
      <c r="H95" s="173" t="s">
        <v>88</v>
      </c>
      <c r="I95" s="173" t="s">
        <v>151</v>
      </c>
      <c r="J95" s="173" t="s">
        <v>147</v>
      </c>
      <c r="K95" s="173" t="s">
        <v>601</v>
      </c>
    </row>
    <row r="96" spans="2:11" x14ac:dyDescent="0.25">
      <c r="B96" s="161">
        <v>42701</v>
      </c>
      <c r="C96" s="10">
        <v>200</v>
      </c>
      <c r="D96" s="168">
        <v>21.91</v>
      </c>
      <c r="E96" s="39">
        <v>23.82</v>
      </c>
      <c r="F96" s="39">
        <f t="shared" ref="F96:F120" si="22">C96*(E96-D96)</f>
        <v>382</v>
      </c>
      <c r="G96" s="39">
        <f t="shared" ref="G96:G120" si="23">D96*C96</f>
        <v>4382</v>
      </c>
      <c r="H96" s="175">
        <f t="shared" ref="H96:H120" si="24">(E96-D96)/D96</f>
        <v>8.7174806024646292E-2</v>
      </c>
      <c r="I96" s="39"/>
      <c r="J96" s="39"/>
      <c r="K96" s="39"/>
    </row>
    <row r="97" spans="1:11" x14ac:dyDescent="0.25">
      <c r="B97" s="161">
        <v>42706</v>
      </c>
      <c r="C97" s="10">
        <v>300</v>
      </c>
      <c r="D97" s="168">
        <v>21.65</v>
      </c>
      <c r="E97" s="39">
        <v>21.1</v>
      </c>
      <c r="F97" s="39">
        <f t="shared" si="22"/>
        <v>-164.99999999999915</v>
      </c>
      <c r="G97" s="39">
        <f t="shared" si="23"/>
        <v>6495</v>
      </c>
      <c r="H97" s="175">
        <f t="shared" si="24"/>
        <v>-2.5404157043879778E-2</v>
      </c>
      <c r="I97" s="39"/>
      <c r="J97" s="39"/>
      <c r="K97" s="39"/>
    </row>
    <row r="98" spans="1:11" x14ac:dyDescent="0.25">
      <c r="B98" s="161">
        <v>42724</v>
      </c>
      <c r="C98" s="10">
        <v>200</v>
      </c>
      <c r="D98" s="168">
        <v>21.4878</v>
      </c>
      <c r="E98" s="39">
        <v>21.98</v>
      </c>
      <c r="F98" s="39">
        <f t="shared" si="22"/>
        <v>98.440000000000083</v>
      </c>
      <c r="G98" s="39">
        <f t="shared" si="23"/>
        <v>4297.5600000000004</v>
      </c>
      <c r="H98" s="175">
        <f t="shared" si="24"/>
        <v>2.2906021091037725E-2</v>
      </c>
      <c r="I98" s="39"/>
      <c r="J98" s="39"/>
      <c r="K98" s="39"/>
    </row>
    <row r="99" spans="1:11" x14ac:dyDescent="0.25">
      <c r="B99" s="161">
        <v>42732</v>
      </c>
      <c r="C99" s="10">
        <v>300</v>
      </c>
      <c r="D99" s="168">
        <v>21.345199999999998</v>
      </c>
      <c r="E99" s="39">
        <v>21.56</v>
      </c>
      <c r="F99" s="39">
        <f t="shared" si="22"/>
        <v>64.440000000000097</v>
      </c>
      <c r="G99" s="39">
        <f t="shared" si="23"/>
        <v>6403.5599999999995</v>
      </c>
      <c r="H99" s="175">
        <f t="shared" si="24"/>
        <v>1.0063152371493373E-2</v>
      </c>
      <c r="I99" s="39"/>
      <c r="J99" s="39"/>
      <c r="K99" s="39"/>
    </row>
    <row r="100" spans="1:11" x14ac:dyDescent="0.25">
      <c r="B100" s="161">
        <v>42739</v>
      </c>
      <c r="C100" s="10">
        <v>300</v>
      </c>
      <c r="D100" s="168">
        <v>21.345199999999998</v>
      </c>
      <c r="E100" s="39">
        <v>20.9</v>
      </c>
      <c r="F100" s="39">
        <f t="shared" si="22"/>
        <v>-133.55999999999995</v>
      </c>
      <c r="G100" s="39">
        <f t="shared" si="23"/>
        <v>6403.5599999999995</v>
      </c>
      <c r="H100" s="175">
        <f t="shared" si="24"/>
        <v>-2.0857148211307453E-2</v>
      </c>
      <c r="I100" s="39"/>
      <c r="J100" s="39"/>
      <c r="K100" s="39"/>
    </row>
    <row r="101" spans="1:11" x14ac:dyDescent="0.25">
      <c r="B101" s="161">
        <v>42745</v>
      </c>
      <c r="C101" s="7">
        <v>300</v>
      </c>
      <c r="D101" s="74">
        <v>21.345199999999998</v>
      </c>
      <c r="E101" s="39">
        <v>20.58</v>
      </c>
      <c r="F101" s="39">
        <f t="shared" si="22"/>
        <v>-229.56000000000003</v>
      </c>
      <c r="G101" s="39">
        <f t="shared" si="23"/>
        <v>6403.5599999999995</v>
      </c>
      <c r="H101" s="175">
        <f t="shared" si="24"/>
        <v>-3.5848809099938164E-2</v>
      </c>
      <c r="I101" s="39"/>
      <c r="J101" s="39"/>
      <c r="K101" s="39"/>
    </row>
    <row r="102" spans="1:11" x14ac:dyDescent="0.25">
      <c r="B102" s="161">
        <v>42746</v>
      </c>
      <c r="C102" s="10">
        <v>400</v>
      </c>
      <c r="D102" s="168">
        <v>21.053879999999999</v>
      </c>
      <c r="E102" s="39">
        <v>20.309999999999999</v>
      </c>
      <c r="F102" s="39">
        <f t="shared" si="22"/>
        <v>-297.55200000000031</v>
      </c>
      <c r="G102" s="39">
        <f t="shared" si="23"/>
        <v>8421.5519999999997</v>
      </c>
      <c r="H102" s="175">
        <f t="shared" si="24"/>
        <v>-3.5332204800255382E-2</v>
      </c>
      <c r="I102" s="39"/>
      <c r="J102" s="39"/>
      <c r="K102" s="39"/>
    </row>
    <row r="103" spans="1:11" x14ac:dyDescent="0.25">
      <c r="A103" t="s">
        <v>318</v>
      </c>
      <c r="B103" s="161">
        <v>42754</v>
      </c>
      <c r="C103" s="470">
        <v>600</v>
      </c>
      <c r="D103" s="492">
        <v>20.76258</v>
      </c>
      <c r="E103" s="39">
        <v>20.260000000000002</v>
      </c>
      <c r="F103" s="39">
        <f t="shared" si="22"/>
        <v>-301.54799999999898</v>
      </c>
      <c r="G103" s="39">
        <f t="shared" si="23"/>
        <v>12457.548000000001</v>
      </c>
      <c r="H103" s="175">
        <f t="shared" si="24"/>
        <v>-2.4206047610653314E-2</v>
      </c>
      <c r="I103" s="39" t="s">
        <v>313</v>
      </c>
      <c r="J103" s="39"/>
      <c r="K103" s="39"/>
    </row>
    <row r="104" spans="1:11" x14ac:dyDescent="0.25">
      <c r="A104" t="s">
        <v>318</v>
      </c>
      <c r="B104" s="161">
        <v>42760</v>
      </c>
      <c r="C104" s="10">
        <v>600</v>
      </c>
      <c r="D104" s="168">
        <v>20.76258</v>
      </c>
      <c r="E104" s="39">
        <v>20.89</v>
      </c>
      <c r="F104" s="39">
        <f t="shared" si="22"/>
        <v>76.452000000000453</v>
      </c>
      <c r="G104" s="39">
        <f t="shared" si="23"/>
        <v>12457.548000000001</v>
      </c>
      <c r="H104" s="175">
        <f t="shared" si="24"/>
        <v>6.1370022415326402E-3</v>
      </c>
      <c r="I104" s="39"/>
      <c r="J104" s="39"/>
      <c r="K104" s="39"/>
    </row>
    <row r="105" spans="1:11" x14ac:dyDescent="0.25">
      <c r="A105" t="s">
        <v>344</v>
      </c>
      <c r="B105" s="161">
        <v>42764</v>
      </c>
      <c r="C105" s="10">
        <v>600</v>
      </c>
      <c r="D105" s="168">
        <v>20.76258</v>
      </c>
      <c r="E105" s="39">
        <v>20.58</v>
      </c>
      <c r="F105" s="39">
        <f t="shared" si="22"/>
        <v>-109.54800000000091</v>
      </c>
      <c r="G105" s="39">
        <f t="shared" si="23"/>
        <v>12457.548000000001</v>
      </c>
      <c r="H105" s="175">
        <f t="shared" si="24"/>
        <v>-8.7937048285907406E-3</v>
      </c>
      <c r="I105" s="39"/>
      <c r="J105" s="39"/>
      <c r="K105" s="39"/>
    </row>
    <row r="106" spans="1:11" x14ac:dyDescent="0.25">
      <c r="A106" t="s">
        <v>353</v>
      </c>
      <c r="B106" s="161">
        <v>42766</v>
      </c>
      <c r="C106" s="10">
        <v>400</v>
      </c>
      <c r="D106" s="168">
        <v>20.444130000000001</v>
      </c>
      <c r="E106" s="39">
        <v>21.3</v>
      </c>
      <c r="F106" s="39">
        <f t="shared" si="22"/>
        <v>342.34799999999979</v>
      </c>
      <c r="G106" s="39">
        <f t="shared" si="23"/>
        <v>8177.652</v>
      </c>
      <c r="H106" s="175">
        <f t="shared" si="24"/>
        <v>4.1863850405960017E-2</v>
      </c>
      <c r="I106" s="39"/>
      <c r="J106" s="39"/>
      <c r="K106" s="39"/>
    </row>
    <row r="107" spans="1:11" x14ac:dyDescent="0.25">
      <c r="A107" t="s">
        <v>360</v>
      </c>
      <c r="B107" s="161">
        <v>42768</v>
      </c>
      <c r="C107" s="10">
        <v>500</v>
      </c>
      <c r="D107" s="168">
        <v>20.491299999999999</v>
      </c>
      <c r="E107" s="39">
        <v>20.52</v>
      </c>
      <c r="F107" s="39">
        <f t="shared" si="22"/>
        <v>14.350000000000307</v>
      </c>
      <c r="G107" s="39">
        <f t="shared" si="23"/>
        <v>10245.65</v>
      </c>
      <c r="H107" s="175">
        <f t="shared" si="24"/>
        <v>1.4005943985984596E-3</v>
      </c>
      <c r="I107" s="39"/>
      <c r="J107" s="39"/>
      <c r="K107" s="39"/>
    </row>
    <row r="108" spans="1:11" x14ac:dyDescent="0.25">
      <c r="A108" t="s">
        <v>375</v>
      </c>
      <c r="B108" s="161">
        <v>42773</v>
      </c>
      <c r="C108" s="470">
        <v>600</v>
      </c>
      <c r="D108" s="492">
        <v>20.322749999999999</v>
      </c>
      <c r="E108" s="39">
        <v>19.61</v>
      </c>
      <c r="F108" s="39">
        <f t="shared" si="22"/>
        <v>-427.64999999999986</v>
      </c>
      <c r="G108" s="39">
        <f t="shared" si="23"/>
        <v>12193.65</v>
      </c>
      <c r="H108" s="175">
        <f t="shared" si="24"/>
        <v>-3.5071533134049267E-2</v>
      </c>
      <c r="I108" s="39"/>
      <c r="J108" s="39"/>
      <c r="K108" s="39"/>
    </row>
    <row r="109" spans="1:11" x14ac:dyDescent="0.25">
      <c r="A109" t="s">
        <v>318</v>
      </c>
      <c r="B109" s="161">
        <v>42778</v>
      </c>
      <c r="C109" s="10">
        <v>600</v>
      </c>
      <c r="D109" s="168">
        <v>20.322749999999999</v>
      </c>
      <c r="E109" s="39">
        <v>20.07</v>
      </c>
      <c r="F109" s="39">
        <f t="shared" si="22"/>
        <v>-151.64999999999935</v>
      </c>
      <c r="G109" s="39">
        <f t="shared" si="23"/>
        <v>12193.65</v>
      </c>
      <c r="H109" s="175">
        <f t="shared" si="24"/>
        <v>-1.2436801121895361E-2</v>
      </c>
      <c r="I109" s="39"/>
      <c r="J109" s="39"/>
      <c r="K109" s="39"/>
    </row>
    <row r="110" spans="1:11" x14ac:dyDescent="0.25">
      <c r="A110" t="s">
        <v>318</v>
      </c>
      <c r="B110" s="161">
        <v>42779</v>
      </c>
      <c r="C110" s="10">
        <v>600</v>
      </c>
      <c r="D110" s="168">
        <v>20.322749999999999</v>
      </c>
      <c r="E110" s="39">
        <v>19.23</v>
      </c>
      <c r="F110" s="39">
        <f t="shared" si="22"/>
        <v>-655.6499999999993</v>
      </c>
      <c r="G110" s="39">
        <f t="shared" si="23"/>
        <v>12193.65</v>
      </c>
      <c r="H110" s="175">
        <f t="shared" si="24"/>
        <v>-5.3769790013654589E-2</v>
      </c>
      <c r="I110" s="39"/>
      <c r="J110" s="39"/>
      <c r="K110" s="39"/>
    </row>
    <row r="111" spans="1:11" x14ac:dyDescent="0.25">
      <c r="A111" t="s">
        <v>398</v>
      </c>
      <c r="B111" s="161">
        <v>42785</v>
      </c>
      <c r="C111" s="10">
        <v>600</v>
      </c>
      <c r="D111" s="168">
        <v>20.322749999999999</v>
      </c>
      <c r="E111" s="39">
        <v>19.22</v>
      </c>
      <c r="F111" s="39">
        <f t="shared" si="22"/>
        <v>-661.6500000000002</v>
      </c>
      <c r="G111" s="39">
        <f t="shared" si="23"/>
        <v>12193.65</v>
      </c>
      <c r="H111" s="175">
        <f t="shared" si="24"/>
        <v>-5.4261849405223231E-2</v>
      </c>
      <c r="I111" s="39"/>
      <c r="J111" s="39"/>
      <c r="K111" s="39"/>
    </row>
    <row r="112" spans="1:11" x14ac:dyDescent="0.25">
      <c r="A112">
        <v>600</v>
      </c>
      <c r="B112" s="161">
        <v>42805</v>
      </c>
      <c r="C112" s="10">
        <v>600</v>
      </c>
      <c r="D112" s="168">
        <v>20.322749999999999</v>
      </c>
      <c r="E112" s="39">
        <v>19.52</v>
      </c>
      <c r="F112" s="39">
        <f t="shared" si="22"/>
        <v>-481.64999999999975</v>
      </c>
      <c r="G112" s="39">
        <f t="shared" si="23"/>
        <v>12193.65</v>
      </c>
      <c r="H112" s="175">
        <f t="shared" si="24"/>
        <v>-3.9500067658166327E-2</v>
      </c>
      <c r="I112" s="39"/>
      <c r="J112" s="39">
        <v>-137</v>
      </c>
      <c r="K112" s="39">
        <f>(G112-J112)/C112</f>
        <v>20.551083333333334</v>
      </c>
    </row>
    <row r="113" spans="1:11" x14ac:dyDescent="0.25">
      <c r="A113">
        <v>600</v>
      </c>
      <c r="B113" s="161">
        <v>42808</v>
      </c>
      <c r="C113" s="10">
        <v>600</v>
      </c>
      <c r="D113" s="168">
        <v>20.322749999999999</v>
      </c>
      <c r="E113" s="39">
        <v>19.2</v>
      </c>
      <c r="F113" s="39">
        <f t="shared" si="22"/>
        <v>-673.65</v>
      </c>
      <c r="G113" s="39">
        <f t="shared" si="23"/>
        <v>12193.65</v>
      </c>
      <c r="H113" s="175">
        <f t="shared" si="24"/>
        <v>-5.5245968188360334E-2</v>
      </c>
      <c r="I113" s="39"/>
      <c r="J113" s="39">
        <v>-329</v>
      </c>
      <c r="K113" s="39">
        <f t="shared" ref="K113:K120" si="25">(G113-J113)/C113</f>
        <v>20.871083333333331</v>
      </c>
    </row>
    <row r="114" spans="1:11" x14ac:dyDescent="0.25">
      <c r="A114">
        <v>600</v>
      </c>
      <c r="B114" s="161">
        <v>42816</v>
      </c>
      <c r="C114" s="10">
        <v>800</v>
      </c>
      <c r="D114" s="168">
        <v>19.9421</v>
      </c>
      <c r="E114" s="39">
        <v>18.77</v>
      </c>
      <c r="F114" s="39">
        <f t="shared" si="22"/>
        <v>-937.68000000000029</v>
      </c>
      <c r="G114" s="39">
        <f t="shared" si="23"/>
        <v>15953.68</v>
      </c>
      <c r="H114" s="175">
        <f t="shared" si="24"/>
        <v>-5.8775154071035667E-2</v>
      </c>
      <c r="I114" s="39"/>
      <c r="J114" s="39">
        <v>-593</v>
      </c>
      <c r="K114" s="39">
        <f t="shared" si="25"/>
        <v>20.683350000000001</v>
      </c>
    </row>
    <row r="115" spans="1:11" x14ac:dyDescent="0.25">
      <c r="B115" s="161">
        <v>42828</v>
      </c>
      <c r="C115" s="10">
        <v>400</v>
      </c>
      <c r="D115" s="168">
        <v>19.542000000000002</v>
      </c>
      <c r="E115" s="39">
        <v>20.45</v>
      </c>
      <c r="F115" s="39">
        <f t="shared" si="22"/>
        <v>363.19999999999908</v>
      </c>
      <c r="G115" s="39">
        <f t="shared" si="23"/>
        <v>7816.8000000000011</v>
      </c>
      <c r="H115" s="175">
        <f t="shared" si="24"/>
        <v>4.6464026199979407E-2</v>
      </c>
      <c r="I115" s="39"/>
      <c r="J115" s="39">
        <v>708</v>
      </c>
      <c r="K115" s="39">
        <f t="shared" si="25"/>
        <v>17.772000000000002</v>
      </c>
    </row>
    <row r="116" spans="1:11" x14ac:dyDescent="0.25">
      <c r="A116">
        <v>200</v>
      </c>
      <c r="B116" s="161">
        <v>42829</v>
      </c>
      <c r="C116" s="10">
        <v>500</v>
      </c>
      <c r="D116" s="168">
        <v>19.57</v>
      </c>
      <c r="E116" s="39">
        <v>19.690000000000001</v>
      </c>
      <c r="F116" s="39">
        <f t="shared" si="22"/>
        <v>60.000000000000497</v>
      </c>
      <c r="G116" s="39">
        <f t="shared" si="23"/>
        <v>9785</v>
      </c>
      <c r="H116" s="175">
        <f t="shared" si="24"/>
        <v>6.1318344404701578E-3</v>
      </c>
      <c r="I116" s="39"/>
      <c r="J116" s="39">
        <v>405</v>
      </c>
      <c r="K116" s="39">
        <f t="shared" si="25"/>
        <v>18.760000000000002</v>
      </c>
    </row>
    <row r="117" spans="1:11" x14ac:dyDescent="0.25">
      <c r="A117">
        <v>100</v>
      </c>
      <c r="B117" s="161">
        <v>42830</v>
      </c>
      <c r="C117" s="10">
        <v>400</v>
      </c>
      <c r="D117" s="168">
        <v>19.452000000000002</v>
      </c>
      <c r="E117" s="39">
        <v>20.100000000000001</v>
      </c>
      <c r="F117" s="39">
        <f t="shared" si="22"/>
        <v>259.19999999999987</v>
      </c>
      <c r="G117" s="39">
        <f t="shared" si="23"/>
        <v>7780.8000000000011</v>
      </c>
      <c r="H117" s="175">
        <f t="shared" si="24"/>
        <v>3.3312769895126444E-2</v>
      </c>
      <c r="I117" s="39"/>
      <c r="J117" s="39">
        <v>604</v>
      </c>
      <c r="K117" s="39">
        <f t="shared" si="25"/>
        <v>17.942000000000004</v>
      </c>
    </row>
    <row r="118" spans="1:11" x14ac:dyDescent="0.25">
      <c r="A118">
        <v>0</v>
      </c>
      <c r="B118" s="161">
        <v>42836</v>
      </c>
      <c r="C118" s="7">
        <v>300</v>
      </c>
      <c r="D118" s="74">
        <v>19.13</v>
      </c>
      <c r="E118" s="39">
        <v>21.91</v>
      </c>
      <c r="F118" s="39">
        <f t="shared" si="22"/>
        <v>834.00000000000034</v>
      </c>
      <c r="G118" s="39">
        <f t="shared" si="23"/>
        <v>5739</v>
      </c>
      <c r="H118" s="175">
        <f t="shared" si="24"/>
        <v>0.14532148457919505</v>
      </c>
      <c r="I118" s="39"/>
      <c r="J118" s="39">
        <v>1179</v>
      </c>
      <c r="K118" s="39">
        <f t="shared" si="25"/>
        <v>15.2</v>
      </c>
    </row>
    <row r="119" spans="1:11" x14ac:dyDescent="0.25">
      <c r="A119">
        <v>0</v>
      </c>
      <c r="B119" s="161">
        <v>42843</v>
      </c>
      <c r="C119" s="10">
        <v>300</v>
      </c>
      <c r="D119" s="168">
        <v>19.13</v>
      </c>
      <c r="E119" s="39">
        <v>21.19</v>
      </c>
      <c r="F119" s="39">
        <f t="shared" si="22"/>
        <v>618.00000000000068</v>
      </c>
      <c r="G119" s="39">
        <f t="shared" si="23"/>
        <v>5739</v>
      </c>
      <c r="H119" s="175">
        <f t="shared" si="24"/>
        <v>0.10768426555148992</v>
      </c>
      <c r="I119" s="39"/>
      <c r="J119" s="39">
        <v>963</v>
      </c>
      <c r="K119" s="39">
        <f t="shared" si="25"/>
        <v>15.92</v>
      </c>
    </row>
    <row r="120" spans="1:11" x14ac:dyDescent="0.25">
      <c r="A120">
        <v>100</v>
      </c>
      <c r="B120" s="161">
        <v>42852</v>
      </c>
      <c r="C120" s="10">
        <v>200</v>
      </c>
      <c r="D120" s="168">
        <v>17.7623</v>
      </c>
      <c r="E120" s="39">
        <v>21.89</v>
      </c>
      <c r="F120" s="39">
        <f t="shared" si="22"/>
        <v>825.54000000000019</v>
      </c>
      <c r="G120" s="39">
        <f t="shared" si="23"/>
        <v>3552.46</v>
      </c>
      <c r="H120" s="175">
        <f t="shared" si="24"/>
        <v>0.23238544557855689</v>
      </c>
      <c r="I120" s="39"/>
      <c r="J120" s="39">
        <v>1171</v>
      </c>
      <c r="K120" s="39">
        <f t="shared" si="25"/>
        <v>11.907299999999999</v>
      </c>
    </row>
    <row r="121" spans="1:11" x14ac:dyDescent="0.25">
      <c r="B121" s="161">
        <v>42864</v>
      </c>
      <c r="C121" s="10">
        <v>0</v>
      </c>
      <c r="D121" s="168"/>
      <c r="E121" s="39"/>
      <c r="F121" s="39"/>
      <c r="G121" s="39"/>
      <c r="H121" s="175"/>
      <c r="I121" s="39"/>
      <c r="J121" s="39">
        <v>1283.42</v>
      </c>
      <c r="K121" s="39"/>
    </row>
    <row r="122" spans="1:11" x14ac:dyDescent="0.25">
      <c r="B122" s="161"/>
      <c r="C122" s="10"/>
      <c r="D122" s="39"/>
      <c r="E122" s="39"/>
      <c r="F122" s="39"/>
      <c r="G122" s="39"/>
      <c r="H122" s="175"/>
      <c r="I122" s="39"/>
      <c r="J122" s="39"/>
      <c r="K122" s="39"/>
    </row>
    <row r="123" spans="1:11" x14ac:dyDescent="0.25">
      <c r="B123" s="161"/>
      <c r="C123" s="10"/>
      <c r="D123" s="39"/>
      <c r="E123" s="39"/>
      <c r="F123" s="39"/>
      <c r="G123" s="39"/>
      <c r="H123" s="175"/>
      <c r="I123" s="39"/>
      <c r="J123" s="39"/>
      <c r="K123" s="39"/>
    </row>
    <row r="124" spans="1:11" x14ac:dyDescent="0.25">
      <c r="B124" s="161"/>
      <c r="C124" s="10"/>
      <c r="D124" s="39"/>
      <c r="E124" s="39"/>
      <c r="F124" s="39"/>
      <c r="G124" s="39"/>
      <c r="H124" s="175"/>
      <c r="I124" s="39"/>
      <c r="J124" s="39"/>
      <c r="K124" s="39"/>
    </row>
    <row r="125" spans="1:11" x14ac:dyDescent="0.25">
      <c r="B125" s="161"/>
      <c r="C125" s="10"/>
      <c r="D125" s="39"/>
      <c r="E125" s="39"/>
      <c r="F125" s="39"/>
      <c r="G125" s="39"/>
      <c r="H125" s="175"/>
      <c r="I125" s="39"/>
      <c r="J125" s="39"/>
      <c r="K125" s="39"/>
    </row>
    <row r="126" spans="1:11" x14ac:dyDescent="0.25">
      <c r="B126" s="161"/>
      <c r="C126" s="10"/>
      <c r="D126" s="39"/>
      <c r="E126" s="39"/>
      <c r="F126" s="39"/>
      <c r="G126" s="39"/>
      <c r="H126" s="175"/>
      <c r="I126" s="39"/>
      <c r="J126" s="39"/>
      <c r="K126" s="39"/>
    </row>
    <row r="127" spans="1:11" x14ac:dyDescent="0.25">
      <c r="B127" s="161"/>
      <c r="C127" s="10"/>
      <c r="D127" s="39"/>
      <c r="E127" s="39"/>
      <c r="F127" s="39"/>
      <c r="G127" s="39"/>
      <c r="H127" s="175"/>
      <c r="I127" s="39"/>
      <c r="J127" s="39"/>
      <c r="K127" s="39"/>
    </row>
    <row r="128" spans="1:11" x14ac:dyDescent="0.25">
      <c r="B128" s="161"/>
      <c r="C128" s="10"/>
      <c r="D128" s="39"/>
      <c r="E128" s="39"/>
      <c r="F128" s="39"/>
      <c r="G128" s="39"/>
      <c r="H128" s="175"/>
      <c r="I128" s="39"/>
      <c r="J128" s="39"/>
      <c r="K128" s="39"/>
    </row>
  </sheetData>
  <mergeCells count="1">
    <mergeCell ref="O15:P15"/>
  </mergeCells>
  <conditionalFormatting sqref="O45:O60">
    <cfRule type="colorScale" priority="78">
      <colorScale>
        <cfvo type="min"/>
        <cfvo type="percentile" val="50"/>
        <cfvo type="max"/>
        <color rgb="FFF8696B"/>
        <color rgb="FFFFEB84"/>
        <color rgb="FF63BE7B"/>
      </colorScale>
    </cfRule>
  </conditionalFormatting>
  <conditionalFormatting sqref="P45:P60">
    <cfRule type="colorScale" priority="77">
      <colorScale>
        <cfvo type="min"/>
        <cfvo type="percentile" val="50"/>
        <cfvo type="max"/>
        <color rgb="FFF8696B"/>
        <color rgb="FFFFEB84"/>
        <color rgb="FF63BE7B"/>
      </colorScale>
    </cfRule>
  </conditionalFormatting>
  <conditionalFormatting sqref="H52:H57 F52:F57 F32:F47 H32:H47">
    <cfRule type="expression" dxfId="3995" priority="75">
      <formula>F32&gt;0</formula>
    </cfRule>
    <cfRule type="expression" dxfId="3994" priority="76">
      <formula>F32&lt;0</formula>
    </cfRule>
  </conditionalFormatting>
  <conditionalFormatting sqref="Q7">
    <cfRule type="expression" dxfId="3993" priority="73">
      <formula>Q7&gt;0</formula>
    </cfRule>
    <cfRule type="expression" dxfId="3992" priority="74">
      <formula>Q7&lt;0</formula>
    </cfRule>
  </conditionalFormatting>
  <conditionalFormatting sqref="Q8">
    <cfRule type="expression" dxfId="3991" priority="71">
      <formula>Q8&gt;0</formula>
    </cfRule>
    <cfRule type="expression" dxfId="3990" priority="72">
      <formula>Q8&lt;0</formula>
    </cfRule>
  </conditionalFormatting>
  <conditionalFormatting sqref="W1:W69">
    <cfRule type="dataBar" priority="66">
      <dataBar>
        <cfvo type="min"/>
        <cfvo type="max"/>
        <color rgb="FFFF555A"/>
      </dataBar>
      <extLst>
        <ext xmlns:x14="http://schemas.microsoft.com/office/spreadsheetml/2009/9/main" uri="{B025F937-C7B1-47D3-B67F-A62EFF666E3E}">
          <x14:id>{4178F7BD-F94B-4F38-B5C0-9216171CC603}</x14:id>
        </ext>
      </extLst>
    </cfRule>
  </conditionalFormatting>
  <conditionalFormatting sqref="X18:X69">
    <cfRule type="iconSet" priority="65">
      <iconSet iconSet="3Arrows">
        <cfvo type="percent" val="0"/>
        <cfvo type="num" val="0"/>
        <cfvo type="num" val="0"/>
      </iconSet>
    </cfRule>
  </conditionalFormatting>
  <conditionalFormatting sqref="M58">
    <cfRule type="expression" dxfId="3989" priority="63">
      <formula>M58&gt;0</formula>
    </cfRule>
    <cfRule type="expression" dxfId="3988" priority="64">
      <formula>M58&lt;0</formula>
    </cfRule>
  </conditionalFormatting>
  <conditionalFormatting sqref="Q10">
    <cfRule type="expression" dxfId="3987" priority="61">
      <formula>Q10&gt;0</formula>
    </cfRule>
    <cfRule type="expression" dxfId="3986" priority="62">
      <formula>Q10&lt;0</formula>
    </cfRule>
  </conditionalFormatting>
  <conditionalFormatting sqref="F29:F31">
    <cfRule type="expression" dxfId="3985" priority="59">
      <formula>F29&gt;0</formula>
    </cfRule>
    <cfRule type="expression" dxfId="3984" priority="60">
      <formula>F29&lt;0</formula>
    </cfRule>
  </conditionalFormatting>
  <conditionalFormatting sqref="H29:H31">
    <cfRule type="expression" dxfId="3983" priority="57">
      <formula>H29&gt;0</formula>
    </cfRule>
    <cfRule type="expression" dxfId="3982" priority="58">
      <formula>H29&lt;0</formula>
    </cfRule>
  </conditionalFormatting>
  <conditionalFormatting sqref="F83:F94">
    <cfRule type="expression" dxfId="3981" priority="55">
      <formula>F83&gt;0</formula>
    </cfRule>
    <cfRule type="expression" dxfId="3980" priority="56">
      <formula>F83&lt;0</formula>
    </cfRule>
  </conditionalFormatting>
  <conditionalFormatting sqref="H83:H94">
    <cfRule type="expression" dxfId="3979" priority="53">
      <formula>H83&gt;0</formula>
    </cfRule>
    <cfRule type="expression" dxfId="3978" priority="54">
      <formula>H83&lt;0</formula>
    </cfRule>
  </conditionalFormatting>
  <conditionalFormatting sqref="J41">
    <cfRule type="expression" dxfId="3977" priority="51">
      <formula>J41&gt;0</formula>
    </cfRule>
    <cfRule type="expression" dxfId="3976" priority="52">
      <formula>J41&lt;0</formula>
    </cfRule>
  </conditionalFormatting>
  <conditionalFormatting sqref="J39:J47">
    <cfRule type="expression" dxfId="3975" priority="49">
      <formula>J39&gt;0</formula>
    </cfRule>
    <cfRule type="expression" dxfId="3974" priority="50">
      <formula>J39&lt;0</formula>
    </cfRule>
  </conditionalFormatting>
  <conditionalFormatting sqref="F48:F51 H48:H51">
    <cfRule type="expression" dxfId="3973" priority="47">
      <formula>F48&gt;0</formula>
    </cfRule>
    <cfRule type="expression" dxfId="3972" priority="48">
      <formula>F48&lt;0</formula>
    </cfRule>
  </conditionalFormatting>
  <conditionalFormatting sqref="J48:J57">
    <cfRule type="expression" dxfId="3971" priority="45">
      <formula>J48&gt;0</formula>
    </cfRule>
    <cfRule type="expression" dxfId="3970" priority="46">
      <formula>J48&lt;0</formula>
    </cfRule>
  </conditionalFormatting>
  <conditionalFormatting sqref="K45:K52">
    <cfRule type="expression" dxfId="3969" priority="43">
      <formula>K45&gt;0</formula>
    </cfRule>
    <cfRule type="expression" dxfId="3968" priority="44">
      <formula>K45&lt;0</formula>
    </cfRule>
  </conditionalFormatting>
  <conditionalFormatting sqref="K45:K52">
    <cfRule type="expression" dxfId="3967" priority="41">
      <formula>K45&gt;0</formula>
    </cfRule>
    <cfRule type="expression" dxfId="3966" priority="42">
      <formula>K45&lt;0</formula>
    </cfRule>
  </conditionalFormatting>
  <conditionalFormatting sqref="F102:F118 H102:H118 H120:H128 F120:F128">
    <cfRule type="expression" dxfId="3965" priority="37">
      <formula>F102&gt;0</formula>
    </cfRule>
    <cfRule type="expression" dxfId="3964" priority="38">
      <formula>F102&lt;0</formula>
    </cfRule>
  </conditionalFormatting>
  <conditionalFormatting sqref="F96:F101">
    <cfRule type="expression" dxfId="3963" priority="35">
      <formula>F96&gt;0</formula>
    </cfRule>
    <cfRule type="expression" dxfId="3962" priority="36">
      <formula>F96&lt;0</formula>
    </cfRule>
  </conditionalFormatting>
  <conditionalFormatting sqref="H96:H101">
    <cfRule type="expression" dxfId="3961" priority="33">
      <formula>H96&gt;0</formula>
    </cfRule>
    <cfRule type="expression" dxfId="3960" priority="34">
      <formula>H96&lt;0</formula>
    </cfRule>
  </conditionalFormatting>
  <conditionalFormatting sqref="J112">
    <cfRule type="expression" dxfId="3959" priority="31">
      <formula>J112&gt;0</formula>
    </cfRule>
    <cfRule type="expression" dxfId="3958" priority="32">
      <formula>J112&lt;0</formula>
    </cfRule>
  </conditionalFormatting>
  <conditionalFormatting sqref="J110:J118 J120">
    <cfRule type="expression" dxfId="3957" priority="29">
      <formula>J110&gt;0</formula>
    </cfRule>
    <cfRule type="expression" dxfId="3956" priority="30">
      <formula>J110&lt;0</formula>
    </cfRule>
  </conditionalFormatting>
  <conditionalFormatting sqref="F119 H119">
    <cfRule type="expression" dxfId="3955" priority="27">
      <formula>F119&gt;0</formula>
    </cfRule>
    <cfRule type="expression" dxfId="3954" priority="28">
      <formula>F119&lt;0</formula>
    </cfRule>
  </conditionalFormatting>
  <conditionalFormatting sqref="J119">
    <cfRule type="expression" dxfId="3953" priority="25">
      <formula>J119&gt;0</formula>
    </cfRule>
    <cfRule type="expression" dxfId="3952" priority="26">
      <formula>J119&lt;0</formula>
    </cfRule>
  </conditionalFormatting>
  <conditionalFormatting sqref="K112:K123">
    <cfRule type="expression" dxfId="3951" priority="23">
      <formula>K112&gt;0</formula>
    </cfRule>
    <cfRule type="expression" dxfId="3950" priority="24">
      <formula>K112&lt;0</formula>
    </cfRule>
  </conditionalFormatting>
  <conditionalFormatting sqref="K110:K123">
    <cfRule type="expression" dxfId="3949" priority="21">
      <formula>K110&gt;0</formula>
    </cfRule>
    <cfRule type="expression" dxfId="3948" priority="22">
      <formula>K110&lt;0</formula>
    </cfRule>
  </conditionalFormatting>
  <conditionalFormatting sqref="J121">
    <cfRule type="expression" dxfId="3947" priority="19">
      <formula>J121&gt;0</formula>
    </cfRule>
    <cfRule type="expression" dxfId="3946" priority="20">
      <formula>J121&lt;0</formula>
    </cfRule>
  </conditionalFormatting>
  <conditionalFormatting sqref="F25:F28">
    <cfRule type="expression" dxfId="3945" priority="17">
      <formula>F25&gt;0</formula>
    </cfRule>
    <cfRule type="expression" dxfId="3944" priority="18">
      <formula>F25&lt;0</formula>
    </cfRule>
  </conditionalFormatting>
  <conditionalFormatting sqref="H25:H28">
    <cfRule type="expression" dxfId="3943" priority="15">
      <formula>H25&gt;0</formula>
    </cfRule>
    <cfRule type="expression" dxfId="3942" priority="16">
      <formula>H25&lt;0</formula>
    </cfRule>
  </conditionalFormatting>
  <conditionalFormatting sqref="J27:J29">
    <cfRule type="expression" dxfId="3941" priority="13">
      <formula>J27&gt;0</formula>
    </cfRule>
    <cfRule type="expression" dxfId="3940" priority="14">
      <formula>J27&lt;0</formula>
    </cfRule>
  </conditionalFormatting>
  <conditionalFormatting sqref="J30:J31">
    <cfRule type="expression" dxfId="3939" priority="11">
      <formula>J30&gt;0</formula>
    </cfRule>
    <cfRule type="expression" dxfId="3938" priority="12">
      <formula>J30&lt;0</formula>
    </cfRule>
  </conditionalFormatting>
  <conditionalFormatting sqref="J33">
    <cfRule type="expression" dxfId="3937" priority="9">
      <formula>J33&gt;0</formula>
    </cfRule>
    <cfRule type="expression" dxfId="3936" priority="10">
      <formula>J33&lt;0</formula>
    </cfRule>
  </conditionalFormatting>
  <conditionalFormatting sqref="J34">
    <cfRule type="expression" dxfId="3935" priority="7">
      <formula>J34&gt;0</formula>
    </cfRule>
    <cfRule type="expression" dxfId="3934" priority="8">
      <formula>J34&lt;0</formula>
    </cfRule>
  </conditionalFormatting>
  <conditionalFormatting sqref="J35:J43">
    <cfRule type="expression" dxfId="3933" priority="5">
      <formula>J35&gt;0</formula>
    </cfRule>
    <cfRule type="expression" dxfId="3932" priority="6">
      <formula>J35&lt;0</formula>
    </cfRule>
  </conditionalFormatting>
  <conditionalFormatting sqref="O16:O44">
    <cfRule type="colorScale" priority="4">
      <colorScale>
        <cfvo type="min"/>
        <cfvo type="percentile" val="50"/>
        <cfvo type="max"/>
        <color rgb="FFF8696B"/>
        <color rgb="FFFFEB84"/>
        <color rgb="FF63BE7B"/>
      </colorScale>
    </cfRule>
  </conditionalFormatting>
  <conditionalFormatting sqref="P16:P44">
    <cfRule type="colorScale" priority="3">
      <colorScale>
        <cfvo type="min"/>
        <cfvo type="percentile" val="50"/>
        <cfvo type="max"/>
        <color rgb="FFF8696B"/>
        <color rgb="FFFFEB84"/>
        <color rgb="FF63BE7B"/>
      </colorScale>
    </cfRule>
  </conditionalFormatting>
  <conditionalFormatting sqref="Q9">
    <cfRule type="expression" dxfId="3931" priority="1">
      <formula>Q9&gt;0</formula>
    </cfRule>
    <cfRule type="expression" dxfId="3930" priority="2">
      <formula>Q9&lt;0</formula>
    </cfRule>
  </conditionalFormatting>
  <hyperlinks>
    <hyperlink ref="A3" location="ACTIVE!A1" display="Back"/>
    <hyperlink ref="A61" location="ACTIVE!A1" display="Back"/>
    <hyperlink ref="T3" r:id="rId1"/>
    <hyperlink ref="T47" r:id="rId2"/>
    <hyperlink ref="T53" r:id="rId3"/>
    <hyperlink ref="T54" r:id="rId4"/>
    <hyperlink ref="T48" r:id="rId5"/>
    <hyperlink ref="T49" r:id="rId6"/>
    <hyperlink ref="T50" r:id="rId7"/>
    <hyperlink ref="T55" r:id="rId8"/>
  </hyperlinks>
  <pageMargins left="0.7" right="0.7" top="0.75" bottom="0.75" header="0.3" footer="0.3"/>
  <pageSetup orientation="portrait" r:id="rId9"/>
  <extLst>
    <ext xmlns:x14="http://schemas.microsoft.com/office/spreadsheetml/2009/9/main" uri="{78C0D931-6437-407d-A8EE-F0AAD7539E65}">
      <x14:conditionalFormattings>
        <x14:conditionalFormatting xmlns:xm="http://schemas.microsoft.com/office/excel/2006/main">
          <x14:cfRule type="dataBar" id="{4178F7BD-F94B-4F38-B5C0-9216171CC603}">
            <x14:dataBar minLength="0" maxLength="100" border="1" negativeBarBorderColorSameAsPositive="0">
              <x14:cfvo type="autoMin"/>
              <x14:cfvo type="autoMax"/>
              <x14:borderColor rgb="FFFF555A"/>
              <x14:negativeFillColor rgb="FFFF0000"/>
              <x14:negativeBorderColor rgb="FFFF0000"/>
              <x14:axisColor rgb="FF000000"/>
            </x14:dataBar>
          </x14:cfRule>
          <xm:sqref>W1:W69</xm:sqref>
        </x14:conditionalFormatting>
      </x14:conditionalFormatting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9"/>
  <dimension ref="A1:U85"/>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1.42578125" style="2" bestFit="1" customWidth="1"/>
    <col min="10" max="11" width="9.140625" style="2"/>
    <col min="18" max="18" width="10.7109375" bestFit="1" customWidth="1"/>
    <col min="20" max="20" width="18.5703125" bestFit="1" customWidth="1"/>
    <col min="21" max="21" width="20.42578125" style="8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79"/>
    </row>
    <row r="2" spans="1:21" x14ac:dyDescent="0.25">
      <c r="A2" s="6" t="s">
        <v>1300</v>
      </c>
      <c r="B2" s="69"/>
      <c r="C2" s="4"/>
      <c r="D2" s="3"/>
      <c r="E2" s="3"/>
      <c r="F2" s="3"/>
      <c r="G2" s="69"/>
      <c r="H2" s="158"/>
      <c r="I2" s="3"/>
      <c r="J2" s="3"/>
      <c r="K2" s="3"/>
      <c r="L2" s="1"/>
      <c r="O2" s="11" t="s">
        <v>57</v>
      </c>
      <c r="Q2">
        <f>C18-H18</f>
        <v>0</v>
      </c>
      <c r="T2" s="1"/>
    </row>
    <row r="3" spans="1:21" x14ac:dyDescent="0.25">
      <c r="A3" s="22" t="s">
        <v>71</v>
      </c>
      <c r="G3" s="69"/>
      <c r="H3" s="158"/>
      <c r="I3" s="3"/>
      <c r="J3" s="3"/>
      <c r="K3" s="3"/>
      <c r="O3" s="11" t="s">
        <v>58</v>
      </c>
      <c r="Q3" s="388">
        <f>IF(Q2=0, Q4, (F18-K18-M18)/Q2)</f>
        <v>55.93</v>
      </c>
      <c r="T3" s="1"/>
    </row>
    <row r="4" spans="1:21" x14ac:dyDescent="0.25">
      <c r="B4" s="69"/>
      <c r="C4" s="4"/>
      <c r="D4" s="3"/>
      <c r="E4" s="3"/>
      <c r="F4" s="3"/>
      <c r="G4" s="69"/>
      <c r="H4" s="158"/>
      <c r="I4" s="3"/>
      <c r="J4" s="3"/>
      <c r="K4" s="3"/>
      <c r="O4" s="11" t="s">
        <v>66</v>
      </c>
      <c r="Q4" s="53">
        <v>55.93</v>
      </c>
      <c r="R4" s="396">
        <v>0</v>
      </c>
      <c r="T4" s="153"/>
    </row>
    <row r="5" spans="1:21" x14ac:dyDescent="0.25">
      <c r="B5" s="69"/>
      <c r="C5" s="4"/>
      <c r="D5" s="3"/>
      <c r="E5" s="3"/>
      <c r="F5" s="3"/>
      <c r="G5" s="69"/>
      <c r="H5" s="158"/>
      <c r="I5" s="3"/>
      <c r="J5" s="3"/>
      <c r="K5" s="3"/>
      <c r="O5" s="11" t="s">
        <v>67</v>
      </c>
      <c r="Q5" s="3">
        <f>Q4*Q2</f>
        <v>0</v>
      </c>
    </row>
    <row r="6" spans="1:21" x14ac:dyDescent="0.25">
      <c r="B6" s="69"/>
      <c r="C6" s="4"/>
      <c r="D6" s="3"/>
      <c r="E6" s="3"/>
      <c r="F6" s="3"/>
      <c r="G6" s="69"/>
      <c r="H6" s="158"/>
      <c r="I6" s="3"/>
      <c r="J6" s="3"/>
      <c r="K6" s="3"/>
      <c r="O6" s="11" t="s">
        <v>64</v>
      </c>
      <c r="Q6" s="2">
        <f>Q3*Q2</f>
        <v>0</v>
      </c>
    </row>
    <row r="7" spans="1:21" x14ac:dyDescent="0.25">
      <c r="B7" s="69"/>
      <c r="C7" s="4"/>
      <c r="D7" s="3"/>
      <c r="E7" s="3"/>
      <c r="F7" s="3"/>
      <c r="G7" s="4"/>
      <c r="H7" s="158"/>
      <c r="I7" s="3"/>
      <c r="J7" s="3"/>
      <c r="K7" s="3"/>
      <c r="O7" s="11" t="s">
        <v>175</v>
      </c>
      <c r="Q7" s="2">
        <f>Q10+Q8</f>
        <v>264.92000000000007</v>
      </c>
      <c r="R7">
        <v>0</v>
      </c>
    </row>
    <row r="8" spans="1:21" x14ac:dyDescent="0.25">
      <c r="B8" s="69"/>
      <c r="C8" s="4"/>
      <c r="D8" s="3"/>
      <c r="E8" s="3"/>
      <c r="F8" s="3"/>
      <c r="G8" s="4"/>
      <c r="H8" s="158"/>
      <c r="I8" s="3"/>
      <c r="J8" s="3"/>
      <c r="K8" s="3"/>
      <c r="O8" s="11" t="s">
        <v>177</v>
      </c>
      <c r="P8" s="33"/>
      <c r="Q8" s="2">
        <f>K18+M18-F18+Q2*Q4</f>
        <v>0</v>
      </c>
    </row>
    <row r="9" spans="1:21" x14ac:dyDescent="0.25">
      <c r="B9" s="4"/>
      <c r="C9" s="4"/>
      <c r="D9" s="3"/>
      <c r="E9" s="3"/>
      <c r="F9" s="3"/>
      <c r="G9" s="4"/>
      <c r="H9" s="158"/>
      <c r="I9" s="3"/>
      <c r="J9" s="3"/>
      <c r="K9" s="3"/>
      <c r="O9" s="11" t="s">
        <v>202</v>
      </c>
      <c r="Q9" s="131">
        <f>IF(Q2=0, 0, Q8/Q6)</f>
        <v>0</v>
      </c>
    </row>
    <row r="10" spans="1:21" x14ac:dyDescent="0.25">
      <c r="O10" s="11" t="s">
        <v>201</v>
      </c>
      <c r="P10" s="33"/>
      <c r="Q10" s="2">
        <f>M41</f>
        <v>264.92000000000007</v>
      </c>
    </row>
    <row r="11" spans="1:21" x14ac:dyDescent="0.25">
      <c r="O11" s="11" t="s">
        <v>173</v>
      </c>
      <c r="P11" s="33"/>
      <c r="Q11" s="131">
        <f>VALUE(TRIM(CLEAN(MID(U58, FIND("(", U58)+1, 5))))</f>
        <v>3.4200000000000001E-2</v>
      </c>
    </row>
    <row r="17" spans="1:13" x14ac:dyDescent="0.25">
      <c r="H17" s="67"/>
    </row>
    <row r="18" spans="1:13" x14ac:dyDescent="0.25">
      <c r="A18" s="31" t="s">
        <v>81</v>
      </c>
      <c r="B18" s="14"/>
      <c r="C18" s="14">
        <f>SUM(C2:C17)</f>
        <v>0</v>
      </c>
      <c r="D18" s="18"/>
      <c r="E18" s="18"/>
      <c r="F18" s="18">
        <f>SUM(F2:F17)</f>
        <v>0</v>
      </c>
      <c r="G18" s="14"/>
      <c r="H18" s="14">
        <f>SUM(H2:H7)</f>
        <v>0</v>
      </c>
      <c r="I18" s="18"/>
      <c r="J18" s="18"/>
      <c r="K18" s="18">
        <f>SUM(K2:K7)</f>
        <v>0</v>
      </c>
      <c r="L18" s="14"/>
      <c r="M18" s="18">
        <f>SUM(M2:M5)</f>
        <v>0</v>
      </c>
    </row>
    <row r="19" spans="1:13"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469">
        <f>SumByColor($A$19,M2:M17)</f>
        <v>0</v>
      </c>
    </row>
    <row r="21" spans="1:13" x14ac:dyDescent="0.25">
      <c r="B21" s="405" t="s">
        <v>113</v>
      </c>
      <c r="C21" s="405" t="s">
        <v>143</v>
      </c>
      <c r="D21" s="406" t="s">
        <v>142</v>
      </c>
      <c r="E21" s="407" t="s">
        <v>144</v>
      </c>
      <c r="F21" s="408" t="s">
        <v>65</v>
      </c>
      <c r="G21" s="409" t="s">
        <v>148</v>
      </c>
      <c r="H21" s="408" t="s">
        <v>88</v>
      </c>
      <c r="I21" s="409" t="s">
        <v>151</v>
      </c>
    </row>
    <row r="22" spans="1:13" x14ac:dyDescent="0.25">
      <c r="A22" t="s">
        <v>326</v>
      </c>
      <c r="B22" s="161">
        <v>42754</v>
      </c>
      <c r="C22" s="10">
        <v>50</v>
      </c>
      <c r="D22" s="170">
        <v>31.18</v>
      </c>
      <c r="E22" s="39">
        <v>33.86</v>
      </c>
      <c r="F22" s="180">
        <f>C22*(E22-D22)</f>
        <v>134</v>
      </c>
      <c r="G22" s="39">
        <f>D22*C22</f>
        <v>1559</v>
      </c>
      <c r="H22" s="176">
        <f>(E22-D22)/D22</f>
        <v>8.5952533675432957E-2</v>
      </c>
      <c r="I22" s="39"/>
    </row>
    <row r="23" spans="1:13" x14ac:dyDescent="0.25">
      <c r="B23" s="161"/>
      <c r="C23" s="10"/>
      <c r="D23" s="170"/>
      <c r="E23" s="39"/>
      <c r="F23" s="180"/>
      <c r="G23" s="39"/>
      <c r="H23" s="176"/>
      <c r="I23" s="39"/>
    </row>
    <row r="24" spans="1:13" x14ac:dyDescent="0.25">
      <c r="B24" s="161"/>
      <c r="C24" s="10"/>
      <c r="D24" s="170"/>
      <c r="E24" s="39"/>
      <c r="F24" s="180"/>
      <c r="G24" s="39"/>
      <c r="H24" s="176"/>
      <c r="I24" s="39"/>
    </row>
    <row r="25" spans="1:13" x14ac:dyDescent="0.25">
      <c r="B25" s="161"/>
      <c r="C25" s="10"/>
      <c r="D25" s="170"/>
      <c r="E25" s="39"/>
      <c r="F25" s="180"/>
      <c r="G25" s="39"/>
      <c r="H25" s="176"/>
      <c r="I25" s="39"/>
    </row>
    <row r="26" spans="1:13" x14ac:dyDescent="0.25">
      <c r="B26" s="161"/>
      <c r="C26" s="10"/>
      <c r="D26" s="170"/>
      <c r="E26" s="39"/>
      <c r="F26" s="180"/>
      <c r="G26" s="39"/>
      <c r="H26" s="176"/>
      <c r="I26" s="39"/>
    </row>
    <row r="27" spans="1:13" x14ac:dyDescent="0.25">
      <c r="B27" s="161"/>
      <c r="C27" s="10"/>
      <c r="D27" s="170"/>
      <c r="E27" s="39"/>
      <c r="F27" s="180"/>
      <c r="G27" s="39"/>
      <c r="H27" s="176"/>
      <c r="I27" s="39"/>
    </row>
    <row r="28" spans="1:13" x14ac:dyDescent="0.25">
      <c r="B28" s="161"/>
      <c r="C28" s="10"/>
      <c r="D28" s="170"/>
      <c r="E28" s="39"/>
      <c r="F28" s="180"/>
      <c r="G28" s="39"/>
      <c r="H28" s="176"/>
      <c r="I28" s="39"/>
    </row>
    <row r="29" spans="1:13" x14ac:dyDescent="0.25">
      <c r="B29" s="161"/>
      <c r="C29" s="10"/>
      <c r="D29" s="170"/>
      <c r="E29" s="39"/>
      <c r="F29" s="180"/>
      <c r="G29" s="39"/>
      <c r="H29" s="176"/>
      <c r="I29" s="39"/>
    </row>
    <row r="30" spans="1:13" x14ac:dyDescent="0.25">
      <c r="B30" s="161"/>
      <c r="C30" s="10"/>
      <c r="D30" s="170"/>
      <c r="E30" s="39"/>
      <c r="F30" s="180"/>
      <c r="G30" s="39"/>
      <c r="H30" s="176"/>
      <c r="I30" s="39"/>
    </row>
    <row r="31" spans="1:13" x14ac:dyDescent="0.25">
      <c r="B31" s="161"/>
      <c r="C31" s="10"/>
      <c r="D31" s="170"/>
      <c r="E31" s="39"/>
      <c r="F31" s="180"/>
      <c r="G31" s="39"/>
      <c r="H31" s="176"/>
      <c r="I31" s="39"/>
    </row>
    <row r="32" spans="1:13" x14ac:dyDescent="0.25">
      <c r="B32" s="161"/>
      <c r="C32" s="10"/>
      <c r="D32" s="170"/>
      <c r="E32" s="39"/>
      <c r="F32" s="180"/>
      <c r="G32" s="39"/>
      <c r="H32" s="176"/>
      <c r="I32" s="39"/>
    </row>
    <row r="33" spans="1:21" x14ac:dyDescent="0.25">
      <c r="B33" s="161"/>
      <c r="C33" s="10"/>
      <c r="D33" s="170"/>
      <c r="E33" s="39"/>
      <c r="F33" s="180"/>
      <c r="G33" s="39"/>
      <c r="H33" s="176"/>
      <c r="I33" s="39"/>
    </row>
    <row r="34" spans="1:21" x14ac:dyDescent="0.25">
      <c r="B34" s="161"/>
      <c r="C34" s="10"/>
      <c r="D34" s="170"/>
      <c r="E34" s="39"/>
      <c r="F34" s="180"/>
      <c r="G34" s="39"/>
      <c r="H34" s="176"/>
      <c r="I34" s="39"/>
    </row>
    <row r="35" spans="1:21" x14ac:dyDescent="0.25">
      <c r="B35" s="161"/>
      <c r="C35" s="10"/>
      <c r="D35" s="170"/>
      <c r="E35" s="39"/>
      <c r="F35" s="180"/>
      <c r="G35" s="39"/>
      <c r="H35" s="176"/>
      <c r="I35" s="39"/>
    </row>
    <row r="36" spans="1:21" x14ac:dyDescent="0.25">
      <c r="B36" s="161"/>
      <c r="C36" s="10"/>
      <c r="D36" s="170"/>
      <c r="E36" s="39"/>
      <c r="F36" s="180"/>
      <c r="G36" s="39"/>
      <c r="H36" s="176"/>
      <c r="I36" s="39"/>
    </row>
    <row r="37" spans="1:21" x14ac:dyDescent="0.25">
      <c r="B37" s="69"/>
      <c r="C37" s="4"/>
      <c r="D37" s="471"/>
      <c r="E37" s="3"/>
      <c r="F37" s="3"/>
      <c r="G37" s="3"/>
      <c r="H37" s="177"/>
      <c r="I37" s="3"/>
    </row>
    <row r="38" spans="1:21" x14ac:dyDescent="0.25">
      <c r="B38" s="69"/>
      <c r="C38" s="4"/>
      <c r="D38" s="471"/>
      <c r="E38" s="3"/>
      <c r="F38" s="3"/>
      <c r="G38" s="3"/>
      <c r="H38" s="177"/>
      <c r="I38" s="3"/>
    </row>
    <row r="40" spans="1:21" ht="20.25" thickBot="1" x14ac:dyDescent="0.35">
      <c r="O40" s="886" t="s">
        <v>78</v>
      </c>
      <c r="P40" s="886"/>
    </row>
    <row r="41" spans="1:21" ht="15.75" thickTop="1" x14ac:dyDescent="0.25">
      <c r="A41" s="4"/>
      <c r="B41" s="4"/>
      <c r="C41" s="4"/>
      <c r="D41" s="3"/>
      <c r="E41" s="3"/>
      <c r="F41" s="3"/>
      <c r="G41" s="4"/>
      <c r="H41" s="4"/>
      <c r="I41" s="3"/>
      <c r="J41" s="3"/>
      <c r="K41" s="3"/>
      <c r="L41" s="4" t="s">
        <v>65</v>
      </c>
      <c r="M41" s="2">
        <f>M59+K59-F59</f>
        <v>264.92000000000007</v>
      </c>
      <c r="O41" s="78">
        <v>1.1000000000000001</v>
      </c>
      <c r="P41" s="78">
        <f>O41*$Q$4</f>
        <v>61.523000000000003</v>
      </c>
      <c r="Q41" s="2"/>
    </row>
    <row r="42" spans="1:21" ht="20.25" thickBot="1" x14ac:dyDescent="0.35">
      <c r="A42" s="297" t="s">
        <v>1</v>
      </c>
      <c r="B42" s="297" t="s">
        <v>2</v>
      </c>
      <c r="C42" s="297" t="s">
        <v>4</v>
      </c>
      <c r="D42" s="299" t="s">
        <v>5</v>
      </c>
      <c r="E42" s="299" t="s">
        <v>94</v>
      </c>
      <c r="F42" s="299" t="s">
        <v>60</v>
      </c>
      <c r="G42" s="297" t="s">
        <v>3</v>
      </c>
      <c r="H42" s="297" t="s">
        <v>6</v>
      </c>
      <c r="I42" s="299" t="s">
        <v>7</v>
      </c>
      <c r="J42" s="299" t="s">
        <v>95</v>
      </c>
      <c r="K42" s="299" t="s">
        <v>61</v>
      </c>
      <c r="L42" s="297" t="s">
        <v>37</v>
      </c>
      <c r="M42" s="297" t="s">
        <v>38</v>
      </c>
      <c r="O42" s="78">
        <v>1.0900000000000001</v>
      </c>
      <c r="P42" s="78">
        <f t="shared" ref="P42:P61" si="0">O42*$Q$4</f>
        <v>60.963700000000003</v>
      </c>
      <c r="Q42" s="2"/>
      <c r="T42" s="86" t="s">
        <v>112</v>
      </c>
    </row>
    <row r="43" spans="1:21" ht="15.75" thickTop="1" x14ac:dyDescent="0.25">
      <c r="A43" s="300" t="s">
        <v>296</v>
      </c>
      <c r="B43" s="290">
        <v>42719</v>
      </c>
      <c r="C43" s="291">
        <v>50</v>
      </c>
      <c r="D43" s="292">
        <v>31.18</v>
      </c>
      <c r="E43" s="292">
        <v>0</v>
      </c>
      <c r="F43" s="292">
        <f>C43*D43+E43</f>
        <v>1559</v>
      </c>
      <c r="G43" s="290">
        <v>42753</v>
      </c>
      <c r="H43" s="291">
        <v>50</v>
      </c>
      <c r="I43" s="292">
        <v>32.92</v>
      </c>
      <c r="J43" s="292">
        <v>0.04</v>
      </c>
      <c r="K43" s="292">
        <f>H43*I43-J43</f>
        <v>1645.96</v>
      </c>
      <c r="L43" s="290">
        <v>42748</v>
      </c>
      <c r="M43" s="291">
        <v>18</v>
      </c>
      <c r="O43" s="78">
        <v>1.08</v>
      </c>
      <c r="P43" s="78">
        <f t="shared" si="0"/>
        <v>60.404400000000003</v>
      </c>
      <c r="Q43" s="2"/>
      <c r="T43" s="122" t="s">
        <v>97</v>
      </c>
      <c r="U43" s="123">
        <v>37.69</v>
      </c>
    </row>
    <row r="44" spans="1:21" x14ac:dyDescent="0.25">
      <c r="A44" s="301" t="s">
        <v>71</v>
      </c>
      <c r="B44" s="69">
        <v>42719</v>
      </c>
      <c r="C44" s="4">
        <v>50</v>
      </c>
      <c r="D44" s="3">
        <v>31.18</v>
      </c>
      <c r="E44" s="3">
        <v>0</v>
      </c>
      <c r="F44" s="3">
        <f>C44*D44+E44</f>
        <v>1559</v>
      </c>
      <c r="G44" s="69">
        <v>42759</v>
      </c>
      <c r="H44" s="158">
        <v>50</v>
      </c>
      <c r="I44" s="3">
        <v>34.380000000000003</v>
      </c>
      <c r="J44" s="3">
        <v>0.04</v>
      </c>
      <c r="K44" s="3">
        <f>H44*I44-J44</f>
        <v>1718.9600000000003</v>
      </c>
      <c r="L44" s="291"/>
      <c r="M44" s="291"/>
      <c r="O44" s="78">
        <v>1.07</v>
      </c>
      <c r="P44" s="78">
        <f t="shared" si="0"/>
        <v>59.845100000000002</v>
      </c>
      <c r="Q44" s="2"/>
      <c r="T44" s="88" t="s">
        <v>98</v>
      </c>
      <c r="U44" s="124">
        <v>37.67</v>
      </c>
    </row>
    <row r="45" spans="1:21" x14ac:dyDescent="0.25">
      <c r="A45" s="291"/>
      <c r="B45" s="290"/>
      <c r="C45" s="291"/>
      <c r="D45" s="292"/>
      <c r="E45" s="292"/>
      <c r="F45" s="292"/>
      <c r="G45" s="290"/>
      <c r="H45" s="295"/>
      <c r="I45" s="292"/>
      <c r="J45" s="292"/>
      <c r="K45" s="292"/>
      <c r="L45" s="291"/>
      <c r="M45" s="291"/>
      <c r="O45" s="78">
        <v>1.06</v>
      </c>
      <c r="P45" s="78">
        <f t="shared" si="0"/>
        <v>59.285800000000002</v>
      </c>
      <c r="Q45" s="2"/>
      <c r="T45" s="88" t="s">
        <v>99</v>
      </c>
      <c r="U45" s="124" t="s">
        <v>128</v>
      </c>
    </row>
    <row r="46" spans="1:21" x14ac:dyDescent="0.25">
      <c r="A46" s="291"/>
      <c r="B46" s="290"/>
      <c r="C46" s="291"/>
      <c r="D46" s="292"/>
      <c r="E46" s="292"/>
      <c r="F46" s="292"/>
      <c r="G46" s="290"/>
      <c r="H46" s="295"/>
      <c r="I46" s="292"/>
      <c r="J46" s="292"/>
      <c r="K46" s="292"/>
      <c r="L46" s="291"/>
      <c r="M46" s="291"/>
      <c r="O46" s="78">
        <v>1.05</v>
      </c>
      <c r="P46" s="78">
        <f t="shared" si="0"/>
        <v>58.726500000000001</v>
      </c>
      <c r="Q46" s="2"/>
      <c r="T46" s="88" t="s">
        <v>100</v>
      </c>
      <c r="U46" s="124" t="s">
        <v>128</v>
      </c>
    </row>
    <row r="47" spans="1:21" x14ac:dyDescent="0.25">
      <c r="A47" s="291"/>
      <c r="B47" s="290"/>
      <c r="C47" s="291"/>
      <c r="D47" s="292"/>
      <c r="E47" s="292"/>
      <c r="F47" s="292"/>
      <c r="G47" s="290"/>
      <c r="H47" s="295"/>
      <c r="I47" s="292"/>
      <c r="J47" s="292"/>
      <c r="K47" s="292"/>
      <c r="L47" s="291"/>
      <c r="M47" s="291"/>
      <c r="O47" s="78">
        <v>1.04</v>
      </c>
      <c r="P47" s="78">
        <f t="shared" si="0"/>
        <v>58.167200000000001</v>
      </c>
      <c r="Q47" s="2"/>
      <c r="T47" s="88" t="s">
        <v>101</v>
      </c>
      <c r="U47" s="124">
        <v>41.2</v>
      </c>
    </row>
    <row r="48" spans="1:21" x14ac:dyDescent="0.25">
      <c r="A48" s="291"/>
      <c r="B48" s="290"/>
      <c r="C48" s="291"/>
      <c r="D48" s="292"/>
      <c r="E48" s="292"/>
      <c r="F48" s="292"/>
      <c r="G48" s="291"/>
      <c r="H48" s="295"/>
      <c r="I48" s="292"/>
      <c r="J48" s="292"/>
      <c r="K48" s="292"/>
      <c r="L48" s="291"/>
      <c r="M48" s="291"/>
      <c r="O48" s="78">
        <v>1.03</v>
      </c>
      <c r="P48" s="78">
        <f t="shared" si="0"/>
        <v>57.607900000000001</v>
      </c>
      <c r="Q48" s="2"/>
      <c r="T48" s="88" t="s">
        <v>102</v>
      </c>
      <c r="U48" s="124">
        <v>0.90102199999999999</v>
      </c>
    </row>
    <row r="49" spans="1:21" x14ac:dyDescent="0.25">
      <c r="A49" s="291"/>
      <c r="B49" s="290"/>
      <c r="C49" s="291"/>
      <c r="D49" s="292"/>
      <c r="E49" s="292"/>
      <c r="F49" s="292"/>
      <c r="G49" s="291"/>
      <c r="H49" s="295"/>
      <c r="I49" s="292"/>
      <c r="J49" s="292"/>
      <c r="K49" s="292"/>
      <c r="L49" s="291"/>
      <c r="M49" s="291"/>
      <c r="O49" s="78">
        <v>1.02</v>
      </c>
      <c r="P49" s="78">
        <f t="shared" si="0"/>
        <v>57.0486</v>
      </c>
      <c r="Q49" s="2"/>
      <c r="T49" s="88" t="s">
        <v>103</v>
      </c>
      <c r="U49" s="124" t="s">
        <v>520</v>
      </c>
    </row>
    <row r="50" spans="1:21" x14ac:dyDescent="0.25">
      <c r="A50" s="291"/>
      <c r="B50" s="291"/>
      <c r="C50" s="291"/>
      <c r="D50" s="292"/>
      <c r="E50" s="292"/>
      <c r="F50" s="292"/>
      <c r="G50" s="291"/>
      <c r="H50" s="295"/>
      <c r="I50" s="292"/>
      <c r="J50" s="292"/>
      <c r="K50" s="292"/>
      <c r="L50" s="291"/>
      <c r="M50" s="291"/>
      <c r="O50" s="78">
        <v>1.01</v>
      </c>
      <c r="P50" s="78">
        <f t="shared" si="0"/>
        <v>56.4893</v>
      </c>
      <c r="Q50" s="2"/>
      <c r="T50" s="88"/>
      <c r="U50" s="124"/>
    </row>
    <row r="51" spans="1:21" x14ac:dyDescent="0.25">
      <c r="A51" s="291"/>
      <c r="B51" s="291"/>
      <c r="C51" s="291"/>
      <c r="D51" s="292"/>
      <c r="E51" s="292"/>
      <c r="F51" s="292"/>
      <c r="G51" s="291"/>
      <c r="H51" s="291"/>
      <c r="I51" s="292"/>
      <c r="J51" s="292"/>
      <c r="K51" s="292"/>
      <c r="L51" s="291"/>
      <c r="M51" s="291"/>
      <c r="O51" s="78">
        <v>1</v>
      </c>
      <c r="P51" s="78">
        <f t="shared" si="0"/>
        <v>55.93</v>
      </c>
      <c r="Q51" s="2"/>
      <c r="T51" s="88" t="s">
        <v>104</v>
      </c>
      <c r="U51" s="124" t="s">
        <v>521</v>
      </c>
    </row>
    <row r="52" spans="1:21" x14ac:dyDescent="0.25">
      <c r="A52" s="291"/>
      <c r="B52" s="291"/>
      <c r="C52" s="291"/>
      <c r="D52" s="292"/>
      <c r="E52" s="292"/>
      <c r="F52" s="292"/>
      <c r="G52" s="291"/>
      <c r="H52" s="291"/>
      <c r="I52" s="292"/>
      <c r="J52" s="292"/>
      <c r="K52" s="292"/>
      <c r="L52" s="291"/>
      <c r="M52" s="291"/>
      <c r="O52" s="78">
        <v>0.99</v>
      </c>
      <c r="P52" s="78">
        <f t="shared" si="0"/>
        <v>55.370699999999999</v>
      </c>
      <c r="Q52" s="2"/>
      <c r="T52" s="88" t="s">
        <v>105</v>
      </c>
      <c r="U52" s="124" t="s">
        <v>297</v>
      </c>
    </row>
    <row r="53" spans="1:21" x14ac:dyDescent="0.25">
      <c r="A53" s="291"/>
      <c r="B53" s="291"/>
      <c r="C53" s="291"/>
      <c r="D53" s="292"/>
      <c r="E53" s="292"/>
      <c r="F53" s="292"/>
      <c r="G53" s="291"/>
      <c r="H53" s="291"/>
      <c r="I53" s="292"/>
      <c r="J53" s="292"/>
      <c r="K53" s="292"/>
      <c r="L53" s="291"/>
      <c r="M53" s="291"/>
      <c r="O53" s="78">
        <v>0.98</v>
      </c>
      <c r="P53" s="78">
        <f t="shared" si="0"/>
        <v>54.811399999999999</v>
      </c>
      <c r="Q53" s="2"/>
      <c r="T53" s="88" t="s">
        <v>106</v>
      </c>
      <c r="U53" s="125">
        <v>1471133</v>
      </c>
    </row>
    <row r="54" spans="1:21" x14ac:dyDescent="0.25">
      <c r="A54" s="291"/>
      <c r="B54" s="291"/>
      <c r="C54" s="291"/>
      <c r="D54" s="292"/>
      <c r="E54" s="292"/>
      <c r="F54" s="292"/>
      <c r="G54" s="291"/>
      <c r="H54" s="291"/>
      <c r="I54" s="292"/>
      <c r="J54" s="292"/>
      <c r="K54" s="292"/>
      <c r="L54" s="291"/>
      <c r="M54" s="291"/>
      <c r="O54" s="78">
        <v>0.97</v>
      </c>
      <c r="P54" s="78">
        <f t="shared" si="0"/>
        <v>54.252099999999999</v>
      </c>
      <c r="T54" s="88" t="s">
        <v>109</v>
      </c>
      <c r="U54" s="125">
        <v>1550960</v>
      </c>
    </row>
    <row r="55" spans="1:21" x14ac:dyDescent="0.25">
      <c r="A55" s="291"/>
      <c r="B55" s="291"/>
      <c r="C55" s="291"/>
      <c r="D55" s="292"/>
      <c r="E55" s="292"/>
      <c r="F55" s="292"/>
      <c r="G55" s="291"/>
      <c r="H55" s="291"/>
      <c r="I55" s="292"/>
      <c r="J55" s="292"/>
      <c r="K55" s="292"/>
      <c r="L55" s="291"/>
      <c r="M55" s="291"/>
      <c r="O55" s="78">
        <v>0.96</v>
      </c>
      <c r="P55" s="78">
        <f t="shared" si="0"/>
        <v>53.692799999999998</v>
      </c>
      <c r="T55" s="88" t="s">
        <v>107</v>
      </c>
      <c r="U55" s="124" t="s">
        <v>522</v>
      </c>
    </row>
    <row r="56" spans="1:21" x14ac:dyDescent="0.25">
      <c r="A56" s="291"/>
      <c r="B56" s="291"/>
      <c r="C56" s="291"/>
      <c r="D56" s="292"/>
      <c r="E56" s="292"/>
      <c r="F56" s="292"/>
      <c r="G56" s="291"/>
      <c r="H56" s="291"/>
      <c r="I56" s="292"/>
      <c r="J56" s="292"/>
      <c r="K56" s="292"/>
      <c r="L56" s="291"/>
      <c r="M56" s="291"/>
      <c r="O56" s="78">
        <v>0.95</v>
      </c>
      <c r="P56" s="78">
        <f t="shared" si="0"/>
        <v>53.133499999999998</v>
      </c>
      <c r="T56" s="88" t="s">
        <v>110</v>
      </c>
      <c r="U56" s="124">
        <v>24.49</v>
      </c>
    </row>
    <row r="57" spans="1:21" x14ac:dyDescent="0.25">
      <c r="A57" s="291"/>
      <c r="B57" s="291"/>
      <c r="C57" s="291"/>
      <c r="D57" s="292"/>
      <c r="E57" s="292"/>
      <c r="F57" s="292"/>
      <c r="G57" s="291"/>
      <c r="H57" s="291"/>
      <c r="I57" s="292"/>
      <c r="J57" s="292"/>
      <c r="K57" s="292"/>
      <c r="L57" s="291"/>
      <c r="M57" s="291"/>
      <c r="O57" s="78">
        <v>0.94</v>
      </c>
      <c r="P57" s="78">
        <f t="shared" si="0"/>
        <v>52.574199999999998</v>
      </c>
      <c r="T57" s="88" t="s">
        <v>111</v>
      </c>
      <c r="U57" s="124">
        <v>1.53</v>
      </c>
    </row>
    <row r="58" spans="1:21" x14ac:dyDescent="0.25">
      <c r="A58" s="291"/>
      <c r="B58" s="291"/>
      <c r="C58" s="291"/>
      <c r="D58" s="292"/>
      <c r="E58" s="292"/>
      <c r="F58" s="292"/>
      <c r="G58" s="291"/>
      <c r="H58" s="295"/>
      <c r="I58" s="292"/>
      <c r="J58" s="292"/>
      <c r="K58" s="292"/>
      <c r="L58" s="291"/>
      <c r="M58" s="291"/>
      <c r="O58" s="78">
        <v>0.93</v>
      </c>
      <c r="P58" s="78">
        <f t="shared" si="0"/>
        <v>52.014900000000004</v>
      </c>
      <c r="T58" s="88" t="s">
        <v>108</v>
      </c>
      <c r="U58" s="124" t="s">
        <v>460</v>
      </c>
    </row>
    <row r="59" spans="1:21" x14ac:dyDescent="0.25">
      <c r="A59" s="21" t="s">
        <v>81</v>
      </c>
      <c r="B59" s="12"/>
      <c r="C59" s="12">
        <f>SUM(C43:C58)</f>
        <v>100</v>
      </c>
      <c r="D59" s="13"/>
      <c r="E59" s="13"/>
      <c r="F59" s="13">
        <f>SUM(F43:F58)</f>
        <v>3118</v>
      </c>
      <c r="G59" s="12"/>
      <c r="H59" s="12">
        <f>SUM(H43:H48)</f>
        <v>100</v>
      </c>
      <c r="I59" s="13"/>
      <c r="J59" s="13"/>
      <c r="K59" s="13">
        <f>SUM(K43:K48)</f>
        <v>3364.92</v>
      </c>
      <c r="L59" s="12"/>
      <c r="M59" s="13">
        <f>SUM(M43:M46)</f>
        <v>18</v>
      </c>
      <c r="O59" s="78">
        <v>0.92</v>
      </c>
      <c r="P59" s="78">
        <f t="shared" si="0"/>
        <v>51.455600000000004</v>
      </c>
    </row>
    <row r="60" spans="1:21" ht="15.75" thickBot="1" x14ac:dyDescent="0.3">
      <c r="A60" s="370"/>
      <c r="B60" s="371"/>
      <c r="C60" s="372"/>
      <c r="D60" s="372"/>
      <c r="E60" s="372"/>
      <c r="F60" s="373"/>
      <c r="G60" s="372"/>
      <c r="H60" s="372"/>
      <c r="I60" s="372"/>
      <c r="J60" s="372"/>
      <c r="K60" s="373"/>
      <c r="L60" s="372"/>
      <c r="M60" s="476"/>
      <c r="O60" s="78">
        <v>0.91</v>
      </c>
      <c r="P60" s="78">
        <f t="shared" si="0"/>
        <v>50.896300000000004</v>
      </c>
    </row>
    <row r="61" spans="1:21" x14ac:dyDescent="0.25">
      <c r="O61" s="78">
        <v>0.9</v>
      </c>
      <c r="P61" s="78">
        <f t="shared" si="0"/>
        <v>50.337000000000003</v>
      </c>
    </row>
    <row r="65" spans="1:21" x14ac:dyDescent="0.25">
      <c r="B65" s="4"/>
      <c r="C65" s="4"/>
      <c r="D65" s="3"/>
      <c r="E65" s="3"/>
      <c r="F65" s="3"/>
      <c r="G65" s="4"/>
      <c r="H65" s="4"/>
      <c r="I65" s="3"/>
      <c r="U65" s="81" t="str">
        <f>MID(U58,FIND("(",U58)+1,6)</f>
        <v>3.42%)</v>
      </c>
    </row>
    <row r="66" spans="1:21" x14ac:dyDescent="0.25">
      <c r="A66" s="4"/>
      <c r="B66" s="4"/>
      <c r="C66" s="4"/>
      <c r="D66" s="3"/>
      <c r="E66" s="3"/>
      <c r="F66" s="3"/>
      <c r="G66" s="4"/>
      <c r="H66" s="4"/>
      <c r="I66" s="3"/>
      <c r="J66" s="3"/>
      <c r="K66" s="3"/>
      <c r="L66" s="4"/>
      <c r="M66" s="4"/>
      <c r="N66" s="4"/>
    </row>
    <row r="67" spans="1:21" x14ac:dyDescent="0.25">
      <c r="A67" s="4"/>
      <c r="B67" s="4"/>
      <c r="C67" s="4"/>
      <c r="D67" s="3"/>
      <c r="E67" s="3"/>
      <c r="F67" s="3"/>
      <c r="G67" s="4"/>
      <c r="H67" s="4"/>
      <c r="I67" s="3"/>
      <c r="J67" s="3"/>
      <c r="K67" s="3"/>
      <c r="L67" s="4"/>
      <c r="M67" s="4"/>
      <c r="N67" s="4"/>
    </row>
    <row r="68" spans="1:21" x14ac:dyDescent="0.25">
      <c r="A68" s="4"/>
      <c r="B68" s="339"/>
      <c r="C68" s="339"/>
      <c r="D68" s="472"/>
      <c r="E68" s="472"/>
      <c r="F68" s="472"/>
      <c r="G68" s="339"/>
      <c r="H68" s="339"/>
      <c r="I68" s="472"/>
      <c r="J68" s="3"/>
      <c r="K68" s="3"/>
      <c r="L68" s="4"/>
      <c r="M68" s="3"/>
      <c r="N68" s="4"/>
    </row>
    <row r="69" spans="1:21" x14ac:dyDescent="0.25">
      <c r="A69" s="339"/>
      <c r="B69" s="69"/>
      <c r="C69" s="4"/>
      <c r="D69" s="3"/>
      <c r="E69" s="3"/>
      <c r="F69" s="3"/>
      <c r="G69" s="69"/>
      <c r="H69" s="158"/>
      <c r="I69" s="3"/>
      <c r="J69" s="472"/>
      <c r="K69" s="472"/>
      <c r="L69" s="339"/>
      <c r="M69" s="339"/>
      <c r="N69" s="4"/>
    </row>
    <row r="70" spans="1:21" x14ac:dyDescent="0.25">
      <c r="A70" s="473"/>
      <c r="B70" s="69"/>
      <c r="C70" s="4"/>
      <c r="D70" s="3"/>
      <c r="E70" s="3"/>
      <c r="F70" s="3"/>
      <c r="G70" s="69"/>
      <c r="H70" s="158"/>
      <c r="I70" s="3"/>
      <c r="J70" s="3"/>
      <c r="K70" s="3"/>
      <c r="L70" s="4"/>
      <c r="M70" s="4"/>
      <c r="N70" s="4"/>
    </row>
    <row r="71" spans="1:21" x14ac:dyDescent="0.25">
      <c r="A71" s="474"/>
      <c r="B71" s="69"/>
      <c r="C71" s="4"/>
      <c r="D71" s="3"/>
      <c r="E71" s="3"/>
      <c r="F71" s="3"/>
      <c r="G71" s="69"/>
      <c r="H71" s="158"/>
      <c r="I71" s="3"/>
      <c r="J71" s="3"/>
      <c r="K71" s="3"/>
      <c r="L71" s="4"/>
      <c r="M71" s="4"/>
      <c r="N71" s="4"/>
    </row>
    <row r="72" spans="1:21" x14ac:dyDescent="0.25">
      <c r="A72" s="4"/>
      <c r="B72" s="69"/>
      <c r="C72" s="4"/>
      <c r="D72" s="3"/>
      <c r="E72" s="3"/>
      <c r="F72" s="3"/>
      <c r="G72" s="4"/>
      <c r="H72" s="158"/>
      <c r="I72" s="3"/>
      <c r="J72" s="3"/>
      <c r="K72" s="3"/>
      <c r="L72" s="4"/>
      <c r="M72" s="4"/>
      <c r="N72" s="4"/>
    </row>
    <row r="73" spans="1:21" x14ac:dyDescent="0.25">
      <c r="A73" s="4"/>
      <c r="B73" s="4"/>
      <c r="C73" s="4"/>
      <c r="D73" s="3"/>
      <c r="E73" s="3"/>
      <c r="F73" s="3"/>
      <c r="G73" s="4"/>
      <c r="H73" s="158"/>
      <c r="I73" s="3"/>
      <c r="J73" s="3"/>
      <c r="K73" s="3"/>
      <c r="L73" s="4"/>
      <c r="M73" s="4"/>
      <c r="N73" s="4"/>
    </row>
    <row r="74" spans="1:21" x14ac:dyDescent="0.25">
      <c r="A74" s="4"/>
      <c r="B74" s="4"/>
      <c r="C74" s="4"/>
      <c r="D74" s="3"/>
      <c r="E74" s="3"/>
      <c r="F74" s="3"/>
      <c r="G74" s="4"/>
      <c r="H74" s="158"/>
      <c r="I74" s="3"/>
      <c r="J74" s="3"/>
      <c r="K74" s="3"/>
      <c r="L74" s="4"/>
      <c r="M74" s="4"/>
      <c r="N74" s="4"/>
    </row>
    <row r="75" spans="1:21" x14ac:dyDescent="0.25">
      <c r="A75" s="4"/>
      <c r="B75" s="4"/>
      <c r="C75" s="4"/>
      <c r="D75" s="3"/>
      <c r="E75" s="3"/>
      <c r="F75" s="3"/>
      <c r="G75" s="4"/>
      <c r="H75" s="158"/>
      <c r="I75" s="3"/>
      <c r="J75" s="3"/>
      <c r="K75" s="3"/>
      <c r="L75" s="4"/>
      <c r="M75" s="4"/>
      <c r="N75" s="4"/>
    </row>
    <row r="76" spans="1:21" x14ac:dyDescent="0.25">
      <c r="A76" s="4"/>
      <c r="B76" s="4"/>
      <c r="C76" s="4"/>
      <c r="D76" s="3"/>
      <c r="E76" s="3"/>
      <c r="F76" s="3"/>
      <c r="G76" s="4"/>
      <c r="H76" s="158"/>
      <c r="I76" s="3"/>
      <c r="J76" s="3"/>
      <c r="K76" s="3"/>
      <c r="L76" s="4"/>
      <c r="M76" s="4"/>
      <c r="N76" s="4"/>
    </row>
    <row r="77" spans="1:21" x14ac:dyDescent="0.25">
      <c r="A77" s="4"/>
      <c r="B77" s="4"/>
      <c r="C77" s="4"/>
      <c r="D77" s="3"/>
      <c r="E77" s="3"/>
      <c r="F77" s="3"/>
      <c r="G77" s="4"/>
      <c r="H77" s="4"/>
      <c r="I77" s="3"/>
      <c r="J77" s="3"/>
      <c r="K77" s="3"/>
      <c r="L77" s="4"/>
      <c r="M77" s="4"/>
      <c r="N77" s="4"/>
    </row>
    <row r="78" spans="1:21" x14ac:dyDescent="0.25">
      <c r="A78" s="4"/>
      <c r="B78" s="4"/>
      <c r="C78" s="4"/>
      <c r="D78" s="3"/>
      <c r="E78" s="3"/>
      <c r="F78" s="3"/>
      <c r="G78" s="4"/>
      <c r="H78" s="4"/>
      <c r="I78" s="3"/>
      <c r="J78" s="3"/>
      <c r="K78" s="3"/>
      <c r="L78" s="4"/>
      <c r="M78" s="4"/>
      <c r="N78" s="4"/>
    </row>
    <row r="79" spans="1:21" x14ac:dyDescent="0.25">
      <c r="A79" s="4"/>
      <c r="B79" s="4"/>
      <c r="C79" s="4"/>
      <c r="D79" s="3"/>
      <c r="E79" s="3"/>
      <c r="F79" s="3"/>
      <c r="G79" s="4"/>
      <c r="H79" s="4"/>
      <c r="I79" s="3"/>
      <c r="J79" s="3"/>
      <c r="K79" s="3"/>
      <c r="L79" s="4"/>
      <c r="M79" s="4"/>
      <c r="N79" s="4"/>
    </row>
    <row r="80" spans="1:21" x14ac:dyDescent="0.25">
      <c r="A80" s="4"/>
      <c r="B80" s="4"/>
      <c r="C80" s="4"/>
      <c r="D80" s="3"/>
      <c r="E80" s="3"/>
      <c r="F80" s="3"/>
      <c r="G80" s="4"/>
      <c r="H80" s="4"/>
      <c r="I80" s="3"/>
      <c r="J80" s="3"/>
      <c r="K80" s="3"/>
      <c r="L80" s="4"/>
      <c r="M80" s="4"/>
      <c r="N80" s="4"/>
    </row>
    <row r="81" spans="1:14" x14ac:dyDescent="0.25">
      <c r="A81" s="4"/>
      <c r="B81" s="4"/>
      <c r="C81" s="4"/>
      <c r="D81" s="3"/>
      <c r="E81" s="3"/>
      <c r="F81" s="3"/>
      <c r="G81" s="4"/>
      <c r="H81" s="4"/>
      <c r="I81" s="3"/>
      <c r="J81" s="3"/>
      <c r="K81" s="3"/>
      <c r="L81" s="4"/>
      <c r="M81" s="4"/>
      <c r="N81" s="4"/>
    </row>
    <row r="82" spans="1:14" x14ac:dyDescent="0.25">
      <c r="A82" s="4"/>
      <c r="B82" s="4"/>
      <c r="C82" s="4"/>
      <c r="D82" s="3"/>
      <c r="E82" s="3"/>
      <c r="F82" s="3"/>
      <c r="G82" s="4"/>
      <c r="H82" s="4"/>
      <c r="I82" s="3"/>
      <c r="J82" s="3"/>
      <c r="K82" s="3"/>
      <c r="L82" s="4"/>
      <c r="M82" s="4"/>
      <c r="N82" s="4"/>
    </row>
    <row r="83" spans="1:14" x14ac:dyDescent="0.25">
      <c r="A83" s="4"/>
      <c r="B83" s="4"/>
      <c r="C83" s="4"/>
      <c r="D83" s="3"/>
      <c r="E83" s="3"/>
      <c r="F83" s="3"/>
      <c r="G83" s="4"/>
      <c r="H83" s="4"/>
      <c r="I83" s="3"/>
      <c r="J83" s="3"/>
      <c r="K83" s="3"/>
      <c r="L83" s="4"/>
      <c r="M83" s="4"/>
      <c r="N83" s="4"/>
    </row>
    <row r="84" spans="1:14" x14ac:dyDescent="0.25">
      <c r="A84" s="4"/>
      <c r="B84" s="4"/>
      <c r="C84" s="4"/>
      <c r="D84" s="3"/>
      <c r="E84" s="3"/>
      <c r="F84" s="3"/>
      <c r="G84" s="4"/>
      <c r="H84" s="4"/>
      <c r="I84" s="3"/>
      <c r="J84" s="3"/>
      <c r="K84" s="3"/>
      <c r="L84" s="4"/>
      <c r="M84" s="4"/>
      <c r="N84" s="4"/>
    </row>
    <row r="85" spans="1:14" x14ac:dyDescent="0.25">
      <c r="A85" s="4"/>
      <c r="J85" s="3"/>
      <c r="K85" s="3"/>
      <c r="L85" s="4"/>
      <c r="M85" s="4"/>
      <c r="N85" s="4"/>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F27:F36 H27:H36">
    <cfRule type="expression" dxfId="3929" priority="27">
      <formula>F27&gt;0</formula>
    </cfRule>
    <cfRule type="expression" dxfId="3928" priority="28">
      <formula>F27&lt;0</formula>
    </cfRule>
  </conditionalFormatting>
  <conditionalFormatting sqref="Q8">
    <cfRule type="expression" dxfId="3927" priority="15">
      <formula>Q8&gt;0</formula>
    </cfRule>
    <cfRule type="expression" dxfId="3926" priority="16">
      <formula>Q8&lt;0</formula>
    </cfRule>
  </conditionalFormatting>
  <conditionalFormatting sqref="Q7">
    <cfRule type="expression" dxfId="3925" priority="17">
      <formula>Q7&gt;0</formula>
    </cfRule>
    <cfRule type="expression" dxfId="3924" priority="18">
      <formula>Q7&lt;0</formula>
    </cfRule>
  </conditionalFormatting>
  <conditionalFormatting sqref="F37:F38">
    <cfRule type="expression" dxfId="3923" priority="13">
      <formula>F37&gt;0</formula>
    </cfRule>
    <cfRule type="expression" dxfId="3922" priority="14">
      <formula>F37&lt;0</formula>
    </cfRule>
  </conditionalFormatting>
  <conditionalFormatting sqref="H37:H38">
    <cfRule type="expression" dxfId="3921" priority="11">
      <formula>H37&gt;0</formula>
    </cfRule>
    <cfRule type="expression" dxfId="3920" priority="12">
      <formula>H37&lt;0</formula>
    </cfRule>
  </conditionalFormatting>
  <conditionalFormatting sqref="F23:F26 H23:H26">
    <cfRule type="expression" dxfId="3919" priority="9">
      <formula>F23&gt;0</formula>
    </cfRule>
    <cfRule type="expression" dxfId="3918" priority="10">
      <formula>F23&lt;0</formula>
    </cfRule>
  </conditionalFormatting>
  <conditionalFormatting sqref="Q10">
    <cfRule type="expression" dxfId="3917" priority="3">
      <formula>Q10&gt;0</formula>
    </cfRule>
    <cfRule type="expression" dxfId="3916" priority="4">
      <formula>Q10&lt;0</formula>
    </cfRule>
  </conditionalFormatting>
  <conditionalFormatting sqref="F22 H22">
    <cfRule type="expression" dxfId="3915" priority="1">
      <formula>F22&gt;0</formula>
    </cfRule>
    <cfRule type="expression" dxfId="3914" priority="2">
      <formula>F22&lt;0</formula>
    </cfRule>
  </conditionalFormatting>
  <conditionalFormatting sqref="M41">
    <cfRule type="expression" dxfId="3913" priority="5">
      <formula>M41&gt;0</formula>
    </cfRule>
    <cfRule type="expression" dxfId="3912" priority="6">
      <formula>M41&lt;0</formula>
    </cfRule>
  </conditionalFormatting>
  <hyperlinks>
    <hyperlink ref="A3" location="ACTIVE!A1" display="Back"/>
    <hyperlink ref="A44" location="ACTIVE!A1" display="Back"/>
  </hyperlinks>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7"/>
  <dimension ref="A1:AE281"/>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11" width="9" style="2"/>
    <col min="18" max="18" width="10.42578125" bestFit="1" customWidth="1"/>
    <col min="20" max="20" width="18.5703125" customWidth="1"/>
    <col min="21" max="21" width="36" customWidth="1"/>
    <col min="22" max="22" width="8.140625"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284</v>
      </c>
      <c r="B2" s="69"/>
      <c r="C2" s="4"/>
      <c r="D2" s="3"/>
      <c r="E2" s="3"/>
      <c r="F2" s="3"/>
      <c r="G2" s="69"/>
      <c r="H2" s="158"/>
      <c r="I2" s="3"/>
      <c r="J2" s="3"/>
      <c r="K2" s="3"/>
      <c r="L2" s="69"/>
      <c r="M2" s="3"/>
      <c r="O2" s="11" t="s">
        <v>57</v>
      </c>
      <c r="Q2">
        <f>C18-H18</f>
        <v>0</v>
      </c>
      <c r="T2" s="1"/>
      <c r="W2" s="127">
        <v>42830</v>
      </c>
      <c r="X2" s="10">
        <v>53.99</v>
      </c>
      <c r="Y2" s="10">
        <v>54.13</v>
      </c>
      <c r="Z2" s="10">
        <v>53</v>
      </c>
      <c r="AA2" s="10">
        <v>53.08</v>
      </c>
      <c r="AB2" s="90">
        <v>10018200</v>
      </c>
      <c r="AC2" s="10">
        <v>53.08</v>
      </c>
      <c r="AD2" s="2">
        <f>Y2-Z2</f>
        <v>1.1300000000000026</v>
      </c>
      <c r="AE2" s="131" t="e">
        <f>AC2/AC3-1</f>
        <v>#DIV/0!</v>
      </c>
    </row>
    <row r="3" spans="1:31" x14ac:dyDescent="0.25">
      <c r="A3" s="22" t="s">
        <v>71</v>
      </c>
      <c r="B3" s="69"/>
      <c r="C3" s="4"/>
      <c r="D3" s="3"/>
      <c r="E3" s="3"/>
      <c r="F3" s="3"/>
      <c r="G3" s="69"/>
      <c r="H3" s="158"/>
      <c r="I3" s="3"/>
      <c r="J3" s="3"/>
      <c r="K3" s="3"/>
      <c r="L3" s="4"/>
      <c r="M3" s="4"/>
      <c r="O3" s="11" t="s">
        <v>58</v>
      </c>
      <c r="Q3" s="174">
        <f>IF(Q2=0, Q4, (F18-K18-M18)/Q2)</f>
        <v>50.52</v>
      </c>
      <c r="T3" s="1"/>
      <c r="W3" s="127">
        <v>42830</v>
      </c>
      <c r="X3" s="10" t="s">
        <v>309</v>
      </c>
      <c r="Y3" s="10"/>
      <c r="Z3" s="10"/>
      <c r="AA3" s="10"/>
      <c r="AB3" s="90"/>
      <c r="AC3" s="10"/>
      <c r="AD3" s="2">
        <f t="shared" ref="AD3:AD66" si="0">Y3-Z3</f>
        <v>0</v>
      </c>
      <c r="AE3" s="131">
        <f t="shared" ref="AE3:AE66" si="1">AC3/AC4-1</f>
        <v>-1</v>
      </c>
    </row>
    <row r="4" spans="1:31" x14ac:dyDescent="0.25">
      <c r="B4" s="69"/>
      <c r="C4" s="4"/>
      <c r="D4" s="3"/>
      <c r="E4" s="3"/>
      <c r="F4" s="3"/>
      <c r="G4" s="4"/>
      <c r="H4" s="158"/>
      <c r="I4" s="3"/>
      <c r="J4" s="3"/>
      <c r="K4" s="3"/>
      <c r="L4" s="4"/>
      <c r="M4" s="4"/>
      <c r="O4" s="11" t="s">
        <v>66</v>
      </c>
      <c r="Q4" s="53">
        <v>50.52</v>
      </c>
      <c r="R4" s="396">
        <v>2.0400000000000001E-2</v>
      </c>
      <c r="T4" s="153"/>
      <c r="U4" s="1"/>
      <c r="W4" s="127">
        <v>42829</v>
      </c>
      <c r="X4" s="10">
        <v>54.21</v>
      </c>
      <c r="Y4" s="10">
        <v>54.35</v>
      </c>
      <c r="Z4" s="10">
        <v>53.95</v>
      </c>
      <c r="AA4" s="10">
        <v>54.14</v>
      </c>
      <c r="AB4" s="90">
        <v>8996700</v>
      </c>
      <c r="AC4" s="10">
        <v>53.75</v>
      </c>
      <c r="AD4" s="2">
        <f t="shared" si="0"/>
        <v>0.39999999999999858</v>
      </c>
      <c r="AE4" s="131">
        <f t="shared" si="1"/>
        <v>-1.3006317354143926E-3</v>
      </c>
    </row>
    <row r="5" spans="1:31" x14ac:dyDescent="0.25">
      <c r="B5" s="69"/>
      <c r="C5" s="4"/>
      <c r="D5" s="3"/>
      <c r="E5" s="3"/>
      <c r="F5" s="3"/>
      <c r="G5" s="4"/>
      <c r="H5" s="158"/>
      <c r="I5" s="3"/>
      <c r="J5" s="3"/>
      <c r="K5" s="3"/>
      <c r="L5" s="4"/>
      <c r="M5" s="4"/>
      <c r="O5" s="11" t="s">
        <v>67</v>
      </c>
      <c r="Q5" s="3">
        <f>Q4*Q2</f>
        <v>0</v>
      </c>
      <c r="W5" s="127">
        <v>42828</v>
      </c>
      <c r="X5" s="10">
        <v>54.53</v>
      </c>
      <c r="Y5" s="10">
        <v>55.16</v>
      </c>
      <c r="Z5" s="10">
        <v>53.87</v>
      </c>
      <c r="AA5" s="10">
        <v>54.21</v>
      </c>
      <c r="AB5" s="90">
        <v>16315800</v>
      </c>
      <c r="AC5" s="10">
        <v>53.82</v>
      </c>
      <c r="AD5" s="2">
        <f t="shared" si="0"/>
        <v>1.2899999999999991</v>
      </c>
      <c r="AE5" s="131">
        <f t="shared" si="1"/>
        <v>-3.1487312465271478E-3</v>
      </c>
    </row>
    <row r="6" spans="1:31" x14ac:dyDescent="0.25">
      <c r="G6" s="4"/>
      <c r="H6" s="158"/>
      <c r="I6" s="3"/>
      <c r="J6" s="3"/>
      <c r="K6" s="3"/>
      <c r="L6" s="4"/>
      <c r="O6" s="11" t="s">
        <v>64</v>
      </c>
      <c r="Q6" s="2">
        <f>Q3*Q2</f>
        <v>0</v>
      </c>
      <c r="W6" s="127">
        <v>42825</v>
      </c>
      <c r="X6" s="10">
        <v>55.3</v>
      </c>
      <c r="Y6" s="10">
        <v>55.67</v>
      </c>
      <c r="Z6" s="10">
        <v>54.16</v>
      </c>
      <c r="AA6" s="10">
        <v>54.38</v>
      </c>
      <c r="AB6" s="90">
        <v>12390400</v>
      </c>
      <c r="AC6" s="10">
        <v>53.99</v>
      </c>
      <c r="AD6" s="2">
        <f t="shared" si="0"/>
        <v>1.5100000000000051</v>
      </c>
      <c r="AE6" s="131">
        <f t="shared" si="1"/>
        <v>-1.7649199417758332E-2</v>
      </c>
    </row>
    <row r="7" spans="1:31" x14ac:dyDescent="0.25">
      <c r="B7" s="4"/>
      <c r="C7" s="4"/>
      <c r="D7" s="3"/>
      <c r="E7" s="3"/>
      <c r="F7" s="3"/>
      <c r="G7" s="4"/>
      <c r="H7" s="158"/>
      <c r="I7" s="3"/>
      <c r="J7" s="3"/>
      <c r="K7" s="3"/>
      <c r="L7" s="4"/>
      <c r="O7" s="11" t="s">
        <v>175</v>
      </c>
      <c r="Q7" s="2">
        <f>Q10+Q8</f>
        <v>910.79999999999927</v>
      </c>
      <c r="R7">
        <v>0</v>
      </c>
      <c r="W7" s="127">
        <v>42824</v>
      </c>
      <c r="X7" s="10">
        <v>55.96</v>
      </c>
      <c r="Y7" s="10">
        <v>56</v>
      </c>
      <c r="Z7" s="10">
        <v>55.25</v>
      </c>
      <c r="AA7" s="10">
        <v>55.36</v>
      </c>
      <c r="AB7" s="90">
        <v>8147500</v>
      </c>
      <c r="AC7" s="10">
        <v>54.96</v>
      </c>
      <c r="AD7" s="2">
        <f t="shared" si="0"/>
        <v>0.75</v>
      </c>
      <c r="AE7" s="131">
        <f t="shared" si="1"/>
        <v>-1.062106210621061E-2</v>
      </c>
    </row>
    <row r="8" spans="1:31" x14ac:dyDescent="0.25">
      <c r="B8" s="4"/>
      <c r="C8" s="4"/>
      <c r="D8" s="3"/>
      <c r="E8" s="3"/>
      <c r="F8" s="3"/>
      <c r="G8" s="4"/>
      <c r="H8" s="158"/>
      <c r="I8" s="3"/>
      <c r="J8" s="3"/>
      <c r="K8" s="3"/>
      <c r="L8" s="4"/>
      <c r="O8" s="11" t="s">
        <v>177</v>
      </c>
      <c r="P8" s="33"/>
      <c r="Q8" s="2">
        <f>K18+M18-F18+Q2*Q4</f>
        <v>0</v>
      </c>
      <c r="W8" s="127">
        <v>42823</v>
      </c>
      <c r="X8" s="10">
        <v>56.17</v>
      </c>
      <c r="Y8" s="10">
        <v>56.55</v>
      </c>
      <c r="Z8" s="10">
        <v>55.93</v>
      </c>
      <c r="AA8" s="10">
        <v>55.95</v>
      </c>
      <c r="AB8" s="90">
        <v>6136200</v>
      </c>
      <c r="AC8" s="10">
        <v>55.55</v>
      </c>
      <c r="AD8" s="2">
        <f t="shared" si="0"/>
        <v>0.61999999999999744</v>
      </c>
      <c r="AE8" s="131">
        <f t="shared" si="1"/>
        <v>-4.4802867383512135E-3</v>
      </c>
    </row>
    <row r="9" spans="1:31" x14ac:dyDescent="0.25">
      <c r="B9" s="4"/>
      <c r="C9" s="4"/>
      <c r="D9" s="3"/>
      <c r="E9" s="3"/>
      <c r="F9" s="3"/>
      <c r="G9" s="4"/>
      <c r="H9" s="158"/>
      <c r="I9" s="3"/>
      <c r="J9" s="3"/>
      <c r="K9" s="3"/>
      <c r="L9" s="4"/>
      <c r="O9" s="11" t="s">
        <v>202</v>
      </c>
      <c r="Q9" s="131">
        <f>IF(Q2=0, 0, Q8/Q6)</f>
        <v>0</v>
      </c>
      <c r="W9" s="127">
        <v>42822</v>
      </c>
      <c r="X9" s="10">
        <v>56.04</v>
      </c>
      <c r="Y9" s="10">
        <v>56.37</v>
      </c>
      <c r="Z9" s="10">
        <v>55.93</v>
      </c>
      <c r="AA9" s="10">
        <v>56.2</v>
      </c>
      <c r="AB9" s="90">
        <v>8525900</v>
      </c>
      <c r="AC9" s="10">
        <v>55.8</v>
      </c>
      <c r="AD9" s="2">
        <f t="shared" si="0"/>
        <v>0.43999999999999773</v>
      </c>
      <c r="AE9" s="131">
        <f t="shared" si="1"/>
        <v>2.8756290438531895E-3</v>
      </c>
    </row>
    <row r="10" spans="1:31" x14ac:dyDescent="0.25">
      <c r="B10" s="4"/>
      <c r="C10" s="4"/>
      <c r="D10" s="3"/>
      <c r="E10" s="3"/>
      <c r="F10" s="3"/>
      <c r="G10" s="4"/>
      <c r="H10" s="158"/>
      <c r="I10" s="3"/>
      <c r="J10" s="3"/>
      <c r="K10" s="3"/>
      <c r="L10" s="4"/>
      <c r="O10" s="11" t="s">
        <v>201</v>
      </c>
      <c r="P10" s="33"/>
      <c r="Q10" s="2">
        <f>M46</f>
        <v>910.79999999999927</v>
      </c>
      <c r="W10" s="127">
        <v>42821</v>
      </c>
      <c r="X10" s="10">
        <v>55.6</v>
      </c>
      <c r="Y10" s="10">
        <v>56.35</v>
      </c>
      <c r="Z10" s="10">
        <v>55.53</v>
      </c>
      <c r="AA10" s="10">
        <v>56.04</v>
      </c>
      <c r="AB10" s="90">
        <v>11139700</v>
      </c>
      <c r="AC10" s="10">
        <v>55.64</v>
      </c>
      <c r="AD10" s="2">
        <f t="shared" si="0"/>
        <v>0.82000000000000028</v>
      </c>
      <c r="AE10" s="131">
        <f t="shared" si="1"/>
        <v>2.7031897639213653E-3</v>
      </c>
    </row>
    <row r="11" spans="1:31" x14ac:dyDescent="0.25">
      <c r="B11" s="4"/>
      <c r="C11" s="4"/>
      <c r="D11" s="3"/>
      <c r="E11" s="3"/>
      <c r="F11" s="3"/>
      <c r="G11" s="4"/>
      <c r="H11" s="158"/>
      <c r="I11" s="3"/>
      <c r="J11" s="3"/>
      <c r="K11" s="3"/>
      <c r="L11" s="4"/>
      <c r="O11" s="11" t="s">
        <v>173</v>
      </c>
      <c r="P11" s="33"/>
      <c r="Q11" s="131">
        <f>IF(U58="N/A (N/A)", 0, VALUE(TRIM(CLEAN(MID(U58, FIND("(", U58)+1, 5)))))</f>
        <v>2.87E-2</v>
      </c>
      <c r="W11" s="127">
        <v>42818</v>
      </c>
      <c r="X11" s="10">
        <v>55.87</v>
      </c>
      <c r="Y11" s="10">
        <v>56.25</v>
      </c>
      <c r="Z11" s="10">
        <v>55.68</v>
      </c>
      <c r="AA11" s="10">
        <v>55.89</v>
      </c>
      <c r="AB11" s="90">
        <v>6170600</v>
      </c>
      <c r="AC11" s="10">
        <v>55.49</v>
      </c>
      <c r="AD11" s="2">
        <f t="shared" si="0"/>
        <v>0.57000000000000028</v>
      </c>
      <c r="AE11" s="131">
        <f t="shared" si="1"/>
        <v>2.1672385768467528E-3</v>
      </c>
    </row>
    <row r="12" spans="1:31" x14ac:dyDescent="0.25">
      <c r="H12" s="67"/>
      <c r="W12" s="127">
        <v>42817</v>
      </c>
      <c r="X12" s="10">
        <v>56.08</v>
      </c>
      <c r="Y12" s="10">
        <v>56.53</v>
      </c>
      <c r="Z12" s="10">
        <v>55.68</v>
      </c>
      <c r="AA12" s="10">
        <v>55.77</v>
      </c>
      <c r="AB12" s="90">
        <v>7624700</v>
      </c>
      <c r="AC12" s="10">
        <v>55.37</v>
      </c>
      <c r="AD12" s="2">
        <f t="shared" si="0"/>
        <v>0.85000000000000142</v>
      </c>
      <c r="AE12" s="131">
        <f t="shared" si="1"/>
        <v>-1.036639857015198E-2</v>
      </c>
    </row>
    <row r="13" spans="1:31" x14ac:dyDescent="0.25">
      <c r="H13" s="67"/>
      <c r="W13" s="127">
        <v>42816</v>
      </c>
      <c r="X13" s="10">
        <v>55.7</v>
      </c>
      <c r="Y13" s="10">
        <v>56.42</v>
      </c>
      <c r="Z13" s="10">
        <v>55.17</v>
      </c>
      <c r="AA13" s="10">
        <v>56.36</v>
      </c>
      <c r="AB13" s="90">
        <v>9808300</v>
      </c>
      <c r="AC13" s="10">
        <v>55.95</v>
      </c>
      <c r="AD13" s="2">
        <f t="shared" si="0"/>
        <v>1.25</v>
      </c>
      <c r="AE13" s="131">
        <f t="shared" si="1"/>
        <v>1.157114445850671E-2</v>
      </c>
    </row>
    <row r="14" spans="1:31" x14ac:dyDescent="0.25">
      <c r="H14" s="67"/>
      <c r="W14" s="127">
        <v>42815</v>
      </c>
      <c r="X14" s="10">
        <v>56.5</v>
      </c>
      <c r="Y14" s="10">
        <v>56.66</v>
      </c>
      <c r="Z14" s="10">
        <v>55.38</v>
      </c>
      <c r="AA14" s="10">
        <v>55.71</v>
      </c>
      <c r="AB14" s="90">
        <v>9394500</v>
      </c>
      <c r="AC14" s="10">
        <v>55.31</v>
      </c>
      <c r="AD14" s="2">
        <f t="shared" si="0"/>
        <v>1.279999999999994</v>
      </c>
      <c r="AE14" s="131">
        <f t="shared" si="1"/>
        <v>-1.2321428571428483E-2</v>
      </c>
    </row>
    <row r="15" spans="1:31" x14ac:dyDescent="0.25">
      <c r="H15" s="67"/>
      <c r="W15" s="127">
        <v>42814</v>
      </c>
      <c r="X15" s="10">
        <v>56.33</v>
      </c>
      <c r="Y15" s="10">
        <v>56.71</v>
      </c>
      <c r="Z15" s="10">
        <v>56.24</v>
      </c>
      <c r="AA15" s="10">
        <v>56.41</v>
      </c>
      <c r="AB15" s="90">
        <v>8481400</v>
      </c>
      <c r="AC15" s="10">
        <v>56</v>
      </c>
      <c r="AD15" s="2">
        <f t="shared" si="0"/>
        <v>0.46999999999999886</v>
      </c>
      <c r="AE15" s="131">
        <f t="shared" si="1"/>
        <v>2.1474588403722628E-3</v>
      </c>
    </row>
    <row r="16" spans="1:31" x14ac:dyDescent="0.25">
      <c r="H16" s="67"/>
      <c r="W16" s="127">
        <v>42811</v>
      </c>
      <c r="X16" s="10">
        <v>57.23</v>
      </c>
      <c r="Y16" s="10">
        <v>57.25</v>
      </c>
      <c r="Z16" s="10">
        <v>56.11</v>
      </c>
      <c r="AA16" s="10">
        <v>56.29</v>
      </c>
      <c r="AB16" s="90">
        <v>15881900</v>
      </c>
      <c r="AC16" s="10">
        <v>55.88</v>
      </c>
      <c r="AD16" s="2">
        <f t="shared" si="0"/>
        <v>1.1400000000000006</v>
      </c>
      <c r="AE16" s="131">
        <f t="shared" si="1"/>
        <v>-1.792618629173981E-2</v>
      </c>
    </row>
    <row r="17" spans="1:31" x14ac:dyDescent="0.25">
      <c r="W17" s="127">
        <v>42810</v>
      </c>
      <c r="X17" s="10">
        <v>57.33</v>
      </c>
      <c r="Y17" s="10">
        <v>57.58</v>
      </c>
      <c r="Z17" s="10">
        <v>57.12</v>
      </c>
      <c r="AA17" s="10">
        <v>57.31</v>
      </c>
      <c r="AB17" s="90">
        <v>9903900</v>
      </c>
      <c r="AC17" s="10">
        <v>56.9</v>
      </c>
      <c r="AD17" s="2">
        <f t="shared" si="0"/>
        <v>0.46000000000000085</v>
      </c>
      <c r="AE17" s="131">
        <f t="shared" si="1"/>
        <v>-5.766206535034013E-3</v>
      </c>
    </row>
    <row r="18" spans="1:31" x14ac:dyDescent="0.25">
      <c r="A18" s="31" t="s">
        <v>81</v>
      </c>
      <c r="B18" s="14"/>
      <c r="C18" s="14">
        <f>SUM(C2:C5)</f>
        <v>0</v>
      </c>
      <c r="D18" s="18"/>
      <c r="E18" s="18"/>
      <c r="F18" s="18">
        <f>SUM(F2:F5)</f>
        <v>0</v>
      </c>
      <c r="G18" s="14"/>
      <c r="H18" s="14">
        <f>SUM(H2:H5)</f>
        <v>0</v>
      </c>
      <c r="I18" s="18"/>
      <c r="J18" s="18"/>
      <c r="K18" s="18">
        <f>SUM(K2:K5)</f>
        <v>0</v>
      </c>
      <c r="L18" s="14"/>
      <c r="M18" s="18">
        <f>SUM(M2:M10)</f>
        <v>0</v>
      </c>
      <c r="W18" s="127">
        <v>42809</v>
      </c>
      <c r="X18" s="10">
        <v>56.67</v>
      </c>
      <c r="Y18" s="10">
        <v>57.93</v>
      </c>
      <c r="Z18" s="10">
        <v>56.67</v>
      </c>
      <c r="AA18" s="10">
        <v>57.65</v>
      </c>
      <c r="AB18" s="90">
        <v>10337700</v>
      </c>
      <c r="AC18" s="10">
        <v>57.23</v>
      </c>
      <c r="AD18" s="2">
        <f t="shared" si="0"/>
        <v>1.259999999999998</v>
      </c>
      <c r="AE18" s="131">
        <f t="shared" si="1"/>
        <v>1.6879886282871182E-2</v>
      </c>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v>42808</v>
      </c>
      <c r="X19" s="10">
        <v>56.95</v>
      </c>
      <c r="Y19" s="10">
        <v>57.6</v>
      </c>
      <c r="Z19" s="10">
        <v>56.58</v>
      </c>
      <c r="AA19" s="10">
        <v>56.69</v>
      </c>
      <c r="AB19" s="90">
        <v>11746400</v>
      </c>
      <c r="AC19" s="10">
        <v>56.28</v>
      </c>
      <c r="AD19" s="2">
        <f t="shared" si="0"/>
        <v>1.0200000000000031</v>
      </c>
      <c r="AE19" s="131">
        <f t="shared" si="1"/>
        <v>-4.2462845010615702E-3</v>
      </c>
    </row>
    <row r="20" spans="1:31" x14ac:dyDescent="0.25">
      <c r="W20" s="127">
        <v>42807</v>
      </c>
      <c r="X20" s="10">
        <v>58.3</v>
      </c>
      <c r="Y20" s="10">
        <v>58.3</v>
      </c>
      <c r="Z20" s="10">
        <v>56.86</v>
      </c>
      <c r="AA20" s="10">
        <v>56.93</v>
      </c>
      <c r="AB20" s="90">
        <v>11689400</v>
      </c>
      <c r="AC20" s="10">
        <v>56.52</v>
      </c>
      <c r="AD20" s="2">
        <f t="shared" si="0"/>
        <v>1.4399999999999977</v>
      </c>
      <c r="AE20" s="131">
        <f t="shared" si="1"/>
        <v>-2.3834196891191595E-2</v>
      </c>
    </row>
    <row r="21" spans="1:31" x14ac:dyDescent="0.25">
      <c r="W21" s="127">
        <v>42804</v>
      </c>
      <c r="X21" s="10">
        <v>58.03</v>
      </c>
      <c r="Y21" s="10">
        <v>58.54</v>
      </c>
      <c r="Z21" s="10">
        <v>57.81</v>
      </c>
      <c r="AA21" s="10">
        <v>58.32</v>
      </c>
      <c r="AB21" s="90">
        <v>8547300</v>
      </c>
      <c r="AC21" s="10">
        <v>57.9</v>
      </c>
      <c r="AD21" s="2">
        <f t="shared" si="0"/>
        <v>0.72999999999999687</v>
      </c>
      <c r="AE21" s="131">
        <f t="shared" si="1"/>
        <v>5.7321521625846028E-3</v>
      </c>
    </row>
    <row r="22" spans="1:31" x14ac:dyDescent="0.25">
      <c r="W22" s="127">
        <v>42803</v>
      </c>
      <c r="X22" s="10">
        <v>57.37</v>
      </c>
      <c r="Y22" s="10">
        <v>58.05</v>
      </c>
      <c r="Z22" s="10">
        <v>57.2</v>
      </c>
      <c r="AA22" s="10">
        <v>57.99</v>
      </c>
      <c r="AB22" s="90">
        <v>7535200</v>
      </c>
      <c r="AC22" s="10">
        <v>57.57</v>
      </c>
      <c r="AD22" s="2">
        <f t="shared" si="0"/>
        <v>0.84999999999999432</v>
      </c>
      <c r="AE22" s="131">
        <f t="shared" si="1"/>
        <v>1.5164873919943478E-2</v>
      </c>
    </row>
    <row r="23" spans="1:31" x14ac:dyDescent="0.25">
      <c r="W23" s="127">
        <v>42802</v>
      </c>
      <c r="X23" s="10">
        <v>56.33</v>
      </c>
      <c r="Y23" s="10">
        <v>57.5</v>
      </c>
      <c r="Z23" s="10">
        <v>56.22</v>
      </c>
      <c r="AA23" s="10">
        <v>57.12</v>
      </c>
      <c r="AB23" s="90">
        <v>13556400</v>
      </c>
      <c r="AC23" s="10">
        <v>56.71</v>
      </c>
      <c r="AD23" s="2">
        <f t="shared" si="0"/>
        <v>1.2800000000000011</v>
      </c>
      <c r="AE23" s="131">
        <f t="shared" si="1"/>
        <v>1.4127324749642289E-2</v>
      </c>
    </row>
    <row r="24" spans="1:31" x14ac:dyDescent="0.25">
      <c r="B24" s="159" t="s">
        <v>113</v>
      </c>
      <c r="C24" s="159" t="s">
        <v>143</v>
      </c>
      <c r="D24" s="160" t="s">
        <v>142</v>
      </c>
      <c r="E24" s="162" t="s">
        <v>144</v>
      </c>
      <c r="F24" s="162" t="s">
        <v>65</v>
      </c>
      <c r="G24" s="173" t="s">
        <v>148</v>
      </c>
      <c r="H24" s="173" t="s">
        <v>88</v>
      </c>
      <c r="I24" s="173" t="s">
        <v>151</v>
      </c>
      <c r="W24" s="127">
        <v>42801</v>
      </c>
      <c r="X24" s="10">
        <v>56.27</v>
      </c>
      <c r="Y24" s="10">
        <v>56.63</v>
      </c>
      <c r="Z24" s="10">
        <v>55.78</v>
      </c>
      <c r="AA24" s="10">
        <v>56.33</v>
      </c>
      <c r="AB24" s="90">
        <v>16970300</v>
      </c>
      <c r="AC24" s="10">
        <v>55.92</v>
      </c>
      <c r="AD24" s="2">
        <f t="shared" si="0"/>
        <v>0.85000000000000142</v>
      </c>
      <c r="AE24" s="131">
        <f t="shared" si="1"/>
        <v>-1.1315417256011373E-2</v>
      </c>
    </row>
    <row r="25" spans="1:31" x14ac:dyDescent="0.25">
      <c r="A25" s="4"/>
      <c r="B25" s="161"/>
      <c r="C25" s="10"/>
      <c r="D25" s="493"/>
      <c r="E25" s="39"/>
      <c r="F25" s="39"/>
      <c r="G25" s="39"/>
      <c r="H25" s="175"/>
      <c r="I25" s="39"/>
      <c r="W25" s="127">
        <v>42800</v>
      </c>
      <c r="X25" s="10">
        <v>57.02</v>
      </c>
      <c r="Y25" s="10">
        <v>57.23</v>
      </c>
      <c r="Z25" s="10">
        <v>56.23</v>
      </c>
      <c r="AA25" s="10">
        <v>56.97</v>
      </c>
      <c r="AB25" s="90">
        <v>7917200</v>
      </c>
      <c r="AC25" s="10">
        <v>56.56</v>
      </c>
      <c r="AD25" s="2">
        <f t="shared" si="0"/>
        <v>1</v>
      </c>
      <c r="AE25" s="131">
        <f t="shared" si="1"/>
        <v>-5.1011433597185629E-3</v>
      </c>
    </row>
    <row r="26" spans="1:31" x14ac:dyDescent="0.25">
      <c r="A26" s="4"/>
      <c r="B26" s="161"/>
      <c r="C26" s="10"/>
      <c r="D26" s="493"/>
      <c r="E26" s="39"/>
      <c r="F26" s="39"/>
      <c r="G26" s="39"/>
      <c r="H26" s="175"/>
      <c r="I26" s="39"/>
      <c r="W26" s="127">
        <v>42797</v>
      </c>
      <c r="X26" s="10">
        <v>56.74</v>
      </c>
      <c r="Y26" s="10">
        <v>57.34</v>
      </c>
      <c r="Z26" s="10">
        <v>56.63</v>
      </c>
      <c r="AA26" s="10">
        <v>57.26</v>
      </c>
      <c r="AB26" s="90">
        <v>9645800</v>
      </c>
      <c r="AC26" s="10">
        <v>56.85</v>
      </c>
      <c r="AD26" s="2">
        <f t="shared" si="0"/>
        <v>0.71000000000000085</v>
      </c>
      <c r="AE26" s="131">
        <f t="shared" si="1"/>
        <v>7.0859167404782042E-3</v>
      </c>
    </row>
    <row r="27" spans="1:31" x14ac:dyDescent="0.25">
      <c r="A27" s="4"/>
      <c r="B27" s="161"/>
      <c r="C27" s="10"/>
      <c r="D27" s="39"/>
      <c r="E27" s="39"/>
      <c r="F27" s="39"/>
      <c r="G27" s="39"/>
      <c r="H27" s="175"/>
      <c r="I27" s="39"/>
      <c r="W27" s="127">
        <v>42796</v>
      </c>
      <c r="X27" s="10">
        <v>56.89</v>
      </c>
      <c r="Y27" s="10">
        <v>57.49</v>
      </c>
      <c r="Z27" s="10">
        <v>56.59</v>
      </c>
      <c r="AA27" s="10">
        <v>56.86</v>
      </c>
      <c r="AB27" s="90">
        <v>12103700</v>
      </c>
      <c r="AC27" s="10">
        <v>56.45</v>
      </c>
      <c r="AD27" s="2">
        <f t="shared" si="0"/>
        <v>0.89999999999999858</v>
      </c>
      <c r="AE27" s="131">
        <f t="shared" si="1"/>
        <v>-5.6367799894310178E-3</v>
      </c>
    </row>
    <row r="28" spans="1:31" x14ac:dyDescent="0.25">
      <c r="A28" s="4"/>
      <c r="B28" s="161"/>
      <c r="C28" s="10"/>
      <c r="D28" s="39"/>
      <c r="E28" s="39"/>
      <c r="F28" s="39"/>
      <c r="G28" s="39"/>
      <c r="H28" s="175"/>
      <c r="I28" s="39"/>
      <c r="W28" s="127">
        <v>42795</v>
      </c>
      <c r="X28" s="10">
        <v>57</v>
      </c>
      <c r="Y28" s="10">
        <v>57.24</v>
      </c>
      <c r="Z28" s="10">
        <v>56.52</v>
      </c>
      <c r="AA28" s="10">
        <v>57.18</v>
      </c>
      <c r="AB28" s="90">
        <v>13349300</v>
      </c>
      <c r="AC28" s="10">
        <v>56.77</v>
      </c>
      <c r="AD28" s="2">
        <f t="shared" si="0"/>
        <v>0.71999999999999886</v>
      </c>
      <c r="AE28" s="131">
        <f t="shared" si="1"/>
        <v>8.3481349911191938E-3</v>
      </c>
    </row>
    <row r="29" spans="1:31" x14ac:dyDescent="0.25">
      <c r="A29" s="4"/>
      <c r="B29" s="161"/>
      <c r="C29" s="10"/>
      <c r="D29" s="39"/>
      <c r="E29" s="39"/>
      <c r="F29" s="39"/>
      <c r="G29" s="39"/>
      <c r="H29" s="175"/>
      <c r="I29" s="39"/>
      <c r="W29" s="127">
        <v>42794</v>
      </c>
      <c r="X29" s="10">
        <v>56.54</v>
      </c>
      <c r="Y29" s="10">
        <v>56.93</v>
      </c>
      <c r="Z29" s="10">
        <v>56.21</v>
      </c>
      <c r="AA29" s="10">
        <v>56.71</v>
      </c>
      <c r="AB29" s="90">
        <v>9046000</v>
      </c>
      <c r="AC29" s="10">
        <v>56.3</v>
      </c>
      <c r="AD29" s="2">
        <f t="shared" si="0"/>
        <v>0.71999999999999886</v>
      </c>
      <c r="AE29" s="131">
        <f t="shared" si="1"/>
        <v>2.6714158504006491E-3</v>
      </c>
    </row>
    <row r="30" spans="1:31" x14ac:dyDescent="0.25">
      <c r="A30" s="4"/>
      <c r="B30" s="161"/>
      <c r="C30" s="10"/>
      <c r="D30" s="39"/>
      <c r="E30" s="39"/>
      <c r="F30" s="39"/>
      <c r="G30" s="39"/>
      <c r="H30" s="175"/>
      <c r="I30" s="39"/>
      <c r="W30" s="127">
        <v>42793</v>
      </c>
      <c r="X30" s="10">
        <v>56.5</v>
      </c>
      <c r="Y30" s="10">
        <v>57</v>
      </c>
      <c r="Z30" s="10">
        <v>56.24</v>
      </c>
      <c r="AA30" s="10">
        <v>56.56</v>
      </c>
      <c r="AB30" s="90">
        <v>11285300</v>
      </c>
      <c r="AC30" s="10">
        <v>56.15</v>
      </c>
      <c r="AD30" s="2">
        <f t="shared" si="0"/>
        <v>0.75999999999999801</v>
      </c>
      <c r="AE30" s="131">
        <f t="shared" si="1"/>
        <v>2.1417097983222888E-3</v>
      </c>
    </row>
    <row r="31" spans="1:31" x14ac:dyDescent="0.25">
      <c r="A31" s="4"/>
      <c r="B31" s="161"/>
      <c r="C31" s="10"/>
      <c r="D31" s="39"/>
      <c r="E31" s="39"/>
      <c r="F31" s="39"/>
      <c r="G31" s="39"/>
      <c r="H31" s="175"/>
      <c r="I31" s="39"/>
      <c r="W31" s="127">
        <v>42790</v>
      </c>
      <c r="X31" s="10">
        <v>55.92</v>
      </c>
      <c r="Y31" s="10">
        <v>56.47</v>
      </c>
      <c r="Z31" s="10">
        <v>55.88</v>
      </c>
      <c r="AA31" s="10">
        <v>56.44</v>
      </c>
      <c r="AB31" s="90">
        <v>11382500</v>
      </c>
      <c r="AC31" s="10">
        <v>56.03</v>
      </c>
      <c r="AD31" s="2">
        <f t="shared" si="0"/>
        <v>0.58999999999999631</v>
      </c>
      <c r="AE31" s="131">
        <f t="shared" si="1"/>
        <v>1.1919812172656696E-2</v>
      </c>
    </row>
    <row r="32" spans="1:31" x14ac:dyDescent="0.25">
      <c r="A32" s="4"/>
      <c r="B32" s="161"/>
      <c r="C32" s="10"/>
      <c r="D32" s="39"/>
      <c r="E32" s="39"/>
      <c r="F32" s="39"/>
      <c r="G32" s="39"/>
      <c r="H32" s="175"/>
      <c r="I32" s="39"/>
      <c r="W32" s="127">
        <v>42789</v>
      </c>
      <c r="X32" s="10">
        <v>55.63</v>
      </c>
      <c r="Y32" s="10">
        <v>56.09</v>
      </c>
      <c r="Z32" s="10">
        <v>55.02</v>
      </c>
      <c r="AA32" s="10">
        <v>55.77</v>
      </c>
      <c r="AB32" s="90">
        <v>14410400</v>
      </c>
      <c r="AC32" s="10">
        <v>55.37</v>
      </c>
      <c r="AD32" s="2">
        <f t="shared" si="0"/>
        <v>1.0700000000000003</v>
      </c>
      <c r="AE32" s="131">
        <f t="shared" si="1"/>
        <v>7.6433121019108263E-3</v>
      </c>
    </row>
    <row r="33" spans="1:31" x14ac:dyDescent="0.25">
      <c r="A33" s="4"/>
      <c r="B33" s="161"/>
      <c r="C33" s="10"/>
      <c r="D33" s="39"/>
      <c r="E33" s="39"/>
      <c r="F33" s="39"/>
      <c r="G33" s="39"/>
      <c r="H33" s="175"/>
      <c r="I33" s="39"/>
      <c r="W33" s="127">
        <v>42788</v>
      </c>
      <c r="X33" s="10">
        <v>55.49</v>
      </c>
      <c r="Y33" s="10">
        <v>56.45</v>
      </c>
      <c r="Z33" s="10">
        <v>55.29</v>
      </c>
      <c r="AA33" s="10">
        <v>55.35</v>
      </c>
      <c r="AB33" s="90">
        <v>21293700</v>
      </c>
      <c r="AC33" s="10">
        <v>54.95</v>
      </c>
      <c r="AD33" s="2">
        <f t="shared" si="0"/>
        <v>1.1600000000000037</v>
      </c>
      <c r="AE33" s="131">
        <f t="shared" si="1"/>
        <v>1.0296010296010349E-2</v>
      </c>
    </row>
    <row r="34" spans="1:31" x14ac:dyDescent="0.25">
      <c r="A34" s="4"/>
      <c r="B34" s="161"/>
      <c r="C34" s="10"/>
      <c r="D34" s="493"/>
      <c r="E34" s="39"/>
      <c r="F34" s="39"/>
      <c r="G34" s="39"/>
      <c r="H34" s="175"/>
      <c r="I34" s="39"/>
      <c r="W34" s="127">
        <v>42787</v>
      </c>
      <c r="X34" s="10">
        <v>54.41</v>
      </c>
      <c r="Y34" s="10">
        <v>57.21</v>
      </c>
      <c r="Z34" s="10">
        <v>53.41</v>
      </c>
      <c r="AA34" s="10">
        <v>54.78</v>
      </c>
      <c r="AB34" s="90">
        <v>26919300</v>
      </c>
      <c r="AC34" s="10">
        <v>54.39</v>
      </c>
      <c r="AD34" s="2">
        <f t="shared" si="0"/>
        <v>3.8000000000000043</v>
      </c>
      <c r="AE34" s="131">
        <f t="shared" si="1"/>
        <v>3.5055350553505615E-3</v>
      </c>
    </row>
    <row r="35" spans="1:31" x14ac:dyDescent="0.25">
      <c r="A35" s="4"/>
      <c r="B35" s="161"/>
      <c r="C35" s="10"/>
      <c r="D35" s="493"/>
      <c r="E35" s="39"/>
      <c r="F35" s="39"/>
      <c r="G35" s="39"/>
      <c r="H35" s="175"/>
      <c r="I35" s="39"/>
      <c r="W35" s="127">
        <v>42783</v>
      </c>
      <c r="X35" s="10">
        <v>54.3</v>
      </c>
      <c r="Y35" s="10">
        <v>54.72</v>
      </c>
      <c r="Z35" s="10">
        <v>54.08</v>
      </c>
      <c r="AA35" s="10">
        <v>54.59</v>
      </c>
      <c r="AB35" s="90">
        <v>9706100</v>
      </c>
      <c r="AC35" s="10">
        <v>54.2</v>
      </c>
      <c r="AD35" s="2">
        <f t="shared" si="0"/>
        <v>0.64000000000000057</v>
      </c>
      <c r="AE35" s="131">
        <f t="shared" si="1"/>
        <v>5.7524587121915438E-3</v>
      </c>
    </row>
    <row r="36" spans="1:31" x14ac:dyDescent="0.25">
      <c r="B36" s="161"/>
      <c r="C36" s="10"/>
      <c r="D36" s="39"/>
      <c r="E36" s="39"/>
      <c r="F36" s="39"/>
      <c r="G36" s="39"/>
      <c r="H36" s="175"/>
      <c r="I36" s="39"/>
      <c r="W36" s="127">
        <v>42782</v>
      </c>
      <c r="X36" s="10">
        <v>55.08</v>
      </c>
      <c r="Y36" s="10">
        <v>55.16</v>
      </c>
      <c r="Z36" s="10">
        <v>53.92</v>
      </c>
      <c r="AA36" s="10">
        <v>54.28</v>
      </c>
      <c r="AB36" s="90">
        <v>9917100</v>
      </c>
      <c r="AC36" s="10">
        <v>53.89</v>
      </c>
      <c r="AD36" s="2">
        <f t="shared" si="0"/>
        <v>1.2399999999999949</v>
      </c>
      <c r="AE36" s="131">
        <f t="shared" si="1"/>
        <v>-1.3545670876807692E-2</v>
      </c>
    </row>
    <row r="37" spans="1:31" x14ac:dyDescent="0.25">
      <c r="B37" s="161"/>
      <c r="C37" s="10"/>
      <c r="D37" s="39"/>
      <c r="E37" s="39"/>
      <c r="F37" s="39"/>
      <c r="G37" s="39"/>
      <c r="H37" s="175"/>
      <c r="I37" s="39"/>
      <c r="W37" s="127">
        <v>42781</v>
      </c>
      <c r="X37" s="10">
        <v>53.7</v>
      </c>
      <c r="Y37" s="10">
        <v>55.34</v>
      </c>
      <c r="Z37" s="10">
        <v>53.6</v>
      </c>
      <c r="AA37" s="10">
        <v>55.03</v>
      </c>
      <c r="AB37" s="90">
        <v>11860800</v>
      </c>
      <c r="AC37" s="10">
        <v>54.63</v>
      </c>
      <c r="AD37" s="2">
        <f t="shared" si="0"/>
        <v>1.740000000000002</v>
      </c>
      <c r="AE37" s="131">
        <f t="shared" si="1"/>
        <v>2.4568642160540222E-2</v>
      </c>
    </row>
    <row r="38" spans="1:31" x14ac:dyDescent="0.25">
      <c r="B38" s="161"/>
      <c r="C38" s="10"/>
      <c r="D38" s="39"/>
      <c r="E38" s="39"/>
      <c r="F38" s="39"/>
      <c r="G38" s="39"/>
      <c r="H38" s="175"/>
      <c r="I38" s="39"/>
      <c r="W38" s="127">
        <v>42780</v>
      </c>
      <c r="X38" s="10">
        <v>52.31</v>
      </c>
      <c r="Y38" s="10">
        <v>54.27</v>
      </c>
      <c r="Z38" s="10">
        <v>52.09</v>
      </c>
      <c r="AA38" s="10">
        <v>53.71</v>
      </c>
      <c r="AB38" s="90">
        <v>19785200</v>
      </c>
      <c r="AC38" s="10">
        <v>53.32</v>
      </c>
      <c r="AD38" s="2">
        <f t="shared" si="0"/>
        <v>2.1799999999999997</v>
      </c>
      <c r="AE38" s="131">
        <f t="shared" si="1"/>
        <v>3.2133178474641921E-2</v>
      </c>
    </row>
    <row r="39" spans="1:31" x14ac:dyDescent="0.25">
      <c r="B39" s="161"/>
      <c r="C39" s="10"/>
      <c r="D39" s="39"/>
      <c r="E39" s="39"/>
      <c r="F39" s="39"/>
      <c r="G39" s="39"/>
      <c r="H39" s="175"/>
      <c r="I39" s="39"/>
      <c r="W39" s="127">
        <v>42779</v>
      </c>
      <c r="X39" s="10">
        <v>51.83</v>
      </c>
      <c r="Y39" s="10">
        <v>52.09</v>
      </c>
      <c r="Z39" s="10">
        <v>51.62</v>
      </c>
      <c r="AA39" s="10">
        <v>52.03</v>
      </c>
      <c r="AB39" s="90">
        <v>6769700</v>
      </c>
      <c r="AC39" s="10">
        <v>51.66</v>
      </c>
      <c r="AD39" s="2">
        <f t="shared" si="0"/>
        <v>0.47000000000000597</v>
      </c>
      <c r="AE39" s="131">
        <f t="shared" si="1"/>
        <v>7.4102964118563097E-3</v>
      </c>
    </row>
    <row r="40" spans="1:31" ht="20.25" thickBot="1" x14ac:dyDescent="0.35">
      <c r="B40" s="161"/>
      <c r="C40" s="10"/>
      <c r="D40" s="39"/>
      <c r="E40" s="39"/>
      <c r="F40" s="39"/>
      <c r="G40" s="39"/>
      <c r="H40" s="175"/>
      <c r="I40" s="39"/>
      <c r="O40" s="886" t="s">
        <v>78</v>
      </c>
      <c r="P40" s="886"/>
      <c r="W40" s="127">
        <v>42776</v>
      </c>
      <c r="X40" s="10">
        <v>51.61</v>
      </c>
      <c r="Y40" s="10">
        <v>51.97</v>
      </c>
      <c r="Z40" s="10">
        <v>51.52</v>
      </c>
      <c r="AA40" s="10">
        <v>51.65</v>
      </c>
      <c r="AB40" s="90">
        <v>5845600</v>
      </c>
      <c r="AC40" s="10">
        <v>51.28</v>
      </c>
      <c r="AD40" s="2">
        <f t="shared" si="0"/>
        <v>0.44999999999999574</v>
      </c>
      <c r="AE40" s="131">
        <f t="shared" si="1"/>
        <v>2.7375831052014465E-3</v>
      </c>
    </row>
    <row r="41" spans="1:31" ht="15.75" thickTop="1" x14ac:dyDescent="0.25">
      <c r="B41" s="161"/>
      <c r="C41" s="10"/>
      <c r="D41" s="39"/>
      <c r="E41" s="39"/>
      <c r="F41" s="39"/>
      <c r="G41" s="39"/>
      <c r="H41" s="175"/>
      <c r="I41" s="39"/>
      <c r="O41" s="78">
        <v>1.1000000000000001</v>
      </c>
      <c r="P41" s="78">
        <f>O41*$Q$4</f>
        <v>55.57200000000001</v>
      </c>
      <c r="Q41" s="2"/>
      <c r="W41" s="127">
        <v>42775</v>
      </c>
      <c r="X41" s="10">
        <v>52</v>
      </c>
      <c r="Y41" s="10">
        <v>52.25</v>
      </c>
      <c r="Z41" s="10">
        <v>51.46</v>
      </c>
      <c r="AA41" s="10">
        <v>51.51</v>
      </c>
      <c r="AB41" s="90">
        <v>5813100</v>
      </c>
      <c r="AC41" s="10">
        <v>51.14</v>
      </c>
      <c r="AD41" s="2">
        <f t="shared" si="0"/>
        <v>0.78999999999999915</v>
      </c>
      <c r="AE41" s="131">
        <f t="shared" si="1"/>
        <v>-9.4906062366841848E-3</v>
      </c>
    </row>
    <row r="42" spans="1:31" ht="20.25" thickBot="1" x14ac:dyDescent="0.35">
      <c r="B42" s="161"/>
      <c r="C42" s="10"/>
      <c r="D42" s="39"/>
      <c r="E42" s="39"/>
      <c r="F42" s="39"/>
      <c r="G42" s="39"/>
      <c r="H42" s="175"/>
      <c r="I42" s="39"/>
      <c r="O42" s="78">
        <v>1.0900000000000001</v>
      </c>
      <c r="P42" s="78">
        <f t="shared" ref="P42:P61" si="2">O42*$Q$4</f>
        <v>55.066800000000008</v>
      </c>
      <c r="Q42" s="2"/>
      <c r="T42" s="86" t="s">
        <v>112</v>
      </c>
      <c r="W42" s="127">
        <v>42774</v>
      </c>
      <c r="X42" s="10">
        <v>51.29</v>
      </c>
      <c r="Y42" s="10">
        <v>52.12</v>
      </c>
      <c r="Z42" s="10">
        <v>51.12</v>
      </c>
      <c r="AA42" s="10">
        <v>52</v>
      </c>
      <c r="AB42" s="90">
        <v>12236500</v>
      </c>
      <c r="AC42" s="10">
        <v>51.63</v>
      </c>
      <c r="AD42" s="2">
        <f t="shared" si="0"/>
        <v>1</v>
      </c>
      <c r="AE42" s="131">
        <f t="shared" si="1"/>
        <v>6.6289725092611995E-3</v>
      </c>
    </row>
    <row r="43" spans="1:31" ht="15.75" thickTop="1" x14ac:dyDescent="0.25">
      <c r="O43" s="78">
        <v>1.08</v>
      </c>
      <c r="P43" s="78">
        <f t="shared" si="2"/>
        <v>54.561600000000006</v>
      </c>
      <c r="Q43" s="2"/>
      <c r="T43" s="122" t="s">
        <v>97</v>
      </c>
      <c r="U43" s="123">
        <v>53.75</v>
      </c>
      <c r="V43" s="430"/>
      <c r="W43" s="127">
        <v>42773</v>
      </c>
      <c r="X43" s="10">
        <v>51.49</v>
      </c>
      <c r="Y43" s="10">
        <v>52.32</v>
      </c>
      <c r="Z43" s="10">
        <v>51.26</v>
      </c>
      <c r="AA43" s="10">
        <v>51.66</v>
      </c>
      <c r="AB43" s="90">
        <v>15747800</v>
      </c>
      <c r="AC43" s="10">
        <v>51.29</v>
      </c>
      <c r="AD43" s="2">
        <f t="shared" si="0"/>
        <v>1.0600000000000023</v>
      </c>
      <c r="AE43" s="131">
        <f t="shared" si="1"/>
        <v>1.2236037102822062E-2</v>
      </c>
    </row>
    <row r="44" spans="1:31" x14ac:dyDescent="0.25">
      <c r="O44" s="78">
        <v>1.07</v>
      </c>
      <c r="P44" s="78">
        <f t="shared" si="2"/>
        <v>54.056400000000004</v>
      </c>
      <c r="Q44" s="2"/>
      <c r="T44" s="88" t="s">
        <v>98</v>
      </c>
      <c r="U44" s="124">
        <v>53.99</v>
      </c>
      <c r="W44" s="127">
        <v>42772</v>
      </c>
      <c r="X44" s="10">
        <v>50.65</v>
      </c>
      <c r="Y44" s="10">
        <v>51.09</v>
      </c>
      <c r="Z44" s="10">
        <v>50.56</v>
      </c>
      <c r="AA44" s="10">
        <v>51.04</v>
      </c>
      <c r="AB44" s="90">
        <v>8263400</v>
      </c>
      <c r="AC44" s="10">
        <v>50.67</v>
      </c>
      <c r="AD44" s="2">
        <f t="shared" si="0"/>
        <v>0.53000000000000114</v>
      </c>
      <c r="AE44" s="131">
        <f t="shared" si="1"/>
        <v>5.1577068042056862E-3</v>
      </c>
    </row>
    <row r="45" spans="1:31" x14ac:dyDescent="0.25">
      <c r="O45" s="78">
        <v>1.06</v>
      </c>
      <c r="P45" s="78">
        <f t="shared" si="2"/>
        <v>53.551200000000009</v>
      </c>
      <c r="Q45" s="2"/>
      <c r="T45" s="88" t="s">
        <v>99</v>
      </c>
      <c r="U45" s="124" t="s">
        <v>128</v>
      </c>
      <c r="W45" s="127">
        <v>42769</v>
      </c>
      <c r="X45" s="10">
        <v>50.6</v>
      </c>
      <c r="Y45" s="10">
        <v>50.91</v>
      </c>
      <c r="Z45" s="10">
        <v>50.36</v>
      </c>
      <c r="AA45" s="10">
        <v>50.78</v>
      </c>
      <c r="AB45" s="90">
        <v>10934000</v>
      </c>
      <c r="AC45" s="10">
        <v>50.41</v>
      </c>
      <c r="AD45" s="2">
        <f t="shared" si="0"/>
        <v>0.54999999999999716</v>
      </c>
      <c r="AE45" s="131">
        <f t="shared" si="1"/>
        <v>5.384922217790189E-3</v>
      </c>
    </row>
    <row r="46" spans="1:31" x14ac:dyDescent="0.25">
      <c r="L46" t="s">
        <v>65</v>
      </c>
      <c r="M46" s="2">
        <f>M64+K64-F64</f>
        <v>910.79999999999927</v>
      </c>
      <c r="O46" s="78">
        <v>1.05</v>
      </c>
      <c r="P46" s="78">
        <f t="shared" si="2"/>
        <v>53.046000000000006</v>
      </c>
      <c r="Q46" s="2"/>
      <c r="T46" s="88" t="s">
        <v>100</v>
      </c>
      <c r="U46" s="124" t="s">
        <v>128</v>
      </c>
      <c r="W46" s="127">
        <v>42768</v>
      </c>
      <c r="X46" s="10">
        <v>49.35</v>
      </c>
      <c r="Y46" s="10">
        <v>50.89</v>
      </c>
      <c r="Z46" s="10">
        <v>49.27</v>
      </c>
      <c r="AA46" s="10">
        <v>50.5</v>
      </c>
      <c r="AB46" s="90">
        <v>18610200</v>
      </c>
      <c r="AC46" s="10">
        <v>50.14</v>
      </c>
      <c r="AD46" s="2">
        <f t="shared" si="0"/>
        <v>1.6199999999999974</v>
      </c>
      <c r="AE46" s="131">
        <f t="shared" si="1"/>
        <v>2.4729204986715825E-2</v>
      </c>
    </row>
    <row r="47" spans="1:31" x14ac:dyDescent="0.25">
      <c r="A47" s="297" t="s">
        <v>1</v>
      </c>
      <c r="B47" s="297" t="s">
        <v>2</v>
      </c>
      <c r="C47" s="297" t="s">
        <v>4</v>
      </c>
      <c r="D47" s="299" t="s">
        <v>5</v>
      </c>
      <c r="E47" s="299" t="s">
        <v>94</v>
      </c>
      <c r="F47" s="299" t="s">
        <v>60</v>
      </c>
      <c r="G47" s="297" t="s">
        <v>3</v>
      </c>
      <c r="H47" s="297" t="s">
        <v>6</v>
      </c>
      <c r="I47" s="299" t="s">
        <v>7</v>
      </c>
      <c r="J47" s="299" t="s">
        <v>95</v>
      </c>
      <c r="K47" s="299" t="s">
        <v>61</v>
      </c>
      <c r="L47" s="297" t="s">
        <v>37</v>
      </c>
      <c r="M47" s="297" t="s">
        <v>38</v>
      </c>
      <c r="O47" s="78">
        <v>1.04</v>
      </c>
      <c r="P47" s="78">
        <f t="shared" si="2"/>
        <v>52.540800000000004</v>
      </c>
      <c r="Q47" s="2"/>
      <c r="T47" s="88" t="s">
        <v>101</v>
      </c>
      <c r="U47" s="124">
        <v>55.41</v>
      </c>
      <c r="W47" s="127">
        <v>42767</v>
      </c>
      <c r="X47" s="10">
        <v>49.13</v>
      </c>
      <c r="Y47" s="10">
        <v>49.32</v>
      </c>
      <c r="Z47" s="10">
        <v>48.32</v>
      </c>
      <c r="AA47" s="10">
        <v>49.29</v>
      </c>
      <c r="AB47" s="90">
        <v>16021900</v>
      </c>
      <c r="AC47" s="10">
        <v>48.93</v>
      </c>
      <c r="AD47" s="2">
        <f t="shared" si="0"/>
        <v>1</v>
      </c>
      <c r="AE47" s="131">
        <f t="shared" si="1"/>
        <v>2.4585125998770607E-3</v>
      </c>
    </row>
    <row r="48" spans="1:31" x14ac:dyDescent="0.25">
      <c r="A48" s="300" t="s">
        <v>284</v>
      </c>
      <c r="B48" s="290">
        <v>42669</v>
      </c>
      <c r="C48" s="291">
        <v>20</v>
      </c>
      <c r="D48" s="292">
        <v>49.18</v>
      </c>
      <c r="E48" s="292">
        <v>0</v>
      </c>
      <c r="F48" s="292">
        <f t="shared" ref="F48:F53" si="3">C48*D48+E48</f>
        <v>983.6</v>
      </c>
      <c r="G48" s="290">
        <v>42710</v>
      </c>
      <c r="H48" s="295">
        <v>20</v>
      </c>
      <c r="I48" s="292">
        <v>55.88</v>
      </c>
      <c r="J48" s="292">
        <v>0.02</v>
      </c>
      <c r="K48" s="292">
        <f>I48*H48-J48</f>
        <v>1117.5800000000002</v>
      </c>
      <c r="L48" s="290"/>
      <c r="M48" s="291"/>
      <c r="O48" s="78">
        <v>1.03</v>
      </c>
      <c r="P48" s="78">
        <f t="shared" si="2"/>
        <v>52.035600000000002</v>
      </c>
      <c r="Q48" s="2"/>
      <c r="T48" s="88" t="s">
        <v>102</v>
      </c>
      <c r="U48" s="124">
        <v>0.95877900000000005</v>
      </c>
      <c r="W48" s="127">
        <v>42766</v>
      </c>
      <c r="X48" s="10">
        <v>48.4</v>
      </c>
      <c r="Y48" s="10">
        <v>49.42</v>
      </c>
      <c r="Z48" s="10">
        <v>48.21</v>
      </c>
      <c r="AA48" s="10">
        <v>49.16</v>
      </c>
      <c r="AB48" s="90">
        <v>15094000</v>
      </c>
      <c r="AC48" s="10">
        <v>48.81</v>
      </c>
      <c r="AD48" s="2">
        <f t="shared" si="0"/>
        <v>1.2100000000000009</v>
      </c>
      <c r="AE48" s="131">
        <f t="shared" si="1"/>
        <v>9.722796855606175E-3</v>
      </c>
    </row>
    <row r="49" spans="1:31" x14ac:dyDescent="0.25">
      <c r="A49" s="301" t="s">
        <v>71</v>
      </c>
      <c r="B49" s="290">
        <v>42669</v>
      </c>
      <c r="C49" s="291">
        <v>30</v>
      </c>
      <c r="D49" s="292">
        <v>49.18</v>
      </c>
      <c r="E49" s="292">
        <v>0</v>
      </c>
      <c r="F49" s="292">
        <f t="shared" si="3"/>
        <v>1475.4</v>
      </c>
      <c r="G49" s="290">
        <v>42713</v>
      </c>
      <c r="H49" s="295">
        <v>30</v>
      </c>
      <c r="I49" s="292">
        <v>56.28</v>
      </c>
      <c r="J49" s="292">
        <v>0.04</v>
      </c>
      <c r="K49" s="292">
        <f>I49*H49-J49</f>
        <v>1688.3600000000001</v>
      </c>
      <c r="L49" s="291"/>
      <c r="M49" s="291"/>
      <c r="O49" s="78">
        <v>1.02</v>
      </c>
      <c r="P49" s="78">
        <f t="shared" si="2"/>
        <v>51.530400000000007</v>
      </c>
      <c r="Q49" s="2"/>
      <c r="T49" s="88" t="s">
        <v>103</v>
      </c>
      <c r="U49" s="124" t="s">
        <v>434</v>
      </c>
      <c r="W49" s="127">
        <v>42765</v>
      </c>
      <c r="X49" s="10">
        <v>48.22</v>
      </c>
      <c r="Y49" s="10">
        <v>49.1</v>
      </c>
      <c r="Z49" s="10">
        <v>47.96</v>
      </c>
      <c r="AA49" s="10">
        <v>48.69</v>
      </c>
      <c r="AB49" s="90">
        <v>15738200</v>
      </c>
      <c r="AC49" s="10">
        <v>48.34</v>
      </c>
      <c r="AD49" s="2">
        <f t="shared" si="0"/>
        <v>1.1400000000000006</v>
      </c>
      <c r="AE49" s="131">
        <f t="shared" si="1"/>
        <v>1.9831223628692163E-2</v>
      </c>
    </row>
    <row r="50" spans="1:31" x14ac:dyDescent="0.25">
      <c r="A50" s="291"/>
      <c r="B50" s="494">
        <v>42711</v>
      </c>
      <c r="C50" s="495">
        <v>20</v>
      </c>
      <c r="D50" s="496">
        <v>55.06</v>
      </c>
      <c r="E50" s="496">
        <v>0</v>
      </c>
      <c r="F50" s="496">
        <f t="shared" si="3"/>
        <v>1101.2</v>
      </c>
      <c r="G50" s="494">
        <v>42780</v>
      </c>
      <c r="H50" s="497">
        <v>20</v>
      </c>
      <c r="I50" s="496">
        <v>52.48</v>
      </c>
      <c r="J50" s="496">
        <v>0.02</v>
      </c>
      <c r="K50" s="496">
        <f>I50*H50-J50</f>
        <v>1049.58</v>
      </c>
      <c r="L50" s="494">
        <v>42768</v>
      </c>
      <c r="M50" s="496">
        <v>7.8</v>
      </c>
      <c r="O50" s="78">
        <v>1.01</v>
      </c>
      <c r="P50" s="78">
        <f t="shared" si="2"/>
        <v>51.025200000000005</v>
      </c>
      <c r="Q50" s="2"/>
      <c r="T50" s="88"/>
      <c r="U50" s="124"/>
      <c r="W50" s="127">
        <v>42762</v>
      </c>
      <c r="X50" s="10">
        <v>47.26</v>
      </c>
      <c r="Y50" s="10">
        <v>48.62</v>
      </c>
      <c r="Z50" s="10">
        <v>47.12</v>
      </c>
      <c r="AA50" s="10">
        <v>47.74</v>
      </c>
      <c r="AB50" s="90">
        <v>22918700</v>
      </c>
      <c r="AC50" s="10">
        <v>47.4</v>
      </c>
      <c r="AD50" s="2">
        <f t="shared" si="0"/>
        <v>1.5</v>
      </c>
      <c r="AE50" s="131">
        <f t="shared" si="1"/>
        <v>1.9793459552495785E-2</v>
      </c>
    </row>
    <row r="51" spans="1:31" x14ac:dyDescent="0.25">
      <c r="A51" s="291"/>
      <c r="B51" s="494">
        <v>42755</v>
      </c>
      <c r="C51" s="495">
        <v>20</v>
      </c>
      <c r="D51" s="496">
        <v>51.33</v>
      </c>
      <c r="E51" s="496">
        <v>0</v>
      </c>
      <c r="F51" s="496">
        <f t="shared" si="3"/>
        <v>1026.5999999999999</v>
      </c>
      <c r="G51" s="494">
        <v>42787</v>
      </c>
      <c r="H51" s="497">
        <v>80</v>
      </c>
      <c r="I51" s="496">
        <v>55.58</v>
      </c>
      <c r="J51" s="496">
        <v>0.1</v>
      </c>
      <c r="K51" s="496">
        <f>I51*H51-J51</f>
        <v>4446.2999999999993</v>
      </c>
      <c r="L51" s="291"/>
      <c r="M51" s="291"/>
      <c r="O51" s="78">
        <v>1</v>
      </c>
      <c r="P51" s="78">
        <f t="shared" si="2"/>
        <v>50.52</v>
      </c>
      <c r="Q51" s="2"/>
      <c r="T51" s="88" t="s">
        <v>104</v>
      </c>
      <c r="U51" s="124" t="s">
        <v>523</v>
      </c>
      <c r="W51" s="127">
        <v>42761</v>
      </c>
      <c r="X51" s="10">
        <v>48.59</v>
      </c>
      <c r="Y51" s="10">
        <v>49.51</v>
      </c>
      <c r="Z51" s="10">
        <v>46.01</v>
      </c>
      <c r="AA51" s="10">
        <v>46.82</v>
      </c>
      <c r="AB51" s="90">
        <v>44800800</v>
      </c>
      <c r="AC51" s="10">
        <v>46.48</v>
      </c>
      <c r="AD51" s="2">
        <f t="shared" si="0"/>
        <v>3.5</v>
      </c>
      <c r="AE51" s="131">
        <f t="shared" si="1"/>
        <v>-5.5092498475299845E-2</v>
      </c>
    </row>
    <row r="52" spans="1:31" x14ac:dyDescent="0.25">
      <c r="A52" s="291"/>
      <c r="B52" s="494">
        <v>42755</v>
      </c>
      <c r="C52" s="495">
        <v>20</v>
      </c>
      <c r="D52" s="496">
        <v>51.44</v>
      </c>
      <c r="E52" s="496">
        <v>0</v>
      </c>
      <c r="F52" s="496">
        <f t="shared" si="3"/>
        <v>1028.8</v>
      </c>
      <c r="G52" s="495"/>
      <c r="H52" s="497"/>
      <c r="I52" s="496"/>
      <c r="J52" s="496"/>
      <c r="K52" s="496"/>
      <c r="L52" s="291"/>
      <c r="M52" s="291"/>
      <c r="O52" s="78">
        <v>0.99</v>
      </c>
      <c r="P52" s="78">
        <f t="shared" si="2"/>
        <v>50.014800000000001</v>
      </c>
      <c r="Q52" s="2"/>
      <c r="T52" s="88" t="s">
        <v>105</v>
      </c>
      <c r="U52" s="124" t="s">
        <v>341</v>
      </c>
      <c r="W52" s="127">
        <v>42760</v>
      </c>
      <c r="X52" s="10">
        <v>49.34</v>
      </c>
      <c r="Y52" s="10">
        <v>49.57</v>
      </c>
      <c r="Z52" s="10">
        <v>48.8</v>
      </c>
      <c r="AA52" s="10">
        <v>49.55</v>
      </c>
      <c r="AB52" s="90">
        <v>15978500</v>
      </c>
      <c r="AC52" s="10">
        <v>49.19</v>
      </c>
      <c r="AD52" s="2">
        <f t="shared" si="0"/>
        <v>0.77000000000000313</v>
      </c>
      <c r="AE52" s="131">
        <f t="shared" si="1"/>
        <v>1.1931701296029606E-2</v>
      </c>
    </row>
    <row r="53" spans="1:31" x14ac:dyDescent="0.25">
      <c r="A53" s="291"/>
      <c r="B53" s="494">
        <v>42755</v>
      </c>
      <c r="C53" s="495">
        <v>40</v>
      </c>
      <c r="D53" s="496">
        <v>49.68</v>
      </c>
      <c r="E53" s="496">
        <v>0</v>
      </c>
      <c r="F53" s="496">
        <f t="shared" si="3"/>
        <v>1987.2</v>
      </c>
      <c r="G53" s="495"/>
      <c r="H53" s="497"/>
      <c r="I53" s="496"/>
      <c r="J53" s="496"/>
      <c r="K53" s="496"/>
      <c r="L53" s="291"/>
      <c r="M53" s="291"/>
      <c r="O53" s="78">
        <v>0.98</v>
      </c>
      <c r="P53" s="78">
        <f t="shared" si="2"/>
        <v>49.509599999999999</v>
      </c>
      <c r="Q53" s="2"/>
      <c r="T53" s="88" t="s">
        <v>106</v>
      </c>
      <c r="U53" s="125">
        <v>10095811</v>
      </c>
      <c r="W53" s="127">
        <v>42759</v>
      </c>
      <c r="X53" s="10">
        <v>50.05</v>
      </c>
      <c r="Y53" s="10">
        <v>50.14</v>
      </c>
      <c r="Z53" s="10">
        <v>48.93</v>
      </c>
      <c r="AA53" s="10">
        <v>48.96</v>
      </c>
      <c r="AB53" s="90">
        <v>17172800</v>
      </c>
      <c r="AC53" s="10">
        <v>48.61</v>
      </c>
      <c r="AD53" s="2">
        <f t="shared" si="0"/>
        <v>1.2100000000000009</v>
      </c>
      <c r="AE53" s="131">
        <f t="shared" si="1"/>
        <v>-2.0749395648670399E-2</v>
      </c>
    </row>
    <row r="54" spans="1:31" x14ac:dyDescent="0.25">
      <c r="A54" s="291"/>
      <c r="B54" s="69">
        <v>42761</v>
      </c>
      <c r="C54" s="4">
        <v>20</v>
      </c>
      <c r="D54" s="3">
        <v>47.1</v>
      </c>
      <c r="E54" s="3">
        <v>0</v>
      </c>
      <c r="F54" s="3">
        <f>C54*D54+E54</f>
        <v>942</v>
      </c>
      <c r="G54" s="69">
        <v>42796</v>
      </c>
      <c r="H54" s="158">
        <v>20</v>
      </c>
      <c r="I54" s="3">
        <v>57.3</v>
      </c>
      <c r="J54" s="3">
        <v>0.02</v>
      </c>
      <c r="K54" s="3">
        <f>H54*I54-J54</f>
        <v>1145.98</v>
      </c>
      <c r="L54" s="291"/>
      <c r="M54" s="291"/>
      <c r="O54" s="78">
        <v>0.97</v>
      </c>
      <c r="P54" s="78">
        <f t="shared" si="2"/>
        <v>49.004400000000004</v>
      </c>
      <c r="T54" s="88" t="s">
        <v>109</v>
      </c>
      <c r="U54" s="125">
        <v>13460800</v>
      </c>
      <c r="W54" s="127">
        <v>42758</v>
      </c>
      <c r="X54" s="10">
        <v>49.53</v>
      </c>
      <c r="Y54" s="10">
        <v>50.31</v>
      </c>
      <c r="Z54" s="10">
        <v>49.15</v>
      </c>
      <c r="AA54" s="10">
        <v>50</v>
      </c>
      <c r="AB54" s="90">
        <v>23886100</v>
      </c>
      <c r="AC54" s="10">
        <v>49.64</v>
      </c>
      <c r="AD54" s="2">
        <f t="shared" si="0"/>
        <v>1.1600000000000037</v>
      </c>
      <c r="AE54" s="131">
        <f t="shared" si="1"/>
        <v>1.5548281505728179E-2</v>
      </c>
    </row>
    <row r="55" spans="1:31" x14ac:dyDescent="0.25">
      <c r="A55" s="291"/>
      <c r="B55" s="291"/>
      <c r="C55" s="291"/>
      <c r="D55" s="292"/>
      <c r="E55" s="292"/>
      <c r="F55" s="292"/>
      <c r="G55" s="291"/>
      <c r="H55" s="295"/>
      <c r="I55" s="292"/>
      <c r="J55" s="292"/>
      <c r="K55" s="292"/>
      <c r="L55" s="291"/>
      <c r="M55" s="291"/>
      <c r="O55" s="78">
        <v>0.96</v>
      </c>
      <c r="P55" s="78">
        <f t="shared" si="2"/>
        <v>48.499200000000002</v>
      </c>
      <c r="T55" s="88" t="s">
        <v>107</v>
      </c>
      <c r="U55" s="124" t="s">
        <v>524</v>
      </c>
      <c r="W55" s="127">
        <v>42755</v>
      </c>
      <c r="X55" s="10">
        <v>55.49</v>
      </c>
      <c r="Y55" s="10">
        <v>55.49</v>
      </c>
      <c r="Z55" s="10">
        <v>48.92</v>
      </c>
      <c r="AA55" s="10">
        <v>49.23</v>
      </c>
      <c r="AB55" s="90">
        <v>77021200</v>
      </c>
      <c r="AC55" s="10">
        <v>48.88</v>
      </c>
      <c r="AD55" s="2">
        <f t="shared" si="0"/>
        <v>6.57</v>
      </c>
      <c r="AE55" s="131">
        <f t="shared" si="1"/>
        <v>-0.1127246324196769</v>
      </c>
    </row>
    <row r="56" spans="1:31" x14ac:dyDescent="0.25">
      <c r="A56" s="291"/>
      <c r="B56" s="291"/>
      <c r="C56" s="291"/>
      <c r="D56" s="292"/>
      <c r="E56" s="292"/>
      <c r="F56" s="292"/>
      <c r="G56" s="291"/>
      <c r="H56" s="295"/>
      <c r="I56" s="292"/>
      <c r="J56" s="292"/>
      <c r="K56" s="292"/>
      <c r="L56" s="291"/>
      <c r="M56" s="291"/>
      <c r="O56" s="78">
        <v>0.95</v>
      </c>
      <c r="P56" s="78">
        <f t="shared" si="2"/>
        <v>47.994</v>
      </c>
      <c r="T56" s="88" t="s">
        <v>110</v>
      </c>
      <c r="U56" s="124">
        <v>20.03</v>
      </c>
      <c r="W56" s="127">
        <v>42754</v>
      </c>
      <c r="X56" s="10">
        <v>56.1</v>
      </c>
      <c r="Y56" s="10">
        <v>56.31</v>
      </c>
      <c r="Z56" s="10">
        <v>55.34</v>
      </c>
      <c r="AA56" s="10">
        <v>55.49</v>
      </c>
      <c r="AB56" s="90">
        <v>7122300</v>
      </c>
      <c r="AC56" s="10">
        <v>55.09</v>
      </c>
      <c r="AD56" s="2">
        <f t="shared" si="0"/>
        <v>0.96999999999999886</v>
      </c>
      <c r="AE56" s="131">
        <f t="shared" si="1"/>
        <v>-1.0418537812106998E-2</v>
      </c>
    </row>
    <row r="57" spans="1:31" x14ac:dyDescent="0.25">
      <c r="A57" s="291"/>
      <c r="B57" s="291"/>
      <c r="C57" s="291"/>
      <c r="D57" s="292"/>
      <c r="E57" s="292"/>
      <c r="F57" s="292"/>
      <c r="G57" s="291"/>
      <c r="H57" s="295"/>
      <c r="I57" s="292"/>
      <c r="J57" s="292"/>
      <c r="K57" s="292"/>
      <c r="L57" s="291"/>
      <c r="M57" s="291"/>
      <c r="O57" s="78">
        <v>0.94</v>
      </c>
      <c r="P57" s="78">
        <f t="shared" si="2"/>
        <v>47.488799999999998</v>
      </c>
      <c r="T57" s="88" t="s">
        <v>111</v>
      </c>
      <c r="U57" s="124">
        <v>2.65</v>
      </c>
      <c r="W57" s="127">
        <v>42753</v>
      </c>
      <c r="X57" s="10">
        <v>56.51</v>
      </c>
      <c r="Y57" s="10">
        <v>56.55</v>
      </c>
      <c r="Z57" s="10">
        <v>55.89</v>
      </c>
      <c r="AA57" s="10">
        <v>56.07</v>
      </c>
      <c r="AB57" s="90">
        <v>6639200</v>
      </c>
      <c r="AC57" s="10">
        <v>55.67</v>
      </c>
      <c r="AD57" s="2">
        <f t="shared" si="0"/>
        <v>0.65999999999999659</v>
      </c>
      <c r="AE57" s="131">
        <f t="shared" si="1"/>
        <v>-3.5797386790763497E-3</v>
      </c>
    </row>
    <row r="58" spans="1:31" x14ac:dyDescent="0.25">
      <c r="A58" s="291"/>
      <c r="B58" s="291"/>
      <c r="C58" s="291"/>
      <c r="D58" s="292"/>
      <c r="E58" s="292"/>
      <c r="F58" s="292"/>
      <c r="G58" s="291"/>
      <c r="H58" s="295"/>
      <c r="I58" s="292"/>
      <c r="J58" s="292"/>
      <c r="K58" s="292"/>
      <c r="L58" s="291"/>
      <c r="M58" s="291"/>
      <c r="O58" s="78">
        <v>0.93</v>
      </c>
      <c r="P58" s="78">
        <f t="shared" si="2"/>
        <v>46.983600000000003</v>
      </c>
      <c r="T58" s="88" t="s">
        <v>108</v>
      </c>
      <c r="U58" s="124" t="s">
        <v>488</v>
      </c>
      <c r="W58" s="127">
        <v>42752</v>
      </c>
      <c r="X58" s="10">
        <v>55.89</v>
      </c>
      <c r="Y58" s="10">
        <v>56.58</v>
      </c>
      <c r="Z58" s="10">
        <v>55.21</v>
      </c>
      <c r="AA58" s="10">
        <v>56.28</v>
      </c>
      <c r="AB58" s="90">
        <v>10416300</v>
      </c>
      <c r="AC58" s="10">
        <v>55.87</v>
      </c>
      <c r="AD58" s="2">
        <f t="shared" si="0"/>
        <v>1.3699999999999974</v>
      </c>
      <c r="AE58" s="131">
        <f t="shared" si="1"/>
        <v>8.9573629523465037E-4</v>
      </c>
    </row>
    <row r="59" spans="1:31" x14ac:dyDescent="0.25">
      <c r="A59" s="291"/>
      <c r="B59" s="291"/>
      <c r="C59" s="291"/>
      <c r="D59" s="292"/>
      <c r="E59" s="292"/>
      <c r="F59" s="292"/>
      <c r="G59" s="291"/>
      <c r="H59" s="295"/>
      <c r="I59" s="292"/>
      <c r="J59" s="292"/>
      <c r="K59" s="292"/>
      <c r="L59" s="291"/>
      <c r="M59" s="291"/>
      <c r="O59" s="78">
        <v>0.92</v>
      </c>
      <c r="P59" s="78">
        <f t="shared" si="2"/>
        <v>46.478400000000008</v>
      </c>
      <c r="W59" s="127">
        <v>42748</v>
      </c>
      <c r="X59" s="10">
        <v>56.56</v>
      </c>
      <c r="Y59" s="10">
        <v>56.73</v>
      </c>
      <c r="Z59" s="10">
        <v>56.05</v>
      </c>
      <c r="AA59" s="10">
        <v>56.22</v>
      </c>
      <c r="AB59" s="90">
        <v>7660200</v>
      </c>
      <c r="AC59" s="10">
        <v>55.82</v>
      </c>
      <c r="AD59" s="2">
        <f t="shared" si="0"/>
        <v>0.67999999999999972</v>
      </c>
      <c r="AE59" s="131">
        <f t="shared" si="1"/>
        <v>-5.7000356252226991E-3</v>
      </c>
    </row>
    <row r="60" spans="1:31" x14ac:dyDescent="0.25">
      <c r="A60" s="291"/>
      <c r="B60" s="291"/>
      <c r="C60" s="291"/>
      <c r="D60" s="292"/>
      <c r="E60" s="292"/>
      <c r="F60" s="292"/>
      <c r="G60" s="291"/>
      <c r="H60" s="295"/>
      <c r="I60" s="292"/>
      <c r="J60" s="292"/>
      <c r="K60" s="292"/>
      <c r="L60" s="291"/>
      <c r="M60" s="291"/>
      <c r="O60" s="78">
        <v>0.91</v>
      </c>
      <c r="P60" s="78">
        <f t="shared" si="2"/>
        <v>45.973200000000006</v>
      </c>
      <c r="W60" s="127">
        <v>42747</v>
      </c>
      <c r="X60" s="10">
        <v>56.5</v>
      </c>
      <c r="Y60" s="10">
        <v>56.78</v>
      </c>
      <c r="Z60" s="10">
        <v>56.02</v>
      </c>
      <c r="AA60" s="10">
        <v>56.55</v>
      </c>
      <c r="AB60" s="90">
        <v>9977900</v>
      </c>
      <c r="AC60" s="10">
        <v>56.14</v>
      </c>
      <c r="AD60" s="2">
        <f t="shared" si="0"/>
        <v>0.75999999999999801</v>
      </c>
      <c r="AE60" s="131">
        <f t="shared" si="1"/>
        <v>-4.4334101791098091E-3</v>
      </c>
    </row>
    <row r="61" spans="1:31" x14ac:dyDescent="0.25">
      <c r="A61" s="291"/>
      <c r="B61" s="291"/>
      <c r="C61" s="291"/>
      <c r="D61" s="292"/>
      <c r="E61" s="292"/>
      <c r="F61" s="292"/>
      <c r="G61" s="291"/>
      <c r="H61" s="295"/>
      <c r="I61" s="292"/>
      <c r="J61" s="292"/>
      <c r="K61" s="292"/>
      <c r="L61" s="291"/>
      <c r="M61" s="291"/>
      <c r="O61" s="78">
        <v>0.9</v>
      </c>
      <c r="P61" s="78">
        <f t="shared" si="2"/>
        <v>45.468000000000004</v>
      </c>
      <c r="W61" s="127">
        <v>42746</v>
      </c>
      <c r="X61" s="10">
        <v>58.12</v>
      </c>
      <c r="Y61" s="10">
        <v>58.87</v>
      </c>
      <c r="Z61" s="10">
        <v>56.53</v>
      </c>
      <c r="AA61" s="10">
        <v>56.8</v>
      </c>
      <c r="AB61" s="90">
        <v>20497900</v>
      </c>
      <c r="AC61" s="10">
        <v>56.39</v>
      </c>
      <c r="AD61" s="2">
        <f t="shared" si="0"/>
        <v>2.3399999999999963</v>
      </c>
      <c r="AE61" s="131">
        <f t="shared" si="1"/>
        <v>-5.3064651553316522E-2</v>
      </c>
    </row>
    <row r="62" spans="1:31" x14ac:dyDescent="0.25">
      <c r="A62" s="291"/>
      <c r="B62" s="291"/>
      <c r="C62" s="291"/>
      <c r="D62" s="292"/>
      <c r="E62" s="292"/>
      <c r="F62" s="292"/>
      <c r="G62" s="291"/>
      <c r="H62" s="295"/>
      <c r="I62" s="292"/>
      <c r="J62" s="292"/>
      <c r="K62" s="292"/>
      <c r="L62" s="291"/>
      <c r="M62" s="291"/>
      <c r="W62" s="127">
        <v>42745</v>
      </c>
      <c r="X62" s="10">
        <v>59.78</v>
      </c>
      <c r="Y62" s="10">
        <v>60.45</v>
      </c>
      <c r="Z62" s="10">
        <v>59.72</v>
      </c>
      <c r="AA62" s="10">
        <v>59.98</v>
      </c>
      <c r="AB62" s="90">
        <v>6103700</v>
      </c>
      <c r="AC62" s="10">
        <v>59.55</v>
      </c>
      <c r="AD62" s="2">
        <f t="shared" si="0"/>
        <v>0.73000000000000398</v>
      </c>
      <c r="AE62" s="131">
        <f t="shared" si="1"/>
        <v>4.2158516020236458E-3</v>
      </c>
    </row>
    <row r="63" spans="1:31" x14ac:dyDescent="0.25">
      <c r="A63" s="291"/>
      <c r="B63" s="291"/>
      <c r="C63" s="291"/>
      <c r="D63" s="292"/>
      <c r="E63" s="292"/>
      <c r="F63" s="292"/>
      <c r="G63" s="291"/>
      <c r="H63" s="291"/>
      <c r="I63" s="292"/>
      <c r="J63" s="292"/>
      <c r="K63" s="292"/>
      <c r="L63" s="291"/>
      <c r="M63" s="291"/>
      <c r="W63" s="127">
        <v>42744</v>
      </c>
      <c r="X63" s="10">
        <v>59.75</v>
      </c>
      <c r="Y63" s="10">
        <v>59.92</v>
      </c>
      <c r="Z63" s="10">
        <v>59.65</v>
      </c>
      <c r="AA63" s="10">
        <v>59.73</v>
      </c>
      <c r="AB63" s="90">
        <v>5256500</v>
      </c>
      <c r="AC63" s="10">
        <v>59.3</v>
      </c>
      <c r="AD63" s="2">
        <f t="shared" si="0"/>
        <v>0.27000000000000313</v>
      </c>
      <c r="AE63" s="131">
        <f t="shared" si="1"/>
        <v>-3.6962365591398649E-3</v>
      </c>
    </row>
    <row r="64" spans="1:31" x14ac:dyDescent="0.25">
      <c r="A64" s="21" t="s">
        <v>81</v>
      </c>
      <c r="B64" s="12"/>
      <c r="C64" s="12">
        <f>SUM(C48:C63)</f>
        <v>170</v>
      </c>
      <c r="D64" s="13"/>
      <c r="E64" s="13"/>
      <c r="F64" s="13">
        <f>SUM(F48:F63)</f>
        <v>8544.7999999999993</v>
      </c>
      <c r="G64" s="12"/>
      <c r="H64" s="72">
        <f>SUM(H48:H63)</f>
        <v>170</v>
      </c>
      <c r="I64" s="13"/>
      <c r="J64" s="13"/>
      <c r="K64" s="13">
        <f>SUM(K48:K63)</f>
        <v>9447.7999999999993</v>
      </c>
      <c r="L64" s="12"/>
      <c r="M64" s="13">
        <f>SUM(M48:M56)</f>
        <v>7.8</v>
      </c>
      <c r="W64" s="127">
        <v>42741</v>
      </c>
      <c r="X64" s="10">
        <v>60.04</v>
      </c>
      <c r="Y64" s="10">
        <v>60.33</v>
      </c>
      <c r="Z64" s="10">
        <v>58.85</v>
      </c>
      <c r="AA64" s="10">
        <v>59.95</v>
      </c>
      <c r="AB64" s="90">
        <v>10104600</v>
      </c>
      <c r="AC64" s="10">
        <v>59.52</v>
      </c>
      <c r="AD64" s="2">
        <f t="shared" si="0"/>
        <v>1.4799999999999969</v>
      </c>
      <c r="AE64" s="131">
        <f t="shared" si="1"/>
        <v>-3.0150753768843908E-3</v>
      </c>
    </row>
    <row r="65" spans="1:31" ht="15.75" thickBot="1" x14ac:dyDescent="0.3">
      <c r="A65" s="370" t="s">
        <v>189</v>
      </c>
      <c r="B65" s="371"/>
      <c r="C65" s="372">
        <f>SumByColor($A$19,C48:C63)</f>
        <v>0</v>
      </c>
      <c r="D65" s="372"/>
      <c r="E65" s="372"/>
      <c r="F65" s="373">
        <f>SumByColor($A$19,F48:F63)</f>
        <v>0</v>
      </c>
      <c r="G65" s="372"/>
      <c r="H65" s="372">
        <f>SumByColor($A$19,H48:H63)</f>
        <v>0</v>
      </c>
      <c r="I65" s="372"/>
      <c r="J65" s="372"/>
      <c r="K65" s="373">
        <f>SumByColor($A$19,K48:K63)</f>
        <v>0</v>
      </c>
      <c r="L65" s="372"/>
      <c r="M65" s="373">
        <f>SumByColor($A$19,M48:M63)</f>
        <v>0</v>
      </c>
      <c r="W65" s="127">
        <v>42740</v>
      </c>
      <c r="X65" s="10">
        <v>59.39</v>
      </c>
      <c r="Y65" s="10">
        <v>60.42</v>
      </c>
      <c r="Z65" s="10">
        <v>59.31</v>
      </c>
      <c r="AA65" s="10">
        <v>60.13</v>
      </c>
      <c r="AB65" s="90">
        <v>8422300</v>
      </c>
      <c r="AC65" s="10">
        <v>59.7</v>
      </c>
      <c r="AD65" s="2">
        <f t="shared" si="0"/>
        <v>1.1099999999999994</v>
      </c>
      <c r="AE65" s="131">
        <f t="shared" si="1"/>
        <v>1.6862544711292893E-2</v>
      </c>
    </row>
    <row r="66" spans="1:31" x14ac:dyDescent="0.25">
      <c r="W66" s="127">
        <v>42739</v>
      </c>
      <c r="X66" s="10">
        <v>59.46</v>
      </c>
      <c r="Y66" s="10">
        <v>59.75</v>
      </c>
      <c r="Z66" s="10">
        <v>59.03</v>
      </c>
      <c r="AA66" s="10">
        <v>59.14</v>
      </c>
      <c r="AB66" s="90">
        <v>6703400</v>
      </c>
      <c r="AC66" s="10">
        <v>58.71</v>
      </c>
      <c r="AD66" s="2">
        <f t="shared" si="0"/>
        <v>0.71999999999999886</v>
      </c>
      <c r="AE66" s="131" t="e">
        <f t="shared" si="1"/>
        <v>#DIV/0!</v>
      </c>
    </row>
    <row r="67" spans="1:31" x14ac:dyDescent="0.25">
      <c r="W67" s="127">
        <v>42739</v>
      </c>
      <c r="X67" s="10" t="s">
        <v>309</v>
      </c>
      <c r="Y67" s="10"/>
      <c r="Z67" s="10"/>
      <c r="AA67" s="10"/>
      <c r="AB67" s="90"/>
      <c r="AC67" s="10"/>
      <c r="AD67" s="2">
        <f>Y67-Z67</f>
        <v>0</v>
      </c>
      <c r="AE67" s="131" t="e">
        <f>AC67/#REF!-1</f>
        <v>#REF!</v>
      </c>
    </row>
    <row r="68" spans="1:31" x14ac:dyDescent="0.25">
      <c r="W68" s="127">
        <v>42738</v>
      </c>
      <c r="X68" s="10">
        <v>58.78</v>
      </c>
      <c r="Y68" s="10">
        <v>59.68</v>
      </c>
      <c r="Z68" s="10">
        <v>58.58</v>
      </c>
      <c r="AA68" s="10">
        <v>59.45</v>
      </c>
      <c r="AB68" s="90">
        <v>10061700</v>
      </c>
      <c r="AC68" s="10">
        <v>58.63</v>
      </c>
      <c r="AD68" s="2" t="e">
        <f>#REF!-#REF!</f>
        <v>#REF!</v>
      </c>
      <c r="AE68" s="131" t="e">
        <f>#REF!/AC71-1</f>
        <v>#REF!</v>
      </c>
    </row>
    <row r="69" spans="1:31" x14ac:dyDescent="0.25">
      <c r="W69" s="127">
        <v>42734</v>
      </c>
      <c r="X69" s="10">
        <v>58.86</v>
      </c>
      <c r="Y69" s="10">
        <v>58.96</v>
      </c>
      <c r="Z69" s="10">
        <v>58.21</v>
      </c>
      <c r="AA69" s="10">
        <v>58.44</v>
      </c>
      <c r="AB69" s="90">
        <v>7008900</v>
      </c>
      <c r="AC69" s="10">
        <v>57.64</v>
      </c>
      <c r="AD69" s="2">
        <f>Y71-Z71</f>
        <v>0</v>
      </c>
      <c r="AE69" s="131" t="e">
        <f>AC71/AC72-1</f>
        <v>#DIV/0!</v>
      </c>
    </row>
    <row r="70" spans="1:31" x14ac:dyDescent="0.25">
      <c r="B70" s="159" t="s">
        <v>113</v>
      </c>
      <c r="C70" s="159" t="s">
        <v>143</v>
      </c>
      <c r="D70" s="160" t="s">
        <v>142</v>
      </c>
      <c r="E70" s="162" t="s">
        <v>144</v>
      </c>
      <c r="F70" s="162" t="s">
        <v>65</v>
      </c>
      <c r="G70" s="173" t="s">
        <v>148</v>
      </c>
      <c r="H70" s="173" t="s">
        <v>88</v>
      </c>
      <c r="I70" s="173" t="s">
        <v>151</v>
      </c>
      <c r="W70" s="127" t="s">
        <v>120</v>
      </c>
      <c r="X70" s="10"/>
      <c r="Y70" s="10"/>
      <c r="Z70" s="10"/>
      <c r="AA70" s="10"/>
      <c r="AB70" s="90"/>
      <c r="AC70" s="10"/>
    </row>
    <row r="71" spans="1:31" x14ac:dyDescent="0.25">
      <c r="A71" s="379" t="s">
        <v>315</v>
      </c>
      <c r="B71" s="378">
        <v>42754</v>
      </c>
      <c r="C71" s="379">
        <v>20</v>
      </c>
      <c r="D71" s="498">
        <v>55.06</v>
      </c>
      <c r="E71" s="380">
        <v>55.49</v>
      </c>
      <c r="F71" s="380">
        <f t="shared" ref="F71:F78" si="4">C71*(E71-D71)</f>
        <v>8.5999999999999943</v>
      </c>
      <c r="G71" s="380">
        <f t="shared" ref="G71:G78" si="5">D71*C71</f>
        <v>1101.2</v>
      </c>
      <c r="H71" s="499">
        <f t="shared" ref="H71:H78" si="6">(E71-D71)/D71</f>
        <v>7.8096621867054065E-3</v>
      </c>
      <c r="I71" s="380"/>
      <c r="W71" s="127"/>
      <c r="X71" s="10"/>
      <c r="Y71" s="10"/>
      <c r="Z71" s="10"/>
      <c r="AA71" s="10"/>
      <c r="AB71" s="90"/>
      <c r="AC71" s="10"/>
    </row>
    <row r="72" spans="1:31" x14ac:dyDescent="0.25">
      <c r="A72" s="379" t="s">
        <v>325</v>
      </c>
      <c r="B72" s="378">
        <v>42755</v>
      </c>
      <c r="C72" s="379">
        <v>100</v>
      </c>
      <c r="D72" s="498">
        <v>51.438000000000002</v>
      </c>
      <c r="E72" s="380">
        <v>49.23</v>
      </c>
      <c r="F72" s="380">
        <f t="shared" si="4"/>
        <v>-220.80000000000055</v>
      </c>
      <c r="G72" s="380">
        <f t="shared" si="5"/>
        <v>5143.8</v>
      </c>
      <c r="H72" s="499">
        <f t="shared" si="6"/>
        <v>-4.2925463664994855E-2</v>
      </c>
      <c r="I72" s="380">
        <v>50</v>
      </c>
    </row>
    <row r="73" spans="1:31" x14ac:dyDescent="0.25">
      <c r="A73" s="379" t="s">
        <v>338</v>
      </c>
      <c r="B73" s="378">
        <v>42761</v>
      </c>
      <c r="C73" s="379">
        <v>120</v>
      </c>
      <c r="D73" s="498">
        <v>50.715000000000003</v>
      </c>
      <c r="E73" s="380">
        <v>46.82</v>
      </c>
      <c r="F73" s="380">
        <f t="shared" si="4"/>
        <v>-467.40000000000038</v>
      </c>
      <c r="G73" s="380">
        <f t="shared" si="5"/>
        <v>6085.8</v>
      </c>
      <c r="H73" s="499">
        <f t="shared" si="6"/>
        <v>-7.680173518682841E-2</v>
      </c>
      <c r="I73" s="380"/>
    </row>
    <row r="74" spans="1:31" x14ac:dyDescent="0.25">
      <c r="A74" s="379" t="s">
        <v>338</v>
      </c>
      <c r="B74" s="378">
        <v>42764</v>
      </c>
      <c r="C74" s="379">
        <v>120</v>
      </c>
      <c r="D74" s="498">
        <v>50.715000000000003</v>
      </c>
      <c r="E74" s="380">
        <v>47.74</v>
      </c>
      <c r="F74" s="380">
        <f t="shared" si="4"/>
        <v>-357.00000000000017</v>
      </c>
      <c r="G74" s="380">
        <f t="shared" si="5"/>
        <v>6085.8</v>
      </c>
      <c r="H74" s="499">
        <f t="shared" si="6"/>
        <v>-5.866114561766738E-2</v>
      </c>
      <c r="I74" s="380"/>
    </row>
    <row r="75" spans="1:31" x14ac:dyDescent="0.25">
      <c r="A75" s="379" t="s">
        <v>359</v>
      </c>
      <c r="B75" s="378">
        <v>42768</v>
      </c>
      <c r="C75" s="379">
        <v>120</v>
      </c>
      <c r="D75" s="498">
        <v>50.65</v>
      </c>
      <c r="E75" s="380">
        <v>50.5</v>
      </c>
      <c r="F75" s="380">
        <f t="shared" si="4"/>
        <v>-17.999999999999829</v>
      </c>
      <c r="G75" s="380">
        <f t="shared" si="5"/>
        <v>6078</v>
      </c>
      <c r="H75" s="499">
        <f t="shared" si="6"/>
        <v>-2.9615004935833874E-3</v>
      </c>
      <c r="I75" s="380"/>
    </row>
    <row r="76" spans="1:31" x14ac:dyDescent="0.25">
      <c r="A76" s="379" t="s">
        <v>385</v>
      </c>
      <c r="B76" s="378">
        <v>42780</v>
      </c>
      <c r="C76" s="379">
        <v>100</v>
      </c>
      <c r="D76" s="498">
        <v>50.284199999999998</v>
      </c>
      <c r="E76" s="380">
        <v>53.71</v>
      </c>
      <c r="F76" s="380">
        <f t="shared" si="4"/>
        <v>342.58000000000027</v>
      </c>
      <c r="G76" s="380">
        <f t="shared" si="5"/>
        <v>5028.42</v>
      </c>
      <c r="H76" s="499">
        <f t="shared" si="6"/>
        <v>6.8128756150043199E-2</v>
      </c>
      <c r="I76" s="380">
        <v>50</v>
      </c>
    </row>
    <row r="77" spans="1:31" x14ac:dyDescent="0.25">
      <c r="A77" s="543" t="s">
        <v>400</v>
      </c>
      <c r="B77" s="542">
        <v>42787</v>
      </c>
      <c r="C77" s="543">
        <v>20</v>
      </c>
      <c r="D77" s="544">
        <v>47.1</v>
      </c>
      <c r="E77" s="541">
        <v>54.78</v>
      </c>
      <c r="F77" s="541">
        <f t="shared" si="4"/>
        <v>153.6</v>
      </c>
      <c r="G77" s="541">
        <f t="shared" si="5"/>
        <v>942</v>
      </c>
      <c r="H77" s="545">
        <f t="shared" si="6"/>
        <v>0.16305732484076432</v>
      </c>
      <c r="I77" s="541"/>
    </row>
    <row r="78" spans="1:31" x14ac:dyDescent="0.25">
      <c r="A78" s="543" t="s">
        <v>415</v>
      </c>
      <c r="B78" s="542">
        <v>42792</v>
      </c>
      <c r="C78" s="543">
        <v>20</v>
      </c>
      <c r="D78" s="544">
        <v>47.1</v>
      </c>
      <c r="E78" s="541">
        <v>54.78</v>
      </c>
      <c r="F78" s="541">
        <f t="shared" si="4"/>
        <v>153.6</v>
      </c>
      <c r="G78" s="541">
        <f t="shared" si="5"/>
        <v>942</v>
      </c>
      <c r="H78" s="545">
        <f t="shared" si="6"/>
        <v>0.16305732484076432</v>
      </c>
      <c r="I78" s="541"/>
    </row>
    <row r="79" spans="1:31" x14ac:dyDescent="0.25">
      <c r="A79" s="543"/>
      <c r="B79" s="542">
        <v>42796</v>
      </c>
      <c r="C79" s="543">
        <v>0</v>
      </c>
      <c r="D79" s="544"/>
      <c r="E79" s="541"/>
      <c r="F79" s="541">
        <v>203.98</v>
      </c>
      <c r="G79" s="541"/>
      <c r="H79" s="545"/>
      <c r="I79" s="546"/>
    </row>
    <row r="80" spans="1:31" x14ac:dyDescent="0.25">
      <c r="B80" s="161"/>
      <c r="C80" s="10"/>
      <c r="D80" s="493"/>
      <c r="E80" s="39"/>
      <c r="F80" s="39"/>
      <c r="G80" s="39"/>
      <c r="H80" s="175"/>
      <c r="I80" s="39"/>
    </row>
    <row r="81" spans="2:9" x14ac:dyDescent="0.25">
      <c r="B81" s="161"/>
      <c r="C81" s="10"/>
      <c r="D81" s="493"/>
      <c r="E81" s="39"/>
      <c r="F81" s="39"/>
      <c r="G81" s="39"/>
      <c r="H81" s="175"/>
      <c r="I81" s="39"/>
    </row>
    <row r="82" spans="2:9" x14ac:dyDescent="0.25">
      <c r="B82" s="161"/>
      <c r="C82" s="10"/>
      <c r="D82" s="39"/>
      <c r="E82" s="39"/>
      <c r="F82" s="39"/>
      <c r="G82" s="39"/>
      <c r="H82" s="175"/>
      <c r="I82" s="39"/>
    </row>
    <row r="83" spans="2:9" x14ac:dyDescent="0.25">
      <c r="B83" s="161"/>
      <c r="C83" s="10"/>
      <c r="D83" s="39"/>
      <c r="E83" s="39"/>
      <c r="F83" s="39"/>
      <c r="G83" s="39"/>
      <c r="H83" s="175"/>
      <c r="I83" s="39"/>
    </row>
    <row r="84" spans="2:9" x14ac:dyDescent="0.25">
      <c r="B84" s="161"/>
      <c r="C84" s="10"/>
      <c r="D84" s="39"/>
      <c r="E84" s="39"/>
      <c r="F84" s="39"/>
      <c r="G84" s="39"/>
      <c r="H84" s="175"/>
      <c r="I84" s="39"/>
    </row>
    <row r="85" spans="2:9" x14ac:dyDescent="0.25">
      <c r="B85" s="161"/>
      <c r="C85" s="10"/>
      <c r="D85" s="39"/>
      <c r="E85" s="39"/>
      <c r="F85" s="39"/>
      <c r="G85" s="39"/>
      <c r="H85" s="175"/>
      <c r="I85" s="39"/>
    </row>
    <row r="86" spans="2:9" x14ac:dyDescent="0.25">
      <c r="B86" s="161"/>
      <c r="C86" s="10"/>
      <c r="D86" s="39"/>
      <c r="E86" s="39"/>
      <c r="F86" s="39"/>
      <c r="G86" s="39"/>
      <c r="H86" s="175"/>
      <c r="I86" s="39"/>
    </row>
    <row r="87" spans="2:9" x14ac:dyDescent="0.25">
      <c r="B87" s="161"/>
      <c r="C87" s="10"/>
      <c r="D87" s="39"/>
      <c r="E87" s="39"/>
      <c r="F87" s="39"/>
      <c r="G87" s="39"/>
      <c r="H87" s="175"/>
      <c r="I87" s="39"/>
    </row>
    <row r="88" spans="2:9" x14ac:dyDescent="0.25">
      <c r="B88" s="161"/>
      <c r="C88" s="10"/>
      <c r="D88" s="39"/>
      <c r="E88" s="39"/>
      <c r="F88" s="39"/>
      <c r="G88" s="39"/>
      <c r="H88" s="175"/>
      <c r="I88" s="39"/>
    </row>
    <row r="208" spans="21:21" x14ac:dyDescent="0.25">
      <c r="U208" s="179"/>
    </row>
    <row r="209" spans="21:21" x14ac:dyDescent="0.25">
      <c r="U209" s="179"/>
    </row>
    <row r="281" spans="21:21" x14ac:dyDescent="0.25">
      <c r="U281" s="216"/>
    </row>
  </sheetData>
  <mergeCells count="1">
    <mergeCell ref="O40:P40"/>
  </mergeCells>
  <conditionalFormatting sqref="O41:O61">
    <cfRule type="colorScale" priority="34">
      <colorScale>
        <cfvo type="min"/>
        <cfvo type="percentile" val="50"/>
        <cfvo type="max"/>
        <color rgb="FFF8696B"/>
        <color rgb="FFFFEB84"/>
        <color rgb="FF63BE7B"/>
      </colorScale>
    </cfRule>
  </conditionalFormatting>
  <conditionalFormatting sqref="P41:P61">
    <cfRule type="colorScale" priority="33">
      <colorScale>
        <cfvo type="min"/>
        <cfvo type="percentile" val="50"/>
        <cfvo type="max"/>
        <color rgb="FFF8696B"/>
        <color rgb="FFFFEB84"/>
        <color rgb="FF63BE7B"/>
      </colorScale>
    </cfRule>
  </conditionalFormatting>
  <conditionalFormatting sqref="AD1:AD69">
    <cfRule type="dataBar" priority="32">
      <dataBar>
        <cfvo type="min"/>
        <cfvo type="max"/>
        <color rgb="FFFF555A"/>
      </dataBar>
      <extLst>
        <ext xmlns:x14="http://schemas.microsoft.com/office/spreadsheetml/2009/9/main" uri="{B025F937-C7B1-47D3-B67F-A62EFF666E3E}">
          <x14:id>{026227B1-848C-4D2C-90C1-BDAE7FBC6036}</x14:id>
        </ext>
      </extLst>
    </cfRule>
  </conditionalFormatting>
  <conditionalFormatting sqref="AE1:AE69">
    <cfRule type="iconSet" priority="31">
      <iconSet iconSet="3Arrows">
        <cfvo type="percent" val="0"/>
        <cfvo type="num" val="0"/>
        <cfvo type="num" val="0"/>
      </iconSet>
    </cfRule>
  </conditionalFormatting>
  <conditionalFormatting sqref="F25:F42 H25:H42">
    <cfRule type="expression" dxfId="3911" priority="29">
      <formula>F25&gt;0</formula>
    </cfRule>
    <cfRule type="expression" dxfId="3910" priority="30">
      <formula>F25&lt;0</formula>
    </cfRule>
  </conditionalFormatting>
  <conditionalFormatting sqref="Q7">
    <cfRule type="expression" dxfId="3909" priority="27">
      <formula>Q7&gt;0</formula>
    </cfRule>
    <cfRule type="expression" dxfId="3908" priority="28">
      <formula>Q7&lt;0</formula>
    </cfRule>
  </conditionalFormatting>
  <conditionalFormatting sqref="Q8">
    <cfRule type="expression" dxfId="3907" priority="25">
      <formula>Q8&gt;0</formula>
    </cfRule>
    <cfRule type="expression" dxfId="3906" priority="26">
      <formula>Q8&lt;0</formula>
    </cfRule>
  </conditionalFormatting>
  <conditionalFormatting sqref="Q10">
    <cfRule type="expression" dxfId="3905" priority="13">
      <formula>Q10&gt;0</formula>
    </cfRule>
    <cfRule type="expression" dxfId="3904" priority="14">
      <formula>Q10&lt;0</formula>
    </cfRule>
  </conditionalFormatting>
  <conditionalFormatting sqref="M46">
    <cfRule type="expression" dxfId="3903" priority="11">
      <formula>M46&gt;0</formula>
    </cfRule>
    <cfRule type="expression" dxfId="3902" priority="12">
      <formula>M46&lt;0</formula>
    </cfRule>
  </conditionalFormatting>
  <conditionalFormatting sqref="F80:F88 H80:H88">
    <cfRule type="expression" dxfId="3901" priority="9">
      <formula>F80&gt;0</formula>
    </cfRule>
    <cfRule type="expression" dxfId="3900" priority="10">
      <formula>F80&lt;0</formula>
    </cfRule>
  </conditionalFormatting>
  <conditionalFormatting sqref="F75:F79">
    <cfRule type="expression" dxfId="3899" priority="7">
      <formula>F75&gt;0</formula>
    </cfRule>
    <cfRule type="expression" dxfId="3898" priority="8">
      <formula>F75&lt;0</formula>
    </cfRule>
  </conditionalFormatting>
  <conditionalFormatting sqref="H75:H79">
    <cfRule type="expression" dxfId="3897" priority="5">
      <formula>H75&gt;0</formula>
    </cfRule>
    <cfRule type="expression" dxfId="3896" priority="6">
      <formula>H75&lt;0</formula>
    </cfRule>
  </conditionalFormatting>
  <conditionalFormatting sqref="F71:F74">
    <cfRule type="expression" dxfId="3895" priority="3">
      <formula>F71&gt;0</formula>
    </cfRule>
    <cfRule type="expression" dxfId="3894" priority="4">
      <formula>F71&lt;0</formula>
    </cfRule>
  </conditionalFormatting>
  <conditionalFormatting sqref="H71:H74">
    <cfRule type="expression" dxfId="3893" priority="1">
      <formula>H71&gt;0</formula>
    </cfRule>
    <cfRule type="expression" dxfId="3892" priority="2">
      <formula>H71&lt;0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26227B1-848C-4D2C-90C1-BDAE7FBC603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6"/>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9.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c r="X1" s="88"/>
      <c r="Y1" s="88"/>
      <c r="Z1" s="88"/>
      <c r="AA1" s="88"/>
      <c r="AB1" s="88"/>
      <c r="AC1" s="88"/>
    </row>
    <row r="2" spans="1:31" x14ac:dyDescent="0.25">
      <c r="A2" s="6" t="s">
        <v>624</v>
      </c>
      <c r="B2" s="69"/>
      <c r="C2" s="4"/>
      <c r="D2" s="3"/>
      <c r="E2" s="3"/>
      <c r="F2" s="3"/>
      <c r="G2" s="69"/>
      <c r="H2" s="4"/>
      <c r="I2" s="3"/>
      <c r="J2" s="3"/>
      <c r="K2" s="3"/>
      <c r="L2" s="69"/>
      <c r="M2" s="3"/>
      <c r="O2" s="11" t="s">
        <v>57</v>
      </c>
      <c r="Q2">
        <f>C18-H18</f>
        <v>0</v>
      </c>
      <c r="T2" s="1"/>
      <c r="W2" s="127"/>
      <c r="X2" s="10"/>
      <c r="Y2" s="10"/>
      <c r="Z2" s="10"/>
      <c r="AA2" s="10"/>
      <c r="AB2" s="90"/>
      <c r="AC2" s="10"/>
      <c r="AD2" s="2"/>
      <c r="AE2" s="131"/>
    </row>
    <row r="3" spans="1:31" x14ac:dyDescent="0.25">
      <c r="A3" s="22" t="s">
        <v>71</v>
      </c>
      <c r="B3" s="69"/>
      <c r="C3" s="4"/>
      <c r="D3" s="3"/>
      <c r="E3" s="3"/>
      <c r="F3" s="3"/>
      <c r="G3" s="69"/>
      <c r="H3" s="158"/>
      <c r="I3" s="3"/>
      <c r="J3" s="3"/>
      <c r="K3" s="3"/>
      <c r="L3" s="69"/>
      <c r="M3" s="3"/>
      <c r="O3" s="11" t="s">
        <v>58</v>
      </c>
      <c r="Q3" s="174">
        <f>IF(Q2=0, Q4, (F18-K18-M18)/Q2)</f>
        <v>17.440000000000001</v>
      </c>
      <c r="T3" s="1"/>
      <c r="W3" s="127"/>
      <c r="X3" s="10"/>
      <c r="Y3" s="10"/>
      <c r="Z3" s="10"/>
      <c r="AA3" s="10"/>
      <c r="AB3" s="90"/>
      <c r="AC3" s="10"/>
      <c r="AD3" s="2"/>
      <c r="AE3" s="131"/>
    </row>
    <row r="4" spans="1:31" x14ac:dyDescent="0.25">
      <c r="B4" s="69"/>
      <c r="C4" s="4"/>
      <c r="D4" s="3"/>
      <c r="E4" s="3"/>
      <c r="F4" s="3"/>
      <c r="G4" s="69"/>
      <c r="H4" s="158"/>
      <c r="I4" s="3"/>
      <c r="J4" s="3"/>
      <c r="K4" s="3"/>
      <c r="L4" s="4"/>
      <c r="M4" s="4"/>
      <c r="O4" s="11" t="s">
        <v>66</v>
      </c>
      <c r="Q4" s="53">
        <v>17.440000000000001</v>
      </c>
      <c r="R4" s="416">
        <v>5.4999999999999997E-3</v>
      </c>
      <c r="T4" s="153"/>
      <c r="U4" s="1"/>
      <c r="W4" s="127"/>
      <c r="X4" s="10"/>
      <c r="Y4" s="10"/>
      <c r="Z4" s="10"/>
      <c r="AA4" s="10"/>
      <c r="AB4" s="90"/>
      <c r="AC4" s="10"/>
      <c r="AD4" s="2"/>
      <c r="AE4" s="131"/>
    </row>
    <row r="5" spans="1:31" x14ac:dyDescent="0.25">
      <c r="B5" s="69"/>
      <c r="C5" s="4"/>
      <c r="D5" s="3"/>
      <c r="E5" s="3"/>
      <c r="F5" s="3"/>
      <c r="G5" s="4"/>
      <c r="H5" s="158"/>
      <c r="I5" s="3"/>
      <c r="J5" s="3"/>
      <c r="K5" s="3"/>
      <c r="L5" s="4"/>
      <c r="M5" s="4"/>
      <c r="O5" s="11" t="s">
        <v>67</v>
      </c>
      <c r="Q5" s="3">
        <f>Q4*Q2</f>
        <v>0</v>
      </c>
      <c r="W5" s="127"/>
      <c r="X5" s="10"/>
      <c r="Y5" s="10"/>
      <c r="Z5" s="10"/>
      <c r="AA5" s="10"/>
      <c r="AB5" s="90"/>
      <c r="AC5" s="10"/>
      <c r="AD5" s="2"/>
      <c r="AE5" s="131"/>
    </row>
    <row r="6" spans="1:31" x14ac:dyDescent="0.25">
      <c r="B6" s="69"/>
      <c r="C6" s="4"/>
      <c r="D6" s="3"/>
      <c r="E6" s="3"/>
      <c r="F6" s="3"/>
      <c r="G6" s="4"/>
      <c r="H6" s="158"/>
      <c r="I6" s="3"/>
      <c r="J6" s="3"/>
      <c r="K6" s="3"/>
      <c r="L6" s="4"/>
      <c r="M6" s="4"/>
      <c r="O6" s="11" t="s">
        <v>64</v>
      </c>
      <c r="Q6" s="2">
        <f>Q3*Q2</f>
        <v>0</v>
      </c>
      <c r="W6" s="127"/>
      <c r="X6" s="10"/>
      <c r="Y6" s="10"/>
      <c r="Z6" s="10"/>
      <c r="AA6" s="10"/>
      <c r="AB6" s="90"/>
      <c r="AC6" s="10"/>
      <c r="AD6" s="2"/>
      <c r="AE6" s="131"/>
    </row>
    <row r="7" spans="1:31" x14ac:dyDescent="0.25">
      <c r="B7" s="4"/>
      <c r="C7" s="4"/>
      <c r="D7" s="3"/>
      <c r="E7" s="3"/>
      <c r="F7" s="3"/>
      <c r="G7" s="4"/>
      <c r="H7" s="158"/>
      <c r="I7" s="3"/>
      <c r="J7" s="3"/>
      <c r="K7" s="3"/>
      <c r="L7" s="4"/>
      <c r="M7" s="4"/>
      <c r="O7" s="11" t="s">
        <v>175</v>
      </c>
      <c r="Q7" s="2">
        <f>Q10+Q8</f>
        <v>557.94000000000005</v>
      </c>
      <c r="R7">
        <v>0</v>
      </c>
      <c r="W7" s="127"/>
      <c r="X7" s="10"/>
      <c r="Y7" s="10"/>
      <c r="Z7" s="10"/>
      <c r="AA7" s="10"/>
      <c r="AB7" s="90"/>
      <c r="AC7" s="10"/>
      <c r="AD7" s="2"/>
      <c r="AE7" s="131"/>
    </row>
    <row r="8" spans="1:31" x14ac:dyDescent="0.25">
      <c r="B8" s="4"/>
      <c r="C8" s="4"/>
      <c r="D8" s="3"/>
      <c r="E8" s="3"/>
      <c r="F8" s="3"/>
      <c r="G8" s="4"/>
      <c r="H8" s="158"/>
      <c r="I8" s="3"/>
      <c r="J8" s="3"/>
      <c r="K8" s="3"/>
      <c r="L8" s="4"/>
      <c r="M8" s="4"/>
      <c r="O8" s="11" t="s">
        <v>177</v>
      </c>
      <c r="P8" s="33"/>
      <c r="Q8" s="2">
        <f>K18+M18-F18+Q2*Q4</f>
        <v>0</v>
      </c>
      <c r="W8" s="127"/>
      <c r="X8" s="10"/>
      <c r="Y8" s="10"/>
      <c r="Z8" s="10"/>
      <c r="AA8" s="10"/>
      <c r="AB8" s="90"/>
      <c r="AC8" s="10"/>
      <c r="AD8" s="2"/>
      <c r="AE8" s="131"/>
    </row>
    <row r="9" spans="1:31" x14ac:dyDescent="0.25">
      <c r="B9" s="4"/>
      <c r="C9" s="4"/>
      <c r="D9" s="3"/>
      <c r="E9" s="3"/>
      <c r="F9" s="3"/>
      <c r="G9" s="4"/>
      <c r="H9" s="158"/>
      <c r="I9" s="3"/>
      <c r="J9" s="3"/>
      <c r="K9" s="3"/>
      <c r="L9" s="4"/>
      <c r="M9" s="4"/>
      <c r="O9" s="11" t="s">
        <v>202</v>
      </c>
      <c r="Q9" s="131">
        <f>IF(Q2=0, 0, Q8/Q6)</f>
        <v>0</v>
      </c>
      <c r="W9" s="127"/>
      <c r="X9" s="10"/>
      <c r="Y9" s="10"/>
      <c r="Z9" s="10"/>
      <c r="AA9" s="10"/>
      <c r="AB9" s="90"/>
      <c r="AC9" s="10"/>
      <c r="AD9" s="2"/>
      <c r="AE9" s="131"/>
    </row>
    <row r="10" spans="1:31" x14ac:dyDescent="0.25">
      <c r="H10" s="67"/>
      <c r="O10" s="11" t="s">
        <v>201</v>
      </c>
      <c r="P10" s="33"/>
      <c r="Q10" s="2">
        <f>M66</f>
        <v>557.94000000000005</v>
      </c>
      <c r="W10" s="127"/>
      <c r="X10" s="10"/>
      <c r="Y10" s="10"/>
      <c r="Z10" s="10"/>
      <c r="AA10" s="10"/>
      <c r="AB10" s="90"/>
      <c r="AC10" s="10"/>
      <c r="AD10" s="2"/>
      <c r="AE10" s="131"/>
    </row>
    <row r="11" spans="1:31" x14ac:dyDescent="0.25">
      <c r="H11" s="67"/>
      <c r="O11" s="11" t="s">
        <v>173</v>
      </c>
      <c r="P11" s="33"/>
      <c r="Q11" s="131">
        <v>4.0599999999999997E-2</v>
      </c>
      <c r="W11" s="127"/>
      <c r="X11" s="10"/>
      <c r="Y11" s="10"/>
      <c r="Z11" s="10"/>
      <c r="AA11" s="10"/>
      <c r="AB11" s="90"/>
      <c r="AC11" s="10"/>
      <c r="AD11" s="2"/>
      <c r="AE11" s="131"/>
    </row>
    <row r="12" spans="1:31" x14ac:dyDescent="0.25">
      <c r="H12" s="67"/>
      <c r="W12" s="127"/>
      <c r="X12" s="10"/>
      <c r="Y12" s="10"/>
      <c r="Z12" s="10"/>
      <c r="AA12" s="10"/>
      <c r="AB12" s="90"/>
      <c r="AC12" s="10"/>
      <c r="AD12" s="2"/>
      <c r="AE12" s="131"/>
    </row>
    <row r="13" spans="1:31" x14ac:dyDescent="0.25">
      <c r="H13" s="67"/>
      <c r="W13" s="127"/>
      <c r="X13" s="10"/>
      <c r="Y13" s="10"/>
      <c r="Z13" s="10"/>
      <c r="AA13" s="10"/>
      <c r="AB13" s="90"/>
      <c r="AC13" s="10"/>
      <c r="AD13" s="2"/>
      <c r="AE13" s="131"/>
    </row>
    <row r="14" spans="1:31" x14ac:dyDescent="0.25">
      <c r="H14" s="67"/>
      <c r="W14" s="127"/>
      <c r="X14" s="10"/>
      <c r="Y14" s="10"/>
      <c r="Z14" s="10"/>
      <c r="AA14" s="10"/>
      <c r="AB14" s="90"/>
      <c r="AC14" s="10"/>
      <c r="AD14" s="2"/>
      <c r="AE14" s="131"/>
    </row>
    <row r="15" spans="1:31" x14ac:dyDescent="0.25">
      <c r="H15" s="67"/>
      <c r="W15" s="127"/>
      <c r="X15" s="10"/>
      <c r="Y15" s="10"/>
      <c r="Z15" s="10"/>
      <c r="AA15" s="10"/>
      <c r="AB15" s="90"/>
      <c r="AC15" s="10"/>
      <c r="AD15" s="2"/>
      <c r="AE15" s="131"/>
    </row>
    <row r="16" spans="1:31" x14ac:dyDescent="0.25">
      <c r="H16" s="67"/>
      <c r="W16" s="127"/>
      <c r="X16" s="10"/>
      <c r="Y16" s="10"/>
      <c r="Z16" s="10"/>
      <c r="AA16" s="10"/>
      <c r="AB16" s="90"/>
      <c r="AC16" s="10"/>
      <c r="AD16" s="2"/>
      <c r="AE16" s="131"/>
    </row>
    <row r="17" spans="1:31" x14ac:dyDescent="0.25">
      <c r="W17" s="127"/>
      <c r="X17" s="10"/>
      <c r="Y17" s="10"/>
      <c r="Z17" s="10"/>
      <c r="AA17" s="10"/>
      <c r="AB17" s="90"/>
      <c r="AC17" s="10"/>
      <c r="AD17" s="2"/>
      <c r="AE17" s="131"/>
    </row>
    <row r="18" spans="1:31" x14ac:dyDescent="0.25">
      <c r="A18" s="31" t="s">
        <v>81</v>
      </c>
      <c r="B18" s="14"/>
      <c r="C18" s="14">
        <f>SUM(C2:C6)</f>
        <v>0</v>
      </c>
      <c r="D18" s="18"/>
      <c r="E18" s="18"/>
      <c r="F18" s="18">
        <f>SUM(F2:F6)</f>
        <v>0</v>
      </c>
      <c r="G18" s="14"/>
      <c r="H18" s="68">
        <f>SUM(H2:H5)</f>
        <v>0</v>
      </c>
      <c r="I18" s="18"/>
      <c r="J18" s="18"/>
      <c r="K18" s="18">
        <f>SUM(K2:K5)</f>
        <v>0</v>
      </c>
      <c r="L18" s="14"/>
      <c r="M18" s="18">
        <f>SUM(M2:M10)</f>
        <v>0</v>
      </c>
      <c r="W18" s="127"/>
      <c r="X18" s="10"/>
      <c r="Y18" s="10"/>
      <c r="Z18" s="10"/>
      <c r="AA18" s="10"/>
      <c r="AB18" s="90"/>
      <c r="AC18" s="10"/>
      <c r="AD18" s="2"/>
      <c r="AE18" s="131"/>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SumByColor($A$19,K3:K17)</f>
        <v>0</v>
      </c>
      <c r="L19" s="275"/>
      <c r="M19" s="276">
        <f>SumByColor($A$19,M2:M17)</f>
        <v>0</v>
      </c>
      <c r="W19" s="127"/>
      <c r="X19" s="10"/>
      <c r="Y19" s="10"/>
      <c r="Z19" s="10"/>
      <c r="AA19" s="10"/>
      <c r="AB19" s="90"/>
      <c r="AC19" s="10"/>
      <c r="AD19" s="2"/>
      <c r="AE19" s="131"/>
    </row>
    <row r="20" spans="1:31" x14ac:dyDescent="0.25">
      <c r="W20" s="127"/>
      <c r="X20" s="10"/>
      <c r="Y20" s="10"/>
      <c r="Z20" s="10"/>
      <c r="AA20" s="10"/>
      <c r="AB20" s="90"/>
      <c r="AC20" s="10"/>
      <c r="AD20" s="2"/>
      <c r="AE20" s="131"/>
    </row>
    <row r="21" spans="1:31" x14ac:dyDescent="0.25">
      <c r="W21" s="127"/>
      <c r="X21" s="10"/>
      <c r="Y21" s="10"/>
      <c r="Z21" s="10"/>
      <c r="AA21" s="10"/>
      <c r="AB21" s="90"/>
      <c r="AC21" s="10"/>
      <c r="AD21" s="2"/>
      <c r="AE21" s="131"/>
    </row>
    <row r="22" spans="1:31" x14ac:dyDescent="0.25">
      <c r="W22" s="127"/>
      <c r="X22" s="10"/>
      <c r="Y22" s="10"/>
      <c r="Z22" s="10"/>
      <c r="AA22" s="10"/>
      <c r="AB22" s="90"/>
      <c r="AC22" s="10"/>
      <c r="AD22" s="2"/>
      <c r="AE22" s="131"/>
    </row>
    <row r="23" spans="1:31" x14ac:dyDescent="0.25">
      <c r="W23" s="127"/>
      <c r="X23" s="10"/>
      <c r="Y23" s="10"/>
      <c r="Z23" s="10"/>
      <c r="AA23" s="10"/>
      <c r="AB23" s="90"/>
      <c r="AC23" s="10"/>
      <c r="AD23" s="2"/>
      <c r="AE23" s="131"/>
    </row>
    <row r="24" spans="1:31" x14ac:dyDescent="0.25">
      <c r="B24" s="159" t="s">
        <v>113</v>
      </c>
      <c r="C24" s="159" t="s">
        <v>143</v>
      </c>
      <c r="D24" s="160" t="s">
        <v>142</v>
      </c>
      <c r="E24" s="162" t="s">
        <v>144</v>
      </c>
      <c r="F24" s="162" t="s">
        <v>65</v>
      </c>
      <c r="G24" s="173" t="s">
        <v>148</v>
      </c>
      <c r="H24" s="173" t="s">
        <v>88</v>
      </c>
      <c r="I24" s="173" t="s">
        <v>151</v>
      </c>
      <c r="J24" s="173" t="s">
        <v>147</v>
      </c>
      <c r="K24" s="173" t="s">
        <v>601</v>
      </c>
      <c r="L24" s="173" t="s">
        <v>607</v>
      </c>
      <c r="W24" s="127"/>
      <c r="X24" s="10"/>
      <c r="Y24" s="10"/>
      <c r="Z24" s="10"/>
      <c r="AA24" s="10"/>
      <c r="AB24" s="90"/>
      <c r="AC24" s="10"/>
      <c r="AD24" s="2"/>
      <c r="AE24" s="131"/>
    </row>
    <row r="25" spans="1:31" x14ac:dyDescent="0.25">
      <c r="B25" s="161">
        <v>42983</v>
      </c>
      <c r="C25" s="10">
        <v>100</v>
      </c>
      <c r="D25" s="39">
        <v>22.48</v>
      </c>
      <c r="E25" s="39">
        <v>24.03</v>
      </c>
      <c r="F25" s="39">
        <f>C25*(E25-D25)</f>
        <v>155.00000000000006</v>
      </c>
      <c r="G25" s="39">
        <f>D25*C25</f>
        <v>2248</v>
      </c>
      <c r="H25" s="175">
        <f>(E25-D25)/D25</f>
        <v>6.8950177935943088E-2</v>
      </c>
      <c r="I25" s="39">
        <v>22</v>
      </c>
      <c r="J25" s="39"/>
      <c r="K25" s="39"/>
      <c r="L25" s="39"/>
      <c r="W25" s="127"/>
      <c r="X25" s="10"/>
      <c r="Y25" s="10"/>
      <c r="Z25" s="10"/>
      <c r="AA25" s="10"/>
      <c r="AB25" s="90"/>
      <c r="AC25" s="10"/>
      <c r="AD25" s="2"/>
      <c r="AE25" s="131"/>
    </row>
    <row r="26" spans="1:31" x14ac:dyDescent="0.25">
      <c r="B26" s="161">
        <v>42997</v>
      </c>
      <c r="C26" s="10"/>
      <c r="D26" s="39"/>
      <c r="E26" s="39">
        <v>28.06</v>
      </c>
      <c r="F26" s="39">
        <v>557.94000000000005</v>
      </c>
      <c r="G26" s="39"/>
      <c r="H26" s="175"/>
      <c r="I26" s="39"/>
      <c r="J26" s="39"/>
      <c r="K26" s="39"/>
      <c r="L26" s="39"/>
      <c r="W26" s="127"/>
      <c r="X26" s="10"/>
      <c r="Y26" s="10"/>
      <c r="Z26" s="10"/>
      <c r="AA26" s="10"/>
      <c r="AB26" s="90"/>
      <c r="AC26" s="10"/>
      <c r="AD26" s="2"/>
      <c r="AE26" s="131"/>
    </row>
    <row r="27" spans="1:31" x14ac:dyDescent="0.25">
      <c r="B27" s="161"/>
      <c r="C27" s="10"/>
      <c r="D27" s="39"/>
      <c r="E27" s="39"/>
      <c r="F27" s="39"/>
      <c r="G27" s="39"/>
      <c r="H27" s="175"/>
      <c r="I27" s="39"/>
      <c r="J27" s="39"/>
      <c r="K27" s="39"/>
      <c r="L27" s="152"/>
      <c r="W27" s="127"/>
      <c r="X27" s="10"/>
      <c r="Y27" s="10"/>
      <c r="Z27" s="10"/>
      <c r="AA27" s="10"/>
      <c r="AB27" s="90"/>
      <c r="AC27" s="10"/>
      <c r="AD27" s="2"/>
      <c r="AE27" s="131"/>
    </row>
    <row r="28" spans="1:31" x14ac:dyDescent="0.25">
      <c r="B28" s="161"/>
      <c r="C28" s="10"/>
      <c r="D28" s="39"/>
      <c r="E28" s="39"/>
      <c r="F28" s="39"/>
      <c r="G28" s="39"/>
      <c r="H28" s="175"/>
      <c r="I28" s="39"/>
      <c r="J28" s="39"/>
      <c r="K28" s="39"/>
      <c r="L28" s="152"/>
      <c r="W28" s="127"/>
      <c r="X28" s="10"/>
      <c r="Y28" s="10"/>
      <c r="Z28" s="10"/>
      <c r="AA28" s="10"/>
      <c r="AB28" s="90"/>
      <c r="AC28" s="10"/>
      <c r="AD28" s="2"/>
      <c r="AE28" s="131"/>
    </row>
    <row r="29" spans="1:31" x14ac:dyDescent="0.25">
      <c r="B29" s="161"/>
      <c r="C29" s="10"/>
      <c r="D29" s="39"/>
      <c r="E29" s="39"/>
      <c r="F29" s="39"/>
      <c r="G29" s="39"/>
      <c r="H29" s="175"/>
      <c r="I29" s="39"/>
      <c r="J29" s="39"/>
      <c r="K29" s="39"/>
      <c r="L29" s="152"/>
      <c r="W29" s="127"/>
      <c r="X29" s="10"/>
      <c r="Y29" s="10"/>
      <c r="Z29" s="10"/>
      <c r="AA29" s="10"/>
      <c r="AB29" s="90"/>
      <c r="AC29" s="10"/>
      <c r="AD29" s="2"/>
      <c r="AE29" s="131"/>
    </row>
    <row r="30" spans="1:31" x14ac:dyDescent="0.25">
      <c r="B30" s="161"/>
      <c r="C30" s="10"/>
      <c r="D30" s="39"/>
      <c r="E30" s="39"/>
      <c r="F30" s="39"/>
      <c r="G30" s="39"/>
      <c r="H30" s="175"/>
      <c r="I30" s="39"/>
      <c r="J30" s="39"/>
      <c r="K30" s="39"/>
      <c r="L30" s="152"/>
      <c r="W30" s="127"/>
      <c r="X30" s="10"/>
      <c r="Y30" s="10"/>
      <c r="Z30" s="10"/>
      <c r="AA30" s="10"/>
      <c r="AB30" s="90"/>
      <c r="AC30" s="10"/>
      <c r="AD30" s="2"/>
      <c r="AE30" s="131"/>
    </row>
    <row r="31" spans="1:31" x14ac:dyDescent="0.25">
      <c r="B31" s="161"/>
      <c r="C31" s="10"/>
      <c r="D31" s="39"/>
      <c r="E31" s="39"/>
      <c r="F31" s="39"/>
      <c r="G31" s="39"/>
      <c r="H31" s="175"/>
      <c r="I31" s="39"/>
      <c r="J31" s="39"/>
      <c r="K31" s="39"/>
      <c r="L31" s="152"/>
      <c r="W31" s="127"/>
      <c r="X31" s="10"/>
      <c r="Y31" s="10"/>
      <c r="Z31" s="10"/>
      <c r="AA31" s="10"/>
      <c r="AB31" s="90"/>
      <c r="AC31" s="10"/>
      <c r="AD31" s="2"/>
      <c r="AE31" s="131"/>
    </row>
    <row r="32" spans="1:31" x14ac:dyDescent="0.25">
      <c r="B32" s="161"/>
      <c r="C32" s="10"/>
      <c r="D32" s="39"/>
      <c r="E32" s="39"/>
      <c r="F32" s="39"/>
      <c r="G32" s="39"/>
      <c r="H32" s="175"/>
      <c r="I32" s="39"/>
      <c r="J32" s="39"/>
      <c r="K32" s="39"/>
      <c r="L32" s="152"/>
      <c r="W32" s="127"/>
      <c r="X32" s="10"/>
      <c r="Y32" s="10"/>
      <c r="Z32" s="10"/>
      <c r="AA32" s="10"/>
      <c r="AB32" s="90"/>
      <c r="AC32" s="10"/>
      <c r="AD32" s="2"/>
      <c r="AE32" s="131"/>
    </row>
    <row r="33" spans="1:31" x14ac:dyDescent="0.25">
      <c r="A33" s="29"/>
      <c r="B33" s="161"/>
      <c r="C33" s="10"/>
      <c r="D33" s="39"/>
      <c r="E33" s="39"/>
      <c r="F33" s="39"/>
      <c r="G33" s="39"/>
      <c r="H33" s="175"/>
      <c r="I33" s="39"/>
      <c r="J33" s="39"/>
      <c r="K33" s="39"/>
      <c r="L33" s="152"/>
      <c r="W33" s="127"/>
      <c r="X33" s="10"/>
      <c r="Y33" s="10"/>
      <c r="Z33" s="10"/>
      <c r="AA33" s="10"/>
      <c r="AB33" s="90"/>
      <c r="AC33" s="10"/>
      <c r="AD33" s="2"/>
      <c r="AE33" s="131"/>
    </row>
    <row r="34" spans="1:31" x14ac:dyDescent="0.25">
      <c r="B34" s="161"/>
      <c r="C34" s="10"/>
      <c r="D34" s="39"/>
      <c r="E34" s="39"/>
      <c r="F34" s="39"/>
      <c r="G34" s="39"/>
      <c r="H34" s="175"/>
      <c r="I34" s="39"/>
      <c r="J34" s="39"/>
      <c r="K34" s="39"/>
      <c r="L34" s="152"/>
      <c r="W34" s="127"/>
      <c r="X34" s="10"/>
      <c r="Y34" s="10"/>
      <c r="Z34" s="10"/>
      <c r="AA34" s="10"/>
      <c r="AB34" s="90"/>
      <c r="AC34" s="10"/>
      <c r="AD34" s="2"/>
      <c r="AE34" s="131"/>
    </row>
    <row r="35" spans="1:31" x14ac:dyDescent="0.25">
      <c r="B35" s="161"/>
      <c r="C35" s="10"/>
      <c r="D35" s="39"/>
      <c r="E35" s="39"/>
      <c r="F35" s="39"/>
      <c r="G35" s="39"/>
      <c r="H35" s="175"/>
      <c r="I35" s="39"/>
      <c r="J35" s="39"/>
      <c r="K35" s="39"/>
      <c r="L35" s="152"/>
      <c r="W35" s="127"/>
      <c r="X35" s="10"/>
      <c r="Y35" s="10"/>
      <c r="Z35" s="10"/>
      <c r="AA35" s="10"/>
      <c r="AB35" s="90"/>
      <c r="AC35" s="10"/>
      <c r="AD35" s="2"/>
      <c r="AE35" s="131"/>
    </row>
    <row r="36" spans="1:31" x14ac:dyDescent="0.25">
      <c r="B36" s="161"/>
      <c r="C36" s="10"/>
      <c r="D36" s="39"/>
      <c r="E36" s="39"/>
      <c r="F36" s="39"/>
      <c r="G36" s="39"/>
      <c r="H36" s="175"/>
      <c r="I36" s="39"/>
      <c r="J36" s="39"/>
      <c r="K36" s="39"/>
      <c r="L36" s="39"/>
      <c r="W36" s="127"/>
      <c r="X36" s="10"/>
      <c r="Y36" s="10"/>
      <c r="Z36" s="10"/>
      <c r="AA36" s="10"/>
      <c r="AB36" s="90"/>
      <c r="AC36" s="10"/>
      <c r="AD36" s="2"/>
      <c r="AE36" s="131"/>
    </row>
    <row r="37" spans="1:31" x14ac:dyDescent="0.25">
      <c r="B37" s="161"/>
      <c r="C37" s="10"/>
      <c r="D37" s="39"/>
      <c r="E37" s="39"/>
      <c r="F37" s="39"/>
      <c r="G37" s="39"/>
      <c r="H37" s="175"/>
      <c r="I37" s="39"/>
      <c r="J37" s="39"/>
      <c r="K37" s="39"/>
      <c r="L37" s="39"/>
      <c r="W37" s="127"/>
      <c r="X37" s="10"/>
      <c r="Y37" s="10"/>
      <c r="Z37" s="10"/>
      <c r="AA37" s="10"/>
      <c r="AB37" s="90"/>
      <c r="AC37" s="10"/>
      <c r="AD37" s="2"/>
      <c r="AE37" s="131"/>
    </row>
    <row r="38" spans="1:31" x14ac:dyDescent="0.25">
      <c r="B38" s="161"/>
      <c r="C38" s="10"/>
      <c r="D38" s="39"/>
      <c r="E38" s="39"/>
      <c r="F38" s="39"/>
      <c r="G38" s="39"/>
      <c r="H38" s="175"/>
      <c r="I38" s="39"/>
      <c r="J38" s="39"/>
      <c r="K38" s="39"/>
      <c r="L38" s="39"/>
      <c r="W38" s="127"/>
      <c r="X38" s="10"/>
      <c r="Y38" s="10"/>
      <c r="Z38" s="10"/>
      <c r="AA38" s="10"/>
      <c r="AB38" s="90"/>
      <c r="AC38" s="10"/>
      <c r="AD38" s="2"/>
      <c r="AE38" s="131"/>
    </row>
    <row r="39" spans="1:31" x14ac:dyDescent="0.25">
      <c r="B39" s="161"/>
      <c r="C39" s="10"/>
      <c r="D39" s="39"/>
      <c r="E39" s="39"/>
      <c r="F39" s="39"/>
      <c r="G39" s="39"/>
      <c r="H39" s="175"/>
      <c r="I39" s="39"/>
      <c r="J39" s="39"/>
      <c r="K39" s="39"/>
      <c r="L39" s="39"/>
      <c r="W39" s="127"/>
      <c r="X39" s="10"/>
      <c r="Y39" s="10"/>
      <c r="Z39" s="10"/>
      <c r="AA39" s="10"/>
      <c r="AB39" s="90"/>
      <c r="AC39" s="10"/>
      <c r="AD39" s="2"/>
      <c r="AE39" s="131"/>
    </row>
    <row r="40" spans="1:31" ht="20.25" thickBot="1" x14ac:dyDescent="0.35">
      <c r="B40" s="161"/>
      <c r="C40" s="10"/>
      <c r="D40" s="39"/>
      <c r="E40" s="39"/>
      <c r="F40" s="39"/>
      <c r="G40" s="39"/>
      <c r="H40" s="175"/>
      <c r="I40" s="39"/>
      <c r="J40" s="39"/>
      <c r="K40" s="39"/>
      <c r="L40" s="39"/>
      <c r="O40" s="886" t="s">
        <v>78</v>
      </c>
      <c r="P40" s="886"/>
      <c r="W40" s="127"/>
      <c r="X40" s="10"/>
      <c r="Y40" s="10"/>
      <c r="Z40" s="10"/>
      <c r="AA40" s="10"/>
      <c r="AB40" s="90"/>
      <c r="AC40" s="10"/>
      <c r="AD40" s="2"/>
      <c r="AE40" s="131"/>
    </row>
    <row r="41" spans="1:31" ht="15.75" thickTop="1" x14ac:dyDescent="0.25">
      <c r="B41" s="161"/>
      <c r="C41" s="10"/>
      <c r="D41" s="39"/>
      <c r="E41" s="39"/>
      <c r="F41" s="39"/>
      <c r="G41" s="39"/>
      <c r="H41" s="175"/>
      <c r="I41" s="39"/>
      <c r="J41" s="39"/>
      <c r="K41" s="39"/>
      <c r="L41" s="39"/>
      <c r="O41" s="78">
        <v>1.1000000000000001</v>
      </c>
      <c r="P41" s="78">
        <f>O41*$Q$4</f>
        <v>19.184000000000005</v>
      </c>
      <c r="Q41" s="2"/>
      <c r="W41" s="127"/>
      <c r="X41" s="10"/>
      <c r="Y41" s="10"/>
      <c r="Z41" s="10"/>
      <c r="AA41" s="10"/>
      <c r="AB41" s="90"/>
      <c r="AC41" s="10"/>
      <c r="AD41" s="2"/>
      <c r="AE41" s="131"/>
    </row>
    <row r="42" spans="1:31" ht="20.25" thickBot="1" x14ac:dyDescent="0.35">
      <c r="B42" s="161"/>
      <c r="C42" s="10"/>
      <c r="D42" s="39"/>
      <c r="E42" s="39"/>
      <c r="F42" s="39"/>
      <c r="G42" s="39"/>
      <c r="H42" s="175"/>
      <c r="I42" s="39"/>
      <c r="J42" s="39"/>
      <c r="K42" s="39"/>
      <c r="L42" s="39"/>
      <c r="O42" s="78">
        <v>1.0900000000000001</v>
      </c>
      <c r="P42" s="78">
        <f t="shared" ref="P42:P61" si="0">O42*$Q$4</f>
        <v>19.009600000000002</v>
      </c>
      <c r="Q42" s="2"/>
      <c r="T42" s="86"/>
      <c r="W42" s="127"/>
      <c r="X42" s="10"/>
      <c r="Y42" s="10"/>
      <c r="Z42" s="10"/>
      <c r="AA42" s="10"/>
      <c r="AB42" s="90"/>
      <c r="AC42" s="10"/>
      <c r="AD42" s="2"/>
      <c r="AE42" s="131"/>
    </row>
    <row r="43" spans="1:31" ht="15.75" thickTop="1" x14ac:dyDescent="0.25">
      <c r="B43" s="161"/>
      <c r="C43" s="10"/>
      <c r="D43" s="39"/>
      <c r="E43" s="39"/>
      <c r="F43" s="39"/>
      <c r="G43" s="39"/>
      <c r="H43" s="175"/>
      <c r="I43" s="39"/>
      <c r="J43" s="39"/>
      <c r="K43" s="39"/>
      <c r="L43" s="39"/>
      <c r="O43" s="78">
        <v>1.08</v>
      </c>
      <c r="P43" s="78">
        <f t="shared" si="0"/>
        <v>18.835200000000004</v>
      </c>
      <c r="Q43" s="2"/>
      <c r="T43" s="122"/>
      <c r="U43" s="123"/>
      <c r="W43" s="127"/>
      <c r="X43" s="10"/>
      <c r="Y43" s="10"/>
      <c r="Z43" s="10"/>
      <c r="AA43" s="10"/>
      <c r="AB43" s="90"/>
      <c r="AC43" s="10"/>
      <c r="AD43" s="2"/>
      <c r="AE43" s="131"/>
    </row>
    <row r="44" spans="1:31" x14ac:dyDescent="0.25">
      <c r="B44" s="161"/>
      <c r="C44" s="10"/>
      <c r="D44" s="39"/>
      <c r="E44" s="39"/>
      <c r="F44" s="39"/>
      <c r="G44" s="39"/>
      <c r="H44" s="175"/>
      <c r="I44" s="39"/>
      <c r="J44" s="39"/>
      <c r="K44" s="39"/>
      <c r="L44" s="39"/>
      <c r="O44" s="78">
        <v>1.07</v>
      </c>
      <c r="P44" s="78">
        <f t="shared" si="0"/>
        <v>18.660800000000002</v>
      </c>
      <c r="Q44" s="2"/>
      <c r="T44" s="88"/>
      <c r="U44" s="124"/>
      <c r="W44" s="127"/>
      <c r="X44" s="10"/>
      <c r="Y44" s="10"/>
      <c r="Z44" s="10"/>
      <c r="AA44" s="10"/>
      <c r="AB44" s="90"/>
      <c r="AC44" s="10"/>
      <c r="AD44" s="2"/>
      <c r="AE44" s="131"/>
    </row>
    <row r="45" spans="1:31" x14ac:dyDescent="0.25">
      <c r="B45" s="161"/>
      <c r="C45" s="10"/>
      <c r="D45" s="39"/>
      <c r="E45" s="39"/>
      <c r="F45" s="39"/>
      <c r="G45" s="39"/>
      <c r="H45" s="175"/>
      <c r="I45" s="39"/>
      <c r="J45" s="39"/>
      <c r="K45" s="39"/>
      <c r="L45" s="39"/>
      <c r="O45" s="78">
        <v>1.06</v>
      </c>
      <c r="P45" s="78">
        <f t="shared" si="0"/>
        <v>18.486400000000003</v>
      </c>
      <c r="Q45" s="2"/>
      <c r="T45" s="88"/>
      <c r="U45" s="124"/>
      <c r="W45" s="127"/>
      <c r="X45" s="10"/>
      <c r="Y45" s="10"/>
      <c r="Z45" s="10"/>
      <c r="AA45" s="10"/>
      <c r="AB45" s="90"/>
      <c r="AC45" s="10"/>
      <c r="AD45" s="2"/>
      <c r="AE45" s="131"/>
    </row>
    <row r="46" spans="1:31" x14ac:dyDescent="0.25">
      <c r="B46" s="161"/>
      <c r="C46" s="10"/>
      <c r="D46" s="39"/>
      <c r="E46" s="39"/>
      <c r="F46" s="39"/>
      <c r="G46" s="39"/>
      <c r="H46" s="175"/>
      <c r="I46" s="39"/>
      <c r="J46" s="39"/>
      <c r="K46" s="39"/>
      <c r="L46" s="39"/>
      <c r="O46" s="78">
        <v>1.05</v>
      </c>
      <c r="P46" s="78">
        <f t="shared" si="0"/>
        <v>18.312000000000001</v>
      </c>
      <c r="Q46" s="2"/>
      <c r="T46" s="88"/>
      <c r="U46" s="124"/>
      <c r="W46" s="127"/>
      <c r="X46" s="10"/>
      <c r="Y46" s="10"/>
      <c r="Z46" s="10"/>
      <c r="AA46" s="10"/>
      <c r="AB46" s="90"/>
      <c r="AC46" s="10"/>
      <c r="AD46" s="2"/>
      <c r="AE46" s="131"/>
    </row>
    <row r="47" spans="1:31" x14ac:dyDescent="0.25">
      <c r="B47" s="69"/>
      <c r="C47" s="4"/>
      <c r="D47" s="3"/>
      <c r="E47" s="3"/>
      <c r="F47" s="3"/>
      <c r="G47" s="3"/>
      <c r="H47" s="212"/>
      <c r="I47" s="210"/>
      <c r="O47" s="78">
        <v>1.04</v>
      </c>
      <c r="P47" s="78">
        <f t="shared" si="0"/>
        <v>18.137600000000003</v>
      </c>
      <c r="Q47" s="2"/>
      <c r="T47" s="88"/>
      <c r="U47" s="124"/>
      <c r="W47" s="127"/>
      <c r="X47" s="10"/>
      <c r="Y47" s="10"/>
      <c r="Z47" s="10"/>
      <c r="AA47" s="10"/>
      <c r="AB47" s="90"/>
      <c r="AC47" s="10"/>
      <c r="AD47" s="2"/>
      <c r="AE47" s="131"/>
    </row>
    <row r="48" spans="1:31" x14ac:dyDescent="0.25">
      <c r="B48" s="69"/>
      <c r="C48" s="4"/>
      <c r="D48" s="3"/>
      <c r="E48" s="3"/>
      <c r="F48" s="3"/>
      <c r="G48" s="3"/>
      <c r="H48" s="212"/>
      <c r="I48" s="3"/>
      <c r="O48" s="78">
        <v>1.03</v>
      </c>
      <c r="P48" s="78">
        <f t="shared" si="0"/>
        <v>17.963200000000001</v>
      </c>
      <c r="Q48" s="2"/>
      <c r="T48" s="88"/>
      <c r="U48" s="124"/>
      <c r="W48" s="127"/>
      <c r="X48" s="10"/>
      <c r="Y48" s="10"/>
      <c r="Z48" s="10"/>
      <c r="AA48" s="10"/>
      <c r="AB48" s="90"/>
      <c r="AC48" s="10"/>
      <c r="AD48" s="2"/>
      <c r="AE48" s="131"/>
    </row>
    <row r="49" spans="1:31" x14ac:dyDescent="0.25">
      <c r="B49" s="69"/>
      <c r="C49" s="4"/>
      <c r="D49" s="3"/>
      <c r="E49" s="3"/>
      <c r="F49" s="3"/>
      <c r="G49" s="3"/>
      <c r="H49" s="212"/>
      <c r="I49" s="3"/>
      <c r="O49" s="78">
        <v>1.02</v>
      </c>
      <c r="P49" s="78">
        <f t="shared" si="0"/>
        <v>17.788800000000002</v>
      </c>
      <c r="Q49" s="2"/>
      <c r="T49" s="88"/>
      <c r="U49" s="124"/>
      <c r="W49" s="127"/>
      <c r="X49" s="10"/>
      <c r="Y49" s="10"/>
      <c r="Z49" s="10"/>
      <c r="AA49" s="10"/>
      <c r="AB49" s="90"/>
      <c r="AC49" s="10"/>
      <c r="AD49" s="2"/>
      <c r="AE49" s="131"/>
    </row>
    <row r="50" spans="1:31" x14ac:dyDescent="0.25">
      <c r="B50" s="69"/>
      <c r="C50" s="4"/>
      <c r="D50" s="3"/>
      <c r="E50" s="3"/>
      <c r="F50" s="3"/>
      <c r="G50" s="3"/>
      <c r="H50" s="212"/>
      <c r="I50" s="3"/>
      <c r="O50" s="78">
        <v>1.01</v>
      </c>
      <c r="P50" s="78">
        <f t="shared" si="0"/>
        <v>17.6144</v>
      </c>
      <c r="Q50" s="2"/>
      <c r="T50" s="88"/>
      <c r="U50" s="124"/>
      <c r="W50" s="127"/>
      <c r="X50" s="10"/>
      <c r="Y50" s="10"/>
      <c r="Z50" s="10"/>
      <c r="AA50" s="10"/>
      <c r="AB50" s="90"/>
      <c r="AC50" s="10"/>
      <c r="AD50" s="2"/>
      <c r="AE50" s="131"/>
    </row>
    <row r="51" spans="1:31" x14ac:dyDescent="0.25">
      <c r="B51" s="69"/>
      <c r="C51" s="4"/>
      <c r="D51" s="3"/>
      <c r="E51" s="3"/>
      <c r="F51" s="3"/>
      <c r="G51" s="3"/>
      <c r="H51" s="212"/>
      <c r="I51" s="3"/>
      <c r="O51" s="78">
        <v>1</v>
      </c>
      <c r="P51" s="78">
        <f t="shared" si="0"/>
        <v>17.440000000000001</v>
      </c>
      <c r="Q51" s="2"/>
      <c r="T51" s="88"/>
      <c r="U51" s="124"/>
      <c r="W51" s="127"/>
      <c r="X51" s="10"/>
      <c r="Y51" s="10"/>
      <c r="Z51" s="10"/>
      <c r="AA51" s="10"/>
      <c r="AB51" s="90"/>
      <c r="AC51" s="10"/>
      <c r="AD51" s="2"/>
      <c r="AE51" s="131"/>
    </row>
    <row r="52" spans="1:31" x14ac:dyDescent="0.25">
      <c r="B52" s="69"/>
      <c r="C52" s="4"/>
      <c r="D52" s="3"/>
      <c r="E52" s="3"/>
      <c r="F52" s="3"/>
      <c r="G52" s="3"/>
      <c r="H52" s="212"/>
      <c r="I52" s="3"/>
      <c r="O52" s="78">
        <v>0.99</v>
      </c>
      <c r="P52" s="78">
        <f t="shared" si="0"/>
        <v>17.265600000000003</v>
      </c>
      <c r="Q52" s="2"/>
      <c r="T52" s="88"/>
      <c r="U52" s="124"/>
      <c r="W52" s="127"/>
      <c r="X52" s="10"/>
      <c r="Y52" s="10"/>
      <c r="Z52" s="10"/>
      <c r="AA52" s="10"/>
      <c r="AB52" s="90"/>
      <c r="AC52" s="10"/>
      <c r="AD52" s="2"/>
      <c r="AE52" s="131"/>
    </row>
    <row r="53" spans="1:31" x14ac:dyDescent="0.25">
      <c r="B53" s="69"/>
      <c r="C53" s="4"/>
      <c r="D53" s="3"/>
      <c r="E53" s="3"/>
      <c r="F53" s="3"/>
      <c r="G53" s="3"/>
      <c r="H53" s="212"/>
      <c r="I53" s="3"/>
      <c r="O53" s="78">
        <v>0.98</v>
      </c>
      <c r="P53" s="78">
        <f t="shared" si="0"/>
        <v>17.091200000000001</v>
      </c>
      <c r="Q53" s="2"/>
      <c r="T53" s="88"/>
      <c r="U53" s="125"/>
      <c r="W53" s="127"/>
      <c r="X53" s="10"/>
      <c r="Y53" s="10"/>
      <c r="Z53" s="10"/>
      <c r="AA53" s="10"/>
      <c r="AB53" s="90"/>
      <c r="AC53" s="10"/>
      <c r="AD53" s="2"/>
      <c r="AE53" s="131"/>
    </row>
    <row r="54" spans="1:31" x14ac:dyDescent="0.25">
      <c r="A54" s="4"/>
      <c r="B54" s="69"/>
      <c r="C54" s="4"/>
      <c r="D54" s="3"/>
      <c r="E54" s="3"/>
      <c r="F54" s="3"/>
      <c r="G54" s="3"/>
      <c r="H54" s="212"/>
      <c r="I54" s="3"/>
      <c r="J54" s="3"/>
      <c r="K54" s="3"/>
      <c r="L54" s="4"/>
      <c r="O54" s="78">
        <v>0.97</v>
      </c>
      <c r="P54" s="78">
        <f t="shared" si="0"/>
        <v>16.916800000000002</v>
      </c>
      <c r="T54" s="88"/>
      <c r="U54" s="125"/>
      <c r="W54" s="127"/>
      <c r="X54" s="10"/>
      <c r="Y54" s="10"/>
      <c r="Z54" s="10"/>
      <c r="AA54" s="10"/>
      <c r="AB54" s="90"/>
      <c r="AC54" s="10"/>
      <c r="AD54" s="2"/>
      <c r="AE54" s="131"/>
    </row>
    <row r="55" spans="1:31" x14ac:dyDescent="0.25">
      <c r="A55" s="4"/>
      <c r="B55" s="69"/>
      <c r="C55" s="4"/>
      <c r="D55" s="3"/>
      <c r="E55" s="3"/>
      <c r="F55" s="3"/>
      <c r="G55" s="3"/>
      <c r="H55" s="212"/>
      <c r="I55" s="3"/>
      <c r="J55" s="3"/>
      <c r="K55" s="3"/>
      <c r="L55" s="4"/>
      <c r="O55" s="78">
        <v>0.96</v>
      </c>
      <c r="P55" s="78">
        <f t="shared" si="0"/>
        <v>16.7424</v>
      </c>
      <c r="T55" s="88"/>
      <c r="U55" s="124"/>
      <c r="W55" s="127"/>
      <c r="X55" s="10"/>
      <c r="Y55" s="10"/>
      <c r="Z55" s="10"/>
      <c r="AA55" s="10"/>
      <c r="AB55" s="90"/>
      <c r="AC55" s="10"/>
      <c r="AD55" s="2"/>
      <c r="AE55" s="131"/>
    </row>
    <row r="56" spans="1:31" x14ac:dyDescent="0.25">
      <c r="A56" s="4"/>
      <c r="B56" s="69"/>
      <c r="C56" s="4"/>
      <c r="D56" s="3"/>
      <c r="E56" s="3"/>
      <c r="F56" s="3"/>
      <c r="G56" s="3"/>
      <c r="H56" s="212"/>
      <c r="I56" s="3"/>
      <c r="J56" s="3"/>
      <c r="K56" s="3"/>
      <c r="L56" s="4"/>
      <c r="O56" s="78">
        <v>0.95</v>
      </c>
      <c r="P56" s="78">
        <f t="shared" si="0"/>
        <v>16.568000000000001</v>
      </c>
      <c r="T56" s="88"/>
      <c r="U56" s="124"/>
      <c r="W56" s="127"/>
      <c r="X56" s="10"/>
      <c r="Y56" s="10"/>
      <c r="Z56" s="10"/>
      <c r="AA56" s="10"/>
      <c r="AB56" s="90"/>
      <c r="AC56" s="10"/>
      <c r="AD56" s="2"/>
      <c r="AE56" s="131"/>
    </row>
    <row r="57" spans="1:31" x14ac:dyDescent="0.25">
      <c r="A57" s="4"/>
      <c r="B57" s="69"/>
      <c r="C57" s="4"/>
      <c r="D57" s="3"/>
      <c r="E57" s="3"/>
      <c r="F57" s="3"/>
      <c r="G57" s="3"/>
      <c r="H57" s="212"/>
      <c r="I57" s="3"/>
      <c r="J57" s="3"/>
      <c r="K57" s="3"/>
      <c r="L57" s="4"/>
      <c r="O57" s="78">
        <v>0.94</v>
      </c>
      <c r="P57" s="78">
        <f t="shared" si="0"/>
        <v>16.393599999999999</v>
      </c>
      <c r="T57" s="88"/>
      <c r="U57" s="124"/>
      <c r="W57" s="127"/>
      <c r="X57" s="10"/>
      <c r="Y57" s="10"/>
      <c r="Z57" s="10"/>
      <c r="AA57" s="10"/>
      <c r="AB57" s="90"/>
      <c r="AC57" s="10"/>
      <c r="AD57" s="2"/>
      <c r="AE57" s="131"/>
    </row>
    <row r="58" spans="1:31" x14ac:dyDescent="0.25">
      <c r="A58" s="4"/>
      <c r="B58" s="69"/>
      <c r="C58" s="4"/>
      <c r="D58" s="3"/>
      <c r="E58" s="3"/>
      <c r="F58" s="3"/>
      <c r="G58" s="3"/>
      <c r="H58" s="212"/>
      <c r="I58" s="3"/>
      <c r="J58" s="3"/>
      <c r="K58" s="3"/>
      <c r="L58" s="4"/>
      <c r="O58" s="78">
        <v>0.93</v>
      </c>
      <c r="P58" s="78">
        <f t="shared" si="0"/>
        <v>16.219200000000001</v>
      </c>
      <c r="T58" s="88"/>
      <c r="U58" s="124"/>
      <c r="W58" s="127"/>
      <c r="X58" s="10"/>
      <c r="Y58" s="10"/>
      <c r="Z58" s="10"/>
      <c r="AA58" s="10"/>
      <c r="AB58" s="90"/>
      <c r="AC58" s="10"/>
      <c r="AD58" s="2"/>
      <c r="AE58" s="131"/>
    </row>
    <row r="59" spans="1:31" x14ac:dyDescent="0.25">
      <c r="A59" s="4"/>
      <c r="B59" s="69"/>
      <c r="C59" s="4"/>
      <c r="D59" s="3"/>
      <c r="E59" s="3"/>
      <c r="F59" s="3"/>
      <c r="G59" s="3"/>
      <c r="H59" s="212"/>
      <c r="I59" s="3"/>
      <c r="J59" s="3"/>
      <c r="K59" s="3"/>
      <c r="L59" s="4"/>
      <c r="O59" s="78">
        <v>0.92</v>
      </c>
      <c r="P59" s="78">
        <f t="shared" si="0"/>
        <v>16.044800000000002</v>
      </c>
      <c r="W59" s="127"/>
      <c r="X59" s="10"/>
      <c r="Y59" s="10"/>
      <c r="Z59" s="10"/>
      <c r="AA59" s="10"/>
      <c r="AB59" s="90"/>
      <c r="AC59" s="10"/>
      <c r="AD59" s="2"/>
      <c r="AE59" s="131"/>
    </row>
    <row r="60" spans="1:31" x14ac:dyDescent="0.25">
      <c r="A60" s="4"/>
      <c r="B60" s="69"/>
      <c r="C60" s="4"/>
      <c r="D60" s="3"/>
      <c r="E60" s="3"/>
      <c r="F60" s="3"/>
      <c r="G60" s="3"/>
      <c r="H60" s="212"/>
      <c r="I60" s="3"/>
      <c r="J60" s="3"/>
      <c r="K60" s="3"/>
      <c r="L60" s="4"/>
      <c r="O60" s="78">
        <v>0.91</v>
      </c>
      <c r="P60" s="78">
        <f t="shared" si="0"/>
        <v>15.870400000000002</v>
      </c>
      <c r="W60" s="127"/>
      <c r="X60" s="10"/>
      <c r="Y60" s="10"/>
      <c r="Z60" s="10"/>
      <c r="AA60" s="10"/>
      <c r="AB60" s="90"/>
      <c r="AC60" s="10"/>
      <c r="AD60" s="2"/>
      <c r="AE60" s="131"/>
    </row>
    <row r="61" spans="1:31" x14ac:dyDescent="0.25">
      <c r="A61" s="4"/>
      <c r="B61" s="69"/>
      <c r="C61" s="4"/>
      <c r="D61" s="3"/>
      <c r="E61" s="3"/>
      <c r="F61" s="3"/>
      <c r="G61" s="3"/>
      <c r="H61" s="212"/>
      <c r="I61" s="3"/>
      <c r="J61" s="3"/>
      <c r="K61" s="3"/>
      <c r="L61" s="4"/>
      <c r="O61" s="78">
        <v>0.9</v>
      </c>
      <c r="P61" s="78">
        <f t="shared" si="0"/>
        <v>15.696000000000002</v>
      </c>
      <c r="W61" s="127"/>
      <c r="X61" s="10"/>
      <c r="Y61" s="10"/>
      <c r="Z61" s="10"/>
      <c r="AA61" s="10"/>
      <c r="AB61" s="90"/>
      <c r="AC61" s="10"/>
      <c r="AD61" s="2"/>
      <c r="AE61" s="131"/>
    </row>
    <row r="62" spans="1:31" x14ac:dyDescent="0.25">
      <c r="A62" s="4"/>
      <c r="B62" s="69"/>
      <c r="C62" s="4"/>
      <c r="D62" s="3"/>
      <c r="E62" s="3"/>
      <c r="F62" s="3"/>
      <c r="G62" s="3"/>
      <c r="H62" s="212"/>
      <c r="I62" s="3"/>
      <c r="J62" s="3"/>
      <c r="K62" s="3"/>
      <c r="L62" s="4"/>
      <c r="W62" s="127"/>
      <c r="X62" s="10"/>
      <c r="Y62" s="10"/>
      <c r="Z62" s="10"/>
      <c r="AA62" s="10"/>
      <c r="AB62" s="90"/>
      <c r="AC62" s="10"/>
      <c r="AD62" s="2"/>
      <c r="AE62" s="131"/>
    </row>
    <row r="63" spans="1:31" x14ac:dyDescent="0.25">
      <c r="A63" s="4"/>
      <c r="B63" s="69"/>
      <c r="C63" s="4"/>
      <c r="D63" s="3"/>
      <c r="E63" s="3"/>
      <c r="F63" s="3"/>
      <c r="G63" s="3"/>
      <c r="H63" s="212"/>
      <c r="I63" s="3"/>
      <c r="J63" s="3"/>
      <c r="K63" s="3"/>
      <c r="L63" s="4"/>
      <c r="W63" s="127"/>
      <c r="X63" s="10"/>
      <c r="Y63" s="10"/>
      <c r="Z63" s="10"/>
      <c r="AA63" s="10"/>
      <c r="AB63" s="90"/>
      <c r="AC63" s="10"/>
      <c r="AD63" s="2"/>
      <c r="AE63" s="131"/>
    </row>
    <row r="64" spans="1:31" x14ac:dyDescent="0.25">
      <c r="A64" s="4"/>
      <c r="B64" s="4"/>
      <c r="C64" s="4"/>
      <c r="D64" s="3"/>
      <c r="E64" s="3"/>
      <c r="F64" s="3"/>
      <c r="G64" s="4"/>
      <c r="H64" s="4"/>
      <c r="I64" s="3"/>
      <c r="J64" s="3"/>
      <c r="K64" s="3"/>
      <c r="L64" s="4"/>
      <c r="W64" s="127"/>
      <c r="X64" s="10"/>
      <c r="Y64" s="10"/>
      <c r="Z64" s="10"/>
      <c r="AA64" s="10"/>
      <c r="AB64" s="90"/>
      <c r="AC64" s="10"/>
      <c r="AD64" s="2"/>
      <c r="AE64" s="131"/>
    </row>
    <row r="65" spans="1:31" x14ac:dyDescent="0.25">
      <c r="A65" s="4"/>
      <c r="B65" s="4"/>
      <c r="C65" s="4"/>
      <c r="D65" s="3"/>
      <c r="E65" s="3"/>
      <c r="F65" s="3"/>
      <c r="G65" s="4"/>
      <c r="H65" s="4"/>
      <c r="I65" s="3"/>
      <c r="J65" s="3"/>
      <c r="K65" s="3"/>
      <c r="L65" s="4"/>
      <c r="W65" s="127"/>
      <c r="X65" s="10"/>
      <c r="Y65" s="10"/>
      <c r="Z65" s="10"/>
      <c r="AA65" s="10"/>
      <c r="AB65" s="90"/>
      <c r="AC65" s="10"/>
      <c r="AD65" s="2"/>
      <c r="AE65" s="131"/>
    </row>
    <row r="66" spans="1:31" x14ac:dyDescent="0.25">
      <c r="A66" s="4"/>
      <c r="B66" s="4"/>
      <c r="C66" s="4"/>
      <c r="D66" s="3"/>
      <c r="E66" s="3"/>
      <c r="F66" s="3"/>
      <c r="G66" s="4"/>
      <c r="H66" s="4"/>
      <c r="I66" s="3"/>
      <c r="J66" s="3"/>
      <c r="K66" s="3"/>
      <c r="L66" s="4" t="s">
        <v>65</v>
      </c>
      <c r="M66" s="2">
        <f>M84+K84-F84</f>
        <v>557.94000000000005</v>
      </c>
      <c r="W66" s="127"/>
      <c r="X66" s="10"/>
      <c r="Y66" s="10"/>
      <c r="Z66" s="10"/>
      <c r="AA66" s="10"/>
      <c r="AB66" s="90"/>
      <c r="AC66" s="10"/>
      <c r="AD66" s="2"/>
      <c r="AE66" s="131"/>
    </row>
    <row r="67" spans="1:31"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c r="W67" s="127"/>
      <c r="X67" s="10"/>
      <c r="Y67" s="10"/>
      <c r="Z67" s="10"/>
      <c r="AA67" s="10"/>
      <c r="AB67" s="90"/>
      <c r="AC67" s="10"/>
      <c r="AD67" s="2"/>
      <c r="AE67" s="131"/>
    </row>
    <row r="68" spans="1:31" x14ac:dyDescent="0.25">
      <c r="A68" s="433" t="s">
        <v>624</v>
      </c>
      <c r="B68" s="69">
        <v>42965</v>
      </c>
      <c r="C68" s="4">
        <v>100</v>
      </c>
      <c r="D68" s="3">
        <v>22.48</v>
      </c>
      <c r="E68" s="3">
        <v>0</v>
      </c>
      <c r="F68" s="3">
        <f>C68*D68+E68</f>
        <v>2248</v>
      </c>
      <c r="G68" s="69">
        <v>42997</v>
      </c>
      <c r="H68" s="4">
        <v>100</v>
      </c>
      <c r="I68" s="3">
        <v>28.06</v>
      </c>
      <c r="J68" s="3">
        <v>0.06</v>
      </c>
      <c r="K68" s="3">
        <f>H68*I68-J68</f>
        <v>2805.94</v>
      </c>
      <c r="L68" s="69"/>
      <c r="M68" s="420"/>
      <c r="W68" s="127"/>
      <c r="X68" s="10"/>
      <c r="Y68" s="10"/>
      <c r="Z68" s="10"/>
      <c r="AA68" s="10"/>
      <c r="AB68" s="90"/>
      <c r="AC68" s="10"/>
      <c r="AD68" s="2"/>
      <c r="AE68" s="131"/>
    </row>
    <row r="69" spans="1:31" x14ac:dyDescent="0.25">
      <c r="A69" s="435" t="s">
        <v>71</v>
      </c>
      <c r="B69" s="417"/>
      <c r="C69" s="418"/>
      <c r="D69" s="420"/>
      <c r="E69" s="420"/>
      <c r="F69" s="420"/>
      <c r="G69" s="417"/>
      <c r="H69" s="434"/>
      <c r="I69" s="420"/>
      <c r="J69" s="420"/>
      <c r="K69" s="420"/>
      <c r="L69" s="418"/>
      <c r="M69" s="418"/>
      <c r="AD69" s="2"/>
      <c r="AE69" s="131"/>
    </row>
    <row r="70" spans="1:31" x14ac:dyDescent="0.25">
      <c r="A70" s="418"/>
      <c r="B70" s="417"/>
      <c r="C70" s="418"/>
      <c r="D70" s="420"/>
      <c r="E70" s="420"/>
      <c r="F70" s="420"/>
      <c r="G70" s="417"/>
      <c r="H70" s="434"/>
      <c r="I70" s="420"/>
      <c r="J70" s="420"/>
      <c r="K70" s="420"/>
      <c r="L70" s="418"/>
      <c r="M70" s="418"/>
    </row>
    <row r="71" spans="1:31" x14ac:dyDescent="0.25">
      <c r="A71" s="418"/>
      <c r="B71" s="417"/>
      <c r="C71" s="418"/>
      <c r="D71" s="420"/>
      <c r="E71" s="420"/>
      <c r="F71" s="420"/>
      <c r="G71" s="418"/>
      <c r="H71" s="434"/>
      <c r="I71" s="420"/>
      <c r="J71" s="420"/>
      <c r="K71" s="420"/>
      <c r="L71" s="418"/>
      <c r="M71" s="418"/>
    </row>
    <row r="72" spans="1:31" x14ac:dyDescent="0.25">
      <c r="A72" s="418"/>
      <c r="B72" s="417"/>
      <c r="C72" s="418"/>
      <c r="D72" s="420"/>
      <c r="E72" s="420"/>
      <c r="F72" s="420"/>
      <c r="G72" s="418"/>
      <c r="H72" s="434"/>
      <c r="I72" s="420"/>
      <c r="J72" s="420"/>
      <c r="K72" s="420"/>
      <c r="L72" s="418"/>
      <c r="M72" s="418"/>
    </row>
    <row r="73" spans="1:31" x14ac:dyDescent="0.25">
      <c r="A73" s="418"/>
      <c r="B73" s="418"/>
      <c r="C73" s="418"/>
      <c r="D73" s="420"/>
      <c r="E73" s="420"/>
      <c r="F73" s="420"/>
      <c r="G73" s="418"/>
      <c r="H73" s="434"/>
      <c r="I73" s="420"/>
      <c r="J73" s="420"/>
      <c r="K73" s="420"/>
      <c r="L73" s="418"/>
      <c r="M73" s="418"/>
    </row>
    <row r="74" spans="1:31" x14ac:dyDescent="0.25">
      <c r="A74" s="418"/>
      <c r="B74" s="418"/>
      <c r="C74" s="418"/>
      <c r="D74" s="420"/>
      <c r="E74" s="420"/>
      <c r="F74" s="420"/>
      <c r="G74" s="418"/>
      <c r="H74" s="434"/>
      <c r="I74" s="420"/>
      <c r="J74" s="420"/>
      <c r="K74" s="420"/>
      <c r="L74" s="418"/>
      <c r="M74" s="418"/>
    </row>
    <row r="75" spans="1:31" x14ac:dyDescent="0.25">
      <c r="A75" s="418"/>
      <c r="B75" s="418"/>
      <c r="C75" s="418"/>
      <c r="D75" s="420"/>
      <c r="E75" s="420"/>
      <c r="F75" s="420"/>
      <c r="G75" s="418"/>
      <c r="H75" s="434"/>
      <c r="I75" s="420"/>
      <c r="J75" s="420"/>
      <c r="K75" s="420"/>
      <c r="L75" s="418"/>
      <c r="M75" s="418"/>
    </row>
    <row r="76" spans="1:31" x14ac:dyDescent="0.25">
      <c r="A76" s="418"/>
      <c r="B76" s="418"/>
      <c r="C76" s="418"/>
      <c r="D76" s="420"/>
      <c r="E76" s="420"/>
      <c r="F76" s="420"/>
      <c r="G76" s="418"/>
      <c r="H76" s="434"/>
      <c r="I76" s="420"/>
      <c r="J76" s="420"/>
      <c r="K76" s="420"/>
      <c r="L76" s="418"/>
      <c r="M76" s="418"/>
    </row>
    <row r="77" spans="1:31" x14ac:dyDescent="0.25">
      <c r="A77" s="418"/>
      <c r="B77" s="418"/>
      <c r="C77" s="418"/>
      <c r="D77" s="420"/>
      <c r="E77" s="420"/>
      <c r="F77" s="420"/>
      <c r="G77" s="418"/>
      <c r="H77" s="434"/>
      <c r="I77" s="420"/>
      <c r="J77" s="420"/>
      <c r="K77" s="420"/>
      <c r="L77" s="418"/>
      <c r="M77" s="418"/>
    </row>
    <row r="78" spans="1:31" x14ac:dyDescent="0.25">
      <c r="A78" s="418"/>
      <c r="B78" s="418"/>
      <c r="C78" s="418"/>
      <c r="D78" s="420"/>
      <c r="E78" s="420"/>
      <c r="F78" s="420"/>
      <c r="G78" s="418"/>
      <c r="H78" s="434"/>
      <c r="I78" s="420"/>
      <c r="J78" s="420"/>
      <c r="K78" s="420"/>
      <c r="L78" s="418"/>
      <c r="M78" s="418"/>
    </row>
    <row r="79" spans="1:31" x14ac:dyDescent="0.25">
      <c r="A79" s="418"/>
      <c r="B79" s="418"/>
      <c r="C79" s="418"/>
      <c r="D79" s="420"/>
      <c r="E79" s="420"/>
      <c r="F79" s="420"/>
      <c r="G79" s="418"/>
      <c r="H79" s="434"/>
      <c r="I79" s="420"/>
      <c r="J79" s="420"/>
      <c r="K79" s="420"/>
      <c r="L79" s="418"/>
      <c r="M79" s="418"/>
    </row>
    <row r="80" spans="1:31"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SUM(C68:C72)</f>
        <v>100</v>
      </c>
      <c r="D84" s="438"/>
      <c r="E84" s="438"/>
      <c r="F84" s="438">
        <f>SUM(F68:F72)</f>
        <v>2248</v>
      </c>
      <c r="G84" s="437"/>
      <c r="H84" s="459">
        <f>SUM(H68:H71)</f>
        <v>100</v>
      </c>
      <c r="I84" s="438"/>
      <c r="J84" s="438"/>
      <c r="K84" s="438">
        <f>SUM(K68:K71)</f>
        <v>2805.94</v>
      </c>
      <c r="L84" s="437"/>
      <c r="M84" s="438">
        <f>SUM(M68:M76)</f>
        <v>0</v>
      </c>
    </row>
    <row r="85" spans="1:13" ht="15.75" thickBot="1" x14ac:dyDescent="0.3">
      <c r="A85" s="439" t="s">
        <v>189</v>
      </c>
      <c r="B85" s="440"/>
      <c r="C85" s="441">
        <f>SumByColor($A$19,C68:C83)</f>
        <v>0</v>
      </c>
      <c r="D85" s="441"/>
      <c r="E85" s="441"/>
      <c r="F85" s="442">
        <f>SumByColor($A$19,F68:F83)</f>
        <v>0</v>
      </c>
      <c r="G85" s="441"/>
      <c r="H85" s="441">
        <f>SumByColor($A$19,H68:H83)</f>
        <v>0</v>
      </c>
      <c r="I85" s="441"/>
      <c r="J85" s="441"/>
      <c r="K85" s="442">
        <f>SumByColor($A$19,K69:K83)</f>
        <v>0</v>
      </c>
      <c r="L85" s="441"/>
      <c r="M85" s="442">
        <f>SumByColor($A$19,M68:M83)</f>
        <v>0</v>
      </c>
    </row>
    <row r="88" spans="1:13" x14ac:dyDescent="0.25">
      <c r="B88" s="159" t="s">
        <v>113</v>
      </c>
      <c r="C88" s="159" t="s">
        <v>143</v>
      </c>
      <c r="D88" s="160" t="s">
        <v>142</v>
      </c>
      <c r="E88" s="162" t="s">
        <v>144</v>
      </c>
      <c r="F88" s="162" t="s">
        <v>65</v>
      </c>
      <c r="G88" s="173" t="s">
        <v>148</v>
      </c>
      <c r="H88" s="173" t="s">
        <v>88</v>
      </c>
      <c r="I88" s="173" t="s">
        <v>151</v>
      </c>
    </row>
    <row r="89" spans="1:13" x14ac:dyDescent="0.25">
      <c r="B89" s="161"/>
      <c r="C89" s="10"/>
      <c r="D89" s="39"/>
      <c r="E89" s="39"/>
      <c r="F89" s="39"/>
      <c r="G89" s="39"/>
      <c r="H89" s="175"/>
      <c r="I89" s="39"/>
    </row>
    <row r="90" spans="1:13" x14ac:dyDescent="0.25">
      <c r="B90" s="161"/>
      <c r="C90" s="10"/>
      <c r="D90" s="39"/>
      <c r="E90" s="39"/>
      <c r="F90" s="39"/>
      <c r="G90" s="39"/>
      <c r="H90" s="175"/>
      <c r="I90" s="39"/>
    </row>
    <row r="91" spans="1:13" x14ac:dyDescent="0.25">
      <c r="B91" s="161"/>
      <c r="C91" s="10"/>
      <c r="D91" s="39"/>
      <c r="E91" s="39"/>
      <c r="F91" s="39"/>
      <c r="G91" s="39"/>
      <c r="H91" s="175"/>
      <c r="I91" s="39"/>
    </row>
    <row r="92" spans="1:13" x14ac:dyDescent="0.25">
      <c r="B92" s="161"/>
      <c r="C92" s="10"/>
      <c r="D92" s="39"/>
      <c r="E92" s="39"/>
      <c r="F92" s="39"/>
      <c r="G92" s="39"/>
      <c r="H92" s="175"/>
      <c r="I92" s="39"/>
    </row>
    <row r="93" spans="1:13" x14ac:dyDescent="0.25">
      <c r="B93" s="161"/>
      <c r="C93" s="10"/>
      <c r="D93" s="39"/>
      <c r="E93" s="39"/>
      <c r="F93" s="39"/>
      <c r="G93" s="39"/>
      <c r="H93" s="175"/>
      <c r="I93" s="39"/>
    </row>
    <row r="94" spans="1:13" x14ac:dyDescent="0.25">
      <c r="B94" s="161"/>
      <c r="C94" s="10"/>
      <c r="D94" s="39"/>
      <c r="E94" s="39"/>
      <c r="F94" s="39"/>
      <c r="G94" s="39"/>
      <c r="H94" s="175"/>
      <c r="I94" s="39"/>
    </row>
    <row r="95" spans="1:13" x14ac:dyDescent="0.25">
      <c r="B95" s="161"/>
      <c r="C95" s="10"/>
      <c r="D95" s="39"/>
      <c r="E95" s="39"/>
      <c r="F95" s="39"/>
      <c r="G95" s="39"/>
      <c r="H95" s="175"/>
      <c r="I95" s="39"/>
    </row>
    <row r="96" spans="1:13" x14ac:dyDescent="0.25">
      <c r="B96" s="161"/>
      <c r="C96" s="10"/>
      <c r="D96" s="39"/>
      <c r="E96" s="39"/>
      <c r="F96" s="39"/>
      <c r="G96" s="39"/>
      <c r="H96" s="175"/>
      <c r="I96" s="39"/>
    </row>
    <row r="97" spans="2:9" x14ac:dyDescent="0.25">
      <c r="B97" s="161"/>
      <c r="C97" s="10"/>
      <c r="D97" s="39"/>
      <c r="E97" s="39"/>
      <c r="F97" s="39"/>
      <c r="G97" s="39"/>
      <c r="H97" s="175"/>
      <c r="I97" s="39"/>
    </row>
    <row r="98" spans="2:9" x14ac:dyDescent="0.25">
      <c r="B98" s="161"/>
      <c r="C98" s="10"/>
      <c r="D98" s="39"/>
      <c r="E98" s="39"/>
      <c r="F98" s="39"/>
      <c r="G98" s="39"/>
      <c r="H98" s="175"/>
      <c r="I98" s="39"/>
    </row>
    <row r="99" spans="2:9" x14ac:dyDescent="0.25">
      <c r="B99" s="161"/>
      <c r="C99" s="10"/>
      <c r="D99" s="39"/>
      <c r="E99" s="39"/>
      <c r="F99" s="39"/>
      <c r="G99" s="39"/>
      <c r="H99" s="175"/>
      <c r="I99" s="39"/>
    </row>
    <row r="100" spans="2:9" x14ac:dyDescent="0.25">
      <c r="B100" s="161"/>
      <c r="C100" s="10"/>
      <c r="D100" s="39"/>
      <c r="E100" s="39"/>
      <c r="F100" s="39"/>
      <c r="G100" s="39"/>
      <c r="H100" s="175"/>
      <c r="I100" s="39"/>
    </row>
    <row r="101" spans="2:9" x14ac:dyDescent="0.25">
      <c r="B101" s="161"/>
      <c r="C101" s="10"/>
      <c r="D101" s="39"/>
      <c r="E101" s="39"/>
      <c r="F101" s="39"/>
      <c r="G101" s="39"/>
      <c r="H101" s="175"/>
      <c r="I101" s="39"/>
    </row>
    <row r="102" spans="2:9" x14ac:dyDescent="0.25">
      <c r="B102" s="161"/>
      <c r="C102" s="10"/>
      <c r="D102" s="39"/>
      <c r="E102" s="39"/>
      <c r="F102" s="39"/>
      <c r="G102" s="39"/>
      <c r="H102" s="175"/>
      <c r="I102" s="39"/>
    </row>
    <row r="103" spans="2:9" x14ac:dyDescent="0.25">
      <c r="B103" s="161"/>
      <c r="C103" s="10"/>
      <c r="D103" s="39"/>
      <c r="E103" s="39"/>
      <c r="F103" s="39"/>
      <c r="G103" s="39"/>
      <c r="H103" s="175"/>
      <c r="I103" s="39"/>
    </row>
    <row r="104" spans="2:9" x14ac:dyDescent="0.25">
      <c r="B104" s="161"/>
      <c r="C104" s="10"/>
      <c r="D104" s="39"/>
      <c r="E104" s="39"/>
      <c r="F104" s="39"/>
      <c r="G104" s="39"/>
      <c r="H104" s="175"/>
      <c r="I104" s="39"/>
    </row>
    <row r="105" spans="2:9" x14ac:dyDescent="0.25">
      <c r="B105" s="161"/>
      <c r="C105" s="10"/>
      <c r="D105" s="39"/>
      <c r="E105" s="39"/>
      <c r="F105" s="39"/>
      <c r="G105" s="39"/>
      <c r="H105" s="175"/>
      <c r="I105" s="39"/>
    </row>
    <row r="106" spans="2:9" x14ac:dyDescent="0.25">
      <c r="B106" s="161"/>
      <c r="C106" s="10"/>
      <c r="D106" s="39"/>
      <c r="E106" s="39"/>
      <c r="F106" s="39"/>
      <c r="G106" s="39"/>
      <c r="H106" s="175"/>
      <c r="I106" s="39"/>
    </row>
    <row r="107" spans="2:9" x14ac:dyDescent="0.25">
      <c r="B107" s="161"/>
      <c r="C107" s="10"/>
      <c r="D107" s="39"/>
      <c r="E107" s="39"/>
      <c r="F107" s="39"/>
      <c r="G107" s="39"/>
      <c r="H107" s="175"/>
      <c r="I107" s="39"/>
    </row>
    <row r="108" spans="2:9" x14ac:dyDescent="0.25">
      <c r="B108" s="161"/>
      <c r="C108" s="10"/>
      <c r="D108" s="39"/>
      <c r="E108" s="39"/>
      <c r="F108" s="39"/>
      <c r="G108" s="39"/>
      <c r="H108" s="175"/>
      <c r="I108" s="39"/>
    </row>
    <row r="109" spans="2:9" x14ac:dyDescent="0.25">
      <c r="B109" s="161"/>
      <c r="C109" s="10"/>
      <c r="D109" s="39"/>
      <c r="E109" s="39"/>
      <c r="F109" s="39"/>
      <c r="G109" s="39"/>
      <c r="H109" s="175"/>
      <c r="I109" s="39"/>
    </row>
    <row r="110" spans="2:9" x14ac:dyDescent="0.25">
      <c r="B110" s="161"/>
      <c r="C110" s="10"/>
      <c r="D110" s="39"/>
      <c r="E110" s="39"/>
      <c r="F110" s="39"/>
      <c r="G110" s="39"/>
      <c r="H110" s="175"/>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{04F0B493-EEEC-4AE6-A88C-BDDDEB1A4C64}</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3891" priority="21">
      <formula>F47&gt;0</formula>
    </cfRule>
    <cfRule type="expression" dxfId="3890" priority="22">
      <formula>F47&lt;0</formula>
    </cfRule>
  </conditionalFormatting>
  <conditionalFormatting sqref="Q7">
    <cfRule type="expression" dxfId="3889" priority="19">
      <formula>Q7&gt;0</formula>
    </cfRule>
    <cfRule type="expression" dxfId="3888" priority="20">
      <formula>Q7&lt;0</formula>
    </cfRule>
  </conditionalFormatting>
  <conditionalFormatting sqref="Q8">
    <cfRule type="expression" dxfId="3887" priority="17">
      <formula>Q8&gt;0</formula>
    </cfRule>
    <cfRule type="expression" dxfId="3886" priority="18">
      <formula>Q8&lt;0</formula>
    </cfRule>
  </conditionalFormatting>
  <conditionalFormatting sqref="F25:F46">
    <cfRule type="expression" dxfId="3885" priority="15">
      <formula>F25&gt;0</formula>
    </cfRule>
    <cfRule type="expression" dxfId="3884" priority="16">
      <formula>F25&lt;0</formula>
    </cfRule>
  </conditionalFormatting>
  <conditionalFormatting sqref="H25:H46">
    <cfRule type="expression" dxfId="3883" priority="13">
      <formula>H25&gt;0</formula>
    </cfRule>
    <cfRule type="expression" dxfId="3882" priority="14">
      <formula>H25&lt;0</formula>
    </cfRule>
  </conditionalFormatting>
  <conditionalFormatting sqref="F89:F110">
    <cfRule type="expression" dxfId="3881" priority="11">
      <formula>F89&gt;0</formula>
    </cfRule>
    <cfRule type="expression" dxfId="3880" priority="12">
      <formula>F89&lt;0</formula>
    </cfRule>
  </conditionalFormatting>
  <conditionalFormatting sqref="H89:H110">
    <cfRule type="expression" dxfId="3879" priority="9">
      <formula>H89&gt;0</formula>
    </cfRule>
    <cfRule type="expression" dxfId="3878" priority="10">
      <formula>H89&lt;0</formula>
    </cfRule>
  </conditionalFormatting>
  <conditionalFormatting sqref="Q10">
    <cfRule type="expression" dxfId="3877" priority="7">
      <formula>Q10&gt;0</formula>
    </cfRule>
    <cfRule type="expression" dxfId="3876" priority="8">
      <formula>Q10&lt;0</formula>
    </cfRule>
  </conditionalFormatting>
  <conditionalFormatting sqref="J25:J38">
    <cfRule type="expression" dxfId="3875" priority="5">
      <formula>J25&gt;0</formula>
    </cfRule>
    <cfRule type="expression" dxfId="3874" priority="6">
      <formula>J25&lt;0</formula>
    </cfRule>
  </conditionalFormatting>
  <conditionalFormatting sqref="K25:K38">
    <cfRule type="expression" dxfId="3873" priority="3">
      <formula>K25&gt;0</formula>
    </cfRule>
    <cfRule type="expression" dxfId="3872" priority="4">
      <formula>K25&lt;0</formula>
    </cfRule>
  </conditionalFormatting>
  <conditionalFormatting sqref="L25:L38">
    <cfRule type="expression" dxfId="3871" priority="1">
      <formula>L25&gt;0</formula>
    </cfRule>
    <cfRule type="expression" dxfId="3870"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4F0B493-EEEC-4AE6-A88C-BDDDEB1A4C6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9"/>
  <dimension ref="A1:AE87"/>
  <sheetViews>
    <sheetView workbookViewId="0">
      <pane ySplit="1" topLeftCell="A2" activePane="bottomLeft" state="frozen"/>
      <selection activeCell="A2" sqref="A2"/>
      <selection pane="bottomLeft" activeCell="Q35" sqref="Q35"/>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c r="X1" s="88"/>
      <c r="Y1" s="88"/>
      <c r="Z1" s="88"/>
      <c r="AA1" s="88"/>
      <c r="AB1" s="88"/>
      <c r="AC1" s="88"/>
    </row>
    <row r="2" spans="1:31" x14ac:dyDescent="0.25">
      <c r="A2" s="6" t="s">
        <v>240</v>
      </c>
      <c r="B2" s="69"/>
      <c r="C2" s="4"/>
      <c r="D2" s="3"/>
      <c r="E2" s="3"/>
      <c r="F2" s="3"/>
      <c r="G2" s="69"/>
      <c r="H2" s="4"/>
      <c r="I2" s="3"/>
      <c r="J2" s="3"/>
      <c r="K2" s="3"/>
      <c r="L2" s="69"/>
      <c r="M2" s="4"/>
      <c r="O2" s="11" t="s">
        <v>57</v>
      </c>
      <c r="Q2">
        <f>C18-H18</f>
        <v>0</v>
      </c>
      <c r="T2" s="1"/>
      <c r="W2" s="127"/>
      <c r="X2" s="10"/>
      <c r="Y2" s="10"/>
      <c r="Z2" s="10"/>
      <c r="AA2" s="10"/>
      <c r="AB2" s="90"/>
      <c r="AC2" s="10"/>
      <c r="AD2" s="2"/>
      <c r="AE2" s="131"/>
    </row>
    <row r="3" spans="1:31" x14ac:dyDescent="0.25">
      <c r="A3" s="22" t="s">
        <v>71</v>
      </c>
      <c r="G3" s="69"/>
      <c r="H3" s="158"/>
      <c r="I3" s="3"/>
      <c r="J3" s="3"/>
      <c r="K3" s="3"/>
      <c r="L3" s="4"/>
      <c r="O3" s="11" t="s">
        <v>58</v>
      </c>
      <c r="Q3" s="174">
        <f>IF(Q2=0, Q4, (F18-K18-M18)/Q2)</f>
        <v>89.61</v>
      </c>
      <c r="T3" s="1"/>
      <c r="W3" s="127"/>
      <c r="X3" s="10"/>
      <c r="Y3" s="10"/>
      <c r="Z3" s="10"/>
      <c r="AA3" s="10"/>
      <c r="AB3" s="90"/>
      <c r="AC3" s="10"/>
      <c r="AD3" s="2"/>
      <c r="AE3" s="131"/>
    </row>
    <row r="4" spans="1:31" x14ac:dyDescent="0.25">
      <c r="B4" s="69"/>
      <c r="C4" s="4"/>
      <c r="D4" s="3"/>
      <c r="E4" s="3"/>
      <c r="F4" s="3"/>
      <c r="G4" s="4"/>
      <c r="H4" s="158"/>
      <c r="I4" s="3"/>
      <c r="J4" s="3"/>
      <c r="K4" s="3"/>
      <c r="L4" s="4"/>
      <c r="O4" s="11" t="s">
        <v>66</v>
      </c>
      <c r="Q4" s="53">
        <v>89.61</v>
      </c>
      <c r="R4" s="396">
        <v>5.0000000000000001E-4</v>
      </c>
      <c r="T4" s="153"/>
      <c r="U4" s="1"/>
      <c r="W4" s="127"/>
      <c r="X4" s="10"/>
      <c r="Y4" s="10"/>
      <c r="Z4" s="10"/>
      <c r="AA4" s="10"/>
      <c r="AB4" s="90"/>
      <c r="AC4" s="10"/>
      <c r="AD4" s="2"/>
      <c r="AE4" s="131"/>
    </row>
    <row r="5" spans="1:31" x14ac:dyDescent="0.25">
      <c r="B5" s="69"/>
      <c r="C5" s="4"/>
      <c r="D5" s="3"/>
      <c r="E5" s="3"/>
      <c r="F5" s="3"/>
      <c r="G5" s="4"/>
      <c r="H5" s="158"/>
      <c r="I5" s="3"/>
      <c r="J5" s="3"/>
      <c r="K5" s="3"/>
      <c r="L5" s="4"/>
      <c r="O5" s="11" t="s">
        <v>67</v>
      </c>
      <c r="Q5" s="3">
        <f>Q4*Q2</f>
        <v>0</v>
      </c>
      <c r="W5" s="127"/>
      <c r="X5" s="10"/>
      <c r="Y5" s="10"/>
      <c r="Z5" s="10"/>
      <c r="AA5" s="10"/>
      <c r="AB5" s="90"/>
      <c r="AC5" s="10"/>
      <c r="AD5" s="2"/>
      <c r="AE5" s="131"/>
    </row>
    <row r="6" spans="1:31" x14ac:dyDescent="0.25">
      <c r="B6" s="69"/>
      <c r="C6" s="4"/>
      <c r="D6" s="3"/>
      <c r="E6" s="3"/>
      <c r="F6" s="3"/>
      <c r="G6" s="4"/>
      <c r="H6" s="158"/>
      <c r="I6" s="3"/>
      <c r="J6" s="3"/>
      <c r="K6" s="3"/>
      <c r="L6" s="4"/>
      <c r="O6" s="11" t="s">
        <v>64</v>
      </c>
      <c r="Q6" s="2">
        <f>Q3*Q2</f>
        <v>0</v>
      </c>
      <c r="W6" s="127"/>
      <c r="X6" s="10"/>
      <c r="Y6" s="10"/>
      <c r="Z6" s="10"/>
      <c r="AA6" s="10"/>
      <c r="AB6" s="90"/>
      <c r="AC6" s="10"/>
      <c r="AD6" s="2"/>
      <c r="AE6" s="131"/>
    </row>
    <row r="7" spans="1:31" x14ac:dyDescent="0.25">
      <c r="B7" s="4"/>
      <c r="C7" s="4"/>
      <c r="D7" s="3"/>
      <c r="E7" s="3"/>
      <c r="F7" s="3"/>
      <c r="G7" s="4"/>
      <c r="H7" s="158"/>
      <c r="I7" s="3"/>
      <c r="J7" s="3"/>
      <c r="K7" s="3"/>
      <c r="L7" s="4"/>
      <c r="O7" s="11" t="s">
        <v>175</v>
      </c>
      <c r="Q7" s="2">
        <f>Q10+Q8</f>
        <v>329.74000000000069</v>
      </c>
      <c r="R7">
        <v>0</v>
      </c>
      <c r="W7" s="127"/>
      <c r="X7" s="10"/>
      <c r="Y7" s="10"/>
      <c r="Z7" s="10"/>
      <c r="AA7" s="10"/>
      <c r="AB7" s="90"/>
      <c r="AC7" s="10"/>
      <c r="AD7" s="2"/>
      <c r="AE7" s="131"/>
    </row>
    <row r="8" spans="1:31" x14ac:dyDescent="0.25">
      <c r="B8" s="4"/>
      <c r="C8" s="4"/>
      <c r="D8" s="3"/>
      <c r="E8" s="3"/>
      <c r="F8" s="3"/>
      <c r="G8" s="4"/>
      <c r="H8" s="158"/>
      <c r="I8" s="3"/>
      <c r="J8" s="3"/>
      <c r="K8" s="3"/>
      <c r="L8" s="4"/>
      <c r="O8" s="11" t="s">
        <v>177</v>
      </c>
      <c r="P8" s="33"/>
      <c r="Q8" s="2">
        <f>K18+M18-F18+Q2*Q4</f>
        <v>0</v>
      </c>
      <c r="W8" s="127"/>
      <c r="X8" s="10"/>
      <c r="Y8" s="10"/>
      <c r="Z8" s="10"/>
      <c r="AA8" s="10"/>
      <c r="AB8" s="90"/>
      <c r="AC8" s="10"/>
      <c r="AD8" s="2"/>
      <c r="AE8" s="131"/>
    </row>
    <row r="9" spans="1:31" x14ac:dyDescent="0.25">
      <c r="B9" s="4"/>
      <c r="C9" s="4"/>
      <c r="D9" s="3"/>
      <c r="E9" s="3"/>
      <c r="F9" s="3"/>
      <c r="G9" s="4"/>
      <c r="H9" s="158"/>
      <c r="I9" s="3"/>
      <c r="J9" s="3"/>
      <c r="K9" s="3"/>
      <c r="L9" s="4"/>
      <c r="O9" s="11" t="s">
        <v>202</v>
      </c>
      <c r="Q9" s="131">
        <f>IF(Q2=0, 0, Q8/Q6)</f>
        <v>0</v>
      </c>
      <c r="W9" s="127"/>
      <c r="X9" s="10"/>
      <c r="Y9" s="10"/>
      <c r="Z9" s="10"/>
      <c r="AA9" s="10"/>
      <c r="AB9" s="90"/>
      <c r="AC9" s="10"/>
      <c r="AD9" s="2"/>
      <c r="AE9" s="131"/>
    </row>
    <row r="10" spans="1:31" x14ac:dyDescent="0.25">
      <c r="B10" s="4"/>
      <c r="C10" s="4"/>
      <c r="D10" s="3"/>
      <c r="E10" s="3"/>
      <c r="F10" s="3"/>
      <c r="G10" s="4"/>
      <c r="H10" s="158"/>
      <c r="I10" s="3"/>
      <c r="J10" s="3"/>
      <c r="K10" s="3"/>
      <c r="L10" s="4"/>
      <c r="O10" s="11" t="s">
        <v>201</v>
      </c>
      <c r="P10" s="33"/>
      <c r="Q10" s="2">
        <f>M46</f>
        <v>329.74000000000069</v>
      </c>
      <c r="W10" s="127"/>
      <c r="X10" s="10"/>
      <c r="Y10" s="10"/>
      <c r="Z10" s="10"/>
      <c r="AA10" s="10"/>
      <c r="AB10" s="90"/>
      <c r="AC10" s="10"/>
      <c r="AD10" s="2"/>
      <c r="AE10" s="131"/>
    </row>
    <row r="11" spans="1:31" x14ac:dyDescent="0.25">
      <c r="B11" s="4"/>
      <c r="C11" s="4"/>
      <c r="D11" s="3"/>
      <c r="E11" s="3"/>
      <c r="F11" s="3"/>
      <c r="G11" s="4"/>
      <c r="H11" s="158"/>
      <c r="I11" s="3"/>
      <c r="J11" s="3"/>
      <c r="K11" s="3"/>
      <c r="L11" s="4"/>
      <c r="O11" s="11" t="s">
        <v>173</v>
      </c>
      <c r="P11" s="33"/>
      <c r="Q11" s="131">
        <f>IF(U58="N/A (N/A)", 0, VALUE(TRIM(CLEAN(MID(U58, FIND("(", U58)+1, 5)))))</f>
        <v>0</v>
      </c>
      <c r="W11" s="127"/>
      <c r="X11" s="10"/>
      <c r="Y11" s="10"/>
      <c r="Z11" s="10"/>
      <c r="AA11" s="10"/>
      <c r="AB11" s="90"/>
      <c r="AC11" s="10"/>
      <c r="AD11" s="2"/>
      <c r="AE11" s="131"/>
    </row>
    <row r="12" spans="1:31" x14ac:dyDescent="0.25">
      <c r="H12" s="67"/>
      <c r="W12" s="127"/>
      <c r="X12" s="10"/>
      <c r="Y12" s="10"/>
      <c r="Z12" s="10"/>
      <c r="AA12" s="10"/>
      <c r="AB12" s="90"/>
      <c r="AC12" s="10"/>
      <c r="AD12" s="2"/>
      <c r="AE12" s="131"/>
    </row>
    <row r="13" spans="1:31" x14ac:dyDescent="0.25">
      <c r="H13" s="67"/>
      <c r="W13" s="127"/>
      <c r="X13" s="10"/>
      <c r="Y13" s="10"/>
      <c r="Z13" s="10"/>
      <c r="AA13" s="10"/>
      <c r="AB13" s="90"/>
      <c r="AC13" s="10"/>
      <c r="AD13" s="2"/>
      <c r="AE13" s="131"/>
    </row>
    <row r="14" spans="1:31" x14ac:dyDescent="0.25">
      <c r="H14" s="67"/>
      <c r="W14" s="127"/>
      <c r="X14" s="10"/>
      <c r="Y14" s="10"/>
      <c r="Z14" s="10"/>
      <c r="AA14" s="10"/>
      <c r="AB14" s="90"/>
      <c r="AC14" s="10"/>
      <c r="AD14" s="2"/>
      <c r="AE14" s="131"/>
    </row>
    <row r="15" spans="1:31" x14ac:dyDescent="0.25">
      <c r="H15" s="67"/>
      <c r="W15" s="127"/>
      <c r="X15" s="10"/>
      <c r="Y15" s="10"/>
      <c r="Z15" s="10"/>
      <c r="AA15" s="10"/>
      <c r="AB15" s="90"/>
      <c r="AC15" s="10"/>
      <c r="AD15" s="2"/>
      <c r="AE15" s="131"/>
    </row>
    <row r="16" spans="1:31" x14ac:dyDescent="0.25">
      <c r="H16" s="67"/>
      <c r="W16" s="127"/>
      <c r="X16" s="10"/>
      <c r="Y16" s="10"/>
      <c r="Z16" s="10"/>
      <c r="AA16" s="10"/>
      <c r="AB16" s="90"/>
      <c r="AC16" s="10"/>
      <c r="AD16" s="2"/>
      <c r="AE16" s="131"/>
    </row>
    <row r="17" spans="1:31" x14ac:dyDescent="0.25">
      <c r="W17" s="127"/>
      <c r="X17" s="10"/>
      <c r="Y17" s="10"/>
      <c r="Z17" s="10"/>
      <c r="AA17" s="10"/>
      <c r="AB17" s="90"/>
      <c r="AC17" s="10"/>
      <c r="AD17" s="2"/>
      <c r="AE17" s="131"/>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7"/>
      <c r="X18" s="10"/>
      <c r="Y18" s="10"/>
      <c r="Z18" s="10"/>
      <c r="AA18" s="10"/>
      <c r="AB18" s="90"/>
      <c r="AC18" s="10"/>
      <c r="AD18" s="2"/>
      <c r="AE18" s="131"/>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c r="X19" s="10"/>
      <c r="Y19" s="10"/>
      <c r="Z19" s="10"/>
      <c r="AA19" s="10"/>
      <c r="AB19" s="90"/>
      <c r="AC19" s="10"/>
      <c r="AD19" s="2"/>
      <c r="AE19" s="131"/>
    </row>
    <row r="20" spans="1:31" x14ac:dyDescent="0.25">
      <c r="W20" s="127"/>
      <c r="X20" s="10"/>
      <c r="Y20" s="10"/>
      <c r="Z20" s="10"/>
      <c r="AA20" s="10"/>
      <c r="AB20" s="90"/>
      <c r="AC20" s="10"/>
      <c r="AD20" s="2"/>
      <c r="AE20" s="131"/>
    </row>
    <row r="21" spans="1:31" x14ac:dyDescent="0.25">
      <c r="W21" s="127"/>
      <c r="X21" s="10"/>
      <c r="Y21" s="10"/>
      <c r="Z21" s="10"/>
      <c r="AA21" s="10"/>
      <c r="AB21" s="90"/>
      <c r="AC21" s="10"/>
      <c r="AD21" s="2"/>
      <c r="AE21" s="131"/>
    </row>
    <row r="22" spans="1:31" x14ac:dyDescent="0.25">
      <c r="W22" s="127"/>
      <c r="X22" s="10"/>
      <c r="Y22" s="10"/>
      <c r="Z22" s="10"/>
      <c r="AA22" s="10"/>
      <c r="AB22" s="90"/>
      <c r="AC22" s="10"/>
      <c r="AD22" s="2"/>
      <c r="AE22" s="131"/>
    </row>
    <row r="23" spans="1:31" x14ac:dyDescent="0.25">
      <c r="W23" s="127"/>
      <c r="X23" s="10"/>
      <c r="Y23" s="10"/>
      <c r="Z23" s="10"/>
      <c r="AA23" s="10"/>
      <c r="AB23" s="90"/>
      <c r="AC23" s="10"/>
      <c r="AD23" s="2"/>
      <c r="AE23" s="131"/>
    </row>
    <row r="24" spans="1:31" x14ac:dyDescent="0.25">
      <c r="B24" s="159" t="s">
        <v>113</v>
      </c>
      <c r="C24" s="159" t="s">
        <v>143</v>
      </c>
      <c r="D24" s="160" t="s">
        <v>142</v>
      </c>
      <c r="E24" s="162" t="s">
        <v>144</v>
      </c>
      <c r="F24" s="162" t="s">
        <v>65</v>
      </c>
      <c r="G24" s="173" t="s">
        <v>148</v>
      </c>
      <c r="H24" s="173" t="s">
        <v>88</v>
      </c>
      <c r="I24" s="173" t="s">
        <v>151</v>
      </c>
      <c r="J24" s="173"/>
      <c r="K24" s="173" t="s">
        <v>147</v>
      </c>
      <c r="L24" s="173"/>
      <c r="W24" s="127"/>
      <c r="X24" s="10"/>
      <c r="Y24" s="10"/>
      <c r="Z24" s="10"/>
      <c r="AA24" s="10"/>
      <c r="AB24" s="90"/>
      <c r="AC24" s="10"/>
      <c r="AD24" s="2"/>
      <c r="AE24" s="131"/>
    </row>
    <row r="25" spans="1:31" x14ac:dyDescent="0.25">
      <c r="B25" s="161">
        <v>42943</v>
      </c>
      <c r="C25" s="10">
        <v>60</v>
      </c>
      <c r="D25" s="39">
        <v>45.4</v>
      </c>
      <c r="E25" s="39">
        <v>46.01</v>
      </c>
      <c r="F25" s="39">
        <f>(E25-D25)*C25</f>
        <v>36.599999999999966</v>
      </c>
      <c r="G25" s="39">
        <f>D25*C25</f>
        <v>2724</v>
      </c>
      <c r="H25" s="175">
        <f>(E25-D25)/D25</f>
        <v>1.3436123348017609E-2</v>
      </c>
      <c r="I25" s="39"/>
      <c r="J25" s="39"/>
      <c r="K25" s="39"/>
      <c r="L25" s="39"/>
      <c r="W25" s="127"/>
      <c r="X25" s="10"/>
      <c r="Y25" s="10"/>
      <c r="Z25" s="10"/>
      <c r="AA25" s="10"/>
      <c r="AB25" s="90"/>
      <c r="AC25" s="10"/>
      <c r="AD25" s="2"/>
      <c r="AE25" s="131"/>
    </row>
    <row r="26" spans="1:31" x14ac:dyDescent="0.25">
      <c r="B26" s="161">
        <v>42947</v>
      </c>
      <c r="C26" s="10">
        <v>60</v>
      </c>
      <c r="D26" s="39">
        <v>45.4</v>
      </c>
      <c r="E26" s="39">
        <v>47.14</v>
      </c>
      <c r="F26" s="39">
        <f>(E26-D26)*C26</f>
        <v>104.40000000000012</v>
      </c>
      <c r="G26" s="39">
        <f>D26*C26</f>
        <v>2724</v>
      </c>
      <c r="H26" s="175">
        <f>(E26-D26)/D26</f>
        <v>3.8325991189427359E-2</v>
      </c>
      <c r="I26" s="39"/>
      <c r="J26" s="39"/>
      <c r="K26" s="39"/>
      <c r="L26" s="39"/>
      <c r="W26" s="127"/>
      <c r="X26" s="10"/>
      <c r="Y26" s="10"/>
      <c r="Z26" s="10"/>
      <c r="AA26" s="10"/>
      <c r="AB26" s="90"/>
      <c r="AC26" s="10"/>
      <c r="AD26" s="2"/>
      <c r="AE26" s="131"/>
    </row>
    <row r="27" spans="1:31" x14ac:dyDescent="0.25">
      <c r="B27" s="161">
        <v>42972</v>
      </c>
      <c r="C27" s="7">
        <v>100</v>
      </c>
      <c r="D27" s="43">
        <v>45.24</v>
      </c>
      <c r="E27" s="43">
        <v>44.98</v>
      </c>
      <c r="F27" s="39">
        <f>(E27-D27)*C27</f>
        <v>-26.000000000000512</v>
      </c>
      <c r="G27" s="39">
        <f>D27*C27</f>
        <v>4524</v>
      </c>
      <c r="H27" s="175">
        <f>(E27-D27)/D27</f>
        <v>-5.7471264367817219E-3</v>
      </c>
      <c r="I27" s="39">
        <v>44</v>
      </c>
      <c r="J27" s="39"/>
      <c r="K27" s="39"/>
      <c r="L27" s="39"/>
      <c r="W27" s="127"/>
      <c r="X27" s="10"/>
      <c r="Y27" s="10"/>
      <c r="Z27" s="10"/>
      <c r="AA27" s="10"/>
      <c r="AB27" s="90"/>
      <c r="AC27" s="10"/>
      <c r="AD27" s="2"/>
      <c r="AE27" s="131"/>
    </row>
    <row r="28" spans="1:31" x14ac:dyDescent="0.25">
      <c r="B28" s="161">
        <v>42978</v>
      </c>
      <c r="C28" s="10">
        <v>40</v>
      </c>
      <c r="D28" s="39">
        <v>42.351799999999997</v>
      </c>
      <c r="E28" s="39">
        <v>47.18</v>
      </c>
      <c r="F28" s="39">
        <f>(E28-D28)*C28</f>
        <v>193.1280000000001</v>
      </c>
      <c r="G28" s="39">
        <f>D28*C28</f>
        <v>1694.0719999999999</v>
      </c>
      <c r="H28" s="175">
        <f>(E28-D28)/D28</f>
        <v>0.11400223839364568</v>
      </c>
      <c r="I28" s="39"/>
      <c r="J28" s="39"/>
      <c r="K28" s="39"/>
      <c r="L28" s="39"/>
      <c r="W28" s="127"/>
      <c r="X28" s="10"/>
      <c r="Y28" s="10"/>
      <c r="Z28" s="10"/>
      <c r="AA28" s="10"/>
      <c r="AB28" s="90"/>
      <c r="AC28" s="10"/>
      <c r="AD28" s="2"/>
      <c r="AE28" s="131"/>
    </row>
    <row r="29" spans="1:31" x14ac:dyDescent="0.25">
      <c r="B29" s="161">
        <v>42983</v>
      </c>
      <c r="C29" s="181">
        <v>40</v>
      </c>
      <c r="D29" s="182">
        <v>45.02</v>
      </c>
      <c r="E29" s="182">
        <v>46.17</v>
      </c>
      <c r="F29" s="39">
        <f>(E29-D29)*C29</f>
        <v>45.999999999999943</v>
      </c>
      <c r="G29" s="39">
        <f>D29*C29</f>
        <v>1800.8000000000002</v>
      </c>
      <c r="H29" s="175">
        <f>(E29-D29)/D29</f>
        <v>2.5544202576632574E-2</v>
      </c>
      <c r="I29" s="39"/>
      <c r="J29" s="39"/>
      <c r="K29" s="39">
        <v>245</v>
      </c>
      <c r="L29" s="39"/>
      <c r="W29" s="127"/>
      <c r="X29" s="10"/>
      <c r="Y29" s="10"/>
      <c r="Z29" s="10"/>
      <c r="AA29" s="10"/>
      <c r="AB29" s="90"/>
      <c r="AC29" s="10"/>
      <c r="AD29" s="2"/>
      <c r="AE29" s="131"/>
    </row>
    <row r="30" spans="1:31" x14ac:dyDescent="0.25">
      <c r="B30" s="161">
        <v>43007</v>
      </c>
      <c r="C30" s="10">
        <v>0</v>
      </c>
      <c r="D30" s="39"/>
      <c r="E30" s="39"/>
      <c r="F30" s="39">
        <v>130.36000000000001</v>
      </c>
      <c r="G30" s="39"/>
      <c r="H30" s="175"/>
      <c r="I30" s="39"/>
      <c r="J30" s="39"/>
      <c r="K30" s="39">
        <v>329.74</v>
      </c>
      <c r="L30" s="39"/>
      <c r="W30" s="127"/>
      <c r="X30" s="10"/>
      <c r="Y30" s="10"/>
      <c r="Z30" s="10"/>
      <c r="AA30" s="10"/>
      <c r="AB30" s="90"/>
      <c r="AC30" s="10"/>
      <c r="AD30" s="2"/>
      <c r="AE30" s="131"/>
    </row>
    <row r="31" spans="1:31" x14ac:dyDescent="0.25">
      <c r="B31" s="161"/>
      <c r="C31" s="10"/>
      <c r="D31" s="39"/>
      <c r="E31" s="39"/>
      <c r="F31" s="39"/>
      <c r="G31" s="39"/>
      <c r="H31" s="175"/>
      <c r="I31" s="39"/>
      <c r="J31" s="39"/>
      <c r="K31" s="39"/>
      <c r="L31" s="39"/>
      <c r="W31" s="127"/>
      <c r="X31" s="10"/>
      <c r="Y31" s="10"/>
      <c r="Z31" s="10"/>
      <c r="AA31" s="10"/>
      <c r="AB31" s="90"/>
      <c r="AC31" s="10"/>
      <c r="AD31" s="2"/>
      <c r="AE31" s="131"/>
    </row>
    <row r="32" spans="1:31" x14ac:dyDescent="0.25">
      <c r="B32" s="161"/>
      <c r="C32" s="10"/>
      <c r="D32" s="39"/>
      <c r="E32" s="39"/>
      <c r="F32" s="39"/>
      <c r="G32" s="39"/>
      <c r="H32" s="175"/>
      <c r="I32" s="39"/>
      <c r="J32" s="39"/>
      <c r="K32" s="39"/>
      <c r="L32" s="39"/>
      <c r="W32" s="127"/>
      <c r="X32" s="10"/>
      <c r="Y32" s="10"/>
      <c r="Z32" s="10"/>
      <c r="AA32" s="10"/>
      <c r="AB32" s="90"/>
      <c r="AC32" s="10"/>
      <c r="AD32" s="2"/>
      <c r="AE32" s="131"/>
    </row>
    <row r="33" spans="1:31" x14ac:dyDescent="0.25">
      <c r="B33" s="161"/>
      <c r="C33" s="10"/>
      <c r="D33" s="39"/>
      <c r="E33" s="39"/>
      <c r="F33" s="39"/>
      <c r="G33" s="39"/>
      <c r="H33" s="175"/>
      <c r="I33" s="39"/>
      <c r="J33" s="39"/>
      <c r="K33" s="39"/>
      <c r="L33" s="39"/>
      <c r="W33" s="127"/>
      <c r="X33" s="10"/>
      <c r="Y33" s="10"/>
      <c r="Z33" s="10"/>
      <c r="AA33" s="10"/>
      <c r="AB33" s="90"/>
      <c r="AC33" s="10"/>
      <c r="AD33" s="2"/>
      <c r="AE33" s="131"/>
    </row>
    <row r="34" spans="1:31" x14ac:dyDescent="0.25">
      <c r="B34" s="161"/>
      <c r="C34" s="10"/>
      <c r="D34" s="39"/>
      <c r="E34" s="39"/>
      <c r="F34" s="39"/>
      <c r="G34" s="39"/>
      <c r="H34" s="175"/>
      <c r="I34" s="39"/>
      <c r="J34" s="39"/>
      <c r="K34" s="39"/>
      <c r="L34" s="39"/>
      <c r="W34" s="127"/>
      <c r="X34" s="10"/>
      <c r="Y34" s="10"/>
      <c r="Z34" s="10"/>
      <c r="AA34" s="10"/>
      <c r="AB34" s="90"/>
      <c r="AC34" s="10"/>
      <c r="AD34" s="2"/>
      <c r="AE34" s="131"/>
    </row>
    <row r="35" spans="1:31" x14ac:dyDescent="0.25">
      <c r="B35" s="161"/>
      <c r="C35" s="10"/>
      <c r="D35" s="39"/>
      <c r="E35" s="39"/>
      <c r="F35" s="39"/>
      <c r="G35" s="39"/>
      <c r="H35" s="175"/>
      <c r="I35" s="39"/>
      <c r="J35" s="39"/>
      <c r="K35" s="39"/>
      <c r="L35" s="39"/>
      <c r="W35" s="127"/>
      <c r="X35" s="10"/>
      <c r="Y35" s="10"/>
      <c r="Z35" s="10"/>
      <c r="AA35" s="10"/>
      <c r="AB35" s="90"/>
      <c r="AC35" s="10"/>
      <c r="AD35" s="2"/>
      <c r="AE35" s="131"/>
    </row>
    <row r="36" spans="1:31" x14ac:dyDescent="0.25">
      <c r="B36" s="161"/>
      <c r="C36" s="10"/>
      <c r="D36" s="39"/>
      <c r="E36" s="39"/>
      <c r="F36" s="39"/>
      <c r="G36" s="39"/>
      <c r="H36" s="175"/>
      <c r="I36" s="39"/>
      <c r="J36" s="39"/>
      <c r="K36" s="39"/>
      <c r="L36" s="39"/>
      <c r="W36" s="127"/>
      <c r="X36" s="10"/>
      <c r="Y36" s="10"/>
      <c r="Z36" s="10"/>
      <c r="AA36" s="10"/>
      <c r="AB36" s="90"/>
      <c r="AC36" s="10"/>
      <c r="AD36" s="2"/>
      <c r="AE36" s="131"/>
    </row>
    <row r="37" spans="1:31" x14ac:dyDescent="0.25">
      <c r="B37" s="161"/>
      <c r="C37" s="10"/>
      <c r="D37" s="39"/>
      <c r="E37" s="39"/>
      <c r="F37" s="39"/>
      <c r="G37" s="39"/>
      <c r="H37" s="175"/>
      <c r="I37" s="39"/>
      <c r="J37" s="39"/>
      <c r="K37" s="39"/>
      <c r="L37" s="39"/>
      <c r="W37" s="127"/>
      <c r="X37" s="10"/>
      <c r="Y37" s="10"/>
      <c r="Z37" s="10"/>
      <c r="AA37" s="10"/>
      <c r="AB37" s="90"/>
      <c r="AC37" s="10"/>
      <c r="AD37" s="2"/>
      <c r="AE37" s="131"/>
    </row>
    <row r="38" spans="1:31" x14ac:dyDescent="0.25">
      <c r="B38" s="161"/>
      <c r="C38" s="10"/>
      <c r="D38" s="39"/>
      <c r="E38" s="39"/>
      <c r="F38" s="39"/>
      <c r="G38" s="39"/>
      <c r="H38" s="175"/>
      <c r="I38" s="39"/>
      <c r="J38" s="39"/>
      <c r="K38" s="39"/>
      <c r="L38" s="39"/>
      <c r="W38" s="127"/>
      <c r="X38" s="10"/>
      <c r="Y38" s="10"/>
      <c r="Z38" s="10"/>
      <c r="AA38" s="10"/>
      <c r="AB38" s="90"/>
      <c r="AC38" s="10"/>
      <c r="AD38" s="2"/>
      <c r="AE38" s="131"/>
    </row>
    <row r="39" spans="1:31" x14ac:dyDescent="0.25">
      <c r="B39" s="161"/>
      <c r="C39" s="10"/>
      <c r="D39" s="39"/>
      <c r="E39" s="39"/>
      <c r="F39" s="39"/>
      <c r="G39" s="39"/>
      <c r="H39" s="175"/>
      <c r="I39" s="39"/>
      <c r="J39" s="39"/>
      <c r="K39" s="39"/>
      <c r="L39" s="39"/>
      <c r="W39" s="127"/>
      <c r="X39" s="10"/>
      <c r="Y39" s="10"/>
      <c r="Z39" s="10"/>
      <c r="AA39" s="10"/>
      <c r="AB39" s="90"/>
      <c r="AC39" s="10"/>
      <c r="AD39" s="2"/>
      <c r="AE39" s="131"/>
    </row>
    <row r="40" spans="1:31" ht="20.25" thickBot="1" x14ac:dyDescent="0.35">
      <c r="B40" s="161"/>
      <c r="C40" s="10"/>
      <c r="D40" s="39"/>
      <c r="E40" s="39"/>
      <c r="F40" s="39"/>
      <c r="G40" s="39"/>
      <c r="H40" s="175"/>
      <c r="I40" s="39"/>
      <c r="J40" s="39"/>
      <c r="K40" s="39"/>
      <c r="L40" s="39"/>
      <c r="O40" s="886" t="s">
        <v>78</v>
      </c>
      <c r="P40" s="886"/>
      <c r="W40" s="127"/>
      <c r="X40" s="10"/>
      <c r="Y40" s="10"/>
      <c r="Z40" s="10"/>
      <c r="AA40" s="10"/>
      <c r="AB40" s="90"/>
      <c r="AC40" s="10"/>
      <c r="AD40" s="2"/>
      <c r="AE40" s="131"/>
    </row>
    <row r="41" spans="1:31" ht="15.75" thickTop="1" x14ac:dyDescent="0.25">
      <c r="B41" s="161"/>
      <c r="C41" s="10"/>
      <c r="D41" s="39"/>
      <c r="E41" s="39"/>
      <c r="F41" s="39"/>
      <c r="G41" s="39"/>
      <c r="H41" s="175"/>
      <c r="I41" s="39"/>
      <c r="J41" s="39"/>
      <c r="K41" s="39"/>
      <c r="L41" s="39"/>
      <c r="O41" s="78">
        <v>1.1000000000000001</v>
      </c>
      <c r="P41" s="78">
        <f>O41*$Q$4</f>
        <v>98.571000000000012</v>
      </c>
      <c r="Q41" s="2"/>
      <c r="W41" s="127"/>
      <c r="X41" s="10"/>
      <c r="Y41" s="10"/>
      <c r="Z41" s="10"/>
      <c r="AA41" s="10"/>
      <c r="AB41" s="90"/>
      <c r="AC41" s="10"/>
      <c r="AD41" s="2"/>
      <c r="AE41" s="131"/>
    </row>
    <row r="42" spans="1:31" ht="20.25" thickBot="1" x14ac:dyDescent="0.35">
      <c r="B42" s="161"/>
      <c r="C42" s="10"/>
      <c r="D42" s="39"/>
      <c r="E42" s="39"/>
      <c r="F42" s="39"/>
      <c r="G42" s="39"/>
      <c r="H42" s="175"/>
      <c r="I42" s="39"/>
      <c r="J42" s="39"/>
      <c r="K42" s="39"/>
      <c r="L42" s="39"/>
      <c r="O42" s="78">
        <v>1.0900000000000001</v>
      </c>
      <c r="P42" s="78">
        <f t="shared" ref="P42:P61" si="0">O42*$Q$4</f>
        <v>97.674900000000008</v>
      </c>
      <c r="Q42" s="2"/>
      <c r="T42" s="86" t="s">
        <v>112</v>
      </c>
      <c r="W42" s="127"/>
      <c r="X42" s="10"/>
      <c r="Y42" s="10"/>
      <c r="Z42" s="10"/>
      <c r="AA42" s="10"/>
      <c r="AB42" s="90"/>
      <c r="AC42" s="10"/>
      <c r="AD42" s="2"/>
      <c r="AE42" s="131"/>
    </row>
    <row r="43" spans="1:31" ht="15.75" thickTop="1" x14ac:dyDescent="0.25">
      <c r="O43" s="78">
        <v>1.08</v>
      </c>
      <c r="P43" s="78">
        <f t="shared" si="0"/>
        <v>96.778800000000004</v>
      </c>
      <c r="Q43" s="2"/>
      <c r="T43" s="122" t="s">
        <v>97</v>
      </c>
      <c r="U43" s="123">
        <v>59.3</v>
      </c>
      <c r="W43" s="127"/>
      <c r="X43" s="10"/>
      <c r="Y43" s="10"/>
      <c r="Z43" s="10"/>
      <c r="AA43" s="10"/>
      <c r="AB43" s="90"/>
      <c r="AC43" s="10"/>
      <c r="AD43" s="2"/>
      <c r="AE43" s="131"/>
    </row>
    <row r="44" spans="1:31" x14ac:dyDescent="0.25">
      <c r="O44" s="78">
        <v>1.07</v>
      </c>
      <c r="P44" s="78">
        <f t="shared" si="0"/>
        <v>95.8827</v>
      </c>
      <c r="Q44" s="2"/>
      <c r="T44" s="88" t="s">
        <v>98</v>
      </c>
      <c r="U44" s="124">
        <v>59.3</v>
      </c>
      <c r="W44" s="127"/>
      <c r="X44" s="10"/>
      <c r="Y44" s="10"/>
      <c r="Z44" s="10"/>
      <c r="AA44" s="10"/>
      <c r="AB44" s="90"/>
      <c r="AC44" s="10"/>
      <c r="AD44" s="2"/>
      <c r="AE44" s="131"/>
    </row>
    <row r="45" spans="1:31" x14ac:dyDescent="0.25">
      <c r="O45" s="78">
        <v>1.06</v>
      </c>
      <c r="P45" s="78">
        <f t="shared" si="0"/>
        <v>94.98660000000001</v>
      </c>
      <c r="Q45" s="2"/>
      <c r="T45" s="88" t="s">
        <v>99</v>
      </c>
      <c r="U45" s="124" t="s">
        <v>525</v>
      </c>
      <c r="W45" s="127"/>
      <c r="X45" s="10"/>
      <c r="Y45" s="10"/>
      <c r="Z45" s="10"/>
      <c r="AA45" s="10"/>
      <c r="AB45" s="90"/>
      <c r="AC45" s="10"/>
      <c r="AD45" s="2"/>
      <c r="AE45" s="131"/>
    </row>
    <row r="46" spans="1:31" x14ac:dyDescent="0.25">
      <c r="L46" t="s">
        <v>65</v>
      </c>
      <c r="M46" s="2">
        <f>M64+K64-F64</f>
        <v>329.74000000000069</v>
      </c>
      <c r="O46" s="78">
        <v>1.05</v>
      </c>
      <c r="P46" s="78">
        <f t="shared" si="0"/>
        <v>94.090500000000006</v>
      </c>
      <c r="Q46" s="2"/>
      <c r="T46" s="88" t="s">
        <v>100</v>
      </c>
      <c r="U46" s="124" t="s">
        <v>526</v>
      </c>
      <c r="W46" s="127"/>
      <c r="X46" s="10"/>
      <c r="Y46" s="10"/>
      <c r="Z46" s="10"/>
      <c r="AA46" s="10"/>
      <c r="AB46" s="90"/>
      <c r="AC46" s="10"/>
      <c r="AD46" s="2"/>
      <c r="AE46" s="131"/>
    </row>
    <row r="47" spans="1:31" x14ac:dyDescent="0.25">
      <c r="A47" s="195" t="s">
        <v>1</v>
      </c>
      <c r="B47" s="195" t="s">
        <v>2</v>
      </c>
      <c r="C47" s="195" t="s">
        <v>4</v>
      </c>
      <c r="D47" s="196" t="s">
        <v>5</v>
      </c>
      <c r="E47" s="196" t="s">
        <v>94</v>
      </c>
      <c r="F47" s="196" t="s">
        <v>60</v>
      </c>
      <c r="G47" s="195" t="s">
        <v>3</v>
      </c>
      <c r="H47" s="195" t="s">
        <v>6</v>
      </c>
      <c r="I47" s="196" t="s">
        <v>7</v>
      </c>
      <c r="J47" s="196" t="s">
        <v>95</v>
      </c>
      <c r="K47" s="196" t="s">
        <v>61</v>
      </c>
      <c r="L47" s="195" t="s">
        <v>37</v>
      </c>
      <c r="M47" s="195" t="s">
        <v>38</v>
      </c>
      <c r="O47" s="78">
        <v>1.04</v>
      </c>
      <c r="P47" s="78">
        <f t="shared" si="0"/>
        <v>93.194400000000002</v>
      </c>
      <c r="Q47" s="2"/>
      <c r="T47" s="88" t="s">
        <v>101</v>
      </c>
      <c r="U47" s="124">
        <v>72.25</v>
      </c>
      <c r="W47" s="127"/>
      <c r="X47" s="10"/>
      <c r="Y47" s="10"/>
      <c r="Z47" s="10"/>
      <c r="AA47" s="10"/>
      <c r="AB47" s="90"/>
      <c r="AC47" s="10"/>
      <c r="AD47" s="2"/>
      <c r="AE47" s="131"/>
    </row>
    <row r="48" spans="1:31" x14ac:dyDescent="0.25">
      <c r="A48" s="197" t="s">
        <v>240</v>
      </c>
      <c r="B48" s="198">
        <v>42577</v>
      </c>
      <c r="C48" s="193">
        <v>30</v>
      </c>
      <c r="D48" s="194">
        <v>52</v>
      </c>
      <c r="E48" s="194">
        <v>0</v>
      </c>
      <c r="F48" s="194">
        <f>D48*C48+E48</f>
        <v>1560</v>
      </c>
      <c r="G48" s="198">
        <v>42580</v>
      </c>
      <c r="H48" s="199">
        <v>30</v>
      </c>
      <c r="I48" s="194">
        <v>50.75</v>
      </c>
      <c r="J48" s="194">
        <v>0.03</v>
      </c>
      <c r="K48" s="194">
        <f>H48*I48-J48</f>
        <v>1522.47</v>
      </c>
      <c r="L48" s="198"/>
      <c r="M48" s="193"/>
      <c r="O48" s="78">
        <v>1.03</v>
      </c>
      <c r="P48" s="78">
        <f t="shared" si="0"/>
        <v>92.298299999999998</v>
      </c>
      <c r="Q48" s="2"/>
      <c r="T48" s="88" t="s">
        <v>102</v>
      </c>
      <c r="U48" s="124">
        <v>0.44294099999999997</v>
      </c>
      <c r="W48" s="127"/>
      <c r="X48" s="10"/>
      <c r="Y48" s="10"/>
      <c r="Z48" s="10"/>
      <c r="AA48" s="10"/>
      <c r="AB48" s="90"/>
      <c r="AC48" s="10"/>
      <c r="AD48" s="2"/>
      <c r="AE48" s="131"/>
    </row>
    <row r="49" spans="1:31" x14ac:dyDescent="0.25">
      <c r="A49" s="200" t="s">
        <v>71</v>
      </c>
      <c r="B49" s="198">
        <v>42578</v>
      </c>
      <c r="C49" s="193">
        <v>20</v>
      </c>
      <c r="D49" s="194">
        <v>48.52</v>
      </c>
      <c r="E49" s="194">
        <v>0</v>
      </c>
      <c r="F49" s="194">
        <f>D49*C49+E49</f>
        <v>970.40000000000009</v>
      </c>
      <c r="G49" s="198">
        <v>42611</v>
      </c>
      <c r="H49" s="199">
        <v>20</v>
      </c>
      <c r="I49" s="194">
        <v>55.03</v>
      </c>
      <c r="J49" s="194">
        <v>0.02</v>
      </c>
      <c r="K49" s="194">
        <f>H49*I49-J49</f>
        <v>1100.58</v>
      </c>
      <c r="L49" s="193"/>
      <c r="M49" s="193"/>
      <c r="O49" s="78">
        <v>1.02</v>
      </c>
      <c r="P49" s="78">
        <f t="shared" si="0"/>
        <v>91.402200000000008</v>
      </c>
      <c r="Q49" s="2"/>
      <c r="T49" s="88" t="s">
        <v>121</v>
      </c>
      <c r="U49" s="124" t="s">
        <v>361</v>
      </c>
      <c r="W49" s="127"/>
      <c r="X49" s="10"/>
      <c r="Y49" s="10"/>
      <c r="Z49" s="10"/>
      <c r="AA49" s="10"/>
      <c r="AB49" s="90"/>
      <c r="AC49" s="10"/>
      <c r="AD49" s="2"/>
      <c r="AE49" s="131"/>
    </row>
    <row r="50" spans="1:31" x14ac:dyDescent="0.25">
      <c r="A50" s="193"/>
      <c r="B50" s="360">
        <v>42943</v>
      </c>
      <c r="C50" s="7">
        <v>60</v>
      </c>
      <c r="D50" s="43">
        <v>45.4</v>
      </c>
      <c r="E50" s="43">
        <v>0</v>
      </c>
      <c r="F50" s="43">
        <f>C50*D50+E50</f>
        <v>2724</v>
      </c>
      <c r="G50" s="360">
        <v>42978</v>
      </c>
      <c r="H50" s="7">
        <v>60</v>
      </c>
      <c r="I50" s="43">
        <v>47.18</v>
      </c>
      <c r="J50" s="43">
        <v>7.0000000000000007E-2</v>
      </c>
      <c r="K50" s="43">
        <f>H50*I50-J50</f>
        <v>2830.73</v>
      </c>
      <c r="L50" s="193"/>
      <c r="M50" s="193"/>
      <c r="O50" s="78">
        <v>1.01</v>
      </c>
      <c r="P50" s="78">
        <f t="shared" si="0"/>
        <v>90.506100000000004</v>
      </c>
      <c r="Q50" s="2"/>
      <c r="T50" s="88"/>
      <c r="U50" s="124"/>
      <c r="W50" s="127"/>
      <c r="X50" s="10"/>
      <c r="Y50" s="10"/>
      <c r="Z50" s="10"/>
      <c r="AA50" s="10"/>
      <c r="AB50" s="90"/>
      <c r="AC50" s="10"/>
      <c r="AD50" s="2"/>
      <c r="AE50" s="131"/>
    </row>
    <row r="51" spans="1:31" x14ac:dyDescent="0.25">
      <c r="A51" s="193"/>
      <c r="B51" s="198"/>
      <c r="C51" s="193"/>
      <c r="D51" s="194"/>
      <c r="E51" s="194"/>
      <c r="F51" s="194"/>
      <c r="G51" s="193"/>
      <c r="H51" s="199"/>
      <c r="I51" s="194"/>
      <c r="J51" s="194"/>
      <c r="K51" s="194"/>
      <c r="L51" s="193"/>
      <c r="M51" s="193"/>
      <c r="O51" s="78">
        <v>1</v>
      </c>
      <c r="P51" s="78">
        <f t="shared" si="0"/>
        <v>89.61</v>
      </c>
      <c r="Q51" s="2"/>
      <c r="T51" s="88" t="s">
        <v>104</v>
      </c>
      <c r="U51" s="124" t="s">
        <v>527</v>
      </c>
      <c r="W51" s="127"/>
      <c r="X51" s="10"/>
      <c r="Y51" s="10"/>
      <c r="Z51" s="10"/>
      <c r="AA51" s="10"/>
      <c r="AB51" s="90"/>
      <c r="AC51" s="10"/>
      <c r="AD51" s="2"/>
      <c r="AE51" s="131"/>
    </row>
    <row r="52" spans="1:31" x14ac:dyDescent="0.25">
      <c r="A52" s="193"/>
      <c r="B52" s="69">
        <v>42972</v>
      </c>
      <c r="C52" s="4">
        <v>40</v>
      </c>
      <c r="D52" s="3">
        <v>45.02</v>
      </c>
      <c r="E52" s="3">
        <v>0</v>
      </c>
      <c r="F52" s="3">
        <f>C52*D52+E52</f>
        <v>1800.8000000000002</v>
      </c>
      <c r="G52" s="69">
        <v>43007</v>
      </c>
      <c r="H52" s="4">
        <v>40</v>
      </c>
      <c r="I52" s="3">
        <v>48.28</v>
      </c>
      <c r="J52" s="3">
        <v>0.04</v>
      </c>
      <c r="K52" s="3">
        <f>H52*I52-J52</f>
        <v>1931.16</v>
      </c>
      <c r="L52" s="69"/>
      <c r="M52" s="193"/>
      <c r="O52" s="78">
        <v>0.99</v>
      </c>
      <c r="P52" s="78">
        <f t="shared" si="0"/>
        <v>88.713899999999995</v>
      </c>
      <c r="Q52" s="2"/>
      <c r="T52" s="88" t="s">
        <v>105</v>
      </c>
      <c r="U52" s="124" t="s">
        <v>382</v>
      </c>
      <c r="W52" s="127"/>
      <c r="X52" s="10"/>
      <c r="Y52" s="10"/>
      <c r="Z52" s="10"/>
      <c r="AA52" s="10"/>
      <c r="AB52" s="90"/>
      <c r="AC52" s="10"/>
      <c r="AD52" s="2"/>
      <c r="AE52" s="131"/>
    </row>
    <row r="53" spans="1:31" x14ac:dyDescent="0.25">
      <c r="A53" s="193"/>
      <c r="B53" s="193"/>
      <c r="C53" s="193"/>
      <c r="D53" s="194"/>
      <c r="E53" s="194"/>
      <c r="F53" s="194"/>
      <c r="G53" s="193"/>
      <c r="H53" s="199"/>
      <c r="I53" s="194"/>
      <c r="J53" s="194"/>
      <c r="K53" s="194"/>
      <c r="L53" s="193"/>
      <c r="M53" s="193"/>
      <c r="O53" s="78">
        <v>0.98</v>
      </c>
      <c r="P53" s="78">
        <f t="shared" si="0"/>
        <v>87.817799999999991</v>
      </c>
      <c r="Q53" s="2"/>
      <c r="T53" s="88" t="s">
        <v>106</v>
      </c>
      <c r="U53" s="125">
        <v>1982841</v>
      </c>
      <c r="W53" s="127"/>
      <c r="X53" s="10"/>
      <c r="Y53" s="10"/>
      <c r="Z53" s="10"/>
      <c r="AA53" s="10"/>
      <c r="AB53" s="90"/>
      <c r="AC53" s="10"/>
      <c r="AD53" s="2"/>
      <c r="AE53" s="131"/>
    </row>
    <row r="54" spans="1:31" x14ac:dyDescent="0.25">
      <c r="A54" s="193"/>
      <c r="B54" s="193"/>
      <c r="C54" s="193"/>
      <c r="D54" s="194"/>
      <c r="E54" s="194"/>
      <c r="F54" s="194"/>
      <c r="G54" s="193"/>
      <c r="H54" s="199"/>
      <c r="I54" s="194"/>
      <c r="J54" s="194"/>
      <c r="K54" s="194"/>
      <c r="L54" s="193"/>
      <c r="M54" s="193"/>
      <c r="O54" s="78">
        <v>0.97</v>
      </c>
      <c r="P54" s="78">
        <f t="shared" si="0"/>
        <v>86.921700000000001</v>
      </c>
      <c r="T54" s="88" t="s">
        <v>109</v>
      </c>
      <c r="U54" s="125">
        <v>2078610</v>
      </c>
      <c r="W54" s="127"/>
      <c r="X54" s="10"/>
      <c r="Y54" s="10"/>
      <c r="Z54" s="10"/>
      <c r="AA54" s="10"/>
      <c r="AB54" s="90"/>
      <c r="AC54" s="10"/>
      <c r="AD54" s="2"/>
      <c r="AE54" s="131"/>
    </row>
    <row r="55" spans="1:31" x14ac:dyDescent="0.25">
      <c r="A55" s="193"/>
      <c r="B55" s="193"/>
      <c r="C55" s="193"/>
      <c r="D55" s="194"/>
      <c r="E55" s="194"/>
      <c r="F55" s="194"/>
      <c r="G55" s="193"/>
      <c r="H55" s="199"/>
      <c r="I55" s="194"/>
      <c r="J55" s="194"/>
      <c r="K55" s="194"/>
      <c r="L55" s="193"/>
      <c r="M55" s="193"/>
      <c r="O55" s="78">
        <v>0.96</v>
      </c>
      <c r="P55" s="78">
        <f t="shared" si="0"/>
        <v>86.025599999999997</v>
      </c>
      <c r="T55" s="88" t="s">
        <v>107</v>
      </c>
      <c r="U55" s="124" t="s">
        <v>528</v>
      </c>
      <c r="W55" s="127"/>
      <c r="X55" s="10"/>
      <c r="Y55" s="10"/>
      <c r="Z55" s="10"/>
      <c r="AA55" s="10"/>
      <c r="AB55" s="90"/>
      <c r="AC55" s="10"/>
      <c r="AD55" s="2"/>
      <c r="AE55" s="131"/>
    </row>
    <row r="56" spans="1:31" x14ac:dyDescent="0.25">
      <c r="A56" s="193"/>
      <c r="B56" s="193"/>
      <c r="C56" s="193"/>
      <c r="D56" s="194"/>
      <c r="E56" s="194"/>
      <c r="F56" s="194"/>
      <c r="G56" s="193"/>
      <c r="H56" s="199"/>
      <c r="I56" s="194"/>
      <c r="J56" s="194"/>
      <c r="K56" s="194"/>
      <c r="L56" s="193"/>
      <c r="M56" s="193"/>
      <c r="O56" s="78">
        <v>0.95</v>
      </c>
      <c r="P56" s="78">
        <f t="shared" si="0"/>
        <v>85.129499999999993</v>
      </c>
      <c r="T56" s="88" t="s">
        <v>110</v>
      </c>
      <c r="U56" s="124">
        <v>32.85</v>
      </c>
      <c r="W56" s="127"/>
      <c r="X56" s="10"/>
      <c r="Y56" s="10"/>
      <c r="Z56" s="10"/>
      <c r="AA56" s="10"/>
      <c r="AB56" s="90"/>
      <c r="AC56" s="10"/>
      <c r="AD56" s="2"/>
      <c r="AE56" s="131"/>
    </row>
    <row r="57" spans="1:31" x14ac:dyDescent="0.25">
      <c r="A57" s="193"/>
      <c r="B57" s="193"/>
      <c r="C57" s="193"/>
      <c r="D57" s="194"/>
      <c r="E57" s="194"/>
      <c r="F57" s="194"/>
      <c r="G57" s="193"/>
      <c r="H57" s="199"/>
      <c r="I57" s="194"/>
      <c r="J57" s="194"/>
      <c r="K57" s="194"/>
      <c r="L57" s="193"/>
      <c r="M57" s="193"/>
      <c r="O57" s="78">
        <v>0.94</v>
      </c>
      <c r="P57" s="78">
        <f t="shared" si="0"/>
        <v>84.233399999999989</v>
      </c>
      <c r="T57" s="88" t="s">
        <v>111</v>
      </c>
      <c r="U57" s="124">
        <v>1.79</v>
      </c>
      <c r="W57" s="127"/>
      <c r="X57" s="10"/>
      <c r="Y57" s="10"/>
      <c r="Z57" s="10"/>
      <c r="AA57" s="10"/>
      <c r="AB57" s="90"/>
      <c r="AC57" s="10"/>
      <c r="AD57" s="2"/>
      <c r="AE57" s="131"/>
    </row>
    <row r="58" spans="1:31" x14ac:dyDescent="0.25">
      <c r="A58" s="193"/>
      <c r="B58" s="193"/>
      <c r="C58" s="193"/>
      <c r="D58" s="194"/>
      <c r="E58" s="194"/>
      <c r="F58" s="194"/>
      <c r="G58" s="193"/>
      <c r="H58" s="199"/>
      <c r="I58" s="194"/>
      <c r="J58" s="194"/>
      <c r="K58" s="194"/>
      <c r="L58" s="193"/>
      <c r="M58" s="193"/>
      <c r="O58" s="78">
        <v>0.93</v>
      </c>
      <c r="P58" s="78">
        <f t="shared" si="0"/>
        <v>83.337299999999999</v>
      </c>
      <c r="T58" s="88" t="s">
        <v>108</v>
      </c>
      <c r="U58" s="124" t="s">
        <v>122</v>
      </c>
      <c r="W58" s="127"/>
      <c r="X58" s="10"/>
      <c r="Y58" s="10"/>
      <c r="Z58" s="10"/>
      <c r="AA58" s="10"/>
      <c r="AB58" s="90"/>
      <c r="AC58" s="10"/>
      <c r="AD58" s="2"/>
      <c r="AE58" s="131"/>
    </row>
    <row r="59" spans="1:31" x14ac:dyDescent="0.25">
      <c r="A59" s="193"/>
      <c r="B59" s="193"/>
      <c r="C59" s="193"/>
      <c r="D59" s="194"/>
      <c r="E59" s="194"/>
      <c r="F59" s="194"/>
      <c r="G59" s="193"/>
      <c r="H59" s="199"/>
      <c r="I59" s="194"/>
      <c r="J59" s="194"/>
      <c r="K59" s="194"/>
      <c r="L59" s="193"/>
      <c r="M59" s="193"/>
      <c r="O59" s="78">
        <v>0.92</v>
      </c>
      <c r="P59" s="78">
        <f t="shared" si="0"/>
        <v>82.441200000000009</v>
      </c>
      <c r="W59" s="127"/>
      <c r="X59" s="10"/>
      <c r="Y59" s="10"/>
      <c r="Z59" s="10"/>
      <c r="AA59" s="10"/>
      <c r="AB59" s="90"/>
      <c r="AC59" s="10"/>
      <c r="AD59" s="2"/>
      <c r="AE59" s="131"/>
    </row>
    <row r="60" spans="1:31" x14ac:dyDescent="0.25">
      <c r="A60" s="193"/>
      <c r="B60" s="193"/>
      <c r="C60" s="193"/>
      <c r="D60" s="194"/>
      <c r="E60" s="194"/>
      <c r="F60" s="194"/>
      <c r="G60" s="193"/>
      <c r="H60" s="199"/>
      <c r="I60" s="194"/>
      <c r="J60" s="194"/>
      <c r="K60" s="194"/>
      <c r="L60" s="193"/>
      <c r="M60" s="193"/>
      <c r="O60" s="78">
        <v>0.91</v>
      </c>
      <c r="P60" s="78">
        <f t="shared" si="0"/>
        <v>81.545100000000005</v>
      </c>
      <c r="W60" s="127"/>
      <c r="X60" s="10"/>
      <c r="Y60" s="10"/>
      <c r="Z60" s="10"/>
      <c r="AA60" s="10"/>
      <c r="AB60" s="90"/>
      <c r="AC60" s="10"/>
      <c r="AD60" s="2"/>
      <c r="AE60" s="131"/>
    </row>
    <row r="61" spans="1:31" x14ac:dyDescent="0.25">
      <c r="A61" s="193"/>
      <c r="B61" s="193"/>
      <c r="C61" s="193"/>
      <c r="D61" s="194"/>
      <c r="E61" s="194"/>
      <c r="F61" s="194"/>
      <c r="G61" s="193"/>
      <c r="H61" s="199"/>
      <c r="I61" s="194"/>
      <c r="J61" s="194"/>
      <c r="K61" s="194"/>
      <c r="L61" s="193"/>
      <c r="M61" s="193"/>
      <c r="O61" s="78">
        <v>0.9</v>
      </c>
      <c r="P61" s="78">
        <f t="shared" si="0"/>
        <v>80.649000000000001</v>
      </c>
      <c r="W61" s="127"/>
      <c r="X61" s="10"/>
      <c r="Y61" s="10"/>
      <c r="Z61" s="10"/>
      <c r="AA61" s="10"/>
      <c r="AB61" s="90"/>
      <c r="AC61" s="10"/>
      <c r="AD61" s="2"/>
      <c r="AE61" s="131"/>
    </row>
    <row r="62" spans="1:31" x14ac:dyDescent="0.25">
      <c r="A62" s="193"/>
      <c r="B62" s="193"/>
      <c r="C62" s="193"/>
      <c r="D62" s="194"/>
      <c r="E62" s="194"/>
      <c r="F62" s="194"/>
      <c r="G62" s="193"/>
      <c r="H62" s="199"/>
      <c r="I62" s="194"/>
      <c r="J62" s="194"/>
      <c r="K62" s="194"/>
      <c r="L62" s="193"/>
      <c r="M62" s="193"/>
      <c r="W62" s="127"/>
      <c r="X62" s="10"/>
      <c r="Y62" s="10"/>
      <c r="Z62" s="10"/>
      <c r="AA62" s="10"/>
      <c r="AB62" s="90"/>
      <c r="AC62" s="10"/>
      <c r="AD62" s="2"/>
      <c r="AE62" s="131"/>
    </row>
    <row r="63" spans="1:31" x14ac:dyDescent="0.25">
      <c r="A63" s="193"/>
      <c r="B63" s="193"/>
      <c r="C63" s="193"/>
      <c r="D63" s="194"/>
      <c r="E63" s="194"/>
      <c r="F63" s="194"/>
      <c r="G63" s="193"/>
      <c r="H63" s="193"/>
      <c r="I63" s="194"/>
      <c r="J63" s="194"/>
      <c r="K63" s="194"/>
      <c r="L63" s="193"/>
      <c r="M63" s="193"/>
      <c r="W63" s="127"/>
      <c r="X63" s="10"/>
      <c r="Y63" s="10"/>
      <c r="Z63" s="10"/>
      <c r="AA63" s="10"/>
      <c r="AB63" s="90"/>
      <c r="AC63" s="10"/>
      <c r="AD63" s="2"/>
      <c r="AE63" s="131"/>
    </row>
    <row r="64" spans="1:31" x14ac:dyDescent="0.25">
      <c r="A64" s="31" t="s">
        <v>81</v>
      </c>
      <c r="B64" s="14"/>
      <c r="C64" s="14">
        <f>SUM(C48:C63)</f>
        <v>150</v>
      </c>
      <c r="D64" s="18"/>
      <c r="E64" s="18"/>
      <c r="F64" s="18">
        <f>SUM(F48:F62)</f>
        <v>7055.2</v>
      </c>
      <c r="G64" s="14"/>
      <c r="H64" s="68">
        <f>SUM(H48:H63)</f>
        <v>150</v>
      </c>
      <c r="I64" s="18"/>
      <c r="J64" s="18"/>
      <c r="K64" s="18">
        <f>SUM(K48:K63)</f>
        <v>7384.9400000000005</v>
      </c>
      <c r="L64" s="14"/>
      <c r="M64" s="18">
        <f>SUM(M48:M56)</f>
        <v>0</v>
      </c>
      <c r="W64" s="127"/>
      <c r="X64" s="10"/>
      <c r="Y64" s="10"/>
      <c r="Z64" s="10"/>
      <c r="AA64" s="10"/>
      <c r="AB64" s="90"/>
      <c r="AC64" s="10"/>
      <c r="AD64" s="2"/>
      <c r="AE64" s="131"/>
    </row>
    <row r="65" spans="1:31" ht="15.75" thickBot="1" x14ac:dyDescent="0.3">
      <c r="A65" s="365" t="s">
        <v>189</v>
      </c>
      <c r="B65" s="366"/>
      <c r="C65" s="367">
        <f>SumByColor($A$19,C48:C63)</f>
        <v>60</v>
      </c>
      <c r="D65" s="367"/>
      <c r="E65" s="367"/>
      <c r="F65" s="368">
        <f>SumByColor($A$19,F48:F63)</f>
        <v>2724</v>
      </c>
      <c r="G65" s="367"/>
      <c r="H65" s="367">
        <f>SumByColor($A$19,H48:H63)</f>
        <v>60</v>
      </c>
      <c r="I65" s="367"/>
      <c r="J65" s="367"/>
      <c r="K65" s="368">
        <f>SumByColor($A$19,K48:K63)</f>
        <v>2831</v>
      </c>
      <c r="L65" s="367"/>
      <c r="M65" s="368">
        <f>SumByColor($A$19,M48:M63)</f>
        <v>0</v>
      </c>
      <c r="W65" s="127"/>
      <c r="X65" s="10"/>
      <c r="Y65" s="10"/>
      <c r="Z65" s="10"/>
      <c r="AA65" s="10"/>
      <c r="AB65" s="90"/>
      <c r="AC65" s="10"/>
      <c r="AD65" s="2"/>
      <c r="AE65" s="131"/>
    </row>
    <row r="66" spans="1:31" x14ac:dyDescent="0.25">
      <c r="W66" s="127"/>
      <c r="X66" s="10"/>
      <c r="Y66" s="10"/>
      <c r="Z66" s="10"/>
      <c r="AA66" s="10"/>
      <c r="AB66" s="90"/>
      <c r="AC66" s="10"/>
      <c r="AD66" s="2"/>
      <c r="AE66" s="131"/>
    </row>
    <row r="67" spans="1:31" x14ac:dyDescent="0.25">
      <c r="W67" s="127"/>
      <c r="X67" s="10"/>
      <c r="Y67" s="10"/>
      <c r="Z67" s="10"/>
      <c r="AA67" s="10"/>
      <c r="AB67" s="90"/>
      <c r="AC67" s="10"/>
      <c r="AD67" s="2"/>
      <c r="AE67" s="131"/>
    </row>
    <row r="68" spans="1:31" x14ac:dyDescent="0.25">
      <c r="W68" s="127"/>
      <c r="X68" s="10"/>
      <c r="Y68" s="10"/>
      <c r="Z68" s="10"/>
      <c r="AA68" s="10"/>
      <c r="AB68" s="90"/>
      <c r="AC68" s="10"/>
      <c r="AD68" s="2"/>
      <c r="AE68" s="131"/>
    </row>
    <row r="69" spans="1:31" x14ac:dyDescent="0.25">
      <c r="B69" s="405" t="s">
        <v>113</v>
      </c>
      <c r="C69" s="405" t="s">
        <v>143</v>
      </c>
      <c r="D69" s="406" t="s">
        <v>142</v>
      </c>
      <c r="E69" s="407" t="s">
        <v>144</v>
      </c>
      <c r="F69" s="407" t="s">
        <v>65</v>
      </c>
      <c r="G69" s="409" t="s">
        <v>148</v>
      </c>
      <c r="H69" s="409" t="s">
        <v>88</v>
      </c>
      <c r="I69" s="409" t="s">
        <v>151</v>
      </c>
      <c r="W69" s="127"/>
      <c r="X69" s="10"/>
      <c r="Y69" s="10"/>
      <c r="Z69" s="10"/>
      <c r="AA69" s="10"/>
      <c r="AB69" s="90"/>
      <c r="AC69" s="10"/>
      <c r="AD69" s="2"/>
      <c r="AE69" s="131"/>
    </row>
    <row r="70" spans="1:31" x14ac:dyDescent="0.25">
      <c r="B70" s="290">
        <v>42577</v>
      </c>
      <c r="C70" s="291">
        <v>30</v>
      </c>
      <c r="D70" s="292">
        <v>52</v>
      </c>
      <c r="E70" s="292">
        <v>58.09</v>
      </c>
      <c r="F70" s="292">
        <f t="shared" ref="F70:F78" si="1">C70*(E70-D70)</f>
        <v>182.7000000000001</v>
      </c>
      <c r="G70" s="292">
        <f t="shared" ref="G70:G78" si="2">D70*C70</f>
        <v>1560</v>
      </c>
      <c r="H70" s="293">
        <f t="shared" ref="H70:H78" si="3">(E70-D70)/D70</f>
        <v>0.11711538461538468</v>
      </c>
      <c r="I70" s="292" t="s">
        <v>241</v>
      </c>
    </row>
    <row r="71" spans="1:31" x14ac:dyDescent="0.25">
      <c r="B71" s="290">
        <v>42578</v>
      </c>
      <c r="C71" s="291">
        <v>50</v>
      </c>
      <c r="D71" s="292">
        <v>50.607999999999997</v>
      </c>
      <c r="E71" s="292">
        <v>50.51</v>
      </c>
      <c r="F71" s="292">
        <f t="shared" si="1"/>
        <v>-4.8999999999999488</v>
      </c>
      <c r="G71" s="292">
        <f t="shared" si="2"/>
        <v>2530.3999999999996</v>
      </c>
      <c r="H71" s="293">
        <f t="shared" si="3"/>
        <v>-1.9364527347454747E-3</v>
      </c>
      <c r="I71" s="292"/>
    </row>
    <row r="72" spans="1:31" x14ac:dyDescent="0.25">
      <c r="B72" s="290">
        <v>42580</v>
      </c>
      <c r="C72" s="291">
        <v>20</v>
      </c>
      <c r="D72" s="292">
        <v>50.396500000000003</v>
      </c>
      <c r="E72" s="292">
        <v>50.53</v>
      </c>
      <c r="F72" s="292">
        <f t="shared" si="1"/>
        <v>2.6699999999999591</v>
      </c>
      <c r="G72" s="292">
        <f t="shared" si="2"/>
        <v>1007.9300000000001</v>
      </c>
      <c r="H72" s="293">
        <f t="shared" si="3"/>
        <v>2.6489934816901562E-3</v>
      </c>
      <c r="I72" s="292" t="s">
        <v>244</v>
      </c>
    </row>
    <row r="73" spans="1:31" x14ac:dyDescent="0.25">
      <c r="B73" s="290">
        <v>42585</v>
      </c>
      <c r="C73" s="291">
        <v>20</v>
      </c>
      <c r="D73" s="292">
        <v>50.396500000000003</v>
      </c>
      <c r="E73" s="292">
        <v>49.96</v>
      </c>
      <c r="F73" s="292">
        <f t="shared" si="1"/>
        <v>-8.7300000000000466</v>
      </c>
      <c r="G73" s="292">
        <f t="shared" si="2"/>
        <v>1007.9300000000001</v>
      </c>
      <c r="H73" s="293">
        <f t="shared" si="3"/>
        <v>-8.6613157659758567E-3</v>
      </c>
      <c r="I73" s="292"/>
    </row>
    <row r="74" spans="1:31" x14ac:dyDescent="0.25">
      <c r="B74" s="290">
        <v>42593</v>
      </c>
      <c r="C74" s="291">
        <v>20</v>
      </c>
      <c r="D74" s="292">
        <v>50.396500000000003</v>
      </c>
      <c r="E74" s="292">
        <v>52.02</v>
      </c>
      <c r="F74" s="292">
        <f t="shared" si="1"/>
        <v>32.47</v>
      </c>
      <c r="G74" s="292">
        <f t="shared" si="2"/>
        <v>1007.9300000000001</v>
      </c>
      <c r="H74" s="293">
        <f t="shared" si="3"/>
        <v>3.22145387080452E-2</v>
      </c>
      <c r="I74" s="292"/>
    </row>
    <row r="75" spans="1:31" x14ac:dyDescent="0.25">
      <c r="B75" s="290">
        <v>42601</v>
      </c>
      <c r="C75" s="291">
        <v>20</v>
      </c>
      <c r="D75" s="292">
        <v>50.396500000000003</v>
      </c>
      <c r="E75" s="292">
        <v>52.95</v>
      </c>
      <c r="F75" s="292">
        <f t="shared" si="1"/>
        <v>51.069999999999993</v>
      </c>
      <c r="G75" s="292">
        <f t="shared" si="2"/>
        <v>1007.9300000000001</v>
      </c>
      <c r="H75" s="293">
        <f t="shared" si="3"/>
        <v>5.0668201164763414E-2</v>
      </c>
      <c r="I75" s="292"/>
    </row>
    <row r="76" spans="1:31" x14ac:dyDescent="0.25">
      <c r="B76" s="290">
        <v>42605</v>
      </c>
      <c r="C76" s="291">
        <v>20</v>
      </c>
      <c r="D76" s="292">
        <v>50.396500000000003</v>
      </c>
      <c r="E76" s="292">
        <v>53.6</v>
      </c>
      <c r="F76" s="292">
        <f t="shared" si="1"/>
        <v>64.069999999999965</v>
      </c>
      <c r="G76" s="292">
        <f t="shared" si="2"/>
        <v>1007.9300000000001</v>
      </c>
      <c r="H76" s="293">
        <f t="shared" si="3"/>
        <v>6.3565922236663228E-2</v>
      </c>
      <c r="I76" s="292"/>
    </row>
    <row r="77" spans="1:31" x14ac:dyDescent="0.25">
      <c r="B77" s="290">
        <v>42606</v>
      </c>
      <c r="C77" s="291">
        <v>20</v>
      </c>
      <c r="D77" s="292">
        <v>50.396500000000003</v>
      </c>
      <c r="E77" s="292">
        <v>53.98</v>
      </c>
      <c r="F77" s="292">
        <f t="shared" si="1"/>
        <v>71.669999999999874</v>
      </c>
      <c r="G77" s="292">
        <f t="shared" si="2"/>
        <v>1007.9300000000001</v>
      </c>
      <c r="H77" s="293">
        <f t="shared" si="3"/>
        <v>7.1106128401773799E-2</v>
      </c>
      <c r="I77" s="292"/>
    </row>
    <row r="78" spans="1:31" x14ac:dyDescent="0.25">
      <c r="B78" s="290">
        <v>42609</v>
      </c>
      <c r="C78" s="291">
        <v>20</v>
      </c>
      <c r="D78" s="292">
        <v>50.396500000000003</v>
      </c>
      <c r="E78" s="292">
        <v>55.31</v>
      </c>
      <c r="F78" s="292">
        <f t="shared" si="1"/>
        <v>98.269999999999982</v>
      </c>
      <c r="G78" s="292">
        <f t="shared" si="2"/>
        <v>1007.9300000000001</v>
      </c>
      <c r="H78" s="293">
        <f t="shared" si="3"/>
        <v>9.7496849979661265E-2</v>
      </c>
      <c r="I78" s="369"/>
    </row>
    <row r="79" spans="1:31" x14ac:dyDescent="0.25">
      <c r="B79" s="290">
        <v>42611</v>
      </c>
      <c r="C79" s="291">
        <v>0</v>
      </c>
      <c r="D79" s="292"/>
      <c r="E79" s="292"/>
      <c r="F79" s="292">
        <v>92.65</v>
      </c>
      <c r="G79" s="292"/>
      <c r="H79" s="293"/>
      <c r="I79" s="292"/>
    </row>
    <row r="80" spans="1:31" x14ac:dyDescent="0.25">
      <c r="B80" s="290"/>
      <c r="C80" s="291"/>
      <c r="D80" s="292"/>
      <c r="E80" s="292"/>
      <c r="F80" s="292"/>
      <c r="G80" s="292"/>
      <c r="H80" s="293"/>
      <c r="I80" s="292"/>
    </row>
    <row r="81" spans="2:9" x14ac:dyDescent="0.25">
      <c r="B81" s="290"/>
      <c r="C81" s="291"/>
      <c r="D81" s="292"/>
      <c r="E81" s="292"/>
      <c r="F81" s="292"/>
      <c r="G81" s="292"/>
      <c r="H81" s="293"/>
      <c r="I81" s="292"/>
    </row>
    <row r="82" spans="2:9" x14ac:dyDescent="0.25">
      <c r="B82" s="290"/>
      <c r="C82" s="291"/>
      <c r="D82" s="292"/>
      <c r="E82" s="292"/>
      <c r="F82" s="292"/>
      <c r="G82" s="292"/>
      <c r="H82" s="293"/>
      <c r="I82" s="292"/>
    </row>
    <row r="83" spans="2:9" x14ac:dyDescent="0.25">
      <c r="B83" s="290"/>
      <c r="C83" s="291"/>
      <c r="D83" s="292"/>
      <c r="E83" s="292"/>
      <c r="F83" s="292"/>
      <c r="G83" s="292"/>
      <c r="H83" s="293"/>
      <c r="I83" s="292"/>
    </row>
    <row r="84" spans="2:9" x14ac:dyDescent="0.25">
      <c r="B84" s="290"/>
      <c r="C84" s="291"/>
      <c r="D84" s="292"/>
      <c r="E84" s="292"/>
      <c r="F84" s="292"/>
      <c r="G84" s="292"/>
      <c r="H84" s="293"/>
      <c r="I84" s="292"/>
    </row>
    <row r="85" spans="2:9" x14ac:dyDescent="0.25">
      <c r="B85" s="290"/>
      <c r="C85" s="291"/>
      <c r="D85" s="292"/>
      <c r="E85" s="292"/>
      <c r="F85" s="292"/>
      <c r="G85" s="292"/>
      <c r="H85" s="293"/>
      <c r="I85" s="292"/>
    </row>
    <row r="86" spans="2:9" x14ac:dyDescent="0.25">
      <c r="B86" s="290"/>
      <c r="C86" s="291"/>
      <c r="D86" s="292"/>
      <c r="E86" s="292"/>
      <c r="F86" s="292"/>
      <c r="G86" s="292"/>
      <c r="H86" s="293"/>
      <c r="I86" s="292"/>
    </row>
    <row r="87" spans="2:9" x14ac:dyDescent="0.25">
      <c r="B87" s="290"/>
      <c r="C87" s="291"/>
      <c r="D87" s="292"/>
      <c r="E87" s="292"/>
      <c r="F87" s="292"/>
      <c r="G87" s="292"/>
      <c r="H87" s="293"/>
      <c r="I87" s="292"/>
    </row>
  </sheetData>
  <mergeCells count="1">
    <mergeCell ref="O40:P40"/>
  </mergeCells>
  <conditionalFormatting sqref="O41:O61">
    <cfRule type="colorScale" priority="28">
      <colorScale>
        <cfvo type="min"/>
        <cfvo type="percentile" val="50"/>
        <cfvo type="max"/>
        <color rgb="FFF8696B"/>
        <color rgb="FFFFEB84"/>
        <color rgb="FF63BE7B"/>
      </colorScale>
    </cfRule>
  </conditionalFormatting>
  <conditionalFormatting sqref="P41:P61">
    <cfRule type="colorScale" priority="27">
      <colorScale>
        <cfvo type="min"/>
        <cfvo type="percentile" val="50"/>
        <cfvo type="max"/>
        <color rgb="FFF8696B"/>
        <color rgb="FFFFEB84"/>
        <color rgb="FF63BE7B"/>
      </colorScale>
    </cfRule>
  </conditionalFormatting>
  <conditionalFormatting sqref="AD1:AD69">
    <cfRule type="dataBar" priority="26">
      <dataBar>
        <cfvo type="min"/>
        <cfvo type="max"/>
        <color rgb="FFFF555A"/>
      </dataBar>
      <extLst>
        <ext xmlns:x14="http://schemas.microsoft.com/office/spreadsheetml/2009/9/main" uri="{B025F937-C7B1-47D3-B67F-A62EFF666E3E}">
          <x14:id>{DFBD8A07-A8F0-461D-8BAC-09B6740ACCCE}</x14:id>
        </ext>
      </extLst>
    </cfRule>
  </conditionalFormatting>
  <conditionalFormatting sqref="AE1:AE69">
    <cfRule type="iconSet" priority="25">
      <iconSet iconSet="3Arrows">
        <cfvo type="percent" val="0"/>
        <cfvo type="num" val="0"/>
        <cfvo type="num" val="0"/>
      </iconSet>
    </cfRule>
  </conditionalFormatting>
  <conditionalFormatting sqref="F34:F42 H34:H42">
    <cfRule type="expression" dxfId="3869" priority="23">
      <formula>F34&gt;0</formula>
    </cfRule>
    <cfRule type="expression" dxfId="3868" priority="24">
      <formula>F34&lt;0</formula>
    </cfRule>
  </conditionalFormatting>
  <conditionalFormatting sqref="Q7">
    <cfRule type="expression" dxfId="3867" priority="21">
      <formula>Q7&gt;0</formula>
    </cfRule>
    <cfRule type="expression" dxfId="3866" priority="22">
      <formula>Q7&lt;0</formula>
    </cfRule>
  </conditionalFormatting>
  <conditionalFormatting sqref="Q8">
    <cfRule type="expression" dxfId="3865" priority="19">
      <formula>Q8&gt;0</formula>
    </cfRule>
    <cfRule type="expression" dxfId="3864" priority="20">
      <formula>Q8&lt;0</formula>
    </cfRule>
  </conditionalFormatting>
  <conditionalFormatting sqref="F25:F33">
    <cfRule type="expression" dxfId="3863" priority="17">
      <formula>F25&gt;0</formula>
    </cfRule>
    <cfRule type="expression" dxfId="3862" priority="18">
      <formula>F25&lt;0</formula>
    </cfRule>
  </conditionalFormatting>
  <conditionalFormatting sqref="H25:H33">
    <cfRule type="expression" dxfId="3861" priority="15">
      <formula>H25&gt;0</formula>
    </cfRule>
    <cfRule type="expression" dxfId="3860" priority="16">
      <formula>H25&lt;0</formula>
    </cfRule>
  </conditionalFormatting>
  <conditionalFormatting sqref="M46">
    <cfRule type="expression" dxfId="3859" priority="13">
      <formula>M46&gt;0</formula>
    </cfRule>
    <cfRule type="expression" dxfId="3858" priority="14">
      <formula>M46&lt;0</formula>
    </cfRule>
  </conditionalFormatting>
  <conditionalFormatting sqref="F79:F87 H79:H87">
    <cfRule type="expression" dxfId="3857" priority="11">
      <formula>F79&gt;0</formula>
    </cfRule>
    <cfRule type="expression" dxfId="3856" priority="12">
      <formula>F79&lt;0</formula>
    </cfRule>
  </conditionalFormatting>
  <conditionalFormatting sqref="F70:F78">
    <cfRule type="expression" dxfId="3855" priority="9">
      <formula>F70&gt;0</formula>
    </cfRule>
    <cfRule type="expression" dxfId="3854" priority="10">
      <formula>F70&lt;0</formula>
    </cfRule>
  </conditionalFormatting>
  <conditionalFormatting sqref="H70:H78">
    <cfRule type="expression" dxfId="3853" priority="7">
      <formula>H70&gt;0</formula>
    </cfRule>
    <cfRule type="expression" dxfId="3852" priority="8">
      <formula>H70&lt;0</formula>
    </cfRule>
  </conditionalFormatting>
  <conditionalFormatting sqref="J27:K27 J30:K30 J33:K33 J36:K36 J39:K39 J42:K42">
    <cfRule type="expression" dxfId="3851" priority="5">
      <formula>J27&gt;0</formula>
    </cfRule>
    <cfRule type="expression" dxfId="3850" priority="6">
      <formula>J27&lt;0</formula>
    </cfRule>
  </conditionalFormatting>
  <conditionalFormatting sqref="J28:K29 J31:K32 J34:K35 J37:K38 J40:K41">
    <cfRule type="expression" dxfId="3849" priority="3">
      <formula>J28&gt;0</formula>
    </cfRule>
    <cfRule type="expression" dxfId="3848" priority="4">
      <formula>J28&lt;0</formula>
    </cfRule>
  </conditionalFormatting>
  <conditionalFormatting sqref="L27:L42">
    <cfRule type="expression" dxfId="3847" priority="1">
      <formula>L27&gt;0</formula>
    </cfRule>
    <cfRule type="expression" dxfId="3846" priority="2">
      <formula>L27&lt;0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DFBD8A07-A8F0-461D-8BAC-09B6740ACCC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2"/>
  <dimension ref="A1:U9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8.5703125" customWidth="1"/>
    <col min="21" max="21" width="35.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604</v>
      </c>
      <c r="B2" s="69"/>
      <c r="C2" s="4"/>
      <c r="D2" s="3"/>
      <c r="E2" s="3"/>
      <c r="F2" s="3"/>
      <c r="G2" s="69"/>
      <c r="H2" s="3"/>
      <c r="I2" s="3"/>
      <c r="J2" s="3"/>
      <c r="K2" s="3"/>
      <c r="L2" s="69"/>
      <c r="M2" s="3"/>
      <c r="O2" s="11" t="s">
        <v>57</v>
      </c>
      <c r="Q2">
        <f>C18-H18</f>
        <v>0</v>
      </c>
      <c r="T2" s="1"/>
    </row>
    <row r="3" spans="1:21" x14ac:dyDescent="0.25">
      <c r="A3" s="22" t="s">
        <v>71</v>
      </c>
      <c r="B3" s="69"/>
      <c r="C3" s="4"/>
      <c r="D3" s="3"/>
      <c r="E3" s="3"/>
      <c r="F3" s="3"/>
      <c r="G3" s="69"/>
      <c r="H3" s="158"/>
      <c r="I3" s="3"/>
      <c r="J3" s="3"/>
      <c r="K3" s="3"/>
      <c r="L3" s="69"/>
      <c r="M3" s="3"/>
      <c r="O3" s="11" t="s">
        <v>58</v>
      </c>
      <c r="Q3" s="388">
        <f>IF(Q2=0, Q4, (F18-K18-M18)/Q2)</f>
        <v>26.77</v>
      </c>
      <c r="T3" s="1"/>
    </row>
    <row r="4" spans="1:21" x14ac:dyDescent="0.25">
      <c r="B4" s="69"/>
      <c r="C4" s="4"/>
      <c r="D4" s="3"/>
      <c r="E4" s="3"/>
      <c r="F4" s="3"/>
      <c r="G4" s="69"/>
      <c r="H4" s="158"/>
      <c r="I4" s="3"/>
      <c r="J4" s="3"/>
      <c r="K4" s="3"/>
      <c r="L4" s="4"/>
      <c r="M4" s="4"/>
      <c r="O4" s="11" t="s">
        <v>66</v>
      </c>
      <c r="Q4" s="53">
        <v>26.77</v>
      </c>
      <c r="R4" s="396">
        <v>6.0000000000000001E-3</v>
      </c>
      <c r="T4" s="153"/>
      <c r="U4" s="1"/>
    </row>
    <row r="5" spans="1:21" x14ac:dyDescent="0.25">
      <c r="B5" s="69"/>
      <c r="C5" s="4"/>
      <c r="D5" s="3"/>
      <c r="E5" s="3"/>
      <c r="F5" s="3"/>
      <c r="G5" s="4"/>
      <c r="H5" s="158"/>
      <c r="I5" s="3"/>
      <c r="J5" s="3"/>
      <c r="K5" s="3"/>
      <c r="L5" s="4"/>
      <c r="M5" s="4"/>
      <c r="O5" s="11" t="s">
        <v>67</v>
      </c>
      <c r="Q5" s="3">
        <f>Q4*Q2</f>
        <v>0</v>
      </c>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309.26000000000022</v>
      </c>
      <c r="R7">
        <v>0</v>
      </c>
    </row>
    <row r="8" spans="1:21" x14ac:dyDescent="0.25">
      <c r="B8" s="4"/>
      <c r="C8" s="4"/>
      <c r="D8" s="3"/>
      <c r="E8" s="3"/>
      <c r="F8" s="3"/>
      <c r="G8" s="4"/>
      <c r="H8" s="158"/>
      <c r="I8" s="3"/>
      <c r="J8" s="3"/>
      <c r="K8" s="3"/>
      <c r="L8" s="4"/>
      <c r="M8" s="4"/>
      <c r="O8" s="11" t="s">
        <v>177</v>
      </c>
      <c r="P8" s="33"/>
      <c r="Q8" s="2">
        <f>K18+M18-F18+Q2*Q4</f>
        <v>0</v>
      </c>
    </row>
    <row r="9" spans="1:21" x14ac:dyDescent="0.25">
      <c r="B9" s="4"/>
      <c r="C9" s="4"/>
      <c r="D9" s="3"/>
      <c r="E9" s="3"/>
      <c r="F9" s="3"/>
      <c r="G9" s="4"/>
      <c r="H9" s="158"/>
      <c r="I9" s="3"/>
      <c r="J9" s="3"/>
      <c r="K9" s="3"/>
      <c r="L9" s="4"/>
      <c r="M9" s="4"/>
      <c r="O9" s="11" t="s">
        <v>202</v>
      </c>
      <c r="Q9" s="131">
        <f>IF(Q2=0, 0, Q8/Q6)</f>
        <v>0</v>
      </c>
    </row>
    <row r="10" spans="1:21" x14ac:dyDescent="0.25">
      <c r="H10" s="67"/>
      <c r="O10" s="11" t="s">
        <v>201</v>
      </c>
      <c r="P10" s="33"/>
      <c r="Q10" s="2">
        <f>M73</f>
        <v>309.26000000000022</v>
      </c>
    </row>
    <row r="11" spans="1:21" x14ac:dyDescent="0.25">
      <c r="H11" s="67"/>
      <c r="O11" s="11" t="s">
        <v>173</v>
      </c>
      <c r="P11" s="33"/>
      <c r="Q11" s="131">
        <v>8.8000000000000005E-3</v>
      </c>
    </row>
    <row r="12" spans="1:21" x14ac:dyDescent="0.25">
      <c r="H12" s="67"/>
    </row>
    <row r="13" spans="1:21" x14ac:dyDescent="0.25">
      <c r="H13" s="67"/>
    </row>
    <row r="14" spans="1:21" x14ac:dyDescent="0.25">
      <c r="H14" s="67"/>
    </row>
    <row r="15" spans="1:21" x14ac:dyDescent="0.25">
      <c r="H15" s="67"/>
    </row>
    <row r="16" spans="1:21" x14ac:dyDescent="0.25">
      <c r="H16" s="67"/>
    </row>
    <row r="18" spans="1:13" x14ac:dyDescent="0.25">
      <c r="A18" s="31" t="s">
        <v>81</v>
      </c>
      <c r="B18" s="14"/>
      <c r="C18" s="14">
        <f>SUM(C2:C7)</f>
        <v>0</v>
      </c>
      <c r="D18" s="18"/>
      <c r="E18" s="18"/>
      <c r="F18" s="18">
        <f>SUM(F2:F7)</f>
        <v>0</v>
      </c>
      <c r="G18" s="14"/>
      <c r="H18" s="14">
        <f>SUM(H2:H5)</f>
        <v>0</v>
      </c>
      <c r="I18" s="18"/>
      <c r="J18" s="18"/>
      <c r="K18" s="18">
        <f>SUM(K2:K5)</f>
        <v>0</v>
      </c>
      <c r="L18" s="14"/>
      <c r="M18" s="18">
        <f>SUM(M2:M10)</f>
        <v>0</v>
      </c>
    </row>
    <row r="19" spans="1:13"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row>
    <row r="24" spans="1:13" x14ac:dyDescent="0.25">
      <c r="B24" s="159" t="s">
        <v>113</v>
      </c>
      <c r="C24" s="159" t="s">
        <v>143</v>
      </c>
      <c r="D24" s="160" t="s">
        <v>142</v>
      </c>
      <c r="E24" s="162" t="s">
        <v>144</v>
      </c>
      <c r="F24" s="162" t="s">
        <v>65</v>
      </c>
      <c r="G24" s="173" t="s">
        <v>148</v>
      </c>
      <c r="H24" s="173" t="s">
        <v>88</v>
      </c>
      <c r="I24" s="173" t="s">
        <v>151</v>
      </c>
    </row>
    <row r="25" spans="1:13" x14ac:dyDescent="0.25">
      <c r="B25" s="161">
        <v>42843</v>
      </c>
      <c r="C25" s="10">
        <v>100</v>
      </c>
      <c r="D25" s="39">
        <v>24.68</v>
      </c>
      <c r="E25" s="39">
        <v>25.8</v>
      </c>
      <c r="F25" s="39">
        <f>C25*(E25-D25)</f>
        <v>112.0000000000001</v>
      </c>
      <c r="G25" s="39">
        <f>D25*C25</f>
        <v>2468</v>
      </c>
      <c r="H25" s="175">
        <f>(E25-D25)/D25</f>
        <v>4.5380875202593235E-2</v>
      </c>
      <c r="I25" s="39"/>
    </row>
    <row r="26" spans="1:13" x14ac:dyDescent="0.25">
      <c r="B26" s="161">
        <v>42874</v>
      </c>
      <c r="C26" s="10"/>
      <c r="D26" s="39"/>
      <c r="E26" s="39"/>
      <c r="F26" s="39">
        <v>303.26</v>
      </c>
      <c r="G26" s="39"/>
      <c r="H26" s="175"/>
      <c r="I26" s="39"/>
    </row>
    <row r="27" spans="1:13" x14ac:dyDescent="0.25">
      <c r="B27" s="161"/>
      <c r="C27" s="10"/>
      <c r="D27" s="39"/>
      <c r="E27" s="39"/>
      <c r="F27" s="39"/>
      <c r="G27" s="39"/>
      <c r="H27" s="175"/>
      <c r="I27" s="39"/>
    </row>
    <row r="28" spans="1:13" x14ac:dyDescent="0.25">
      <c r="B28" s="161"/>
      <c r="C28" s="10"/>
      <c r="D28" s="39"/>
      <c r="E28" s="39"/>
      <c r="F28" s="39"/>
      <c r="G28" s="39"/>
      <c r="H28" s="175"/>
      <c r="I28" s="39"/>
    </row>
    <row r="29" spans="1:13" x14ac:dyDescent="0.25">
      <c r="B29" s="161"/>
      <c r="C29" s="10"/>
      <c r="D29" s="39"/>
      <c r="E29" s="39"/>
      <c r="F29" s="39"/>
      <c r="G29" s="39"/>
      <c r="H29" s="175"/>
      <c r="I29" s="39"/>
    </row>
    <row r="30" spans="1:13" x14ac:dyDescent="0.25">
      <c r="B30" s="161"/>
      <c r="C30" s="10"/>
      <c r="D30" s="39"/>
      <c r="E30" s="39"/>
      <c r="F30" s="39"/>
      <c r="G30" s="39"/>
      <c r="H30" s="175"/>
      <c r="I30" s="39"/>
    </row>
    <row r="31" spans="1:13" x14ac:dyDescent="0.25">
      <c r="B31" s="161"/>
      <c r="C31" s="10"/>
      <c r="D31" s="39"/>
      <c r="E31" s="39"/>
      <c r="F31" s="39"/>
      <c r="G31" s="39"/>
      <c r="H31" s="175"/>
      <c r="I31" s="39"/>
    </row>
    <row r="32" spans="1:13" x14ac:dyDescent="0.25">
      <c r="B32" s="161"/>
      <c r="C32" s="10"/>
      <c r="D32" s="39"/>
      <c r="E32" s="39"/>
      <c r="F32" s="39"/>
      <c r="G32" s="39"/>
      <c r="H32" s="175"/>
      <c r="I32" s="39"/>
    </row>
    <row r="33" spans="2:21" x14ac:dyDescent="0.25">
      <c r="B33" s="161"/>
      <c r="C33" s="10"/>
      <c r="D33" s="39"/>
      <c r="E33" s="39"/>
      <c r="F33" s="39"/>
      <c r="G33" s="39"/>
      <c r="H33" s="175"/>
      <c r="I33" s="39"/>
    </row>
    <row r="34" spans="2:21" x14ac:dyDescent="0.25">
      <c r="B34" s="161"/>
      <c r="C34" s="10"/>
      <c r="D34" s="39"/>
      <c r="E34" s="39"/>
      <c r="F34" s="39"/>
      <c r="G34" s="39"/>
      <c r="H34" s="175"/>
      <c r="I34" s="39"/>
    </row>
    <row r="35" spans="2:21" x14ac:dyDescent="0.25">
      <c r="B35" s="161"/>
      <c r="C35" s="10"/>
      <c r="D35" s="39"/>
      <c r="E35" s="39"/>
      <c r="F35" s="39"/>
      <c r="G35" s="39"/>
      <c r="H35" s="175"/>
      <c r="I35" s="39"/>
    </row>
    <row r="36" spans="2:21" x14ac:dyDescent="0.25">
      <c r="B36" s="161"/>
      <c r="C36" s="10"/>
      <c r="D36" s="39"/>
      <c r="E36" s="39"/>
      <c r="F36" s="39"/>
      <c r="G36" s="39"/>
      <c r="H36" s="175"/>
      <c r="I36" s="39"/>
    </row>
    <row r="37" spans="2:21" x14ac:dyDescent="0.25">
      <c r="B37" s="161"/>
      <c r="C37" s="10"/>
      <c r="D37" s="39"/>
      <c r="E37" s="39"/>
      <c r="F37" s="39"/>
      <c r="G37" s="39"/>
      <c r="H37" s="175"/>
      <c r="I37" s="39"/>
    </row>
    <row r="38" spans="2:21" x14ac:dyDescent="0.25">
      <c r="B38" s="161"/>
      <c r="C38" s="10"/>
      <c r="D38" s="39"/>
      <c r="E38" s="39"/>
      <c r="F38" s="39"/>
      <c r="G38" s="39"/>
      <c r="H38" s="175"/>
      <c r="I38" s="39"/>
    </row>
    <row r="39" spans="2:21" x14ac:dyDescent="0.25">
      <c r="B39" s="161"/>
      <c r="C39" s="10"/>
      <c r="D39" s="39"/>
      <c r="E39" s="39"/>
      <c r="F39" s="39"/>
      <c r="G39" s="39"/>
      <c r="H39" s="175"/>
      <c r="I39" s="39"/>
    </row>
    <row r="40" spans="2:21" ht="20.25" thickBot="1" x14ac:dyDescent="0.35">
      <c r="B40" s="161"/>
      <c r="C40" s="10"/>
      <c r="D40" s="39"/>
      <c r="E40" s="39"/>
      <c r="F40" s="39"/>
      <c r="G40" s="39"/>
      <c r="H40" s="175"/>
      <c r="I40" s="39"/>
      <c r="O40" s="886" t="s">
        <v>78</v>
      </c>
      <c r="P40" s="886"/>
    </row>
    <row r="41" spans="2:21" ht="15.75" thickTop="1" x14ac:dyDescent="0.25">
      <c r="B41" s="161"/>
      <c r="C41" s="10"/>
      <c r="D41" s="39"/>
      <c r="E41" s="39"/>
      <c r="F41" s="39"/>
      <c r="G41" s="39"/>
      <c r="H41" s="175"/>
      <c r="I41" s="39"/>
      <c r="O41" s="78">
        <v>1.1000000000000001</v>
      </c>
      <c r="P41" s="78">
        <f>O41*$Q$4</f>
        <v>29.447000000000003</v>
      </c>
      <c r="Q41" s="2"/>
    </row>
    <row r="42" spans="2:21" ht="20.25" thickBot="1" x14ac:dyDescent="0.35">
      <c r="B42" s="161"/>
      <c r="C42" s="10"/>
      <c r="D42" s="39"/>
      <c r="E42" s="39"/>
      <c r="F42" s="39"/>
      <c r="G42" s="39"/>
      <c r="H42" s="175"/>
      <c r="I42" s="39"/>
      <c r="O42" s="78">
        <v>1.0900000000000001</v>
      </c>
      <c r="P42" s="78">
        <f t="shared" ref="P42:P61" si="0">O42*$Q$4</f>
        <v>29.179300000000001</v>
      </c>
      <c r="Q42" s="2"/>
      <c r="T42" s="86" t="s">
        <v>112</v>
      </c>
    </row>
    <row r="43" spans="2:21" ht="15.75" thickTop="1" x14ac:dyDescent="0.25">
      <c r="B43" s="161"/>
      <c r="C43" s="10"/>
      <c r="D43" s="39"/>
      <c r="E43" s="39"/>
      <c r="F43" s="39"/>
      <c r="G43" s="39"/>
      <c r="H43" s="175"/>
      <c r="I43" s="39"/>
      <c r="O43" s="78">
        <v>1.08</v>
      </c>
      <c r="P43" s="78">
        <f t="shared" si="0"/>
        <v>28.9116</v>
      </c>
      <c r="Q43" s="2"/>
      <c r="T43" s="122"/>
      <c r="U43" s="123"/>
    </row>
    <row r="44" spans="2:21" x14ac:dyDescent="0.25">
      <c r="B44" s="161"/>
      <c r="C44" s="10"/>
      <c r="D44" s="39"/>
      <c r="E44" s="39"/>
      <c r="F44" s="39"/>
      <c r="G44" s="39"/>
      <c r="H44" s="175"/>
      <c r="I44" s="39"/>
      <c r="O44" s="78">
        <v>1.07</v>
      </c>
      <c r="P44" s="78">
        <f t="shared" si="0"/>
        <v>28.643900000000002</v>
      </c>
      <c r="Q44" s="2"/>
      <c r="T44" s="88"/>
      <c r="U44" s="124"/>
    </row>
    <row r="45" spans="2:21" x14ac:dyDescent="0.25">
      <c r="B45" s="161"/>
      <c r="C45" s="10"/>
      <c r="D45" s="39"/>
      <c r="E45" s="39"/>
      <c r="F45" s="39"/>
      <c r="G45" s="39"/>
      <c r="H45" s="175"/>
      <c r="I45" s="39"/>
      <c r="O45" s="78">
        <v>1.06</v>
      </c>
      <c r="P45" s="78">
        <f t="shared" si="0"/>
        <v>28.376200000000001</v>
      </c>
      <c r="Q45" s="2"/>
      <c r="T45" s="88"/>
      <c r="U45" s="124"/>
    </row>
    <row r="46" spans="2:21" x14ac:dyDescent="0.25">
      <c r="B46" s="161"/>
      <c r="C46" s="10"/>
      <c r="D46" s="39"/>
      <c r="E46" s="39"/>
      <c r="F46" s="39"/>
      <c r="G46" s="39"/>
      <c r="H46" s="175"/>
      <c r="I46" s="39"/>
      <c r="O46" s="78">
        <v>1.05</v>
      </c>
      <c r="P46" s="78">
        <f t="shared" si="0"/>
        <v>28.108499999999999</v>
      </c>
      <c r="Q46" s="2"/>
      <c r="T46" s="88"/>
      <c r="U46" s="124"/>
    </row>
    <row r="47" spans="2:21" x14ac:dyDescent="0.25">
      <c r="B47" s="161"/>
      <c r="C47" s="10"/>
      <c r="D47" s="39"/>
      <c r="E47" s="39"/>
      <c r="F47" s="39"/>
      <c r="G47" s="39"/>
      <c r="H47" s="175"/>
      <c r="I47" s="39"/>
      <c r="O47" s="78">
        <v>1.04</v>
      </c>
      <c r="P47" s="78">
        <f t="shared" si="0"/>
        <v>27.840800000000002</v>
      </c>
      <c r="Q47" s="2"/>
      <c r="T47" s="88"/>
      <c r="U47" s="124"/>
    </row>
    <row r="48" spans="2:21" x14ac:dyDescent="0.25">
      <c r="B48" s="161"/>
      <c r="C48" s="10"/>
      <c r="D48" s="39"/>
      <c r="E48" s="39"/>
      <c r="F48" s="39"/>
      <c r="G48" s="39"/>
      <c r="H48" s="175"/>
      <c r="I48" s="39"/>
      <c r="O48" s="78">
        <v>1.03</v>
      </c>
      <c r="P48" s="78">
        <f t="shared" si="0"/>
        <v>27.5731</v>
      </c>
      <c r="Q48" s="2"/>
      <c r="T48" s="88"/>
      <c r="U48" s="124"/>
    </row>
    <row r="49" spans="1:21" x14ac:dyDescent="0.25">
      <c r="B49" s="161"/>
      <c r="C49" s="10"/>
      <c r="D49" s="39"/>
      <c r="E49" s="39"/>
      <c r="F49" s="39"/>
      <c r="G49" s="39"/>
      <c r="H49" s="175"/>
      <c r="I49" s="39"/>
      <c r="O49" s="78">
        <v>1.02</v>
      </c>
      <c r="P49" s="78">
        <f t="shared" si="0"/>
        <v>27.305399999999999</v>
      </c>
      <c r="Q49" s="2"/>
      <c r="T49" s="88"/>
      <c r="U49" s="124"/>
    </row>
    <row r="50" spans="1:21" x14ac:dyDescent="0.25">
      <c r="B50" s="161"/>
      <c r="C50" s="10"/>
      <c r="D50" s="39"/>
      <c r="E50" s="39"/>
      <c r="F50" s="39"/>
      <c r="G50" s="39"/>
      <c r="H50" s="175"/>
      <c r="I50" s="39"/>
      <c r="O50" s="78">
        <v>1.01</v>
      </c>
      <c r="P50" s="78">
        <f t="shared" si="0"/>
        <v>27.037700000000001</v>
      </c>
      <c r="Q50" s="2"/>
      <c r="T50" s="88"/>
      <c r="U50" s="124"/>
    </row>
    <row r="51" spans="1:21" x14ac:dyDescent="0.25">
      <c r="B51" s="161"/>
      <c r="C51" s="10"/>
      <c r="D51" s="39"/>
      <c r="E51" s="39"/>
      <c r="F51" s="39"/>
      <c r="G51" s="39"/>
      <c r="H51" s="175"/>
      <c r="I51" s="39"/>
      <c r="O51" s="78">
        <v>1</v>
      </c>
      <c r="P51" s="78">
        <f t="shared" si="0"/>
        <v>26.77</v>
      </c>
      <c r="Q51" s="2"/>
      <c r="T51" s="88"/>
      <c r="U51" s="124"/>
    </row>
    <row r="52" spans="1:21" x14ac:dyDescent="0.25">
      <c r="B52" s="161"/>
      <c r="C52" s="10"/>
      <c r="D52" s="39"/>
      <c r="E52" s="39"/>
      <c r="F52" s="39"/>
      <c r="G52" s="39"/>
      <c r="H52" s="175"/>
      <c r="I52" s="39"/>
      <c r="O52" s="78">
        <v>0.99</v>
      </c>
      <c r="P52" s="78">
        <f t="shared" si="0"/>
        <v>26.502299999999998</v>
      </c>
      <c r="Q52" s="2"/>
      <c r="T52" s="88"/>
      <c r="U52" s="124"/>
    </row>
    <row r="53" spans="1:21" x14ac:dyDescent="0.25">
      <c r="B53" s="161"/>
      <c r="C53" s="10"/>
      <c r="D53" s="39"/>
      <c r="E53" s="39"/>
      <c r="F53" s="39"/>
      <c r="G53" s="39"/>
      <c r="H53" s="175"/>
      <c r="I53" s="39"/>
      <c r="O53" s="78">
        <v>0.98</v>
      </c>
      <c r="P53" s="78">
        <f t="shared" si="0"/>
        <v>26.2346</v>
      </c>
      <c r="Q53" s="2"/>
      <c r="T53" s="88"/>
      <c r="U53" s="125"/>
    </row>
    <row r="54" spans="1:21" x14ac:dyDescent="0.25">
      <c r="A54" s="4"/>
      <c r="B54" s="161"/>
      <c r="C54" s="10"/>
      <c r="D54" s="39"/>
      <c r="E54" s="39"/>
      <c r="F54" s="39"/>
      <c r="G54" s="39"/>
      <c r="H54" s="175"/>
      <c r="I54" s="39"/>
      <c r="K54" s="3"/>
      <c r="L54" s="4"/>
      <c r="O54" s="78">
        <v>0.97</v>
      </c>
      <c r="P54" s="78">
        <f t="shared" si="0"/>
        <v>25.966899999999999</v>
      </c>
      <c r="T54" s="88"/>
      <c r="U54" s="125"/>
    </row>
    <row r="55" spans="1:21" x14ac:dyDescent="0.25">
      <c r="A55" s="4"/>
      <c r="B55" s="161"/>
      <c r="C55" s="10"/>
      <c r="D55" s="39"/>
      <c r="E55" s="39"/>
      <c r="F55" s="39"/>
      <c r="G55" s="39"/>
      <c r="H55" s="175"/>
      <c r="I55" s="39"/>
      <c r="K55" s="3"/>
      <c r="L55" s="4"/>
      <c r="O55" s="78">
        <v>0.96</v>
      </c>
      <c r="P55" s="78">
        <f t="shared" si="0"/>
        <v>25.699199999999998</v>
      </c>
      <c r="T55" s="88"/>
      <c r="U55" s="124"/>
    </row>
    <row r="56" spans="1:21" x14ac:dyDescent="0.25">
      <c r="A56" s="4"/>
      <c r="B56" s="161"/>
      <c r="C56" s="10"/>
      <c r="D56" s="39"/>
      <c r="E56" s="39"/>
      <c r="F56" s="39"/>
      <c r="G56" s="39"/>
      <c r="H56" s="175"/>
      <c r="I56" s="39"/>
      <c r="K56" s="3"/>
      <c r="L56" s="4"/>
      <c r="O56" s="78">
        <v>0.95</v>
      </c>
      <c r="P56" s="78">
        <f t="shared" si="0"/>
        <v>25.4315</v>
      </c>
      <c r="T56" s="88"/>
      <c r="U56" s="124"/>
    </row>
    <row r="57" spans="1:21" x14ac:dyDescent="0.25">
      <c r="A57" s="4"/>
      <c r="B57" s="69"/>
      <c r="C57" s="4"/>
      <c r="D57" s="3"/>
      <c r="E57" s="3"/>
      <c r="F57" s="3"/>
      <c r="G57" s="3"/>
      <c r="H57" s="212"/>
      <c r="I57" s="3"/>
      <c r="J57" s="3"/>
      <c r="K57" s="3"/>
      <c r="L57" s="4"/>
      <c r="O57" s="78">
        <v>0.94</v>
      </c>
      <c r="P57" s="78">
        <f t="shared" si="0"/>
        <v>25.163799999999998</v>
      </c>
      <c r="T57" s="88"/>
      <c r="U57" s="124"/>
    </row>
    <row r="58" spans="1:21" x14ac:dyDescent="0.25">
      <c r="A58" s="4"/>
      <c r="B58" s="69"/>
      <c r="C58" s="4"/>
      <c r="D58" s="3"/>
      <c r="E58" s="3"/>
      <c r="F58" s="3"/>
      <c r="G58" s="3"/>
      <c r="H58" s="212"/>
      <c r="I58" s="3"/>
      <c r="J58" s="3"/>
      <c r="K58" s="3"/>
      <c r="L58" s="4"/>
      <c r="O58" s="78">
        <v>0.93</v>
      </c>
      <c r="P58" s="78">
        <f t="shared" si="0"/>
        <v>24.896100000000001</v>
      </c>
      <c r="T58" s="88"/>
      <c r="U58" s="124"/>
    </row>
    <row r="59" spans="1:21" x14ac:dyDescent="0.25">
      <c r="A59" s="4"/>
      <c r="B59" s="69"/>
      <c r="C59" s="4"/>
      <c r="D59" s="3"/>
      <c r="E59" s="3"/>
      <c r="F59" s="3"/>
      <c r="G59" s="3"/>
      <c r="H59" s="212"/>
      <c r="I59" s="3"/>
      <c r="J59" s="3"/>
      <c r="K59" s="3"/>
      <c r="L59" s="4"/>
      <c r="O59" s="78">
        <v>0.92</v>
      </c>
      <c r="P59" s="78">
        <f t="shared" si="0"/>
        <v>24.628399999999999</v>
      </c>
    </row>
    <row r="60" spans="1:21" x14ac:dyDescent="0.25">
      <c r="A60" s="4"/>
      <c r="B60" s="69"/>
      <c r="C60" s="4"/>
      <c r="D60" s="3"/>
      <c r="E60" s="3"/>
      <c r="F60" s="3"/>
      <c r="G60" s="3"/>
      <c r="H60" s="212"/>
      <c r="I60" s="3"/>
      <c r="J60" s="3"/>
      <c r="K60" s="3"/>
      <c r="L60" s="4"/>
      <c r="O60" s="78">
        <v>0.91</v>
      </c>
      <c r="P60" s="78">
        <f t="shared" si="0"/>
        <v>24.360700000000001</v>
      </c>
    </row>
    <row r="61" spans="1:21" x14ac:dyDescent="0.25">
      <c r="A61" s="4"/>
      <c r="B61" s="69"/>
      <c r="C61" s="4"/>
      <c r="D61" s="3"/>
      <c r="E61" s="3"/>
      <c r="F61" s="3"/>
      <c r="G61" s="3"/>
      <c r="H61" s="212"/>
      <c r="I61" s="3"/>
      <c r="J61" s="3"/>
      <c r="K61" s="3"/>
      <c r="L61" s="4"/>
      <c r="O61" s="78">
        <v>0.9</v>
      </c>
      <c r="P61" s="78">
        <f t="shared" si="0"/>
        <v>24.093</v>
      </c>
    </row>
    <row r="62" spans="1:21" x14ac:dyDescent="0.25">
      <c r="A62" s="4"/>
      <c r="B62" s="69"/>
      <c r="C62" s="4"/>
      <c r="D62" s="3"/>
      <c r="E62" s="3"/>
      <c r="F62" s="3"/>
      <c r="G62" s="3"/>
      <c r="H62" s="212"/>
      <c r="I62" s="3"/>
      <c r="J62" s="3"/>
      <c r="K62" s="3"/>
      <c r="L62" s="4"/>
    </row>
    <row r="63" spans="1:21" x14ac:dyDescent="0.25">
      <c r="A63" s="4"/>
      <c r="B63" s="69"/>
      <c r="C63" s="4"/>
      <c r="D63" s="3"/>
      <c r="E63" s="3"/>
      <c r="F63" s="3"/>
      <c r="G63" s="3"/>
      <c r="H63" s="212"/>
      <c r="I63" s="3"/>
      <c r="J63" s="3"/>
      <c r="K63" s="3"/>
      <c r="L63" s="4"/>
    </row>
    <row r="64" spans="1:21"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row>
    <row r="67" spans="1:13" x14ac:dyDescent="0.25">
      <c r="A67" s="4"/>
      <c r="B67" s="4"/>
      <c r="C67" s="4"/>
      <c r="D67" s="3"/>
      <c r="E67" s="3"/>
      <c r="F67" s="3"/>
      <c r="G67" s="4"/>
      <c r="H67" s="4"/>
      <c r="I67" s="3"/>
      <c r="J67" s="3"/>
      <c r="K67" s="3"/>
      <c r="L67" s="4"/>
    </row>
    <row r="68" spans="1:13" x14ac:dyDescent="0.25">
      <c r="A68" s="4"/>
      <c r="B68" s="4"/>
      <c r="C68" s="4"/>
      <c r="D68" s="3"/>
      <c r="E68" s="3"/>
      <c r="F68" s="3"/>
      <c r="G68" s="4"/>
      <c r="H68" s="4"/>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3" spans="1:13" x14ac:dyDescent="0.25">
      <c r="L73" t="s">
        <v>65</v>
      </c>
      <c r="M73" s="2">
        <f>K91+M91-F91</f>
        <v>309.26000000000022</v>
      </c>
    </row>
    <row r="74" spans="1:13" x14ac:dyDescent="0.25">
      <c r="A74" s="297" t="s">
        <v>1</v>
      </c>
      <c r="B74" s="297" t="s">
        <v>2</v>
      </c>
      <c r="C74" s="297" t="s">
        <v>4</v>
      </c>
      <c r="D74" s="299" t="s">
        <v>5</v>
      </c>
      <c r="E74" s="299" t="s">
        <v>94</v>
      </c>
      <c r="F74" s="299" t="s">
        <v>60</v>
      </c>
      <c r="G74" s="297" t="s">
        <v>3</v>
      </c>
      <c r="H74" s="297" t="s">
        <v>6</v>
      </c>
      <c r="I74" s="299" t="s">
        <v>7</v>
      </c>
      <c r="J74" s="299" t="s">
        <v>95</v>
      </c>
      <c r="K74" s="299" t="s">
        <v>61</v>
      </c>
      <c r="L74" s="297" t="s">
        <v>37</v>
      </c>
      <c r="M74" s="297" t="s">
        <v>38</v>
      </c>
    </row>
    <row r="75" spans="1:13" x14ac:dyDescent="0.25">
      <c r="A75" s="300" t="s">
        <v>604</v>
      </c>
      <c r="B75" s="290">
        <v>42843</v>
      </c>
      <c r="C75" s="291">
        <v>100</v>
      </c>
      <c r="D75" s="292">
        <v>24.68</v>
      </c>
      <c r="E75" s="292">
        <v>0</v>
      </c>
      <c r="F75" s="292">
        <f>C75*D75+E75</f>
        <v>2468</v>
      </c>
      <c r="G75" s="290">
        <v>42874</v>
      </c>
      <c r="H75" s="292">
        <v>100</v>
      </c>
      <c r="I75" s="292">
        <v>27.71</v>
      </c>
      <c r="J75" s="292">
        <v>-0.26</v>
      </c>
      <c r="K75" s="292">
        <f>H75*I75-J75</f>
        <v>2771.26</v>
      </c>
      <c r="L75" s="290">
        <v>42880</v>
      </c>
      <c r="M75" s="292">
        <v>6</v>
      </c>
    </row>
    <row r="76" spans="1:13" x14ac:dyDescent="0.25">
      <c r="A76" s="301" t="s">
        <v>71</v>
      </c>
      <c r="B76" s="290"/>
      <c r="C76" s="291"/>
      <c r="D76" s="292"/>
      <c r="E76" s="292"/>
      <c r="F76" s="292"/>
      <c r="G76" s="290"/>
      <c r="H76" s="295"/>
      <c r="I76" s="292"/>
      <c r="J76" s="292"/>
      <c r="K76" s="292"/>
      <c r="L76" s="290"/>
      <c r="M76" s="292"/>
    </row>
    <row r="77" spans="1:13" x14ac:dyDescent="0.25">
      <c r="A77" s="291"/>
      <c r="B77" s="290"/>
      <c r="C77" s="291"/>
      <c r="D77" s="292"/>
      <c r="E77" s="292"/>
      <c r="F77" s="292"/>
      <c r="G77" s="290"/>
      <c r="H77" s="295"/>
      <c r="I77" s="292"/>
      <c r="J77" s="292"/>
      <c r="K77" s="292"/>
      <c r="L77" s="291"/>
      <c r="M77" s="291"/>
    </row>
    <row r="78" spans="1:13" x14ac:dyDescent="0.25">
      <c r="A78" s="291"/>
      <c r="B78" s="290"/>
      <c r="C78" s="291"/>
      <c r="D78" s="292"/>
      <c r="E78" s="292"/>
      <c r="F78" s="292"/>
      <c r="G78" s="291"/>
      <c r="H78" s="295"/>
      <c r="I78" s="292"/>
      <c r="J78" s="292"/>
      <c r="K78" s="292"/>
      <c r="L78" s="291"/>
      <c r="M78" s="291"/>
    </row>
    <row r="79" spans="1:13" x14ac:dyDescent="0.25">
      <c r="A79" s="291"/>
      <c r="B79" s="290"/>
      <c r="C79" s="291"/>
      <c r="D79" s="292"/>
      <c r="E79" s="292"/>
      <c r="F79" s="292"/>
      <c r="G79" s="291"/>
      <c r="H79" s="295"/>
      <c r="I79" s="292"/>
      <c r="J79" s="292"/>
      <c r="K79" s="292"/>
      <c r="L79" s="291"/>
      <c r="M79" s="291"/>
    </row>
    <row r="80" spans="1:13" x14ac:dyDescent="0.25">
      <c r="A80" s="291"/>
      <c r="B80" s="290"/>
      <c r="C80" s="291"/>
      <c r="D80" s="292"/>
      <c r="E80" s="292"/>
      <c r="F80" s="292"/>
      <c r="G80" s="291"/>
      <c r="H80" s="295"/>
      <c r="I80" s="292"/>
      <c r="J80" s="292"/>
      <c r="K80" s="292"/>
      <c r="L80" s="291"/>
      <c r="M80" s="291"/>
    </row>
    <row r="81" spans="1:13" x14ac:dyDescent="0.25">
      <c r="A81" s="291"/>
      <c r="B81" s="291"/>
      <c r="C81" s="291"/>
      <c r="D81" s="292"/>
      <c r="E81" s="292"/>
      <c r="F81" s="292"/>
      <c r="G81" s="291"/>
      <c r="H81" s="295"/>
      <c r="I81" s="292"/>
      <c r="J81" s="292"/>
      <c r="K81" s="292"/>
      <c r="L81" s="291"/>
      <c r="M81" s="291"/>
    </row>
    <row r="82" spans="1:13" x14ac:dyDescent="0.25">
      <c r="A82" s="291"/>
      <c r="B82" s="291"/>
      <c r="C82" s="291"/>
      <c r="D82" s="292"/>
      <c r="E82" s="292"/>
      <c r="F82" s="292"/>
      <c r="G82" s="291"/>
      <c r="H82" s="295"/>
      <c r="I82" s="292"/>
      <c r="J82" s="292"/>
      <c r="K82" s="292"/>
      <c r="L82" s="291"/>
      <c r="M82" s="291"/>
    </row>
    <row r="83" spans="1:13" x14ac:dyDescent="0.25">
      <c r="A83" s="291"/>
      <c r="B83" s="291"/>
      <c r="C83" s="291"/>
      <c r="D83" s="292"/>
      <c r="E83" s="292"/>
      <c r="F83" s="292"/>
      <c r="G83" s="291"/>
      <c r="H83" s="295"/>
      <c r="I83" s="292"/>
      <c r="J83" s="292"/>
      <c r="K83" s="292"/>
      <c r="L83" s="291"/>
      <c r="M83" s="291"/>
    </row>
    <row r="84" spans="1:13" x14ac:dyDescent="0.25">
      <c r="A84" s="291"/>
      <c r="B84" s="291"/>
      <c r="C84" s="291"/>
      <c r="D84" s="292"/>
      <c r="E84" s="292"/>
      <c r="F84" s="292"/>
      <c r="G84" s="291"/>
      <c r="H84" s="295"/>
      <c r="I84" s="292"/>
      <c r="J84" s="292"/>
      <c r="K84" s="292"/>
      <c r="L84" s="291"/>
      <c r="M84" s="291"/>
    </row>
    <row r="85" spans="1:13" x14ac:dyDescent="0.25">
      <c r="A85" s="291"/>
      <c r="B85" s="291"/>
      <c r="C85" s="291"/>
      <c r="D85" s="292"/>
      <c r="E85" s="292"/>
      <c r="F85" s="292"/>
      <c r="G85" s="291"/>
      <c r="H85" s="295"/>
      <c r="I85" s="292"/>
      <c r="J85" s="292"/>
      <c r="K85" s="292"/>
      <c r="L85" s="291"/>
      <c r="M85" s="291"/>
    </row>
    <row r="86" spans="1:13" x14ac:dyDescent="0.25">
      <c r="A86" s="291"/>
      <c r="B86" s="291"/>
      <c r="C86" s="291"/>
      <c r="D86" s="292"/>
      <c r="E86" s="292"/>
      <c r="F86" s="292"/>
      <c r="G86" s="291"/>
      <c r="H86" s="295"/>
      <c r="I86" s="292"/>
      <c r="J86" s="292"/>
      <c r="K86" s="292"/>
      <c r="L86" s="291"/>
      <c r="M86" s="291"/>
    </row>
    <row r="87" spans="1:13" x14ac:dyDescent="0.25">
      <c r="A87" s="291"/>
      <c r="B87" s="291"/>
      <c r="C87" s="291"/>
      <c r="D87" s="292"/>
      <c r="E87" s="292"/>
      <c r="F87" s="292"/>
      <c r="G87" s="291"/>
      <c r="H87" s="295"/>
      <c r="I87" s="292"/>
      <c r="J87" s="292"/>
      <c r="K87" s="292"/>
      <c r="L87" s="291"/>
      <c r="M87" s="291"/>
    </row>
    <row r="88" spans="1:13" x14ac:dyDescent="0.25">
      <c r="A88" s="291"/>
      <c r="B88" s="291"/>
      <c r="C88" s="291"/>
      <c r="D88" s="292"/>
      <c r="E88" s="292"/>
      <c r="F88" s="292"/>
      <c r="G88" s="291"/>
      <c r="H88" s="295"/>
      <c r="I88" s="292"/>
      <c r="J88" s="292"/>
      <c r="K88" s="292"/>
      <c r="L88" s="291"/>
      <c r="M88" s="291"/>
    </row>
    <row r="89" spans="1:13" x14ac:dyDescent="0.25">
      <c r="A89" s="291"/>
      <c r="B89" s="291"/>
      <c r="C89" s="291"/>
      <c r="D89" s="292"/>
      <c r="E89" s="292"/>
      <c r="F89" s="292"/>
      <c r="G89" s="291"/>
      <c r="H89" s="295"/>
      <c r="I89" s="292"/>
      <c r="J89" s="292"/>
      <c r="K89" s="292"/>
      <c r="L89" s="291"/>
      <c r="M89" s="291"/>
    </row>
    <row r="90" spans="1:13" x14ac:dyDescent="0.25">
      <c r="A90" s="291"/>
      <c r="B90" s="291"/>
      <c r="C90" s="291"/>
      <c r="D90" s="292"/>
      <c r="E90" s="292"/>
      <c r="F90" s="292"/>
      <c r="G90" s="291"/>
      <c r="H90" s="291"/>
      <c r="I90" s="292"/>
      <c r="J90" s="292"/>
      <c r="K90" s="292"/>
      <c r="L90" s="291"/>
      <c r="M90" s="291"/>
    </row>
    <row r="91" spans="1:13" x14ac:dyDescent="0.25">
      <c r="A91" s="21" t="s">
        <v>81</v>
      </c>
      <c r="B91" s="12"/>
      <c r="C91" s="12">
        <f>SUM(C75:C80)</f>
        <v>100</v>
      </c>
      <c r="D91" s="13"/>
      <c r="E91" s="13"/>
      <c r="F91" s="13">
        <f>SUM(F75:F80)</f>
        <v>2468</v>
      </c>
      <c r="G91" s="12"/>
      <c r="H91" s="12">
        <f>SUM(H75:H78)</f>
        <v>100</v>
      </c>
      <c r="I91" s="13"/>
      <c r="J91" s="13"/>
      <c r="K91" s="13">
        <f>SUM(K75:K78)</f>
        <v>2771.26</v>
      </c>
      <c r="L91" s="12"/>
      <c r="M91" s="13">
        <f>SUM(M75:M83)</f>
        <v>6</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F57:F63 H57:H63">
    <cfRule type="expression" dxfId="3845" priority="9">
      <formula>F57&gt;0</formula>
    </cfRule>
    <cfRule type="expression" dxfId="3844" priority="10">
      <formula>F57&lt;0</formula>
    </cfRule>
  </conditionalFormatting>
  <conditionalFormatting sqref="Q7">
    <cfRule type="expression" dxfId="3843" priority="7">
      <formula>Q7&gt;0</formula>
    </cfRule>
    <cfRule type="expression" dxfId="3842" priority="8">
      <formula>Q7&lt;0</formula>
    </cfRule>
  </conditionalFormatting>
  <conditionalFormatting sqref="Q8">
    <cfRule type="expression" dxfId="3841" priority="5">
      <formula>Q8&gt;0</formula>
    </cfRule>
    <cfRule type="expression" dxfId="3840" priority="6">
      <formula>Q8&lt;0</formula>
    </cfRule>
  </conditionalFormatting>
  <conditionalFormatting sqref="F25:F56">
    <cfRule type="expression" dxfId="3839" priority="3">
      <formula>F25&gt;0</formula>
    </cfRule>
    <cfRule type="expression" dxfId="3838" priority="4">
      <formula>F25&lt;0</formula>
    </cfRule>
  </conditionalFormatting>
  <conditionalFormatting sqref="H25:H56">
    <cfRule type="expression" dxfId="3837" priority="1">
      <formula>H25&gt;0</formula>
    </cfRule>
    <cfRule type="expression" dxfId="3836" priority="2">
      <formula>H25&lt;0</formula>
    </cfRule>
  </conditionalFormatting>
  <hyperlinks>
    <hyperlink ref="A3" location="ACTIVE!A1" display="Back"/>
    <hyperlink ref="A76" location="ACTIVE!A1" display="Back"/>
  </hyperlinks>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8"/>
  <dimension ref="A1:U148"/>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66.2851562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847</v>
      </c>
      <c r="B2" s="69">
        <v>43546</v>
      </c>
      <c r="C2" s="4">
        <v>10</v>
      </c>
      <c r="D2" s="3">
        <v>119.64</v>
      </c>
      <c r="E2" s="3">
        <v>0</v>
      </c>
      <c r="F2" s="3">
        <f t="shared" ref="F2" si="0">C2*D2+E2</f>
        <v>1196.4000000000001</v>
      </c>
      <c r="G2" s="360">
        <v>43648</v>
      </c>
      <c r="H2" s="7">
        <v>20</v>
      </c>
      <c r="I2" s="43">
        <v>126.7</v>
      </c>
      <c r="J2" s="43">
        <v>0.05</v>
      </c>
      <c r="K2" s="43">
        <f>H2*I2-J2</f>
        <v>2533.9499999999998</v>
      </c>
      <c r="L2" s="69">
        <v>43678</v>
      </c>
      <c r="M2" s="43">
        <v>3.9</v>
      </c>
      <c r="O2" s="11" t="s">
        <v>57</v>
      </c>
      <c r="Q2">
        <f>C29-H29</f>
        <v>30</v>
      </c>
      <c r="T2" s="1" t="s">
        <v>891</v>
      </c>
      <c r="U2" t="s">
        <v>1312</v>
      </c>
    </row>
    <row r="3" spans="1:21" x14ac:dyDescent="0.25">
      <c r="A3" s="22" t="s">
        <v>71</v>
      </c>
      <c r="B3" s="360">
        <v>43616</v>
      </c>
      <c r="C3" s="7">
        <v>20</v>
      </c>
      <c r="D3" s="43">
        <v>120.6</v>
      </c>
      <c r="E3" s="43">
        <v>0</v>
      </c>
      <c r="F3" s="43">
        <f t="shared" ref="F3:F4" si="1">C3*D3+E3</f>
        <v>2412</v>
      </c>
      <c r="G3" s="69"/>
      <c r="H3" s="158"/>
      <c r="I3" s="3"/>
      <c r="J3" s="3"/>
      <c r="K3" s="3"/>
      <c r="L3" s="69">
        <v>43770</v>
      </c>
      <c r="M3" s="43">
        <v>3.9</v>
      </c>
      <c r="O3" s="11" t="s">
        <v>58</v>
      </c>
      <c r="Q3" s="174">
        <f>IF(Q2=0, Q4, (F29-K29-M29)/Q2)</f>
        <v>117.55499999999999</v>
      </c>
      <c r="T3" s="1"/>
    </row>
    <row r="4" spans="1:21" x14ac:dyDescent="0.25">
      <c r="B4" s="69">
        <v>43648</v>
      </c>
      <c r="C4" s="4">
        <v>20</v>
      </c>
      <c r="D4" s="3">
        <v>123</v>
      </c>
      <c r="E4" s="3">
        <v>0</v>
      </c>
      <c r="F4" s="3">
        <f t="shared" si="1"/>
        <v>2460</v>
      </c>
      <c r="G4" s="69"/>
      <c r="H4" s="158"/>
      <c r="I4" s="3"/>
      <c r="J4" s="3"/>
      <c r="K4" s="3"/>
      <c r="L4" s="69"/>
      <c r="M4" s="3"/>
      <c r="O4" s="11" t="s">
        <v>66</v>
      </c>
      <c r="Q4" s="53">
        <v>133.53</v>
      </c>
      <c r="R4" s="416">
        <v>-2.9899999999999999E-2</v>
      </c>
      <c r="T4" s="680">
        <v>43193</v>
      </c>
      <c r="U4" s="30" t="s">
        <v>898</v>
      </c>
    </row>
    <row r="5" spans="1:21" x14ac:dyDescent="0.25">
      <c r="B5" s="69"/>
      <c r="C5" s="4"/>
      <c r="D5" s="3"/>
      <c r="E5" s="3"/>
      <c r="F5" s="3"/>
      <c r="G5" s="69"/>
      <c r="H5" s="158"/>
      <c r="I5" s="3"/>
      <c r="J5" s="3"/>
      <c r="K5" s="3"/>
      <c r="L5" s="69"/>
      <c r="M5" s="3"/>
      <c r="O5" s="11" t="s">
        <v>67</v>
      </c>
      <c r="Q5" s="3">
        <f>Q4*Q2</f>
        <v>4005.9</v>
      </c>
      <c r="U5" s="396" t="s">
        <v>929</v>
      </c>
    </row>
    <row r="6" spans="1:21" x14ac:dyDescent="0.25">
      <c r="B6" s="69"/>
      <c r="C6" s="4"/>
      <c r="D6" s="3"/>
      <c r="E6" s="3"/>
      <c r="F6" s="3"/>
      <c r="G6" s="69"/>
      <c r="H6" s="158"/>
      <c r="I6" s="3"/>
      <c r="J6" s="3"/>
      <c r="K6" s="3"/>
      <c r="L6" s="69"/>
      <c r="M6" s="3"/>
      <c r="O6" s="11" t="s">
        <v>64</v>
      </c>
      <c r="Q6" s="2">
        <f>Q3*Q2</f>
        <v>3526.6499999999996</v>
      </c>
    </row>
    <row r="7" spans="1:21" x14ac:dyDescent="0.25">
      <c r="B7" s="69"/>
      <c r="C7" s="4"/>
      <c r="D7" s="3"/>
      <c r="E7" s="3"/>
      <c r="F7" s="3"/>
      <c r="G7" s="69"/>
      <c r="H7" s="158"/>
      <c r="I7" s="3"/>
      <c r="J7" s="3"/>
      <c r="K7" s="3"/>
      <c r="L7" s="4"/>
      <c r="M7" s="4"/>
      <c r="O7" s="11" t="s">
        <v>175</v>
      </c>
      <c r="Q7" s="2">
        <f>Q10+Q8</f>
        <v>2880.949999999983</v>
      </c>
      <c r="R7">
        <v>30</v>
      </c>
      <c r="T7" s="1">
        <v>43221</v>
      </c>
      <c r="U7" s="728" t="s">
        <v>967</v>
      </c>
    </row>
    <row r="8" spans="1:21" x14ac:dyDescent="0.25">
      <c r="B8" s="69"/>
      <c r="C8" s="4"/>
      <c r="D8" s="3"/>
      <c r="E8" s="3"/>
      <c r="F8" s="3"/>
      <c r="G8" s="69"/>
      <c r="H8" s="158"/>
      <c r="I8" s="3"/>
      <c r="J8" s="3"/>
      <c r="K8" s="3"/>
      <c r="L8" s="4"/>
      <c r="M8" s="4"/>
      <c r="O8" s="11" t="s">
        <v>177</v>
      </c>
      <c r="P8" s="33"/>
      <c r="Q8" s="2">
        <f>K29+M29-F29+Q2*Q4</f>
        <v>479.25000000000045</v>
      </c>
      <c r="U8" t="s">
        <v>968</v>
      </c>
    </row>
    <row r="9" spans="1:21" x14ac:dyDescent="0.25">
      <c r="B9" s="69"/>
      <c r="C9" s="4"/>
      <c r="D9" s="3"/>
      <c r="E9" s="3"/>
      <c r="F9" s="3"/>
      <c r="G9" s="69"/>
      <c r="H9" s="158"/>
      <c r="I9" s="3"/>
      <c r="J9" s="3"/>
      <c r="K9" s="3"/>
      <c r="L9" s="4"/>
      <c r="M9" s="4"/>
      <c r="O9" s="11" t="s">
        <v>202</v>
      </c>
      <c r="Q9" s="131">
        <f>IF(Q2=0, 0, Q8/Q6)</f>
        <v>0.13589383692739582</v>
      </c>
      <c r="T9" s="153"/>
    </row>
    <row r="10" spans="1:21" x14ac:dyDescent="0.25">
      <c r="B10" s="69"/>
      <c r="C10" s="4"/>
      <c r="D10" s="3"/>
      <c r="E10" s="3"/>
      <c r="F10" s="3"/>
      <c r="G10" s="69"/>
      <c r="H10" s="158"/>
      <c r="I10" s="3"/>
      <c r="J10" s="3"/>
      <c r="K10" s="3"/>
      <c r="L10" s="4"/>
      <c r="M10" s="4"/>
      <c r="O10" s="11" t="s">
        <v>201</v>
      </c>
      <c r="P10" s="33"/>
      <c r="Q10" s="2">
        <f>M44</f>
        <v>2401.6999999999825</v>
      </c>
    </row>
    <row r="11" spans="1:21" x14ac:dyDescent="0.25">
      <c r="B11" s="69"/>
      <c r="C11" s="4"/>
      <c r="D11" s="3"/>
      <c r="E11" s="3"/>
      <c r="F11" s="3"/>
      <c r="G11" s="69"/>
      <c r="H11" s="158"/>
      <c r="I11" s="3"/>
      <c r="J11" s="3"/>
      <c r="K11" s="3"/>
      <c r="L11" s="69"/>
      <c r="M11" s="4"/>
      <c r="O11" s="11" t="s">
        <v>173</v>
      </c>
      <c r="P11" s="33"/>
      <c r="Q11" s="131">
        <f>R11*4/Q4</f>
        <v>3.8942559724406503E-3</v>
      </c>
      <c r="R11">
        <v>0.13</v>
      </c>
      <c r="T11" s="1">
        <v>43228</v>
      </c>
      <c r="U11" t="s">
        <v>1001</v>
      </c>
    </row>
    <row r="12" spans="1:21" x14ac:dyDescent="0.25">
      <c r="B12" s="69"/>
      <c r="C12" s="4"/>
      <c r="D12" s="3"/>
      <c r="E12" s="3"/>
      <c r="F12" s="3"/>
      <c r="G12" s="69"/>
      <c r="H12" s="158"/>
      <c r="I12" s="3"/>
      <c r="J12" s="3"/>
      <c r="K12" s="3"/>
      <c r="L12" s="4"/>
      <c r="M12" s="4"/>
      <c r="O12" s="11" t="s">
        <v>875</v>
      </c>
      <c r="Q12" s="1" t="s">
        <v>1340</v>
      </c>
    </row>
    <row r="13" spans="1:21" x14ac:dyDescent="0.25">
      <c r="B13" s="69"/>
      <c r="C13" s="4"/>
      <c r="D13" s="3"/>
      <c r="E13" s="3"/>
      <c r="F13" s="3"/>
      <c r="G13" s="69"/>
      <c r="H13" s="158"/>
      <c r="I13" s="3"/>
      <c r="J13" s="3"/>
      <c r="K13" s="3"/>
      <c r="L13" s="4"/>
      <c r="M13" s="4"/>
      <c r="O13" s="11" t="s">
        <v>901</v>
      </c>
      <c r="Q13" s="2">
        <f>Q4/8.62</f>
        <v>15.490719257540604</v>
      </c>
      <c r="T13" s="1">
        <v>43260</v>
      </c>
      <c r="U13" t="s">
        <v>1048</v>
      </c>
    </row>
    <row r="14" spans="1:21" x14ac:dyDescent="0.25">
      <c r="B14" s="69"/>
      <c r="C14" s="4"/>
      <c r="D14" s="3"/>
      <c r="E14" s="3"/>
      <c r="F14" s="3"/>
      <c r="G14" s="69"/>
      <c r="H14" s="158"/>
      <c r="I14" s="3"/>
      <c r="J14" s="3"/>
      <c r="K14" s="3"/>
      <c r="L14" s="4"/>
      <c r="M14" s="4"/>
      <c r="O14" s="11" t="s">
        <v>988</v>
      </c>
      <c r="Q14" s="1">
        <v>43324</v>
      </c>
    </row>
    <row r="15" spans="1:21" x14ac:dyDescent="0.25">
      <c r="B15" s="69"/>
      <c r="C15" s="4"/>
      <c r="D15" s="3"/>
      <c r="E15" s="3"/>
      <c r="F15" s="3"/>
      <c r="G15" s="69"/>
      <c r="H15" s="158"/>
      <c r="I15" s="3"/>
      <c r="J15" s="3"/>
      <c r="K15" s="3"/>
      <c r="L15" s="4"/>
      <c r="M15" s="4"/>
      <c r="T15" s="1">
        <v>43263</v>
      </c>
      <c r="U15" t="s">
        <v>1050</v>
      </c>
    </row>
    <row r="16" spans="1:21" x14ac:dyDescent="0.25">
      <c r="B16" s="69"/>
      <c r="C16" s="4"/>
      <c r="D16" s="3"/>
      <c r="E16" s="3"/>
      <c r="F16" s="3"/>
      <c r="G16" s="69"/>
      <c r="H16" s="158"/>
      <c r="I16" s="3"/>
      <c r="J16" s="3"/>
      <c r="K16" s="3"/>
      <c r="L16" s="4"/>
      <c r="M16" s="4"/>
    </row>
    <row r="17" spans="1:21" x14ac:dyDescent="0.25">
      <c r="B17" s="69"/>
      <c r="C17" s="4"/>
      <c r="D17" s="3"/>
      <c r="E17" s="3"/>
      <c r="F17" s="3"/>
      <c r="G17" s="69"/>
      <c r="H17" s="158"/>
      <c r="I17" s="3"/>
      <c r="J17" s="3"/>
      <c r="K17" s="3"/>
      <c r="L17" s="4"/>
      <c r="M17" s="4"/>
      <c r="T17" s="1">
        <v>43264</v>
      </c>
      <c r="U17" t="s">
        <v>1053</v>
      </c>
    </row>
    <row r="18" spans="1:21" ht="20.25" thickBot="1" x14ac:dyDescent="0.35">
      <c r="B18" s="69"/>
      <c r="C18" s="4"/>
      <c r="D18" s="3"/>
      <c r="E18" s="3"/>
      <c r="F18" s="3"/>
      <c r="G18" s="69"/>
      <c r="H18" s="158"/>
      <c r="I18" s="3"/>
      <c r="J18" s="3"/>
      <c r="K18" s="3"/>
      <c r="L18" s="4"/>
      <c r="M18" s="4"/>
      <c r="O18" s="687" t="s">
        <v>78</v>
      </c>
      <c r="P18" s="687"/>
      <c r="U18" t="s">
        <v>1054</v>
      </c>
    </row>
    <row r="19" spans="1:21" ht="15.75" thickTop="1" x14ac:dyDescent="0.25">
      <c r="B19" s="69"/>
      <c r="C19" s="4"/>
      <c r="D19" s="3"/>
      <c r="E19" s="3"/>
      <c r="F19" s="3"/>
      <c r="G19" s="69"/>
      <c r="H19" s="158"/>
      <c r="I19" s="3"/>
      <c r="J19" s="3"/>
      <c r="K19" s="3"/>
      <c r="L19" s="4"/>
      <c r="M19" s="4"/>
      <c r="O19" s="78">
        <v>1.1000000000000001</v>
      </c>
      <c r="P19" s="78">
        <f>O19*$Q$4</f>
        <v>146.88300000000001</v>
      </c>
    </row>
    <row r="20" spans="1:21" x14ac:dyDescent="0.25">
      <c r="B20" s="69"/>
      <c r="C20" s="4"/>
      <c r="D20" s="3"/>
      <c r="E20" s="3"/>
      <c r="F20" s="3"/>
      <c r="G20" s="69"/>
      <c r="H20" s="158"/>
      <c r="I20" s="3"/>
      <c r="J20" s="3"/>
      <c r="K20" s="3"/>
      <c r="L20" s="4"/>
      <c r="M20" s="4"/>
      <c r="O20" s="78">
        <v>1.0900000000000001</v>
      </c>
      <c r="P20" s="78">
        <f t="shared" ref="P20:P39" si="2">O20*$Q$4</f>
        <v>145.54770000000002</v>
      </c>
      <c r="T20" s="1">
        <v>43279</v>
      </c>
      <c r="U20" t="s">
        <v>1070</v>
      </c>
    </row>
    <row r="21" spans="1:21" x14ac:dyDescent="0.25">
      <c r="B21" s="69"/>
      <c r="C21" s="4"/>
      <c r="D21" s="3"/>
      <c r="E21" s="3"/>
      <c r="F21" s="3"/>
      <c r="G21" s="4"/>
      <c r="H21" s="4"/>
      <c r="I21" s="3"/>
      <c r="J21" s="3"/>
      <c r="K21" s="3"/>
      <c r="L21" s="4"/>
      <c r="M21" s="4"/>
      <c r="O21" s="78">
        <v>1.08</v>
      </c>
      <c r="P21" s="78">
        <f t="shared" si="2"/>
        <v>144.2124</v>
      </c>
    </row>
    <row r="22" spans="1:21" x14ac:dyDescent="0.25">
      <c r="B22" s="69"/>
      <c r="C22" s="4"/>
      <c r="D22" s="3"/>
      <c r="E22" s="3"/>
      <c r="F22" s="3"/>
      <c r="G22" s="4"/>
      <c r="H22" s="4"/>
      <c r="I22" s="3"/>
      <c r="J22" s="3"/>
      <c r="K22" s="3"/>
      <c r="L22" s="4"/>
      <c r="M22" s="4"/>
      <c r="O22" s="78">
        <v>1.07</v>
      </c>
      <c r="P22" s="78">
        <f t="shared" si="2"/>
        <v>142.87710000000001</v>
      </c>
    </row>
    <row r="23" spans="1:21" x14ac:dyDescent="0.25">
      <c r="B23" s="69"/>
      <c r="C23" s="4"/>
      <c r="D23" s="3"/>
      <c r="E23" s="3"/>
      <c r="F23" s="3"/>
      <c r="G23" s="4"/>
      <c r="H23" s="4"/>
      <c r="I23" s="3"/>
      <c r="J23" s="3"/>
      <c r="K23" s="3"/>
      <c r="L23" s="4"/>
      <c r="M23" s="4"/>
      <c r="O23" s="78">
        <v>1.06</v>
      </c>
      <c r="P23" s="78">
        <f t="shared" si="2"/>
        <v>141.54179999999999</v>
      </c>
    </row>
    <row r="24" spans="1:21" x14ac:dyDescent="0.25">
      <c r="B24" s="69"/>
      <c r="C24" s="4"/>
      <c r="D24" s="3"/>
      <c r="E24" s="3"/>
      <c r="F24" s="3"/>
      <c r="G24" s="4"/>
      <c r="H24" s="4"/>
      <c r="I24" s="3"/>
      <c r="J24" s="3"/>
      <c r="K24" s="3"/>
      <c r="L24" s="4"/>
      <c r="M24" s="4"/>
      <c r="O24" s="78">
        <v>1.05</v>
      </c>
      <c r="P24" s="78">
        <f t="shared" si="2"/>
        <v>140.20650000000001</v>
      </c>
    </row>
    <row r="25" spans="1:21" x14ac:dyDescent="0.25">
      <c r="O25" s="78">
        <v>1.04</v>
      </c>
      <c r="P25" s="78">
        <f t="shared" si="2"/>
        <v>138.87120000000002</v>
      </c>
      <c r="T25" s="153">
        <v>43305</v>
      </c>
      <c r="U25" t="s">
        <v>1101</v>
      </c>
    </row>
    <row r="26" spans="1:21" x14ac:dyDescent="0.25">
      <c r="O26" s="78">
        <v>1.03</v>
      </c>
      <c r="P26" s="78">
        <f t="shared" si="2"/>
        <v>137.5359</v>
      </c>
      <c r="T26" s="64"/>
    </row>
    <row r="27" spans="1:21" x14ac:dyDescent="0.25">
      <c r="O27" s="78">
        <v>1.02</v>
      </c>
      <c r="P27" s="78">
        <f t="shared" si="2"/>
        <v>136.20060000000001</v>
      </c>
      <c r="T27" s="153">
        <v>43313</v>
      </c>
      <c r="U27" t="s">
        <v>1100</v>
      </c>
    </row>
    <row r="28" spans="1:21" x14ac:dyDescent="0.25">
      <c r="O28" s="78">
        <v>1.01</v>
      </c>
      <c r="P28" s="78">
        <f t="shared" si="2"/>
        <v>134.86529999999999</v>
      </c>
      <c r="T28" s="153">
        <v>43314</v>
      </c>
      <c r="U28" t="s">
        <v>1103</v>
      </c>
    </row>
    <row r="29" spans="1:21" x14ac:dyDescent="0.25">
      <c r="A29" s="31" t="s">
        <v>81</v>
      </c>
      <c r="B29" s="14"/>
      <c r="C29" s="14">
        <f>SUM(C2:C28)</f>
        <v>50</v>
      </c>
      <c r="D29" s="18"/>
      <c r="E29" s="18"/>
      <c r="F29" s="18">
        <f>SUM(F2:F28)</f>
        <v>6068.4</v>
      </c>
      <c r="G29" s="14"/>
      <c r="H29" s="68">
        <f>SUM(H2:H20)</f>
        <v>20</v>
      </c>
      <c r="I29" s="18"/>
      <c r="J29" s="18"/>
      <c r="K29" s="18">
        <f>SUM(K2:K20)</f>
        <v>2533.9499999999998</v>
      </c>
      <c r="L29" s="14"/>
      <c r="M29" s="18">
        <f>SUM(M2:M10)</f>
        <v>7.8</v>
      </c>
      <c r="O29" s="78">
        <v>1</v>
      </c>
      <c r="P29" s="78">
        <f t="shared" si="2"/>
        <v>133.53</v>
      </c>
      <c r="T29" s="153">
        <v>43326</v>
      </c>
      <c r="U29" t="s">
        <v>1102</v>
      </c>
    </row>
    <row r="30" spans="1:21" ht="15.75" thickBot="1" x14ac:dyDescent="0.3">
      <c r="A30" s="273" t="s">
        <v>189</v>
      </c>
      <c r="B30" s="274"/>
      <c r="C30" s="275">
        <f>SumByColor($A$30,C2:C28)</f>
        <v>20</v>
      </c>
      <c r="D30" s="275"/>
      <c r="E30" s="275"/>
      <c r="F30" s="276">
        <f>SumByColor($A$30,F2:F28)</f>
        <v>2412</v>
      </c>
      <c r="G30" s="275"/>
      <c r="H30" s="275">
        <f>SumByColor($A$30,H2:H28)</f>
        <v>20</v>
      </c>
      <c r="I30" s="275"/>
      <c r="J30" s="275"/>
      <c r="K30" s="276">
        <f>SumByColor($A$30,K2:K28)</f>
        <v>2534</v>
      </c>
      <c r="L30" s="275"/>
      <c r="M30" s="276">
        <f>SumByColor($A$30,M2:M28)</f>
        <v>8</v>
      </c>
      <c r="O30" s="78">
        <v>0.99</v>
      </c>
      <c r="P30" s="78">
        <f t="shared" si="2"/>
        <v>132.19470000000001</v>
      </c>
    </row>
    <row r="31" spans="1:21" x14ac:dyDescent="0.25">
      <c r="O31" s="78">
        <v>0.98</v>
      </c>
      <c r="P31" s="78">
        <f t="shared" si="2"/>
        <v>130.85939999999999</v>
      </c>
      <c r="T31" s="1">
        <v>43474</v>
      </c>
      <c r="U31" t="s">
        <v>1302</v>
      </c>
    </row>
    <row r="32" spans="1:21" x14ac:dyDescent="0.25">
      <c r="O32" s="78">
        <v>0.97</v>
      </c>
      <c r="P32" s="78">
        <f t="shared" si="2"/>
        <v>129.5241</v>
      </c>
    </row>
    <row r="33" spans="1:17" x14ac:dyDescent="0.25">
      <c r="O33" s="78">
        <v>0.96</v>
      </c>
      <c r="P33" s="78">
        <f t="shared" si="2"/>
        <v>128.18879999999999</v>
      </c>
    </row>
    <row r="34" spans="1:17" x14ac:dyDescent="0.25">
      <c r="O34" s="78">
        <v>0.95</v>
      </c>
      <c r="P34" s="78">
        <f t="shared" si="2"/>
        <v>126.8535</v>
      </c>
    </row>
    <row r="35" spans="1:17" x14ac:dyDescent="0.25">
      <c r="B35" s="159" t="s">
        <v>113</v>
      </c>
      <c r="C35" s="159" t="s">
        <v>143</v>
      </c>
      <c r="D35" s="160" t="s">
        <v>142</v>
      </c>
      <c r="E35" s="162" t="s">
        <v>144</v>
      </c>
      <c r="F35" s="162" t="s">
        <v>65</v>
      </c>
      <c r="G35" s="173" t="s">
        <v>148</v>
      </c>
      <c r="H35" s="173" t="s">
        <v>88</v>
      </c>
      <c r="I35" s="173" t="s">
        <v>151</v>
      </c>
      <c r="J35" s="173" t="s">
        <v>147</v>
      </c>
      <c r="K35" s="173" t="s">
        <v>452</v>
      </c>
      <c r="L35" s="173" t="s">
        <v>901</v>
      </c>
      <c r="O35" s="78">
        <v>0.94</v>
      </c>
      <c r="P35" s="78">
        <f t="shared" si="2"/>
        <v>125.51819999999999</v>
      </c>
    </row>
    <row r="36" spans="1:17" x14ac:dyDescent="0.25">
      <c r="A36" s="4"/>
      <c r="B36" s="161">
        <v>43648</v>
      </c>
      <c r="C36" s="10">
        <v>30</v>
      </c>
      <c r="D36" s="39">
        <v>117.815</v>
      </c>
      <c r="E36" s="39">
        <v>127</v>
      </c>
      <c r="F36" s="98">
        <f t="shared" ref="F36" si="3">C36*(E36-D36)</f>
        <v>275.55000000000007</v>
      </c>
      <c r="G36" s="39">
        <f t="shared" ref="G36" si="4">D36*C36</f>
        <v>3534.45</v>
      </c>
      <c r="H36" s="175">
        <f t="shared" ref="H36" si="5">(E36-D36)/D36</f>
        <v>7.7961210372193709E-2</v>
      </c>
      <c r="I36" s="39"/>
      <c r="J36" s="98">
        <f>F36+$M$44</f>
        <v>2677.2499999999827</v>
      </c>
      <c r="K36" s="39"/>
      <c r="L36" s="39"/>
      <c r="O36" s="78">
        <v>0.93</v>
      </c>
      <c r="P36" s="78">
        <f t="shared" si="2"/>
        <v>124.1829</v>
      </c>
    </row>
    <row r="37" spans="1:17" x14ac:dyDescent="0.25">
      <c r="A37" s="4"/>
      <c r="B37" s="161">
        <v>43678</v>
      </c>
      <c r="C37" s="10">
        <v>30</v>
      </c>
      <c r="D37" s="39">
        <v>117.685</v>
      </c>
      <c r="E37" s="39">
        <v>130.97</v>
      </c>
      <c r="F37" s="98">
        <f t="shared" ref="F37" si="6">C37*(E37-D37)</f>
        <v>398.5499999999999</v>
      </c>
      <c r="G37" s="39">
        <f t="shared" ref="G37" si="7">D37*C37</f>
        <v>3530.55</v>
      </c>
      <c r="H37" s="175">
        <f t="shared" ref="H37" si="8">(E37-D37)/D37</f>
        <v>0.11288609423460931</v>
      </c>
      <c r="I37" s="39"/>
      <c r="J37" s="98">
        <f>F37+$M$44</f>
        <v>2800.2499999999823</v>
      </c>
      <c r="K37" s="39"/>
      <c r="L37" s="39"/>
      <c r="O37" s="78">
        <v>0.92</v>
      </c>
      <c r="P37" s="78">
        <f t="shared" si="2"/>
        <v>122.8476</v>
      </c>
    </row>
    <row r="38" spans="1:17" x14ac:dyDescent="0.25">
      <c r="A38" s="4"/>
      <c r="B38" s="161">
        <v>43771</v>
      </c>
      <c r="C38" s="10">
        <v>30</v>
      </c>
      <c r="D38" s="39">
        <v>117.55500000000001</v>
      </c>
      <c r="E38" s="39">
        <v>125.99</v>
      </c>
      <c r="F38" s="98">
        <f t="shared" ref="F38" si="9">C38*(E38-D38)</f>
        <v>253.04999999999964</v>
      </c>
      <c r="G38" s="39">
        <f t="shared" ref="G38" si="10">D38*C38</f>
        <v>3526.65</v>
      </c>
      <c r="H38" s="175">
        <f t="shared" ref="H38" si="11">(E38-D38)/D38</f>
        <v>7.1753647228956552E-2</v>
      </c>
      <c r="I38" s="39"/>
      <c r="J38" s="98">
        <f>F38+$M$44</f>
        <v>2654.7499999999823</v>
      </c>
      <c r="K38" s="39"/>
      <c r="L38" s="39"/>
      <c r="O38" s="78">
        <v>0.91</v>
      </c>
      <c r="P38" s="78">
        <f t="shared" si="2"/>
        <v>121.51230000000001</v>
      </c>
    </row>
    <row r="39" spans="1:17" x14ac:dyDescent="0.25">
      <c r="A39" s="4"/>
      <c r="B39" s="161">
        <v>43797</v>
      </c>
      <c r="C39" s="10">
        <v>30</v>
      </c>
      <c r="D39" s="39">
        <v>117.56</v>
      </c>
      <c r="E39" s="39">
        <v>133.21</v>
      </c>
      <c r="F39" s="98">
        <f t="shared" ref="F39" si="12">C39*(E39-D39)</f>
        <v>469.50000000000017</v>
      </c>
      <c r="G39" s="39">
        <f t="shared" ref="G39" si="13">D39*C39</f>
        <v>3526.8</v>
      </c>
      <c r="H39" s="175">
        <f t="shared" ref="H39" si="14">(E39-D39)/D39</f>
        <v>0.1331235113984349</v>
      </c>
      <c r="I39" s="39"/>
      <c r="J39" s="98">
        <f>F39+$M$44</f>
        <v>2871.1999999999825</v>
      </c>
      <c r="K39" s="39"/>
      <c r="L39" s="39"/>
      <c r="O39" s="78">
        <v>0.9</v>
      </c>
      <c r="P39" s="78">
        <f t="shared" si="2"/>
        <v>120.17700000000001</v>
      </c>
    </row>
    <row r="40" spans="1:17" x14ac:dyDescent="0.25">
      <c r="A40" s="4"/>
      <c r="B40" s="161"/>
      <c r="C40" s="10"/>
      <c r="D40" s="39"/>
      <c r="E40" s="39"/>
      <c r="F40" s="39"/>
      <c r="G40" s="39"/>
      <c r="H40" s="175"/>
      <c r="I40" s="39"/>
      <c r="J40" s="39"/>
      <c r="K40" s="39"/>
      <c r="L40" s="39"/>
    </row>
    <row r="41" spans="1:17" x14ac:dyDescent="0.25">
      <c r="A41" s="4"/>
      <c r="B41" s="161"/>
      <c r="C41" s="10"/>
      <c r="D41" s="39"/>
      <c r="E41" s="39"/>
      <c r="F41" s="39"/>
      <c r="G41" s="39"/>
      <c r="H41" s="175"/>
      <c r="I41" s="39"/>
      <c r="J41" s="39"/>
      <c r="K41" s="39"/>
      <c r="L41" s="39"/>
      <c r="Q41" s="2"/>
    </row>
    <row r="42" spans="1:17" x14ac:dyDescent="0.25">
      <c r="A42" s="4"/>
      <c r="B42" s="161"/>
      <c r="C42" s="10"/>
      <c r="D42" s="39"/>
      <c r="E42" s="39"/>
      <c r="F42" s="39"/>
      <c r="G42" s="39"/>
      <c r="H42" s="175"/>
      <c r="I42" s="39"/>
      <c r="J42" s="39"/>
      <c r="K42" s="39"/>
      <c r="L42" s="39"/>
      <c r="Q42" s="2"/>
    </row>
    <row r="43" spans="1:17" x14ac:dyDescent="0.25">
      <c r="A43" s="4"/>
      <c r="B43" s="4"/>
      <c r="C43" s="4"/>
      <c r="D43" s="3"/>
      <c r="E43" s="3"/>
      <c r="F43" s="3"/>
      <c r="G43" s="4"/>
      <c r="H43" s="4"/>
      <c r="I43" s="3"/>
      <c r="J43" s="3"/>
      <c r="K43" s="3"/>
      <c r="L43" s="4"/>
      <c r="Q43" s="2"/>
    </row>
    <row r="44" spans="1:17" x14ac:dyDescent="0.25">
      <c r="A44" s="4"/>
      <c r="B44" s="4"/>
      <c r="C44" s="4"/>
      <c r="D44" s="3"/>
      <c r="E44" s="3"/>
      <c r="F44" s="3"/>
      <c r="G44" s="4"/>
      <c r="H44" s="4"/>
      <c r="I44" s="3"/>
      <c r="J44" s="3"/>
      <c r="K44" s="3"/>
      <c r="L44" s="4" t="s">
        <v>65</v>
      </c>
      <c r="M44" s="39">
        <f>M73+K73-F73</f>
        <v>2401.6999999999825</v>
      </c>
      <c r="Q44" s="2"/>
    </row>
    <row r="45" spans="1:17" x14ac:dyDescent="0.25">
      <c r="A45" s="865" t="s">
        <v>1</v>
      </c>
      <c r="B45" s="865" t="s">
        <v>2</v>
      </c>
      <c r="C45" s="865" t="s">
        <v>4</v>
      </c>
      <c r="D45" s="866" t="s">
        <v>5</v>
      </c>
      <c r="E45" s="866" t="s">
        <v>94</v>
      </c>
      <c r="F45" s="866" t="s">
        <v>60</v>
      </c>
      <c r="G45" s="865" t="s">
        <v>3</v>
      </c>
      <c r="H45" s="865" t="s">
        <v>6</v>
      </c>
      <c r="I45" s="866" t="s">
        <v>7</v>
      </c>
      <c r="J45" s="866" t="s">
        <v>95</v>
      </c>
      <c r="K45" s="866" t="s">
        <v>61</v>
      </c>
      <c r="L45" s="865" t="s">
        <v>37</v>
      </c>
      <c r="M45" s="865" t="s">
        <v>38</v>
      </c>
      <c r="Q45" s="2"/>
    </row>
    <row r="46" spans="1:17" x14ac:dyDescent="0.25">
      <c r="A46" s="867" t="s">
        <v>847</v>
      </c>
      <c r="B46" s="548">
        <v>43133</v>
      </c>
      <c r="C46" s="547">
        <v>20</v>
      </c>
      <c r="D46" s="549">
        <v>150</v>
      </c>
      <c r="E46" s="549">
        <v>0</v>
      </c>
      <c r="F46" s="549">
        <f t="shared" ref="F46:F68" si="15">C46*D46+E46</f>
        <v>3000</v>
      </c>
      <c r="G46" s="548">
        <v>43167</v>
      </c>
      <c r="H46" s="547">
        <v>20</v>
      </c>
      <c r="I46" s="549">
        <v>151.56</v>
      </c>
      <c r="J46" s="549">
        <v>7.0000000000000007E-2</v>
      </c>
      <c r="K46" s="549">
        <f t="shared" ref="K46:K62" si="16">H46*I46-J46</f>
        <v>3031.1299999999997</v>
      </c>
      <c r="L46" s="548">
        <v>43222</v>
      </c>
      <c r="M46" s="549">
        <v>6.5</v>
      </c>
      <c r="Q46" s="2"/>
    </row>
    <row r="47" spans="1:17" x14ac:dyDescent="0.25">
      <c r="A47" s="868" t="s">
        <v>71</v>
      </c>
      <c r="B47" s="548">
        <v>43166</v>
      </c>
      <c r="C47" s="547">
        <v>20</v>
      </c>
      <c r="D47" s="549">
        <v>146.28</v>
      </c>
      <c r="E47" s="549">
        <v>0</v>
      </c>
      <c r="F47" s="549">
        <f t="shared" si="15"/>
        <v>2925.6</v>
      </c>
      <c r="G47" s="548">
        <v>43284</v>
      </c>
      <c r="H47" s="636">
        <v>50</v>
      </c>
      <c r="I47" s="549">
        <v>130</v>
      </c>
      <c r="J47" s="549">
        <v>0.08</v>
      </c>
      <c r="K47" s="549">
        <f t="shared" si="16"/>
        <v>6499.92</v>
      </c>
      <c r="L47" s="548">
        <v>43313</v>
      </c>
      <c r="M47" s="549">
        <v>9.1</v>
      </c>
      <c r="Q47" s="2"/>
    </row>
    <row r="48" spans="1:17" x14ac:dyDescent="0.25">
      <c r="A48" s="547"/>
      <c r="B48" s="548">
        <v>43181</v>
      </c>
      <c r="C48" s="547">
        <v>30</v>
      </c>
      <c r="D48" s="549">
        <v>137.88</v>
      </c>
      <c r="E48" s="549">
        <v>0</v>
      </c>
      <c r="F48" s="549">
        <f t="shared" si="15"/>
        <v>4136.3999999999996</v>
      </c>
      <c r="G48" s="548">
        <v>43284</v>
      </c>
      <c r="H48" s="636">
        <v>20</v>
      </c>
      <c r="I48" s="549">
        <v>135.94999999999999</v>
      </c>
      <c r="J48" s="549">
        <v>0.04</v>
      </c>
      <c r="K48" s="549">
        <f t="shared" si="16"/>
        <v>2718.96</v>
      </c>
      <c r="L48" s="548">
        <v>43405</v>
      </c>
      <c r="M48" s="549">
        <v>7.8</v>
      </c>
      <c r="Q48" s="2"/>
    </row>
    <row r="49" spans="1:17" x14ac:dyDescent="0.25">
      <c r="A49" s="547"/>
      <c r="B49" s="548">
        <v>43217</v>
      </c>
      <c r="C49" s="547">
        <v>50</v>
      </c>
      <c r="D49" s="549">
        <v>122.68</v>
      </c>
      <c r="E49" s="549">
        <v>0</v>
      </c>
      <c r="F49" s="549">
        <f t="shared" si="15"/>
        <v>6134</v>
      </c>
      <c r="G49" s="548">
        <v>43291</v>
      </c>
      <c r="H49" s="636">
        <v>30</v>
      </c>
      <c r="I49" s="549">
        <v>130.68</v>
      </c>
      <c r="J49" s="549">
        <v>0.05</v>
      </c>
      <c r="K49" s="549">
        <f t="shared" si="16"/>
        <v>3920.35</v>
      </c>
      <c r="L49" s="548">
        <v>43497</v>
      </c>
      <c r="M49" s="549">
        <v>10.4</v>
      </c>
      <c r="Q49" s="2"/>
    </row>
    <row r="50" spans="1:17" x14ac:dyDescent="0.25">
      <c r="A50" s="547"/>
      <c r="B50" s="548">
        <v>43279</v>
      </c>
      <c r="C50" s="547">
        <v>20</v>
      </c>
      <c r="D50" s="549">
        <v>113.98</v>
      </c>
      <c r="E50" s="549">
        <v>0</v>
      </c>
      <c r="F50" s="549">
        <f t="shared" si="15"/>
        <v>2279.6</v>
      </c>
      <c r="G50" s="548">
        <v>43311</v>
      </c>
      <c r="H50" s="636">
        <v>20</v>
      </c>
      <c r="I50" s="549">
        <v>138</v>
      </c>
      <c r="J50" s="549">
        <v>0.04</v>
      </c>
      <c r="K50" s="549">
        <f t="shared" si="16"/>
        <v>2759.96</v>
      </c>
      <c r="L50" s="548">
        <v>43586</v>
      </c>
      <c r="M50" s="549">
        <v>7.8</v>
      </c>
      <c r="Q50" s="2"/>
    </row>
    <row r="51" spans="1:17" x14ac:dyDescent="0.25">
      <c r="A51" s="547"/>
      <c r="B51" s="548">
        <v>43284</v>
      </c>
      <c r="C51" s="547">
        <v>20</v>
      </c>
      <c r="D51" s="549">
        <v>132.69999999999999</v>
      </c>
      <c r="E51" s="549">
        <v>0</v>
      </c>
      <c r="F51" s="549">
        <f t="shared" si="15"/>
        <v>2654</v>
      </c>
      <c r="G51" s="548">
        <v>43326</v>
      </c>
      <c r="H51" s="636">
        <v>50</v>
      </c>
      <c r="I51" s="549">
        <v>138.08000000000001</v>
      </c>
      <c r="J51" s="549">
        <v>0.09</v>
      </c>
      <c r="K51" s="549">
        <f t="shared" si="16"/>
        <v>6903.9100000000008</v>
      </c>
      <c r="L51" s="547"/>
      <c r="M51" s="547"/>
      <c r="Q51" s="2"/>
    </row>
    <row r="52" spans="1:17" x14ac:dyDescent="0.25">
      <c r="A52" s="547"/>
      <c r="B52" s="548">
        <v>43286</v>
      </c>
      <c r="C52" s="547">
        <v>20</v>
      </c>
      <c r="D52" s="549">
        <v>127.58</v>
      </c>
      <c r="E52" s="549">
        <v>0</v>
      </c>
      <c r="F52" s="549">
        <f t="shared" si="15"/>
        <v>2551.6</v>
      </c>
      <c r="G52" s="548">
        <v>43350</v>
      </c>
      <c r="H52" s="636">
        <v>20</v>
      </c>
      <c r="I52" s="549">
        <v>158.01</v>
      </c>
      <c r="J52" s="549">
        <v>0.04</v>
      </c>
      <c r="K52" s="549">
        <f t="shared" si="16"/>
        <v>3160.16</v>
      </c>
      <c r="L52" s="547"/>
      <c r="M52" s="547"/>
      <c r="Q52" s="2"/>
    </row>
    <row r="53" spans="1:17" x14ac:dyDescent="0.25">
      <c r="A53" s="547"/>
      <c r="B53" s="548">
        <v>43286</v>
      </c>
      <c r="C53" s="547">
        <v>10</v>
      </c>
      <c r="D53" s="549">
        <v>126.28</v>
      </c>
      <c r="E53" s="549">
        <v>0</v>
      </c>
      <c r="F53" s="549">
        <f t="shared" si="15"/>
        <v>1262.8</v>
      </c>
      <c r="G53" s="548">
        <v>43403</v>
      </c>
      <c r="H53" s="636">
        <v>20</v>
      </c>
      <c r="I53" s="549">
        <v>123.38</v>
      </c>
      <c r="J53" s="549">
        <v>0.03</v>
      </c>
      <c r="K53" s="549">
        <f t="shared" si="16"/>
        <v>2467.5699999999997</v>
      </c>
      <c r="L53" s="547"/>
      <c r="M53" s="547"/>
      <c r="Q53" s="2"/>
    </row>
    <row r="54" spans="1:17" x14ac:dyDescent="0.25">
      <c r="A54" s="547"/>
      <c r="B54" s="548">
        <v>43313</v>
      </c>
      <c r="C54" s="547">
        <v>20</v>
      </c>
      <c r="D54" s="549">
        <v>135.84</v>
      </c>
      <c r="E54" s="549">
        <v>0</v>
      </c>
      <c r="F54" s="549">
        <f t="shared" si="15"/>
        <v>2716.8</v>
      </c>
      <c r="G54" s="548">
        <v>43403</v>
      </c>
      <c r="H54" s="636">
        <v>10</v>
      </c>
      <c r="I54" s="549">
        <v>124.18</v>
      </c>
      <c r="J54" s="549">
        <v>0.02</v>
      </c>
      <c r="K54" s="549">
        <f t="shared" si="16"/>
        <v>1241.7800000000002</v>
      </c>
      <c r="L54" s="547"/>
      <c r="M54" s="547"/>
    </row>
    <row r="55" spans="1:17" x14ac:dyDescent="0.25">
      <c r="A55" s="547"/>
      <c r="B55" s="548">
        <v>43353</v>
      </c>
      <c r="C55" s="547">
        <v>20</v>
      </c>
      <c r="D55" s="549">
        <v>153</v>
      </c>
      <c r="E55" s="549">
        <v>0</v>
      </c>
      <c r="F55" s="549">
        <f t="shared" si="15"/>
        <v>3060</v>
      </c>
      <c r="G55" s="548">
        <v>43430</v>
      </c>
      <c r="H55" s="636">
        <v>30</v>
      </c>
      <c r="I55" s="549">
        <v>126</v>
      </c>
      <c r="J55" s="549">
        <v>0.05</v>
      </c>
      <c r="K55" s="549">
        <f t="shared" si="16"/>
        <v>3779.95</v>
      </c>
      <c r="L55" s="548"/>
      <c r="M55" s="547"/>
    </row>
    <row r="56" spans="1:17" x14ac:dyDescent="0.25">
      <c r="A56" s="547"/>
      <c r="B56" s="548">
        <v>43378</v>
      </c>
      <c r="C56" s="547">
        <v>10</v>
      </c>
      <c r="D56" s="549">
        <v>130.5</v>
      </c>
      <c r="E56" s="549">
        <v>0</v>
      </c>
      <c r="F56" s="549">
        <f t="shared" si="15"/>
        <v>1305</v>
      </c>
      <c r="G56" s="548">
        <v>43441</v>
      </c>
      <c r="H56" s="636">
        <v>20</v>
      </c>
      <c r="I56" s="549">
        <v>122.68</v>
      </c>
      <c r="J56" s="549">
        <v>0.03</v>
      </c>
      <c r="K56" s="549">
        <f t="shared" si="16"/>
        <v>2453.5700000000002</v>
      </c>
      <c r="L56" s="547"/>
      <c r="M56" s="547"/>
    </row>
    <row r="57" spans="1:17" x14ac:dyDescent="0.25">
      <c r="A57" s="547"/>
      <c r="B57" s="548">
        <v>43378</v>
      </c>
      <c r="C57" s="547">
        <v>10</v>
      </c>
      <c r="D57" s="549">
        <v>130.5</v>
      </c>
      <c r="E57" s="549">
        <v>0</v>
      </c>
      <c r="F57" s="549">
        <f t="shared" si="15"/>
        <v>1305</v>
      </c>
      <c r="G57" s="548">
        <v>43461</v>
      </c>
      <c r="H57" s="636">
        <v>20</v>
      </c>
      <c r="I57" s="549">
        <v>112</v>
      </c>
      <c r="J57" s="549">
        <v>0.03</v>
      </c>
      <c r="K57" s="549">
        <f t="shared" si="16"/>
        <v>2239.9699999999998</v>
      </c>
      <c r="L57" s="547"/>
      <c r="M57" s="547"/>
    </row>
    <row r="58" spans="1:17" x14ac:dyDescent="0.25">
      <c r="A58" s="547"/>
      <c r="B58" s="548">
        <v>43383</v>
      </c>
      <c r="C58" s="547">
        <v>10</v>
      </c>
      <c r="D58" s="549">
        <v>123.88</v>
      </c>
      <c r="E58" s="549">
        <v>0</v>
      </c>
      <c r="F58" s="549">
        <f t="shared" si="15"/>
        <v>1238.8</v>
      </c>
      <c r="G58" s="548">
        <v>43473</v>
      </c>
      <c r="H58" s="636">
        <v>20</v>
      </c>
      <c r="I58" s="549">
        <v>120.28</v>
      </c>
      <c r="J58" s="549">
        <v>0.03</v>
      </c>
      <c r="K58" s="549">
        <f t="shared" si="16"/>
        <v>2405.5699999999997</v>
      </c>
      <c r="L58" s="547"/>
      <c r="M58" s="547"/>
    </row>
    <row r="59" spans="1:17" x14ac:dyDescent="0.25">
      <c r="A59" s="547"/>
      <c r="B59" s="548">
        <v>43383</v>
      </c>
      <c r="C59" s="547">
        <v>10</v>
      </c>
      <c r="D59" s="549">
        <v>123.88</v>
      </c>
      <c r="E59" s="549">
        <v>0</v>
      </c>
      <c r="F59" s="549">
        <f t="shared" si="15"/>
        <v>1238.8</v>
      </c>
      <c r="G59" s="548">
        <v>43496</v>
      </c>
      <c r="H59" s="636">
        <v>20</v>
      </c>
      <c r="I59" s="549">
        <v>121.28</v>
      </c>
      <c r="J59" s="549">
        <v>0.03</v>
      </c>
      <c r="K59" s="549">
        <f t="shared" si="16"/>
        <v>2425.5699999999997</v>
      </c>
      <c r="L59" s="547"/>
      <c r="M59" s="547"/>
    </row>
    <row r="60" spans="1:17" x14ac:dyDescent="0.25">
      <c r="A60" s="547"/>
      <c r="B60" s="548">
        <v>43396</v>
      </c>
      <c r="C60" s="547">
        <v>20</v>
      </c>
      <c r="D60" s="549">
        <v>117.79</v>
      </c>
      <c r="E60" s="549">
        <v>0</v>
      </c>
      <c r="F60" s="549">
        <f t="shared" si="15"/>
        <v>2355.8000000000002</v>
      </c>
      <c r="G60" s="548">
        <v>43502</v>
      </c>
      <c r="H60" s="636">
        <v>30</v>
      </c>
      <c r="I60" s="549">
        <v>125.98</v>
      </c>
      <c r="J60" s="549">
        <v>0.05</v>
      </c>
      <c r="K60" s="549">
        <f t="shared" si="16"/>
        <v>3779.35</v>
      </c>
      <c r="L60" s="547"/>
      <c r="M60" s="547"/>
    </row>
    <row r="61" spans="1:17" x14ac:dyDescent="0.25">
      <c r="A61" s="547"/>
      <c r="B61" s="548">
        <v>43424</v>
      </c>
      <c r="C61" s="547">
        <v>20</v>
      </c>
      <c r="D61" s="549">
        <v>120.5</v>
      </c>
      <c r="E61" s="549">
        <v>0</v>
      </c>
      <c r="F61" s="549">
        <f t="shared" si="15"/>
        <v>2410</v>
      </c>
      <c r="G61" s="548">
        <v>43508</v>
      </c>
      <c r="H61" s="636">
        <v>30</v>
      </c>
      <c r="I61" s="549">
        <v>130</v>
      </c>
      <c r="J61" s="549">
        <v>0.05</v>
      </c>
      <c r="K61" s="549">
        <f t="shared" si="16"/>
        <v>3899.95</v>
      </c>
      <c r="L61" s="547"/>
      <c r="M61" s="547"/>
    </row>
    <row r="62" spans="1:17" x14ac:dyDescent="0.25">
      <c r="A62" s="547"/>
      <c r="B62" s="548">
        <v>43438</v>
      </c>
      <c r="C62" s="547">
        <v>30</v>
      </c>
      <c r="D62" s="549">
        <v>121.98</v>
      </c>
      <c r="E62" s="549">
        <v>0</v>
      </c>
      <c r="F62" s="549">
        <f t="shared" si="15"/>
        <v>3659.4</v>
      </c>
      <c r="G62" s="548">
        <v>43556</v>
      </c>
      <c r="H62" s="636">
        <v>20</v>
      </c>
      <c r="I62" s="549">
        <v>123.15</v>
      </c>
      <c r="J62" s="549">
        <v>0.03</v>
      </c>
      <c r="K62" s="549">
        <f t="shared" si="16"/>
        <v>2462.9699999999998</v>
      </c>
      <c r="L62" s="547"/>
      <c r="M62" s="547"/>
    </row>
    <row r="63" spans="1:17" x14ac:dyDescent="0.25">
      <c r="A63" s="547"/>
      <c r="B63" s="548">
        <v>43440</v>
      </c>
      <c r="C63" s="547">
        <v>30</v>
      </c>
      <c r="D63" s="549">
        <v>114.8</v>
      </c>
      <c r="E63" s="549">
        <v>0</v>
      </c>
      <c r="F63" s="549">
        <f t="shared" si="15"/>
        <v>3444</v>
      </c>
      <c r="G63" s="548">
        <v>43577</v>
      </c>
      <c r="H63" s="636">
        <v>30</v>
      </c>
      <c r="I63" s="549">
        <v>143.47999999999999</v>
      </c>
      <c r="J63" s="549">
        <v>0.09</v>
      </c>
      <c r="K63" s="549">
        <f>H63*I63-J63</f>
        <v>4304.3099999999995</v>
      </c>
      <c r="L63" s="547"/>
      <c r="M63" s="547"/>
    </row>
    <row r="64" spans="1:17" x14ac:dyDescent="0.25">
      <c r="A64" s="547"/>
      <c r="B64" s="548">
        <v>43445</v>
      </c>
      <c r="C64" s="547">
        <v>20</v>
      </c>
      <c r="D64" s="549">
        <v>115.7</v>
      </c>
      <c r="E64" s="549">
        <v>0</v>
      </c>
      <c r="F64" s="549">
        <f t="shared" si="15"/>
        <v>2314</v>
      </c>
      <c r="G64" s="548">
        <v>43619</v>
      </c>
      <c r="H64" s="636">
        <v>20</v>
      </c>
      <c r="I64" s="549">
        <v>126.98</v>
      </c>
      <c r="J64" s="549">
        <v>0.05</v>
      </c>
      <c r="K64" s="549">
        <f>H64*I64-J64</f>
        <v>2539.5499999999997</v>
      </c>
      <c r="L64" s="547"/>
      <c r="M64" s="547"/>
    </row>
    <row r="65" spans="1:14" x14ac:dyDescent="0.25">
      <c r="A65" s="547"/>
      <c r="B65" s="548">
        <v>43453</v>
      </c>
      <c r="C65" s="547">
        <v>20</v>
      </c>
      <c r="D65" s="549">
        <v>110.28</v>
      </c>
      <c r="E65" s="549">
        <v>0</v>
      </c>
      <c r="F65" s="549">
        <f t="shared" si="15"/>
        <v>2205.6</v>
      </c>
      <c r="G65" s="547"/>
      <c r="H65" s="547"/>
      <c r="I65" s="549"/>
      <c r="J65" s="549"/>
      <c r="K65" s="549"/>
      <c r="L65" s="547"/>
      <c r="M65" s="547"/>
    </row>
    <row r="66" spans="1:14" x14ac:dyDescent="0.25">
      <c r="A66" s="547"/>
      <c r="B66" s="548">
        <v>43487</v>
      </c>
      <c r="C66" s="547">
        <v>20</v>
      </c>
      <c r="D66" s="549">
        <v>116.4</v>
      </c>
      <c r="E66" s="549">
        <v>0</v>
      </c>
      <c r="F66" s="549">
        <f t="shared" si="15"/>
        <v>2328</v>
      </c>
      <c r="G66" s="547"/>
      <c r="H66" s="547"/>
      <c r="I66" s="549"/>
      <c r="J66" s="549"/>
      <c r="K66" s="549"/>
      <c r="L66" s="547"/>
      <c r="M66" s="547"/>
    </row>
    <row r="67" spans="1:14" x14ac:dyDescent="0.25">
      <c r="A67" s="547"/>
      <c r="B67" s="548">
        <v>43544</v>
      </c>
      <c r="C67" s="547">
        <v>30</v>
      </c>
      <c r="D67" s="549">
        <v>123.88</v>
      </c>
      <c r="E67" s="549">
        <v>0</v>
      </c>
      <c r="F67" s="549">
        <f t="shared" si="15"/>
        <v>3716.3999999999996</v>
      </c>
      <c r="G67" s="547"/>
      <c r="H67" s="547"/>
      <c r="I67" s="549"/>
      <c r="J67" s="549"/>
      <c r="K67" s="549"/>
      <c r="L67" s="547"/>
      <c r="M67" s="547"/>
    </row>
    <row r="68" spans="1:14" x14ac:dyDescent="0.25">
      <c r="A68" s="547"/>
      <c r="B68" s="548">
        <v>43546</v>
      </c>
      <c r="C68" s="547">
        <v>20</v>
      </c>
      <c r="D68" s="549">
        <v>119.64</v>
      </c>
      <c r="E68" s="549">
        <v>0</v>
      </c>
      <c r="F68" s="549">
        <f t="shared" si="15"/>
        <v>2392.8000000000002</v>
      </c>
      <c r="G68" s="547"/>
      <c r="H68" s="547"/>
      <c r="I68" s="549"/>
      <c r="J68" s="549"/>
      <c r="K68" s="549"/>
      <c r="L68" s="547"/>
      <c r="M68" s="547"/>
    </row>
    <row r="69" spans="1:14" x14ac:dyDescent="0.25">
      <c r="A69" s="547"/>
      <c r="B69" s="548"/>
      <c r="C69" s="547"/>
      <c r="D69" s="549"/>
      <c r="E69" s="549"/>
      <c r="F69" s="549"/>
      <c r="G69" s="547"/>
      <c r="H69" s="547"/>
      <c r="I69" s="549"/>
      <c r="J69" s="549"/>
      <c r="K69" s="549"/>
      <c r="L69" s="547"/>
      <c r="M69" s="547"/>
    </row>
    <row r="70" spans="1:14" x14ac:dyDescent="0.25">
      <c r="A70" s="547"/>
      <c r="B70" s="548"/>
      <c r="C70" s="547"/>
      <c r="D70" s="549"/>
      <c r="E70" s="549"/>
      <c r="F70" s="549"/>
      <c r="G70" s="547"/>
      <c r="H70" s="547"/>
      <c r="I70" s="549"/>
      <c r="J70" s="549"/>
      <c r="K70" s="549"/>
      <c r="L70" s="547"/>
      <c r="M70" s="547"/>
    </row>
    <row r="71" spans="1:14" x14ac:dyDescent="0.25">
      <c r="A71" s="547"/>
      <c r="B71" s="547"/>
      <c r="C71" s="547"/>
      <c r="D71" s="549"/>
      <c r="E71" s="549"/>
      <c r="F71" s="549"/>
      <c r="G71" s="547"/>
      <c r="H71" s="547"/>
      <c r="I71" s="549"/>
      <c r="J71" s="549"/>
      <c r="K71" s="549"/>
      <c r="L71" s="547"/>
      <c r="M71" s="547"/>
    </row>
    <row r="72" spans="1:14" x14ac:dyDescent="0.25">
      <c r="A72" s="547"/>
      <c r="B72" s="547"/>
      <c r="C72" s="547"/>
      <c r="D72" s="549"/>
      <c r="E72" s="549"/>
      <c r="F72" s="549"/>
      <c r="G72" s="547"/>
      <c r="H72" s="547"/>
      <c r="I72" s="549"/>
      <c r="J72" s="549"/>
      <c r="K72" s="549"/>
      <c r="L72" s="547"/>
      <c r="M72" s="547"/>
    </row>
    <row r="73" spans="1:14" x14ac:dyDescent="0.25">
      <c r="A73" s="869" t="s">
        <v>81</v>
      </c>
      <c r="B73" s="870"/>
      <c r="C73" s="870">
        <f>SUM(C46:C72)</f>
        <v>480</v>
      </c>
      <c r="D73" s="871"/>
      <c r="E73" s="871"/>
      <c r="F73" s="871">
        <f>SUM(F46:F72)</f>
        <v>60634.400000000009</v>
      </c>
      <c r="G73" s="870"/>
      <c r="H73" s="872">
        <f>SUM(H46:H64)</f>
        <v>480</v>
      </c>
      <c r="I73" s="871"/>
      <c r="J73" s="871"/>
      <c r="K73" s="871">
        <f>SUM(K46:K64)</f>
        <v>62994.499999999993</v>
      </c>
      <c r="L73" s="870"/>
      <c r="M73" s="871">
        <f>SUM(M46:M54)</f>
        <v>41.599999999999994</v>
      </c>
    </row>
    <row r="74" spans="1:14" ht="15.75" thickBot="1" x14ac:dyDescent="0.3">
      <c r="A74" s="873" t="s">
        <v>189</v>
      </c>
      <c r="B74" s="874"/>
      <c r="C74" s="875">
        <f>SumByColor($A$30,C46:C72)</f>
        <v>0</v>
      </c>
      <c r="D74" s="875"/>
      <c r="E74" s="875"/>
      <c r="F74" s="876">
        <f>SumByColor($A$30,F46:F72)</f>
        <v>0</v>
      </c>
      <c r="G74" s="875"/>
      <c r="H74" s="875">
        <f>SumByColor($A$30,H46:H72)</f>
        <v>0</v>
      </c>
      <c r="I74" s="875"/>
      <c r="J74" s="875"/>
      <c r="K74" s="876">
        <f>SumByColor($A$30,K46:K72)</f>
        <v>0</v>
      </c>
      <c r="L74" s="875"/>
      <c r="M74" s="876">
        <f>SumByColor($A$30,M46:M72)</f>
        <v>0</v>
      </c>
    </row>
    <row r="75" spans="1:14" x14ac:dyDescent="0.25">
      <c r="A75" s="4"/>
      <c r="B75" s="69"/>
      <c r="C75" s="4"/>
      <c r="D75" s="3"/>
      <c r="E75" s="3"/>
      <c r="F75" s="3"/>
      <c r="G75" s="3"/>
      <c r="H75" s="212"/>
      <c r="I75" s="3"/>
      <c r="J75" s="3"/>
      <c r="K75" s="3"/>
      <c r="L75" s="218"/>
      <c r="M75" s="4"/>
      <c r="N75" s="4"/>
    </row>
    <row r="76" spans="1:14" x14ac:dyDescent="0.25">
      <c r="A76" s="4"/>
      <c r="B76" s="69"/>
      <c r="C76" s="4"/>
      <c r="D76" s="3"/>
      <c r="E76" s="3"/>
      <c r="F76" s="3"/>
      <c r="G76" s="3"/>
      <c r="H76" s="212"/>
      <c r="I76" s="3"/>
      <c r="J76" s="3"/>
      <c r="K76" s="3"/>
      <c r="L76" s="218"/>
      <c r="M76" s="4"/>
      <c r="N76" s="4"/>
    </row>
    <row r="77" spans="1:14" x14ac:dyDescent="0.25">
      <c r="A77" s="547"/>
      <c r="B77" s="683" t="s">
        <v>113</v>
      </c>
      <c r="C77" s="683" t="s">
        <v>143</v>
      </c>
      <c r="D77" s="684" t="s">
        <v>142</v>
      </c>
      <c r="E77" s="685" t="s">
        <v>144</v>
      </c>
      <c r="F77" s="685" t="s">
        <v>65</v>
      </c>
      <c r="G77" s="686" t="s">
        <v>148</v>
      </c>
      <c r="H77" s="686" t="s">
        <v>88</v>
      </c>
      <c r="I77" s="686" t="s">
        <v>151</v>
      </c>
      <c r="J77" s="686" t="s">
        <v>147</v>
      </c>
      <c r="K77" s="686" t="s">
        <v>452</v>
      </c>
      <c r="L77" s="686" t="s">
        <v>901</v>
      </c>
      <c r="M77" s="547"/>
      <c r="N77" s="4"/>
    </row>
    <row r="78" spans="1:14" x14ac:dyDescent="0.25">
      <c r="A78" s="547"/>
      <c r="B78" s="548">
        <v>43133</v>
      </c>
      <c r="C78" s="547">
        <v>20</v>
      </c>
      <c r="D78" s="549">
        <v>150</v>
      </c>
      <c r="E78" s="549">
        <v>149.94999999999999</v>
      </c>
      <c r="F78" s="549">
        <f t="shared" ref="F78:F106" si="17">C78*(E78-D78)</f>
        <v>-1.0000000000002274</v>
      </c>
      <c r="G78" s="549">
        <f t="shared" ref="G78:G141" si="18">D78*C78</f>
        <v>3000</v>
      </c>
      <c r="H78" s="550">
        <f t="shared" ref="H78:H141" si="19">(E78-D78)/D78</f>
        <v>-3.3333333333340911E-4</v>
      </c>
      <c r="I78" s="549"/>
      <c r="J78" s="549">
        <v>-1.0000000000002274</v>
      </c>
      <c r="K78" s="549"/>
      <c r="L78" s="549"/>
      <c r="M78" s="547"/>
      <c r="N78" s="4"/>
    </row>
    <row r="79" spans="1:14" x14ac:dyDescent="0.25">
      <c r="A79" s="547"/>
      <c r="B79" s="548">
        <v>43166</v>
      </c>
      <c r="C79" s="547">
        <v>40</v>
      </c>
      <c r="D79" s="549">
        <v>148.13999999999999</v>
      </c>
      <c r="E79" s="549">
        <v>146.80000000000001</v>
      </c>
      <c r="F79" s="549">
        <f t="shared" si="17"/>
        <v>-53.599999999999</v>
      </c>
      <c r="G79" s="549">
        <f t="shared" si="18"/>
        <v>5925.5999999999995</v>
      </c>
      <c r="H79" s="550">
        <f t="shared" si="19"/>
        <v>-9.045497502362462E-3</v>
      </c>
      <c r="I79" s="549"/>
      <c r="J79" s="549">
        <v>-53.599999999999</v>
      </c>
      <c r="K79" s="549"/>
      <c r="L79" s="549"/>
      <c r="M79" s="547"/>
      <c r="N79" s="4"/>
    </row>
    <row r="80" spans="1:14" x14ac:dyDescent="0.25">
      <c r="A80" s="547">
        <v>0</v>
      </c>
      <c r="B80" s="548">
        <v>43167</v>
      </c>
      <c r="C80" s="547">
        <v>20</v>
      </c>
      <c r="D80" s="549">
        <v>144.7235</v>
      </c>
      <c r="E80" s="549">
        <v>151.56</v>
      </c>
      <c r="F80" s="549">
        <f t="shared" si="17"/>
        <v>136.73000000000002</v>
      </c>
      <c r="G80" s="549">
        <f t="shared" si="18"/>
        <v>2894.4700000000003</v>
      </c>
      <c r="H80" s="550">
        <f t="shared" si="19"/>
        <v>4.7238354517407335E-2</v>
      </c>
      <c r="I80" s="549"/>
      <c r="J80" s="549">
        <v>136.73000000000002</v>
      </c>
      <c r="K80" s="549"/>
      <c r="L80" s="549"/>
      <c r="M80" s="547"/>
      <c r="N80" s="4"/>
    </row>
    <row r="81" spans="1:14" x14ac:dyDescent="0.25">
      <c r="A81" s="547"/>
      <c r="B81" s="548">
        <v>43181</v>
      </c>
      <c r="C81" s="547">
        <v>50</v>
      </c>
      <c r="D81" s="549">
        <v>140.6174</v>
      </c>
      <c r="E81" s="549">
        <v>134.66</v>
      </c>
      <c r="F81" s="549">
        <f t="shared" si="17"/>
        <v>-297.87000000000035</v>
      </c>
      <c r="G81" s="549">
        <f t="shared" si="18"/>
        <v>7030.87</v>
      </c>
      <c r="H81" s="550">
        <f t="shared" si="19"/>
        <v>-4.2366022981508739E-2</v>
      </c>
      <c r="I81" s="549"/>
      <c r="J81" s="549">
        <v>-297.87000000000035</v>
      </c>
      <c r="K81" s="549"/>
      <c r="L81" s="549"/>
      <c r="M81" s="547"/>
      <c r="N81" s="4"/>
    </row>
    <row r="82" spans="1:14" x14ac:dyDescent="0.25">
      <c r="A82" s="547"/>
      <c r="B82" s="548">
        <v>43184</v>
      </c>
      <c r="C82" s="547">
        <v>50</v>
      </c>
      <c r="D82" s="549">
        <v>140.6174</v>
      </c>
      <c r="E82" s="549">
        <v>132.4</v>
      </c>
      <c r="F82" s="549">
        <f t="shared" si="17"/>
        <v>-410.86999999999989</v>
      </c>
      <c r="G82" s="549">
        <f t="shared" si="18"/>
        <v>7030.87</v>
      </c>
      <c r="H82" s="550">
        <f t="shared" si="19"/>
        <v>-5.8438002693834458E-2</v>
      </c>
      <c r="I82" s="549"/>
      <c r="J82" s="549">
        <v>-410.86999999999989</v>
      </c>
      <c r="K82" s="549"/>
      <c r="L82" s="549"/>
      <c r="M82" s="547"/>
      <c r="N82" s="4"/>
    </row>
    <row r="83" spans="1:14" x14ac:dyDescent="0.25">
      <c r="A83" s="547"/>
      <c r="B83" s="548">
        <v>43185</v>
      </c>
      <c r="C83" s="547">
        <v>50</v>
      </c>
      <c r="D83" s="549">
        <v>140.6174</v>
      </c>
      <c r="E83" s="549">
        <v>137.66999999999999</v>
      </c>
      <c r="F83" s="549">
        <f t="shared" si="17"/>
        <v>-147.3700000000008</v>
      </c>
      <c r="G83" s="549">
        <f t="shared" si="18"/>
        <v>7030.87</v>
      </c>
      <c r="H83" s="550">
        <f t="shared" si="19"/>
        <v>-2.0960421683234195E-2</v>
      </c>
      <c r="I83" s="549"/>
      <c r="J83" s="549">
        <v>-147.3700000000008</v>
      </c>
      <c r="K83" s="549"/>
      <c r="L83" s="549"/>
      <c r="M83" s="547"/>
      <c r="N83" s="4"/>
    </row>
    <row r="84" spans="1:14" x14ac:dyDescent="0.25">
      <c r="A84" s="547">
        <v>20</v>
      </c>
      <c r="B84" s="548">
        <v>43194</v>
      </c>
      <c r="C84" s="547">
        <v>50</v>
      </c>
      <c r="D84" s="549">
        <v>140.6174</v>
      </c>
      <c r="E84" s="549">
        <v>129.47999999999999</v>
      </c>
      <c r="F84" s="549">
        <f t="shared" si="17"/>
        <v>-556.87000000000069</v>
      </c>
      <c r="G84" s="549">
        <f t="shared" si="18"/>
        <v>7030.87</v>
      </c>
      <c r="H84" s="550">
        <f t="shared" si="19"/>
        <v>-7.9203569401795321E-2</v>
      </c>
      <c r="I84" s="549"/>
      <c r="J84" s="549">
        <v>-556.87000000000069</v>
      </c>
      <c r="K84" s="549"/>
      <c r="L84" s="549"/>
      <c r="M84" s="547"/>
      <c r="N84" s="4"/>
    </row>
    <row r="85" spans="1:14" x14ac:dyDescent="0.25">
      <c r="A85" s="547">
        <v>20</v>
      </c>
      <c r="B85" s="548">
        <v>43198</v>
      </c>
      <c r="C85" s="547">
        <v>50</v>
      </c>
      <c r="D85" s="549">
        <v>140.6174</v>
      </c>
      <c r="E85" s="549">
        <v>131.83000000000001</v>
      </c>
      <c r="F85" s="549">
        <f t="shared" si="17"/>
        <v>-439.36999999999955</v>
      </c>
      <c r="G85" s="549">
        <f t="shared" si="18"/>
        <v>7030.87</v>
      </c>
      <c r="H85" s="550">
        <f t="shared" si="19"/>
        <v>-6.2491555099155514E-2</v>
      </c>
      <c r="I85" s="549"/>
      <c r="J85" s="549">
        <v>-439.36999999999955</v>
      </c>
      <c r="K85" s="549"/>
      <c r="L85" s="549">
        <v>15.29</v>
      </c>
      <c r="M85" s="547"/>
      <c r="N85" s="4"/>
    </row>
    <row r="86" spans="1:14" x14ac:dyDescent="0.25">
      <c r="A86" s="547">
        <v>50</v>
      </c>
      <c r="B86" s="548">
        <v>43216</v>
      </c>
      <c r="C86" s="547">
        <v>50</v>
      </c>
      <c r="D86" s="549">
        <v>140.62</v>
      </c>
      <c r="E86" s="549">
        <v>124.68</v>
      </c>
      <c r="F86" s="549">
        <f t="shared" si="17"/>
        <v>-796.99999999999989</v>
      </c>
      <c r="G86" s="549">
        <f t="shared" si="18"/>
        <v>7031</v>
      </c>
      <c r="H86" s="550">
        <f t="shared" si="19"/>
        <v>-0.11335514151614277</v>
      </c>
      <c r="I86" s="549"/>
      <c r="J86" s="549">
        <v>-796.99999999999989</v>
      </c>
      <c r="K86" s="549"/>
      <c r="L86" s="549">
        <v>14.46</v>
      </c>
      <c r="M86" s="547"/>
      <c r="N86" s="4"/>
    </row>
    <row r="87" spans="1:14" x14ac:dyDescent="0.25">
      <c r="A87" s="547">
        <v>50</v>
      </c>
      <c r="B87" s="548">
        <v>43217</v>
      </c>
      <c r="C87" s="547">
        <v>100</v>
      </c>
      <c r="D87" s="549">
        <v>131.64869999999999</v>
      </c>
      <c r="E87" s="549">
        <v>122.66</v>
      </c>
      <c r="F87" s="549">
        <f t="shared" si="17"/>
        <v>-898.86999999999944</v>
      </c>
      <c r="G87" s="549">
        <f t="shared" si="18"/>
        <v>13164.869999999999</v>
      </c>
      <c r="H87" s="550">
        <f t="shared" si="19"/>
        <v>-6.8277924506660495E-2</v>
      </c>
      <c r="I87" s="549"/>
      <c r="J87" s="549">
        <v>-898.86999999999944</v>
      </c>
      <c r="K87" s="549"/>
      <c r="L87" s="549">
        <v>14.23</v>
      </c>
      <c r="M87" s="547"/>
      <c r="N87" s="4"/>
    </row>
    <row r="88" spans="1:14" x14ac:dyDescent="0.25">
      <c r="A88" s="547">
        <v>50</v>
      </c>
      <c r="B88" s="548">
        <v>43222</v>
      </c>
      <c r="C88" s="547">
        <v>100</v>
      </c>
      <c r="D88" s="549">
        <v>131.58369999999999</v>
      </c>
      <c r="E88" s="549">
        <v>113.02</v>
      </c>
      <c r="F88" s="549">
        <f t="shared" si="17"/>
        <v>-1856.3699999999997</v>
      </c>
      <c r="G88" s="549">
        <f t="shared" si="18"/>
        <v>13158.369999999999</v>
      </c>
      <c r="H88" s="550">
        <f t="shared" si="19"/>
        <v>-0.14107902422564494</v>
      </c>
      <c r="I88" s="549"/>
      <c r="J88" s="549">
        <v>-1856.3699999999997</v>
      </c>
      <c r="K88" s="549"/>
      <c r="L88" s="549">
        <v>13.11</v>
      </c>
      <c r="M88" s="547"/>
      <c r="N88" s="4"/>
    </row>
    <row r="89" spans="1:14" x14ac:dyDescent="0.25">
      <c r="A89" s="547"/>
      <c r="B89" s="548">
        <v>43271</v>
      </c>
      <c r="C89" s="547">
        <v>100</v>
      </c>
      <c r="D89" s="549">
        <v>131.58000000000001</v>
      </c>
      <c r="E89" s="549">
        <v>121.84</v>
      </c>
      <c r="F89" s="549">
        <f t="shared" si="17"/>
        <v>-974.00000000000091</v>
      </c>
      <c r="G89" s="549">
        <f t="shared" si="18"/>
        <v>13158.000000000002</v>
      </c>
      <c r="H89" s="550">
        <f t="shared" si="19"/>
        <v>-7.4023407812737557E-2</v>
      </c>
      <c r="I89" s="549"/>
      <c r="J89" s="549">
        <v>-974.00000000000091</v>
      </c>
      <c r="K89" s="549">
        <v>54</v>
      </c>
      <c r="L89" s="549">
        <v>14.13</v>
      </c>
      <c r="M89" s="547"/>
      <c r="N89" s="4"/>
    </row>
    <row r="90" spans="1:14" x14ac:dyDescent="0.25">
      <c r="A90" s="547">
        <v>100</v>
      </c>
      <c r="B90" s="548">
        <v>43278</v>
      </c>
      <c r="C90" s="547">
        <v>100</v>
      </c>
      <c r="D90" s="549">
        <v>131.58000000000001</v>
      </c>
      <c r="E90" s="549">
        <v>119.85</v>
      </c>
      <c r="F90" s="549">
        <f t="shared" si="17"/>
        <v>-1173.0000000000018</v>
      </c>
      <c r="G90" s="549">
        <f t="shared" si="18"/>
        <v>13158.000000000002</v>
      </c>
      <c r="H90" s="550">
        <f t="shared" si="19"/>
        <v>-8.9147286821705557E-2</v>
      </c>
      <c r="I90" s="549"/>
      <c r="J90" s="549">
        <v>-1173.0000000000018</v>
      </c>
      <c r="K90" s="549"/>
      <c r="L90" s="549">
        <v>13.9</v>
      </c>
      <c r="M90" s="547"/>
    </row>
    <row r="91" spans="1:14" x14ac:dyDescent="0.25">
      <c r="A91" s="547">
        <v>100</v>
      </c>
      <c r="B91" s="548">
        <v>43279</v>
      </c>
      <c r="C91" s="547">
        <v>120</v>
      </c>
      <c r="D91" s="549">
        <v>128.6498</v>
      </c>
      <c r="E91" s="549">
        <v>115.39</v>
      </c>
      <c r="F91" s="549">
        <f t="shared" si="17"/>
        <v>-1591.1759999999999</v>
      </c>
      <c r="G91" s="549">
        <f t="shared" si="18"/>
        <v>15437.976000000001</v>
      </c>
      <c r="H91" s="550">
        <f t="shared" si="19"/>
        <v>-0.10306895152576995</v>
      </c>
      <c r="I91" s="549"/>
      <c r="J91" s="549">
        <v>-1591.1759999999999</v>
      </c>
      <c r="K91" s="549"/>
      <c r="L91" s="549">
        <v>13.39</v>
      </c>
      <c r="M91" s="547"/>
    </row>
    <row r="92" spans="1:14" x14ac:dyDescent="0.25">
      <c r="A92" s="547">
        <v>100</v>
      </c>
      <c r="B92" s="548">
        <v>43283</v>
      </c>
      <c r="C92" s="547">
        <v>120</v>
      </c>
      <c r="D92" s="549">
        <v>128.6498</v>
      </c>
      <c r="E92" s="549">
        <v>117.12</v>
      </c>
      <c r="F92" s="549">
        <f t="shared" si="17"/>
        <v>-1383.5759999999993</v>
      </c>
      <c r="G92" s="549">
        <f t="shared" si="18"/>
        <v>15437.976000000001</v>
      </c>
      <c r="H92" s="550">
        <f t="shared" si="19"/>
        <v>-8.9621592882382986E-2</v>
      </c>
      <c r="I92" s="549"/>
      <c r="J92" s="549">
        <v>-1383.5759999999993</v>
      </c>
      <c r="K92" s="549"/>
      <c r="L92" s="549"/>
      <c r="M92" s="547"/>
    </row>
    <row r="93" spans="1:14" x14ac:dyDescent="0.25">
      <c r="A93" s="547">
        <v>30</v>
      </c>
      <c r="B93" s="548">
        <v>43284</v>
      </c>
      <c r="C93" s="547">
        <v>50</v>
      </c>
      <c r="D93" s="549">
        <v>124.38</v>
      </c>
      <c r="E93" s="549">
        <v>135</v>
      </c>
      <c r="F93" s="549">
        <f t="shared" si="17"/>
        <v>531.00000000000023</v>
      </c>
      <c r="G93" s="549">
        <f t="shared" si="18"/>
        <v>6219</v>
      </c>
      <c r="H93" s="550">
        <f t="shared" si="19"/>
        <v>8.5383502170767039E-2</v>
      </c>
      <c r="I93" s="549"/>
      <c r="J93" s="549">
        <v>531.00000000000023</v>
      </c>
      <c r="K93" s="549"/>
      <c r="L93" s="549">
        <v>15.66</v>
      </c>
      <c r="M93" s="547"/>
    </row>
    <row r="94" spans="1:14" x14ac:dyDescent="0.25">
      <c r="A94" s="547">
        <v>30</v>
      </c>
      <c r="B94" s="548">
        <v>43284</v>
      </c>
      <c r="C94" s="547">
        <v>70</v>
      </c>
      <c r="D94" s="549">
        <v>126.758</v>
      </c>
      <c r="E94" s="549">
        <v>132.19999999999999</v>
      </c>
      <c r="F94" s="549">
        <f t="shared" si="17"/>
        <v>380.93999999999949</v>
      </c>
      <c r="G94" s="549">
        <f t="shared" si="18"/>
        <v>8873.06</v>
      </c>
      <c r="H94" s="550">
        <f t="shared" si="19"/>
        <v>4.2932201517852861E-2</v>
      </c>
      <c r="I94" s="549"/>
      <c r="J94" s="549">
        <v>380.93999999999949</v>
      </c>
      <c r="K94" s="549"/>
      <c r="L94" s="549"/>
      <c r="M94" s="547"/>
    </row>
    <row r="95" spans="1:14" x14ac:dyDescent="0.25">
      <c r="A95" s="547">
        <v>30</v>
      </c>
      <c r="B95" s="548">
        <v>43286</v>
      </c>
      <c r="C95" s="547">
        <v>90</v>
      </c>
      <c r="D95" s="549">
        <v>126.94</v>
      </c>
      <c r="E95" s="549">
        <v>127.58</v>
      </c>
      <c r="F95" s="549">
        <f t="shared" si="17"/>
        <v>57.600000000000051</v>
      </c>
      <c r="G95" s="549">
        <f t="shared" si="18"/>
        <v>11424.6</v>
      </c>
      <c r="H95" s="550">
        <f t="shared" si="19"/>
        <v>5.0417520088230708E-3</v>
      </c>
      <c r="I95" s="549"/>
      <c r="J95" s="549">
        <v>57.600000000000051</v>
      </c>
      <c r="K95" s="549"/>
      <c r="L95" s="549">
        <v>14.8</v>
      </c>
      <c r="M95" s="547"/>
    </row>
    <row r="96" spans="1:14" x14ac:dyDescent="0.25">
      <c r="A96" s="547">
        <v>30</v>
      </c>
      <c r="B96" s="548">
        <v>43286</v>
      </c>
      <c r="C96" s="547">
        <v>100</v>
      </c>
      <c r="D96" s="549">
        <v>126.875</v>
      </c>
      <c r="E96" s="549">
        <v>126.28</v>
      </c>
      <c r="F96" s="549">
        <f t="shared" si="17"/>
        <v>-59.499999999999886</v>
      </c>
      <c r="G96" s="549">
        <f t="shared" si="18"/>
        <v>12687.5</v>
      </c>
      <c r="H96" s="550">
        <f t="shared" si="19"/>
        <v>-4.6896551724137838E-3</v>
      </c>
      <c r="I96" s="549"/>
      <c r="J96" s="549">
        <v>-59.499999999999886</v>
      </c>
      <c r="K96" s="549"/>
      <c r="L96" s="549">
        <v>14.65</v>
      </c>
      <c r="M96" s="547"/>
    </row>
    <row r="97" spans="1:13" x14ac:dyDescent="0.25">
      <c r="A97" s="547">
        <v>0</v>
      </c>
      <c r="B97" s="548">
        <v>43291</v>
      </c>
      <c r="C97" s="547">
        <v>70</v>
      </c>
      <c r="D97" s="549">
        <v>125.2449</v>
      </c>
      <c r="E97" s="549">
        <v>130.68</v>
      </c>
      <c r="F97" s="549">
        <f t="shared" si="17"/>
        <v>380.45700000000039</v>
      </c>
      <c r="G97" s="549">
        <f t="shared" si="18"/>
        <v>8767.143</v>
      </c>
      <c r="H97" s="550">
        <f t="shared" si="19"/>
        <v>4.3395778989803221E-2</v>
      </c>
      <c r="I97" s="549"/>
      <c r="J97" s="549">
        <v>380.45700000000039</v>
      </c>
      <c r="K97" s="549"/>
      <c r="L97" s="549">
        <v>15.16</v>
      </c>
      <c r="M97" s="547"/>
    </row>
    <row r="98" spans="1:13" x14ac:dyDescent="0.25">
      <c r="A98" s="547">
        <v>0</v>
      </c>
      <c r="B98" s="548">
        <v>43311</v>
      </c>
      <c r="C98" s="547">
        <v>50</v>
      </c>
      <c r="D98" s="549">
        <v>120.14360000000001</v>
      </c>
      <c r="E98" s="549">
        <v>136.09</v>
      </c>
      <c r="F98" s="549">
        <f t="shared" si="17"/>
        <v>797.31999999999982</v>
      </c>
      <c r="G98" s="549">
        <f t="shared" si="18"/>
        <v>6007.18</v>
      </c>
      <c r="H98" s="550">
        <f t="shared" si="19"/>
        <v>0.13272783568995766</v>
      </c>
      <c r="I98" s="549"/>
      <c r="J98" s="549">
        <v>797.31999999999982</v>
      </c>
      <c r="K98" s="549"/>
      <c r="L98" s="549">
        <v>15.79</v>
      </c>
      <c r="M98" s="547"/>
    </row>
    <row r="99" spans="1:13" x14ac:dyDescent="0.25">
      <c r="A99" s="547"/>
      <c r="B99" s="548">
        <v>43312</v>
      </c>
      <c r="C99" s="547">
        <v>50</v>
      </c>
      <c r="D99" s="549">
        <v>120.14</v>
      </c>
      <c r="E99" s="549">
        <v>139.03</v>
      </c>
      <c r="F99" s="549">
        <f t="shared" si="17"/>
        <v>944.5</v>
      </c>
      <c r="G99" s="549">
        <f t="shared" si="18"/>
        <v>6007</v>
      </c>
      <c r="H99" s="550">
        <f t="shared" si="19"/>
        <v>0.15723322790078242</v>
      </c>
      <c r="I99" s="549"/>
      <c r="J99" s="549">
        <v>944.5</v>
      </c>
      <c r="K99" s="549"/>
      <c r="L99" s="549">
        <v>16.13</v>
      </c>
      <c r="M99" s="547"/>
    </row>
    <row r="100" spans="1:13" x14ac:dyDescent="0.25">
      <c r="A100" s="547">
        <v>0</v>
      </c>
      <c r="B100" s="548">
        <v>43313</v>
      </c>
      <c r="C100" s="547">
        <v>70</v>
      </c>
      <c r="D100" s="549">
        <v>124.4983</v>
      </c>
      <c r="E100" s="549">
        <v>135.66999999999999</v>
      </c>
      <c r="F100" s="549">
        <f t="shared" si="17"/>
        <v>782.0189999999991</v>
      </c>
      <c r="G100" s="549">
        <f t="shared" si="18"/>
        <v>8714.8809999999994</v>
      </c>
      <c r="H100" s="550">
        <f t="shared" si="19"/>
        <v>8.9733755400676046E-2</v>
      </c>
      <c r="I100" s="549"/>
      <c r="J100" s="549">
        <v>782.0189999999991</v>
      </c>
      <c r="K100" s="549"/>
      <c r="L100" s="549">
        <v>15.74</v>
      </c>
      <c r="M100" s="547"/>
    </row>
    <row r="101" spans="1:13" x14ac:dyDescent="0.25">
      <c r="A101" s="547">
        <v>50</v>
      </c>
      <c r="B101" s="548">
        <v>43316</v>
      </c>
      <c r="C101" s="547">
        <v>70</v>
      </c>
      <c r="D101" s="549">
        <v>124.4983</v>
      </c>
      <c r="E101" s="549">
        <v>136.47999999999999</v>
      </c>
      <c r="F101" s="549">
        <f t="shared" si="17"/>
        <v>838.71899999999926</v>
      </c>
      <c r="G101" s="549">
        <f t="shared" si="18"/>
        <v>8714.8809999999994</v>
      </c>
      <c r="H101" s="550">
        <f t="shared" si="19"/>
        <v>9.6239868335551482E-2</v>
      </c>
      <c r="I101" s="549"/>
      <c r="J101" s="549">
        <v>838.71899999999926</v>
      </c>
      <c r="K101" s="549"/>
      <c r="L101" s="549">
        <v>15.83</v>
      </c>
      <c r="M101" s="547"/>
    </row>
    <row r="102" spans="1:13" x14ac:dyDescent="0.25">
      <c r="A102" s="547">
        <v>50</v>
      </c>
      <c r="B102" s="548">
        <v>43325</v>
      </c>
      <c r="C102" s="547">
        <v>70</v>
      </c>
      <c r="D102" s="549">
        <v>124.5</v>
      </c>
      <c r="E102" s="549">
        <v>135.87</v>
      </c>
      <c r="F102" s="549">
        <f t="shared" si="17"/>
        <v>795.90000000000032</v>
      </c>
      <c r="G102" s="549">
        <f t="shared" si="18"/>
        <v>8715</v>
      </c>
      <c r="H102" s="550">
        <f t="shared" si="19"/>
        <v>9.1325301204819312E-2</v>
      </c>
      <c r="I102" s="549"/>
      <c r="J102" s="549">
        <v>795.90000000000032</v>
      </c>
      <c r="K102" s="549"/>
      <c r="L102" s="549">
        <v>15.76</v>
      </c>
      <c r="M102" s="547"/>
    </row>
    <row r="103" spans="1:13" x14ac:dyDescent="0.25">
      <c r="A103" s="547"/>
      <c r="B103" s="548">
        <v>43326</v>
      </c>
      <c r="C103" s="547">
        <v>20</v>
      </c>
      <c r="D103" s="549">
        <v>90.548500000000004</v>
      </c>
      <c r="E103" s="549">
        <v>137.5</v>
      </c>
      <c r="F103" s="549">
        <f t="shared" si="17"/>
        <v>939.03</v>
      </c>
      <c r="G103" s="549">
        <f t="shared" si="18"/>
        <v>1810.97</v>
      </c>
      <c r="H103" s="550">
        <f t="shared" si="19"/>
        <v>0.51852322236149684</v>
      </c>
      <c r="I103" s="549"/>
      <c r="J103" s="549">
        <v>939.03</v>
      </c>
      <c r="K103" s="549"/>
      <c r="L103" s="549">
        <v>15.95</v>
      </c>
      <c r="M103" s="547"/>
    </row>
    <row r="104" spans="1:13" x14ac:dyDescent="0.25">
      <c r="A104" s="547">
        <v>0</v>
      </c>
      <c r="B104" s="548">
        <v>43329</v>
      </c>
      <c r="C104" s="547">
        <v>20</v>
      </c>
      <c r="D104" s="549">
        <v>90.548500000000004</v>
      </c>
      <c r="E104" s="549">
        <v>143.69</v>
      </c>
      <c r="F104" s="549">
        <f t="shared" si="17"/>
        <v>1062.83</v>
      </c>
      <c r="G104" s="549">
        <f t="shared" si="18"/>
        <v>1810.97</v>
      </c>
      <c r="H104" s="550">
        <f t="shared" si="19"/>
        <v>0.58688437688089801</v>
      </c>
      <c r="I104" s="549"/>
      <c r="J104" s="549">
        <v>1062.83</v>
      </c>
      <c r="K104" s="549"/>
      <c r="L104" s="549">
        <v>16.670000000000002</v>
      </c>
      <c r="M104" s="547"/>
    </row>
    <row r="105" spans="1:13" x14ac:dyDescent="0.25">
      <c r="A105" s="547"/>
      <c r="B105" s="548">
        <v>43334</v>
      </c>
      <c r="C105" s="547">
        <v>20</v>
      </c>
      <c r="D105" s="549">
        <v>90.548500000000004</v>
      </c>
      <c r="E105" s="549">
        <v>148.38999999999999</v>
      </c>
      <c r="F105" s="549">
        <f t="shared" si="17"/>
        <v>1156.8299999999997</v>
      </c>
      <c r="G105" s="549">
        <f t="shared" si="18"/>
        <v>1810.97</v>
      </c>
      <c r="H105" s="550">
        <f t="shared" si="19"/>
        <v>0.63879026157252716</v>
      </c>
      <c r="I105" s="549"/>
      <c r="J105" s="549">
        <v>1156.8299999999997</v>
      </c>
      <c r="K105" s="549"/>
      <c r="L105" s="549">
        <v>17.21</v>
      </c>
      <c r="M105" s="547"/>
    </row>
    <row r="106" spans="1:13" x14ac:dyDescent="0.25">
      <c r="A106" s="547"/>
      <c r="B106" s="548">
        <v>43337</v>
      </c>
      <c r="C106" s="547">
        <v>20</v>
      </c>
      <c r="D106" s="549">
        <v>90.55</v>
      </c>
      <c r="E106" s="549">
        <v>149.03</v>
      </c>
      <c r="F106" s="549">
        <f t="shared" si="17"/>
        <v>1169.6000000000001</v>
      </c>
      <c r="G106" s="549">
        <f t="shared" si="18"/>
        <v>1811</v>
      </c>
      <c r="H106" s="550">
        <f t="shared" si="19"/>
        <v>0.6458310325786859</v>
      </c>
      <c r="I106" s="549"/>
      <c r="J106" s="549">
        <v>1169.6000000000001</v>
      </c>
      <c r="K106" s="549"/>
      <c r="L106" s="549">
        <v>17.29</v>
      </c>
      <c r="M106" s="547"/>
    </row>
    <row r="107" spans="1:13" x14ac:dyDescent="0.25">
      <c r="A107" s="547">
        <v>0</v>
      </c>
      <c r="B107" s="548">
        <v>43350</v>
      </c>
      <c r="C107" s="547">
        <v>0</v>
      </c>
      <c r="D107" s="549">
        <v>90.55</v>
      </c>
      <c r="E107" s="549">
        <v>156.41</v>
      </c>
      <c r="F107" s="549">
        <v>1349.19</v>
      </c>
      <c r="G107" s="549">
        <f t="shared" si="18"/>
        <v>0</v>
      </c>
      <c r="H107" s="550">
        <f t="shared" si="19"/>
        <v>0.72733296521258972</v>
      </c>
      <c r="I107" s="549"/>
      <c r="J107" s="549">
        <v>1349.19</v>
      </c>
      <c r="K107" s="549"/>
      <c r="L107" s="549">
        <v>18.149999999999999</v>
      </c>
      <c r="M107" s="547"/>
    </row>
    <row r="108" spans="1:13" x14ac:dyDescent="0.25">
      <c r="A108" s="547">
        <v>0</v>
      </c>
      <c r="B108" s="548">
        <v>43353</v>
      </c>
      <c r="C108" s="547">
        <v>20</v>
      </c>
      <c r="D108" s="549">
        <v>85.540499999999994</v>
      </c>
      <c r="E108" s="549">
        <v>154.94999999999999</v>
      </c>
      <c r="F108" s="879">
        <f t="shared" ref="F108:F141" si="20">C108*(E108-D108)</f>
        <v>1388.1899999999998</v>
      </c>
      <c r="G108" s="549">
        <f t="shared" si="18"/>
        <v>1710.81</v>
      </c>
      <c r="H108" s="550">
        <f t="shared" si="19"/>
        <v>0.81142265944201863</v>
      </c>
      <c r="I108" s="549"/>
      <c r="J108" s="879">
        <v>1388.1899999999998</v>
      </c>
      <c r="K108" s="549"/>
      <c r="L108" s="549">
        <v>17.98</v>
      </c>
      <c r="M108" s="547"/>
    </row>
    <row r="109" spans="1:13" x14ac:dyDescent="0.25">
      <c r="A109" s="547">
        <v>0</v>
      </c>
      <c r="B109" s="548">
        <v>43358</v>
      </c>
      <c r="C109" s="547">
        <v>20</v>
      </c>
      <c r="D109" s="549">
        <v>85.540499999999994</v>
      </c>
      <c r="E109" s="549">
        <v>159.1</v>
      </c>
      <c r="F109" s="879">
        <f t="shared" si="20"/>
        <v>1471.19</v>
      </c>
      <c r="G109" s="549">
        <f t="shared" si="18"/>
        <v>1710.81</v>
      </c>
      <c r="H109" s="550">
        <f t="shared" si="19"/>
        <v>0.85993769033381851</v>
      </c>
      <c r="I109" s="549"/>
      <c r="J109" s="879">
        <v>1471.19</v>
      </c>
      <c r="K109" s="549"/>
      <c r="L109" s="549">
        <v>18.46</v>
      </c>
      <c r="M109" s="547"/>
    </row>
    <row r="110" spans="1:13" x14ac:dyDescent="0.25">
      <c r="A110" s="547"/>
      <c r="B110" s="548">
        <v>43364</v>
      </c>
      <c r="C110" s="547">
        <v>20</v>
      </c>
      <c r="D110" s="549">
        <v>85.540499999999994</v>
      </c>
      <c r="E110" s="549">
        <v>165.06</v>
      </c>
      <c r="F110" s="879">
        <f t="shared" si="20"/>
        <v>1590.39</v>
      </c>
      <c r="G110" s="549">
        <f t="shared" si="18"/>
        <v>1710.81</v>
      </c>
      <c r="H110" s="550">
        <f t="shared" si="19"/>
        <v>0.92961228891577685</v>
      </c>
      <c r="I110" s="549"/>
      <c r="J110" s="879">
        <v>1590.39</v>
      </c>
      <c r="K110" s="549"/>
      <c r="L110" s="549"/>
      <c r="M110" s="547"/>
    </row>
    <row r="111" spans="1:13" x14ac:dyDescent="0.25">
      <c r="A111" s="547"/>
      <c r="B111" s="548">
        <v>43377</v>
      </c>
      <c r="C111" s="547">
        <v>20</v>
      </c>
      <c r="D111" s="549">
        <v>85.54</v>
      </c>
      <c r="E111" s="549">
        <v>135.01</v>
      </c>
      <c r="F111" s="549">
        <f t="shared" si="20"/>
        <v>989.39999999999964</v>
      </c>
      <c r="G111" s="549">
        <f t="shared" si="18"/>
        <v>1710.8000000000002</v>
      </c>
      <c r="H111" s="550">
        <f t="shared" si="19"/>
        <v>0.57832592938975891</v>
      </c>
      <c r="I111" s="549"/>
      <c r="J111" s="549">
        <v>989.39999999999964</v>
      </c>
      <c r="K111" s="549"/>
      <c r="L111" s="549">
        <v>15.66</v>
      </c>
      <c r="M111" s="547"/>
    </row>
    <row r="112" spans="1:13" x14ac:dyDescent="0.25">
      <c r="A112" s="547">
        <v>0</v>
      </c>
      <c r="B112" s="548">
        <v>43378</v>
      </c>
      <c r="C112" s="547">
        <v>40</v>
      </c>
      <c r="D112" s="549">
        <v>108.02</v>
      </c>
      <c r="E112" s="549">
        <v>130.99</v>
      </c>
      <c r="F112" s="549">
        <f t="shared" si="20"/>
        <v>918.80000000000052</v>
      </c>
      <c r="G112" s="549">
        <f t="shared" si="18"/>
        <v>4320.8</v>
      </c>
      <c r="H112" s="550">
        <f t="shared" si="19"/>
        <v>0.21264580633216085</v>
      </c>
      <c r="I112" s="549"/>
      <c r="J112" s="549">
        <v>918.80000000000052</v>
      </c>
      <c r="K112" s="549"/>
      <c r="L112" s="549">
        <v>15.71</v>
      </c>
      <c r="M112" s="547"/>
    </row>
    <row r="113" spans="1:13" x14ac:dyDescent="0.25">
      <c r="A113" s="547">
        <v>20</v>
      </c>
      <c r="B113" s="548">
        <v>43383</v>
      </c>
      <c r="C113" s="547">
        <v>60</v>
      </c>
      <c r="D113" s="549">
        <v>113.3068</v>
      </c>
      <c r="E113" s="549">
        <v>121.26</v>
      </c>
      <c r="F113" s="549">
        <f t="shared" si="20"/>
        <v>477.19200000000058</v>
      </c>
      <c r="G113" s="549">
        <f t="shared" si="18"/>
        <v>6798.4079999999994</v>
      </c>
      <c r="H113" s="550">
        <f t="shared" si="19"/>
        <v>7.0191727239671486E-2</v>
      </c>
      <c r="I113" s="549"/>
      <c r="J113" s="549">
        <v>477.19200000000058</v>
      </c>
      <c r="K113" s="549"/>
      <c r="L113" s="549">
        <v>14.07</v>
      </c>
      <c r="M113" s="547"/>
    </row>
    <row r="114" spans="1:13" x14ac:dyDescent="0.25">
      <c r="A114" s="547">
        <v>20</v>
      </c>
      <c r="B114" s="548">
        <v>43396</v>
      </c>
      <c r="C114" s="547">
        <v>80</v>
      </c>
      <c r="D114" s="549">
        <v>114.4276</v>
      </c>
      <c r="E114" s="549">
        <v>121.01</v>
      </c>
      <c r="F114" s="549">
        <f t="shared" si="20"/>
        <v>526.59200000000055</v>
      </c>
      <c r="G114" s="549">
        <f t="shared" si="18"/>
        <v>9154.2080000000005</v>
      </c>
      <c r="H114" s="550">
        <f t="shared" si="19"/>
        <v>5.7524583229920115E-2</v>
      </c>
      <c r="I114" s="549"/>
      <c r="J114" s="549">
        <v>526.59200000000055</v>
      </c>
      <c r="K114" s="549"/>
      <c r="L114" s="549">
        <v>14.04</v>
      </c>
      <c r="M114" s="547"/>
    </row>
    <row r="115" spans="1:13" x14ac:dyDescent="0.25">
      <c r="A115" s="547">
        <v>0</v>
      </c>
      <c r="B115" s="548">
        <v>43403</v>
      </c>
      <c r="C115" s="547">
        <v>60</v>
      </c>
      <c r="D115" s="549">
        <v>111.444</v>
      </c>
      <c r="E115" s="549">
        <v>123.38</v>
      </c>
      <c r="F115" s="549">
        <f t="shared" si="20"/>
        <v>716.15999999999963</v>
      </c>
      <c r="G115" s="549">
        <f t="shared" si="18"/>
        <v>6686.64</v>
      </c>
      <c r="H115" s="550">
        <f t="shared" si="19"/>
        <v>0.10710311905531023</v>
      </c>
      <c r="I115" s="549"/>
      <c r="J115" s="549">
        <v>716.15999999999963</v>
      </c>
      <c r="K115" s="549"/>
      <c r="L115" s="549">
        <v>14.31</v>
      </c>
      <c r="M115" s="547"/>
    </row>
    <row r="116" spans="1:13" x14ac:dyDescent="0.25">
      <c r="A116" s="547">
        <v>0</v>
      </c>
      <c r="B116" s="548">
        <v>43403</v>
      </c>
      <c r="C116" s="547">
        <v>50</v>
      </c>
      <c r="D116" s="549">
        <v>108.9</v>
      </c>
      <c r="E116" s="549">
        <v>124.18</v>
      </c>
      <c r="F116" s="549">
        <f t="shared" si="20"/>
        <v>764</v>
      </c>
      <c r="G116" s="549">
        <f t="shared" si="18"/>
        <v>5445</v>
      </c>
      <c r="H116" s="550">
        <f t="shared" si="19"/>
        <v>0.14031221303948577</v>
      </c>
      <c r="I116" s="549"/>
      <c r="J116" s="549">
        <v>764</v>
      </c>
      <c r="K116" s="549"/>
      <c r="L116" s="549">
        <v>14.41</v>
      </c>
      <c r="M116" s="547"/>
    </row>
    <row r="117" spans="1:13" x14ac:dyDescent="0.25">
      <c r="A117" s="547">
        <v>0</v>
      </c>
      <c r="B117" s="548">
        <v>43405</v>
      </c>
      <c r="C117" s="547">
        <v>50</v>
      </c>
      <c r="D117" s="549">
        <v>108.74120000000001</v>
      </c>
      <c r="E117" s="549">
        <v>131.51</v>
      </c>
      <c r="F117" s="549">
        <f t="shared" si="20"/>
        <v>1138.4399999999991</v>
      </c>
      <c r="G117" s="549">
        <f t="shared" si="18"/>
        <v>5437.06</v>
      </c>
      <c r="H117" s="550">
        <f t="shared" si="19"/>
        <v>0.20938521921773884</v>
      </c>
      <c r="I117" s="549"/>
      <c r="J117" s="549">
        <v>1138.4399999999991</v>
      </c>
      <c r="K117" s="549"/>
      <c r="L117" s="549">
        <v>15.26</v>
      </c>
      <c r="M117" s="547"/>
    </row>
    <row r="118" spans="1:13" x14ac:dyDescent="0.25">
      <c r="A118" s="547">
        <v>30</v>
      </c>
      <c r="B118" s="548">
        <v>43424</v>
      </c>
      <c r="C118" s="547">
        <v>70</v>
      </c>
      <c r="D118" s="549">
        <v>112.1009</v>
      </c>
      <c r="E118" s="549">
        <v>121.12</v>
      </c>
      <c r="F118" s="549">
        <f t="shared" si="20"/>
        <v>631.33700000000067</v>
      </c>
      <c r="G118" s="549">
        <f t="shared" si="18"/>
        <v>7847.0630000000001</v>
      </c>
      <c r="H118" s="550">
        <f t="shared" si="19"/>
        <v>8.045519705907811E-2</v>
      </c>
      <c r="I118" s="549"/>
      <c r="J118" s="549">
        <v>631.33700000000067</v>
      </c>
      <c r="K118" s="549"/>
      <c r="L118" s="549">
        <v>14.05</v>
      </c>
      <c r="M118" s="547"/>
    </row>
    <row r="119" spans="1:13" x14ac:dyDescent="0.25">
      <c r="A119" s="547">
        <v>20</v>
      </c>
      <c r="B119" s="548">
        <v>43430</v>
      </c>
      <c r="C119" s="547">
        <v>40</v>
      </c>
      <c r="D119" s="549">
        <v>101.68</v>
      </c>
      <c r="E119" s="549">
        <v>126.82</v>
      </c>
      <c r="F119" s="549">
        <f t="shared" si="20"/>
        <v>1005.5999999999995</v>
      </c>
      <c r="G119" s="549">
        <f t="shared" si="18"/>
        <v>4067.2000000000003</v>
      </c>
      <c r="H119" s="550">
        <f t="shared" si="19"/>
        <v>0.24724626278520834</v>
      </c>
      <c r="I119" s="549"/>
      <c r="J119" s="549">
        <v>1005.5999999999995</v>
      </c>
      <c r="K119" s="549"/>
      <c r="L119" s="549">
        <v>14.71</v>
      </c>
      <c r="M119" s="547"/>
    </row>
    <row r="120" spans="1:13" x14ac:dyDescent="0.25">
      <c r="A120" s="547">
        <v>20</v>
      </c>
      <c r="B120" s="548">
        <v>43438</v>
      </c>
      <c r="C120" s="547">
        <v>70</v>
      </c>
      <c r="D120" s="549">
        <v>110.37869999999999</v>
      </c>
      <c r="E120" s="549">
        <v>120</v>
      </c>
      <c r="F120" s="549">
        <f t="shared" si="20"/>
        <v>673.49100000000033</v>
      </c>
      <c r="G120" s="549">
        <f t="shared" si="18"/>
        <v>7726.509</v>
      </c>
      <c r="H120" s="550">
        <f t="shared" si="19"/>
        <v>8.7166273927850257E-2</v>
      </c>
      <c r="I120" s="549"/>
      <c r="J120" s="549">
        <v>673.49100000000033</v>
      </c>
      <c r="K120" s="549"/>
      <c r="L120" s="549">
        <v>13.92</v>
      </c>
      <c r="M120" s="547"/>
    </row>
    <row r="121" spans="1:13" x14ac:dyDescent="0.25">
      <c r="A121" s="547">
        <v>20</v>
      </c>
      <c r="B121" s="548">
        <v>43440</v>
      </c>
      <c r="C121" s="547">
        <v>100</v>
      </c>
      <c r="D121" s="549">
        <v>111.7051</v>
      </c>
      <c r="E121" s="549">
        <v>120.44</v>
      </c>
      <c r="F121" s="549">
        <f t="shared" si="20"/>
        <v>873.48999999999955</v>
      </c>
      <c r="G121" s="549">
        <f t="shared" si="18"/>
        <v>11170.51</v>
      </c>
      <c r="H121" s="550">
        <f t="shared" si="19"/>
        <v>7.8196071620722743E-2</v>
      </c>
      <c r="I121" s="549"/>
      <c r="J121" s="549">
        <v>873.48999999999955</v>
      </c>
      <c r="K121" s="549"/>
      <c r="L121" s="549">
        <v>13.97</v>
      </c>
      <c r="M121" s="547"/>
    </row>
    <row r="122" spans="1:13" x14ac:dyDescent="0.25">
      <c r="A122" s="547">
        <v>0</v>
      </c>
      <c r="B122" s="548">
        <v>43441</v>
      </c>
      <c r="C122" s="547">
        <v>80</v>
      </c>
      <c r="D122" s="549">
        <v>108.9618</v>
      </c>
      <c r="E122" s="549">
        <v>117.9</v>
      </c>
      <c r="F122" s="549">
        <f t="shared" si="20"/>
        <v>715.05600000000072</v>
      </c>
      <c r="G122" s="549">
        <f t="shared" si="18"/>
        <v>8716.9439999999995</v>
      </c>
      <c r="H122" s="550">
        <f t="shared" si="19"/>
        <v>8.2030583195211615E-2</v>
      </c>
      <c r="I122" s="549"/>
      <c r="J122" s="549">
        <v>715.05600000000072</v>
      </c>
      <c r="K122" s="549"/>
      <c r="L122" s="549">
        <v>13.68</v>
      </c>
      <c r="M122" s="547"/>
    </row>
    <row r="123" spans="1:13" x14ac:dyDescent="0.25">
      <c r="A123" s="547">
        <v>0</v>
      </c>
      <c r="B123" s="548">
        <v>43445</v>
      </c>
      <c r="C123" s="547">
        <v>100</v>
      </c>
      <c r="D123" s="549">
        <v>110.309</v>
      </c>
      <c r="E123" s="549">
        <v>115.71</v>
      </c>
      <c r="F123" s="549">
        <f t="shared" si="20"/>
        <v>540.09999999999968</v>
      </c>
      <c r="G123" s="549">
        <f t="shared" si="18"/>
        <v>11030.9</v>
      </c>
      <c r="H123" s="550">
        <f t="shared" si="19"/>
        <v>4.8962459998730806E-2</v>
      </c>
      <c r="I123" s="549"/>
      <c r="J123" s="549">
        <v>540.09999999999968</v>
      </c>
      <c r="K123" s="549"/>
      <c r="L123" s="549">
        <v>13.42</v>
      </c>
      <c r="M123" s="547"/>
    </row>
    <row r="124" spans="1:13" x14ac:dyDescent="0.25">
      <c r="A124" s="547">
        <v>0</v>
      </c>
      <c r="B124" s="548">
        <v>43453</v>
      </c>
      <c r="C124" s="547">
        <v>120</v>
      </c>
      <c r="D124" s="549">
        <v>110.3045</v>
      </c>
      <c r="E124" s="549">
        <v>110.89</v>
      </c>
      <c r="F124" s="549">
        <f t="shared" si="20"/>
        <v>70.259999999999536</v>
      </c>
      <c r="G124" s="549">
        <f t="shared" si="18"/>
        <v>13236.54</v>
      </c>
      <c r="H124" s="550">
        <f t="shared" si="19"/>
        <v>5.3080336704304553E-3</v>
      </c>
      <c r="I124" s="549"/>
      <c r="J124" s="549">
        <v>70.259999999999536</v>
      </c>
      <c r="K124" s="549"/>
      <c r="L124" s="549">
        <v>13.57</v>
      </c>
      <c r="M124" s="547"/>
    </row>
    <row r="125" spans="1:13" x14ac:dyDescent="0.25">
      <c r="A125" s="547">
        <v>0</v>
      </c>
      <c r="B125" s="548">
        <v>43461</v>
      </c>
      <c r="C125" s="547">
        <v>100</v>
      </c>
      <c r="D125" s="549">
        <v>109.96599999999999</v>
      </c>
      <c r="E125" s="549">
        <v>112</v>
      </c>
      <c r="F125" s="549">
        <f t="shared" si="20"/>
        <v>203.4000000000006</v>
      </c>
      <c r="G125" s="549">
        <f t="shared" si="18"/>
        <v>10996.599999999999</v>
      </c>
      <c r="H125" s="550">
        <f t="shared" si="19"/>
        <v>1.8496626229925671E-2</v>
      </c>
      <c r="I125" s="549"/>
      <c r="J125" s="549">
        <v>203.4000000000006</v>
      </c>
      <c r="K125" s="549"/>
      <c r="L125" s="549">
        <v>12.99</v>
      </c>
      <c r="M125" s="547"/>
    </row>
    <row r="126" spans="1:13" x14ac:dyDescent="0.25">
      <c r="A126" s="547">
        <v>60</v>
      </c>
      <c r="B126" s="548">
        <v>43472</v>
      </c>
      <c r="C126" s="547">
        <v>100</v>
      </c>
      <c r="D126" s="549">
        <v>109.97</v>
      </c>
      <c r="E126" s="549">
        <v>118.41</v>
      </c>
      <c r="F126" s="549">
        <f t="shared" si="20"/>
        <v>843.99999999999977</v>
      </c>
      <c r="G126" s="549">
        <f t="shared" si="18"/>
        <v>10997</v>
      </c>
      <c r="H126" s="550">
        <f t="shared" si="19"/>
        <v>7.6748204055651525E-2</v>
      </c>
      <c r="I126" s="549"/>
      <c r="J126" s="549">
        <v>843.99999999999977</v>
      </c>
      <c r="K126" s="549"/>
      <c r="L126" s="549">
        <v>13.74</v>
      </c>
      <c r="M126" s="547"/>
    </row>
    <row r="127" spans="1:13" x14ac:dyDescent="0.25">
      <c r="A127" s="547">
        <v>40</v>
      </c>
      <c r="B127" s="548">
        <v>43473</v>
      </c>
      <c r="C127" s="547">
        <v>80</v>
      </c>
      <c r="D127" s="549">
        <v>107.3875</v>
      </c>
      <c r="E127" s="549">
        <v>120.54</v>
      </c>
      <c r="F127" s="549">
        <f t="shared" si="20"/>
        <v>1052.2000000000003</v>
      </c>
      <c r="G127" s="549">
        <f t="shared" si="18"/>
        <v>8591</v>
      </c>
      <c r="H127" s="550">
        <f t="shared" si="19"/>
        <v>0.1224770108252823</v>
      </c>
      <c r="I127" s="549"/>
      <c r="J127" s="549">
        <v>1052.2000000000003</v>
      </c>
      <c r="K127" s="549"/>
      <c r="L127" s="549">
        <v>13.98</v>
      </c>
      <c r="M127" s="547"/>
    </row>
    <row r="128" spans="1:13" x14ac:dyDescent="0.25">
      <c r="A128" s="547">
        <v>80</v>
      </c>
      <c r="B128" s="548">
        <v>43487</v>
      </c>
      <c r="C128" s="547">
        <v>100</v>
      </c>
      <c r="D128" s="549">
        <v>109.19</v>
      </c>
      <c r="E128" s="549">
        <v>116.14</v>
      </c>
      <c r="F128" s="549">
        <f t="shared" si="20"/>
        <v>695.00000000000023</v>
      </c>
      <c r="G128" s="549">
        <f t="shared" si="18"/>
        <v>10919</v>
      </c>
      <c r="H128" s="550">
        <f t="shared" si="19"/>
        <v>6.3650517446652649E-2</v>
      </c>
      <c r="I128" s="549"/>
      <c r="J128" s="549">
        <v>695.00000000000023</v>
      </c>
      <c r="K128" s="549"/>
      <c r="L128" s="549">
        <v>13.47</v>
      </c>
      <c r="M128" s="547"/>
    </row>
    <row r="129" spans="1:13" x14ac:dyDescent="0.25">
      <c r="A129" s="547">
        <v>60</v>
      </c>
      <c r="B129" s="548">
        <v>43496</v>
      </c>
      <c r="C129" s="547">
        <v>80</v>
      </c>
      <c r="D129" s="549">
        <v>106.17</v>
      </c>
      <c r="E129" s="549">
        <v>121.28</v>
      </c>
      <c r="F129" s="549">
        <f t="shared" si="20"/>
        <v>1208.8</v>
      </c>
      <c r="G129" s="549">
        <f t="shared" si="18"/>
        <v>8493.6</v>
      </c>
      <c r="H129" s="550">
        <f t="shared" si="19"/>
        <v>0.14231892248281058</v>
      </c>
      <c r="I129" s="549"/>
      <c r="J129" s="549">
        <v>1208.8</v>
      </c>
      <c r="K129" s="549"/>
      <c r="L129" s="549">
        <v>14.07</v>
      </c>
      <c r="M129" s="547"/>
    </row>
    <row r="130" spans="1:13" x14ac:dyDescent="0.25">
      <c r="A130" s="547">
        <v>60</v>
      </c>
      <c r="B130" s="548">
        <v>43498</v>
      </c>
      <c r="C130" s="547">
        <v>80</v>
      </c>
      <c r="D130" s="549">
        <v>106.038</v>
      </c>
      <c r="E130" s="549">
        <v>121.95</v>
      </c>
      <c r="F130" s="549">
        <f t="shared" si="20"/>
        <v>1272.9600000000005</v>
      </c>
      <c r="G130" s="549">
        <f t="shared" si="18"/>
        <v>8483.0399999999991</v>
      </c>
      <c r="H130" s="550">
        <f t="shared" si="19"/>
        <v>0.15005941266338488</v>
      </c>
      <c r="I130" s="549"/>
      <c r="J130" s="549">
        <v>1272.9600000000005</v>
      </c>
      <c r="K130" s="549"/>
      <c r="L130" s="549">
        <v>14.15</v>
      </c>
      <c r="M130" s="547"/>
    </row>
    <row r="131" spans="1:13" x14ac:dyDescent="0.25">
      <c r="A131" s="547">
        <v>30</v>
      </c>
      <c r="B131" s="548">
        <v>43502</v>
      </c>
      <c r="C131" s="547">
        <v>50</v>
      </c>
      <c r="D131" s="549">
        <v>94.073599999999999</v>
      </c>
      <c r="E131" s="549">
        <v>126.81</v>
      </c>
      <c r="F131" s="879">
        <f t="shared" si="20"/>
        <v>1636.8200000000002</v>
      </c>
      <c r="G131" s="549">
        <f t="shared" si="18"/>
        <v>4703.68</v>
      </c>
      <c r="H131" s="550">
        <f t="shared" si="19"/>
        <v>0.34798710796652838</v>
      </c>
      <c r="I131" s="549"/>
      <c r="J131" s="879">
        <v>1636.8200000000002</v>
      </c>
      <c r="K131" s="549"/>
      <c r="L131" s="549">
        <v>14.71</v>
      </c>
      <c r="M131" s="547"/>
    </row>
    <row r="132" spans="1:13" x14ac:dyDescent="0.25">
      <c r="A132" s="547">
        <v>0</v>
      </c>
      <c r="B132" s="548">
        <v>43508</v>
      </c>
      <c r="C132" s="547">
        <v>20</v>
      </c>
      <c r="D132" s="549">
        <v>40.186500000000002</v>
      </c>
      <c r="E132" s="549">
        <v>133.79</v>
      </c>
      <c r="F132" s="879">
        <f t="shared" si="20"/>
        <v>1872.07</v>
      </c>
      <c r="G132" s="549">
        <f t="shared" si="18"/>
        <v>803.73</v>
      </c>
      <c r="H132" s="550">
        <f t="shared" si="19"/>
        <v>2.3292274768890047</v>
      </c>
      <c r="I132" s="549"/>
      <c r="J132" s="879">
        <v>1872.07</v>
      </c>
      <c r="K132" s="549"/>
      <c r="L132" s="549">
        <v>15.52</v>
      </c>
      <c r="M132" s="547"/>
    </row>
    <row r="133" spans="1:13" x14ac:dyDescent="0.25">
      <c r="A133" s="547">
        <v>20</v>
      </c>
      <c r="B133" s="548">
        <v>43535</v>
      </c>
      <c r="C133" s="547">
        <v>20</v>
      </c>
      <c r="D133" s="549">
        <v>40.19</v>
      </c>
      <c r="E133" s="549">
        <v>130.44999999999999</v>
      </c>
      <c r="F133" s="880">
        <f t="shared" si="20"/>
        <v>1805.1999999999998</v>
      </c>
      <c r="G133" s="549">
        <f t="shared" si="18"/>
        <v>803.8</v>
      </c>
      <c r="H133" s="550">
        <f t="shared" si="19"/>
        <v>2.2458322965911917</v>
      </c>
      <c r="I133" s="549"/>
      <c r="J133" s="880">
        <v>1805.1999999999998</v>
      </c>
      <c r="K133" s="549"/>
      <c r="L133" s="549">
        <v>15.13</v>
      </c>
      <c r="M133" s="547"/>
    </row>
    <row r="134" spans="1:13" x14ac:dyDescent="0.25">
      <c r="A134" s="547">
        <v>20</v>
      </c>
      <c r="B134" s="548">
        <v>43544</v>
      </c>
      <c r="C134" s="547">
        <v>50</v>
      </c>
      <c r="D134" s="549">
        <v>90.2</v>
      </c>
      <c r="E134" s="549">
        <v>123.88</v>
      </c>
      <c r="F134" s="549">
        <f t="shared" si="20"/>
        <v>1683.9999999999995</v>
      </c>
      <c r="G134" s="549">
        <f t="shared" si="18"/>
        <v>4510</v>
      </c>
      <c r="H134" s="550">
        <f t="shared" si="19"/>
        <v>0.37339246119733915</v>
      </c>
      <c r="I134" s="549"/>
      <c r="J134" s="549">
        <v>1683.9999999999995</v>
      </c>
      <c r="K134" s="549"/>
      <c r="L134" s="549">
        <v>14.37</v>
      </c>
      <c r="M134" s="547"/>
    </row>
    <row r="135" spans="1:13" x14ac:dyDescent="0.25">
      <c r="A135" s="547">
        <v>20</v>
      </c>
      <c r="B135" s="548">
        <v>43546</v>
      </c>
      <c r="C135" s="547">
        <v>80</v>
      </c>
      <c r="D135" s="549">
        <v>101.36660000000001</v>
      </c>
      <c r="E135" s="549">
        <v>118.95</v>
      </c>
      <c r="F135" s="549">
        <f t="shared" si="20"/>
        <v>1406.6719999999998</v>
      </c>
      <c r="G135" s="549">
        <f t="shared" si="18"/>
        <v>8109.3280000000004</v>
      </c>
      <c r="H135" s="550">
        <f t="shared" si="19"/>
        <v>0.17346344851262641</v>
      </c>
      <c r="I135" s="549"/>
      <c r="J135" s="549">
        <v>1406.6719999999998</v>
      </c>
      <c r="K135" s="549"/>
      <c r="L135" s="549">
        <v>13.8</v>
      </c>
      <c r="M135" s="547"/>
    </row>
    <row r="136" spans="1:13" x14ac:dyDescent="0.25">
      <c r="A136" s="547">
        <v>0</v>
      </c>
      <c r="B136" s="548">
        <v>43556</v>
      </c>
      <c r="C136" s="547">
        <v>60</v>
      </c>
      <c r="D136" s="549">
        <v>94.105999999999995</v>
      </c>
      <c r="E136" s="549">
        <v>123.66</v>
      </c>
      <c r="F136" s="549">
        <f t="shared" si="20"/>
        <v>1773.2400000000002</v>
      </c>
      <c r="G136" s="549">
        <f t="shared" si="18"/>
        <v>5646.36</v>
      </c>
      <c r="H136" s="550">
        <f t="shared" si="19"/>
        <v>0.3140501137015706</v>
      </c>
      <c r="I136" s="549"/>
      <c r="J136" s="549">
        <v>1773.2400000000002</v>
      </c>
      <c r="K136" s="549"/>
      <c r="L136" s="549">
        <v>14.35</v>
      </c>
      <c r="M136" s="547"/>
    </row>
    <row r="137" spans="1:13" x14ac:dyDescent="0.25">
      <c r="A137" s="547"/>
      <c r="B137" s="548">
        <v>43572</v>
      </c>
      <c r="C137" s="547">
        <v>60</v>
      </c>
      <c r="D137" s="549">
        <v>94.11</v>
      </c>
      <c r="E137" s="549">
        <v>141.76</v>
      </c>
      <c r="F137" s="879">
        <f t="shared" si="20"/>
        <v>2858.9999999999995</v>
      </c>
      <c r="G137" s="549">
        <f t="shared" si="18"/>
        <v>5646.6</v>
      </c>
      <c r="H137" s="550">
        <f t="shared" si="19"/>
        <v>0.5063223886940813</v>
      </c>
      <c r="I137" s="549"/>
      <c r="J137" s="879">
        <v>2858.9999999999995</v>
      </c>
      <c r="K137" s="549"/>
      <c r="L137" s="549"/>
      <c r="M137" s="547"/>
    </row>
    <row r="138" spans="1:13" x14ac:dyDescent="0.25">
      <c r="A138" s="547">
        <v>30</v>
      </c>
      <c r="B138" s="548">
        <v>43577</v>
      </c>
      <c r="C138" s="547">
        <v>30</v>
      </c>
      <c r="D138" s="549">
        <v>44.734999999999999</v>
      </c>
      <c r="E138" s="549">
        <v>143.47999999999999</v>
      </c>
      <c r="F138" s="879">
        <f t="shared" si="20"/>
        <v>2962.35</v>
      </c>
      <c r="G138" s="549">
        <f t="shared" si="18"/>
        <v>1342.05</v>
      </c>
      <c r="H138" s="550">
        <f t="shared" si="19"/>
        <v>2.2073320666145073</v>
      </c>
      <c r="I138" s="549"/>
      <c r="J138" s="879">
        <v>2962.35</v>
      </c>
      <c r="K138" s="549"/>
      <c r="L138" s="549"/>
      <c r="M138" s="547"/>
    </row>
    <row r="139" spans="1:13" x14ac:dyDescent="0.25">
      <c r="A139" s="547">
        <v>30</v>
      </c>
      <c r="B139" s="548">
        <v>43586</v>
      </c>
      <c r="C139" s="547">
        <v>30</v>
      </c>
      <c r="D139" s="549">
        <v>44.475000000000001</v>
      </c>
      <c r="E139" s="549">
        <v>144.33000000000001</v>
      </c>
      <c r="F139" s="879">
        <f t="shared" si="20"/>
        <v>2995.6500000000005</v>
      </c>
      <c r="G139" s="549">
        <f t="shared" si="18"/>
        <v>1334.25</v>
      </c>
      <c r="H139" s="550">
        <f t="shared" si="19"/>
        <v>2.2451939291736935</v>
      </c>
      <c r="I139" s="549"/>
      <c r="J139" s="879">
        <v>2995.6500000000005</v>
      </c>
      <c r="K139" s="549"/>
      <c r="L139" s="549"/>
      <c r="M139" s="547"/>
    </row>
    <row r="140" spans="1:13" x14ac:dyDescent="0.25">
      <c r="A140" s="547">
        <v>30</v>
      </c>
      <c r="B140" s="548">
        <v>43616</v>
      </c>
      <c r="C140" s="547">
        <v>50</v>
      </c>
      <c r="D140" s="549">
        <v>74.924999999999997</v>
      </c>
      <c r="E140" s="549">
        <v>120.6</v>
      </c>
      <c r="F140" s="880">
        <f t="shared" si="20"/>
        <v>2283.75</v>
      </c>
      <c r="G140" s="549">
        <f t="shared" si="18"/>
        <v>3746.25</v>
      </c>
      <c r="H140" s="550">
        <f t="shared" si="19"/>
        <v>0.60960960960960964</v>
      </c>
      <c r="I140" s="549"/>
      <c r="J140" s="880">
        <v>2283.75</v>
      </c>
      <c r="K140" s="549"/>
      <c r="L140" s="549">
        <v>15.29</v>
      </c>
      <c r="M140" s="547"/>
    </row>
    <row r="141" spans="1:13" x14ac:dyDescent="0.25">
      <c r="A141" s="547">
        <v>10</v>
      </c>
      <c r="B141" s="548">
        <v>43619</v>
      </c>
      <c r="C141" s="547">
        <v>30</v>
      </c>
      <c r="D141" s="549">
        <v>40.223300000000002</v>
      </c>
      <c r="E141" s="549">
        <v>125.95</v>
      </c>
      <c r="F141" s="880">
        <f t="shared" si="20"/>
        <v>2571.8009999999999</v>
      </c>
      <c r="G141" s="549">
        <f t="shared" si="18"/>
        <v>1206.6990000000001</v>
      </c>
      <c r="H141" s="550">
        <f t="shared" si="19"/>
        <v>2.1312696869724759</v>
      </c>
      <c r="I141" s="549"/>
      <c r="J141" s="880">
        <v>2571.8009999999999</v>
      </c>
      <c r="K141" s="549"/>
      <c r="L141" s="549"/>
      <c r="M141" s="547"/>
    </row>
    <row r="142" spans="1:13" x14ac:dyDescent="0.25">
      <c r="A142" s="547"/>
      <c r="B142" s="548"/>
      <c r="C142" s="547"/>
      <c r="D142" s="549"/>
      <c r="E142" s="549"/>
      <c r="F142" s="880"/>
      <c r="G142" s="549"/>
      <c r="H142" s="550"/>
      <c r="I142" s="549"/>
      <c r="J142" s="880"/>
      <c r="K142" s="549"/>
      <c r="L142" s="549"/>
      <c r="M142" s="547"/>
    </row>
    <row r="143" spans="1:13" x14ac:dyDescent="0.25">
      <c r="A143" s="547"/>
      <c r="B143" s="548"/>
      <c r="C143" s="547"/>
      <c r="D143" s="549"/>
      <c r="E143" s="549"/>
      <c r="F143" s="549"/>
      <c r="G143" s="549"/>
      <c r="H143" s="550"/>
      <c r="I143" s="549"/>
      <c r="J143" s="549"/>
      <c r="K143" s="549"/>
      <c r="L143" s="549"/>
      <c r="M143" s="547"/>
    </row>
    <row r="144" spans="1:13" x14ac:dyDescent="0.25">
      <c r="A144" s="547"/>
      <c r="B144" s="548"/>
      <c r="C144" s="547"/>
      <c r="D144" s="549"/>
      <c r="E144" s="549"/>
      <c r="F144" s="549"/>
      <c r="G144" s="549"/>
      <c r="H144" s="550"/>
      <c r="I144" s="549"/>
      <c r="J144" s="549"/>
      <c r="K144" s="549"/>
      <c r="L144" s="549"/>
      <c r="M144" s="547"/>
    </row>
    <row r="145" spans="1:13" x14ac:dyDescent="0.25">
      <c r="A145" s="547"/>
      <c r="B145" s="548"/>
      <c r="C145" s="547"/>
      <c r="D145" s="549"/>
      <c r="E145" s="549"/>
      <c r="F145" s="549"/>
      <c r="G145" s="549"/>
      <c r="H145" s="550"/>
      <c r="I145" s="549"/>
      <c r="J145" s="549"/>
      <c r="K145" s="549"/>
      <c r="L145" s="549"/>
      <c r="M145" s="547"/>
    </row>
    <row r="146" spans="1:13" x14ac:dyDescent="0.25">
      <c r="A146" s="547"/>
      <c r="B146" s="548"/>
      <c r="C146" s="547"/>
      <c r="D146" s="549"/>
      <c r="E146" s="549"/>
      <c r="F146" s="549"/>
      <c r="G146" s="549"/>
      <c r="H146" s="550"/>
      <c r="I146" s="549"/>
      <c r="J146" s="549"/>
      <c r="K146" s="549"/>
      <c r="L146" s="549"/>
      <c r="M146" s="547"/>
    </row>
    <row r="147" spans="1:13" x14ac:dyDescent="0.25">
      <c r="A147" s="547"/>
      <c r="B147" s="548"/>
      <c r="C147" s="547"/>
      <c r="D147" s="549"/>
      <c r="E147" s="549"/>
      <c r="F147" s="549"/>
      <c r="G147" s="549"/>
      <c r="H147" s="550"/>
      <c r="I147" s="549"/>
      <c r="J147" s="549"/>
      <c r="K147" s="549"/>
      <c r="L147" s="549"/>
      <c r="M147" s="547"/>
    </row>
    <row r="148" spans="1:13" x14ac:dyDescent="0.25">
      <c r="A148" s="547"/>
      <c r="B148" s="548"/>
      <c r="C148" s="547"/>
      <c r="D148" s="549"/>
      <c r="E148" s="549"/>
      <c r="F148" s="549"/>
      <c r="G148" s="549"/>
      <c r="H148" s="550"/>
      <c r="I148" s="549"/>
      <c r="J148" s="549"/>
      <c r="K148" s="549"/>
      <c r="L148" s="549"/>
      <c r="M148" s="547"/>
    </row>
  </sheetData>
  <conditionalFormatting sqref="O19:O39">
    <cfRule type="colorScale" priority="180">
      <colorScale>
        <cfvo type="min"/>
        <cfvo type="percentile" val="50"/>
        <cfvo type="max"/>
        <color rgb="FFF8696B"/>
        <color rgb="FFFFEB84"/>
        <color rgb="FF63BE7B"/>
      </colorScale>
    </cfRule>
  </conditionalFormatting>
  <conditionalFormatting sqref="P19:P39">
    <cfRule type="colorScale" priority="179">
      <colorScale>
        <cfvo type="min"/>
        <cfvo type="percentile" val="50"/>
        <cfvo type="max"/>
        <color rgb="FFF8696B"/>
        <color rgb="FFFFEB84"/>
        <color rgb="FF63BE7B"/>
      </colorScale>
    </cfRule>
  </conditionalFormatting>
  <conditionalFormatting sqref="Q7 H40:H42 F36:F42">
    <cfRule type="expression" dxfId="3835" priority="175">
      <formula>F7&gt;0</formula>
    </cfRule>
    <cfRule type="expression" dxfId="3834" priority="176">
      <formula>F7&lt;0</formula>
    </cfRule>
  </conditionalFormatting>
  <conditionalFormatting sqref="Q8">
    <cfRule type="expression" dxfId="3833" priority="173">
      <formula>Q8&gt;0</formula>
    </cfRule>
    <cfRule type="expression" dxfId="3832" priority="174">
      <formula>Q8&lt;0</formula>
    </cfRule>
  </conditionalFormatting>
  <conditionalFormatting sqref="Q10">
    <cfRule type="expression" dxfId="3831" priority="167">
      <formula>Q10&gt;0</formula>
    </cfRule>
    <cfRule type="expression" dxfId="3830" priority="168">
      <formula>Q10&lt;0</formula>
    </cfRule>
  </conditionalFormatting>
  <conditionalFormatting sqref="F75:F76">
    <cfRule type="expression" dxfId="3829" priority="159">
      <formula>F75&gt;0</formula>
    </cfRule>
    <cfRule type="expression" dxfId="3828" priority="160">
      <formula>F75&lt;0</formula>
    </cfRule>
  </conditionalFormatting>
  <conditionalFormatting sqref="H75:H76">
    <cfRule type="expression" dxfId="3827" priority="157">
      <formula>H75&gt;0</formula>
    </cfRule>
    <cfRule type="expression" dxfId="3826" priority="158">
      <formula>H75&lt;0</formula>
    </cfRule>
  </conditionalFormatting>
  <conditionalFormatting sqref="J75:J76">
    <cfRule type="expression" dxfId="3825" priority="155">
      <formula>J75&gt;0</formula>
    </cfRule>
    <cfRule type="expression" dxfId="3824" priority="156">
      <formula>J75&lt;0</formula>
    </cfRule>
  </conditionalFormatting>
  <conditionalFormatting sqref="K75:K76">
    <cfRule type="expression" dxfId="3823" priority="153">
      <formula>K75&gt;0</formula>
    </cfRule>
    <cfRule type="expression" dxfId="3822" priority="154">
      <formula>K75&lt;0</formula>
    </cfRule>
  </conditionalFormatting>
  <conditionalFormatting sqref="L75:L76">
    <cfRule type="expression" dxfId="3821" priority="151">
      <formula>L75&gt;0</formula>
    </cfRule>
    <cfRule type="expression" dxfId="3820" priority="152">
      <formula>L75&lt;0</formula>
    </cfRule>
  </conditionalFormatting>
  <conditionalFormatting sqref="H36:H39">
    <cfRule type="expression" dxfId="3819" priority="109">
      <formula>H36&gt;0</formula>
    </cfRule>
    <cfRule type="expression" dxfId="3818" priority="110">
      <formula>H36&lt;0</formula>
    </cfRule>
  </conditionalFormatting>
  <conditionalFormatting sqref="M44">
    <cfRule type="expression" dxfId="3817" priority="107">
      <formula>M44&gt;0</formula>
    </cfRule>
    <cfRule type="expression" dxfId="3816" priority="108">
      <formula>M44&lt;0</formula>
    </cfRule>
  </conditionalFormatting>
  <conditionalFormatting sqref="J36:J39">
    <cfRule type="expression" dxfId="3815" priority="77">
      <formula>J36&gt;0</formula>
    </cfRule>
    <cfRule type="expression" dxfId="3814" priority="78">
      <formula>J36&lt;0</formula>
    </cfRule>
  </conditionalFormatting>
  <conditionalFormatting sqref="F111:F113 H111:H113 H120 F120 F146:F148 H146:H148">
    <cfRule type="expression" dxfId="3813" priority="75">
      <formula>F111&gt;0</formula>
    </cfRule>
    <cfRule type="expression" dxfId="3812" priority="76">
      <formula>F111&lt;0</formula>
    </cfRule>
  </conditionalFormatting>
  <conditionalFormatting sqref="F87:F107">
    <cfRule type="expression" dxfId="3811" priority="73">
      <formula>F87&gt;0</formula>
    </cfRule>
    <cfRule type="expression" dxfId="3810" priority="74">
      <formula>F87&lt;0</formula>
    </cfRule>
  </conditionalFormatting>
  <conditionalFormatting sqref="H87:H107">
    <cfRule type="expression" dxfId="3809" priority="71">
      <formula>H87&gt;0</formula>
    </cfRule>
    <cfRule type="expression" dxfId="3808" priority="72">
      <formula>H87&lt;0</formula>
    </cfRule>
  </conditionalFormatting>
  <conditionalFormatting sqref="K78:K88 K90:K91">
    <cfRule type="expression" dxfId="3807" priority="69">
      <formula>K78&gt;0</formula>
    </cfRule>
    <cfRule type="expression" dxfId="3806" priority="70">
      <formula>K78&lt;0</formula>
    </cfRule>
  </conditionalFormatting>
  <conditionalFormatting sqref="L78">
    <cfRule type="expression" dxfId="3805" priority="67">
      <formula>L78&gt;0</formula>
    </cfRule>
    <cfRule type="expression" dxfId="3804" priority="68">
      <formula>L78&lt;0</formula>
    </cfRule>
  </conditionalFormatting>
  <conditionalFormatting sqref="F78:F86">
    <cfRule type="expression" dxfId="3803" priority="65">
      <formula>F78&gt;0</formula>
    </cfRule>
    <cfRule type="expression" dxfId="3802" priority="66">
      <formula>F78&lt;0</formula>
    </cfRule>
  </conditionalFormatting>
  <conditionalFormatting sqref="H78:H86">
    <cfRule type="expression" dxfId="3801" priority="63">
      <formula>H78&gt;0</formula>
    </cfRule>
    <cfRule type="expression" dxfId="3800" priority="64">
      <formula>H78&lt;0</formula>
    </cfRule>
  </conditionalFormatting>
  <conditionalFormatting sqref="F108:F110">
    <cfRule type="expression" dxfId="3799" priority="61">
      <formula>F108&gt;0</formula>
    </cfRule>
    <cfRule type="expression" dxfId="3798" priority="62">
      <formula>F108&lt;0</formula>
    </cfRule>
  </conditionalFormatting>
  <conditionalFormatting sqref="H108:H110">
    <cfRule type="expression" dxfId="3797" priority="59">
      <formula>H108&gt;0</formula>
    </cfRule>
    <cfRule type="expression" dxfId="3796" priority="60">
      <formula>H108&lt;0</formula>
    </cfRule>
  </conditionalFormatting>
  <conditionalFormatting sqref="H114:H116 F114:F116">
    <cfRule type="expression" dxfId="3795" priority="57">
      <formula>F114&gt;0</formula>
    </cfRule>
    <cfRule type="expression" dxfId="3794" priority="58">
      <formula>F114&lt;0</formula>
    </cfRule>
  </conditionalFormatting>
  <conditionalFormatting sqref="H117:H119 F117:F119">
    <cfRule type="expression" dxfId="3793" priority="55">
      <formula>F117&gt;0</formula>
    </cfRule>
    <cfRule type="expression" dxfId="3792" priority="56">
      <formula>F117&lt;0</formula>
    </cfRule>
  </conditionalFormatting>
  <conditionalFormatting sqref="F125:F127 H125:H127">
    <cfRule type="expression" dxfId="3791" priority="53">
      <formula>F125&gt;0</formula>
    </cfRule>
    <cfRule type="expression" dxfId="3790" priority="54">
      <formula>F125&lt;0</formula>
    </cfRule>
  </conditionalFormatting>
  <conditionalFormatting sqref="F124 H124">
    <cfRule type="expression" dxfId="3789" priority="51">
      <formula>F124&gt;0</formula>
    </cfRule>
    <cfRule type="expression" dxfId="3788" priority="52">
      <formula>F124&lt;0</formula>
    </cfRule>
  </conditionalFormatting>
  <conditionalFormatting sqref="F121:F123 H121:H123">
    <cfRule type="expression" dxfId="3787" priority="49">
      <formula>F121&gt;0</formula>
    </cfRule>
    <cfRule type="expression" dxfId="3786" priority="50">
      <formula>F121&lt;0</formula>
    </cfRule>
  </conditionalFormatting>
  <conditionalFormatting sqref="F134:F136 H134:H136">
    <cfRule type="expression" dxfId="3785" priority="47">
      <formula>F134&gt;0</formula>
    </cfRule>
    <cfRule type="expression" dxfId="3784" priority="48">
      <formula>F134&lt;0</formula>
    </cfRule>
  </conditionalFormatting>
  <conditionalFormatting sqref="H129:H131 F129:F133">
    <cfRule type="expression" dxfId="3783" priority="45">
      <formula>F129&gt;0</formula>
    </cfRule>
    <cfRule type="expression" dxfId="3782" priority="46">
      <formula>F129&lt;0</formula>
    </cfRule>
  </conditionalFormatting>
  <conditionalFormatting sqref="F128 H128">
    <cfRule type="expression" dxfId="3781" priority="43">
      <formula>F128&gt;0</formula>
    </cfRule>
    <cfRule type="expression" dxfId="3780" priority="44">
      <formula>F128&lt;0</formula>
    </cfRule>
  </conditionalFormatting>
  <conditionalFormatting sqref="H132:H133">
    <cfRule type="expression" dxfId="3779" priority="41">
      <formula>H132&gt;0</formula>
    </cfRule>
    <cfRule type="expression" dxfId="3778" priority="42">
      <formula>H132&lt;0</formula>
    </cfRule>
  </conditionalFormatting>
  <conditionalFormatting sqref="H139:H141 F139:F142">
    <cfRule type="expression" dxfId="3777" priority="39">
      <formula>F139&gt;0</formula>
    </cfRule>
    <cfRule type="expression" dxfId="3776" priority="40">
      <formula>F139&lt;0</formula>
    </cfRule>
  </conditionalFormatting>
  <conditionalFormatting sqref="F137:F138 H137:H138">
    <cfRule type="expression" dxfId="3775" priority="37">
      <formula>F137&gt;0</formula>
    </cfRule>
    <cfRule type="expression" dxfId="3774" priority="38">
      <formula>F137&lt;0</formula>
    </cfRule>
  </conditionalFormatting>
  <conditionalFormatting sqref="F145 H145">
    <cfRule type="expression" dxfId="3773" priority="35">
      <formula>F145&gt;0</formula>
    </cfRule>
    <cfRule type="expression" dxfId="3772" priority="36">
      <formula>F145&lt;0</formula>
    </cfRule>
  </conditionalFormatting>
  <conditionalFormatting sqref="F143:F144 H143:H144">
    <cfRule type="expression" dxfId="3771" priority="33">
      <formula>F143&gt;0</formula>
    </cfRule>
    <cfRule type="expression" dxfId="3770" priority="34">
      <formula>F143&lt;0</formula>
    </cfRule>
  </conditionalFormatting>
  <conditionalFormatting sqref="H142">
    <cfRule type="expression" dxfId="3769" priority="31">
      <formula>H142&gt;0</formula>
    </cfRule>
    <cfRule type="expression" dxfId="3768" priority="32">
      <formula>H142&lt;0</formula>
    </cfRule>
  </conditionalFormatting>
  <conditionalFormatting sqref="J111:J113 J120">
    <cfRule type="expression" dxfId="3767" priority="29">
      <formula>J111&gt;0</formula>
    </cfRule>
    <cfRule type="expression" dxfId="3766" priority="30">
      <formula>J111&lt;0</formula>
    </cfRule>
  </conditionalFormatting>
  <conditionalFormatting sqref="J87:J107">
    <cfRule type="expression" dxfId="3765" priority="27">
      <formula>J87&gt;0</formula>
    </cfRule>
    <cfRule type="expression" dxfId="3764" priority="28">
      <formula>J87&lt;0</formula>
    </cfRule>
  </conditionalFormatting>
  <conditionalFormatting sqref="J78:J86">
    <cfRule type="expression" dxfId="3763" priority="25">
      <formula>J78&gt;0</formula>
    </cfRule>
    <cfRule type="expression" dxfId="3762" priority="26">
      <formula>J78&lt;0</formula>
    </cfRule>
  </conditionalFormatting>
  <conditionalFormatting sqref="J108:J110">
    <cfRule type="expression" dxfId="3761" priority="23">
      <formula>J108&gt;0</formula>
    </cfRule>
    <cfRule type="expression" dxfId="3760" priority="24">
      <formula>J108&lt;0</formula>
    </cfRule>
  </conditionalFormatting>
  <conditionalFormatting sqref="J114:J116">
    <cfRule type="expression" dxfId="3759" priority="21">
      <formula>J114&gt;0</formula>
    </cfRule>
    <cfRule type="expression" dxfId="3758" priority="22">
      <formula>J114&lt;0</formula>
    </cfRule>
  </conditionalFormatting>
  <conditionalFormatting sqref="J117:J119">
    <cfRule type="expression" dxfId="3757" priority="19">
      <formula>J117&gt;0</formula>
    </cfRule>
    <cfRule type="expression" dxfId="3756" priority="20">
      <formula>J117&lt;0</formula>
    </cfRule>
  </conditionalFormatting>
  <conditionalFormatting sqref="J125:J127">
    <cfRule type="expression" dxfId="3755" priority="17">
      <formula>J125&gt;0</formula>
    </cfRule>
    <cfRule type="expression" dxfId="3754" priority="18">
      <formula>J125&lt;0</formula>
    </cfRule>
  </conditionalFormatting>
  <conditionalFormatting sqref="J124">
    <cfRule type="expression" dxfId="3753" priority="15">
      <formula>J124&gt;0</formula>
    </cfRule>
    <cfRule type="expression" dxfId="3752" priority="16">
      <formula>J124&lt;0</formula>
    </cfRule>
  </conditionalFormatting>
  <conditionalFormatting sqref="J121:J123">
    <cfRule type="expression" dxfId="3751" priority="13">
      <formula>J121&gt;0</formula>
    </cfRule>
    <cfRule type="expression" dxfId="3750" priority="14">
      <formula>J121&lt;0</formula>
    </cfRule>
  </conditionalFormatting>
  <conditionalFormatting sqref="J134:J136">
    <cfRule type="expression" dxfId="3749" priority="11">
      <formula>J134&gt;0</formula>
    </cfRule>
    <cfRule type="expression" dxfId="3748" priority="12">
      <formula>J134&lt;0</formula>
    </cfRule>
  </conditionalFormatting>
  <conditionalFormatting sqref="J129:J133">
    <cfRule type="expression" dxfId="3747" priority="9">
      <formula>J129&gt;0</formula>
    </cfRule>
    <cfRule type="expression" dxfId="3746" priority="10">
      <formula>J129&lt;0</formula>
    </cfRule>
  </conditionalFormatting>
  <conditionalFormatting sqref="J128">
    <cfRule type="expression" dxfId="3745" priority="7">
      <formula>J128&gt;0</formula>
    </cfRule>
    <cfRule type="expression" dxfId="3744" priority="8">
      <formula>J128&lt;0</formula>
    </cfRule>
  </conditionalFormatting>
  <conditionalFormatting sqref="J139:J141">
    <cfRule type="expression" dxfId="3743" priority="5">
      <formula>J139&gt;0</formula>
    </cfRule>
    <cfRule type="expression" dxfId="3742" priority="6">
      <formula>J139&lt;0</formula>
    </cfRule>
  </conditionalFormatting>
  <conditionalFormatting sqref="J137:J138">
    <cfRule type="expression" dxfId="3741" priority="3">
      <formula>J137&gt;0</formula>
    </cfRule>
    <cfRule type="expression" dxfId="3740" priority="4">
      <formula>J137&lt;0</formula>
    </cfRule>
  </conditionalFormatting>
  <conditionalFormatting sqref="J142">
    <cfRule type="expression" dxfId="3739" priority="1">
      <formula>J142&gt;0</formula>
    </cfRule>
    <cfRule type="expression" dxfId="3738" priority="2">
      <formula>J142&lt;0</formula>
    </cfRule>
  </conditionalFormatting>
  <hyperlinks>
    <hyperlink ref="A3" location="ACTIVE!A1" display="Back"/>
    <hyperlink ref="A47" location="ACTIVE!A1" display="Back"/>
  </hyperlinks>
  <pageMargins left="0.7" right="0.7" top="0.75" bottom="0.75" header="0.3" footer="0.3"/>
  <pageSetup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AC82"/>
  <sheetViews>
    <sheetView workbookViewId="0">
      <pane ySplit="1" topLeftCell="A2" activePane="bottomLeft" state="frozen"/>
      <selection activeCell="M33" sqref="M33"/>
      <selection pane="bottomLeft"/>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710937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29" x14ac:dyDescent="0.25">
      <c r="A2" s="6" t="s">
        <v>62</v>
      </c>
      <c r="G2" s="69"/>
      <c r="H2" s="158"/>
      <c r="I2" s="3"/>
      <c r="J2" s="3"/>
      <c r="K2" s="3"/>
      <c r="L2" s="4"/>
      <c r="O2" s="11" t="s">
        <v>57</v>
      </c>
      <c r="Q2">
        <f>C18-H18</f>
        <v>0</v>
      </c>
    </row>
    <row r="3" spans="1:29" x14ac:dyDescent="0.25">
      <c r="A3" s="22" t="s">
        <v>71</v>
      </c>
      <c r="G3" s="69"/>
      <c r="H3" s="158"/>
      <c r="I3" s="3"/>
      <c r="J3" s="3"/>
      <c r="K3" s="3"/>
      <c r="L3" s="4"/>
      <c r="O3" s="11" t="s">
        <v>58</v>
      </c>
      <c r="Q3" s="174">
        <f>IF(Q2=0, Q4, (F18-K18-M18)/Q2)</f>
        <v>239.96</v>
      </c>
      <c r="V3" s="1"/>
      <c r="Z3" s="178"/>
      <c r="AC3" s="178"/>
    </row>
    <row r="4" spans="1:29" x14ac:dyDescent="0.25">
      <c r="G4" s="69"/>
      <c r="H4" s="158"/>
      <c r="I4" s="3"/>
      <c r="J4" s="3"/>
      <c r="K4" s="3"/>
      <c r="L4" s="4"/>
      <c r="O4" s="11" t="s">
        <v>66</v>
      </c>
      <c r="Q4" s="53">
        <v>239.96</v>
      </c>
      <c r="R4" s="411"/>
      <c r="T4" s="1"/>
      <c r="Z4" s="178"/>
      <c r="AC4" s="178"/>
    </row>
    <row r="5" spans="1:29" x14ac:dyDescent="0.25">
      <c r="B5" s="69"/>
      <c r="C5" s="4"/>
      <c r="D5" s="3"/>
      <c r="E5" s="3"/>
      <c r="F5" s="3"/>
      <c r="G5" s="69"/>
      <c r="H5" s="158"/>
      <c r="I5" s="3"/>
      <c r="J5" s="3"/>
      <c r="K5" s="3"/>
      <c r="L5" s="4"/>
      <c r="O5" s="11" t="s">
        <v>67</v>
      </c>
      <c r="Q5" s="3">
        <f>Q4*Q2</f>
        <v>0</v>
      </c>
      <c r="T5" s="1"/>
      <c r="Z5" s="178"/>
      <c r="AC5" s="178"/>
    </row>
    <row r="6" spans="1:29" x14ac:dyDescent="0.25">
      <c r="B6" s="154"/>
      <c r="C6" s="4"/>
      <c r="D6" s="3"/>
      <c r="E6" s="3"/>
      <c r="F6" s="3"/>
      <c r="G6" s="69"/>
      <c r="H6" s="158"/>
      <c r="I6" s="3"/>
      <c r="J6" s="3"/>
      <c r="K6" s="3"/>
      <c r="L6" s="4"/>
      <c r="O6" s="11" t="s">
        <v>64</v>
      </c>
      <c r="Q6" s="2">
        <f>Q3*Q2</f>
        <v>0</v>
      </c>
      <c r="Z6" s="178"/>
      <c r="AC6" s="178"/>
    </row>
    <row r="7" spans="1:29" x14ac:dyDescent="0.25">
      <c r="B7" s="154"/>
      <c r="C7" s="4"/>
      <c r="D7" s="3"/>
      <c r="E7" s="3"/>
      <c r="F7" s="3"/>
      <c r="G7" s="69"/>
      <c r="H7" s="158"/>
      <c r="I7" s="3"/>
      <c r="J7" s="3"/>
      <c r="K7" s="3"/>
      <c r="L7" s="4"/>
      <c r="O7" s="11" t="s">
        <v>175</v>
      </c>
      <c r="Q7" s="2">
        <f>Q10+Q8</f>
        <v>1659.3600000000079</v>
      </c>
      <c r="R7">
        <v>0</v>
      </c>
      <c r="Z7" s="178"/>
      <c r="AC7" s="178"/>
    </row>
    <row r="8" spans="1:29" x14ac:dyDescent="0.25">
      <c r="B8" s="69"/>
      <c r="C8" s="4"/>
      <c r="D8" s="3"/>
      <c r="E8" s="3"/>
      <c r="F8" s="3"/>
      <c r="G8" s="69"/>
      <c r="H8" s="158"/>
      <c r="I8" s="3"/>
      <c r="J8" s="3"/>
      <c r="K8" s="3"/>
      <c r="L8" s="4"/>
      <c r="O8" s="11" t="s">
        <v>177</v>
      </c>
      <c r="P8" s="33"/>
      <c r="Q8" s="2">
        <f>K18+M18-F18+Q2*Q4</f>
        <v>0</v>
      </c>
      <c r="Z8" s="178"/>
      <c r="AC8" s="178"/>
    </row>
    <row r="9" spans="1:29" x14ac:dyDescent="0.25">
      <c r="B9" s="69"/>
      <c r="C9" s="4"/>
      <c r="D9" s="3"/>
      <c r="E9" s="3"/>
      <c r="F9" s="3"/>
      <c r="G9" s="69"/>
      <c r="H9" s="158"/>
      <c r="I9" s="3"/>
      <c r="J9" s="3"/>
      <c r="K9" s="3"/>
      <c r="L9" s="4"/>
      <c r="O9" s="11" t="s">
        <v>202</v>
      </c>
      <c r="Q9" s="131">
        <f>IF(Q2=0, 0, Q8/Q6)</f>
        <v>0</v>
      </c>
      <c r="T9" s="148"/>
    </row>
    <row r="10" spans="1:29" x14ac:dyDescent="0.25">
      <c r="B10" s="69"/>
      <c r="C10" s="4"/>
      <c r="D10" s="3"/>
      <c r="E10" s="3"/>
      <c r="F10" s="3"/>
      <c r="G10" s="69"/>
      <c r="H10" s="4"/>
      <c r="I10" s="4"/>
      <c r="J10" s="4"/>
      <c r="K10" s="3"/>
      <c r="L10" s="4"/>
      <c r="O10" s="11" t="s">
        <v>201</v>
      </c>
      <c r="P10" s="33"/>
      <c r="Q10" s="2">
        <f>M39</f>
        <v>1659.3600000000079</v>
      </c>
    </row>
    <row r="11" spans="1:29" x14ac:dyDescent="0.25">
      <c r="B11" s="69"/>
      <c r="C11" s="4"/>
      <c r="D11" s="3"/>
      <c r="E11" s="3"/>
      <c r="F11" s="3"/>
      <c r="G11" s="69"/>
      <c r="H11" s="4"/>
      <c r="I11" s="4"/>
      <c r="J11" s="4"/>
      <c r="K11" s="3"/>
      <c r="L11" s="4"/>
      <c r="O11" s="11" t="s">
        <v>173</v>
      </c>
      <c r="P11" s="33"/>
      <c r="Q11" s="131">
        <v>0</v>
      </c>
    </row>
    <row r="12" spans="1:29" x14ac:dyDescent="0.25">
      <c r="B12" s="69"/>
      <c r="C12" s="4"/>
      <c r="D12" s="3"/>
      <c r="E12" s="3"/>
      <c r="F12" s="3"/>
      <c r="G12" s="69"/>
      <c r="H12" s="4"/>
      <c r="I12" s="4"/>
      <c r="J12" s="4"/>
      <c r="K12" s="3"/>
      <c r="L12" s="4"/>
    </row>
    <row r="13" spans="1:29" x14ac:dyDescent="0.25">
      <c r="B13" s="69"/>
      <c r="C13" s="4"/>
      <c r="D13" s="3"/>
      <c r="E13" s="3"/>
      <c r="F13" s="3"/>
      <c r="G13" s="69"/>
      <c r="H13" s="4"/>
      <c r="I13" s="3"/>
      <c r="J13" s="4"/>
      <c r="K13" s="3"/>
      <c r="L13" s="4"/>
    </row>
    <row r="14" spans="1:29" x14ac:dyDescent="0.25">
      <c r="B14" s="69"/>
      <c r="C14" s="4"/>
      <c r="D14" s="3"/>
      <c r="E14" s="3"/>
      <c r="F14" s="3"/>
      <c r="G14" s="69"/>
      <c r="H14" s="4"/>
      <c r="I14" s="4"/>
      <c r="J14" s="4"/>
      <c r="K14" s="3"/>
      <c r="L14" s="4"/>
    </row>
    <row r="15" spans="1:29" x14ac:dyDescent="0.25">
      <c r="B15" s="4"/>
      <c r="C15" s="4"/>
      <c r="D15" s="3"/>
      <c r="E15" s="3"/>
      <c r="F15" s="3"/>
      <c r="G15" s="69"/>
      <c r="H15" s="4"/>
      <c r="I15" s="4"/>
      <c r="J15" s="4"/>
      <c r="K15" s="3"/>
      <c r="L15" s="4"/>
    </row>
    <row r="16" spans="1:29" x14ac:dyDescent="0.25">
      <c r="G16" s="1"/>
    </row>
    <row r="17" spans="1:14" x14ac:dyDescent="0.25">
      <c r="G17" s="1"/>
    </row>
    <row r="18" spans="1:14" x14ac:dyDescent="0.25">
      <c r="A18" s="31" t="s">
        <v>81</v>
      </c>
      <c r="B18" s="14"/>
      <c r="C18" s="14">
        <f>SUM(C2:C14)</f>
        <v>0</v>
      </c>
      <c r="D18" s="14"/>
      <c r="E18" s="14"/>
      <c r="F18" s="18">
        <f t="shared" ref="F18:M18" si="0">SUM(F2:F14)</f>
        <v>0</v>
      </c>
      <c r="G18" s="14"/>
      <c r="H18" s="14">
        <f t="shared" si="0"/>
        <v>0</v>
      </c>
      <c r="I18" s="14"/>
      <c r="J18" s="14"/>
      <c r="K18" s="14">
        <f t="shared" si="0"/>
        <v>0</v>
      </c>
      <c r="L18" s="14">
        <f t="shared" si="0"/>
        <v>0</v>
      </c>
      <c r="M18" s="14">
        <f t="shared" si="0"/>
        <v>0</v>
      </c>
    </row>
    <row r="19" spans="1:14" x14ac:dyDescent="0.25">
      <c r="N19" s="2"/>
    </row>
    <row r="20" spans="1:14" x14ac:dyDescent="0.25">
      <c r="B20" s="159" t="s">
        <v>113</v>
      </c>
      <c r="C20" s="159" t="s">
        <v>143</v>
      </c>
      <c r="D20" s="160" t="s">
        <v>142</v>
      </c>
      <c r="E20" s="162" t="s">
        <v>144</v>
      </c>
      <c r="F20" s="163" t="s">
        <v>65</v>
      </c>
      <c r="G20" s="173" t="s">
        <v>148</v>
      </c>
      <c r="H20" s="163" t="s">
        <v>88</v>
      </c>
      <c r="I20" s="163" t="s">
        <v>151</v>
      </c>
    </row>
    <row r="21" spans="1:14" x14ac:dyDescent="0.25">
      <c r="B21" s="161"/>
      <c r="C21" s="10"/>
      <c r="D21" s="39"/>
      <c r="E21" s="39"/>
      <c r="F21" s="39"/>
      <c r="G21" s="39"/>
      <c r="H21" s="175"/>
      <c r="I21" s="175"/>
    </row>
    <row r="22" spans="1:14" x14ac:dyDescent="0.25">
      <c r="B22" s="161"/>
      <c r="C22" s="10"/>
      <c r="D22" s="39"/>
      <c r="E22" s="39"/>
      <c r="F22" s="39"/>
      <c r="G22" s="39"/>
      <c r="H22" s="175"/>
      <c r="I22" s="175"/>
    </row>
    <row r="23" spans="1:14" x14ac:dyDescent="0.25">
      <c r="B23" s="161"/>
      <c r="C23" s="10"/>
      <c r="D23" s="39"/>
      <c r="E23" s="39"/>
      <c r="F23" s="39"/>
      <c r="G23" s="39"/>
      <c r="H23" s="175"/>
      <c r="I23" s="175"/>
    </row>
    <row r="24" spans="1:14" x14ac:dyDescent="0.25">
      <c r="B24" s="161"/>
      <c r="C24" s="10"/>
      <c r="D24" s="39"/>
      <c r="E24" s="39"/>
      <c r="F24" s="39"/>
      <c r="G24" s="39"/>
      <c r="H24" s="175"/>
      <c r="I24" s="175"/>
    </row>
    <row r="25" spans="1:14" x14ac:dyDescent="0.25">
      <c r="B25" s="161"/>
      <c r="C25" s="10"/>
      <c r="D25" s="39"/>
      <c r="E25" s="39"/>
      <c r="F25" s="39"/>
      <c r="G25" s="39"/>
      <c r="H25" s="176"/>
      <c r="I25" s="176"/>
    </row>
    <row r="26" spans="1:14" x14ac:dyDescent="0.25">
      <c r="B26" s="161"/>
      <c r="C26" s="10"/>
      <c r="D26" s="39"/>
      <c r="E26" s="39"/>
      <c r="F26" s="39"/>
      <c r="G26" s="39"/>
      <c r="H26" s="176"/>
      <c r="I26" s="176"/>
    </row>
    <row r="27" spans="1:14" x14ac:dyDescent="0.25">
      <c r="B27" s="161"/>
      <c r="C27" s="10"/>
      <c r="D27" s="39"/>
      <c r="E27" s="39"/>
      <c r="F27" s="39"/>
      <c r="G27" s="39"/>
      <c r="H27" s="176"/>
      <c r="I27" s="176"/>
    </row>
    <row r="28" spans="1:14" x14ac:dyDescent="0.25">
      <c r="B28" s="161"/>
      <c r="C28" s="10"/>
      <c r="D28" s="39"/>
      <c r="E28" s="39"/>
      <c r="F28" s="39"/>
      <c r="G28" s="39"/>
      <c r="H28" s="176"/>
      <c r="I28" s="176"/>
    </row>
    <row r="29" spans="1:14" x14ac:dyDescent="0.25">
      <c r="B29" s="161"/>
      <c r="C29" s="10"/>
      <c r="D29" s="39"/>
      <c r="E29" s="39"/>
      <c r="F29" s="39"/>
      <c r="G29" s="39"/>
      <c r="H29" s="176"/>
      <c r="I29" s="176"/>
    </row>
    <row r="30" spans="1:14" x14ac:dyDescent="0.25">
      <c r="B30" s="161"/>
      <c r="C30" s="10"/>
      <c r="D30" s="39"/>
      <c r="E30" s="39"/>
      <c r="F30" s="39"/>
      <c r="G30" s="39"/>
      <c r="H30" s="176"/>
      <c r="I30" s="176"/>
    </row>
    <row r="31" spans="1:14" x14ac:dyDescent="0.25">
      <c r="B31" s="161"/>
      <c r="C31" s="10"/>
      <c r="D31" s="39"/>
      <c r="E31" s="39"/>
      <c r="F31" s="39"/>
      <c r="G31" s="39"/>
      <c r="H31" s="176"/>
      <c r="I31" s="176"/>
    </row>
    <row r="32" spans="1:14" x14ac:dyDescent="0.25">
      <c r="B32" s="161"/>
      <c r="C32" s="10"/>
      <c r="D32" s="39"/>
      <c r="E32" s="39"/>
      <c r="F32" s="39"/>
      <c r="G32" s="39"/>
      <c r="H32" s="176"/>
      <c r="I32" s="176"/>
    </row>
    <row r="33" spans="1:21" x14ac:dyDescent="0.25">
      <c r="B33" s="10"/>
      <c r="C33" s="10"/>
      <c r="D33" s="39"/>
      <c r="E33" s="39"/>
      <c r="F33" s="39"/>
      <c r="G33" s="39"/>
      <c r="H33" s="176"/>
      <c r="I33" s="176"/>
    </row>
    <row r="34" spans="1:21" x14ac:dyDescent="0.25">
      <c r="B34" s="10"/>
      <c r="C34" s="10"/>
      <c r="D34" s="39"/>
      <c r="E34" s="39"/>
      <c r="F34" s="39"/>
      <c r="G34" s="39"/>
      <c r="H34" s="176"/>
      <c r="I34" s="176"/>
    </row>
    <row r="35" spans="1:21" x14ac:dyDescent="0.25">
      <c r="B35" s="10"/>
      <c r="C35" s="10"/>
      <c r="D35" s="39"/>
      <c r="E35" s="39"/>
      <c r="F35" s="39"/>
      <c r="G35" s="39"/>
      <c r="H35" s="176"/>
      <c r="I35" s="176"/>
    </row>
    <row r="39" spans="1:21" x14ac:dyDescent="0.25">
      <c r="A39" s="193"/>
      <c r="B39" s="193"/>
      <c r="C39" s="193"/>
      <c r="D39" s="194"/>
      <c r="E39" s="194"/>
      <c r="F39" s="194"/>
      <c r="G39" s="193"/>
      <c r="H39" s="193"/>
      <c r="I39" s="193"/>
      <c r="J39" s="193"/>
      <c r="K39" s="195" t="s">
        <v>130</v>
      </c>
      <c r="L39" s="193"/>
      <c r="M39" s="194">
        <f>K57+M57-F57</f>
        <v>1659.3600000000079</v>
      </c>
      <c r="T39" s="339"/>
    </row>
    <row r="40" spans="1:21" x14ac:dyDescent="0.25">
      <c r="A40" s="195" t="s">
        <v>1</v>
      </c>
      <c r="B40" s="195" t="s">
        <v>2</v>
      </c>
      <c r="C40" s="195" t="s">
        <v>4</v>
      </c>
      <c r="D40" s="196" t="s">
        <v>5</v>
      </c>
      <c r="E40" s="196" t="s">
        <v>94</v>
      </c>
      <c r="F40" s="196" t="s">
        <v>60</v>
      </c>
      <c r="G40" s="195" t="s">
        <v>3</v>
      </c>
      <c r="H40" s="195" t="s">
        <v>6</v>
      </c>
      <c r="I40" s="195" t="s">
        <v>7</v>
      </c>
      <c r="J40" s="195" t="s">
        <v>95</v>
      </c>
      <c r="K40" s="196" t="s">
        <v>61</v>
      </c>
      <c r="L40" s="195" t="s">
        <v>77</v>
      </c>
      <c r="M40" s="195" t="s">
        <v>38</v>
      </c>
      <c r="T40" s="339"/>
    </row>
    <row r="41" spans="1:21" x14ac:dyDescent="0.25">
      <c r="A41" s="197" t="s">
        <v>62</v>
      </c>
      <c r="B41" s="198">
        <v>42222</v>
      </c>
      <c r="C41" s="193">
        <v>5</v>
      </c>
      <c r="D41" s="194">
        <v>320</v>
      </c>
      <c r="E41" s="194">
        <v>0</v>
      </c>
      <c r="F41" s="194">
        <f>C41*D41 + E41</f>
        <v>1600</v>
      </c>
      <c r="G41" s="198">
        <v>42257</v>
      </c>
      <c r="H41" s="199">
        <v>5</v>
      </c>
      <c r="I41" s="194">
        <v>303.60000000000002</v>
      </c>
      <c r="J41" s="194">
        <v>0.03</v>
      </c>
      <c r="K41" s="194">
        <f t="shared" ref="K41:K48" si="1">H41*I41-J41</f>
        <v>1517.97</v>
      </c>
      <c r="L41" s="193" t="s">
        <v>80</v>
      </c>
      <c r="M41" s="193"/>
      <c r="T41" s="339"/>
    </row>
    <row r="42" spans="1:21" ht="20.25" thickBot="1" x14ac:dyDescent="0.35">
      <c r="A42" s="200"/>
      <c r="B42" s="198">
        <v>42247</v>
      </c>
      <c r="C42" s="193">
        <v>5</v>
      </c>
      <c r="D42" s="194">
        <v>298.7</v>
      </c>
      <c r="E42" s="194">
        <v>0</v>
      </c>
      <c r="F42" s="194">
        <f>C42*D42 + E42</f>
        <v>1493.5</v>
      </c>
      <c r="G42" s="198">
        <v>42290</v>
      </c>
      <c r="H42" s="199">
        <v>5</v>
      </c>
      <c r="I42" s="194">
        <v>280.2</v>
      </c>
      <c r="J42" s="194">
        <v>0.03</v>
      </c>
      <c r="K42" s="194">
        <f t="shared" si="1"/>
        <v>1400.97</v>
      </c>
      <c r="L42" s="193"/>
      <c r="M42" s="193"/>
      <c r="O42" s="886" t="s">
        <v>78</v>
      </c>
      <c r="P42" s="886"/>
      <c r="T42" s="339"/>
      <c r="U42" s="4"/>
    </row>
    <row r="43" spans="1:21" ht="15.75" thickTop="1" x14ac:dyDescent="0.25">
      <c r="A43" s="193"/>
      <c r="B43" s="198">
        <v>42271</v>
      </c>
      <c r="C43" s="193">
        <v>10</v>
      </c>
      <c r="D43" s="194">
        <v>297</v>
      </c>
      <c r="E43" s="194">
        <v>0</v>
      </c>
      <c r="F43" s="194">
        <f>C43*D43 + E43</f>
        <v>2970</v>
      </c>
      <c r="G43" s="198">
        <v>42303</v>
      </c>
      <c r="H43" s="199">
        <v>10</v>
      </c>
      <c r="I43" s="194">
        <v>290</v>
      </c>
      <c r="J43" s="194">
        <v>0.05</v>
      </c>
      <c r="K43" s="194">
        <f t="shared" si="1"/>
        <v>2899.95</v>
      </c>
      <c r="L43" s="193"/>
      <c r="M43" s="193"/>
      <c r="O43" s="78">
        <v>1.1000000000000001</v>
      </c>
      <c r="P43" s="78">
        <f>O43*$Q$4</f>
        <v>263.95600000000002</v>
      </c>
      <c r="Q43" s="2"/>
      <c r="T43" s="339"/>
      <c r="U43" s="392"/>
    </row>
    <row r="44" spans="1:21" x14ac:dyDescent="0.25">
      <c r="A44" s="193"/>
      <c r="B44" s="198">
        <v>42285</v>
      </c>
      <c r="C44" s="193">
        <v>15</v>
      </c>
      <c r="D44" s="194">
        <v>283</v>
      </c>
      <c r="E44" s="194">
        <v>0</v>
      </c>
      <c r="F44" s="194">
        <f t="shared" ref="F44:F53" si="2">C44*D44 + E44</f>
        <v>4245</v>
      </c>
      <c r="G44" s="198">
        <v>42307</v>
      </c>
      <c r="H44" s="199">
        <v>10</v>
      </c>
      <c r="I44" s="194">
        <v>289.35000000000002</v>
      </c>
      <c r="J44" s="194">
        <v>7</v>
      </c>
      <c r="K44" s="194">
        <f t="shared" si="1"/>
        <v>2886.5</v>
      </c>
      <c r="L44" s="193"/>
      <c r="M44" s="193"/>
      <c r="O44" s="78">
        <v>1.0900000000000001</v>
      </c>
      <c r="P44" s="78">
        <f t="shared" ref="P44:P63" si="3">O44*$Q$4</f>
        <v>261.55640000000005</v>
      </c>
      <c r="Q44" s="2"/>
      <c r="T44" s="339"/>
      <c r="U44" s="392"/>
    </row>
    <row r="45" spans="1:21" x14ac:dyDescent="0.25">
      <c r="A45" s="193"/>
      <c r="B45" s="272">
        <v>42286</v>
      </c>
      <c r="C45" s="193">
        <v>5</v>
      </c>
      <c r="D45" s="194">
        <v>278.5</v>
      </c>
      <c r="E45" s="194">
        <v>0</v>
      </c>
      <c r="F45" s="194">
        <f t="shared" si="2"/>
        <v>1392.5</v>
      </c>
      <c r="G45" s="198">
        <v>42313</v>
      </c>
      <c r="H45" s="199">
        <v>10</v>
      </c>
      <c r="I45" s="194">
        <v>300</v>
      </c>
      <c r="J45" s="194">
        <v>0.06</v>
      </c>
      <c r="K45" s="194">
        <f t="shared" si="1"/>
        <v>2999.94</v>
      </c>
      <c r="L45" s="193"/>
      <c r="M45" s="193"/>
      <c r="O45" s="78">
        <v>1.08</v>
      </c>
      <c r="P45" s="78">
        <f t="shared" si="3"/>
        <v>259.15680000000003</v>
      </c>
      <c r="Q45" s="2"/>
      <c r="T45" s="339"/>
      <c r="U45" s="392"/>
    </row>
    <row r="46" spans="1:21" x14ac:dyDescent="0.25">
      <c r="A46" s="193"/>
      <c r="B46" s="272"/>
      <c r="C46" s="193">
        <v>5</v>
      </c>
      <c r="D46" s="194">
        <v>278.5</v>
      </c>
      <c r="E46" s="194">
        <v>0</v>
      </c>
      <c r="F46" s="194">
        <f t="shared" si="2"/>
        <v>1392.5</v>
      </c>
      <c r="G46" s="198">
        <v>42331</v>
      </c>
      <c r="H46" s="199">
        <v>40</v>
      </c>
      <c r="I46" s="194">
        <v>287.99</v>
      </c>
      <c r="J46" s="194">
        <v>0.21</v>
      </c>
      <c r="K46" s="194">
        <f t="shared" si="1"/>
        <v>11519.390000000001</v>
      </c>
      <c r="L46" s="193"/>
      <c r="M46" s="193"/>
      <c r="O46" s="78">
        <v>1.07</v>
      </c>
      <c r="P46" s="78">
        <f t="shared" si="3"/>
        <v>256.75720000000001</v>
      </c>
      <c r="Q46" s="2"/>
      <c r="T46" s="339"/>
      <c r="U46" s="392"/>
    </row>
    <row r="47" spans="1:21" x14ac:dyDescent="0.25">
      <c r="A47" s="193"/>
      <c r="B47" s="198">
        <v>42286</v>
      </c>
      <c r="C47" s="193">
        <v>10</v>
      </c>
      <c r="D47" s="194">
        <v>274</v>
      </c>
      <c r="E47" s="194">
        <v>0</v>
      </c>
      <c r="F47" s="194">
        <f t="shared" si="2"/>
        <v>2740</v>
      </c>
      <c r="G47" s="198">
        <v>42347</v>
      </c>
      <c r="H47" s="199">
        <v>35</v>
      </c>
      <c r="I47" s="194">
        <v>282.99</v>
      </c>
      <c r="J47" s="194">
        <v>0.18</v>
      </c>
      <c r="K47" s="194">
        <f t="shared" si="1"/>
        <v>9904.4699999999993</v>
      </c>
      <c r="L47" s="193"/>
      <c r="M47" s="193"/>
      <c r="O47" s="78">
        <v>1.06</v>
      </c>
      <c r="P47" s="78">
        <f t="shared" si="3"/>
        <v>254.35760000000002</v>
      </c>
      <c r="Q47" s="2"/>
      <c r="T47" s="339"/>
      <c r="U47" s="392"/>
    </row>
    <row r="48" spans="1:21" x14ac:dyDescent="0.25">
      <c r="A48" s="193"/>
      <c r="B48" s="198">
        <v>42286</v>
      </c>
      <c r="C48" s="193">
        <v>10</v>
      </c>
      <c r="D48" s="194">
        <v>269.8</v>
      </c>
      <c r="E48" s="194">
        <v>0</v>
      </c>
      <c r="F48" s="194">
        <f t="shared" si="2"/>
        <v>2698</v>
      </c>
      <c r="G48" s="198">
        <v>42359</v>
      </c>
      <c r="H48" s="199">
        <v>25</v>
      </c>
      <c r="I48" s="194">
        <v>295</v>
      </c>
      <c r="J48" s="194">
        <v>0.14000000000000001</v>
      </c>
      <c r="K48" s="194">
        <f t="shared" si="1"/>
        <v>7374.86</v>
      </c>
      <c r="L48" s="193"/>
      <c r="M48" s="193"/>
      <c r="O48" s="78">
        <v>1.05</v>
      </c>
      <c r="P48" s="78">
        <f t="shared" si="3"/>
        <v>251.95800000000003</v>
      </c>
      <c r="Q48" s="2"/>
      <c r="T48" s="339"/>
      <c r="U48" s="392"/>
    </row>
    <row r="49" spans="1:21" x14ac:dyDescent="0.25">
      <c r="A49" s="193"/>
      <c r="B49" s="198">
        <v>42292</v>
      </c>
      <c r="C49" s="193">
        <v>25</v>
      </c>
      <c r="D49" s="194">
        <v>268.5</v>
      </c>
      <c r="E49" s="194">
        <v>0</v>
      </c>
      <c r="F49" s="194">
        <f t="shared" si="2"/>
        <v>6712.5</v>
      </c>
      <c r="G49" s="198">
        <v>42447</v>
      </c>
      <c r="H49" s="199">
        <v>5</v>
      </c>
      <c r="I49" s="194">
        <v>249.59</v>
      </c>
      <c r="J49" s="194">
        <v>0.03</v>
      </c>
      <c r="K49" s="194">
        <v>1247.92</v>
      </c>
      <c r="L49" s="193"/>
      <c r="M49" s="193"/>
      <c r="O49" s="78">
        <v>1.04</v>
      </c>
      <c r="P49" s="78">
        <f t="shared" si="3"/>
        <v>249.55840000000001</v>
      </c>
      <c r="Q49" s="2"/>
      <c r="T49" s="339"/>
      <c r="U49" s="392"/>
    </row>
    <row r="50" spans="1:21" x14ac:dyDescent="0.25">
      <c r="A50" s="193"/>
      <c r="B50" s="198">
        <v>42293</v>
      </c>
      <c r="C50" s="193">
        <v>10</v>
      </c>
      <c r="D50" s="194">
        <v>262.25</v>
      </c>
      <c r="E50" s="194">
        <v>0</v>
      </c>
      <c r="F50" s="194">
        <f t="shared" si="2"/>
        <v>2622.5</v>
      </c>
      <c r="G50" s="198">
        <v>42460</v>
      </c>
      <c r="H50" s="199">
        <v>5</v>
      </c>
      <c r="I50" s="194">
        <v>261.22000000000003</v>
      </c>
      <c r="J50" s="194">
        <v>0.03</v>
      </c>
      <c r="K50" s="194">
        <v>1306.0700000000002</v>
      </c>
      <c r="L50" s="193"/>
      <c r="M50" s="193"/>
      <c r="O50" s="78">
        <v>1.03</v>
      </c>
      <c r="P50" s="78">
        <f t="shared" si="3"/>
        <v>247.15880000000001</v>
      </c>
      <c r="Q50" s="2"/>
      <c r="T50" s="339"/>
      <c r="U50" s="392"/>
    </row>
    <row r="51" spans="1:21" x14ac:dyDescent="0.25">
      <c r="A51" s="193"/>
      <c r="B51" s="198">
        <v>42293</v>
      </c>
      <c r="C51" s="193">
        <v>10</v>
      </c>
      <c r="D51" s="194">
        <v>255.4</v>
      </c>
      <c r="E51" s="194">
        <v>0</v>
      </c>
      <c r="F51" s="194">
        <f t="shared" si="2"/>
        <v>2554</v>
      </c>
      <c r="G51" s="198">
        <v>42482</v>
      </c>
      <c r="H51" s="199">
        <v>5</v>
      </c>
      <c r="I51" s="194">
        <v>282.95</v>
      </c>
      <c r="J51" s="194">
        <v>0.03</v>
      </c>
      <c r="K51" s="194">
        <v>1414.72</v>
      </c>
      <c r="L51" s="193"/>
      <c r="M51" s="193"/>
      <c r="O51" s="78">
        <v>1.02</v>
      </c>
      <c r="P51" s="78">
        <f t="shared" si="3"/>
        <v>244.75920000000002</v>
      </c>
      <c r="Q51" s="2"/>
      <c r="T51" s="339"/>
      <c r="U51" s="392"/>
    </row>
    <row r="52" spans="1:21" x14ac:dyDescent="0.25">
      <c r="A52" s="193"/>
      <c r="B52" s="198">
        <v>42314</v>
      </c>
      <c r="C52" s="193">
        <v>10</v>
      </c>
      <c r="D52" s="194">
        <v>298.81</v>
      </c>
      <c r="E52" s="194">
        <v>0</v>
      </c>
      <c r="F52" s="194">
        <f t="shared" si="2"/>
        <v>2988.1</v>
      </c>
      <c r="G52" s="198"/>
      <c r="H52" s="193"/>
      <c r="I52" s="194"/>
      <c r="J52" s="193"/>
      <c r="K52" s="194"/>
      <c r="L52" s="193"/>
      <c r="M52" s="193"/>
      <c r="O52" s="78">
        <v>1.01</v>
      </c>
      <c r="P52" s="78">
        <f t="shared" si="3"/>
        <v>242.3596</v>
      </c>
      <c r="Q52" s="2"/>
      <c r="T52" s="339"/>
      <c r="U52" s="392"/>
    </row>
    <row r="53" spans="1:21" x14ac:dyDescent="0.25">
      <c r="A53" s="193"/>
      <c r="B53" s="198">
        <v>42341</v>
      </c>
      <c r="C53" s="193">
        <v>20</v>
      </c>
      <c r="D53" s="194">
        <v>286.08999999999997</v>
      </c>
      <c r="E53" s="194">
        <v>0</v>
      </c>
      <c r="F53" s="194">
        <f t="shared" si="2"/>
        <v>5721.7999999999993</v>
      </c>
      <c r="G53" s="198"/>
      <c r="H53" s="193"/>
      <c r="I53" s="193"/>
      <c r="J53" s="193"/>
      <c r="K53" s="194"/>
      <c r="L53" s="193"/>
      <c r="M53" s="193"/>
      <c r="O53" s="78">
        <v>1</v>
      </c>
      <c r="P53" s="78">
        <f t="shared" si="3"/>
        <v>239.96</v>
      </c>
      <c r="Q53" s="2"/>
      <c r="U53" s="393"/>
    </row>
    <row r="54" spans="1:21" x14ac:dyDescent="0.25">
      <c r="A54" s="193"/>
      <c r="B54" s="198">
        <v>42408</v>
      </c>
      <c r="C54" s="193">
        <v>5</v>
      </c>
      <c r="D54" s="194">
        <v>251.5</v>
      </c>
      <c r="E54" s="194">
        <v>0</v>
      </c>
      <c r="F54" s="194">
        <f>C54*D54 + E54</f>
        <v>1257.5</v>
      </c>
      <c r="G54" s="198"/>
      <c r="H54" s="193"/>
      <c r="I54" s="193"/>
      <c r="J54" s="193"/>
      <c r="K54" s="194"/>
      <c r="L54" s="193"/>
      <c r="M54" s="193"/>
      <c r="O54" s="78">
        <v>0.99</v>
      </c>
      <c r="P54" s="78">
        <f t="shared" si="3"/>
        <v>237.56040000000002</v>
      </c>
      <c r="Q54" s="2"/>
      <c r="U54" s="393"/>
    </row>
    <row r="55" spans="1:21" x14ac:dyDescent="0.25">
      <c r="A55" s="193"/>
      <c r="B55" s="198">
        <v>42446</v>
      </c>
      <c r="C55" s="193">
        <v>5</v>
      </c>
      <c r="D55" s="194">
        <v>242.55</v>
      </c>
      <c r="E55" s="194">
        <v>0</v>
      </c>
      <c r="F55" s="194">
        <f>C55*D55 + E55</f>
        <v>1212.75</v>
      </c>
      <c r="G55" s="198"/>
      <c r="H55" s="193"/>
      <c r="I55" s="193"/>
      <c r="J55" s="193"/>
      <c r="K55" s="194"/>
      <c r="L55" s="193"/>
      <c r="M55" s="193"/>
      <c r="O55" s="78">
        <v>0.98</v>
      </c>
      <c r="P55" s="78">
        <f t="shared" si="3"/>
        <v>235.16079999999999</v>
      </c>
      <c r="Q55" s="2"/>
      <c r="U55" s="392"/>
    </row>
    <row r="56" spans="1:21" x14ac:dyDescent="0.25">
      <c r="A56" s="193"/>
      <c r="B56" s="198"/>
      <c r="C56" s="193">
        <v>5</v>
      </c>
      <c r="D56" s="194">
        <v>242.55</v>
      </c>
      <c r="E56" s="194">
        <v>0</v>
      </c>
      <c r="F56" s="194">
        <f>C56*D56 + E56</f>
        <v>1212.75</v>
      </c>
      <c r="G56" s="198"/>
      <c r="H56" s="193"/>
      <c r="I56" s="193"/>
      <c r="J56" s="193"/>
      <c r="K56" s="194"/>
      <c r="L56" s="193"/>
      <c r="M56" s="193"/>
      <c r="O56" s="78">
        <v>0.97</v>
      </c>
      <c r="P56" s="78">
        <f t="shared" si="3"/>
        <v>232.7612</v>
      </c>
      <c r="U56" s="392"/>
    </row>
    <row r="57" spans="1:21" x14ac:dyDescent="0.25">
      <c r="A57" s="31" t="s">
        <v>81</v>
      </c>
      <c r="B57" s="14"/>
      <c r="C57" s="14">
        <f>SUM(C41:C56)</f>
        <v>155</v>
      </c>
      <c r="D57" s="18"/>
      <c r="E57" s="18"/>
      <c r="F57" s="18">
        <f>SUM(F41:F56)</f>
        <v>42813.399999999994</v>
      </c>
      <c r="G57" s="14"/>
      <c r="H57" s="68">
        <f>SUM(H41:H53)</f>
        <v>155</v>
      </c>
      <c r="I57" s="18"/>
      <c r="J57" s="18"/>
      <c r="K57" s="18">
        <f>SUM(K41:K53)</f>
        <v>44472.76</v>
      </c>
      <c r="L57" s="14"/>
      <c r="M57" s="14"/>
      <c r="O57" s="78">
        <v>0.96</v>
      </c>
      <c r="P57" s="78">
        <f t="shared" si="3"/>
        <v>230.36160000000001</v>
      </c>
      <c r="U57" s="392"/>
    </row>
    <row r="58" spans="1:21" x14ac:dyDescent="0.25">
      <c r="O58" s="78">
        <v>0.95</v>
      </c>
      <c r="P58" s="78">
        <f t="shared" si="3"/>
        <v>227.96199999999999</v>
      </c>
      <c r="U58" s="392"/>
    </row>
    <row r="59" spans="1:21" x14ac:dyDescent="0.25">
      <c r="O59" s="78">
        <v>0.94</v>
      </c>
      <c r="P59" s="78">
        <f t="shared" si="3"/>
        <v>225.5624</v>
      </c>
    </row>
    <row r="60" spans="1:21" x14ac:dyDescent="0.25">
      <c r="B60" s="201" t="s">
        <v>113</v>
      </c>
      <c r="C60" s="201" t="s">
        <v>143</v>
      </c>
      <c r="D60" s="202" t="s">
        <v>142</v>
      </c>
      <c r="E60" s="203" t="s">
        <v>144</v>
      </c>
      <c r="F60" s="204" t="s">
        <v>65</v>
      </c>
      <c r="G60" s="205" t="s">
        <v>148</v>
      </c>
      <c r="H60" s="204" t="s">
        <v>88</v>
      </c>
      <c r="O60" s="78">
        <v>0.93</v>
      </c>
      <c r="P60" s="78">
        <f t="shared" si="3"/>
        <v>223.16280000000003</v>
      </c>
    </row>
    <row r="61" spans="1:21" x14ac:dyDescent="0.25">
      <c r="B61" s="198">
        <v>42304</v>
      </c>
      <c r="C61" s="193">
        <v>80</v>
      </c>
      <c r="D61" s="194">
        <v>271.44</v>
      </c>
      <c r="E61" s="194">
        <v>293.69</v>
      </c>
      <c r="F61" s="194">
        <v>1780.09</v>
      </c>
      <c r="G61" s="194">
        <f t="shared" ref="G61:G66" si="4">IF(C61=0, 0,D61*C61)</f>
        <v>21715.200000000001</v>
      </c>
      <c r="H61" s="206">
        <f t="shared" ref="H61:H66" si="5">IF(C61=0, D61, (E61-D61)/D61)</f>
        <v>8.1970232832301801E-2</v>
      </c>
      <c r="O61" s="78">
        <v>0.92</v>
      </c>
      <c r="P61" s="78">
        <f t="shared" si="3"/>
        <v>220.76320000000001</v>
      </c>
    </row>
    <row r="62" spans="1:21" x14ac:dyDescent="0.25">
      <c r="B62" s="198">
        <v>42310</v>
      </c>
      <c r="C62" s="193">
        <v>70</v>
      </c>
      <c r="D62" s="194">
        <v>267.36</v>
      </c>
      <c r="E62" s="194">
        <v>303.08</v>
      </c>
      <c r="F62" s="194">
        <v>2500.4299999999998</v>
      </c>
      <c r="G62" s="194">
        <f t="shared" si="4"/>
        <v>18715.2</v>
      </c>
      <c r="H62" s="206">
        <f t="shared" si="5"/>
        <v>0.1336026331538</v>
      </c>
      <c r="O62" s="78">
        <v>0.91</v>
      </c>
      <c r="P62" s="78">
        <f t="shared" si="3"/>
        <v>218.36360000000002</v>
      </c>
    </row>
    <row r="63" spans="1:21" x14ac:dyDescent="0.25">
      <c r="B63" s="198">
        <v>42314</v>
      </c>
      <c r="C63" s="193">
        <v>80</v>
      </c>
      <c r="D63" s="194">
        <v>271.29000000000002</v>
      </c>
      <c r="E63" s="194">
        <v>299.14</v>
      </c>
      <c r="F63" s="194">
        <v>2227.9299999999998</v>
      </c>
      <c r="G63" s="194">
        <f t="shared" si="4"/>
        <v>21703.200000000001</v>
      </c>
      <c r="H63" s="206">
        <f t="shared" si="5"/>
        <v>0.10265767260127526</v>
      </c>
      <c r="O63" s="78">
        <v>0.9</v>
      </c>
      <c r="P63" s="78">
        <f t="shared" si="3"/>
        <v>215.964</v>
      </c>
    </row>
    <row r="64" spans="1:21" x14ac:dyDescent="0.25">
      <c r="B64" s="198">
        <v>42326</v>
      </c>
      <c r="C64" s="193">
        <v>40</v>
      </c>
      <c r="D64" s="194">
        <v>254.6</v>
      </c>
      <c r="E64" s="194">
        <v>291.98</v>
      </c>
      <c r="F64" s="194">
        <v>1495.32</v>
      </c>
      <c r="G64" s="194">
        <f t="shared" si="4"/>
        <v>10184</v>
      </c>
      <c r="H64" s="206">
        <f t="shared" si="5"/>
        <v>0.14681853888452484</v>
      </c>
    </row>
    <row r="65" spans="2:9" x14ac:dyDescent="0.25">
      <c r="B65" s="198">
        <v>42338</v>
      </c>
      <c r="C65" s="193">
        <v>60</v>
      </c>
      <c r="D65" s="194">
        <v>265.08999999999997</v>
      </c>
      <c r="E65" s="194">
        <v>286.86</v>
      </c>
      <c r="F65" s="194">
        <v>1305.92</v>
      </c>
      <c r="G65" s="194">
        <f t="shared" si="4"/>
        <v>15905.399999999998</v>
      </c>
      <c r="H65" s="206">
        <f t="shared" si="5"/>
        <v>8.2123052548191328E-2</v>
      </c>
    </row>
    <row r="66" spans="2:9" x14ac:dyDescent="0.25">
      <c r="B66" s="198">
        <v>42342</v>
      </c>
      <c r="C66" s="193">
        <v>25</v>
      </c>
      <c r="D66" s="194">
        <v>240.05</v>
      </c>
      <c r="E66" s="194">
        <v>284.45</v>
      </c>
      <c r="F66" s="194">
        <v>1110</v>
      </c>
      <c r="G66" s="194">
        <f t="shared" si="4"/>
        <v>6001.25</v>
      </c>
      <c r="H66" s="206">
        <f t="shared" si="5"/>
        <v>0.18496146636117466</v>
      </c>
    </row>
    <row r="67" spans="2:9" x14ac:dyDescent="0.25">
      <c r="B67" s="198">
        <v>42355</v>
      </c>
      <c r="C67" s="193">
        <v>0</v>
      </c>
      <c r="D67" s="194">
        <v>0</v>
      </c>
      <c r="E67" s="194">
        <v>297.17</v>
      </c>
      <c r="F67" s="194">
        <v>1373.65</v>
      </c>
      <c r="G67" s="194"/>
      <c r="H67" s="206"/>
    </row>
    <row r="69" spans="2:9" x14ac:dyDescent="0.25">
      <c r="B69" s="290">
        <v>42408</v>
      </c>
      <c r="C69" s="291">
        <v>5</v>
      </c>
      <c r="D69" s="292">
        <v>251.5</v>
      </c>
      <c r="E69" s="292">
        <v>256.52</v>
      </c>
      <c r="F69" s="292">
        <f>C69*(E69-D69)</f>
        <v>25.099999999999909</v>
      </c>
      <c r="G69" s="292">
        <f>D69*C69</f>
        <v>1257.5</v>
      </c>
      <c r="H69" s="293">
        <f>(E69-D69)/D69</f>
        <v>1.9960238568588397E-2</v>
      </c>
      <c r="I69" s="293"/>
    </row>
    <row r="70" spans="2:9" x14ac:dyDescent="0.25">
      <c r="B70" s="290">
        <v>42422</v>
      </c>
      <c r="C70" s="291">
        <v>5</v>
      </c>
      <c r="D70" s="292">
        <v>251.5</v>
      </c>
      <c r="E70" s="292">
        <v>265.83</v>
      </c>
      <c r="F70" s="292">
        <f t="shared" ref="F70:F79" si="6">C70*(E70-D70)</f>
        <v>71.64999999999992</v>
      </c>
      <c r="G70" s="292">
        <f t="shared" ref="G70:G80" si="7">D70*C70</f>
        <v>1257.5</v>
      </c>
      <c r="H70" s="293">
        <f t="shared" ref="H70:H79" si="8">(E70-D70)/D70</f>
        <v>5.6978131212723597E-2</v>
      </c>
      <c r="I70" s="293"/>
    </row>
    <row r="71" spans="2:9" x14ac:dyDescent="0.25">
      <c r="B71" s="290">
        <v>42431</v>
      </c>
      <c r="C71" s="291">
        <v>5</v>
      </c>
      <c r="D71" s="292">
        <v>251.5</v>
      </c>
      <c r="E71" s="292">
        <v>273.66000000000003</v>
      </c>
      <c r="F71" s="292">
        <f t="shared" si="6"/>
        <v>110.80000000000013</v>
      </c>
      <c r="G71" s="292">
        <f t="shared" si="7"/>
        <v>1257.5</v>
      </c>
      <c r="H71" s="293">
        <f t="shared" si="8"/>
        <v>8.8111332007952389E-2</v>
      </c>
      <c r="I71" s="293"/>
    </row>
    <row r="72" spans="2:9" x14ac:dyDescent="0.25">
      <c r="B72" s="290">
        <v>42433</v>
      </c>
      <c r="C72" s="291">
        <v>5</v>
      </c>
      <c r="D72" s="292">
        <v>251.5</v>
      </c>
      <c r="E72" s="292">
        <v>263.94</v>
      </c>
      <c r="F72" s="292">
        <f t="shared" si="6"/>
        <v>62.199999999999989</v>
      </c>
      <c r="G72" s="292">
        <f t="shared" si="7"/>
        <v>1257.5</v>
      </c>
      <c r="H72" s="293">
        <f t="shared" si="8"/>
        <v>4.9463220675944324E-2</v>
      </c>
      <c r="I72" s="293"/>
    </row>
    <row r="73" spans="2:9" x14ac:dyDescent="0.25">
      <c r="B73" s="290">
        <v>42439</v>
      </c>
      <c r="C73" s="291">
        <v>5</v>
      </c>
      <c r="D73" s="292">
        <v>251.5</v>
      </c>
      <c r="E73" s="292">
        <v>251.97</v>
      </c>
      <c r="F73" s="292">
        <f t="shared" si="6"/>
        <v>2.3499999999999943</v>
      </c>
      <c r="G73" s="292">
        <f t="shared" si="7"/>
        <v>1257.5</v>
      </c>
      <c r="H73" s="294">
        <f t="shared" si="8"/>
        <v>1.8687872763419437E-3</v>
      </c>
      <c r="I73" s="294"/>
    </row>
    <row r="74" spans="2:9" x14ac:dyDescent="0.25">
      <c r="B74" s="290">
        <v>42444</v>
      </c>
      <c r="C74" s="291">
        <v>5</v>
      </c>
      <c r="D74" s="292">
        <v>251.5</v>
      </c>
      <c r="E74" s="292">
        <v>250.33</v>
      </c>
      <c r="F74" s="292">
        <f t="shared" si="6"/>
        <v>-5.8499999999999375</v>
      </c>
      <c r="G74" s="292">
        <f t="shared" si="7"/>
        <v>1257.5</v>
      </c>
      <c r="H74" s="294">
        <f t="shared" si="8"/>
        <v>-4.6520874751490556E-3</v>
      </c>
      <c r="I74" s="294"/>
    </row>
    <row r="75" spans="2:9" x14ac:dyDescent="0.25">
      <c r="B75" s="290">
        <v>42446</v>
      </c>
      <c r="C75" s="291">
        <v>15</v>
      </c>
      <c r="D75" s="292">
        <v>245.5333</v>
      </c>
      <c r="E75" s="292">
        <v>246.31</v>
      </c>
      <c r="F75" s="292">
        <f t="shared" si="6"/>
        <v>11.650500000000079</v>
      </c>
      <c r="G75" s="292">
        <f t="shared" si="7"/>
        <v>3682.9994999999999</v>
      </c>
      <c r="H75" s="294">
        <f t="shared" si="8"/>
        <v>3.1633183767741701E-3</v>
      </c>
      <c r="I75" s="294"/>
    </row>
    <row r="76" spans="2:9" x14ac:dyDescent="0.25">
      <c r="B76" s="290">
        <v>42447</v>
      </c>
      <c r="C76" s="291">
        <v>10</v>
      </c>
      <c r="D76" s="292">
        <v>243.50800000000001</v>
      </c>
      <c r="E76" s="292">
        <v>250.78</v>
      </c>
      <c r="F76" s="292">
        <f t="shared" si="6"/>
        <v>72.719999999999914</v>
      </c>
      <c r="G76" s="292">
        <f t="shared" si="7"/>
        <v>2435.08</v>
      </c>
      <c r="H76" s="294">
        <f t="shared" si="8"/>
        <v>2.9863495244509385E-2</v>
      </c>
      <c r="I76" s="294" t="s">
        <v>186</v>
      </c>
    </row>
    <row r="77" spans="2:9" x14ac:dyDescent="0.25">
      <c r="B77" s="290">
        <v>42458</v>
      </c>
      <c r="C77" s="291">
        <v>10</v>
      </c>
      <c r="D77" s="292">
        <v>243.50800000000001</v>
      </c>
      <c r="E77" s="292">
        <v>254.68</v>
      </c>
      <c r="F77" s="292">
        <f t="shared" si="6"/>
        <v>111.71999999999997</v>
      </c>
      <c r="G77" s="292">
        <f t="shared" si="7"/>
        <v>2435.08</v>
      </c>
      <c r="H77" s="294">
        <f t="shared" si="8"/>
        <v>4.587939615946908E-2</v>
      </c>
      <c r="I77" s="294"/>
    </row>
    <row r="78" spans="2:9" x14ac:dyDescent="0.25">
      <c r="B78" s="290">
        <v>42460</v>
      </c>
      <c r="C78" s="291">
        <v>5</v>
      </c>
      <c r="D78" s="292">
        <v>225.80199999999999</v>
      </c>
      <c r="E78" s="292">
        <v>260.32</v>
      </c>
      <c r="F78" s="292">
        <f t="shared" si="6"/>
        <v>172.59</v>
      </c>
      <c r="G78" s="292">
        <f t="shared" si="7"/>
        <v>1129.01</v>
      </c>
      <c r="H78" s="294">
        <f t="shared" si="8"/>
        <v>0.15286844226357607</v>
      </c>
      <c r="I78" s="294"/>
    </row>
    <row r="79" spans="2:9" x14ac:dyDescent="0.25">
      <c r="B79" s="290">
        <v>42469</v>
      </c>
      <c r="C79" s="291">
        <v>5</v>
      </c>
      <c r="D79" s="292">
        <v>225.80199999999999</v>
      </c>
      <c r="E79" s="292">
        <v>270.83</v>
      </c>
      <c r="F79" s="292">
        <f t="shared" si="6"/>
        <v>225.13999999999996</v>
      </c>
      <c r="G79" s="292">
        <f t="shared" si="7"/>
        <v>1129.01</v>
      </c>
      <c r="H79" s="294">
        <f t="shared" si="8"/>
        <v>0.1994136455832986</v>
      </c>
      <c r="I79" s="294"/>
    </row>
    <row r="80" spans="2:9" x14ac:dyDescent="0.25">
      <c r="B80" s="290">
        <v>42482</v>
      </c>
      <c r="C80" s="291">
        <v>0</v>
      </c>
      <c r="D80" s="292">
        <v>0</v>
      </c>
      <c r="E80" s="292">
        <v>0</v>
      </c>
      <c r="F80" s="292">
        <v>285.70999999999998</v>
      </c>
      <c r="G80" s="292">
        <f t="shared" si="7"/>
        <v>0</v>
      </c>
      <c r="H80" s="294"/>
      <c r="I80" s="294"/>
    </row>
    <row r="81" spans="2:9" x14ac:dyDescent="0.25">
      <c r="B81" s="291"/>
      <c r="C81" s="291"/>
      <c r="D81" s="292"/>
      <c r="E81" s="292"/>
      <c r="F81" s="292"/>
      <c r="G81" s="292"/>
      <c r="H81" s="294"/>
      <c r="I81" s="294"/>
    </row>
    <row r="82" spans="2:9" x14ac:dyDescent="0.25">
      <c r="B82" s="291"/>
      <c r="C82" s="291"/>
      <c r="D82" s="292"/>
      <c r="E82" s="292"/>
      <c r="F82" s="292"/>
      <c r="G82" s="292"/>
      <c r="H82" s="294"/>
      <c r="I82" s="294"/>
    </row>
  </sheetData>
  <mergeCells count="1">
    <mergeCell ref="O42:P42"/>
  </mergeCells>
  <conditionalFormatting sqref="N19 F25:F35">
    <cfRule type="expression" dxfId="3737" priority="58">
      <formula>F19&gt;0</formula>
    </cfRule>
    <cfRule type="expression" dxfId="3736" priority="59">
      <formula>F19&lt;0</formula>
    </cfRule>
  </conditionalFormatting>
  <conditionalFormatting sqref="O43:O63">
    <cfRule type="colorScale" priority="56">
      <colorScale>
        <cfvo type="min"/>
        <cfvo type="percentile" val="50"/>
        <cfvo type="max"/>
        <color rgb="FFF8696B"/>
        <color rgb="FFFFEB84"/>
        <color rgb="FF63BE7B"/>
      </colorScale>
    </cfRule>
  </conditionalFormatting>
  <conditionalFormatting sqref="P43:P63">
    <cfRule type="colorScale" priority="55">
      <colorScale>
        <cfvo type="min"/>
        <cfvo type="percentile" val="50"/>
        <cfvo type="max"/>
        <color rgb="FFF8696B"/>
        <color rgb="FFFFEB84"/>
        <color rgb="FF63BE7B"/>
      </colorScale>
    </cfRule>
  </conditionalFormatting>
  <conditionalFormatting sqref="H25:H28">
    <cfRule type="expression" dxfId="3735" priority="47">
      <formula>H25&gt;0</formula>
    </cfRule>
    <cfRule type="expression" dxfId="3734" priority="48">
      <formula>H25&lt;0</formula>
    </cfRule>
  </conditionalFormatting>
  <conditionalFormatting sqref="M39">
    <cfRule type="expression" dxfId="3733" priority="45">
      <formula>M39&gt;0</formula>
    </cfRule>
    <cfRule type="expression" dxfId="3732" priority="46">
      <formula>M39&lt;0</formula>
    </cfRule>
  </conditionalFormatting>
  <conditionalFormatting sqref="F61:F67">
    <cfRule type="expression" dxfId="3731" priority="43">
      <formula>F61&gt;0</formula>
    </cfRule>
    <cfRule type="expression" dxfId="3730" priority="44">
      <formula>F61&lt;0</formula>
    </cfRule>
  </conditionalFormatting>
  <conditionalFormatting sqref="H61:H67">
    <cfRule type="expression" dxfId="3729" priority="41">
      <formula>H61&gt;0</formula>
    </cfRule>
    <cfRule type="expression" dxfId="3728" priority="42">
      <formula>H61&lt;0</formula>
    </cfRule>
  </conditionalFormatting>
  <conditionalFormatting sqref="F21:F24">
    <cfRule type="expression" dxfId="3727" priority="39">
      <formula>F21&gt;0</formula>
    </cfRule>
    <cfRule type="expression" dxfId="3726" priority="40">
      <formula>F21&lt;0</formula>
    </cfRule>
  </conditionalFormatting>
  <conditionalFormatting sqref="H21:H24">
    <cfRule type="expression" dxfId="3725" priority="37">
      <formula>H21&gt;0</formula>
    </cfRule>
    <cfRule type="expression" dxfId="3724" priority="38">
      <formula>H21&lt;0</formula>
    </cfRule>
  </conditionalFormatting>
  <conditionalFormatting sqref="I25:I28">
    <cfRule type="expression" dxfId="3723" priority="31">
      <formula>I25&gt;0</formula>
    </cfRule>
    <cfRule type="expression" dxfId="3722" priority="32">
      <formula>I25&lt;0</formula>
    </cfRule>
  </conditionalFormatting>
  <conditionalFormatting sqref="I21:I24">
    <cfRule type="expression" dxfId="3721" priority="29">
      <formula>I21&gt;0</formula>
    </cfRule>
    <cfRule type="expression" dxfId="3720" priority="30">
      <formula>I21&lt;0</formula>
    </cfRule>
  </conditionalFormatting>
  <conditionalFormatting sqref="H29">
    <cfRule type="expression" dxfId="3719" priority="27">
      <formula>H29&gt;0</formula>
    </cfRule>
    <cfRule type="expression" dxfId="3718" priority="28">
      <formula>H29&lt;0</formula>
    </cfRule>
  </conditionalFormatting>
  <conditionalFormatting sqref="H30">
    <cfRule type="expression" dxfId="3717" priority="25">
      <formula>H30&gt;0</formula>
    </cfRule>
    <cfRule type="expression" dxfId="3716" priority="26">
      <formula>H30&lt;0</formula>
    </cfRule>
  </conditionalFormatting>
  <conditionalFormatting sqref="H31">
    <cfRule type="expression" dxfId="3715" priority="23">
      <formula>H31&gt;0</formula>
    </cfRule>
    <cfRule type="expression" dxfId="3714" priority="24">
      <formula>H31&lt;0</formula>
    </cfRule>
  </conditionalFormatting>
  <conditionalFormatting sqref="Q7">
    <cfRule type="expression" dxfId="3713" priority="21">
      <formula>Q7&gt;0</formula>
    </cfRule>
    <cfRule type="expression" dxfId="3712" priority="22">
      <formula>Q7&lt;0</formula>
    </cfRule>
  </conditionalFormatting>
  <conditionalFormatting sqref="Q8">
    <cfRule type="expression" dxfId="3711" priority="19">
      <formula>Q8&gt;0</formula>
    </cfRule>
    <cfRule type="expression" dxfId="3710" priority="20">
      <formula>Q8&lt;0</formula>
    </cfRule>
  </conditionalFormatting>
  <conditionalFormatting sqref="F73:F82">
    <cfRule type="expression" dxfId="3709" priority="17">
      <formula>F73&gt;0</formula>
    </cfRule>
    <cfRule type="expression" dxfId="3708" priority="18">
      <formula>F73&lt;0</formula>
    </cfRule>
  </conditionalFormatting>
  <conditionalFormatting sqref="H73:H76">
    <cfRule type="expression" dxfId="3707" priority="15">
      <formula>H73&gt;0</formula>
    </cfRule>
    <cfRule type="expression" dxfId="3706" priority="16">
      <formula>H73&lt;0</formula>
    </cfRule>
  </conditionalFormatting>
  <conditionalFormatting sqref="F69:F72">
    <cfRule type="expression" dxfId="3705" priority="13">
      <formula>F69&gt;0</formula>
    </cfRule>
    <cfRule type="expression" dxfId="3704" priority="14">
      <formula>F69&lt;0</formula>
    </cfRule>
  </conditionalFormatting>
  <conditionalFormatting sqref="H69:H72">
    <cfRule type="expression" dxfId="3703" priority="11">
      <formula>H69&gt;0</formula>
    </cfRule>
    <cfRule type="expression" dxfId="3702" priority="12">
      <formula>H69&lt;0</formula>
    </cfRule>
  </conditionalFormatting>
  <conditionalFormatting sqref="I73:I76">
    <cfRule type="expression" dxfId="3701" priority="9">
      <formula>I73&gt;0</formula>
    </cfRule>
    <cfRule type="expression" dxfId="3700" priority="10">
      <formula>I73&lt;0</formula>
    </cfRule>
  </conditionalFormatting>
  <conditionalFormatting sqref="I69:I72">
    <cfRule type="expression" dxfId="3699" priority="7">
      <formula>I69&gt;0</formula>
    </cfRule>
    <cfRule type="expression" dxfId="3698" priority="8">
      <formula>I69&lt;0</formula>
    </cfRule>
  </conditionalFormatting>
  <conditionalFormatting sqref="H77">
    <cfRule type="expression" dxfId="3697" priority="5">
      <formula>H77&gt;0</formula>
    </cfRule>
    <cfRule type="expression" dxfId="3696" priority="6">
      <formula>H77&lt;0</formula>
    </cfRule>
  </conditionalFormatting>
  <conditionalFormatting sqref="H78">
    <cfRule type="expression" dxfId="3695" priority="3">
      <formula>H78&gt;0</formula>
    </cfRule>
    <cfRule type="expression" dxfId="3694" priority="4">
      <formula>H78&lt;0</formula>
    </cfRule>
  </conditionalFormatting>
  <conditionalFormatting sqref="H79">
    <cfRule type="expression" dxfId="3693" priority="1">
      <formula>H79&gt;0</formula>
    </cfRule>
    <cfRule type="expression" dxfId="3692" priority="2">
      <formula>H79&lt;0</formula>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1227</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1346</v>
      </c>
      <c r="B2" s="360">
        <v>43621</v>
      </c>
      <c r="C2" s="4">
        <v>66</v>
      </c>
      <c r="D2" s="3">
        <v>31.63</v>
      </c>
      <c r="E2" s="3">
        <v>0.03</v>
      </c>
      <c r="F2" s="3">
        <f t="shared" ref="F2:F7" si="0">D2*C2+E2</f>
        <v>2087.61</v>
      </c>
      <c r="G2" s="360">
        <v>43749</v>
      </c>
      <c r="H2" s="77">
        <v>66</v>
      </c>
      <c r="I2" s="43">
        <v>27.08</v>
      </c>
      <c r="J2" s="43">
        <v>0.04</v>
      </c>
      <c r="K2" s="43">
        <f>H2*I2-J2</f>
        <v>1787.24</v>
      </c>
      <c r="L2" s="69">
        <v>43722</v>
      </c>
      <c r="M2" s="43">
        <v>8.58</v>
      </c>
      <c r="O2" s="11" t="s">
        <v>57</v>
      </c>
      <c r="Q2">
        <f>C18-H18</f>
        <v>150</v>
      </c>
      <c r="T2" s="1"/>
    </row>
    <row r="3" spans="1:21" x14ac:dyDescent="0.25">
      <c r="A3" s="22" t="s">
        <v>71</v>
      </c>
      <c r="B3" s="360">
        <v>43711</v>
      </c>
      <c r="C3" s="7">
        <v>66</v>
      </c>
      <c r="D3" s="43">
        <v>28</v>
      </c>
      <c r="E3" s="43">
        <v>0</v>
      </c>
      <c r="F3" s="43">
        <f t="shared" si="0"/>
        <v>1848</v>
      </c>
      <c r="G3" s="360">
        <v>43805</v>
      </c>
      <c r="H3" s="77">
        <v>100</v>
      </c>
      <c r="I3" s="43">
        <v>25.48</v>
      </c>
      <c r="J3" s="43">
        <v>0.05</v>
      </c>
      <c r="K3" s="43">
        <f>H3*I3-J3</f>
        <v>2547.9499999999998</v>
      </c>
      <c r="L3" s="69"/>
      <c r="M3" s="3"/>
      <c r="O3" s="11" t="s">
        <v>58</v>
      </c>
      <c r="Q3" s="174">
        <f>IF(Q2=0, Q4, (F18-K18-M18)/Q2)</f>
        <v>27.898666666666667</v>
      </c>
      <c r="T3" s="1"/>
    </row>
    <row r="4" spans="1:21" x14ac:dyDescent="0.25">
      <c r="B4" s="360">
        <v>43742</v>
      </c>
      <c r="C4" s="4">
        <v>34</v>
      </c>
      <c r="D4" s="3">
        <v>25.92</v>
      </c>
      <c r="E4" s="3">
        <v>0</v>
      </c>
      <c r="F4" s="3">
        <f t="shared" si="0"/>
        <v>881.28000000000009</v>
      </c>
      <c r="G4" s="69"/>
      <c r="H4" s="158"/>
      <c r="I4" s="3"/>
      <c r="J4" s="3"/>
      <c r="K4" s="3"/>
      <c r="L4" s="69"/>
      <c r="M4" s="4"/>
      <c r="O4" s="11" t="s">
        <v>66</v>
      </c>
      <c r="Q4" s="53">
        <v>25.87</v>
      </c>
      <c r="R4" s="416">
        <v>-0.04</v>
      </c>
      <c r="T4" s="1"/>
    </row>
    <row r="5" spans="1:21" x14ac:dyDescent="0.25">
      <c r="B5" s="69">
        <v>43742</v>
      </c>
      <c r="C5" s="4">
        <v>34</v>
      </c>
      <c r="D5" s="3">
        <v>25.92</v>
      </c>
      <c r="E5" s="3">
        <v>0</v>
      </c>
      <c r="F5" s="3">
        <f t="shared" si="0"/>
        <v>881.28000000000009</v>
      </c>
      <c r="G5" s="69"/>
      <c r="H5" s="158"/>
      <c r="I5" s="3"/>
      <c r="J5" s="3"/>
      <c r="K5" s="3"/>
      <c r="L5" s="69"/>
      <c r="M5" s="4"/>
      <c r="O5" s="11" t="s">
        <v>67</v>
      </c>
      <c r="Q5" s="3">
        <f>Q4*Q2</f>
        <v>3880.5</v>
      </c>
      <c r="T5" s="680"/>
      <c r="U5" s="30"/>
    </row>
    <row r="6" spans="1:21" x14ac:dyDescent="0.25">
      <c r="B6" s="395">
        <v>43802</v>
      </c>
      <c r="C6" s="7">
        <v>100</v>
      </c>
      <c r="D6" s="43">
        <v>24.4</v>
      </c>
      <c r="E6" s="43">
        <v>0</v>
      </c>
      <c r="F6" s="43">
        <f t="shared" si="0"/>
        <v>2440</v>
      </c>
      <c r="G6" s="69"/>
      <c r="H6" s="158"/>
      <c r="I6" s="3"/>
      <c r="J6" s="3"/>
      <c r="K6" s="3"/>
      <c r="L6" s="69"/>
      <c r="M6" s="3"/>
      <c r="O6" s="11" t="s">
        <v>64</v>
      </c>
      <c r="Q6" s="2">
        <f>Q3*Q2</f>
        <v>4184.8</v>
      </c>
      <c r="U6" s="396"/>
    </row>
    <row r="7" spans="1:21" x14ac:dyDescent="0.25">
      <c r="B7" s="395">
        <v>43802</v>
      </c>
      <c r="C7" s="4">
        <v>16</v>
      </c>
      <c r="D7" s="3">
        <v>24.4</v>
      </c>
      <c r="E7" s="3">
        <v>0</v>
      </c>
      <c r="F7" s="3">
        <f t="shared" si="0"/>
        <v>390.4</v>
      </c>
      <c r="G7" s="69"/>
      <c r="H7" s="158"/>
      <c r="I7" s="3"/>
      <c r="J7" s="3"/>
      <c r="K7" s="3"/>
      <c r="L7" s="4"/>
      <c r="M7" s="4"/>
      <c r="O7" s="11" t="s">
        <v>175</v>
      </c>
      <c r="Q7" s="2">
        <f>Q10+Q8</f>
        <v>-304.30000000000018</v>
      </c>
      <c r="R7">
        <v>34</v>
      </c>
    </row>
    <row r="8" spans="1:21" x14ac:dyDescent="0.25">
      <c r="B8" s="69"/>
      <c r="C8" s="4"/>
      <c r="D8" s="3"/>
      <c r="E8" s="3"/>
      <c r="F8" s="3"/>
      <c r="G8" s="69"/>
      <c r="H8" s="158"/>
      <c r="I8" s="3"/>
      <c r="J8" s="3"/>
      <c r="K8" s="3"/>
      <c r="L8" s="4"/>
      <c r="M8" s="4"/>
      <c r="O8" s="11" t="s">
        <v>177</v>
      </c>
      <c r="P8" s="33"/>
      <c r="Q8" s="2">
        <f>K18+M18-F18+Q2*Q4</f>
        <v>-304.30000000000018</v>
      </c>
      <c r="T8" s="1"/>
      <c r="U8" s="728"/>
    </row>
    <row r="9" spans="1:21" x14ac:dyDescent="0.25">
      <c r="B9" s="69"/>
      <c r="C9" s="4"/>
      <c r="D9" s="3"/>
      <c r="E9" s="3"/>
      <c r="F9" s="3"/>
      <c r="G9" s="4"/>
      <c r="H9" s="158"/>
      <c r="I9" s="3"/>
      <c r="J9" s="3"/>
      <c r="K9" s="3"/>
      <c r="L9" s="4"/>
      <c r="M9" s="4"/>
      <c r="O9" s="11" t="s">
        <v>202</v>
      </c>
      <c r="Q9" s="131">
        <f>IF(Q2=0, 0, Q8/Q6)</f>
        <v>-7.2715541961384092E-2</v>
      </c>
    </row>
    <row r="10" spans="1:21" x14ac:dyDescent="0.25">
      <c r="B10" s="69"/>
      <c r="C10" s="4"/>
      <c r="D10" s="3"/>
      <c r="E10" s="3"/>
      <c r="F10" s="3"/>
      <c r="G10" s="4"/>
      <c r="H10" s="158"/>
      <c r="I10" s="3"/>
      <c r="J10" s="3"/>
      <c r="K10" s="3"/>
      <c r="L10" s="4"/>
      <c r="M10" s="4"/>
      <c r="O10" s="11" t="s">
        <v>201</v>
      </c>
      <c r="P10" s="33"/>
      <c r="Q10" s="2">
        <f>M66</f>
        <v>0</v>
      </c>
      <c r="T10" s="153"/>
    </row>
    <row r="11" spans="1:21" x14ac:dyDescent="0.25">
      <c r="B11" s="69"/>
      <c r="C11" s="4"/>
      <c r="D11" s="3"/>
      <c r="E11" s="3"/>
      <c r="F11" s="3"/>
      <c r="G11" s="4"/>
      <c r="H11" s="158"/>
      <c r="I11" s="3"/>
      <c r="J11" s="3"/>
      <c r="K11" s="3"/>
      <c r="L11" s="4"/>
      <c r="M11" s="4"/>
      <c r="O11" s="11" t="s">
        <v>173</v>
      </c>
      <c r="P11" s="33"/>
      <c r="Q11" s="131">
        <f>R11*4/Q4</f>
        <v>2.0100502512562814E-2</v>
      </c>
      <c r="R11">
        <v>0.13</v>
      </c>
    </row>
    <row r="12" spans="1:21" x14ac:dyDescent="0.25">
      <c r="B12" s="4"/>
      <c r="C12" s="4"/>
      <c r="D12" s="3"/>
      <c r="E12" s="3"/>
      <c r="F12" s="3"/>
      <c r="G12" s="4"/>
      <c r="H12" s="158"/>
      <c r="I12" s="3"/>
      <c r="J12" s="3"/>
      <c r="K12" s="3"/>
      <c r="L12" s="4"/>
      <c r="M12" s="4"/>
      <c r="O12" s="11" t="s">
        <v>875</v>
      </c>
      <c r="Q12" s="1"/>
      <c r="T12" s="1"/>
    </row>
    <row r="13" spans="1:21" x14ac:dyDescent="0.25">
      <c r="B13" s="4"/>
      <c r="C13" s="4"/>
      <c r="D13" s="3"/>
      <c r="E13" s="3"/>
      <c r="F13" s="3"/>
      <c r="G13" s="4"/>
      <c r="H13" s="158"/>
      <c r="I13" s="3"/>
      <c r="J13" s="3"/>
      <c r="K13" s="3"/>
      <c r="L13" s="4"/>
      <c r="M13" s="4"/>
      <c r="O13" s="11" t="s">
        <v>901</v>
      </c>
      <c r="Q13" s="2"/>
    </row>
    <row r="14" spans="1:21" x14ac:dyDescent="0.25">
      <c r="H14" s="67"/>
      <c r="O14" s="11" t="s">
        <v>988</v>
      </c>
      <c r="Q14" s="1"/>
      <c r="T14" s="1"/>
    </row>
    <row r="15" spans="1:21" x14ac:dyDescent="0.25">
      <c r="H15" s="67"/>
    </row>
    <row r="16" spans="1:21" x14ac:dyDescent="0.25">
      <c r="H16" s="67"/>
      <c r="T16" s="1"/>
    </row>
    <row r="18" spans="1:20" ht="20.25" thickBot="1" x14ac:dyDescent="0.35">
      <c r="A18" s="31" t="s">
        <v>81</v>
      </c>
      <c r="B18" s="14"/>
      <c r="C18" s="14">
        <f>SUM(C2:C12)</f>
        <v>316</v>
      </c>
      <c r="D18" s="18"/>
      <c r="E18" s="18"/>
      <c r="F18" s="18">
        <f>SUM(F2:F12)</f>
        <v>8528.57</v>
      </c>
      <c r="G18" s="14"/>
      <c r="H18" s="68">
        <f>SUM(H2:H8)</f>
        <v>166</v>
      </c>
      <c r="I18" s="18"/>
      <c r="J18" s="18"/>
      <c r="K18" s="18">
        <f>SUM(K2:K8)</f>
        <v>4335.1899999999996</v>
      </c>
      <c r="L18" s="14"/>
      <c r="M18" s="18">
        <f>SUM(M2:M10)</f>
        <v>8.58</v>
      </c>
      <c r="O18" s="859" t="s">
        <v>78</v>
      </c>
      <c r="P18" s="859"/>
      <c r="T18" s="1"/>
    </row>
    <row r="19" spans="1:20" ht="16.5" thickTop="1" thickBot="1" x14ac:dyDescent="0.3">
      <c r="A19" s="273" t="s">
        <v>189</v>
      </c>
      <c r="B19" s="274"/>
      <c r="C19" s="275">
        <f>SumByColor($A$19,C2:C17)</f>
        <v>166</v>
      </c>
      <c r="D19" s="275"/>
      <c r="E19" s="275"/>
      <c r="F19" s="276">
        <f>SumByColor($A$19,F2:F17)</f>
        <v>4288</v>
      </c>
      <c r="G19" s="275"/>
      <c r="H19" s="275">
        <f>SumByColor($A$19,H2:H17)</f>
        <v>166</v>
      </c>
      <c r="I19" s="275"/>
      <c r="J19" s="275"/>
      <c r="K19" s="276">
        <f>SumByColor($A$19,K2:K17)</f>
        <v>4335</v>
      </c>
      <c r="L19" s="275"/>
      <c r="M19" s="276">
        <f>SumByColor($A$19,M2:M17)</f>
        <v>9</v>
      </c>
      <c r="O19" s="78">
        <v>1.1000000000000001</v>
      </c>
      <c r="P19" s="78">
        <f>O19*$Q$4</f>
        <v>28.457000000000004</v>
      </c>
    </row>
    <row r="20" spans="1:20" x14ac:dyDescent="0.25">
      <c r="O20" s="78">
        <v>1.0900000000000001</v>
      </c>
      <c r="P20" s="78">
        <f t="shared" ref="P20:P39" si="1">O20*$Q$4</f>
        <v>28.198300000000003</v>
      </c>
    </row>
    <row r="21" spans="1:20" x14ac:dyDescent="0.25">
      <c r="O21" s="78">
        <v>1.08</v>
      </c>
      <c r="P21" s="78">
        <f t="shared" si="1"/>
        <v>27.939600000000002</v>
      </c>
      <c r="T21" s="1"/>
    </row>
    <row r="22" spans="1:20" x14ac:dyDescent="0.25">
      <c r="O22" s="78">
        <v>1.07</v>
      </c>
      <c r="P22" s="78">
        <f t="shared" si="1"/>
        <v>27.680900000000001</v>
      </c>
    </row>
    <row r="23" spans="1:20" x14ac:dyDescent="0.25">
      <c r="O23" s="78">
        <v>1.06</v>
      </c>
      <c r="P23" s="78">
        <f t="shared" si="1"/>
        <v>27.422200000000004</v>
      </c>
    </row>
    <row r="24" spans="1:20" x14ac:dyDescent="0.25">
      <c r="B24" s="159" t="s">
        <v>113</v>
      </c>
      <c r="C24" s="159" t="s">
        <v>143</v>
      </c>
      <c r="D24" s="160" t="s">
        <v>142</v>
      </c>
      <c r="E24" s="162" t="s">
        <v>144</v>
      </c>
      <c r="F24" s="162" t="s">
        <v>65</v>
      </c>
      <c r="G24" s="173" t="s">
        <v>148</v>
      </c>
      <c r="H24" s="173" t="s">
        <v>88</v>
      </c>
      <c r="I24" s="173" t="s">
        <v>151</v>
      </c>
      <c r="J24" s="173" t="s">
        <v>147</v>
      </c>
      <c r="K24" s="173" t="s">
        <v>452</v>
      </c>
      <c r="L24" s="173" t="s">
        <v>901</v>
      </c>
      <c r="O24" s="78">
        <v>1.05</v>
      </c>
      <c r="P24" s="78">
        <f t="shared" si="1"/>
        <v>27.163500000000003</v>
      </c>
    </row>
    <row r="25" spans="1:20" x14ac:dyDescent="0.25">
      <c r="B25" s="161">
        <v>43642</v>
      </c>
      <c r="C25" s="10">
        <v>66</v>
      </c>
      <c r="D25" s="39">
        <v>31.630500000000001</v>
      </c>
      <c r="E25" s="39">
        <v>29.26</v>
      </c>
      <c r="F25" s="39">
        <f t="shared" ref="F25" si="2">C25*(E25-D25)</f>
        <v>-156.45299999999997</v>
      </c>
      <c r="G25" s="39">
        <f t="shared" ref="G25" si="3">D25*C25</f>
        <v>2087.6130000000003</v>
      </c>
      <c r="H25" s="175">
        <f t="shared" ref="H25" si="4">(E25-D25)/D25</f>
        <v>-7.4943488089027982E-2</v>
      </c>
      <c r="I25" s="39"/>
      <c r="J25" s="39"/>
      <c r="K25" s="39"/>
      <c r="L25" s="39"/>
      <c r="O25" s="78">
        <v>1.04</v>
      </c>
      <c r="P25" s="78">
        <f t="shared" si="1"/>
        <v>26.904800000000002</v>
      </c>
    </row>
    <row r="26" spans="1:20" x14ac:dyDescent="0.25">
      <c r="B26" s="161">
        <v>43676</v>
      </c>
      <c r="C26" s="10">
        <v>66</v>
      </c>
      <c r="D26" s="39">
        <v>31.63</v>
      </c>
      <c r="E26" s="39">
        <v>29.13</v>
      </c>
      <c r="F26" s="39">
        <f t="shared" ref="F26:F33" si="5">C26*(E26-D26)</f>
        <v>-165</v>
      </c>
      <c r="G26" s="39">
        <f t="shared" ref="G26:G33" si="6">D26*C26</f>
        <v>2087.58</v>
      </c>
      <c r="H26" s="175">
        <f t="shared" ref="H26:H33" si="7">(E26-D26)/D26</f>
        <v>-7.9038887132469177E-2</v>
      </c>
      <c r="I26" s="39"/>
      <c r="J26" s="39"/>
      <c r="K26" s="39"/>
      <c r="L26" s="39"/>
      <c r="O26" s="78">
        <v>1.03</v>
      </c>
      <c r="P26" s="78">
        <f t="shared" si="1"/>
        <v>26.646100000000001</v>
      </c>
      <c r="T26" s="153"/>
    </row>
    <row r="27" spans="1:20" x14ac:dyDescent="0.25">
      <c r="B27" s="161">
        <v>43711</v>
      </c>
      <c r="C27" s="10">
        <v>132</v>
      </c>
      <c r="D27" s="39">
        <v>29.815200000000001</v>
      </c>
      <c r="E27" s="39">
        <v>28</v>
      </c>
      <c r="F27" s="39">
        <f t="shared" si="5"/>
        <v>-239.60640000000012</v>
      </c>
      <c r="G27" s="39">
        <f t="shared" si="6"/>
        <v>3935.6064000000001</v>
      </c>
      <c r="H27" s="175">
        <f t="shared" si="7"/>
        <v>-6.0881697925890176E-2</v>
      </c>
      <c r="I27" s="39"/>
      <c r="J27" s="39"/>
      <c r="K27" s="39"/>
      <c r="L27" s="39"/>
      <c r="O27" s="78">
        <v>1.02</v>
      </c>
      <c r="P27" s="78">
        <f t="shared" si="1"/>
        <v>26.387400000000003</v>
      </c>
      <c r="T27" s="64"/>
    </row>
    <row r="28" spans="1:20" x14ac:dyDescent="0.25">
      <c r="B28" s="161">
        <v>43722</v>
      </c>
      <c r="C28" s="10">
        <v>132</v>
      </c>
      <c r="D28" s="39">
        <v>29.75</v>
      </c>
      <c r="E28" s="39">
        <v>30.12</v>
      </c>
      <c r="F28" s="39">
        <f t="shared" si="5"/>
        <v>48.840000000000131</v>
      </c>
      <c r="G28" s="39">
        <f t="shared" si="6"/>
        <v>3927</v>
      </c>
      <c r="H28" s="175">
        <f t="shared" si="7"/>
        <v>1.2436974789916001E-2</v>
      </c>
      <c r="I28" s="39"/>
      <c r="J28" s="39"/>
      <c r="K28" s="39"/>
      <c r="L28" s="39"/>
      <c r="O28" s="78">
        <v>1.01</v>
      </c>
      <c r="P28" s="78">
        <f t="shared" si="1"/>
        <v>26.128700000000002</v>
      </c>
      <c r="T28" s="153"/>
    </row>
    <row r="29" spans="1:20" x14ac:dyDescent="0.25">
      <c r="B29" s="161">
        <v>43742</v>
      </c>
      <c r="C29" s="10">
        <v>200</v>
      </c>
      <c r="D29" s="39">
        <v>28.448</v>
      </c>
      <c r="E29" s="39">
        <v>25.92</v>
      </c>
      <c r="F29" s="39">
        <f t="shared" si="5"/>
        <v>-505.59999999999974</v>
      </c>
      <c r="G29" s="39">
        <f t="shared" si="6"/>
        <v>5689.6</v>
      </c>
      <c r="H29" s="175">
        <f t="shared" si="7"/>
        <v>-8.8863892013498272E-2</v>
      </c>
      <c r="I29" s="39"/>
      <c r="J29" s="39"/>
      <c r="K29" s="39"/>
      <c r="L29" s="39"/>
      <c r="O29" s="78">
        <v>1</v>
      </c>
      <c r="P29" s="78">
        <f t="shared" si="1"/>
        <v>25.87</v>
      </c>
      <c r="T29" s="153"/>
    </row>
    <row r="30" spans="1:20" x14ac:dyDescent="0.25">
      <c r="A30">
        <v>66</v>
      </c>
      <c r="B30" s="161">
        <v>43749</v>
      </c>
      <c r="C30" s="10">
        <v>134</v>
      </c>
      <c r="D30" s="39">
        <v>29.122</v>
      </c>
      <c r="E30" s="39">
        <v>27.08</v>
      </c>
      <c r="F30" s="39">
        <f t="shared" si="5"/>
        <v>-273.62800000000021</v>
      </c>
      <c r="G30" s="39">
        <f t="shared" si="6"/>
        <v>3902.348</v>
      </c>
      <c r="H30" s="175">
        <f t="shared" si="7"/>
        <v>-7.0118810521255459E-2</v>
      </c>
      <c r="I30" s="39"/>
      <c r="J30" s="39"/>
      <c r="K30" s="39"/>
      <c r="L30" s="39"/>
      <c r="O30" s="78">
        <v>0.99</v>
      </c>
      <c r="P30" s="78">
        <f t="shared" si="1"/>
        <v>25.6113</v>
      </c>
      <c r="T30" s="153"/>
    </row>
    <row r="31" spans="1:20" x14ac:dyDescent="0.25">
      <c r="B31" s="161">
        <v>43797</v>
      </c>
      <c r="C31" s="10">
        <v>134</v>
      </c>
      <c r="D31" s="39">
        <v>29.122</v>
      </c>
      <c r="E31" s="39">
        <v>26.05</v>
      </c>
      <c r="F31" s="39">
        <f t="shared" si="5"/>
        <v>-411.64799999999991</v>
      </c>
      <c r="G31" s="39">
        <f t="shared" si="6"/>
        <v>3902.348</v>
      </c>
      <c r="H31" s="175">
        <f t="shared" si="7"/>
        <v>-0.10548726049035091</v>
      </c>
      <c r="I31" s="39"/>
      <c r="J31" s="39"/>
      <c r="K31" s="39"/>
      <c r="L31" s="39"/>
      <c r="O31" s="78">
        <v>0.98</v>
      </c>
      <c r="P31" s="78">
        <f t="shared" si="1"/>
        <v>25.352599999999999</v>
      </c>
    </row>
    <row r="32" spans="1:20" x14ac:dyDescent="0.25">
      <c r="A32">
        <v>134</v>
      </c>
      <c r="B32" s="161">
        <v>43802</v>
      </c>
      <c r="C32" s="7">
        <v>250</v>
      </c>
      <c r="D32" s="43">
        <v>26.931000000000001</v>
      </c>
      <c r="E32" s="39">
        <v>24.65</v>
      </c>
      <c r="F32" s="39">
        <f t="shared" si="5"/>
        <v>-570.25000000000057</v>
      </c>
      <c r="G32" s="39">
        <f t="shared" si="6"/>
        <v>6732.75</v>
      </c>
      <c r="H32" s="175">
        <f t="shared" si="7"/>
        <v>-8.4697931751513217E-2</v>
      </c>
      <c r="I32" s="39"/>
      <c r="J32" s="39"/>
      <c r="K32" s="39"/>
      <c r="L32" s="39"/>
      <c r="O32" s="78">
        <v>0.97</v>
      </c>
      <c r="P32" s="78">
        <f t="shared" si="1"/>
        <v>25.093900000000001</v>
      </c>
    </row>
    <row r="33" spans="1:17" x14ac:dyDescent="0.25">
      <c r="A33">
        <v>34</v>
      </c>
      <c r="B33" s="161">
        <v>43807</v>
      </c>
      <c r="C33" s="10">
        <v>150</v>
      </c>
      <c r="D33" s="39">
        <v>27.898700000000002</v>
      </c>
      <c r="E33" s="39">
        <v>25.26</v>
      </c>
      <c r="F33" s="39">
        <f t="shared" si="5"/>
        <v>-395.80500000000001</v>
      </c>
      <c r="G33" s="39">
        <f t="shared" si="6"/>
        <v>4184.8050000000003</v>
      </c>
      <c r="H33" s="175">
        <f t="shared" si="7"/>
        <v>-9.4581467953703938E-2</v>
      </c>
      <c r="I33" s="39"/>
      <c r="J33" s="39"/>
      <c r="K33" s="39"/>
      <c r="L33" s="39"/>
      <c r="O33" s="78">
        <v>0.96</v>
      </c>
      <c r="P33" s="78">
        <f t="shared" si="1"/>
        <v>24.8352</v>
      </c>
    </row>
    <row r="34" spans="1:17" x14ac:dyDescent="0.25">
      <c r="B34" s="161"/>
      <c r="C34" s="10"/>
      <c r="D34" s="39"/>
      <c r="E34" s="39"/>
      <c r="F34" s="39"/>
      <c r="G34" s="39"/>
      <c r="H34" s="175"/>
      <c r="I34" s="39"/>
      <c r="J34" s="39"/>
      <c r="K34" s="39"/>
      <c r="L34" s="39"/>
      <c r="O34" s="78">
        <v>0.95</v>
      </c>
      <c r="P34" s="78">
        <f t="shared" si="1"/>
        <v>24.576499999999999</v>
      </c>
    </row>
    <row r="35" spans="1:17" x14ac:dyDescent="0.25">
      <c r="B35" s="161"/>
      <c r="C35" s="10"/>
      <c r="D35" s="39"/>
      <c r="E35" s="39"/>
      <c r="F35" s="39"/>
      <c r="G35" s="39"/>
      <c r="H35" s="175"/>
      <c r="I35" s="39"/>
      <c r="J35" s="39"/>
      <c r="K35" s="39"/>
      <c r="L35" s="39"/>
      <c r="O35" s="78">
        <v>0.94</v>
      </c>
      <c r="P35" s="78">
        <f t="shared" si="1"/>
        <v>24.317799999999998</v>
      </c>
    </row>
    <row r="36" spans="1:17" x14ac:dyDescent="0.25">
      <c r="B36" s="161"/>
      <c r="C36" s="10"/>
      <c r="D36" s="39"/>
      <c r="E36" s="39"/>
      <c r="F36" s="39"/>
      <c r="G36" s="39"/>
      <c r="H36" s="175"/>
      <c r="I36" s="39"/>
      <c r="J36" s="39"/>
      <c r="K36" s="39"/>
      <c r="L36" s="39"/>
      <c r="O36" s="78">
        <v>0.93</v>
      </c>
      <c r="P36" s="78">
        <f t="shared" si="1"/>
        <v>24.059100000000001</v>
      </c>
    </row>
    <row r="37" spans="1:17" x14ac:dyDescent="0.25">
      <c r="B37" s="161"/>
      <c r="C37" s="10"/>
      <c r="D37" s="39"/>
      <c r="E37" s="39"/>
      <c r="F37" s="39"/>
      <c r="G37" s="39"/>
      <c r="H37" s="175"/>
      <c r="I37" s="39"/>
      <c r="J37" s="39"/>
      <c r="K37" s="39"/>
      <c r="L37" s="39"/>
      <c r="O37" s="78">
        <v>0.92</v>
      </c>
      <c r="P37" s="78">
        <f t="shared" si="1"/>
        <v>23.800400000000003</v>
      </c>
    </row>
    <row r="38" spans="1:17" x14ac:dyDescent="0.25">
      <c r="B38" s="161"/>
      <c r="C38" s="10"/>
      <c r="D38" s="39"/>
      <c r="E38" s="39"/>
      <c r="F38" s="39"/>
      <c r="G38" s="39"/>
      <c r="H38" s="175"/>
      <c r="I38" s="39"/>
      <c r="J38" s="39"/>
      <c r="K38" s="39"/>
      <c r="L38" s="39"/>
      <c r="O38" s="78">
        <v>0.91</v>
      </c>
      <c r="P38" s="78">
        <f t="shared" si="1"/>
        <v>23.541700000000002</v>
      </c>
    </row>
    <row r="39" spans="1:17" x14ac:dyDescent="0.25">
      <c r="B39" s="161"/>
      <c r="C39" s="10"/>
      <c r="D39" s="39"/>
      <c r="E39" s="39"/>
      <c r="F39" s="39"/>
      <c r="G39" s="39"/>
      <c r="H39" s="175"/>
      <c r="I39" s="39"/>
      <c r="J39" s="39"/>
      <c r="K39" s="39"/>
      <c r="L39" s="39"/>
      <c r="O39" s="78">
        <v>0.9</v>
      </c>
      <c r="P39" s="78">
        <f t="shared" si="1"/>
        <v>23.283000000000001</v>
      </c>
    </row>
    <row r="40" spans="1:17" x14ac:dyDescent="0.25">
      <c r="B40" s="161"/>
      <c r="C40" s="10"/>
      <c r="D40" s="39"/>
      <c r="E40" s="39"/>
      <c r="F40" s="39"/>
      <c r="G40" s="39"/>
      <c r="H40" s="175"/>
      <c r="I40" s="39"/>
      <c r="J40" s="39"/>
      <c r="K40" s="39"/>
      <c r="L40" s="39"/>
    </row>
    <row r="41" spans="1:17" x14ac:dyDescent="0.25">
      <c r="B41" s="161"/>
      <c r="C41" s="10"/>
      <c r="D41" s="39"/>
      <c r="E41" s="39"/>
      <c r="F41" s="39"/>
      <c r="G41" s="39"/>
      <c r="H41" s="175"/>
      <c r="I41" s="39"/>
      <c r="J41" s="39"/>
      <c r="K41" s="39"/>
      <c r="L41" s="39"/>
      <c r="Q41" s="2"/>
    </row>
    <row r="42" spans="1:17" x14ac:dyDescent="0.25">
      <c r="B42" s="161"/>
      <c r="C42" s="10"/>
      <c r="D42" s="39"/>
      <c r="E42" s="39"/>
      <c r="F42" s="39"/>
      <c r="G42" s="39"/>
      <c r="H42" s="175"/>
      <c r="I42" s="39"/>
      <c r="J42" s="39"/>
      <c r="K42" s="39"/>
      <c r="L42" s="39"/>
      <c r="Q42" s="2"/>
    </row>
    <row r="43" spans="1:17" x14ac:dyDescent="0.25">
      <c r="B43" s="161"/>
      <c r="C43" s="10"/>
      <c r="D43" s="39"/>
      <c r="E43" s="39"/>
      <c r="F43" s="39"/>
      <c r="G43" s="39"/>
      <c r="H43" s="175"/>
      <c r="I43" s="39"/>
      <c r="J43" s="39"/>
      <c r="K43" s="39"/>
      <c r="L43" s="39"/>
      <c r="Q43" s="2"/>
    </row>
    <row r="44" spans="1:17" x14ac:dyDescent="0.25">
      <c r="B44" s="161"/>
      <c r="C44" s="10"/>
      <c r="D44" s="39"/>
      <c r="E44" s="39"/>
      <c r="F44" s="39"/>
      <c r="G44" s="39"/>
      <c r="H44" s="175"/>
      <c r="I44" s="39"/>
      <c r="J44" s="39"/>
      <c r="K44" s="39"/>
      <c r="L44" s="39"/>
      <c r="Q44" s="2"/>
    </row>
    <row r="45" spans="1:17" x14ac:dyDescent="0.25">
      <c r="B45" s="161"/>
      <c r="C45" s="10"/>
      <c r="D45" s="39"/>
      <c r="E45" s="39"/>
      <c r="F45" s="39"/>
      <c r="G45" s="39"/>
      <c r="H45" s="175"/>
      <c r="I45" s="39"/>
      <c r="J45" s="39"/>
      <c r="K45" s="39"/>
      <c r="L45" s="39"/>
      <c r="Q45" s="2"/>
    </row>
    <row r="46" spans="1:17" x14ac:dyDescent="0.25">
      <c r="B46" s="161"/>
      <c r="C46" s="10"/>
      <c r="D46" s="39"/>
      <c r="E46" s="39"/>
      <c r="F46" s="39"/>
      <c r="G46" s="39"/>
      <c r="H46" s="175"/>
      <c r="I46" s="39"/>
      <c r="J46" s="39"/>
      <c r="K46" s="39"/>
      <c r="L46" s="39"/>
      <c r="Q46" s="2"/>
    </row>
    <row r="47" spans="1:17" x14ac:dyDescent="0.25">
      <c r="B47" s="161"/>
      <c r="C47" s="10"/>
      <c r="D47" s="39"/>
      <c r="E47" s="39"/>
      <c r="F47" s="39"/>
      <c r="G47" s="39"/>
      <c r="H47" s="175"/>
      <c r="I47" s="39"/>
      <c r="J47" s="39"/>
      <c r="K47" s="39"/>
      <c r="L47" s="39"/>
      <c r="Q47" s="2"/>
    </row>
    <row r="48" spans="1: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3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161"/>
      <c r="C54" s="10"/>
      <c r="D54" s="39"/>
      <c r="E54" s="39"/>
      <c r="F54" s="39"/>
      <c r="G54" s="39"/>
      <c r="H54" s="175"/>
      <c r="I54" s="39"/>
      <c r="J54" s="760"/>
      <c r="K54" s="39"/>
      <c r="L54" s="39"/>
    </row>
    <row r="55" spans="1:17" x14ac:dyDescent="0.25">
      <c r="A55" s="4"/>
      <c r="B55" s="161"/>
      <c r="C55" s="10"/>
      <c r="D55" s="39"/>
      <c r="E55" s="39"/>
      <c r="F55" s="760"/>
      <c r="G55" s="39"/>
      <c r="H55" s="175"/>
      <c r="I55" s="39"/>
      <c r="J55" s="39"/>
      <c r="K55" s="39"/>
      <c r="L55" s="39"/>
    </row>
    <row r="56" spans="1:17" x14ac:dyDescent="0.25">
      <c r="A56" s="4"/>
      <c r="B56" s="161"/>
      <c r="C56" s="10"/>
      <c r="D56" s="39"/>
      <c r="E56" s="39"/>
      <c r="F56" s="760"/>
      <c r="G56" s="39"/>
      <c r="H56" s="175"/>
      <c r="I56" s="39"/>
      <c r="J56" s="39"/>
      <c r="K56" s="39"/>
      <c r="L56" s="39"/>
    </row>
    <row r="57" spans="1:17" x14ac:dyDescent="0.25">
      <c r="A57" s="4"/>
      <c r="B57" s="161"/>
      <c r="C57" s="10"/>
      <c r="D57" s="39"/>
      <c r="E57" s="39"/>
      <c r="F57" s="760"/>
      <c r="G57" s="39"/>
      <c r="H57" s="175"/>
      <c r="I57" s="39"/>
      <c r="J57" s="39"/>
      <c r="K57" s="39"/>
      <c r="L57" s="39"/>
    </row>
    <row r="58" spans="1:17" x14ac:dyDescent="0.25">
      <c r="A58" s="4"/>
      <c r="B58" s="161"/>
      <c r="C58" s="10"/>
      <c r="D58" s="39"/>
      <c r="E58" s="39"/>
      <c r="F58" s="39"/>
      <c r="G58" s="39"/>
      <c r="H58" s="175"/>
      <c r="I58" s="39"/>
      <c r="J58" s="39"/>
      <c r="K58" s="39"/>
      <c r="L58" s="39"/>
    </row>
    <row r="59" spans="1:17" x14ac:dyDescent="0.25">
      <c r="A59" s="4"/>
      <c r="B59" s="161"/>
      <c r="C59" s="10"/>
      <c r="D59" s="39"/>
      <c r="E59" s="39"/>
      <c r="F59" s="39"/>
      <c r="G59" s="39"/>
      <c r="H59" s="175"/>
      <c r="I59" s="39"/>
      <c r="J59" s="39"/>
      <c r="K59" s="39"/>
      <c r="L59" s="39"/>
    </row>
    <row r="60" spans="1:17" x14ac:dyDescent="0.25">
      <c r="A60" s="4"/>
      <c r="B60" s="161"/>
      <c r="C60" s="10"/>
      <c r="D60" s="39"/>
      <c r="E60" s="39"/>
      <c r="F60" s="39"/>
      <c r="G60" s="39"/>
      <c r="H60" s="175"/>
      <c r="I60" s="39"/>
      <c r="J60" s="39"/>
      <c r="K60" s="39"/>
      <c r="L60" s="39"/>
    </row>
    <row r="61" spans="1:17" x14ac:dyDescent="0.25">
      <c r="A61" s="4"/>
      <c r="B61" s="161"/>
      <c r="C61" s="10"/>
      <c r="D61" s="39"/>
      <c r="E61" s="39"/>
      <c r="F61" s="39"/>
      <c r="G61" s="39"/>
      <c r="H61" s="175"/>
      <c r="I61" s="39"/>
      <c r="J61" s="39"/>
      <c r="K61" s="39"/>
      <c r="L61" s="39"/>
    </row>
    <row r="62" spans="1:17" x14ac:dyDescent="0.25">
      <c r="A62" s="4"/>
      <c r="B62" s="161"/>
      <c r="C62" s="10"/>
      <c r="D62" s="39"/>
      <c r="E62" s="39"/>
      <c r="F62" s="39"/>
      <c r="G62" s="39"/>
      <c r="H62" s="175"/>
      <c r="I62" s="39"/>
      <c r="J62" s="39"/>
      <c r="K62" s="39"/>
      <c r="L62" s="39"/>
    </row>
    <row r="63" spans="1:17" x14ac:dyDescent="0.25">
      <c r="A63" s="4"/>
      <c r="B63" s="161"/>
      <c r="C63" s="10"/>
      <c r="D63" s="39"/>
      <c r="E63" s="39"/>
      <c r="F63" s="39"/>
      <c r="G63" s="39"/>
      <c r="H63" s="175"/>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19:O39">
    <cfRule type="colorScale" priority="40">
      <colorScale>
        <cfvo type="min"/>
        <cfvo type="percentile" val="50"/>
        <cfvo type="max"/>
        <color rgb="FFF8696B"/>
        <color rgb="FFFFEB84"/>
        <color rgb="FF63BE7B"/>
      </colorScale>
    </cfRule>
  </conditionalFormatting>
  <conditionalFormatting sqref="P19:P39">
    <cfRule type="colorScale" priority="39">
      <colorScale>
        <cfvo type="min"/>
        <cfvo type="percentile" val="50"/>
        <cfvo type="max"/>
        <color rgb="FFF8696B"/>
        <color rgb="FFFFEB84"/>
        <color rgb="FF63BE7B"/>
      </colorScale>
    </cfRule>
  </conditionalFormatting>
  <conditionalFormatting sqref="Q7">
    <cfRule type="expression" dxfId="3691" priority="37">
      <formula>Q7&gt;0</formula>
    </cfRule>
    <cfRule type="expression" dxfId="3690" priority="38">
      <formula>Q7&lt;0</formula>
    </cfRule>
  </conditionalFormatting>
  <conditionalFormatting sqref="Q8">
    <cfRule type="expression" dxfId="3689" priority="35">
      <formula>Q8&gt;0</formula>
    </cfRule>
    <cfRule type="expression" dxfId="3688" priority="36">
      <formula>Q8&lt;0</formula>
    </cfRule>
  </conditionalFormatting>
  <conditionalFormatting sqref="F34:F54 F58:F63">
    <cfRule type="expression" dxfId="3687" priority="33">
      <formula>F34&gt;0</formula>
    </cfRule>
    <cfRule type="expression" dxfId="3686" priority="34">
      <formula>F34&lt;0</formula>
    </cfRule>
  </conditionalFormatting>
  <conditionalFormatting sqref="H34:H54 H58:H63">
    <cfRule type="expression" dxfId="3685" priority="31">
      <formula>H34&gt;0</formula>
    </cfRule>
    <cfRule type="expression" dxfId="3684" priority="32">
      <formula>H34&lt;0</formula>
    </cfRule>
  </conditionalFormatting>
  <conditionalFormatting sqref="Q10">
    <cfRule type="expression" dxfId="3683" priority="29">
      <formula>Q10&gt;0</formula>
    </cfRule>
    <cfRule type="expression" dxfId="3682" priority="30">
      <formula>Q10&lt;0</formula>
    </cfRule>
  </conditionalFormatting>
  <conditionalFormatting sqref="J25:J38">
    <cfRule type="expression" dxfId="3681" priority="27">
      <formula>J25&gt;0</formula>
    </cfRule>
    <cfRule type="expression" dxfId="3680" priority="28">
      <formula>J25&lt;0</formula>
    </cfRule>
  </conditionalFormatting>
  <conditionalFormatting sqref="K25:K35 K37:K38">
    <cfRule type="expression" dxfId="3679" priority="25">
      <formula>K25&gt;0</formula>
    </cfRule>
    <cfRule type="expression" dxfId="3678" priority="26">
      <formula>K25&lt;0</formula>
    </cfRule>
  </conditionalFormatting>
  <conditionalFormatting sqref="F89:F110">
    <cfRule type="expression" dxfId="3677" priority="23">
      <formula>F89&gt;0</formula>
    </cfRule>
    <cfRule type="expression" dxfId="3676" priority="24">
      <formula>F89&lt;0</formula>
    </cfRule>
  </conditionalFormatting>
  <conditionalFormatting sqref="H89:H110">
    <cfRule type="expression" dxfId="3675" priority="21">
      <formula>H89&gt;0</formula>
    </cfRule>
    <cfRule type="expression" dxfId="3674" priority="22">
      <formula>H89&lt;0</formula>
    </cfRule>
  </conditionalFormatting>
  <conditionalFormatting sqref="J89:J102">
    <cfRule type="expression" dxfId="3673" priority="19">
      <formula>J89&gt;0</formula>
    </cfRule>
    <cfRule type="expression" dxfId="3672" priority="20">
      <formula>J89&lt;0</formula>
    </cfRule>
  </conditionalFormatting>
  <conditionalFormatting sqref="K89:K102">
    <cfRule type="expression" dxfId="3671" priority="17">
      <formula>K89&gt;0</formula>
    </cfRule>
    <cfRule type="expression" dxfId="3670" priority="18">
      <formula>K89&lt;0</formula>
    </cfRule>
  </conditionalFormatting>
  <conditionalFormatting sqref="L89:L102">
    <cfRule type="expression" dxfId="3669" priority="15">
      <formula>L89&gt;0</formula>
    </cfRule>
    <cfRule type="expression" dxfId="3668" priority="16">
      <formula>L89&lt;0</formula>
    </cfRule>
  </conditionalFormatting>
  <conditionalFormatting sqref="F30:F33">
    <cfRule type="expression" dxfId="3667" priority="13">
      <formula>F30&gt;0</formula>
    </cfRule>
    <cfRule type="expression" dxfId="3666" priority="14">
      <formula>F30&lt;0</formula>
    </cfRule>
  </conditionalFormatting>
  <conditionalFormatting sqref="H30:H33">
    <cfRule type="expression" dxfId="3665" priority="11">
      <formula>H30&gt;0</formula>
    </cfRule>
    <cfRule type="expression" dxfId="3664" priority="12">
      <formula>H30&lt;0</formula>
    </cfRule>
  </conditionalFormatting>
  <conditionalFormatting sqref="J54">
    <cfRule type="expression" dxfId="3663" priority="9">
      <formula>J54&gt;0</formula>
    </cfRule>
    <cfRule type="expression" dxfId="3662" priority="10">
      <formula>J54&lt;0</formula>
    </cfRule>
  </conditionalFormatting>
  <conditionalFormatting sqref="F55:F57">
    <cfRule type="expression" dxfId="3661" priority="7">
      <formula>F55&gt;0</formula>
    </cfRule>
    <cfRule type="expression" dxfId="3660" priority="8">
      <formula>F55&lt;0</formula>
    </cfRule>
  </conditionalFormatting>
  <conditionalFormatting sqref="H55:H57">
    <cfRule type="expression" dxfId="3659" priority="5">
      <formula>H55&gt;0</formula>
    </cfRule>
    <cfRule type="expression" dxfId="3658" priority="6">
      <formula>H55&lt;0</formula>
    </cfRule>
  </conditionalFormatting>
  <conditionalFormatting sqref="F25:F29">
    <cfRule type="expression" dxfId="3657" priority="3">
      <formula>F25&gt;0</formula>
    </cfRule>
    <cfRule type="expression" dxfId="3656" priority="4">
      <formula>F25&lt;0</formula>
    </cfRule>
  </conditionalFormatting>
  <conditionalFormatting sqref="H25:H29">
    <cfRule type="expression" dxfId="3655" priority="1">
      <formula>H25&gt;0</formula>
    </cfRule>
    <cfRule type="expression" dxfId="3654" priority="2">
      <formula>H25&lt;0</formula>
    </cfRule>
  </conditionalFormatting>
  <hyperlinks>
    <hyperlink ref="A3" location="ACTIVE!A1" display="Back"/>
  </hyperlinks>
  <pageMargins left="0.7" right="0.7" top="0.75" bottom="0.75" header="0.3" footer="0.3"/>
  <pageSetup orientation="portrait"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AQ69"/>
  <sheetViews>
    <sheetView workbookViewId="0">
      <pane ySplit="1" topLeftCell="A2" activePane="bottomLeft" state="frozen"/>
      <selection activeCell="A2" sqref="A2"/>
      <selection pane="bottomLeft"/>
    </sheetView>
  </sheetViews>
  <sheetFormatPr defaultRowHeight="15" x14ac:dyDescent="0.25"/>
  <cols>
    <col min="4" max="5" width="10" style="2" customWidth="1"/>
    <col min="6" max="6" width="9.140625" style="2"/>
    <col min="9" max="11" width="9.140625" style="2"/>
    <col min="18" max="18" width="9.7109375" bestFit="1" customWidth="1"/>
    <col min="20" max="20" width="24" customWidth="1"/>
    <col min="21" max="21" width="34.85546875" customWidth="1"/>
    <col min="22" max="22" width="21.28515625" customWidth="1"/>
    <col min="23" max="23" width="12.42578125" customWidth="1"/>
    <col min="24" max="27" width="6" bestFit="1" customWidth="1"/>
    <col min="28" max="28" width="10.140625" bestFit="1" customWidth="1"/>
    <col min="29" max="29" width="10.28515625" bestFit="1" customWidth="1"/>
    <col min="30" max="30" width="13.140625" customWidth="1"/>
    <col min="31" max="31" width="11" customWidth="1"/>
  </cols>
  <sheetData>
    <row r="1" spans="1:43"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c r="W1" s="88" t="s">
        <v>113</v>
      </c>
      <c r="X1" s="88" t="s">
        <v>114</v>
      </c>
      <c r="Y1" s="88" t="s">
        <v>115</v>
      </c>
      <c r="Z1" s="88" t="s">
        <v>116</v>
      </c>
      <c r="AA1" s="88" t="s">
        <v>117</v>
      </c>
      <c r="AB1" s="88" t="s">
        <v>118</v>
      </c>
      <c r="AC1" s="88" t="s">
        <v>119</v>
      </c>
      <c r="AD1" s="11" t="s">
        <v>125</v>
      </c>
      <c r="AE1" s="11" t="s">
        <v>127</v>
      </c>
      <c r="AI1" s="11" t="s">
        <v>152</v>
      </c>
      <c r="AJ1" s="11" t="s">
        <v>153</v>
      </c>
      <c r="AK1" s="11" t="s">
        <v>154</v>
      </c>
      <c r="AL1" s="11" t="s">
        <v>155</v>
      </c>
      <c r="AO1" s="11" t="s">
        <v>156</v>
      </c>
      <c r="AP1" s="11" t="s">
        <v>59</v>
      </c>
      <c r="AQ1" s="11" t="s">
        <v>158</v>
      </c>
    </row>
    <row r="2" spans="1:43" x14ac:dyDescent="0.25">
      <c r="A2" s="6" t="s">
        <v>1325</v>
      </c>
      <c r="B2" s="69"/>
      <c r="C2" s="4"/>
      <c r="D2" s="3"/>
      <c r="E2" s="3"/>
      <c r="F2" s="3"/>
      <c r="G2" s="69"/>
      <c r="H2" s="4"/>
      <c r="I2" s="3"/>
      <c r="J2" s="3"/>
      <c r="K2" s="3"/>
      <c r="L2" s="4"/>
      <c r="M2" s="4"/>
      <c r="O2" s="11" t="s">
        <v>57</v>
      </c>
      <c r="Q2">
        <f>C18-H18</f>
        <v>0</v>
      </c>
      <c r="T2" t="s">
        <v>83</v>
      </c>
      <c r="U2" t="s">
        <v>84</v>
      </c>
      <c r="W2" s="127">
        <v>42830</v>
      </c>
      <c r="X2" s="10">
        <v>36.89</v>
      </c>
      <c r="Y2" s="10">
        <v>37.479999999999997</v>
      </c>
      <c r="Z2" s="10">
        <v>36.74</v>
      </c>
      <c r="AA2" s="10">
        <v>36.840000000000003</v>
      </c>
      <c r="AB2" s="90">
        <v>1661300</v>
      </c>
      <c r="AC2" s="10">
        <v>36.840000000000003</v>
      </c>
      <c r="AD2" s="2">
        <f>Y2-Z2</f>
        <v>0.73999999999999488</v>
      </c>
      <c r="AE2" s="131">
        <f>AC2/AC3-1</f>
        <v>5.4318305268874489E-4</v>
      </c>
      <c r="AP2" t="s">
        <v>157</v>
      </c>
    </row>
    <row r="3" spans="1:43" x14ac:dyDescent="0.25">
      <c r="A3" s="22" t="s">
        <v>71</v>
      </c>
      <c r="B3" s="69"/>
      <c r="C3" s="4"/>
      <c r="D3" s="3"/>
      <c r="E3" s="3"/>
      <c r="F3" s="3"/>
      <c r="G3" s="69"/>
      <c r="H3" s="4"/>
      <c r="I3" s="3"/>
      <c r="J3" s="3"/>
      <c r="K3" s="3"/>
      <c r="L3" s="4"/>
      <c r="M3" s="4"/>
      <c r="O3" s="11" t="s">
        <v>58</v>
      </c>
      <c r="Q3" s="75">
        <f>IF(Q2=0, Q4, (F18-K18)/Q2)</f>
        <v>32.79</v>
      </c>
      <c r="T3" s="1">
        <v>42312</v>
      </c>
      <c r="U3" t="s">
        <v>145</v>
      </c>
      <c r="W3" s="127">
        <v>42829</v>
      </c>
      <c r="X3" s="10">
        <v>37.65</v>
      </c>
      <c r="Y3" s="10">
        <v>37.82</v>
      </c>
      <c r="Z3" s="10">
        <v>36.61</v>
      </c>
      <c r="AA3" s="10">
        <v>36.82</v>
      </c>
      <c r="AB3" s="90">
        <v>2429700</v>
      </c>
      <c r="AC3" s="10">
        <v>36.82</v>
      </c>
      <c r="AD3" s="2">
        <f t="shared" ref="AD3:AD66" si="0">Y3-Z3</f>
        <v>1.2100000000000009</v>
      </c>
      <c r="AE3" s="131">
        <f t="shared" ref="AE3:AE66" si="1">AC3/AC4-1</f>
        <v>-3.2071503680336511E-2</v>
      </c>
      <c r="AI3" t="s">
        <v>159</v>
      </c>
      <c r="AJ3">
        <v>50</v>
      </c>
      <c r="AK3">
        <v>41.2</v>
      </c>
      <c r="AL3" s="178">
        <v>2060</v>
      </c>
      <c r="AO3" s="178">
        <v>2126</v>
      </c>
      <c r="AP3">
        <v>66</v>
      </c>
      <c r="AQ3">
        <v>3.2</v>
      </c>
    </row>
    <row r="4" spans="1:43" x14ac:dyDescent="0.25">
      <c r="B4" s="69"/>
      <c r="C4" s="4"/>
      <c r="D4" s="3"/>
      <c r="E4" s="3"/>
      <c r="F4" s="3"/>
      <c r="G4" s="69"/>
      <c r="H4" s="158"/>
      <c r="I4" s="3"/>
      <c r="J4" s="3"/>
      <c r="K4" s="3"/>
      <c r="L4" s="4"/>
      <c r="M4" s="4"/>
      <c r="O4" s="11" t="s">
        <v>66</v>
      </c>
      <c r="Q4" s="53">
        <v>32.79</v>
      </c>
      <c r="R4" s="396">
        <v>1.9099999999999999E-2</v>
      </c>
      <c r="W4" s="127">
        <v>42828</v>
      </c>
      <c r="X4" s="10">
        <v>38.159999999999997</v>
      </c>
      <c r="Y4" s="10">
        <v>38.25</v>
      </c>
      <c r="Z4" s="10">
        <v>37.74</v>
      </c>
      <c r="AA4" s="10">
        <v>38.04</v>
      </c>
      <c r="AB4" s="90">
        <v>1437300</v>
      </c>
      <c r="AC4" s="10">
        <v>38.04</v>
      </c>
      <c r="AD4" s="2">
        <f t="shared" si="0"/>
        <v>0.50999999999999801</v>
      </c>
      <c r="AE4" s="131">
        <f t="shared" si="1"/>
        <v>-1.836788244555243E-3</v>
      </c>
    </row>
    <row r="5" spans="1:43" x14ac:dyDescent="0.25">
      <c r="B5" s="69"/>
      <c r="C5" s="4"/>
      <c r="D5" s="3"/>
      <c r="E5" s="3"/>
      <c r="F5" s="3"/>
      <c r="G5" s="69"/>
      <c r="H5" s="158"/>
      <c r="I5" s="3"/>
      <c r="J5" s="3"/>
      <c r="K5" s="3"/>
      <c r="L5" s="4"/>
      <c r="M5" s="4"/>
      <c r="O5" s="11" t="s">
        <v>67</v>
      </c>
      <c r="Q5" s="3">
        <f>Q4*Q2</f>
        <v>0</v>
      </c>
      <c r="W5" s="127">
        <v>42825</v>
      </c>
      <c r="X5" s="10">
        <v>38.24</v>
      </c>
      <c r="Y5" s="10">
        <v>38.35</v>
      </c>
      <c r="Z5" s="10">
        <v>38.049999999999997</v>
      </c>
      <c r="AA5" s="10">
        <v>38.11</v>
      </c>
      <c r="AB5" s="90">
        <v>1365000</v>
      </c>
      <c r="AC5" s="10">
        <v>38.11</v>
      </c>
      <c r="AD5" s="2">
        <f t="shared" si="0"/>
        <v>0.30000000000000426</v>
      </c>
      <c r="AE5" s="131">
        <f t="shared" si="1"/>
        <v>-5.2452137424607859E-4</v>
      </c>
    </row>
    <row r="6" spans="1:43" x14ac:dyDescent="0.25">
      <c r="B6" s="69"/>
      <c r="C6" s="4"/>
      <c r="D6" s="3"/>
      <c r="E6" s="3"/>
      <c r="F6" s="3"/>
      <c r="G6" s="69"/>
      <c r="H6" s="158"/>
      <c r="I6" s="3"/>
      <c r="J6" s="3"/>
      <c r="K6" s="3"/>
      <c r="L6" s="4"/>
      <c r="M6" s="4"/>
      <c r="O6" s="11" t="s">
        <v>64</v>
      </c>
      <c r="Q6" s="2">
        <f>Q3*Q2</f>
        <v>0</v>
      </c>
      <c r="W6" s="127">
        <v>42824</v>
      </c>
      <c r="X6" s="10">
        <v>37.979999999999997</v>
      </c>
      <c r="Y6" s="10">
        <v>38.46</v>
      </c>
      <c r="Z6" s="10">
        <v>37.979999999999997</v>
      </c>
      <c r="AA6" s="10">
        <v>38.130000000000003</v>
      </c>
      <c r="AB6" s="90">
        <v>1683600</v>
      </c>
      <c r="AC6" s="10">
        <v>38.130000000000003</v>
      </c>
      <c r="AD6" s="2">
        <f t="shared" si="0"/>
        <v>0.48000000000000398</v>
      </c>
      <c r="AE6" s="131">
        <f t="shared" si="1"/>
        <v>-3.9184952978056353E-3</v>
      </c>
    </row>
    <row r="7" spans="1:43" x14ac:dyDescent="0.25">
      <c r="B7" s="69"/>
      <c r="C7" s="4"/>
      <c r="D7" s="3"/>
      <c r="E7" s="3"/>
      <c r="F7" s="3"/>
      <c r="G7" s="69"/>
      <c r="H7" s="158"/>
      <c r="I7" s="3"/>
      <c r="J7" s="3"/>
      <c r="K7" s="3"/>
      <c r="L7" s="4"/>
      <c r="M7" s="4"/>
      <c r="O7" s="11" t="s">
        <v>175</v>
      </c>
      <c r="Q7" s="2">
        <f>Q10+Q8</f>
        <v>937.36999999999534</v>
      </c>
      <c r="R7">
        <v>0</v>
      </c>
      <c r="W7" s="127">
        <v>42823</v>
      </c>
      <c r="X7" s="10">
        <v>38.14</v>
      </c>
      <c r="Y7" s="10">
        <v>38.590000000000003</v>
      </c>
      <c r="Z7" s="10">
        <v>38.049999999999997</v>
      </c>
      <c r="AA7" s="10">
        <v>38.28</v>
      </c>
      <c r="AB7" s="90">
        <v>1742400</v>
      </c>
      <c r="AC7" s="10">
        <v>38.28</v>
      </c>
      <c r="AD7" s="2">
        <f t="shared" si="0"/>
        <v>0.54000000000000625</v>
      </c>
      <c r="AE7" s="131">
        <f t="shared" si="1"/>
        <v>-1.8252933507171276E-3</v>
      </c>
    </row>
    <row r="8" spans="1:43" x14ac:dyDescent="0.25">
      <c r="B8" s="69"/>
      <c r="C8" s="4"/>
      <c r="D8" s="3"/>
      <c r="E8" s="3"/>
      <c r="F8" s="3"/>
      <c r="G8" s="69"/>
      <c r="H8" s="158"/>
      <c r="I8" s="3"/>
      <c r="J8" s="3"/>
      <c r="K8" s="3"/>
      <c r="L8" s="4"/>
      <c r="M8" s="4"/>
      <c r="O8" s="11" t="s">
        <v>177</v>
      </c>
      <c r="P8" s="33"/>
      <c r="Q8" s="2">
        <f>K18+M18-F18+Q2*Q4</f>
        <v>0</v>
      </c>
      <c r="W8" s="127">
        <v>42822</v>
      </c>
      <c r="X8" s="10">
        <v>37.79</v>
      </c>
      <c r="Y8" s="10">
        <v>38.49</v>
      </c>
      <c r="Z8" s="10">
        <v>37.68</v>
      </c>
      <c r="AA8" s="10">
        <v>38.35</v>
      </c>
      <c r="AB8" s="90">
        <v>1736300</v>
      </c>
      <c r="AC8" s="10">
        <v>38.35</v>
      </c>
      <c r="AD8" s="2">
        <f t="shared" si="0"/>
        <v>0.81000000000000227</v>
      </c>
      <c r="AE8" s="131">
        <f t="shared" si="1"/>
        <v>1.4550264550264647E-2</v>
      </c>
    </row>
    <row r="9" spans="1:43" x14ac:dyDescent="0.25">
      <c r="B9" s="69"/>
      <c r="C9" s="4"/>
      <c r="D9" s="3"/>
      <c r="E9" s="3"/>
      <c r="F9" s="3"/>
      <c r="G9" s="69"/>
      <c r="H9" s="158"/>
      <c r="I9" s="3"/>
      <c r="J9" s="3"/>
      <c r="K9" s="3"/>
      <c r="L9" s="4"/>
      <c r="M9" s="4"/>
      <c r="O9" s="11" t="s">
        <v>202</v>
      </c>
      <c r="Q9" s="131">
        <f>IF(Q2=0, 0, Q8/Q6)</f>
        <v>0</v>
      </c>
      <c r="W9" s="127">
        <v>42821</v>
      </c>
      <c r="X9" s="10">
        <v>37.299999999999997</v>
      </c>
      <c r="Y9" s="10">
        <v>38.17</v>
      </c>
      <c r="Z9" s="10">
        <v>37.270000000000003</v>
      </c>
      <c r="AA9" s="10">
        <v>37.799999999999997</v>
      </c>
      <c r="AB9" s="90">
        <v>1756900</v>
      </c>
      <c r="AC9" s="10">
        <v>37.799999999999997</v>
      </c>
      <c r="AD9" s="2">
        <f t="shared" si="0"/>
        <v>0.89999999999999858</v>
      </c>
      <c r="AE9" s="131">
        <f t="shared" si="1"/>
        <v>6.389776357827337E-3</v>
      </c>
    </row>
    <row r="10" spans="1:43" x14ac:dyDescent="0.25">
      <c r="B10" s="69"/>
      <c r="C10" s="4"/>
      <c r="D10" s="3"/>
      <c r="E10" s="3"/>
      <c r="F10" s="3"/>
      <c r="G10" s="69"/>
      <c r="H10" s="158"/>
      <c r="I10" s="3"/>
      <c r="J10" s="3"/>
      <c r="K10" s="3"/>
      <c r="L10" s="4"/>
      <c r="M10" s="4"/>
      <c r="O10" s="11" t="s">
        <v>201</v>
      </c>
      <c r="P10" s="33"/>
      <c r="Q10" s="2">
        <f>M30</f>
        <v>937.36999999999534</v>
      </c>
      <c r="W10" s="127">
        <v>42818</v>
      </c>
      <c r="X10" s="10">
        <v>37.229999999999997</v>
      </c>
      <c r="Y10" s="10">
        <v>37.67</v>
      </c>
      <c r="Z10" s="10">
        <v>37.020000000000003</v>
      </c>
      <c r="AA10" s="10">
        <v>37.56</v>
      </c>
      <c r="AB10" s="90">
        <v>1157900</v>
      </c>
      <c r="AC10" s="10">
        <v>37.56</v>
      </c>
      <c r="AD10" s="2">
        <f t="shared" si="0"/>
        <v>0.64999999999999858</v>
      </c>
      <c r="AE10" s="131">
        <f t="shared" si="1"/>
        <v>8.8638195004029363E-3</v>
      </c>
    </row>
    <row r="11" spans="1:43" x14ac:dyDescent="0.25">
      <c r="B11" s="69"/>
      <c r="C11" s="4"/>
      <c r="D11" s="3"/>
      <c r="E11" s="3"/>
      <c r="F11" s="3"/>
      <c r="G11" s="69"/>
      <c r="H11" s="158"/>
      <c r="I11" s="3"/>
      <c r="J11" s="3"/>
      <c r="K11" s="3"/>
      <c r="L11" s="4"/>
      <c r="M11" s="4"/>
      <c r="O11" s="11" t="s">
        <v>173</v>
      </c>
      <c r="P11" s="33"/>
      <c r="Q11" s="131">
        <f>IF(U58="N/A (N/A)", 0, VALUE(TRIM(CLEAN(MID(U58, FIND("(", U58)+1, 5)))))</f>
        <v>0</v>
      </c>
      <c r="W11" s="127">
        <v>42817</v>
      </c>
      <c r="X11" s="10">
        <v>36.97</v>
      </c>
      <c r="Y11" s="10">
        <v>37.61</v>
      </c>
      <c r="Z11" s="10">
        <v>36.94</v>
      </c>
      <c r="AA11" s="10">
        <v>37.229999999999997</v>
      </c>
      <c r="AB11" s="90">
        <v>1537800</v>
      </c>
      <c r="AC11" s="10">
        <v>37.229999999999997</v>
      </c>
      <c r="AD11" s="2">
        <f t="shared" si="0"/>
        <v>0.67000000000000171</v>
      </c>
      <c r="AE11" s="131">
        <f t="shared" si="1"/>
        <v>1.7769272826681171E-2</v>
      </c>
    </row>
    <row r="12" spans="1:43" x14ac:dyDescent="0.25">
      <c r="B12" s="69"/>
      <c r="C12" s="4"/>
      <c r="D12" s="3"/>
      <c r="E12" s="3"/>
      <c r="F12" s="3"/>
      <c r="G12" s="69"/>
      <c r="H12" s="158"/>
      <c r="I12" s="3"/>
      <c r="J12" s="3"/>
      <c r="K12" s="3"/>
      <c r="L12" s="4"/>
      <c r="M12" s="4"/>
      <c r="W12" s="127">
        <v>42816</v>
      </c>
      <c r="X12" s="10">
        <v>36.54</v>
      </c>
      <c r="Y12" s="10">
        <v>36.630000000000003</v>
      </c>
      <c r="Z12" s="10">
        <v>36.1</v>
      </c>
      <c r="AA12" s="10">
        <v>36.58</v>
      </c>
      <c r="AB12" s="90">
        <v>1480900</v>
      </c>
      <c r="AC12" s="10">
        <v>36.58</v>
      </c>
      <c r="AD12" s="2">
        <f t="shared" si="0"/>
        <v>0.53000000000000114</v>
      </c>
      <c r="AE12" s="131">
        <f t="shared" si="1"/>
        <v>-4.354926510615198E-3</v>
      </c>
    </row>
    <row r="13" spans="1:43" x14ac:dyDescent="0.25">
      <c r="B13" s="69"/>
      <c r="C13" s="4"/>
      <c r="D13" s="3"/>
      <c r="E13" s="3"/>
      <c r="F13" s="3"/>
      <c r="G13" s="4"/>
      <c r="H13" s="4"/>
      <c r="I13" s="3"/>
      <c r="J13" s="3"/>
      <c r="K13" s="3"/>
      <c r="L13" s="4"/>
      <c r="M13" s="4"/>
      <c r="W13" s="127">
        <v>42815</v>
      </c>
      <c r="X13" s="10">
        <v>37.4</v>
      </c>
      <c r="Y13" s="10">
        <v>37.549999999999997</v>
      </c>
      <c r="Z13" s="10">
        <v>36.36</v>
      </c>
      <c r="AA13" s="10">
        <v>36.74</v>
      </c>
      <c r="AB13" s="90">
        <v>2442600</v>
      </c>
      <c r="AC13" s="10">
        <v>36.74</v>
      </c>
      <c r="AD13" s="2">
        <f t="shared" si="0"/>
        <v>1.1899999999999977</v>
      </c>
      <c r="AE13" s="131">
        <f t="shared" si="1"/>
        <v>-1.7384327360256746E-2</v>
      </c>
    </row>
    <row r="14" spans="1:43" x14ac:dyDescent="0.25">
      <c r="B14" s="69"/>
      <c r="C14" s="4"/>
      <c r="D14" s="3"/>
      <c r="E14" s="3"/>
      <c r="F14" s="3"/>
      <c r="G14" s="4"/>
      <c r="H14" s="4"/>
      <c r="I14" s="3"/>
      <c r="J14" s="3"/>
      <c r="K14" s="3"/>
      <c r="L14" s="4"/>
      <c r="M14" s="4"/>
      <c r="W14" s="127">
        <v>42814</v>
      </c>
      <c r="X14" s="10">
        <v>37.82</v>
      </c>
      <c r="Y14" s="10">
        <v>37.94</v>
      </c>
      <c r="Z14" s="10">
        <v>37.130000000000003</v>
      </c>
      <c r="AA14" s="10">
        <v>37.39</v>
      </c>
      <c r="AB14" s="90">
        <v>1575500</v>
      </c>
      <c r="AC14" s="10">
        <v>37.39</v>
      </c>
      <c r="AD14" s="2">
        <f t="shared" si="0"/>
        <v>0.80999999999999517</v>
      </c>
      <c r="AE14" s="131">
        <f t="shared" si="1"/>
        <v>-1.163098070314561E-2</v>
      </c>
    </row>
    <row r="15" spans="1:43" x14ac:dyDescent="0.25">
      <c r="W15" s="127">
        <v>42811</v>
      </c>
      <c r="X15" s="10">
        <v>37.72</v>
      </c>
      <c r="Y15" s="10">
        <v>37.99</v>
      </c>
      <c r="Z15" s="10">
        <v>37.39</v>
      </c>
      <c r="AA15" s="10">
        <v>37.83</v>
      </c>
      <c r="AB15" s="90">
        <v>2640700</v>
      </c>
      <c r="AC15" s="10">
        <v>37.83</v>
      </c>
      <c r="AD15" s="2">
        <f t="shared" si="0"/>
        <v>0.60000000000000142</v>
      </c>
      <c r="AE15" s="131">
        <f t="shared" si="1"/>
        <v>2.3847376788552754E-3</v>
      </c>
    </row>
    <row r="16" spans="1:43" x14ac:dyDescent="0.25">
      <c r="W16" s="127">
        <v>42810</v>
      </c>
      <c r="X16" s="10">
        <v>37.54</v>
      </c>
      <c r="Y16" s="10">
        <v>38.159999999999997</v>
      </c>
      <c r="Z16" s="10">
        <v>37.42</v>
      </c>
      <c r="AA16" s="10">
        <v>37.74</v>
      </c>
      <c r="AB16" s="90">
        <v>2637900</v>
      </c>
      <c r="AC16" s="10">
        <v>37.74</v>
      </c>
      <c r="AD16" s="2">
        <f t="shared" si="0"/>
        <v>0.73999999999999488</v>
      </c>
      <c r="AE16" s="131">
        <f t="shared" si="1"/>
        <v>3.4565275192768308E-3</v>
      </c>
    </row>
    <row r="17" spans="1:31" x14ac:dyDescent="0.25">
      <c r="B17" s="1"/>
      <c r="C17" s="4"/>
      <c r="W17" s="127">
        <v>42809</v>
      </c>
      <c r="X17" s="10">
        <v>37.17</v>
      </c>
      <c r="Y17" s="10">
        <v>37.83</v>
      </c>
      <c r="Z17" s="10">
        <v>37.03</v>
      </c>
      <c r="AA17" s="10">
        <v>37.61</v>
      </c>
      <c r="AB17" s="90">
        <v>2194500</v>
      </c>
      <c r="AC17" s="10">
        <v>37.61</v>
      </c>
      <c r="AD17" s="2">
        <f t="shared" si="0"/>
        <v>0.79999999999999716</v>
      </c>
      <c r="AE17" s="131">
        <f t="shared" si="1"/>
        <v>1.0749798441279212E-2</v>
      </c>
    </row>
    <row r="18" spans="1:31" x14ac:dyDescent="0.25">
      <c r="A18" s="35" t="s">
        <v>81</v>
      </c>
      <c r="B18" s="36"/>
      <c r="C18" s="36">
        <f>SUM(C2:C17)</f>
        <v>0</v>
      </c>
      <c r="D18" s="37"/>
      <c r="E18" s="37"/>
      <c r="F18" s="37">
        <f>SUM(F2:F14)</f>
        <v>0</v>
      </c>
      <c r="G18" s="37"/>
      <c r="H18" s="37">
        <f>SUM(H2:H14)</f>
        <v>0</v>
      </c>
      <c r="I18" s="37"/>
      <c r="J18" s="37"/>
      <c r="K18" s="37">
        <f>SUM(K2:K17)</f>
        <v>0</v>
      </c>
      <c r="L18" s="36"/>
      <c r="M18" s="36"/>
      <c r="W18" s="127">
        <v>42808</v>
      </c>
      <c r="X18" s="10">
        <v>36.72</v>
      </c>
      <c r="Y18" s="10">
        <v>37.81</v>
      </c>
      <c r="Z18" s="10">
        <v>36.72</v>
      </c>
      <c r="AA18" s="10">
        <v>37.21</v>
      </c>
      <c r="AB18" s="90">
        <v>2608700</v>
      </c>
      <c r="AC18" s="10">
        <v>37.21</v>
      </c>
      <c r="AD18" s="2">
        <f t="shared" si="0"/>
        <v>1.0900000000000034</v>
      </c>
      <c r="AE18" s="131">
        <f t="shared" si="1"/>
        <v>7.8548212351028379E-3</v>
      </c>
    </row>
    <row r="19" spans="1:31" x14ac:dyDescent="0.25">
      <c r="W19" s="127">
        <v>42807</v>
      </c>
      <c r="X19" s="10">
        <v>36.93</v>
      </c>
      <c r="Y19" s="10">
        <v>37.29</v>
      </c>
      <c r="Z19" s="10">
        <v>36.799999999999997</v>
      </c>
      <c r="AA19" s="10">
        <v>36.92</v>
      </c>
      <c r="AB19" s="90">
        <v>2801700</v>
      </c>
      <c r="AC19" s="10">
        <v>36.92</v>
      </c>
      <c r="AD19" s="2">
        <f t="shared" si="0"/>
        <v>0.49000000000000199</v>
      </c>
      <c r="AE19" s="131">
        <f t="shared" si="1"/>
        <v>1.8995929443690329E-3</v>
      </c>
    </row>
    <row r="20" spans="1:31" x14ac:dyDescent="0.25">
      <c r="W20" s="127">
        <v>42804</v>
      </c>
      <c r="X20" s="10">
        <v>36.65</v>
      </c>
      <c r="Y20" s="10">
        <v>37.090000000000003</v>
      </c>
      <c r="Z20" s="10">
        <v>36.58</v>
      </c>
      <c r="AA20" s="10">
        <v>36.85</v>
      </c>
      <c r="AB20" s="90">
        <v>2944800</v>
      </c>
      <c r="AC20" s="10">
        <v>36.85</v>
      </c>
      <c r="AD20" s="2">
        <f t="shared" si="0"/>
        <v>0.51000000000000512</v>
      </c>
      <c r="AE20" s="131">
        <f t="shared" si="1"/>
        <v>1.0696653867251715E-2</v>
      </c>
    </row>
    <row r="21" spans="1:31" x14ac:dyDescent="0.25">
      <c r="B21" s="159" t="s">
        <v>113</v>
      </c>
      <c r="C21" s="159" t="s">
        <v>143</v>
      </c>
      <c r="D21" s="160" t="s">
        <v>142</v>
      </c>
      <c r="E21" s="162" t="s">
        <v>144</v>
      </c>
      <c r="F21" s="163" t="s">
        <v>65</v>
      </c>
      <c r="G21" s="173" t="s">
        <v>148</v>
      </c>
      <c r="H21" s="163" t="s">
        <v>88</v>
      </c>
      <c r="W21" s="127">
        <v>42803</v>
      </c>
      <c r="X21" s="10">
        <v>36.5</v>
      </c>
      <c r="Y21" s="10">
        <v>36.65</v>
      </c>
      <c r="Z21" s="10">
        <v>36.03</v>
      </c>
      <c r="AA21" s="10">
        <v>36.46</v>
      </c>
      <c r="AB21" s="90">
        <v>3547400</v>
      </c>
      <c r="AC21" s="10">
        <v>36.46</v>
      </c>
      <c r="AD21" s="2">
        <f t="shared" si="0"/>
        <v>0.61999999999999744</v>
      </c>
      <c r="AE21" s="131">
        <f t="shared" si="1"/>
        <v>1.6483516483516425E-3</v>
      </c>
    </row>
    <row r="22" spans="1:31" x14ac:dyDescent="0.25">
      <c r="B22" s="161"/>
      <c r="C22" s="10"/>
      <c r="D22" s="39"/>
      <c r="E22" s="39"/>
      <c r="F22" s="39"/>
      <c r="G22" s="39"/>
      <c r="H22" s="175"/>
      <c r="W22" s="127">
        <v>42802</v>
      </c>
      <c r="X22" s="10">
        <v>36.229999999999997</v>
      </c>
      <c r="Y22" s="10">
        <v>36.590000000000003</v>
      </c>
      <c r="Z22" s="10">
        <v>36.04</v>
      </c>
      <c r="AA22" s="10">
        <v>36.4</v>
      </c>
      <c r="AB22" s="90">
        <v>2508200</v>
      </c>
      <c r="AC22" s="10">
        <v>36.4</v>
      </c>
      <c r="AD22" s="2">
        <f t="shared" si="0"/>
        <v>0.55000000000000426</v>
      </c>
      <c r="AE22" s="131">
        <f t="shared" si="1"/>
        <v>1.0549694614103045E-2</v>
      </c>
    </row>
    <row r="23" spans="1:31" x14ac:dyDescent="0.25">
      <c r="B23" s="161"/>
      <c r="C23" s="10"/>
      <c r="D23" s="39"/>
      <c r="E23" s="39"/>
      <c r="F23" s="39"/>
      <c r="G23" s="10"/>
      <c r="H23" s="10"/>
      <c r="W23" s="127">
        <v>42801</v>
      </c>
      <c r="X23" s="10">
        <v>36.39</v>
      </c>
      <c r="Y23" s="10">
        <v>36.58</v>
      </c>
      <c r="Z23" s="10">
        <v>35.909999999999997</v>
      </c>
      <c r="AA23" s="10">
        <v>36.020000000000003</v>
      </c>
      <c r="AB23" s="90">
        <v>2144600</v>
      </c>
      <c r="AC23" s="10">
        <v>36.020000000000003</v>
      </c>
      <c r="AD23" s="2">
        <f t="shared" si="0"/>
        <v>0.67000000000000171</v>
      </c>
      <c r="AE23" s="131">
        <f t="shared" si="1"/>
        <v>-1.3420980553272899E-2</v>
      </c>
    </row>
    <row r="24" spans="1:31" x14ac:dyDescent="0.25">
      <c r="B24" s="10"/>
      <c r="C24" s="10"/>
      <c r="D24" s="39"/>
      <c r="E24" s="39"/>
      <c r="F24" s="39"/>
      <c r="G24" s="10"/>
      <c r="H24" s="10"/>
      <c r="W24" s="127">
        <v>42800</v>
      </c>
      <c r="X24" s="10">
        <v>36.43</v>
      </c>
      <c r="Y24" s="10">
        <v>36.799999999999997</v>
      </c>
      <c r="Z24" s="10">
        <v>36.26</v>
      </c>
      <c r="AA24" s="10">
        <v>36.51</v>
      </c>
      <c r="AB24" s="90">
        <v>2019500</v>
      </c>
      <c r="AC24" s="10">
        <v>36.51</v>
      </c>
      <c r="AD24" s="2">
        <f t="shared" si="0"/>
        <v>0.53999999999999915</v>
      </c>
      <c r="AE24" s="131">
        <f t="shared" si="1"/>
        <v>2.7464982147762385E-3</v>
      </c>
    </row>
    <row r="25" spans="1:31" x14ac:dyDescent="0.25">
      <c r="B25" s="10"/>
      <c r="C25" s="10"/>
      <c r="D25" s="39"/>
      <c r="E25" s="39"/>
      <c r="F25" s="39"/>
      <c r="G25" s="10"/>
      <c r="H25" s="10"/>
      <c r="W25" s="127">
        <v>42797</v>
      </c>
      <c r="X25" s="10">
        <v>37.25</v>
      </c>
      <c r="Y25" s="10">
        <v>37.44</v>
      </c>
      <c r="Z25" s="10">
        <v>36.17</v>
      </c>
      <c r="AA25" s="10">
        <v>36.409999999999997</v>
      </c>
      <c r="AB25" s="90">
        <v>1729700</v>
      </c>
      <c r="AC25" s="10">
        <v>36.409999999999997</v>
      </c>
      <c r="AD25" s="2">
        <f t="shared" si="0"/>
        <v>1.269999999999996</v>
      </c>
      <c r="AE25" s="131">
        <f t="shared" si="1"/>
        <v>-1.674318120442897E-2</v>
      </c>
    </row>
    <row r="26" spans="1:31" x14ac:dyDescent="0.25">
      <c r="B26" s="10"/>
      <c r="C26" s="10"/>
      <c r="D26" s="39"/>
      <c r="E26" s="39"/>
      <c r="F26" s="39"/>
      <c r="G26" s="10"/>
      <c r="H26" s="10"/>
      <c r="W26" s="127">
        <v>42796</v>
      </c>
      <c r="X26" s="10">
        <v>36.93</v>
      </c>
      <c r="Y26" s="10">
        <v>37.119999999999997</v>
      </c>
      <c r="Z26" s="10">
        <v>36.71</v>
      </c>
      <c r="AA26" s="10">
        <v>37.03</v>
      </c>
      <c r="AB26" s="90">
        <v>3020300</v>
      </c>
      <c r="AC26" s="10">
        <v>37.03</v>
      </c>
      <c r="AD26" s="2">
        <f t="shared" si="0"/>
        <v>0.40999999999999659</v>
      </c>
      <c r="AE26" s="131">
        <f t="shared" si="1"/>
        <v>3.523035230352356E-3</v>
      </c>
    </row>
    <row r="27" spans="1:31" x14ac:dyDescent="0.25">
      <c r="B27" s="10"/>
      <c r="C27" s="10"/>
      <c r="D27" s="39"/>
      <c r="E27" s="39"/>
      <c r="F27" s="39"/>
      <c r="G27" s="10"/>
      <c r="H27" s="10"/>
      <c r="W27" s="127">
        <v>42795</v>
      </c>
      <c r="X27" s="10">
        <v>36.869999999999997</v>
      </c>
      <c r="Y27" s="10">
        <v>37.06</v>
      </c>
      <c r="Z27" s="10">
        <v>36.44</v>
      </c>
      <c r="AA27" s="10">
        <v>36.9</v>
      </c>
      <c r="AB27" s="90">
        <v>6996800</v>
      </c>
      <c r="AC27" s="10">
        <v>36.9</v>
      </c>
      <c r="AD27" s="2">
        <f t="shared" si="0"/>
        <v>0.62000000000000455</v>
      </c>
      <c r="AE27" s="131">
        <f t="shared" si="1"/>
        <v>1.0958904109588996E-2</v>
      </c>
    </row>
    <row r="28" spans="1:31" x14ac:dyDescent="0.25">
      <c r="B28" s="10"/>
      <c r="C28" s="10"/>
      <c r="D28" s="39"/>
      <c r="E28" s="39"/>
      <c r="F28" s="39"/>
      <c r="G28" s="10"/>
      <c r="H28" s="10"/>
      <c r="W28" s="127">
        <v>42794</v>
      </c>
      <c r="X28" s="10">
        <v>37.5</v>
      </c>
      <c r="Y28" s="10">
        <v>37.57</v>
      </c>
      <c r="Z28" s="10">
        <v>36.369999999999997</v>
      </c>
      <c r="AA28" s="10">
        <v>36.5</v>
      </c>
      <c r="AB28" s="90">
        <v>3556400</v>
      </c>
      <c r="AC28" s="10">
        <v>36.5</v>
      </c>
      <c r="AD28" s="2">
        <f t="shared" si="0"/>
        <v>1.2000000000000028</v>
      </c>
      <c r="AE28" s="131">
        <f t="shared" si="1"/>
        <v>-2.9255319148936199E-2</v>
      </c>
    </row>
    <row r="29" spans="1:31" x14ac:dyDescent="0.25">
      <c r="W29" s="127">
        <v>42793</v>
      </c>
      <c r="X29" s="10">
        <v>37.450000000000003</v>
      </c>
      <c r="Y29" s="10">
        <v>37.99</v>
      </c>
      <c r="Z29" s="10">
        <v>37.35</v>
      </c>
      <c r="AA29" s="10">
        <v>37.6</v>
      </c>
      <c r="AB29" s="90">
        <v>4209300</v>
      </c>
      <c r="AC29" s="10">
        <v>37.6</v>
      </c>
      <c r="AD29" s="2">
        <f t="shared" si="0"/>
        <v>0.64000000000000057</v>
      </c>
      <c r="AE29" s="131">
        <f t="shared" si="1"/>
        <v>8.0428954423592547E-3</v>
      </c>
    </row>
    <row r="30" spans="1:31" x14ac:dyDescent="0.25">
      <c r="L30" t="s">
        <v>201</v>
      </c>
      <c r="M30" s="2">
        <f>M52+K52-F52</f>
        <v>937.36999999999534</v>
      </c>
      <c r="W30" s="127">
        <v>42790</v>
      </c>
      <c r="X30" s="10">
        <v>37.369999999999997</v>
      </c>
      <c r="Y30" s="10">
        <v>37.78</v>
      </c>
      <c r="Z30" s="10">
        <v>37.020000000000003</v>
      </c>
      <c r="AA30" s="10">
        <v>37.299999999999997</v>
      </c>
      <c r="AB30" s="90">
        <v>2631700</v>
      </c>
      <c r="AC30" s="10">
        <v>37.299999999999997</v>
      </c>
      <c r="AD30" s="2">
        <f t="shared" si="0"/>
        <v>0.75999999999999801</v>
      </c>
      <c r="AE30" s="131">
        <f t="shared" si="1"/>
        <v>5.3648068669520654E-4</v>
      </c>
    </row>
    <row r="31" spans="1:31" x14ac:dyDescent="0.25">
      <c r="A31" s="297" t="s">
        <v>1</v>
      </c>
      <c r="B31" s="297" t="s">
        <v>2</v>
      </c>
      <c r="C31" s="297" t="s">
        <v>4</v>
      </c>
      <c r="D31" s="299" t="s">
        <v>5</v>
      </c>
      <c r="E31" s="299" t="s">
        <v>94</v>
      </c>
      <c r="F31" s="299" t="s">
        <v>60</v>
      </c>
      <c r="G31" s="297" t="s">
        <v>3</v>
      </c>
      <c r="H31" s="297" t="s">
        <v>6</v>
      </c>
      <c r="I31" s="299" t="s">
        <v>7</v>
      </c>
      <c r="J31" s="299" t="s">
        <v>95</v>
      </c>
      <c r="K31" s="299" t="s">
        <v>61</v>
      </c>
      <c r="L31" s="297" t="s">
        <v>77</v>
      </c>
      <c r="M31" s="297" t="s">
        <v>38</v>
      </c>
      <c r="W31" s="127">
        <v>42789</v>
      </c>
      <c r="X31" s="10">
        <v>38.159999999999997</v>
      </c>
      <c r="Y31" s="10">
        <v>38.44</v>
      </c>
      <c r="Z31" s="10">
        <v>37.21</v>
      </c>
      <c r="AA31" s="10">
        <v>37.28</v>
      </c>
      <c r="AB31" s="90">
        <v>3655400</v>
      </c>
      <c r="AC31" s="10">
        <v>37.28</v>
      </c>
      <c r="AD31" s="2">
        <f t="shared" si="0"/>
        <v>1.2299999999999969</v>
      </c>
      <c r="AE31" s="131">
        <f t="shared" si="1"/>
        <v>-1.6877637130801704E-2</v>
      </c>
    </row>
    <row r="32" spans="1:31" x14ac:dyDescent="0.25">
      <c r="A32" s="300" t="s">
        <v>24</v>
      </c>
      <c r="B32" s="290">
        <v>42156</v>
      </c>
      <c r="C32" s="291">
        <v>5</v>
      </c>
      <c r="D32" s="292">
        <v>48.55</v>
      </c>
      <c r="E32" s="292">
        <v>0</v>
      </c>
      <c r="F32" s="292">
        <f>C32*D32</f>
        <v>242.75</v>
      </c>
      <c r="G32" s="290">
        <v>42186</v>
      </c>
      <c r="H32" s="291">
        <v>100</v>
      </c>
      <c r="I32" s="292">
        <v>44.99</v>
      </c>
      <c r="J32" s="292">
        <v>0.08</v>
      </c>
      <c r="K32" s="292">
        <f>H32*I32-J32</f>
        <v>4498.92</v>
      </c>
      <c r="L32" s="291" t="s">
        <v>80</v>
      </c>
      <c r="M32" s="291"/>
      <c r="W32" s="127">
        <v>42788</v>
      </c>
      <c r="X32" s="10">
        <v>38.29</v>
      </c>
      <c r="Y32" s="10">
        <v>38.42</v>
      </c>
      <c r="Z32" s="10">
        <v>37.71</v>
      </c>
      <c r="AA32" s="10">
        <v>37.92</v>
      </c>
      <c r="AB32" s="90">
        <v>1929300</v>
      </c>
      <c r="AC32" s="10">
        <v>37.92</v>
      </c>
      <c r="AD32" s="2">
        <f t="shared" si="0"/>
        <v>0.71000000000000085</v>
      </c>
      <c r="AE32" s="131">
        <f t="shared" si="1"/>
        <v>-1.018010963194993E-2</v>
      </c>
    </row>
    <row r="33" spans="1:31" x14ac:dyDescent="0.25">
      <c r="A33" s="301" t="s">
        <v>71</v>
      </c>
      <c r="B33" s="290">
        <v>42156</v>
      </c>
      <c r="C33" s="291">
        <v>5</v>
      </c>
      <c r="D33" s="292">
        <v>47.01</v>
      </c>
      <c r="E33" s="292">
        <v>0</v>
      </c>
      <c r="F33" s="292">
        <f t="shared" ref="F33:F44" si="2">C33*D33</f>
        <v>235.04999999999998</v>
      </c>
      <c r="G33" s="290">
        <v>42227</v>
      </c>
      <c r="H33" s="291">
        <v>100</v>
      </c>
      <c r="I33" s="292">
        <v>43</v>
      </c>
      <c r="J33" s="292">
        <v>0.08</v>
      </c>
      <c r="K33" s="292">
        <f>H33*I33-J33</f>
        <v>4299.92</v>
      </c>
      <c r="L33" s="291"/>
      <c r="M33" s="291"/>
      <c r="W33" s="127">
        <v>42787</v>
      </c>
      <c r="X33" s="10">
        <v>38.299999999999997</v>
      </c>
      <c r="Y33" s="10">
        <v>39.64</v>
      </c>
      <c r="Z33" s="10">
        <v>38.049999999999997</v>
      </c>
      <c r="AA33" s="10">
        <v>38.31</v>
      </c>
      <c r="AB33" s="90">
        <v>2676100</v>
      </c>
      <c r="AC33" s="10">
        <v>38.31</v>
      </c>
      <c r="AD33" s="2">
        <f t="shared" si="0"/>
        <v>1.5900000000000034</v>
      </c>
      <c r="AE33" s="131">
        <f t="shared" si="1"/>
        <v>2.6109660574435978E-4</v>
      </c>
    </row>
    <row r="34" spans="1:31" x14ac:dyDescent="0.25">
      <c r="A34" s="291"/>
      <c r="B34" s="290">
        <v>42156</v>
      </c>
      <c r="C34" s="291">
        <v>10</v>
      </c>
      <c r="D34" s="292">
        <v>46.5</v>
      </c>
      <c r="E34" s="292">
        <v>0</v>
      </c>
      <c r="F34" s="292">
        <f t="shared" si="2"/>
        <v>465</v>
      </c>
      <c r="G34" s="290">
        <v>42312</v>
      </c>
      <c r="H34" s="295">
        <v>40</v>
      </c>
      <c r="I34" s="292">
        <v>42.5</v>
      </c>
      <c r="J34" s="292">
        <v>0.03</v>
      </c>
      <c r="K34" s="292">
        <f>H34*I34-J34</f>
        <v>1699.97</v>
      </c>
      <c r="L34" s="291"/>
      <c r="M34" s="291"/>
      <c r="W34" s="127">
        <v>42783</v>
      </c>
      <c r="X34" s="10">
        <v>37.950000000000003</v>
      </c>
      <c r="Y34" s="10">
        <v>38.44</v>
      </c>
      <c r="Z34" s="10">
        <v>37.81</v>
      </c>
      <c r="AA34" s="10">
        <v>38.299999999999997</v>
      </c>
      <c r="AB34" s="90">
        <v>2464400</v>
      </c>
      <c r="AC34" s="10">
        <v>38.299999999999997</v>
      </c>
      <c r="AD34" s="2">
        <f t="shared" si="0"/>
        <v>0.62999999999999545</v>
      </c>
      <c r="AE34" s="131">
        <f t="shared" si="1"/>
        <v>2.3554043444122819E-3</v>
      </c>
    </row>
    <row r="35" spans="1:31" x14ac:dyDescent="0.25">
      <c r="A35" s="291"/>
      <c r="B35" s="290">
        <v>42156</v>
      </c>
      <c r="C35" s="291">
        <v>50</v>
      </c>
      <c r="D35" s="292">
        <v>45.95</v>
      </c>
      <c r="E35" s="292">
        <v>0</v>
      </c>
      <c r="F35" s="292">
        <f t="shared" si="2"/>
        <v>2297.5</v>
      </c>
      <c r="G35" s="290">
        <v>42318</v>
      </c>
      <c r="H35" s="295">
        <v>14</v>
      </c>
      <c r="I35" s="292">
        <v>43.5</v>
      </c>
      <c r="J35" s="292">
        <v>0.01</v>
      </c>
      <c r="K35" s="292">
        <f t="shared" ref="K35:K42" si="3">H35*I35-J35</f>
        <v>608.99</v>
      </c>
      <c r="L35" s="291"/>
      <c r="M35" s="291"/>
      <c r="W35" s="127">
        <v>42782</v>
      </c>
      <c r="X35" s="10">
        <v>38.6</v>
      </c>
      <c r="Y35" s="10">
        <v>39.22</v>
      </c>
      <c r="Z35" s="10">
        <v>37.799999999999997</v>
      </c>
      <c r="AA35" s="10">
        <v>38.21</v>
      </c>
      <c r="AB35" s="90">
        <v>2931600</v>
      </c>
      <c r="AC35" s="10">
        <v>38.21</v>
      </c>
      <c r="AD35" s="2">
        <f t="shared" si="0"/>
        <v>1.4200000000000017</v>
      </c>
      <c r="AE35" s="131">
        <f t="shared" si="1"/>
        <v>4.2049934296979341E-3</v>
      </c>
    </row>
    <row r="36" spans="1:31" x14ac:dyDescent="0.25">
      <c r="A36" s="291"/>
      <c r="B36" s="290">
        <v>42156</v>
      </c>
      <c r="C36" s="291">
        <v>30</v>
      </c>
      <c r="D36" s="292">
        <v>45.95</v>
      </c>
      <c r="E36" s="292">
        <v>0</v>
      </c>
      <c r="F36" s="292">
        <f t="shared" si="2"/>
        <v>1378.5</v>
      </c>
      <c r="G36" s="290">
        <v>42318</v>
      </c>
      <c r="H36" s="295">
        <v>26</v>
      </c>
      <c r="I36" s="292">
        <v>43.78</v>
      </c>
      <c r="J36" s="292">
        <v>0.02</v>
      </c>
      <c r="K36" s="292">
        <f t="shared" si="3"/>
        <v>1138.26</v>
      </c>
      <c r="L36" s="291"/>
      <c r="M36" s="291"/>
      <c r="W36" s="127">
        <v>42781</v>
      </c>
      <c r="X36" s="10">
        <v>37.83</v>
      </c>
      <c r="Y36" s="10">
        <v>38.32</v>
      </c>
      <c r="Z36" s="10">
        <v>37.83</v>
      </c>
      <c r="AA36" s="10">
        <v>38.049999999999997</v>
      </c>
      <c r="AB36" s="90">
        <v>2608100</v>
      </c>
      <c r="AC36" s="10">
        <v>38.049999999999997</v>
      </c>
      <c r="AD36" s="2">
        <f t="shared" si="0"/>
        <v>0.49000000000000199</v>
      </c>
      <c r="AE36" s="131">
        <f t="shared" si="1"/>
        <v>-1.312335958005395E-3</v>
      </c>
    </row>
    <row r="37" spans="1:31" x14ac:dyDescent="0.25">
      <c r="A37" s="291"/>
      <c r="B37" s="290">
        <v>42186</v>
      </c>
      <c r="C37" s="291">
        <v>100</v>
      </c>
      <c r="D37" s="292">
        <v>44.9</v>
      </c>
      <c r="E37" s="292">
        <v>0</v>
      </c>
      <c r="F37" s="292">
        <f t="shared" si="2"/>
        <v>4490</v>
      </c>
      <c r="G37" s="290">
        <v>42320</v>
      </c>
      <c r="H37" s="295">
        <v>10</v>
      </c>
      <c r="I37" s="292">
        <v>43.9</v>
      </c>
      <c r="J37" s="292">
        <v>0.01</v>
      </c>
      <c r="K37" s="292">
        <f t="shared" si="3"/>
        <v>438.99</v>
      </c>
      <c r="L37" s="291"/>
      <c r="M37" s="291"/>
      <c r="W37" s="127">
        <v>42780</v>
      </c>
      <c r="X37" s="10">
        <v>37.64</v>
      </c>
      <c r="Y37" s="10">
        <v>38.299999999999997</v>
      </c>
      <c r="Z37" s="10">
        <v>37.630000000000003</v>
      </c>
      <c r="AA37" s="10">
        <v>38.1</v>
      </c>
      <c r="AB37" s="90">
        <v>3072000</v>
      </c>
      <c r="AC37" s="10">
        <v>38.1</v>
      </c>
      <c r="AD37" s="2">
        <f t="shared" si="0"/>
        <v>0.6699999999999946</v>
      </c>
      <c r="AE37" s="131">
        <f t="shared" si="1"/>
        <v>1.3297872340425565E-2</v>
      </c>
    </row>
    <row r="38" spans="1:31" x14ac:dyDescent="0.25">
      <c r="A38" s="291"/>
      <c r="B38" s="290">
        <v>42206</v>
      </c>
      <c r="C38" s="291">
        <v>20</v>
      </c>
      <c r="D38" s="292">
        <v>41.2</v>
      </c>
      <c r="E38" s="292">
        <v>0</v>
      </c>
      <c r="F38" s="292">
        <f t="shared" si="2"/>
        <v>824</v>
      </c>
      <c r="G38" s="290">
        <v>42333</v>
      </c>
      <c r="H38" s="295">
        <v>50</v>
      </c>
      <c r="I38" s="292">
        <v>41.67</v>
      </c>
      <c r="J38" s="292">
        <v>0.04</v>
      </c>
      <c r="K38" s="292">
        <f t="shared" si="3"/>
        <v>2083.46</v>
      </c>
      <c r="L38" s="291"/>
      <c r="M38" s="291"/>
      <c r="W38" s="127">
        <v>42779</v>
      </c>
      <c r="X38" s="10">
        <v>38.29</v>
      </c>
      <c r="Y38" s="10">
        <v>38.450000000000003</v>
      </c>
      <c r="Z38" s="10">
        <v>37.57</v>
      </c>
      <c r="AA38" s="10">
        <v>37.6</v>
      </c>
      <c r="AB38" s="90">
        <v>3579800</v>
      </c>
      <c r="AC38" s="10">
        <v>37.6</v>
      </c>
      <c r="AD38" s="2">
        <f t="shared" si="0"/>
        <v>0.88000000000000256</v>
      </c>
      <c r="AE38" s="131">
        <f t="shared" si="1"/>
        <v>-2.0323084940072955E-2</v>
      </c>
    </row>
    <row r="39" spans="1:31" x14ac:dyDescent="0.25">
      <c r="A39" s="291"/>
      <c r="B39" s="290">
        <v>42207</v>
      </c>
      <c r="C39" s="291">
        <v>20</v>
      </c>
      <c r="D39" s="292">
        <v>40.68</v>
      </c>
      <c r="E39" s="292">
        <v>0</v>
      </c>
      <c r="F39" s="292">
        <f t="shared" si="2"/>
        <v>813.6</v>
      </c>
      <c r="G39" s="290">
        <v>42335</v>
      </c>
      <c r="H39" s="295">
        <v>50</v>
      </c>
      <c r="I39" s="292">
        <v>41.85</v>
      </c>
      <c r="J39" s="292">
        <v>0.04</v>
      </c>
      <c r="K39" s="292">
        <f t="shared" si="3"/>
        <v>2092.46</v>
      </c>
      <c r="L39" s="291"/>
      <c r="M39" s="291"/>
      <c r="W39" s="127">
        <v>42776</v>
      </c>
      <c r="X39" s="10">
        <v>38.479999999999997</v>
      </c>
      <c r="Y39" s="10">
        <v>38.909999999999997</v>
      </c>
      <c r="Z39" s="10">
        <v>37.96</v>
      </c>
      <c r="AA39" s="10">
        <v>38.380000000000003</v>
      </c>
      <c r="AB39" s="90">
        <v>3836100</v>
      </c>
      <c r="AC39" s="10">
        <v>38.380000000000003</v>
      </c>
      <c r="AD39" s="2">
        <f t="shared" si="0"/>
        <v>0.94999999999999574</v>
      </c>
      <c r="AE39" s="131">
        <f t="shared" si="1"/>
        <v>2.8743140841389625E-3</v>
      </c>
    </row>
    <row r="40" spans="1:31" x14ac:dyDescent="0.25">
      <c r="A40" s="291"/>
      <c r="B40" s="290">
        <v>42292</v>
      </c>
      <c r="C40" s="291">
        <v>40</v>
      </c>
      <c r="D40" s="292">
        <v>41.65</v>
      </c>
      <c r="E40" s="292">
        <v>0</v>
      </c>
      <c r="F40" s="292">
        <f t="shared" si="2"/>
        <v>1666</v>
      </c>
      <c r="G40" s="290">
        <v>42335</v>
      </c>
      <c r="H40" s="295">
        <v>50</v>
      </c>
      <c r="I40" s="292">
        <v>42.4</v>
      </c>
      <c r="J40" s="292">
        <v>0.04</v>
      </c>
      <c r="K40" s="292">
        <f t="shared" si="3"/>
        <v>2119.96</v>
      </c>
      <c r="L40" s="291"/>
      <c r="M40" s="291"/>
      <c r="W40" s="127">
        <v>42775</v>
      </c>
      <c r="X40" s="10">
        <v>37.869999999999997</v>
      </c>
      <c r="Y40" s="10">
        <v>38.869999999999997</v>
      </c>
      <c r="Z40" s="10">
        <v>37.869999999999997</v>
      </c>
      <c r="AA40" s="10">
        <v>38.270000000000003</v>
      </c>
      <c r="AB40" s="90">
        <v>3724200</v>
      </c>
      <c r="AC40" s="10">
        <v>38.270000000000003</v>
      </c>
      <c r="AD40" s="2">
        <f t="shared" si="0"/>
        <v>1</v>
      </c>
      <c r="AE40" s="131">
        <f t="shared" si="1"/>
        <v>1.0562450488513564E-2</v>
      </c>
    </row>
    <row r="41" spans="1:31" x14ac:dyDescent="0.25">
      <c r="A41" s="291"/>
      <c r="B41" s="290">
        <v>42298</v>
      </c>
      <c r="C41" s="291">
        <v>80</v>
      </c>
      <c r="D41" s="292">
        <v>40.450000000000003</v>
      </c>
      <c r="E41" s="292">
        <v>0</v>
      </c>
      <c r="F41" s="292">
        <f t="shared" si="2"/>
        <v>3236</v>
      </c>
      <c r="G41" s="290">
        <v>42398</v>
      </c>
      <c r="H41" s="295">
        <v>50</v>
      </c>
      <c r="I41" s="292">
        <v>39.65</v>
      </c>
      <c r="J41" s="292">
        <v>0.04</v>
      </c>
      <c r="K41" s="292">
        <f t="shared" si="3"/>
        <v>1982.46</v>
      </c>
      <c r="L41" s="291"/>
      <c r="M41" s="291"/>
      <c r="W41" s="127">
        <v>42774</v>
      </c>
      <c r="X41" s="10">
        <v>36.76</v>
      </c>
      <c r="Y41" s="10">
        <v>38.659999999999997</v>
      </c>
      <c r="Z41" s="10">
        <v>36.42</v>
      </c>
      <c r="AA41" s="10">
        <v>37.869999999999997</v>
      </c>
      <c r="AB41" s="90">
        <v>9795800</v>
      </c>
      <c r="AC41" s="10">
        <v>37.869999999999997</v>
      </c>
      <c r="AD41" s="2">
        <f t="shared" si="0"/>
        <v>2.2399999999999949</v>
      </c>
      <c r="AE41" s="131">
        <f t="shared" si="1"/>
        <v>2.8517110266159662E-2</v>
      </c>
    </row>
    <row r="42" spans="1:31" ht="20.25" thickBot="1" x14ac:dyDescent="0.35">
      <c r="A42" s="291"/>
      <c r="B42" s="290">
        <v>42298</v>
      </c>
      <c r="C42" s="291">
        <v>80</v>
      </c>
      <c r="D42" s="292">
        <v>39.9</v>
      </c>
      <c r="E42" s="292">
        <v>0</v>
      </c>
      <c r="F42" s="292">
        <f t="shared" si="2"/>
        <v>3192</v>
      </c>
      <c r="G42" s="290">
        <v>42408</v>
      </c>
      <c r="H42" s="295">
        <v>50</v>
      </c>
      <c r="I42" s="292">
        <v>51.5</v>
      </c>
      <c r="J42" s="292">
        <v>0.05</v>
      </c>
      <c r="K42" s="292">
        <f t="shared" si="3"/>
        <v>2574.9499999999998</v>
      </c>
      <c r="L42" s="291"/>
      <c r="M42" s="291"/>
      <c r="O42" s="150" t="s">
        <v>78</v>
      </c>
      <c r="P42" s="150"/>
      <c r="T42" s="86" t="s">
        <v>112</v>
      </c>
      <c r="W42" s="127">
        <v>42773</v>
      </c>
      <c r="X42" s="10">
        <v>36.090000000000003</v>
      </c>
      <c r="Y42" s="10">
        <v>36.82</v>
      </c>
      <c r="Z42" s="10">
        <v>34.92</v>
      </c>
      <c r="AA42" s="10">
        <v>36.82</v>
      </c>
      <c r="AB42" s="90">
        <v>21436400</v>
      </c>
      <c r="AC42" s="10">
        <v>36.82</v>
      </c>
      <c r="AD42" s="2">
        <f t="shared" si="0"/>
        <v>1.8999999999999986</v>
      </c>
      <c r="AE42" s="131">
        <f t="shared" si="1"/>
        <v>-0.1080426356589147</v>
      </c>
    </row>
    <row r="43" spans="1:31" ht="15.75" thickTop="1" x14ac:dyDescent="0.25">
      <c r="A43" s="291"/>
      <c r="B43" s="290">
        <v>42333</v>
      </c>
      <c r="C43" s="291">
        <v>50</v>
      </c>
      <c r="D43" s="292">
        <v>41.2</v>
      </c>
      <c r="E43" s="292">
        <v>0</v>
      </c>
      <c r="F43" s="292">
        <f t="shared" si="2"/>
        <v>2060</v>
      </c>
      <c r="G43" s="291"/>
      <c r="H43" s="291"/>
      <c r="I43" s="292"/>
      <c r="J43" s="292"/>
      <c r="K43" s="292"/>
      <c r="L43" s="291"/>
      <c r="M43" s="291"/>
      <c r="O43" s="78">
        <v>1.1000000000000001</v>
      </c>
      <c r="P43" s="78">
        <f>O43*$Q$4</f>
        <v>36.069000000000003</v>
      </c>
      <c r="T43" s="122" t="s">
        <v>97</v>
      </c>
      <c r="U43" s="93">
        <v>36.82</v>
      </c>
      <c r="W43" s="127">
        <v>42772</v>
      </c>
      <c r="X43" s="10">
        <v>41.05</v>
      </c>
      <c r="Y43" s="10">
        <v>41.36</v>
      </c>
      <c r="Z43" s="10">
        <v>40.75</v>
      </c>
      <c r="AA43" s="10">
        <v>41.28</v>
      </c>
      <c r="AB43" s="90">
        <v>2858900</v>
      </c>
      <c r="AC43" s="10">
        <v>41.28</v>
      </c>
      <c r="AD43" s="2">
        <f t="shared" si="0"/>
        <v>0.60999999999999943</v>
      </c>
      <c r="AE43" s="131">
        <f t="shared" si="1"/>
        <v>6.3383715260847406E-3</v>
      </c>
    </row>
    <row r="44" spans="1:31" x14ac:dyDescent="0.25">
      <c r="A44" s="291"/>
      <c r="B44" s="290">
        <v>42377</v>
      </c>
      <c r="C44" s="291">
        <v>50</v>
      </c>
      <c r="D44" s="292">
        <v>37.85</v>
      </c>
      <c r="E44" s="292">
        <v>0</v>
      </c>
      <c r="F44" s="292">
        <f t="shared" si="2"/>
        <v>1892.5</v>
      </c>
      <c r="G44" s="291"/>
      <c r="H44" s="291"/>
      <c r="I44" s="292"/>
      <c r="J44" s="292"/>
      <c r="K44" s="292"/>
      <c r="L44" s="291"/>
      <c r="M44" s="291"/>
      <c r="O44" s="78">
        <v>1.0900000000000001</v>
      </c>
      <c r="P44" s="78">
        <f t="shared" ref="P44:P63" si="4">O44*$Q$4</f>
        <v>35.741100000000003</v>
      </c>
      <c r="T44" s="88" t="s">
        <v>98</v>
      </c>
      <c r="U44" s="83">
        <v>36.89</v>
      </c>
      <c r="W44" s="127">
        <v>42769</v>
      </c>
      <c r="X44" s="10">
        <v>40.85</v>
      </c>
      <c r="Y44" s="10">
        <v>41.55</v>
      </c>
      <c r="Z44" s="10">
        <v>40.43</v>
      </c>
      <c r="AA44" s="10">
        <v>41.02</v>
      </c>
      <c r="AB44" s="90">
        <v>1714600</v>
      </c>
      <c r="AC44" s="10">
        <v>41.02</v>
      </c>
      <c r="AD44" s="2">
        <f t="shared" si="0"/>
        <v>1.1199999999999974</v>
      </c>
      <c r="AE44" s="131">
        <f t="shared" si="1"/>
        <v>3.1792614331132008E-3</v>
      </c>
    </row>
    <row r="45" spans="1:31" x14ac:dyDescent="0.25">
      <c r="A45" s="291"/>
      <c r="B45" s="69">
        <v>42773</v>
      </c>
      <c r="C45" s="4">
        <v>100</v>
      </c>
      <c r="D45" s="3">
        <v>35</v>
      </c>
      <c r="E45" s="3">
        <v>-0.01</v>
      </c>
      <c r="F45" s="3">
        <f>C45*D45+E45</f>
        <v>3499.99</v>
      </c>
      <c r="G45" s="69">
        <v>42804</v>
      </c>
      <c r="H45" s="4">
        <v>100</v>
      </c>
      <c r="I45" s="3">
        <v>36.92</v>
      </c>
      <c r="J45" s="3">
        <v>0.08</v>
      </c>
      <c r="K45" s="3">
        <f>H45*I45-J45</f>
        <v>3691.92</v>
      </c>
      <c r="L45" s="291"/>
      <c r="M45" s="291"/>
      <c r="O45" s="78">
        <v>1.08</v>
      </c>
      <c r="P45" s="78">
        <f t="shared" si="4"/>
        <v>35.413200000000003</v>
      </c>
      <c r="R45" s="33"/>
      <c r="T45" s="88" t="s">
        <v>99</v>
      </c>
      <c r="U45" s="83" t="s">
        <v>128</v>
      </c>
      <c r="W45" s="127">
        <v>42768</v>
      </c>
      <c r="X45" s="10">
        <v>41.12</v>
      </c>
      <c r="Y45" s="10">
        <v>41.56</v>
      </c>
      <c r="Z45" s="10">
        <v>40.880000000000003</v>
      </c>
      <c r="AA45" s="10">
        <v>40.89</v>
      </c>
      <c r="AB45" s="90">
        <v>2177400</v>
      </c>
      <c r="AC45" s="10">
        <v>40.89</v>
      </c>
      <c r="AD45" s="2">
        <f t="shared" si="0"/>
        <v>0.67999999999999972</v>
      </c>
      <c r="AE45" s="131">
        <f t="shared" si="1"/>
        <v>-1.0885341074020394E-2</v>
      </c>
    </row>
    <row r="46" spans="1:31" x14ac:dyDescent="0.25">
      <c r="A46" s="291"/>
      <c r="B46" s="290"/>
      <c r="C46" s="291"/>
      <c r="D46" s="292"/>
      <c r="E46" s="292"/>
      <c r="F46" s="292"/>
      <c r="G46" s="291"/>
      <c r="H46" s="291"/>
      <c r="I46" s="292"/>
      <c r="J46" s="292"/>
      <c r="K46" s="292"/>
      <c r="L46" s="291"/>
      <c r="M46" s="291"/>
      <c r="O46" s="78">
        <v>1.07</v>
      </c>
      <c r="P46" s="78">
        <f t="shared" si="4"/>
        <v>35.085300000000004</v>
      </c>
      <c r="Q46" s="33"/>
      <c r="R46" s="33"/>
      <c r="T46" s="88" t="s">
        <v>100</v>
      </c>
      <c r="U46" s="83" t="s">
        <v>128</v>
      </c>
      <c r="W46" s="127">
        <v>42767</v>
      </c>
      <c r="X46" s="10">
        <v>42.18</v>
      </c>
      <c r="Y46" s="10">
        <v>42.32</v>
      </c>
      <c r="Z46" s="10">
        <v>41.2</v>
      </c>
      <c r="AA46" s="10">
        <v>41.34</v>
      </c>
      <c r="AB46" s="90">
        <v>2425900</v>
      </c>
      <c r="AC46" s="10">
        <v>41.34</v>
      </c>
      <c r="AD46" s="2">
        <f t="shared" si="0"/>
        <v>1.1199999999999974</v>
      </c>
      <c r="AE46" s="131">
        <f t="shared" si="1"/>
        <v>-3.4337771548703544E-2</v>
      </c>
    </row>
    <row r="47" spans="1:31" x14ac:dyDescent="0.25">
      <c r="A47" s="291"/>
      <c r="B47" s="290"/>
      <c r="C47" s="291"/>
      <c r="D47" s="292"/>
      <c r="E47" s="292"/>
      <c r="F47" s="292"/>
      <c r="G47" s="291"/>
      <c r="H47" s="291"/>
      <c r="I47" s="292"/>
      <c r="J47" s="292"/>
      <c r="K47" s="292"/>
      <c r="L47" s="291"/>
      <c r="M47" s="291"/>
      <c r="O47" s="78">
        <v>1.06</v>
      </c>
      <c r="P47" s="78">
        <f t="shared" si="4"/>
        <v>34.757400000000004</v>
      </c>
      <c r="Q47" s="33"/>
      <c r="R47" s="33"/>
      <c r="T47" s="88" t="s">
        <v>101</v>
      </c>
      <c r="U47" s="83">
        <v>41.67</v>
      </c>
      <c r="W47" s="127">
        <v>42766</v>
      </c>
      <c r="X47" s="10">
        <v>41.55</v>
      </c>
      <c r="Y47" s="10">
        <v>42.82</v>
      </c>
      <c r="Z47" s="10">
        <v>41.21</v>
      </c>
      <c r="AA47" s="10">
        <v>42.81</v>
      </c>
      <c r="AB47" s="90">
        <v>2580300</v>
      </c>
      <c r="AC47" s="10">
        <v>42.81</v>
      </c>
      <c r="AD47" s="2">
        <f t="shared" si="0"/>
        <v>1.6099999999999994</v>
      </c>
      <c r="AE47" s="131">
        <f t="shared" si="1"/>
        <v>2.4407753050969205E-2</v>
      </c>
    </row>
    <row r="48" spans="1:31" x14ac:dyDescent="0.25">
      <c r="A48" s="291"/>
      <c r="B48" s="290"/>
      <c r="C48" s="291"/>
      <c r="D48" s="292"/>
      <c r="E48" s="292"/>
      <c r="F48" s="292"/>
      <c r="G48" s="291"/>
      <c r="H48" s="291"/>
      <c r="I48" s="292"/>
      <c r="J48" s="292"/>
      <c r="K48" s="292"/>
      <c r="L48" s="291"/>
      <c r="M48" s="291"/>
      <c r="O48" s="78">
        <v>1.05</v>
      </c>
      <c r="P48" s="78">
        <f t="shared" si="4"/>
        <v>34.429499999999997</v>
      </c>
      <c r="Q48" s="33"/>
      <c r="R48" s="33"/>
      <c r="T48" s="88" t="s">
        <v>102</v>
      </c>
      <c r="U48" s="83">
        <v>-0.45367400000000002</v>
      </c>
      <c r="W48" s="127">
        <v>42765</v>
      </c>
      <c r="X48" s="10">
        <v>41.58</v>
      </c>
      <c r="Y48" s="10">
        <v>41.88</v>
      </c>
      <c r="Z48" s="10">
        <v>41.19</v>
      </c>
      <c r="AA48" s="10">
        <v>41.79</v>
      </c>
      <c r="AB48" s="90">
        <v>1240200</v>
      </c>
      <c r="AC48" s="10">
        <v>41.79</v>
      </c>
      <c r="AD48" s="2">
        <f t="shared" si="0"/>
        <v>0.69000000000000483</v>
      </c>
      <c r="AE48" s="131">
        <f t="shared" si="1"/>
        <v>6.2605345533348622E-3</v>
      </c>
    </row>
    <row r="49" spans="1:31" x14ac:dyDescent="0.25">
      <c r="A49" s="291"/>
      <c r="B49" s="290"/>
      <c r="C49" s="291"/>
      <c r="D49" s="292"/>
      <c r="E49" s="292"/>
      <c r="F49" s="292"/>
      <c r="G49" s="291"/>
      <c r="H49" s="291"/>
      <c r="I49" s="292"/>
      <c r="J49" s="292"/>
      <c r="K49" s="292"/>
      <c r="L49" s="291"/>
      <c r="M49" s="291"/>
      <c r="O49" s="78">
        <v>1.04</v>
      </c>
      <c r="P49" s="78">
        <f t="shared" si="4"/>
        <v>34.101599999999998</v>
      </c>
      <c r="Q49" s="33"/>
      <c r="R49" s="33"/>
      <c r="T49" s="88" t="s">
        <v>121</v>
      </c>
      <c r="U49" s="83" t="s">
        <v>429</v>
      </c>
      <c r="W49" s="127">
        <v>42762</v>
      </c>
      <c r="X49" s="10">
        <v>42.12</v>
      </c>
      <c r="Y49" s="10">
        <v>42.31</v>
      </c>
      <c r="Z49" s="10">
        <v>41.4</v>
      </c>
      <c r="AA49" s="10">
        <v>41.53</v>
      </c>
      <c r="AB49" s="90">
        <v>1220500</v>
      </c>
      <c r="AC49" s="10">
        <v>41.53</v>
      </c>
      <c r="AD49" s="2">
        <f t="shared" si="0"/>
        <v>0.91000000000000369</v>
      </c>
      <c r="AE49" s="131">
        <f t="shared" si="1"/>
        <v>-1.2601046124583903E-2</v>
      </c>
    </row>
    <row r="50" spans="1:31" x14ac:dyDescent="0.25">
      <c r="A50" s="291"/>
      <c r="B50" s="290"/>
      <c r="C50" s="291"/>
      <c r="D50" s="292"/>
      <c r="E50" s="292"/>
      <c r="F50" s="292"/>
      <c r="G50" s="291"/>
      <c r="H50" s="291"/>
      <c r="I50" s="292"/>
      <c r="J50" s="292"/>
      <c r="K50" s="292"/>
      <c r="L50" s="291"/>
      <c r="M50" s="291"/>
      <c r="O50" s="78">
        <v>1.03</v>
      </c>
      <c r="P50" s="78">
        <f t="shared" si="4"/>
        <v>33.773699999999998</v>
      </c>
      <c r="Q50" s="78"/>
      <c r="R50" s="33"/>
      <c r="T50" s="88"/>
      <c r="U50" s="83"/>
      <c r="W50" s="127">
        <v>42761</v>
      </c>
      <c r="X50" s="10">
        <v>42.98</v>
      </c>
      <c r="Y50" s="10">
        <v>43.07</v>
      </c>
      <c r="Z50" s="10">
        <v>41.91</v>
      </c>
      <c r="AA50" s="10">
        <v>42.06</v>
      </c>
      <c r="AB50" s="90">
        <v>1899900</v>
      </c>
      <c r="AC50" s="10">
        <v>42.06</v>
      </c>
      <c r="AD50" s="2">
        <f t="shared" si="0"/>
        <v>1.1600000000000037</v>
      </c>
      <c r="AE50" s="131">
        <f t="shared" si="1"/>
        <v>-1.7289719626168099E-2</v>
      </c>
    </row>
    <row r="51" spans="1:31" x14ac:dyDescent="0.25">
      <c r="A51" s="291"/>
      <c r="B51" s="290"/>
      <c r="C51" s="291"/>
      <c r="D51" s="292"/>
      <c r="E51" s="292"/>
      <c r="F51" s="292"/>
      <c r="G51" s="291"/>
      <c r="H51" s="291"/>
      <c r="I51" s="292"/>
      <c r="J51" s="292"/>
      <c r="K51" s="292"/>
      <c r="L51" s="291"/>
      <c r="M51" s="291"/>
      <c r="O51" s="78">
        <v>1.02</v>
      </c>
      <c r="P51" s="78">
        <f t="shared" si="4"/>
        <v>33.445799999999998</v>
      </c>
      <c r="Q51" s="78"/>
      <c r="R51" s="33"/>
      <c r="T51" s="88" t="s">
        <v>104</v>
      </c>
      <c r="U51" s="83" t="s">
        <v>570</v>
      </c>
      <c r="W51" s="127">
        <v>42760</v>
      </c>
      <c r="X51" s="10">
        <v>43.68</v>
      </c>
      <c r="Y51" s="10">
        <v>43.73</v>
      </c>
      <c r="Z51" s="10">
        <v>42.77</v>
      </c>
      <c r="AA51" s="10">
        <v>42.8</v>
      </c>
      <c r="AB51" s="90">
        <v>1670400</v>
      </c>
      <c r="AC51" s="10">
        <v>42.8</v>
      </c>
      <c r="AD51" s="2">
        <f t="shared" si="0"/>
        <v>0.95999999999999375</v>
      </c>
      <c r="AE51" s="131">
        <f t="shared" si="1"/>
        <v>-1.3824884792626779E-2</v>
      </c>
    </row>
    <row r="52" spans="1:31" x14ac:dyDescent="0.25">
      <c r="A52" s="35" t="s">
        <v>81</v>
      </c>
      <c r="B52" s="36"/>
      <c r="C52" s="36">
        <f>SUM(C32:C51)</f>
        <v>640</v>
      </c>
      <c r="D52" s="37"/>
      <c r="E52" s="37"/>
      <c r="F52" s="37">
        <f>SUM(F32:F51)</f>
        <v>26292.89</v>
      </c>
      <c r="G52" s="37"/>
      <c r="H52" s="157">
        <f>SUM(H32:H51)</f>
        <v>640</v>
      </c>
      <c r="I52" s="37"/>
      <c r="J52" s="37"/>
      <c r="K52" s="37">
        <f>SUM(K32:K51)</f>
        <v>27230.259999999995</v>
      </c>
      <c r="L52" s="36"/>
      <c r="M52" s="36"/>
      <c r="O52" s="78">
        <v>1.01</v>
      </c>
      <c r="P52" s="78">
        <f t="shared" si="4"/>
        <v>33.117899999999999</v>
      </c>
      <c r="Q52" s="78"/>
      <c r="R52" s="33"/>
      <c r="T52" s="88" t="s">
        <v>105</v>
      </c>
      <c r="U52" s="83" t="s">
        <v>455</v>
      </c>
      <c r="W52" s="127">
        <v>42759</v>
      </c>
      <c r="X52" s="10">
        <v>42.7</v>
      </c>
      <c r="Y52" s="10">
        <v>43.43</v>
      </c>
      <c r="Z52" s="10">
        <v>42.36</v>
      </c>
      <c r="AA52" s="10">
        <v>43.4</v>
      </c>
      <c r="AB52" s="90">
        <v>2404600</v>
      </c>
      <c r="AC52" s="10">
        <v>43.4</v>
      </c>
      <c r="AD52" s="2">
        <f t="shared" si="0"/>
        <v>1.0700000000000003</v>
      </c>
      <c r="AE52" s="131">
        <f t="shared" si="1"/>
        <v>1.9736842105263053E-2</v>
      </c>
    </row>
    <row r="53" spans="1:31" x14ac:dyDescent="0.25">
      <c r="A53" s="291"/>
      <c r="B53" s="291"/>
      <c r="C53" s="291"/>
      <c r="D53" s="292"/>
      <c r="E53" s="292"/>
      <c r="F53" s="292"/>
      <c r="G53" s="292"/>
      <c r="H53" s="291"/>
      <c r="I53" s="292"/>
      <c r="J53" s="292"/>
      <c r="K53" s="292"/>
      <c r="L53" s="291"/>
      <c r="M53" s="291"/>
      <c r="O53" s="78">
        <v>1</v>
      </c>
      <c r="P53" s="78">
        <f t="shared" si="4"/>
        <v>32.79</v>
      </c>
      <c r="Q53" s="78"/>
      <c r="R53" s="33"/>
      <c r="T53" s="88" t="s">
        <v>106</v>
      </c>
      <c r="U53" s="85">
        <v>1668821</v>
      </c>
      <c r="W53" s="127">
        <v>42758</v>
      </c>
      <c r="X53" s="10">
        <v>42.21</v>
      </c>
      <c r="Y53" s="10">
        <v>42.96</v>
      </c>
      <c r="Z53" s="10">
        <v>42.01</v>
      </c>
      <c r="AA53" s="10">
        <v>42.56</v>
      </c>
      <c r="AB53" s="90">
        <v>1412700</v>
      </c>
      <c r="AC53" s="10">
        <v>42.56</v>
      </c>
      <c r="AD53" s="2">
        <f t="shared" si="0"/>
        <v>0.95000000000000284</v>
      </c>
      <c r="AE53" s="131">
        <f t="shared" si="1"/>
        <v>2.3551577955722713E-3</v>
      </c>
    </row>
    <row r="54" spans="1:31" x14ac:dyDescent="0.25">
      <c r="O54" s="78">
        <v>0.99</v>
      </c>
      <c r="P54" s="78">
        <f t="shared" si="4"/>
        <v>32.4621</v>
      </c>
      <c r="Q54" s="78"/>
      <c r="R54" s="33"/>
      <c r="T54" s="88" t="s">
        <v>109</v>
      </c>
      <c r="U54" s="85">
        <v>2832800</v>
      </c>
      <c r="W54" s="127">
        <v>42755</v>
      </c>
      <c r="X54" s="10">
        <v>42.23</v>
      </c>
      <c r="Y54" s="10">
        <v>42.61</v>
      </c>
      <c r="Z54" s="10">
        <v>41.65</v>
      </c>
      <c r="AA54" s="10">
        <v>42.46</v>
      </c>
      <c r="AB54" s="90">
        <v>2363100</v>
      </c>
      <c r="AC54" s="10">
        <v>42.46</v>
      </c>
      <c r="AD54" s="2">
        <f t="shared" si="0"/>
        <v>0.96000000000000085</v>
      </c>
      <c r="AE54" s="131">
        <f t="shared" si="1"/>
        <v>1.023078753271478E-2</v>
      </c>
    </row>
    <row r="55" spans="1:31" x14ac:dyDescent="0.25">
      <c r="O55" s="78">
        <v>0.98</v>
      </c>
      <c r="P55" s="78">
        <f t="shared" si="4"/>
        <v>32.1342</v>
      </c>
      <c r="Q55" s="78"/>
      <c r="R55" s="33"/>
      <c r="T55" s="88" t="s">
        <v>107</v>
      </c>
      <c r="U55" s="83" t="s">
        <v>571</v>
      </c>
      <c r="W55" s="127">
        <v>42754</v>
      </c>
      <c r="X55" s="10">
        <v>43.15</v>
      </c>
      <c r="Y55" s="10">
        <v>43.47</v>
      </c>
      <c r="Z55" s="10">
        <v>42.02</v>
      </c>
      <c r="AA55" s="10">
        <v>42.03</v>
      </c>
      <c r="AB55" s="90">
        <v>1935200</v>
      </c>
      <c r="AC55" s="10">
        <v>42.03</v>
      </c>
      <c r="AD55" s="2">
        <f t="shared" si="0"/>
        <v>1.4499999999999957</v>
      </c>
      <c r="AE55" s="131">
        <f t="shared" si="1"/>
        <v>-2.7758501040943684E-2</v>
      </c>
    </row>
    <row r="56" spans="1:31" x14ac:dyDescent="0.25">
      <c r="O56" s="78">
        <v>0.97</v>
      </c>
      <c r="P56" s="78">
        <f t="shared" si="4"/>
        <v>31.806299999999997</v>
      </c>
      <c r="Q56" s="78"/>
      <c r="R56" s="33"/>
      <c r="T56" s="88" t="s">
        <v>110</v>
      </c>
      <c r="U56" s="83">
        <v>8.42</v>
      </c>
      <c r="W56" s="127">
        <v>42753</v>
      </c>
      <c r="X56" s="10">
        <v>43.85</v>
      </c>
      <c r="Y56" s="10">
        <v>43.85</v>
      </c>
      <c r="Z56" s="10">
        <v>42.31</v>
      </c>
      <c r="AA56" s="10">
        <v>43.23</v>
      </c>
      <c r="AB56" s="90">
        <v>2159000</v>
      </c>
      <c r="AC56" s="10">
        <v>43.23</v>
      </c>
      <c r="AD56" s="2">
        <f t="shared" si="0"/>
        <v>1.5399999999999991</v>
      </c>
      <c r="AE56" s="131">
        <f t="shared" si="1"/>
        <v>-7.5757575757576801E-3</v>
      </c>
    </row>
    <row r="57" spans="1:31" x14ac:dyDescent="0.25">
      <c r="O57" s="78">
        <v>0.96</v>
      </c>
      <c r="P57" s="78">
        <f t="shared" si="4"/>
        <v>31.478399999999997</v>
      </c>
      <c r="Q57" s="78"/>
      <c r="R57" s="33"/>
      <c r="T57" s="88" t="s">
        <v>111</v>
      </c>
      <c r="U57" s="83">
        <v>4.38</v>
      </c>
      <c r="W57" s="127">
        <v>42752</v>
      </c>
      <c r="X57" s="10">
        <v>42.33</v>
      </c>
      <c r="Y57" s="10">
        <v>44.25</v>
      </c>
      <c r="Z57" s="10">
        <v>42.26</v>
      </c>
      <c r="AA57" s="10">
        <v>43.56</v>
      </c>
      <c r="AB57" s="90">
        <v>2291800</v>
      </c>
      <c r="AC57" s="10">
        <v>43.56</v>
      </c>
      <c r="AD57" s="2">
        <f t="shared" si="0"/>
        <v>1.990000000000002</v>
      </c>
      <c r="AE57" s="131">
        <f t="shared" si="1"/>
        <v>2.7600849256900206E-2</v>
      </c>
    </row>
    <row r="58" spans="1:31" x14ac:dyDescent="0.25">
      <c r="B58" s="159" t="s">
        <v>113</v>
      </c>
      <c r="C58" s="159" t="s">
        <v>143</v>
      </c>
      <c r="D58" s="160" t="s">
        <v>142</v>
      </c>
      <c r="E58" s="162" t="s">
        <v>144</v>
      </c>
      <c r="F58" s="163" t="s">
        <v>65</v>
      </c>
      <c r="G58" s="173" t="s">
        <v>148</v>
      </c>
      <c r="H58" s="163" t="s">
        <v>88</v>
      </c>
      <c r="O58" s="78">
        <v>0.95</v>
      </c>
      <c r="P58" s="78">
        <f t="shared" si="4"/>
        <v>31.150499999999997</v>
      </c>
      <c r="Q58" s="78"/>
      <c r="R58" s="33"/>
      <c r="T58" s="88" t="s">
        <v>108</v>
      </c>
      <c r="U58" s="83" t="s">
        <v>122</v>
      </c>
      <c r="W58" s="127">
        <v>42748</v>
      </c>
      <c r="X58" s="10">
        <v>42.69</v>
      </c>
      <c r="Y58" s="10">
        <v>43.18</v>
      </c>
      <c r="Z58" s="10">
        <v>42.29</v>
      </c>
      <c r="AA58" s="10">
        <v>42.39</v>
      </c>
      <c r="AB58" s="90">
        <v>1359100</v>
      </c>
      <c r="AC58" s="10">
        <v>42.39</v>
      </c>
      <c r="AD58" s="2">
        <f t="shared" si="0"/>
        <v>0.89000000000000057</v>
      </c>
      <c r="AE58" s="131">
        <f t="shared" si="1"/>
        <v>-6.096131301289498E-3</v>
      </c>
    </row>
    <row r="59" spans="1:31" x14ac:dyDescent="0.25">
      <c r="A59" t="s">
        <v>319</v>
      </c>
      <c r="B59" s="161">
        <v>42773</v>
      </c>
      <c r="C59" s="10">
        <v>100</v>
      </c>
      <c r="D59" s="39">
        <v>35</v>
      </c>
      <c r="E59" s="39">
        <v>36.82</v>
      </c>
      <c r="F59" s="39">
        <f>C59*(E59-D59)</f>
        <v>182.00000000000003</v>
      </c>
      <c r="G59" s="39">
        <f>D59*C59</f>
        <v>3500</v>
      </c>
      <c r="H59" s="175">
        <f>(E59-D59)/D59</f>
        <v>5.2000000000000011E-2</v>
      </c>
      <c r="O59" s="78">
        <v>0.94</v>
      </c>
      <c r="P59" s="78">
        <f t="shared" si="4"/>
        <v>30.822599999999998</v>
      </c>
      <c r="Q59" s="78"/>
      <c r="W59" s="127">
        <v>42747</v>
      </c>
      <c r="X59" s="10">
        <v>42.67</v>
      </c>
      <c r="Y59" s="10">
        <v>43.2</v>
      </c>
      <c r="Z59" s="10">
        <v>42.51</v>
      </c>
      <c r="AA59" s="10">
        <v>42.65</v>
      </c>
      <c r="AB59" s="90">
        <v>1332900</v>
      </c>
      <c r="AC59" s="10">
        <v>42.65</v>
      </c>
      <c r="AD59" s="2">
        <f t="shared" si="0"/>
        <v>0.69000000000000483</v>
      </c>
      <c r="AE59" s="131">
        <f t="shared" si="1"/>
        <v>-5.1317937951947945E-3</v>
      </c>
    </row>
    <row r="60" spans="1:31" x14ac:dyDescent="0.25">
      <c r="B60" s="161">
        <v>42804</v>
      </c>
      <c r="C60" s="10">
        <v>0</v>
      </c>
      <c r="D60" s="39"/>
      <c r="E60" s="39"/>
      <c r="F60" s="39">
        <v>191.93</v>
      </c>
      <c r="G60" s="10"/>
      <c r="H60" s="10"/>
      <c r="O60" s="78">
        <v>0.93</v>
      </c>
      <c r="P60" s="78">
        <f t="shared" si="4"/>
        <v>30.494700000000002</v>
      </c>
      <c r="Q60" s="78"/>
      <c r="W60" s="127">
        <v>42746</v>
      </c>
      <c r="X60" s="10">
        <v>43.72</v>
      </c>
      <c r="Y60" s="10">
        <v>43.72</v>
      </c>
      <c r="Z60" s="10">
        <v>42.75</v>
      </c>
      <c r="AA60" s="10">
        <v>42.87</v>
      </c>
      <c r="AB60" s="90">
        <v>2081700</v>
      </c>
      <c r="AC60" s="10">
        <v>42.87</v>
      </c>
      <c r="AD60" s="2">
        <f t="shared" si="0"/>
        <v>0.96999999999999886</v>
      </c>
      <c r="AE60" s="131">
        <f t="shared" si="1"/>
        <v>-1.1756569847856224E-2</v>
      </c>
    </row>
    <row r="61" spans="1:31" x14ac:dyDescent="0.25">
      <c r="B61" s="10"/>
      <c r="C61" s="10"/>
      <c r="D61" s="39"/>
      <c r="E61" s="39"/>
      <c r="F61" s="39"/>
      <c r="G61" s="10"/>
      <c r="H61" s="10"/>
      <c r="O61" s="78">
        <v>0.92</v>
      </c>
      <c r="P61" s="78">
        <f t="shared" si="4"/>
        <v>30.166800000000002</v>
      </c>
      <c r="Q61" s="78"/>
      <c r="W61" s="127">
        <v>42745</v>
      </c>
      <c r="X61" s="10">
        <v>42.04</v>
      </c>
      <c r="Y61" s="10">
        <v>43.88</v>
      </c>
      <c r="Z61" s="10">
        <v>42.04</v>
      </c>
      <c r="AA61" s="10">
        <v>43.38</v>
      </c>
      <c r="AB61" s="90">
        <v>2952300</v>
      </c>
      <c r="AC61" s="10">
        <v>43.38</v>
      </c>
      <c r="AD61" s="2">
        <f t="shared" si="0"/>
        <v>1.8400000000000034</v>
      </c>
      <c r="AE61" s="131">
        <f t="shared" si="1"/>
        <v>3.1874405328258915E-2</v>
      </c>
    </row>
    <row r="62" spans="1:31" x14ac:dyDescent="0.25">
      <c r="B62" s="10"/>
      <c r="C62" s="10"/>
      <c r="D62" s="39"/>
      <c r="E62" s="39"/>
      <c r="F62" s="39"/>
      <c r="G62" s="10"/>
      <c r="H62" s="10"/>
      <c r="O62" s="78">
        <v>0.91</v>
      </c>
      <c r="P62" s="78">
        <f t="shared" si="4"/>
        <v>29.838899999999999</v>
      </c>
      <c r="Q62" s="78"/>
      <c r="W62" s="127">
        <v>42744</v>
      </c>
      <c r="X62" s="10">
        <v>42.44</v>
      </c>
      <c r="Y62" s="10">
        <v>42.56</v>
      </c>
      <c r="Z62" s="10">
        <v>41.85</v>
      </c>
      <c r="AA62" s="10">
        <v>42.04</v>
      </c>
      <c r="AB62" s="90">
        <v>2137700</v>
      </c>
      <c r="AC62" s="10">
        <v>42.04</v>
      </c>
      <c r="AD62" s="2">
        <f t="shared" si="0"/>
        <v>0.71000000000000085</v>
      </c>
      <c r="AE62" s="131">
        <f t="shared" si="1"/>
        <v>-1.0124793972215662E-2</v>
      </c>
    </row>
    <row r="63" spans="1:31" x14ac:dyDescent="0.25">
      <c r="B63" s="10"/>
      <c r="C63" s="10"/>
      <c r="D63" s="39"/>
      <c r="E63" s="39"/>
      <c r="F63" s="39"/>
      <c r="G63" s="10"/>
      <c r="H63" s="10"/>
      <c r="O63" s="78">
        <v>0.9</v>
      </c>
      <c r="P63" s="78">
        <f t="shared" si="4"/>
        <v>29.510999999999999</v>
      </c>
      <c r="Q63" s="78"/>
      <c r="W63" s="127">
        <v>42741</v>
      </c>
      <c r="X63" s="10">
        <v>42.18</v>
      </c>
      <c r="Y63" s="10">
        <v>42.76</v>
      </c>
      <c r="Z63" s="10">
        <v>42.12</v>
      </c>
      <c r="AA63" s="10">
        <v>42.47</v>
      </c>
      <c r="AB63" s="90">
        <v>2562300</v>
      </c>
      <c r="AC63" s="10">
        <v>42.47</v>
      </c>
      <c r="AD63" s="2">
        <f t="shared" si="0"/>
        <v>0.64000000000000057</v>
      </c>
      <c r="AE63" s="131">
        <f t="shared" si="1"/>
        <v>8.7885985748217266E-3</v>
      </c>
    </row>
    <row r="64" spans="1:31" x14ac:dyDescent="0.25">
      <c r="B64" s="10"/>
      <c r="C64" s="10"/>
      <c r="D64" s="39"/>
      <c r="E64" s="39"/>
      <c r="F64" s="39"/>
      <c r="G64" s="10"/>
      <c r="H64" s="10"/>
      <c r="Q64" s="78"/>
      <c r="W64" s="127">
        <v>42740</v>
      </c>
      <c r="X64" s="10">
        <v>42.65</v>
      </c>
      <c r="Y64" s="10">
        <v>42.71</v>
      </c>
      <c r="Z64" s="10">
        <v>40.81</v>
      </c>
      <c r="AA64" s="10">
        <v>42.1</v>
      </c>
      <c r="AB64" s="90">
        <v>3695900</v>
      </c>
      <c r="AC64" s="10">
        <v>42.1</v>
      </c>
      <c r="AD64" s="2">
        <f t="shared" si="0"/>
        <v>1.8999999999999986</v>
      </c>
      <c r="AE64" s="131">
        <f t="shared" si="1"/>
        <v>-3.2183908045976928E-2</v>
      </c>
    </row>
    <row r="65" spans="2:31" x14ac:dyDescent="0.25">
      <c r="B65" s="10"/>
      <c r="C65" s="10"/>
      <c r="D65" s="39"/>
      <c r="E65" s="39"/>
      <c r="F65" s="39"/>
      <c r="G65" s="10"/>
      <c r="H65" s="10"/>
      <c r="Q65" s="78"/>
      <c r="W65" s="127">
        <v>42739</v>
      </c>
      <c r="X65" s="10">
        <v>43.2</v>
      </c>
      <c r="Y65" s="10">
        <v>43.93</v>
      </c>
      <c r="Z65" s="10">
        <v>43.2</v>
      </c>
      <c r="AA65" s="10">
        <v>43.5</v>
      </c>
      <c r="AB65" s="90">
        <v>2141200</v>
      </c>
      <c r="AC65" s="10">
        <v>43.5</v>
      </c>
      <c r="AD65" s="2">
        <f t="shared" si="0"/>
        <v>0.72999999999999687</v>
      </c>
      <c r="AE65" s="131">
        <f t="shared" si="1"/>
        <v>9.7493036211699913E-3</v>
      </c>
    </row>
    <row r="66" spans="2:31" x14ac:dyDescent="0.25">
      <c r="B66" s="10"/>
      <c r="C66" s="10"/>
      <c r="D66" s="39"/>
      <c r="E66" s="39"/>
      <c r="F66" s="39"/>
      <c r="G66" s="10"/>
      <c r="H66" s="10"/>
      <c r="Q66" s="78"/>
      <c r="W66" s="127">
        <v>42738</v>
      </c>
      <c r="X66" s="10">
        <v>42.78</v>
      </c>
      <c r="Y66" s="10">
        <v>43.45</v>
      </c>
      <c r="Z66" s="10">
        <v>42.1</v>
      </c>
      <c r="AA66" s="10">
        <v>43.08</v>
      </c>
      <c r="AB66" s="90">
        <v>1929500</v>
      </c>
      <c r="AC66" s="10">
        <v>43.08</v>
      </c>
      <c r="AD66" s="2">
        <f t="shared" si="0"/>
        <v>1.3500000000000014</v>
      </c>
      <c r="AE66" s="131">
        <f t="shared" si="1"/>
        <v>2.32666356444855E-3</v>
      </c>
    </row>
    <row r="67" spans="2:31" x14ac:dyDescent="0.25">
      <c r="B67" s="10"/>
      <c r="C67" s="10"/>
      <c r="D67" s="39"/>
      <c r="E67" s="39"/>
      <c r="F67" s="39"/>
      <c r="G67" s="10"/>
      <c r="H67" s="10"/>
      <c r="Q67" s="78"/>
      <c r="W67" s="127">
        <v>42734</v>
      </c>
      <c r="X67" s="10">
        <v>42.78</v>
      </c>
      <c r="Y67" s="10">
        <v>43.2</v>
      </c>
      <c r="Z67" s="10">
        <v>42.67</v>
      </c>
      <c r="AA67" s="10">
        <v>42.98</v>
      </c>
      <c r="AB67" s="90">
        <v>1454800</v>
      </c>
      <c r="AC67" s="10">
        <v>42.98</v>
      </c>
      <c r="AD67" s="2">
        <f>Y67-Z67</f>
        <v>0.53000000000000114</v>
      </c>
      <c r="AE67" s="131" t="e">
        <f>AC67/AC68-1</f>
        <v>#DIV/0!</v>
      </c>
    </row>
    <row r="68" spans="2:31" x14ac:dyDescent="0.25">
      <c r="B68" s="10"/>
      <c r="C68" s="10"/>
      <c r="D68" s="39"/>
      <c r="E68" s="39"/>
      <c r="F68" s="39"/>
      <c r="G68" s="10"/>
      <c r="H68" s="10"/>
      <c r="O68" s="33"/>
      <c r="W68" s="10" t="s">
        <v>120</v>
      </c>
      <c r="X68" s="10"/>
      <c r="Y68" s="10"/>
      <c r="Z68" s="10"/>
      <c r="AA68" s="10"/>
      <c r="AB68" s="10"/>
      <c r="AC68" s="10"/>
      <c r="AD68" s="2">
        <f>Y68-Z68</f>
        <v>0</v>
      </c>
      <c r="AE68" s="131" t="e">
        <f>AC68/AC69-1</f>
        <v>#DIV/0!</v>
      </c>
    </row>
    <row r="69" spans="2:31" x14ac:dyDescent="0.25">
      <c r="O69" s="33"/>
    </row>
  </sheetData>
  <conditionalFormatting sqref="O43:O63">
    <cfRule type="colorScale" priority="35">
      <colorScale>
        <cfvo type="min"/>
        <cfvo type="percentile" val="50"/>
        <cfvo type="max"/>
        <color rgb="FFF8696B"/>
        <color rgb="FFFFEB84"/>
        <color rgb="FF63BE7B"/>
      </colorScale>
    </cfRule>
  </conditionalFormatting>
  <conditionalFormatting sqref="P43:P63">
    <cfRule type="colorScale" priority="34">
      <colorScale>
        <cfvo type="min"/>
        <cfvo type="percentile" val="50"/>
        <cfvo type="max"/>
        <color rgb="FFF8696B"/>
        <color rgb="FFFFEB84"/>
        <color rgb="FF63BE7B"/>
      </colorScale>
    </cfRule>
  </conditionalFormatting>
  <conditionalFormatting sqref="Q50:Q67">
    <cfRule type="colorScale" priority="33">
      <colorScale>
        <cfvo type="min"/>
        <cfvo type="percentile" val="50"/>
        <cfvo type="max"/>
        <color rgb="FFF8696B"/>
        <color rgb="FFFFEB84"/>
        <color rgb="FF63BE7B"/>
      </colorScale>
    </cfRule>
  </conditionalFormatting>
  <conditionalFormatting sqref="AD1:AD68">
    <cfRule type="dataBar" priority="32">
      <dataBar>
        <cfvo type="min"/>
        <cfvo type="max"/>
        <color rgb="FFFF555A"/>
      </dataBar>
      <extLst>
        <ext xmlns:x14="http://schemas.microsoft.com/office/spreadsheetml/2009/9/main" uri="{B025F937-C7B1-47D3-B67F-A62EFF666E3E}">
          <x14:id>{B94A9B37-FCA5-42D7-AD22-B2BC9ACACC2A}</x14:id>
        </ext>
      </extLst>
    </cfRule>
  </conditionalFormatting>
  <conditionalFormatting sqref="AE1:AE68">
    <cfRule type="iconSet" priority="31">
      <iconSet iconSet="3Arrows">
        <cfvo type="percent" val="0"/>
        <cfvo type="num" val="0"/>
        <cfvo type="num" val="0"/>
      </iconSet>
    </cfRule>
  </conditionalFormatting>
  <conditionalFormatting sqref="Q8">
    <cfRule type="expression" dxfId="3653" priority="11">
      <formula>Q8&gt;0</formula>
    </cfRule>
    <cfRule type="expression" dxfId="3652" priority="12">
      <formula>Q8&lt;0</formula>
    </cfRule>
  </conditionalFormatting>
  <conditionalFormatting sqref="Q7">
    <cfRule type="expression" dxfId="3651" priority="13">
      <formula>Q7&gt;0</formula>
    </cfRule>
    <cfRule type="expression" dxfId="3650" priority="14">
      <formula>Q7&lt;0</formula>
    </cfRule>
  </conditionalFormatting>
  <conditionalFormatting sqref="F22">
    <cfRule type="expression" dxfId="3649" priority="9">
      <formula>F22&gt;0</formula>
    </cfRule>
    <cfRule type="expression" dxfId="3648" priority="10">
      <formula>F22&lt;0</formula>
    </cfRule>
  </conditionalFormatting>
  <conditionalFormatting sqref="H22">
    <cfRule type="expression" dxfId="3647" priority="7">
      <formula>H22&gt;0</formula>
    </cfRule>
    <cfRule type="expression" dxfId="3646" priority="8">
      <formula>H22&lt;0</formula>
    </cfRule>
  </conditionalFormatting>
  <conditionalFormatting sqref="F59">
    <cfRule type="expression" dxfId="3645" priority="5">
      <formula>F59&gt;0</formula>
    </cfRule>
    <cfRule type="expression" dxfId="3644" priority="6">
      <formula>F59&lt;0</formula>
    </cfRule>
  </conditionalFormatting>
  <conditionalFormatting sqref="H59">
    <cfRule type="expression" dxfId="3643" priority="3">
      <formula>H59&gt;0</formula>
    </cfRule>
    <cfRule type="expression" dxfId="3642" priority="4">
      <formula>H59&lt;0</formula>
    </cfRule>
  </conditionalFormatting>
  <conditionalFormatting sqref="M30">
    <cfRule type="expression" dxfId="3641" priority="1">
      <formula>M30&gt;0</formula>
    </cfRule>
    <cfRule type="expression" dxfId="3640" priority="2">
      <formula>M30&lt;0</formula>
    </cfRule>
  </conditionalFormatting>
  <hyperlinks>
    <hyperlink ref="A3" location="ACTIVE!A1" display="Back"/>
    <hyperlink ref="A33"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B94A9B37-FCA5-42D7-AD22-B2BC9ACACC2A}">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4"/>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5" max="15" width="25.140625" bestFit="1" customWidth="1"/>
    <col min="17" max="17" width="12.85546875" bestFit="1" customWidth="1"/>
    <col min="18" max="18" width="9.7109375" bestFit="1" customWidth="1"/>
    <col min="20" max="20" width="13.7109375" customWidth="1"/>
    <col min="21" max="21" width="53"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612</v>
      </c>
      <c r="B2" s="360">
        <v>42986</v>
      </c>
      <c r="C2" s="7">
        <v>30</v>
      </c>
      <c r="D2" s="43">
        <v>155.5</v>
      </c>
      <c r="E2" s="43">
        <v>0</v>
      </c>
      <c r="F2" s="43">
        <f>C2*D2+E2</f>
        <v>4665</v>
      </c>
      <c r="G2" s="360">
        <v>43028</v>
      </c>
      <c r="H2" s="7">
        <v>30</v>
      </c>
      <c r="I2" s="43">
        <v>160.47999999999999</v>
      </c>
      <c r="J2" s="43">
        <v>0.11</v>
      </c>
      <c r="K2" s="43">
        <f>H2*I2-J2</f>
        <v>4814.29</v>
      </c>
      <c r="L2" s="69">
        <v>43070</v>
      </c>
      <c r="M2" s="43">
        <v>10</v>
      </c>
      <c r="O2" s="11" t="s">
        <v>57</v>
      </c>
      <c r="Q2">
        <f>C18-H18</f>
        <v>0</v>
      </c>
      <c r="T2" s="1"/>
      <c r="W2" s="131"/>
    </row>
    <row r="3" spans="1:23" x14ac:dyDescent="0.25">
      <c r="A3" s="22" t="s">
        <v>71</v>
      </c>
      <c r="B3" s="360">
        <v>43014</v>
      </c>
      <c r="C3" s="7">
        <v>20</v>
      </c>
      <c r="D3" s="43">
        <v>157.02000000000001</v>
      </c>
      <c r="E3" s="43">
        <v>0</v>
      </c>
      <c r="F3" s="43">
        <f>C3*D3+E3</f>
        <v>3140.4</v>
      </c>
      <c r="G3" s="360">
        <v>43202</v>
      </c>
      <c r="H3" s="77">
        <v>20</v>
      </c>
      <c r="I3" s="43">
        <v>188</v>
      </c>
      <c r="J3" s="43">
        <v>0.09</v>
      </c>
      <c r="K3" s="43">
        <f>H3*I3-J3</f>
        <v>3759.91</v>
      </c>
      <c r="L3" s="69">
        <v>43160</v>
      </c>
      <c r="M3" s="43">
        <v>10</v>
      </c>
      <c r="O3" s="11" t="s">
        <v>58</v>
      </c>
      <c r="Q3" s="174">
        <f>IF(Q2=0, Q4, (F18-K18-M18)/Q2)</f>
        <v>287.57</v>
      </c>
      <c r="T3" s="1"/>
      <c r="W3" s="131"/>
    </row>
    <row r="4" spans="1:23" x14ac:dyDescent="0.25">
      <c r="B4" s="360">
        <v>43181</v>
      </c>
      <c r="C4" s="7">
        <v>20</v>
      </c>
      <c r="D4" s="43">
        <v>183</v>
      </c>
      <c r="E4" s="43">
        <v>0</v>
      </c>
      <c r="F4" s="43">
        <f>C4*D4+E4</f>
        <v>3660</v>
      </c>
      <c r="G4" s="360">
        <v>43293</v>
      </c>
      <c r="H4" s="77">
        <v>20</v>
      </c>
      <c r="I4" s="43">
        <v>213.58</v>
      </c>
      <c r="J4" s="43">
        <v>0.06</v>
      </c>
      <c r="K4" s="43">
        <f>H4*I4-J4</f>
        <v>4271.54</v>
      </c>
      <c r="L4" s="69">
        <v>43245</v>
      </c>
      <c r="M4" s="43">
        <v>11.4</v>
      </c>
      <c r="O4" s="11" t="s">
        <v>66</v>
      </c>
      <c r="Q4" s="53">
        <v>287.57</v>
      </c>
      <c r="R4" s="416">
        <v>1.23E-2</v>
      </c>
      <c r="T4" s="153"/>
      <c r="U4" s="1"/>
      <c r="W4" s="131"/>
    </row>
    <row r="5" spans="1:23" x14ac:dyDescent="0.25">
      <c r="B5" s="360">
        <v>43448</v>
      </c>
      <c r="C5" s="7">
        <v>20</v>
      </c>
      <c r="D5" s="43">
        <v>210</v>
      </c>
      <c r="E5" s="43">
        <v>0</v>
      </c>
      <c r="F5" s="43">
        <f>C5*D5+E5</f>
        <v>4200</v>
      </c>
      <c r="G5" s="360">
        <v>43511</v>
      </c>
      <c r="H5" s="77">
        <v>20</v>
      </c>
      <c r="I5" s="43">
        <v>216.35</v>
      </c>
      <c r="J5" s="43">
        <v>0.06</v>
      </c>
      <c r="K5" s="43">
        <f>H5*I5-J5</f>
        <v>4326.9399999999996</v>
      </c>
      <c r="L5" s="69">
        <v>43518</v>
      </c>
      <c r="M5" s="43">
        <v>11.4</v>
      </c>
      <c r="O5" s="11" t="s">
        <v>67</v>
      </c>
      <c r="Q5" s="3">
        <f>Q4*Q2</f>
        <v>0</v>
      </c>
      <c r="W5" s="131"/>
    </row>
    <row r="6" spans="1:23" x14ac:dyDescent="0.25">
      <c r="B6" s="69"/>
      <c r="C6" s="4"/>
      <c r="D6" s="3"/>
      <c r="E6" s="3"/>
      <c r="F6" s="3"/>
      <c r="G6" s="4"/>
      <c r="H6" s="158"/>
      <c r="I6" s="3"/>
      <c r="J6" s="3"/>
      <c r="K6" s="3"/>
      <c r="L6" s="4"/>
      <c r="M6" s="4"/>
      <c r="O6" s="11" t="s">
        <v>64</v>
      </c>
      <c r="Q6" s="2">
        <f>Q3*Q2</f>
        <v>0</v>
      </c>
      <c r="W6" s="131"/>
    </row>
    <row r="7" spans="1:23" x14ac:dyDescent="0.25">
      <c r="B7" s="4"/>
      <c r="C7" s="4"/>
      <c r="D7" s="3"/>
      <c r="E7" s="3"/>
      <c r="F7" s="3"/>
      <c r="G7" s="4"/>
      <c r="H7" s="158"/>
      <c r="I7" s="3"/>
      <c r="J7" s="3"/>
      <c r="K7" s="3"/>
      <c r="L7" s="4"/>
      <c r="M7" s="4"/>
      <c r="O7" s="11" t="s">
        <v>175</v>
      </c>
      <c r="Q7" s="2">
        <f>Q10+Q8</f>
        <v>1693.1100000000001</v>
      </c>
      <c r="R7">
        <v>0</v>
      </c>
      <c r="W7" s="131"/>
    </row>
    <row r="8" spans="1:23" x14ac:dyDescent="0.25">
      <c r="B8" s="4"/>
      <c r="C8" s="4"/>
      <c r="D8" s="3"/>
      <c r="E8" s="3"/>
      <c r="F8" s="3"/>
      <c r="G8" s="4"/>
      <c r="H8" s="158"/>
      <c r="I8" s="3"/>
      <c r="J8" s="3"/>
      <c r="K8" s="3"/>
      <c r="L8" s="4"/>
      <c r="M8" s="4"/>
      <c r="O8" s="11" t="s">
        <v>177</v>
      </c>
      <c r="P8" s="33"/>
      <c r="Q8" s="2">
        <f>K18+M18-F18+Q2*Q4</f>
        <v>1550.08</v>
      </c>
      <c r="T8" s="1">
        <v>43237</v>
      </c>
      <c r="U8" t="s">
        <v>1014</v>
      </c>
      <c r="W8" s="131"/>
    </row>
    <row r="9" spans="1:23" x14ac:dyDescent="0.25">
      <c r="B9" s="4"/>
      <c r="C9" s="4"/>
      <c r="D9" s="3"/>
      <c r="E9" s="3"/>
      <c r="F9" s="3"/>
      <c r="G9" s="4"/>
      <c r="H9" s="158"/>
      <c r="I9" s="3"/>
      <c r="J9" s="3"/>
      <c r="K9" s="3"/>
      <c r="L9" s="4"/>
      <c r="M9" s="4"/>
      <c r="O9" s="11" t="s">
        <v>202</v>
      </c>
      <c r="Q9" s="131">
        <f>IF(Q2=0, 0, Q8/Q6)</f>
        <v>0</v>
      </c>
      <c r="W9" s="131"/>
    </row>
    <row r="10" spans="1:23" x14ac:dyDescent="0.25">
      <c r="H10" s="67"/>
      <c r="O10" s="11" t="s">
        <v>201</v>
      </c>
      <c r="P10" s="33"/>
      <c r="Q10" s="2">
        <f>M66</f>
        <v>143.0300000000002</v>
      </c>
      <c r="W10" s="131"/>
    </row>
    <row r="11" spans="1:23" x14ac:dyDescent="0.25">
      <c r="H11" s="67"/>
      <c r="O11" s="11" t="s">
        <v>173</v>
      </c>
      <c r="P11" s="33"/>
      <c r="Q11" s="131">
        <f>0.5/Q4</f>
        <v>1.7387070974023717E-3</v>
      </c>
      <c r="S11">
        <v>0.5</v>
      </c>
      <c r="W11" s="131"/>
    </row>
    <row r="12" spans="1:23" x14ac:dyDescent="0.25">
      <c r="H12" s="67"/>
      <c r="O12" s="11" t="s">
        <v>875</v>
      </c>
      <c r="Q12" s="1" t="s">
        <v>1299</v>
      </c>
      <c r="W12" s="131"/>
    </row>
    <row r="13" spans="1:23" x14ac:dyDescent="0.25">
      <c r="H13" s="67"/>
      <c r="O13" s="11" t="s">
        <v>901</v>
      </c>
      <c r="Q13" s="2">
        <f>Q4/6.86</f>
        <v>41.919825072886297</v>
      </c>
      <c r="W13" s="131"/>
    </row>
    <row r="14" spans="1:23" x14ac:dyDescent="0.25">
      <c r="H14" s="67"/>
      <c r="W14" s="131"/>
    </row>
    <row r="15" spans="1:23" x14ac:dyDescent="0.25">
      <c r="H15" s="67"/>
      <c r="W15" s="131"/>
    </row>
    <row r="16" spans="1:23" x14ac:dyDescent="0.25">
      <c r="H16" s="67"/>
      <c r="W16" s="131"/>
    </row>
    <row r="17" spans="1:23" x14ac:dyDescent="0.25">
      <c r="W17" s="131"/>
    </row>
    <row r="18" spans="1:23" x14ac:dyDescent="0.25">
      <c r="A18" s="31" t="s">
        <v>81</v>
      </c>
      <c r="B18" s="14"/>
      <c r="C18" s="14">
        <f>SUM(C2:C6)</f>
        <v>90</v>
      </c>
      <c r="D18" s="18"/>
      <c r="E18" s="18"/>
      <c r="F18" s="18">
        <f>SUM(F2:F6)</f>
        <v>15665.4</v>
      </c>
      <c r="G18" s="14"/>
      <c r="H18" s="68">
        <f>SUM(H2:H5)</f>
        <v>90</v>
      </c>
      <c r="I18" s="18"/>
      <c r="J18" s="18"/>
      <c r="K18" s="18">
        <f>SUM(K2:K5)</f>
        <v>17172.68</v>
      </c>
      <c r="L18" s="14"/>
      <c r="M18" s="18">
        <f>SUM(M2:M10)</f>
        <v>42.8</v>
      </c>
      <c r="W18" s="131"/>
    </row>
    <row r="19" spans="1:23" ht="15.75" thickBot="1" x14ac:dyDescent="0.3">
      <c r="A19" s="273" t="s">
        <v>189</v>
      </c>
      <c r="B19" s="274"/>
      <c r="C19" s="275">
        <f>SumByColor($A$19,C2:C17)</f>
        <v>90</v>
      </c>
      <c r="D19" s="275"/>
      <c r="E19" s="275"/>
      <c r="F19" s="276">
        <f>SumByColor($A$19,F2:F17)</f>
        <v>15665</v>
      </c>
      <c r="G19" s="275"/>
      <c r="H19" s="275">
        <f>SumByColor($A$19,H2:H17)</f>
        <v>90</v>
      </c>
      <c r="I19" s="275"/>
      <c r="J19" s="275"/>
      <c r="K19" s="276">
        <f>SumByColor($A$19,K3:K17)</f>
        <v>12359</v>
      </c>
      <c r="L19" s="275"/>
      <c r="M19" s="276">
        <f>SumByColor($A$19,M2:M17)</f>
        <v>42</v>
      </c>
      <c r="W19" s="131"/>
    </row>
    <row r="20" spans="1:23" x14ac:dyDescent="0.25">
      <c r="W20" s="131"/>
    </row>
    <row r="21" spans="1:23" x14ac:dyDescent="0.25">
      <c r="W21" s="131"/>
    </row>
    <row r="22" spans="1:23" x14ac:dyDescent="0.25">
      <c r="W22" s="131"/>
    </row>
    <row r="24" spans="1:23" ht="20.25" thickBot="1" x14ac:dyDescent="0.35">
      <c r="B24" s="159" t="s">
        <v>113</v>
      </c>
      <c r="C24" s="159" t="s">
        <v>143</v>
      </c>
      <c r="D24" s="160" t="s">
        <v>142</v>
      </c>
      <c r="E24" s="162" t="s">
        <v>144</v>
      </c>
      <c r="F24" s="162" t="s">
        <v>65</v>
      </c>
      <c r="G24" s="173" t="s">
        <v>148</v>
      </c>
      <c r="H24" s="173" t="s">
        <v>88</v>
      </c>
      <c r="I24" s="173" t="s">
        <v>151</v>
      </c>
      <c r="J24" s="173" t="s">
        <v>147</v>
      </c>
      <c r="K24" s="173" t="s">
        <v>452</v>
      </c>
      <c r="L24" s="173" t="s">
        <v>901</v>
      </c>
      <c r="O24" s="886" t="s">
        <v>78</v>
      </c>
      <c r="P24" s="886"/>
    </row>
    <row r="25" spans="1:23" ht="15.75" thickTop="1" x14ac:dyDescent="0.25">
      <c r="B25" s="161">
        <v>42926</v>
      </c>
      <c r="C25" s="10">
        <v>20</v>
      </c>
      <c r="D25" s="39">
        <v>151</v>
      </c>
      <c r="E25" s="39">
        <v>151.16999999999999</v>
      </c>
      <c r="F25" s="39">
        <f t="shared" ref="F25:F43" si="0">C25*(E25-D25)</f>
        <v>3.3999999999997499</v>
      </c>
      <c r="G25" s="39">
        <f t="shared" ref="G25:G43" si="1">D25*C25</f>
        <v>3020</v>
      </c>
      <c r="H25" s="175">
        <f t="shared" ref="H25:H43" si="2">(E25-D25)/D25</f>
        <v>1.1258278145694536E-3</v>
      </c>
      <c r="I25" s="39"/>
      <c r="J25" s="39"/>
      <c r="K25" s="39"/>
      <c r="L25" s="39"/>
      <c r="O25" s="78">
        <v>1.1000000000000001</v>
      </c>
      <c r="P25" s="78">
        <f>O25*$Q$4</f>
        <v>316.327</v>
      </c>
      <c r="Q25" s="2"/>
    </row>
    <row r="26" spans="1:23" x14ac:dyDescent="0.25">
      <c r="B26" s="161">
        <v>42947</v>
      </c>
      <c r="C26" s="10">
        <v>20</v>
      </c>
      <c r="D26" s="39">
        <v>150.92500000000001</v>
      </c>
      <c r="E26" s="39">
        <v>158.51</v>
      </c>
      <c r="F26" s="39">
        <f t="shared" si="0"/>
        <v>151.69999999999959</v>
      </c>
      <c r="G26" s="39">
        <f t="shared" si="1"/>
        <v>3018.5</v>
      </c>
      <c r="H26" s="175">
        <f t="shared" si="2"/>
        <v>5.0256750041411155E-2</v>
      </c>
      <c r="I26" s="39"/>
      <c r="J26" s="39"/>
      <c r="K26" s="39"/>
      <c r="L26" s="39"/>
      <c r="O26" s="78">
        <v>1.0900000000000001</v>
      </c>
      <c r="P26" s="78">
        <f t="shared" ref="P26:P45" si="3">O26*$Q$4</f>
        <v>313.4513</v>
      </c>
      <c r="Q26" s="2"/>
    </row>
    <row r="27" spans="1:23" x14ac:dyDescent="0.25">
      <c r="B27" s="161">
        <v>42981</v>
      </c>
      <c r="C27" s="10">
        <v>20</v>
      </c>
      <c r="D27" s="39">
        <v>150.42500000000001</v>
      </c>
      <c r="E27" s="39">
        <v>158.51</v>
      </c>
      <c r="F27" s="39">
        <f t="shared" si="0"/>
        <v>161.69999999999959</v>
      </c>
      <c r="G27" s="39">
        <f t="shared" si="1"/>
        <v>3008.5</v>
      </c>
      <c r="H27" s="175">
        <f t="shared" si="2"/>
        <v>5.3747714808043738E-2</v>
      </c>
      <c r="I27" s="39">
        <v>148</v>
      </c>
      <c r="J27" s="39"/>
      <c r="K27" s="39"/>
      <c r="L27" s="152"/>
      <c r="O27" s="78">
        <v>1.08</v>
      </c>
      <c r="P27" s="78">
        <f t="shared" si="3"/>
        <v>310.57560000000001</v>
      </c>
      <c r="Q27" s="2"/>
    </row>
    <row r="28" spans="1:23" x14ac:dyDescent="0.25">
      <c r="B28" s="161">
        <v>42986</v>
      </c>
      <c r="C28" s="7">
        <v>50</v>
      </c>
      <c r="D28" s="43">
        <v>153.47</v>
      </c>
      <c r="E28" s="39">
        <v>155.5</v>
      </c>
      <c r="F28" s="39">
        <f t="shared" si="0"/>
        <v>101.50000000000006</v>
      </c>
      <c r="G28" s="39">
        <f t="shared" si="1"/>
        <v>7673.5</v>
      </c>
      <c r="H28" s="175">
        <f t="shared" si="2"/>
        <v>1.3227340848374283E-2</v>
      </c>
      <c r="I28" s="39"/>
      <c r="J28" s="39"/>
      <c r="K28" s="39"/>
      <c r="L28" s="152"/>
      <c r="O28" s="78">
        <v>1.07</v>
      </c>
      <c r="P28" s="78">
        <f t="shared" si="3"/>
        <v>307.69990000000001</v>
      </c>
      <c r="Q28" s="2"/>
    </row>
    <row r="29" spans="1:23" x14ac:dyDescent="0.25">
      <c r="B29" s="161">
        <v>42986</v>
      </c>
      <c r="C29" s="10">
        <v>30</v>
      </c>
      <c r="D29" s="39">
        <v>150.7277</v>
      </c>
      <c r="E29" s="39">
        <v>157</v>
      </c>
      <c r="F29" s="39">
        <f t="shared" si="0"/>
        <v>188.16900000000004</v>
      </c>
      <c r="G29" s="39">
        <f t="shared" si="1"/>
        <v>4521.8310000000001</v>
      </c>
      <c r="H29" s="175">
        <f t="shared" si="2"/>
        <v>4.1613452603602399E-2</v>
      </c>
      <c r="I29" s="39"/>
      <c r="J29" s="39"/>
      <c r="K29" s="39"/>
      <c r="L29" s="152"/>
      <c r="O29" s="78">
        <v>1.06</v>
      </c>
      <c r="P29" s="78">
        <f t="shared" si="3"/>
        <v>304.82420000000002</v>
      </c>
      <c r="Q29" s="2"/>
    </row>
    <row r="30" spans="1:23" x14ac:dyDescent="0.25">
      <c r="B30" s="161">
        <v>43014</v>
      </c>
      <c r="C30" s="10">
        <v>50</v>
      </c>
      <c r="D30" s="39">
        <v>153.2474</v>
      </c>
      <c r="E30" s="39">
        <v>157.02000000000001</v>
      </c>
      <c r="F30" s="39">
        <f t="shared" si="0"/>
        <v>188.63000000000056</v>
      </c>
      <c r="G30" s="39">
        <f t="shared" si="1"/>
        <v>7662.37</v>
      </c>
      <c r="H30" s="175">
        <f t="shared" si="2"/>
        <v>2.461770966424234E-2</v>
      </c>
      <c r="I30" s="39"/>
      <c r="J30" s="39"/>
      <c r="K30" s="39"/>
      <c r="L30" s="152"/>
      <c r="O30" s="78">
        <v>1.05</v>
      </c>
      <c r="P30" s="78">
        <f t="shared" si="3"/>
        <v>301.94850000000002</v>
      </c>
      <c r="Q30" s="2"/>
    </row>
    <row r="31" spans="1:23" x14ac:dyDescent="0.25">
      <c r="B31" s="161">
        <v>43028</v>
      </c>
      <c r="C31" s="10">
        <v>20</v>
      </c>
      <c r="D31" s="39">
        <v>149.55549999999999</v>
      </c>
      <c r="E31" s="39">
        <v>160.47999999999999</v>
      </c>
      <c r="F31" s="39">
        <f t="shared" si="0"/>
        <v>218.4899999999999</v>
      </c>
      <c r="G31" s="39">
        <f t="shared" si="1"/>
        <v>2991.1099999999997</v>
      </c>
      <c r="H31" s="175">
        <f t="shared" si="2"/>
        <v>7.3046461012801239E-2</v>
      </c>
      <c r="I31" s="39"/>
      <c r="J31" s="39">
        <v>362</v>
      </c>
      <c r="K31" s="39"/>
      <c r="L31" s="152"/>
      <c r="O31" s="78">
        <v>1.04</v>
      </c>
      <c r="P31" s="78">
        <f t="shared" si="3"/>
        <v>299.07280000000003</v>
      </c>
      <c r="Q31" s="2"/>
    </row>
    <row r="32" spans="1:23" x14ac:dyDescent="0.25">
      <c r="A32">
        <v>20</v>
      </c>
      <c r="B32" s="161">
        <v>43072</v>
      </c>
      <c r="C32" s="10">
        <v>20</v>
      </c>
      <c r="D32" s="39">
        <v>149.05549999999999</v>
      </c>
      <c r="E32" s="39">
        <v>185.13</v>
      </c>
      <c r="F32" s="39">
        <f t="shared" si="0"/>
        <v>721.49</v>
      </c>
      <c r="G32" s="39">
        <f t="shared" si="1"/>
        <v>2981.1099999999997</v>
      </c>
      <c r="H32" s="175">
        <f t="shared" si="2"/>
        <v>0.24202058964613854</v>
      </c>
      <c r="I32" s="39"/>
      <c r="J32" s="39">
        <v>865</v>
      </c>
      <c r="K32" s="39"/>
      <c r="L32" s="152"/>
      <c r="O32" s="78">
        <v>1.03</v>
      </c>
      <c r="P32" s="78">
        <f t="shared" si="3"/>
        <v>296.19709999999998</v>
      </c>
      <c r="Q32" s="2"/>
    </row>
    <row r="33" spans="1:23" x14ac:dyDescent="0.25">
      <c r="A33">
        <v>20</v>
      </c>
      <c r="B33" s="161">
        <v>43105</v>
      </c>
      <c r="C33" s="10">
        <v>20</v>
      </c>
      <c r="D33" s="39">
        <v>149.05549999999999</v>
      </c>
      <c r="E33" s="39">
        <v>187.75</v>
      </c>
      <c r="F33" s="39">
        <f t="shared" si="0"/>
        <v>773.8900000000001</v>
      </c>
      <c r="G33" s="39">
        <f t="shared" si="1"/>
        <v>2981.1099999999997</v>
      </c>
      <c r="H33" s="175">
        <f t="shared" si="2"/>
        <v>0.25959793499736677</v>
      </c>
      <c r="I33" s="39"/>
      <c r="J33" s="39">
        <v>866</v>
      </c>
      <c r="K33" s="39"/>
      <c r="L33" s="152"/>
      <c r="O33" s="78">
        <v>1.02</v>
      </c>
      <c r="P33" s="78">
        <f t="shared" si="3"/>
        <v>293.32139999999998</v>
      </c>
      <c r="Q33" s="2"/>
    </row>
    <row r="34" spans="1:23" x14ac:dyDescent="0.25">
      <c r="A34">
        <v>20</v>
      </c>
      <c r="B34" s="161">
        <v>43117</v>
      </c>
      <c r="C34" s="10">
        <v>20</v>
      </c>
      <c r="D34" s="39">
        <v>149.06</v>
      </c>
      <c r="E34" s="39">
        <v>192.29</v>
      </c>
      <c r="F34" s="39">
        <f t="shared" si="0"/>
        <v>864.5999999999998</v>
      </c>
      <c r="G34" s="39">
        <f t="shared" si="1"/>
        <v>2981.2</v>
      </c>
      <c r="H34" s="175">
        <f t="shared" si="2"/>
        <v>0.29001744264054735</v>
      </c>
      <c r="I34" s="39"/>
      <c r="J34" s="39">
        <v>1008</v>
      </c>
      <c r="K34" s="39"/>
      <c r="L34" s="152"/>
      <c r="O34" s="78">
        <v>1.01</v>
      </c>
      <c r="P34" s="78">
        <f t="shared" si="3"/>
        <v>290.44569999999999</v>
      </c>
      <c r="Q34" s="2"/>
    </row>
    <row r="35" spans="1:23" x14ac:dyDescent="0.25">
      <c r="B35" s="161">
        <v>43151</v>
      </c>
      <c r="C35" s="10">
        <v>20</v>
      </c>
      <c r="D35" s="39">
        <v>149.06</v>
      </c>
      <c r="E35" s="39">
        <v>188.12</v>
      </c>
      <c r="F35" s="39">
        <f t="shared" si="0"/>
        <v>781.2</v>
      </c>
      <c r="G35" s="39">
        <f t="shared" si="1"/>
        <v>2981.2</v>
      </c>
      <c r="H35" s="175">
        <f t="shared" si="2"/>
        <v>0.26204213068562998</v>
      </c>
      <c r="I35" s="39"/>
      <c r="J35" s="39">
        <v>924</v>
      </c>
      <c r="K35" s="39"/>
      <c r="L35" s="152"/>
      <c r="O35" s="78">
        <v>1</v>
      </c>
      <c r="P35" s="78">
        <f t="shared" si="3"/>
        <v>287.57</v>
      </c>
      <c r="Q35" s="2"/>
    </row>
    <row r="36" spans="1:23" x14ac:dyDescent="0.25">
      <c r="A36">
        <v>20</v>
      </c>
      <c r="B36" s="161">
        <v>43162</v>
      </c>
      <c r="C36" s="10">
        <v>20</v>
      </c>
      <c r="D36" s="39">
        <v>148.56</v>
      </c>
      <c r="E36" s="39">
        <v>189.33</v>
      </c>
      <c r="F36" s="39">
        <f t="shared" si="0"/>
        <v>815.4000000000002</v>
      </c>
      <c r="G36" s="39">
        <f t="shared" si="1"/>
        <v>2971.2</v>
      </c>
      <c r="H36" s="175">
        <f t="shared" si="2"/>
        <v>0.27443457189014547</v>
      </c>
      <c r="I36" s="39"/>
      <c r="J36" s="39">
        <v>959</v>
      </c>
      <c r="K36" s="39"/>
      <c r="L36" s="39"/>
      <c r="O36" s="78">
        <v>0.99</v>
      </c>
      <c r="P36" s="78">
        <f t="shared" si="3"/>
        <v>284.6943</v>
      </c>
      <c r="Q36" s="2"/>
    </row>
    <row r="37" spans="1:23" x14ac:dyDescent="0.25">
      <c r="B37" s="161">
        <v>43181</v>
      </c>
      <c r="C37" s="10">
        <v>40</v>
      </c>
      <c r="D37" s="39">
        <v>165.78</v>
      </c>
      <c r="E37" s="39">
        <v>183</v>
      </c>
      <c r="F37" s="39">
        <f t="shared" si="0"/>
        <v>688.8</v>
      </c>
      <c r="G37" s="39">
        <f t="shared" si="1"/>
        <v>6631.2</v>
      </c>
      <c r="H37" s="175">
        <f t="shared" si="2"/>
        <v>0.10387260224393774</v>
      </c>
      <c r="I37" s="39"/>
      <c r="J37" s="39"/>
      <c r="K37" s="39"/>
      <c r="L37" s="39"/>
      <c r="O37" s="78">
        <v>0.98</v>
      </c>
      <c r="P37" s="78">
        <f t="shared" si="3"/>
        <v>281.8186</v>
      </c>
      <c r="Q37" s="2"/>
    </row>
    <row r="38" spans="1:23" x14ac:dyDescent="0.25">
      <c r="A38">
        <v>20</v>
      </c>
      <c r="B38" s="161">
        <v>43184</v>
      </c>
      <c r="C38" s="10">
        <v>40</v>
      </c>
      <c r="D38" s="39">
        <v>165.78</v>
      </c>
      <c r="E38" s="39">
        <v>180.84</v>
      </c>
      <c r="F38" s="39">
        <f t="shared" si="0"/>
        <v>602.40000000000009</v>
      </c>
      <c r="G38" s="39">
        <f t="shared" si="1"/>
        <v>6631.2</v>
      </c>
      <c r="H38" s="175">
        <f t="shared" si="2"/>
        <v>9.0843286283025709E-2</v>
      </c>
      <c r="I38" s="39"/>
      <c r="J38" s="39">
        <v>746</v>
      </c>
      <c r="K38" s="39"/>
      <c r="L38" s="39"/>
      <c r="O38" s="78">
        <v>0.97</v>
      </c>
      <c r="P38" s="78">
        <f t="shared" si="3"/>
        <v>278.94290000000001</v>
      </c>
    </row>
    <row r="39" spans="1:23" x14ac:dyDescent="0.25">
      <c r="A39">
        <v>20</v>
      </c>
      <c r="B39" s="161">
        <v>43185</v>
      </c>
      <c r="C39" s="10">
        <v>40</v>
      </c>
      <c r="D39" s="39">
        <v>165.78</v>
      </c>
      <c r="E39" s="39">
        <v>187.22</v>
      </c>
      <c r="F39" s="39">
        <f t="shared" si="0"/>
        <v>857.59999999999991</v>
      </c>
      <c r="G39" s="39">
        <f t="shared" si="1"/>
        <v>6631.2</v>
      </c>
      <c r="H39" s="175">
        <f t="shared" si="2"/>
        <v>0.12932802509349739</v>
      </c>
      <c r="I39" s="39"/>
      <c r="J39" s="39">
        <v>1001</v>
      </c>
      <c r="K39" s="39">
        <v>47</v>
      </c>
      <c r="L39" s="39">
        <v>26.82</v>
      </c>
      <c r="O39" s="78">
        <v>0.96</v>
      </c>
      <c r="P39" s="78">
        <f t="shared" si="3"/>
        <v>276.06719999999996</v>
      </c>
    </row>
    <row r="40" spans="1:23" x14ac:dyDescent="0.25">
      <c r="A40">
        <v>0</v>
      </c>
      <c r="B40" s="161">
        <v>43202</v>
      </c>
      <c r="C40" s="181">
        <v>20</v>
      </c>
      <c r="D40" s="182">
        <v>143.56</v>
      </c>
      <c r="E40" s="39">
        <v>188.82</v>
      </c>
      <c r="F40" s="39">
        <f t="shared" si="0"/>
        <v>905.19999999999982</v>
      </c>
      <c r="G40" s="39">
        <f t="shared" si="1"/>
        <v>2871.2</v>
      </c>
      <c r="H40" s="175">
        <f t="shared" si="2"/>
        <v>0.31526887712454715</v>
      </c>
      <c r="I40" s="182" t="s">
        <v>925</v>
      </c>
      <c r="J40" s="39">
        <v>1048</v>
      </c>
      <c r="K40" s="39"/>
      <c r="L40" s="39">
        <v>27.52</v>
      </c>
      <c r="O40" s="78">
        <v>0.95</v>
      </c>
      <c r="P40" s="78">
        <f t="shared" si="3"/>
        <v>273.19149999999996</v>
      </c>
    </row>
    <row r="41" spans="1:23" x14ac:dyDescent="0.25">
      <c r="A41">
        <v>20</v>
      </c>
      <c r="B41" s="161">
        <v>43229</v>
      </c>
      <c r="C41" s="10">
        <v>20</v>
      </c>
      <c r="D41" s="39">
        <v>143.56</v>
      </c>
      <c r="E41" s="39">
        <v>196.04</v>
      </c>
      <c r="F41" s="39">
        <f t="shared" si="0"/>
        <v>1049.5999999999999</v>
      </c>
      <c r="G41" s="39">
        <f t="shared" si="1"/>
        <v>2871.2</v>
      </c>
      <c r="H41" s="175">
        <f t="shared" si="2"/>
        <v>0.36556143772638611</v>
      </c>
      <c r="I41" s="39"/>
      <c r="J41" s="39">
        <v>1193</v>
      </c>
      <c r="K41" s="39"/>
      <c r="L41" s="39"/>
      <c r="O41" s="78">
        <v>0.94</v>
      </c>
      <c r="P41" s="78">
        <f t="shared" si="3"/>
        <v>270.31579999999997</v>
      </c>
    </row>
    <row r="42" spans="1:23" x14ac:dyDescent="0.25">
      <c r="A42">
        <v>20</v>
      </c>
      <c r="B42" s="161">
        <v>43245</v>
      </c>
      <c r="C42" s="181">
        <v>20</v>
      </c>
      <c r="D42" s="182">
        <v>142.99</v>
      </c>
      <c r="E42" s="39">
        <v>198.89</v>
      </c>
      <c r="F42" s="39">
        <f t="shared" si="0"/>
        <v>1117.9999999999995</v>
      </c>
      <c r="G42" s="39">
        <f t="shared" si="1"/>
        <v>2859.8</v>
      </c>
      <c r="H42" s="175">
        <f t="shared" si="2"/>
        <v>0.39093642912091736</v>
      </c>
      <c r="I42" s="39"/>
      <c r="J42" s="39">
        <v>1264</v>
      </c>
      <c r="K42" s="39"/>
      <c r="L42" s="39">
        <v>28.99</v>
      </c>
      <c r="O42" s="78">
        <v>0.93</v>
      </c>
      <c r="P42" s="78">
        <f t="shared" si="3"/>
        <v>267.44010000000003</v>
      </c>
    </row>
    <row r="43" spans="1:23" x14ac:dyDescent="0.25">
      <c r="A43">
        <v>20</v>
      </c>
      <c r="B43" s="161">
        <v>43276</v>
      </c>
      <c r="C43" s="10">
        <v>20</v>
      </c>
      <c r="D43" s="39">
        <v>142.99</v>
      </c>
      <c r="E43" s="39">
        <v>211.75</v>
      </c>
      <c r="F43" s="39">
        <f t="shared" si="0"/>
        <v>1375.1999999999998</v>
      </c>
      <c r="G43" s="39">
        <f t="shared" si="1"/>
        <v>2859.8</v>
      </c>
      <c r="H43" s="175">
        <f t="shared" si="2"/>
        <v>0.48087278830687452</v>
      </c>
      <c r="I43" s="39"/>
      <c r="J43" s="39">
        <v>1518</v>
      </c>
      <c r="K43" s="39"/>
      <c r="L43" s="39">
        <v>30.87</v>
      </c>
      <c r="O43" s="78">
        <v>0.92</v>
      </c>
      <c r="P43" s="78">
        <f t="shared" si="3"/>
        <v>264.56439999999998</v>
      </c>
    </row>
    <row r="44" spans="1:23" x14ac:dyDescent="0.25">
      <c r="B44" s="161">
        <v>43293</v>
      </c>
      <c r="C44" s="10">
        <v>0</v>
      </c>
      <c r="D44" s="39"/>
      <c r="E44" s="39"/>
      <c r="F44" s="39">
        <v>1411.74</v>
      </c>
      <c r="G44" s="39"/>
      <c r="H44" s="175"/>
      <c r="I44" s="39"/>
      <c r="J44" s="760">
        <v>1554.77</v>
      </c>
      <c r="K44" s="39"/>
      <c r="L44" s="39"/>
      <c r="O44" s="78">
        <v>0.91</v>
      </c>
      <c r="P44" s="78">
        <f t="shared" si="3"/>
        <v>261.68869999999998</v>
      </c>
    </row>
    <row r="45" spans="1:23" x14ac:dyDescent="0.25">
      <c r="A45">
        <v>0</v>
      </c>
      <c r="B45" s="161">
        <v>43448</v>
      </c>
      <c r="C45" s="181">
        <v>20</v>
      </c>
      <c r="D45" s="182">
        <v>139.41300000000001</v>
      </c>
      <c r="E45" s="39">
        <v>207.06</v>
      </c>
      <c r="F45" s="39">
        <f>C45*(E45-D45)</f>
        <v>1352.9399999999998</v>
      </c>
      <c r="G45" s="39">
        <f>D45*C45</f>
        <v>2788.26</v>
      </c>
      <c r="H45" s="175">
        <f>(E45-D45)/D45</f>
        <v>0.48522734608680673</v>
      </c>
      <c r="I45" s="39"/>
      <c r="J45" s="39">
        <v>1495.97</v>
      </c>
      <c r="K45" s="39"/>
      <c r="L45" s="39"/>
      <c r="O45" s="78">
        <v>0.9</v>
      </c>
      <c r="P45" s="78">
        <f t="shared" si="3"/>
        <v>258.81299999999999</v>
      </c>
    </row>
    <row r="46" spans="1:23" x14ac:dyDescent="0.25">
      <c r="A46">
        <v>20</v>
      </c>
      <c r="B46" s="161">
        <v>43486</v>
      </c>
      <c r="C46" s="10">
        <v>20</v>
      </c>
      <c r="D46" s="39">
        <v>139.41</v>
      </c>
      <c r="E46" s="39">
        <v>213.59</v>
      </c>
      <c r="F46" s="39">
        <f>C46*(E46-D46)</f>
        <v>1483.6000000000001</v>
      </c>
      <c r="G46" s="39">
        <f>D46*C46</f>
        <v>2788.2</v>
      </c>
      <c r="H46" s="175">
        <f>(E46-D46)/D46</f>
        <v>0.53209956244171874</v>
      </c>
      <c r="I46" s="39"/>
      <c r="J46" s="760">
        <v>1626.57</v>
      </c>
      <c r="K46" s="39"/>
      <c r="L46" s="39"/>
    </row>
    <row r="47" spans="1:23" x14ac:dyDescent="0.25">
      <c r="B47" s="161">
        <v>43511</v>
      </c>
      <c r="C47" s="10">
        <v>0</v>
      </c>
      <c r="D47" s="39">
        <v>139.41</v>
      </c>
      <c r="E47" s="39">
        <v>216.47</v>
      </c>
      <c r="F47" s="39">
        <v>1538.68</v>
      </c>
      <c r="G47" s="39">
        <f>D47*C47</f>
        <v>0</v>
      </c>
      <c r="H47" s="175">
        <f>(E47-D47)/D47</f>
        <v>0.55275805178968518</v>
      </c>
      <c r="I47" s="39"/>
      <c r="J47" s="760">
        <v>1681.71</v>
      </c>
      <c r="K47" s="39"/>
      <c r="L47" s="39"/>
      <c r="W47" s="131"/>
    </row>
    <row r="48" spans="1:23" x14ac:dyDescent="0.25">
      <c r="B48" s="161">
        <v>43520</v>
      </c>
      <c r="C48" s="10">
        <v>0</v>
      </c>
      <c r="D48" s="39"/>
      <c r="E48" s="39"/>
      <c r="F48" s="39"/>
      <c r="G48" s="39"/>
      <c r="H48" s="175"/>
      <c r="I48" s="39" t="s">
        <v>182</v>
      </c>
      <c r="J48" s="760">
        <v>1693.11</v>
      </c>
      <c r="K48" s="39"/>
      <c r="L48" s="39"/>
      <c r="W48" s="131"/>
    </row>
    <row r="49" spans="1:23" x14ac:dyDescent="0.25">
      <c r="B49" s="161"/>
      <c r="C49" s="10"/>
      <c r="D49" s="39"/>
      <c r="E49" s="39"/>
      <c r="F49" s="39"/>
      <c r="G49" s="39"/>
      <c r="H49" s="175"/>
      <c r="I49" s="39"/>
      <c r="J49" s="39"/>
      <c r="K49" s="39"/>
      <c r="L49" s="39"/>
      <c r="W49" s="131"/>
    </row>
    <row r="50" spans="1:23" x14ac:dyDescent="0.25">
      <c r="B50" s="161"/>
      <c r="C50" s="10"/>
      <c r="D50" s="39"/>
      <c r="E50" s="39"/>
      <c r="F50" s="39"/>
      <c r="G50" s="39"/>
      <c r="H50" s="175"/>
      <c r="I50" s="39"/>
      <c r="J50" s="39"/>
      <c r="K50" s="39"/>
      <c r="L50" s="39"/>
      <c r="W50" s="131"/>
    </row>
    <row r="51" spans="1:23" x14ac:dyDescent="0.25">
      <c r="B51" s="69"/>
      <c r="C51" s="4"/>
      <c r="D51" s="3"/>
      <c r="E51" s="3"/>
      <c r="F51" s="3"/>
      <c r="G51" s="3"/>
      <c r="H51" s="212"/>
      <c r="I51" s="3"/>
      <c r="W51" s="131"/>
    </row>
    <row r="52" spans="1:23" x14ac:dyDescent="0.25">
      <c r="B52" s="69"/>
      <c r="C52" s="4"/>
      <c r="D52" s="3"/>
      <c r="E52" s="3"/>
      <c r="F52" s="3"/>
      <c r="G52" s="3"/>
      <c r="H52" s="212"/>
      <c r="I52" s="3"/>
      <c r="W52" s="131"/>
    </row>
    <row r="53" spans="1:23" x14ac:dyDescent="0.25">
      <c r="B53" s="69"/>
      <c r="C53" s="4"/>
      <c r="D53" s="3"/>
      <c r="E53" s="3"/>
      <c r="F53" s="3"/>
      <c r="G53" s="3"/>
      <c r="H53" s="212"/>
      <c r="I53" s="3"/>
    </row>
    <row r="54" spans="1:23" x14ac:dyDescent="0.25">
      <c r="A54" s="4"/>
      <c r="B54" s="69"/>
      <c r="C54" s="4"/>
      <c r="D54" s="3"/>
      <c r="E54" s="3"/>
      <c r="F54" s="3"/>
      <c r="G54" s="3"/>
      <c r="H54" s="212"/>
      <c r="I54" s="3"/>
      <c r="J54" s="3"/>
      <c r="K54" s="3"/>
      <c r="L54" s="4"/>
    </row>
    <row r="55" spans="1:23" x14ac:dyDescent="0.25">
      <c r="A55" s="4"/>
      <c r="B55" s="69"/>
      <c r="C55" s="4"/>
      <c r="D55" s="3"/>
      <c r="E55" s="3"/>
      <c r="F55" s="3"/>
      <c r="G55" s="3"/>
      <c r="H55" s="212"/>
      <c r="I55" s="3"/>
      <c r="J55" s="3"/>
      <c r="K55" s="3"/>
      <c r="L55" s="4"/>
    </row>
    <row r="56" spans="1:23" x14ac:dyDescent="0.25">
      <c r="A56" s="4"/>
      <c r="B56" s="69"/>
      <c r="C56" s="4"/>
      <c r="D56" s="3"/>
      <c r="E56" s="3"/>
      <c r="F56" s="3"/>
      <c r="G56" s="3"/>
      <c r="H56" s="212"/>
      <c r="I56" s="3"/>
      <c r="J56" s="3"/>
      <c r="K56" s="3"/>
      <c r="L56" s="4"/>
    </row>
    <row r="57" spans="1:23" x14ac:dyDescent="0.25">
      <c r="A57" s="4"/>
      <c r="B57" s="69"/>
      <c r="C57" s="4"/>
      <c r="D57" s="3"/>
      <c r="E57" s="3"/>
      <c r="F57" s="3"/>
      <c r="G57" s="3"/>
      <c r="H57" s="212"/>
      <c r="I57" s="3"/>
      <c r="J57" s="3"/>
      <c r="K57" s="3"/>
      <c r="L57" s="4"/>
    </row>
    <row r="58" spans="1:23" x14ac:dyDescent="0.25">
      <c r="A58" s="4"/>
      <c r="B58" s="69"/>
      <c r="C58" s="4"/>
      <c r="D58" s="3"/>
      <c r="E58" s="3"/>
      <c r="F58" s="3"/>
      <c r="G58" s="3"/>
      <c r="H58" s="212"/>
      <c r="I58" s="3"/>
      <c r="J58" s="3"/>
      <c r="K58" s="3"/>
      <c r="L58" s="4"/>
    </row>
    <row r="59" spans="1:23" x14ac:dyDescent="0.25">
      <c r="A59" s="4"/>
      <c r="B59" s="69"/>
      <c r="C59" s="4"/>
      <c r="D59" s="3"/>
      <c r="E59" s="3"/>
      <c r="F59" s="3"/>
      <c r="G59" s="3"/>
      <c r="H59" s="212"/>
      <c r="I59" s="3"/>
      <c r="J59" s="3"/>
      <c r="K59" s="3"/>
      <c r="L59" s="4"/>
    </row>
    <row r="60" spans="1:23" x14ac:dyDescent="0.25">
      <c r="A60" s="4"/>
      <c r="B60" s="69"/>
      <c r="C60" s="4"/>
      <c r="D60" s="3"/>
      <c r="E60" s="3"/>
      <c r="F60" s="3"/>
      <c r="G60" s="3"/>
      <c r="H60" s="212"/>
      <c r="I60" s="3"/>
      <c r="J60" s="3"/>
      <c r="K60" s="3"/>
      <c r="L60" s="4"/>
    </row>
    <row r="61" spans="1:23" x14ac:dyDescent="0.25">
      <c r="A61" s="4"/>
      <c r="B61" s="69"/>
      <c r="C61" s="4"/>
      <c r="D61" s="3"/>
      <c r="E61" s="3"/>
      <c r="F61" s="3"/>
      <c r="G61" s="3"/>
      <c r="H61" s="212"/>
      <c r="I61" s="3"/>
      <c r="J61" s="3"/>
      <c r="K61" s="3"/>
      <c r="L61" s="4"/>
    </row>
    <row r="62" spans="1:23" x14ac:dyDescent="0.25">
      <c r="A62" s="4"/>
      <c r="B62" s="69"/>
      <c r="C62" s="4"/>
      <c r="D62" s="3"/>
      <c r="E62" s="3"/>
      <c r="F62" s="3"/>
      <c r="G62" s="3"/>
      <c r="H62" s="212"/>
      <c r="I62" s="3"/>
      <c r="J62" s="3"/>
      <c r="K62" s="3"/>
      <c r="L62" s="4"/>
    </row>
    <row r="63" spans="1:23" x14ac:dyDescent="0.25">
      <c r="A63" s="4"/>
      <c r="B63" s="69"/>
      <c r="C63" s="4"/>
      <c r="D63" s="3"/>
      <c r="E63" s="3"/>
      <c r="F63" s="3"/>
      <c r="G63" s="3"/>
      <c r="H63" s="212"/>
      <c r="I63" s="3"/>
      <c r="J63" s="3"/>
      <c r="K63" s="3"/>
      <c r="L63" s="4"/>
    </row>
    <row r="64" spans="1:23" x14ac:dyDescent="0.25">
      <c r="A64" s="4"/>
      <c r="B64" s="4"/>
      <c r="C64" s="4"/>
      <c r="D64" s="3"/>
      <c r="E64" s="3"/>
      <c r="F64" s="3"/>
      <c r="G64" s="4"/>
      <c r="H64" s="4"/>
      <c r="I64" s="3"/>
      <c r="J64" s="3"/>
      <c r="K64" s="3"/>
      <c r="L64" s="4"/>
    </row>
    <row r="65" spans="1:31" x14ac:dyDescent="0.25">
      <c r="A65" s="4"/>
      <c r="B65" s="4"/>
      <c r="C65" s="4"/>
      <c r="D65" s="3"/>
      <c r="E65" s="3"/>
      <c r="F65" s="3"/>
      <c r="G65" s="4"/>
      <c r="H65" s="4"/>
      <c r="I65" s="3"/>
      <c r="J65" s="3"/>
      <c r="K65" s="3"/>
      <c r="L65" s="4"/>
    </row>
    <row r="66" spans="1:31" x14ac:dyDescent="0.25">
      <c r="A66" s="4"/>
      <c r="B66" s="4"/>
      <c r="C66" s="4"/>
      <c r="D66" s="3"/>
      <c r="E66" s="3"/>
      <c r="F66" s="3"/>
      <c r="G66" s="4"/>
      <c r="H66" s="4"/>
      <c r="I66" s="3"/>
      <c r="J66" s="3"/>
      <c r="K66" s="3"/>
      <c r="L66" s="4" t="s">
        <v>65</v>
      </c>
      <c r="M66" s="2">
        <f>M84+K84-F84</f>
        <v>143.0300000000002</v>
      </c>
    </row>
    <row r="67" spans="1:31"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row>
    <row r="68" spans="1:31" x14ac:dyDescent="0.25">
      <c r="A68" s="433"/>
      <c r="B68" s="360">
        <v>42926</v>
      </c>
      <c r="C68" s="7">
        <v>20</v>
      </c>
      <c r="D68" s="43">
        <v>151</v>
      </c>
      <c r="E68" s="43">
        <v>0</v>
      </c>
      <c r="F68" s="43">
        <f>C68*D68+E68</f>
        <v>3020</v>
      </c>
      <c r="G68" s="360">
        <v>42986</v>
      </c>
      <c r="H68" s="7">
        <v>20</v>
      </c>
      <c r="I68" s="43">
        <v>157.58000000000001</v>
      </c>
      <c r="J68" s="43">
        <v>7.0000000000000007E-2</v>
      </c>
      <c r="K68" s="43">
        <f>H68*I68-J68</f>
        <v>3151.53</v>
      </c>
      <c r="L68" s="69">
        <v>42923</v>
      </c>
      <c r="M68" s="3">
        <v>1.5</v>
      </c>
    </row>
    <row r="69" spans="1:31" x14ac:dyDescent="0.25">
      <c r="A69" s="435"/>
      <c r="B69" s="395"/>
      <c r="C69" s="4"/>
      <c r="D69" s="3"/>
      <c r="E69" s="3"/>
      <c r="F69" s="3"/>
      <c r="G69" s="69"/>
      <c r="H69" s="158"/>
      <c r="I69" s="3"/>
      <c r="J69" s="3"/>
      <c r="K69" s="3"/>
      <c r="L69" s="69">
        <v>42981</v>
      </c>
      <c r="M69" s="3">
        <v>10</v>
      </c>
      <c r="AD69" s="2"/>
      <c r="AE69" s="131"/>
    </row>
    <row r="70" spans="1:31" x14ac:dyDescent="0.25">
      <c r="A70" s="418"/>
      <c r="B70" s="417"/>
      <c r="C70" s="418"/>
      <c r="D70" s="420"/>
      <c r="E70" s="420"/>
      <c r="F70" s="420"/>
      <c r="G70" s="417"/>
      <c r="H70" s="434"/>
      <c r="I70" s="420"/>
      <c r="J70" s="420"/>
      <c r="K70" s="420"/>
      <c r="L70" s="418"/>
      <c r="M70" s="418"/>
    </row>
    <row r="71" spans="1:31" x14ac:dyDescent="0.25">
      <c r="A71" s="418"/>
      <c r="B71" s="417"/>
      <c r="C71" s="418"/>
      <c r="D71" s="420"/>
      <c r="E71" s="420"/>
      <c r="F71" s="420"/>
      <c r="G71" s="418"/>
      <c r="H71" s="434"/>
      <c r="I71" s="420"/>
      <c r="J71" s="420"/>
      <c r="K71" s="420"/>
      <c r="L71" s="418"/>
      <c r="M71" s="418"/>
    </row>
    <row r="72" spans="1:31" x14ac:dyDescent="0.25">
      <c r="A72" s="418"/>
      <c r="B72" s="417"/>
      <c r="C72" s="418"/>
      <c r="D72" s="420"/>
      <c r="E72" s="420"/>
      <c r="F72" s="420"/>
      <c r="G72" s="418"/>
      <c r="H72" s="434"/>
      <c r="I72" s="420"/>
      <c r="J72" s="420"/>
      <c r="K72" s="420"/>
      <c r="L72" s="418"/>
      <c r="M72" s="418"/>
    </row>
    <row r="73" spans="1:31" x14ac:dyDescent="0.25">
      <c r="A73" s="418"/>
      <c r="B73" s="418"/>
      <c r="C73" s="418"/>
      <c r="D73" s="420"/>
      <c r="E73" s="420"/>
      <c r="F73" s="420"/>
      <c r="G73" s="418"/>
      <c r="H73" s="434"/>
      <c r="I73" s="420"/>
      <c r="J73" s="420"/>
      <c r="K73" s="420"/>
      <c r="L73" s="418"/>
      <c r="M73" s="418"/>
    </row>
    <row r="74" spans="1:31" x14ac:dyDescent="0.25">
      <c r="A74" s="418"/>
      <c r="B74" s="418"/>
      <c r="C74" s="418"/>
      <c r="D74" s="420"/>
      <c r="E74" s="420"/>
      <c r="F74" s="420"/>
      <c r="G74" s="418"/>
      <c r="H74" s="434"/>
      <c r="I74" s="420"/>
      <c r="J74" s="420"/>
      <c r="K74" s="420"/>
      <c r="L74" s="418"/>
      <c r="M74" s="418"/>
    </row>
    <row r="75" spans="1:31" x14ac:dyDescent="0.25">
      <c r="A75" s="418"/>
      <c r="B75" s="418"/>
      <c r="C75" s="418"/>
      <c r="D75" s="420"/>
      <c r="E75" s="420"/>
      <c r="F75" s="420"/>
      <c r="G75" s="418"/>
      <c r="H75" s="434"/>
      <c r="I75" s="420"/>
      <c r="J75" s="420"/>
      <c r="K75" s="420"/>
      <c r="L75" s="418"/>
      <c r="M75" s="418"/>
    </row>
    <row r="76" spans="1:31" x14ac:dyDescent="0.25">
      <c r="A76" s="418"/>
      <c r="B76" s="418"/>
      <c r="C76" s="418"/>
      <c r="D76" s="420"/>
      <c r="E76" s="420"/>
      <c r="F76" s="420"/>
      <c r="G76" s="418"/>
      <c r="H76" s="434"/>
      <c r="I76" s="420"/>
      <c r="J76" s="420"/>
      <c r="K76" s="420"/>
      <c r="L76" s="418"/>
      <c r="M76" s="418"/>
    </row>
    <row r="77" spans="1:31" x14ac:dyDescent="0.25">
      <c r="A77" s="418"/>
      <c r="B77" s="418"/>
      <c r="C77" s="418"/>
      <c r="D77" s="420"/>
      <c r="E77" s="420"/>
      <c r="F77" s="420"/>
      <c r="G77" s="418"/>
      <c r="H77" s="434"/>
      <c r="I77" s="420"/>
      <c r="J77" s="420"/>
      <c r="K77" s="420"/>
      <c r="L77" s="418"/>
      <c r="M77" s="418"/>
    </row>
    <row r="78" spans="1:31" x14ac:dyDescent="0.25">
      <c r="A78" s="418"/>
      <c r="B78" s="418"/>
      <c r="C78" s="418"/>
      <c r="D78" s="420"/>
      <c r="E78" s="420"/>
      <c r="F78" s="420"/>
      <c r="G78" s="418"/>
      <c r="H78" s="434"/>
      <c r="I78" s="420"/>
      <c r="J78" s="420"/>
      <c r="K78" s="420"/>
      <c r="L78" s="418"/>
      <c r="M78" s="418"/>
    </row>
    <row r="79" spans="1:31" x14ac:dyDescent="0.25">
      <c r="A79" s="418"/>
      <c r="B79" s="418"/>
      <c r="C79" s="418"/>
      <c r="D79" s="420"/>
      <c r="E79" s="420"/>
      <c r="F79" s="420"/>
      <c r="G79" s="418"/>
      <c r="H79" s="434"/>
      <c r="I79" s="420"/>
      <c r="J79" s="420"/>
      <c r="K79" s="420"/>
      <c r="L79" s="418"/>
      <c r="M79" s="418"/>
    </row>
    <row r="80" spans="1:31"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SUM(C68:C72)</f>
        <v>20</v>
      </c>
      <c r="D84" s="438"/>
      <c r="E84" s="438"/>
      <c r="F84" s="438">
        <f>SUM(F68:F72)</f>
        <v>3020</v>
      </c>
      <c r="G84" s="437"/>
      <c r="H84" s="459">
        <f>SUM(H68:H71)</f>
        <v>20</v>
      </c>
      <c r="I84" s="438"/>
      <c r="J84" s="438"/>
      <c r="K84" s="438">
        <f>SUM(K68:K71)</f>
        <v>3151.53</v>
      </c>
      <c r="L84" s="437"/>
      <c r="M84" s="438">
        <f>SUM(M68:M76)</f>
        <v>11.5</v>
      </c>
    </row>
    <row r="85" spans="1:13" ht="15.75" thickBot="1" x14ac:dyDescent="0.3">
      <c r="A85" s="439" t="s">
        <v>189</v>
      </c>
      <c r="B85" s="440"/>
      <c r="C85" s="441">
        <f>SumByColor($A$19,C68:C83)</f>
        <v>20</v>
      </c>
      <c r="D85" s="441"/>
      <c r="E85" s="441"/>
      <c r="F85" s="442">
        <f>SumByColor($A$19,F68:F83)</f>
        <v>3020</v>
      </c>
      <c r="G85" s="441"/>
      <c r="H85" s="441">
        <f>SumByColor($A$19,H68:H83)</f>
        <v>20</v>
      </c>
      <c r="I85" s="441"/>
      <c r="J85" s="441"/>
      <c r="K85" s="442">
        <f>SumByColor($A$19,K69:K83)</f>
        <v>0</v>
      </c>
      <c r="L85" s="441"/>
      <c r="M85" s="442">
        <f>SumByColor($A$19,M68:M83)</f>
        <v>0</v>
      </c>
    </row>
    <row r="88" spans="1:13" x14ac:dyDescent="0.25">
      <c r="B88" s="573" t="s">
        <v>113</v>
      </c>
      <c r="C88" s="573" t="s">
        <v>143</v>
      </c>
      <c r="D88" s="574" t="s">
        <v>142</v>
      </c>
      <c r="E88" s="575" t="s">
        <v>144</v>
      </c>
      <c r="F88" s="575" t="s">
        <v>65</v>
      </c>
      <c r="G88" s="576" t="s">
        <v>148</v>
      </c>
      <c r="H88" s="576" t="s">
        <v>88</v>
      </c>
      <c r="I88" s="576" t="s">
        <v>151</v>
      </c>
    </row>
    <row r="89" spans="1:13" x14ac:dyDescent="0.25">
      <c r="B89" s="481"/>
      <c r="C89" s="478"/>
      <c r="D89" s="479"/>
      <c r="E89" s="479"/>
      <c r="F89" s="479"/>
      <c r="G89" s="479"/>
      <c r="H89" s="577"/>
      <c r="I89" s="479"/>
    </row>
    <row r="90" spans="1:13" x14ac:dyDescent="0.25">
      <c r="B90" s="481"/>
      <c r="C90" s="478"/>
      <c r="D90" s="479"/>
      <c r="E90" s="479"/>
      <c r="F90" s="479"/>
      <c r="G90" s="479"/>
      <c r="H90" s="577"/>
      <c r="I90" s="479"/>
    </row>
    <row r="91" spans="1:13" x14ac:dyDescent="0.25">
      <c r="B91" s="481"/>
      <c r="C91" s="478"/>
      <c r="D91" s="479"/>
      <c r="E91" s="479"/>
      <c r="F91" s="479"/>
      <c r="G91" s="479"/>
      <c r="H91" s="577"/>
      <c r="I91" s="479"/>
    </row>
    <row r="92" spans="1:13" x14ac:dyDescent="0.25">
      <c r="B92" s="481"/>
      <c r="C92" s="478"/>
      <c r="D92" s="479"/>
      <c r="E92" s="479"/>
      <c r="F92" s="479"/>
      <c r="G92" s="479"/>
      <c r="H92" s="577"/>
      <c r="I92" s="479"/>
    </row>
    <row r="93" spans="1:13" x14ac:dyDescent="0.25">
      <c r="B93" s="481"/>
      <c r="C93" s="478"/>
      <c r="D93" s="479"/>
      <c r="E93" s="479"/>
      <c r="F93" s="479"/>
      <c r="G93" s="479"/>
      <c r="H93" s="577"/>
      <c r="I93" s="479"/>
    </row>
    <row r="94" spans="1:13" x14ac:dyDescent="0.25">
      <c r="B94" s="481"/>
      <c r="C94" s="478"/>
      <c r="D94" s="479"/>
      <c r="E94" s="479"/>
      <c r="F94" s="479"/>
      <c r="G94" s="479"/>
      <c r="H94" s="577"/>
      <c r="I94" s="479"/>
    </row>
    <row r="95" spans="1:13" x14ac:dyDescent="0.25">
      <c r="B95" s="481"/>
      <c r="C95" s="478"/>
      <c r="D95" s="479"/>
      <c r="E95" s="479"/>
      <c r="F95" s="479"/>
      <c r="G95" s="479"/>
      <c r="H95" s="577"/>
      <c r="I95" s="479"/>
    </row>
    <row r="96" spans="1:13" x14ac:dyDescent="0.25">
      <c r="B96" s="481"/>
      <c r="C96" s="478"/>
      <c r="D96" s="479"/>
      <c r="E96" s="479"/>
      <c r="F96" s="479"/>
      <c r="G96" s="479"/>
      <c r="H96" s="577"/>
      <c r="I96" s="479"/>
    </row>
    <row r="97" spans="2:9" x14ac:dyDescent="0.25">
      <c r="B97" s="481"/>
      <c r="C97" s="478"/>
      <c r="D97" s="479"/>
      <c r="E97" s="479"/>
      <c r="F97" s="479"/>
      <c r="G97" s="479"/>
      <c r="H97" s="577"/>
      <c r="I97" s="479"/>
    </row>
    <row r="98" spans="2:9" x14ac:dyDescent="0.25">
      <c r="B98" s="481"/>
      <c r="C98" s="478"/>
      <c r="D98" s="479"/>
      <c r="E98" s="479"/>
      <c r="F98" s="479"/>
      <c r="G98" s="479"/>
      <c r="H98" s="577"/>
      <c r="I98" s="479"/>
    </row>
    <row r="99" spans="2:9" x14ac:dyDescent="0.25">
      <c r="B99" s="481"/>
      <c r="C99" s="478"/>
      <c r="D99" s="479"/>
      <c r="E99" s="479"/>
      <c r="F99" s="479"/>
      <c r="G99" s="479"/>
      <c r="H99" s="577"/>
      <c r="I99" s="479"/>
    </row>
    <row r="100" spans="2:9" x14ac:dyDescent="0.25">
      <c r="B100" s="481"/>
      <c r="C100" s="478"/>
      <c r="D100" s="479"/>
      <c r="E100" s="479"/>
      <c r="F100" s="479"/>
      <c r="G100" s="479"/>
      <c r="H100" s="577"/>
      <c r="I100" s="479"/>
    </row>
    <row r="101" spans="2:9" x14ac:dyDescent="0.25">
      <c r="B101" s="481"/>
      <c r="C101" s="478"/>
      <c r="D101" s="479"/>
      <c r="E101" s="479"/>
      <c r="F101" s="479"/>
      <c r="G101" s="479"/>
      <c r="H101" s="577"/>
      <c r="I101" s="479"/>
    </row>
    <row r="102" spans="2:9" x14ac:dyDescent="0.25">
      <c r="B102" s="481"/>
      <c r="C102" s="478"/>
      <c r="D102" s="479"/>
      <c r="E102" s="479"/>
      <c r="F102" s="479"/>
      <c r="G102" s="479"/>
      <c r="H102" s="577"/>
      <c r="I102" s="479"/>
    </row>
    <row r="103" spans="2:9" x14ac:dyDescent="0.25">
      <c r="B103" s="481"/>
      <c r="C103" s="478"/>
      <c r="D103" s="479"/>
      <c r="E103" s="479"/>
      <c r="F103" s="479"/>
      <c r="G103" s="479"/>
      <c r="H103" s="577"/>
      <c r="I103" s="479"/>
    </row>
    <row r="104" spans="2:9" x14ac:dyDescent="0.25">
      <c r="B104" s="481"/>
      <c r="C104" s="478"/>
      <c r="D104" s="479"/>
      <c r="E104" s="479"/>
      <c r="F104" s="479"/>
      <c r="G104" s="479"/>
      <c r="H104" s="577"/>
      <c r="I104" s="479"/>
    </row>
    <row r="105" spans="2:9" x14ac:dyDescent="0.25">
      <c r="B105" s="481"/>
      <c r="C105" s="478"/>
      <c r="D105" s="479"/>
      <c r="E105" s="479"/>
      <c r="F105" s="479"/>
      <c r="G105" s="479"/>
      <c r="H105" s="577"/>
      <c r="I105" s="479"/>
    </row>
    <row r="106" spans="2:9" x14ac:dyDescent="0.25">
      <c r="B106" s="481"/>
      <c r="C106" s="478"/>
      <c r="D106" s="479"/>
      <c r="E106" s="479"/>
      <c r="F106" s="479"/>
      <c r="G106" s="479"/>
      <c r="H106" s="577"/>
      <c r="I106" s="479"/>
    </row>
    <row r="107" spans="2:9" x14ac:dyDescent="0.25">
      <c r="B107" s="481"/>
      <c r="C107" s="478"/>
      <c r="D107" s="479"/>
      <c r="E107" s="479"/>
      <c r="F107" s="479"/>
      <c r="G107" s="479"/>
      <c r="H107" s="577"/>
      <c r="I107" s="479"/>
    </row>
    <row r="108" spans="2:9" x14ac:dyDescent="0.25">
      <c r="B108" s="481"/>
      <c r="C108" s="478"/>
      <c r="D108" s="479"/>
      <c r="E108" s="479"/>
      <c r="F108" s="479"/>
      <c r="G108" s="479"/>
      <c r="H108" s="577"/>
      <c r="I108" s="479"/>
    </row>
    <row r="109" spans="2:9" x14ac:dyDescent="0.25">
      <c r="B109" s="481"/>
      <c r="C109" s="478"/>
      <c r="D109" s="479"/>
      <c r="E109" s="479"/>
      <c r="F109" s="479"/>
      <c r="G109" s="479"/>
      <c r="H109" s="577"/>
      <c r="I109" s="479"/>
    </row>
    <row r="110" spans="2:9" x14ac:dyDescent="0.25">
      <c r="B110" s="481"/>
      <c r="C110" s="478"/>
      <c r="D110" s="479"/>
      <c r="E110" s="479"/>
      <c r="F110" s="479"/>
      <c r="G110" s="479"/>
      <c r="H110" s="577"/>
      <c r="I110" s="479"/>
    </row>
  </sheetData>
  <mergeCells count="1">
    <mergeCell ref="O24:P24"/>
  </mergeCells>
  <conditionalFormatting sqref="O25:O45">
    <cfRule type="colorScale" priority="37">
      <colorScale>
        <cfvo type="min"/>
        <cfvo type="percentile" val="50"/>
        <cfvo type="max"/>
        <color rgb="FFF8696B"/>
        <color rgb="FFFFEB84"/>
        <color rgb="FF63BE7B"/>
      </colorScale>
    </cfRule>
  </conditionalFormatting>
  <conditionalFormatting sqref="P25:P45">
    <cfRule type="colorScale" priority="36">
      <colorScale>
        <cfvo type="min"/>
        <cfvo type="percentile" val="50"/>
        <cfvo type="max"/>
        <color rgb="FFF8696B"/>
        <color rgb="FFFFEB84"/>
        <color rgb="FF63BE7B"/>
      </colorScale>
    </cfRule>
  </conditionalFormatting>
  <conditionalFormatting sqref="F51:F63 H51:H63">
    <cfRule type="expression" dxfId="3639" priority="32">
      <formula>F51&gt;0</formula>
    </cfRule>
    <cfRule type="expression" dxfId="3638" priority="33">
      <formula>F51&lt;0</formula>
    </cfRule>
  </conditionalFormatting>
  <conditionalFormatting sqref="Q7">
    <cfRule type="expression" dxfId="3637" priority="30">
      <formula>Q7&gt;0</formula>
    </cfRule>
    <cfRule type="expression" dxfId="3636" priority="31">
      <formula>Q7&lt;0</formula>
    </cfRule>
  </conditionalFormatting>
  <conditionalFormatting sqref="Q8">
    <cfRule type="expression" dxfId="3635" priority="28">
      <formula>Q8&gt;0</formula>
    </cfRule>
    <cfRule type="expression" dxfId="3634" priority="29">
      <formula>Q8&lt;0</formula>
    </cfRule>
  </conditionalFormatting>
  <conditionalFormatting sqref="F25:F44 F46:F50">
    <cfRule type="expression" dxfId="3633" priority="26">
      <formula>F25&gt;0</formula>
    </cfRule>
    <cfRule type="expression" dxfId="3632" priority="27">
      <formula>F25&lt;0</formula>
    </cfRule>
  </conditionalFormatting>
  <conditionalFormatting sqref="H25:H44 H46:H50">
    <cfRule type="expression" dxfId="3631" priority="24">
      <formula>H25&gt;0</formula>
    </cfRule>
    <cfRule type="expression" dxfId="3630" priority="25">
      <formula>H25&lt;0</formula>
    </cfRule>
  </conditionalFormatting>
  <conditionalFormatting sqref="F89:F110">
    <cfRule type="expression" dxfId="3629" priority="22">
      <formula>F89&gt;0</formula>
    </cfRule>
    <cfRule type="expression" dxfId="3628" priority="23">
      <formula>F89&lt;0</formula>
    </cfRule>
  </conditionalFormatting>
  <conditionalFormatting sqref="H89:H110">
    <cfRule type="expression" dxfId="3627" priority="20">
      <formula>H89&gt;0</formula>
    </cfRule>
    <cfRule type="expression" dxfId="3626" priority="21">
      <formula>H89&lt;0</formula>
    </cfRule>
  </conditionalFormatting>
  <conditionalFormatting sqref="Q10">
    <cfRule type="expression" dxfId="3625" priority="18">
      <formula>Q10&gt;0</formula>
    </cfRule>
    <cfRule type="expression" dxfId="3624" priority="19">
      <formula>Q10&lt;0</formula>
    </cfRule>
  </conditionalFormatting>
  <conditionalFormatting sqref="J25:J39">
    <cfRule type="expression" dxfId="3623" priority="16">
      <formula>J25&gt;0</formula>
    </cfRule>
    <cfRule type="expression" dxfId="3622" priority="17">
      <formula>J25&lt;0</formula>
    </cfRule>
  </conditionalFormatting>
  <conditionalFormatting sqref="K25:K38">
    <cfRule type="expression" dxfId="3621" priority="14">
      <formula>K25&gt;0</formula>
    </cfRule>
    <cfRule type="expression" dxfId="3620" priority="15">
      <formula>K25&lt;0</formula>
    </cfRule>
  </conditionalFormatting>
  <conditionalFormatting sqref="L25:L38">
    <cfRule type="expression" dxfId="3619" priority="12">
      <formula>L25&gt;0</formula>
    </cfRule>
    <cfRule type="expression" dxfId="3618" priority="13">
      <formula>L25&lt;0</formula>
    </cfRule>
  </conditionalFormatting>
  <conditionalFormatting sqref="AD69">
    <cfRule type="dataBar" priority="625">
      <dataBar>
        <cfvo type="min"/>
        <cfvo type="max"/>
        <color rgb="FFFF555A"/>
      </dataBar>
      <extLst>
        <ext xmlns:x14="http://schemas.microsoft.com/office/spreadsheetml/2009/9/main" uri="{B025F937-C7B1-47D3-B67F-A62EFF666E3E}">
          <x14:id>{1032CA99-CA8E-4592-BDF8-DB316E6F739F}</x14:id>
        </ext>
      </extLst>
    </cfRule>
  </conditionalFormatting>
  <conditionalFormatting sqref="J40:J44 J50 J47:J48">
    <cfRule type="expression" dxfId="3617" priority="9">
      <formula>J40&gt;0</formula>
    </cfRule>
    <cfRule type="expression" dxfId="3616" priority="10">
      <formula>J40&lt;0</formula>
    </cfRule>
  </conditionalFormatting>
  <conditionalFormatting sqref="AE69 W1:W22 W47:W52">
    <cfRule type="iconSet" priority="835">
      <iconSet iconSet="3Arrows">
        <cfvo type="percent" val="0"/>
        <cfvo type="num" val="0"/>
        <cfvo type="num" val="0"/>
      </iconSet>
    </cfRule>
  </conditionalFormatting>
  <conditionalFormatting sqref="F45">
    <cfRule type="expression" dxfId="3615" priority="7">
      <formula>F45&gt;0</formula>
    </cfRule>
    <cfRule type="expression" dxfId="3614" priority="8">
      <formula>F45&lt;0</formula>
    </cfRule>
  </conditionalFormatting>
  <conditionalFormatting sqref="H45">
    <cfRule type="expression" dxfId="3613" priority="5">
      <formula>H45&gt;0</formula>
    </cfRule>
    <cfRule type="expression" dxfId="3612" priority="6">
      <formula>H45&lt;0</formula>
    </cfRule>
  </conditionalFormatting>
  <conditionalFormatting sqref="J45">
    <cfRule type="expression" dxfId="3611" priority="3">
      <formula>J45&gt;0</formula>
    </cfRule>
    <cfRule type="expression" dxfId="3610" priority="4">
      <formula>J45&lt;0</formula>
    </cfRule>
  </conditionalFormatting>
  <conditionalFormatting sqref="J46">
    <cfRule type="expression" dxfId="3609" priority="1">
      <formula>J46&gt;0</formula>
    </cfRule>
    <cfRule type="expression" dxfId="3608" priority="2">
      <formula>J46&lt;0</formula>
    </cfRule>
  </conditionalFormatting>
  <hyperlinks>
    <hyperlink ref="A3"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032CA99-CA8E-4592-BDF8-DB316E6F739F}">
            <x14:dataBar minLength="0" maxLength="100" border="1" negativeBarBorderColorSameAsPositive="0">
              <x14:cfvo type="autoMin"/>
              <x14:cfvo type="autoMax"/>
              <x14:borderColor rgb="FFFF555A"/>
              <x14:negativeFillColor rgb="FFFF0000"/>
              <x14:negativeBorderColor rgb="FFFF0000"/>
              <x14:axisColor rgb="FF000000"/>
            </x14:dataBar>
          </x14:cfRule>
          <xm:sqref>AD69</xm:sqref>
        </x14:conditionalFormatting>
      </x14:conditionalFormatting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AN130"/>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9" width="16.85546875" style="2" bestFit="1" customWidth="1"/>
    <col min="10" max="10" width="9.140625" style="2"/>
    <col min="11" max="11" width="9.85546875" style="2" bestFit="1" customWidth="1"/>
    <col min="12" max="12" width="9.5703125" bestFit="1" customWidth="1"/>
    <col min="13" max="13" width="10.28515625" bestFit="1" customWidth="1"/>
    <col min="15" max="15" width="13.28515625" bestFit="1" customWidth="1"/>
    <col min="16" max="16" width="10.140625" style="33" bestFit="1" customWidth="1"/>
    <col min="17" max="17" width="12.7109375" bestFit="1" customWidth="1"/>
    <col min="18" max="18" width="16" customWidth="1"/>
    <col min="20" max="20" width="18.5703125" style="81" customWidth="1"/>
    <col min="21" max="21" width="11.7109375" customWidth="1"/>
    <col min="23" max="23" width="13.28515625" style="33" customWidth="1"/>
    <col min="24" max="24" width="8" customWidth="1"/>
    <col min="25" max="27" width="6" customWidth="1"/>
    <col min="28" max="28" width="10.140625" bestFit="1" customWidth="1"/>
    <col min="29" max="29" width="10.2851562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79" t="s">
        <v>93</v>
      </c>
      <c r="W1" s="87" t="s">
        <v>113</v>
      </c>
      <c r="X1" s="88" t="s">
        <v>114</v>
      </c>
      <c r="Y1" s="88" t="s">
        <v>115</v>
      </c>
      <c r="Z1" s="88" t="s">
        <v>116</v>
      </c>
      <c r="AA1" s="88" t="s">
        <v>117</v>
      </c>
      <c r="AB1" s="88" t="s">
        <v>118</v>
      </c>
      <c r="AC1" s="88" t="s">
        <v>119</v>
      </c>
      <c r="AD1" s="11" t="s">
        <v>125</v>
      </c>
      <c r="AE1" s="11" t="s">
        <v>127</v>
      </c>
    </row>
    <row r="2" spans="1:40" x14ac:dyDescent="0.25">
      <c r="A2" s="6" t="s">
        <v>10</v>
      </c>
      <c r="B2" s="114"/>
      <c r="C2" s="17"/>
      <c r="D2" s="70"/>
      <c r="E2" s="70"/>
      <c r="F2" s="70"/>
      <c r="G2" s="1"/>
      <c r="H2" s="158"/>
      <c r="I2" s="3"/>
      <c r="J2" s="3"/>
      <c r="K2" s="3"/>
      <c r="L2" s="114"/>
      <c r="M2" s="3"/>
      <c r="O2" s="11" t="s">
        <v>57</v>
      </c>
      <c r="Q2">
        <f>C18-H18</f>
        <v>0</v>
      </c>
      <c r="T2" s="80">
        <v>42562</v>
      </c>
      <c r="U2" t="s">
        <v>224</v>
      </c>
      <c r="W2" s="89">
        <v>42830</v>
      </c>
      <c r="X2" s="10">
        <v>34.79</v>
      </c>
      <c r="Y2" s="10">
        <v>35.090000000000003</v>
      </c>
      <c r="Z2" s="10">
        <v>33.76</v>
      </c>
      <c r="AA2" s="10">
        <v>33.85</v>
      </c>
      <c r="AB2" s="90">
        <v>4014800</v>
      </c>
      <c r="AC2" s="10">
        <v>33.85</v>
      </c>
      <c r="AD2" s="2">
        <f>Y2-Z2</f>
        <v>1.3300000000000054</v>
      </c>
      <c r="AE2" s="131">
        <f>AC2/AC3-1</f>
        <v>-1.1101373064563158E-2</v>
      </c>
    </row>
    <row r="3" spans="1:40" x14ac:dyDescent="0.25">
      <c r="A3" s="22" t="s">
        <v>71</v>
      </c>
      <c r="B3" s="190"/>
      <c r="C3" s="209"/>
      <c r="D3" s="210"/>
      <c r="E3" s="210"/>
      <c r="F3" s="70"/>
      <c r="G3" s="1"/>
      <c r="H3" s="158"/>
      <c r="I3" s="3"/>
      <c r="J3" s="3"/>
      <c r="K3" s="3"/>
      <c r="L3" s="190"/>
      <c r="M3" s="3"/>
      <c r="O3" s="11" t="s">
        <v>58</v>
      </c>
      <c r="Q3" s="174">
        <f>IF(Q2=0, Q4, (F18-K18-M18)/Q2)</f>
        <v>21.3</v>
      </c>
      <c r="T3" s="115">
        <v>42568</v>
      </c>
      <c r="U3" t="s">
        <v>229</v>
      </c>
      <c r="W3" s="89">
        <v>42829</v>
      </c>
      <c r="X3" s="10">
        <v>34.03</v>
      </c>
      <c r="Y3" s="10">
        <v>34.5</v>
      </c>
      <c r="Z3" s="10">
        <v>33.82</v>
      </c>
      <c r="AA3" s="10">
        <v>34.229999999999997</v>
      </c>
      <c r="AB3" s="90">
        <v>2297000</v>
      </c>
      <c r="AC3" s="10">
        <v>34.229999999999997</v>
      </c>
      <c r="AD3" s="2">
        <f t="shared" ref="AD3:AD40" si="0">Y3-Z3</f>
        <v>0.67999999999999972</v>
      </c>
      <c r="AE3" s="131">
        <f t="shared" ref="AE3:AE39" si="1">AC3/AC4-1</f>
        <v>2.9222676797191482E-4</v>
      </c>
      <c r="AN3" s="178"/>
    </row>
    <row r="4" spans="1:40" x14ac:dyDescent="0.25">
      <c r="B4" s="190"/>
      <c r="C4" s="209"/>
      <c r="D4" s="210"/>
      <c r="E4" s="210"/>
      <c r="F4" s="70"/>
      <c r="G4" s="190"/>
      <c r="H4" s="211"/>
      <c r="I4" s="210"/>
      <c r="J4" s="210"/>
      <c r="K4" s="210"/>
      <c r="L4" s="209"/>
      <c r="O4" s="11" t="s">
        <v>66</v>
      </c>
      <c r="Q4" s="169">
        <v>21.3</v>
      </c>
      <c r="R4" s="396">
        <v>-8.0000000000000004E-4</v>
      </c>
      <c r="T4" s="115"/>
      <c r="W4" s="89">
        <v>42828</v>
      </c>
      <c r="X4" s="10">
        <v>34.619999999999997</v>
      </c>
      <c r="Y4" s="10">
        <v>35</v>
      </c>
      <c r="Z4" s="10">
        <v>33.5</v>
      </c>
      <c r="AA4" s="10">
        <v>34.22</v>
      </c>
      <c r="AB4" s="90">
        <v>4204800</v>
      </c>
      <c r="AC4" s="10">
        <v>34.22</v>
      </c>
      <c r="AD4" s="2">
        <f t="shared" si="0"/>
        <v>1.5</v>
      </c>
      <c r="AE4" s="131">
        <f t="shared" si="1"/>
        <v>-5.2325581395348264E-3</v>
      </c>
      <c r="AK4" s="178"/>
      <c r="AN4" s="178"/>
    </row>
    <row r="5" spans="1:40" x14ac:dyDescent="0.25">
      <c r="B5" s="190"/>
      <c r="C5" s="209"/>
      <c r="D5" s="210"/>
      <c r="E5" s="210"/>
      <c r="F5" s="210"/>
      <c r="G5" s="190"/>
      <c r="H5" s="211"/>
      <c r="I5" s="210"/>
      <c r="J5" s="210"/>
      <c r="K5" s="210"/>
      <c r="L5" s="209"/>
      <c r="O5" s="11" t="s">
        <v>67</v>
      </c>
      <c r="Q5" s="3">
        <f>Q4*Q2</f>
        <v>0</v>
      </c>
      <c r="W5" s="89">
        <v>42825</v>
      </c>
      <c r="X5" s="10">
        <v>34.06</v>
      </c>
      <c r="Y5" s="10">
        <v>34.74</v>
      </c>
      <c r="Z5" s="10">
        <v>33.6</v>
      </c>
      <c r="AA5" s="10">
        <v>34.4</v>
      </c>
      <c r="AB5" s="90">
        <v>5188400</v>
      </c>
      <c r="AC5" s="10">
        <v>34.4</v>
      </c>
      <c r="AD5" s="2">
        <f t="shared" si="0"/>
        <v>1.1400000000000006</v>
      </c>
      <c r="AE5" s="131">
        <f t="shared" si="1"/>
        <v>2.7172290235891294E-2</v>
      </c>
      <c r="AK5" s="178"/>
      <c r="AN5" s="178"/>
    </row>
    <row r="6" spans="1:40" x14ac:dyDescent="0.25">
      <c r="B6" s="190"/>
      <c r="C6" s="209"/>
      <c r="D6" s="210"/>
      <c r="E6" s="210"/>
      <c r="F6" s="210"/>
      <c r="G6" s="190"/>
      <c r="H6" s="211"/>
      <c r="I6" s="210"/>
      <c r="J6" s="210"/>
      <c r="K6" s="210"/>
      <c r="L6" s="209"/>
      <c r="O6" s="11" t="s">
        <v>64</v>
      </c>
      <c r="Q6" s="2">
        <f>Q3*Q2</f>
        <v>0</v>
      </c>
      <c r="W6" s="89">
        <v>42824</v>
      </c>
      <c r="X6" s="10">
        <v>33.15</v>
      </c>
      <c r="Y6" s="10">
        <v>35.14</v>
      </c>
      <c r="Z6" s="10">
        <v>32.96</v>
      </c>
      <c r="AA6" s="10">
        <v>33.49</v>
      </c>
      <c r="AB6" s="90">
        <v>7122600</v>
      </c>
      <c r="AC6" s="10">
        <v>33.49</v>
      </c>
      <c r="AD6" s="2">
        <f t="shared" si="0"/>
        <v>2.1799999999999997</v>
      </c>
      <c r="AE6" s="131">
        <f t="shared" si="1"/>
        <v>1.7623822546338763E-2</v>
      </c>
    </row>
    <row r="7" spans="1:40" x14ac:dyDescent="0.25">
      <c r="B7" s="190"/>
      <c r="C7" s="209"/>
      <c r="D7" s="210"/>
      <c r="E7" s="210"/>
      <c r="F7" s="210"/>
      <c r="G7" s="190"/>
      <c r="H7" s="211"/>
      <c r="I7" s="210"/>
      <c r="J7" s="210"/>
      <c r="K7" s="210"/>
      <c r="L7" s="209"/>
      <c r="O7" s="11" t="s">
        <v>175</v>
      </c>
      <c r="P7"/>
      <c r="Q7" s="2">
        <f>Q10+Q8</f>
        <v>1128.3800000000047</v>
      </c>
      <c r="R7">
        <v>0</v>
      </c>
      <c r="T7" s="80"/>
      <c r="W7" s="89">
        <v>42823</v>
      </c>
      <c r="X7" s="10">
        <v>32.909999999999997</v>
      </c>
      <c r="Y7" s="10">
        <v>33.29</v>
      </c>
      <c r="Z7" s="10">
        <v>32.729999999999997</v>
      </c>
      <c r="AA7" s="10">
        <v>32.909999999999997</v>
      </c>
      <c r="AB7" s="90">
        <v>2611700</v>
      </c>
      <c r="AC7" s="10">
        <v>32.909999999999997</v>
      </c>
      <c r="AD7" s="2">
        <f t="shared" si="0"/>
        <v>0.56000000000000227</v>
      </c>
      <c r="AE7" s="131">
        <f t="shared" si="1"/>
        <v>-3.0376670716902865E-4</v>
      </c>
      <c r="AK7" s="178"/>
      <c r="AN7" s="178"/>
    </row>
    <row r="8" spans="1:40" x14ac:dyDescent="0.25">
      <c r="B8" s="190"/>
      <c r="C8" s="209"/>
      <c r="D8" s="210"/>
      <c r="E8" s="210"/>
      <c r="F8" s="210"/>
      <c r="G8" s="190"/>
      <c r="H8" s="211"/>
      <c r="I8" s="210"/>
      <c r="J8" s="210"/>
      <c r="K8" s="210"/>
      <c r="L8" s="209"/>
      <c r="O8" s="11" t="s">
        <v>177</v>
      </c>
      <c r="Q8" s="2">
        <f>K18+M18-F18+Q2*Q4</f>
        <v>0</v>
      </c>
      <c r="W8" s="89">
        <v>42822</v>
      </c>
      <c r="X8" s="10">
        <v>32.5</v>
      </c>
      <c r="Y8" s="10">
        <v>33.64</v>
      </c>
      <c r="Z8" s="10">
        <v>32.450000000000003</v>
      </c>
      <c r="AA8" s="10">
        <v>32.92</v>
      </c>
      <c r="AB8" s="90">
        <v>4039700</v>
      </c>
      <c r="AC8" s="10">
        <v>32.92</v>
      </c>
      <c r="AD8" s="2">
        <f t="shared" si="0"/>
        <v>1.1899999999999977</v>
      </c>
      <c r="AE8" s="131">
        <f t="shared" si="1"/>
        <v>1.3858946720049392E-2</v>
      </c>
    </row>
    <row r="9" spans="1:40" x14ac:dyDescent="0.25">
      <c r="O9" s="11" t="s">
        <v>202</v>
      </c>
      <c r="P9"/>
      <c r="Q9" s="131">
        <f>IF(Q2=0, 0, Q8/Q6)</f>
        <v>0</v>
      </c>
      <c r="W9" s="89">
        <v>42821</v>
      </c>
      <c r="X9" s="10">
        <v>31.74</v>
      </c>
      <c r="Y9" s="10">
        <v>32.57</v>
      </c>
      <c r="Z9" s="10">
        <v>31.29</v>
      </c>
      <c r="AA9" s="10">
        <v>32.47</v>
      </c>
      <c r="AB9" s="90">
        <v>3654000</v>
      </c>
      <c r="AC9" s="10">
        <v>32.47</v>
      </c>
      <c r="AD9" s="2">
        <f t="shared" si="0"/>
        <v>1.2800000000000011</v>
      </c>
      <c r="AE9" s="131">
        <f t="shared" si="1"/>
        <v>-2.7641277641278217E-3</v>
      </c>
      <c r="AK9" s="178"/>
      <c r="AN9" s="178"/>
    </row>
    <row r="10" spans="1:40" x14ac:dyDescent="0.25">
      <c r="O10" s="11" t="s">
        <v>201</v>
      </c>
      <c r="Q10" s="2">
        <f>M42</f>
        <v>1128.3800000000047</v>
      </c>
      <c r="W10" s="89">
        <v>42818</v>
      </c>
      <c r="X10" s="10">
        <v>33.61</v>
      </c>
      <c r="Y10" s="10">
        <v>33.86</v>
      </c>
      <c r="Z10" s="10">
        <v>32.369999999999997</v>
      </c>
      <c r="AA10" s="10">
        <v>32.56</v>
      </c>
      <c r="AB10" s="90">
        <v>4111000</v>
      </c>
      <c r="AC10" s="10">
        <v>32.56</v>
      </c>
      <c r="AD10" s="2">
        <f t="shared" si="0"/>
        <v>1.490000000000002</v>
      </c>
      <c r="AE10" s="131">
        <f t="shared" si="1"/>
        <v>-2.2515761032722903E-2</v>
      </c>
    </row>
    <row r="11" spans="1:40" x14ac:dyDescent="0.25">
      <c r="O11" s="11" t="s">
        <v>173</v>
      </c>
      <c r="Q11" s="131">
        <f>VALUE(TRIM(CLEAN(MID(U55, FIND("(", U55)+1, 5))))</f>
        <v>1.2500000000000001E-2</v>
      </c>
      <c r="W11" s="89">
        <v>42817</v>
      </c>
      <c r="X11" s="10">
        <v>33.409999999999997</v>
      </c>
      <c r="Y11" s="10">
        <v>33.69</v>
      </c>
      <c r="Z11" s="10">
        <v>33.11</v>
      </c>
      <c r="AA11" s="10">
        <v>33.31</v>
      </c>
      <c r="AB11" s="90">
        <v>3072000</v>
      </c>
      <c r="AC11" s="10">
        <v>33.31</v>
      </c>
      <c r="AD11" s="2">
        <f t="shared" si="0"/>
        <v>0.57999999999999829</v>
      </c>
      <c r="AE11" s="131">
        <f t="shared" si="1"/>
        <v>-1.1279311368358469E-2</v>
      </c>
      <c r="AK11" s="178"/>
      <c r="AN11" s="178"/>
    </row>
    <row r="12" spans="1:40" x14ac:dyDescent="0.25">
      <c r="W12" s="89">
        <v>42816</v>
      </c>
      <c r="X12" s="10">
        <v>33.35</v>
      </c>
      <c r="Y12" s="10">
        <v>34.15</v>
      </c>
      <c r="Z12" s="10">
        <v>33.01</v>
      </c>
      <c r="AA12" s="10">
        <v>33.69</v>
      </c>
      <c r="AB12" s="90">
        <v>2877900</v>
      </c>
      <c r="AC12" s="10">
        <v>33.69</v>
      </c>
      <c r="AD12" s="2">
        <f t="shared" si="0"/>
        <v>1.1400000000000006</v>
      </c>
      <c r="AE12" s="131">
        <f t="shared" si="1"/>
        <v>1.4148103552076963E-2</v>
      </c>
    </row>
    <row r="13" spans="1:40" x14ac:dyDescent="0.25">
      <c r="W13" s="89">
        <v>42815</v>
      </c>
      <c r="X13" s="10">
        <v>34.9</v>
      </c>
      <c r="Y13" s="10">
        <v>35.25</v>
      </c>
      <c r="Z13" s="10">
        <v>33.17</v>
      </c>
      <c r="AA13" s="10">
        <v>33.22</v>
      </c>
      <c r="AB13" s="90">
        <v>4536900</v>
      </c>
      <c r="AC13" s="10">
        <v>33.22</v>
      </c>
      <c r="AD13" s="2">
        <f t="shared" si="0"/>
        <v>2.0799999999999983</v>
      </c>
      <c r="AE13" s="131">
        <f t="shared" si="1"/>
        <v>-4.8137535816618948E-2</v>
      </c>
      <c r="AK13" s="178"/>
      <c r="AN13" s="178"/>
    </row>
    <row r="14" spans="1:40" x14ac:dyDescent="0.25">
      <c r="T14" s="79"/>
      <c r="U14" s="11"/>
      <c r="W14" s="89">
        <v>42814</v>
      </c>
      <c r="X14" s="10">
        <v>34.9</v>
      </c>
      <c r="Y14" s="10">
        <v>35.36</v>
      </c>
      <c r="Z14" s="10">
        <v>34.1</v>
      </c>
      <c r="AA14" s="10">
        <v>34.9</v>
      </c>
      <c r="AB14" s="90">
        <v>2688900</v>
      </c>
      <c r="AC14" s="10">
        <v>34.9</v>
      </c>
      <c r="AD14" s="2">
        <f t="shared" si="0"/>
        <v>1.259999999999998</v>
      </c>
      <c r="AE14" s="131">
        <f t="shared" si="1"/>
        <v>-2.0017157563626542E-3</v>
      </c>
    </row>
    <row r="15" spans="1:40" x14ac:dyDescent="0.25">
      <c r="W15" s="89">
        <v>42811</v>
      </c>
      <c r="X15" s="10">
        <v>35.57</v>
      </c>
      <c r="Y15" s="10">
        <v>35.979999999999997</v>
      </c>
      <c r="Z15" s="10">
        <v>34.950000000000003</v>
      </c>
      <c r="AA15" s="10">
        <v>34.97</v>
      </c>
      <c r="AB15" s="90">
        <v>3824700</v>
      </c>
      <c r="AC15" s="10">
        <v>34.97</v>
      </c>
      <c r="AD15" s="2">
        <f t="shared" si="0"/>
        <v>1.029999999999994</v>
      </c>
      <c r="AE15" s="131">
        <f t="shared" si="1"/>
        <v>-1.1588468061051516E-2</v>
      </c>
      <c r="AK15" s="178"/>
      <c r="AN15" s="178"/>
    </row>
    <row r="16" spans="1:40" x14ac:dyDescent="0.25">
      <c r="W16" s="89">
        <v>42810</v>
      </c>
      <c r="X16" s="10">
        <v>35.659999999999997</v>
      </c>
      <c r="Y16" s="10">
        <v>35.99</v>
      </c>
      <c r="Z16" s="10">
        <v>34.979999999999997</v>
      </c>
      <c r="AA16" s="10">
        <v>35.380000000000003</v>
      </c>
      <c r="AB16" s="90">
        <v>3644300</v>
      </c>
      <c r="AC16" s="10">
        <v>35.380000000000003</v>
      </c>
      <c r="AD16" s="2">
        <f t="shared" si="0"/>
        <v>1.0100000000000051</v>
      </c>
      <c r="AE16" s="131">
        <f t="shared" si="1"/>
        <v>6.8298235628914128E-3</v>
      </c>
    </row>
    <row r="17" spans="1:40" x14ac:dyDescent="0.25">
      <c r="W17" s="89">
        <v>42809</v>
      </c>
      <c r="X17" s="10">
        <v>34.4</v>
      </c>
      <c r="Y17" s="10">
        <v>35.29</v>
      </c>
      <c r="Z17" s="10">
        <v>33.950000000000003</v>
      </c>
      <c r="AA17" s="10">
        <v>35.14</v>
      </c>
      <c r="AB17" s="90">
        <v>3753400</v>
      </c>
      <c r="AC17" s="10">
        <v>35.14</v>
      </c>
      <c r="AD17" s="2">
        <f t="shared" si="0"/>
        <v>1.3399999999999963</v>
      </c>
      <c r="AE17" s="131">
        <f t="shared" si="1"/>
        <v>2.7785902310617283E-2</v>
      </c>
      <c r="AK17" s="178"/>
      <c r="AN17" s="178"/>
    </row>
    <row r="18" spans="1:40" x14ac:dyDescent="0.25">
      <c r="A18" s="31" t="s">
        <v>81</v>
      </c>
      <c r="B18" s="14"/>
      <c r="C18" s="14">
        <f>SUM(C2:C17)</f>
        <v>0</v>
      </c>
      <c r="D18" s="18"/>
      <c r="E18" s="18"/>
      <c r="F18" s="18">
        <f>SUM(F2:F17)</f>
        <v>0</v>
      </c>
      <c r="G18" s="14"/>
      <c r="H18" s="14">
        <f>SUM(H2:H17)</f>
        <v>0</v>
      </c>
      <c r="I18" s="18"/>
      <c r="J18" s="18"/>
      <c r="K18" s="18">
        <f>SUM(K2:K17)</f>
        <v>0</v>
      </c>
      <c r="L18" s="18"/>
      <c r="M18" s="18">
        <f>SUM(M2:M17)</f>
        <v>0</v>
      </c>
      <c r="W18" s="89">
        <v>42808</v>
      </c>
      <c r="X18" s="10">
        <v>34.450000000000003</v>
      </c>
      <c r="Y18" s="10">
        <v>34.58</v>
      </c>
      <c r="Z18" s="10">
        <v>33.770000000000003</v>
      </c>
      <c r="AA18" s="10">
        <v>34.19</v>
      </c>
      <c r="AB18" s="90">
        <v>3112200</v>
      </c>
      <c r="AC18" s="10">
        <v>34.19</v>
      </c>
      <c r="AD18" s="2">
        <f t="shared" si="0"/>
        <v>0.80999999999999517</v>
      </c>
      <c r="AE18" s="131">
        <f t="shared" si="1"/>
        <v>-1.4697406340057784E-2</v>
      </c>
    </row>
    <row r="19" spans="1:40"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89">
        <v>42807</v>
      </c>
      <c r="X19" s="10">
        <v>35.21</v>
      </c>
      <c r="Y19" s="10">
        <v>35.520000000000003</v>
      </c>
      <c r="Z19" s="10">
        <v>34.53</v>
      </c>
      <c r="AA19" s="10">
        <v>34.700000000000003</v>
      </c>
      <c r="AB19" s="90">
        <v>2491400</v>
      </c>
      <c r="AC19" s="10">
        <v>34.700000000000003</v>
      </c>
      <c r="AD19" s="2">
        <f t="shared" si="0"/>
        <v>0.99000000000000199</v>
      </c>
      <c r="AE19" s="131">
        <f t="shared" si="1"/>
        <v>4.9232551404576608E-3</v>
      </c>
      <c r="AK19" s="178"/>
      <c r="AN19" s="178"/>
    </row>
    <row r="20" spans="1:40" x14ac:dyDescent="0.25">
      <c r="W20" s="89">
        <v>42804</v>
      </c>
      <c r="X20" s="10">
        <v>35.9</v>
      </c>
      <c r="Y20" s="10">
        <v>36</v>
      </c>
      <c r="Z20" s="10">
        <v>34.24</v>
      </c>
      <c r="AA20" s="10">
        <v>34.53</v>
      </c>
      <c r="AB20" s="90">
        <v>4052400</v>
      </c>
      <c r="AC20" s="10">
        <v>34.53</v>
      </c>
      <c r="AD20" s="2">
        <f t="shared" si="0"/>
        <v>1.759999999999998</v>
      </c>
      <c r="AE20" s="131">
        <f t="shared" si="1"/>
        <v>-2.3472850678732948E-2</v>
      </c>
    </row>
    <row r="21" spans="1:40" x14ac:dyDescent="0.25">
      <c r="B21" s="159" t="s">
        <v>113</v>
      </c>
      <c r="C21" s="159" t="s">
        <v>143</v>
      </c>
      <c r="D21" s="160" t="s">
        <v>142</v>
      </c>
      <c r="E21" s="162" t="s">
        <v>144</v>
      </c>
      <c r="F21" s="162" t="s">
        <v>65</v>
      </c>
      <c r="G21" s="173" t="s">
        <v>148</v>
      </c>
      <c r="H21" s="173" t="s">
        <v>88</v>
      </c>
      <c r="I21" s="173" t="s">
        <v>151</v>
      </c>
      <c r="W21" s="89">
        <v>42803</v>
      </c>
      <c r="X21" s="10">
        <v>36.07</v>
      </c>
      <c r="Y21" s="10">
        <v>36.549999999999997</v>
      </c>
      <c r="Z21" s="10">
        <v>34.89</v>
      </c>
      <c r="AA21" s="10">
        <v>35.36</v>
      </c>
      <c r="AB21" s="90">
        <v>4826200</v>
      </c>
      <c r="AC21" s="10">
        <v>35.36</v>
      </c>
      <c r="AD21" s="2">
        <f t="shared" si="0"/>
        <v>1.6599999999999966</v>
      </c>
      <c r="AE21" s="131">
        <f t="shared" si="1"/>
        <v>-1.7504862461795057E-2</v>
      </c>
      <c r="AK21" s="178"/>
      <c r="AN21" s="178"/>
    </row>
    <row r="22" spans="1:40" x14ac:dyDescent="0.25">
      <c r="B22" s="161"/>
      <c r="C22" s="10"/>
      <c r="D22" s="39"/>
      <c r="E22" s="39"/>
      <c r="F22" s="39"/>
      <c r="G22" s="39"/>
      <c r="H22" s="175"/>
      <c r="I22" s="39"/>
      <c r="W22" s="89">
        <v>42802</v>
      </c>
      <c r="X22" s="10">
        <v>35.9</v>
      </c>
      <c r="Y22" s="10">
        <v>36.82</v>
      </c>
      <c r="Z22" s="10">
        <v>35.9</v>
      </c>
      <c r="AA22" s="10">
        <v>35.99</v>
      </c>
      <c r="AB22" s="90">
        <v>4485700</v>
      </c>
      <c r="AC22" s="10">
        <v>35.99</v>
      </c>
      <c r="AD22" s="2">
        <f t="shared" si="0"/>
        <v>0.92000000000000171</v>
      </c>
      <c r="AE22" s="131">
        <f t="shared" si="1"/>
        <v>5.3072625698324938E-3</v>
      </c>
    </row>
    <row r="23" spans="1:40" x14ac:dyDescent="0.25">
      <c r="B23" s="161"/>
      <c r="C23" s="10"/>
      <c r="D23" s="39"/>
      <c r="E23" s="39"/>
      <c r="F23" s="39"/>
      <c r="G23" s="39"/>
      <c r="H23" s="175"/>
      <c r="I23" s="39"/>
      <c r="W23" s="89">
        <v>42801</v>
      </c>
      <c r="X23" s="10">
        <v>36.81</v>
      </c>
      <c r="Y23" s="10">
        <v>36.89</v>
      </c>
      <c r="Z23" s="10">
        <v>35.75</v>
      </c>
      <c r="AA23" s="10">
        <v>35.799999999999997</v>
      </c>
      <c r="AB23" s="90">
        <v>3753400</v>
      </c>
      <c r="AC23" s="10">
        <v>35.799999999999997</v>
      </c>
      <c r="AD23" s="2">
        <f t="shared" si="0"/>
        <v>1.1400000000000006</v>
      </c>
      <c r="AE23" s="131">
        <f t="shared" si="1"/>
        <v>-3.0598429461142773E-2</v>
      </c>
      <c r="AK23" s="178"/>
    </row>
    <row r="24" spans="1:40" x14ac:dyDescent="0.25">
      <c r="B24" s="161"/>
      <c r="C24" s="10"/>
      <c r="D24" s="39"/>
      <c r="E24" s="39"/>
      <c r="F24" s="39"/>
      <c r="G24" s="39"/>
      <c r="H24" s="175"/>
      <c r="I24" s="39"/>
      <c r="W24" s="89">
        <v>42800</v>
      </c>
      <c r="X24" s="10">
        <v>36.799999999999997</v>
      </c>
      <c r="Y24" s="10">
        <v>37.479999999999997</v>
      </c>
      <c r="Z24" s="10">
        <v>35.799999999999997</v>
      </c>
      <c r="AA24" s="10">
        <v>36.93</v>
      </c>
      <c r="AB24" s="90">
        <v>5764000</v>
      </c>
      <c r="AC24" s="10">
        <v>36.93</v>
      </c>
      <c r="AD24" s="2">
        <f t="shared" si="0"/>
        <v>1.6799999999999997</v>
      </c>
      <c r="AE24" s="131">
        <f t="shared" si="1"/>
        <v>1.511819681143467E-2</v>
      </c>
    </row>
    <row r="25" spans="1:40" x14ac:dyDescent="0.25">
      <c r="B25" s="161"/>
      <c r="C25" s="10"/>
      <c r="D25" s="39"/>
      <c r="E25" s="39"/>
      <c r="F25" s="39"/>
      <c r="G25" s="39"/>
      <c r="H25" s="175"/>
      <c r="I25" s="39"/>
      <c r="W25" s="89">
        <v>42797</v>
      </c>
      <c r="X25" s="10">
        <v>36.06</v>
      </c>
      <c r="Y25" s="10">
        <v>36.89</v>
      </c>
      <c r="Z25" s="10">
        <v>35.75</v>
      </c>
      <c r="AA25" s="10">
        <v>36.380000000000003</v>
      </c>
      <c r="AB25" s="90">
        <v>3238100</v>
      </c>
      <c r="AC25" s="10">
        <v>36.380000000000003</v>
      </c>
      <c r="AD25" s="2">
        <f t="shared" si="0"/>
        <v>1.1400000000000006</v>
      </c>
      <c r="AE25" s="131">
        <f t="shared" si="1"/>
        <v>1.4783821478382198E-2</v>
      </c>
    </row>
    <row r="26" spans="1:40" x14ac:dyDescent="0.25">
      <c r="B26" s="161"/>
      <c r="C26" s="10"/>
      <c r="D26" s="39"/>
      <c r="E26" s="39"/>
      <c r="F26" s="39"/>
      <c r="G26" s="39"/>
      <c r="H26" s="175"/>
      <c r="I26" s="39"/>
      <c r="W26" s="89">
        <v>42796</v>
      </c>
      <c r="X26" s="10">
        <v>37.64</v>
      </c>
      <c r="Y26" s="10">
        <v>38.17</v>
      </c>
      <c r="Z26" s="10">
        <v>35.83</v>
      </c>
      <c r="AA26" s="10">
        <v>35.85</v>
      </c>
      <c r="AB26" s="90">
        <v>5099300</v>
      </c>
      <c r="AC26" s="10">
        <v>35.85</v>
      </c>
      <c r="AD26" s="2">
        <f t="shared" si="0"/>
        <v>2.3400000000000034</v>
      </c>
      <c r="AE26" s="131">
        <f t="shared" si="1"/>
        <v>-5.6330613319294565E-2</v>
      </c>
    </row>
    <row r="27" spans="1:40" x14ac:dyDescent="0.25">
      <c r="B27" s="161"/>
      <c r="C27" s="10"/>
      <c r="D27" s="39"/>
      <c r="E27" s="39"/>
      <c r="F27" s="39"/>
      <c r="G27" s="39"/>
      <c r="H27" s="175"/>
      <c r="I27" s="39"/>
      <c r="W27" s="89">
        <v>42795</v>
      </c>
      <c r="X27" s="10">
        <v>35.93</v>
      </c>
      <c r="Y27" s="10">
        <v>38.15</v>
      </c>
      <c r="Z27" s="10">
        <v>35.85</v>
      </c>
      <c r="AA27" s="10">
        <v>37.99</v>
      </c>
      <c r="AB27" s="90">
        <v>10564500</v>
      </c>
      <c r="AC27" s="10">
        <v>37.99</v>
      </c>
      <c r="AD27" s="2">
        <f t="shared" si="0"/>
        <v>2.2999999999999972</v>
      </c>
      <c r="AE27" s="131">
        <f t="shared" si="1"/>
        <v>9.8294304712344571E-2</v>
      </c>
    </row>
    <row r="28" spans="1:40" x14ac:dyDescent="0.25">
      <c r="B28" s="161"/>
      <c r="C28" s="10"/>
      <c r="D28" s="39"/>
      <c r="E28" s="39"/>
      <c r="F28" s="39"/>
      <c r="G28" s="39"/>
      <c r="H28" s="175"/>
      <c r="I28" s="39"/>
      <c r="W28" s="89">
        <v>42794</v>
      </c>
      <c r="X28" s="10">
        <v>34.729999999999997</v>
      </c>
      <c r="Y28" s="10">
        <v>35.33</v>
      </c>
      <c r="Z28" s="10">
        <v>34.4</v>
      </c>
      <c r="AA28" s="10">
        <v>34.590000000000003</v>
      </c>
      <c r="AB28" s="90">
        <v>4034100</v>
      </c>
      <c r="AC28" s="10">
        <v>34.590000000000003</v>
      </c>
      <c r="AD28" s="2">
        <f t="shared" si="0"/>
        <v>0.92999999999999972</v>
      </c>
      <c r="AE28" s="131">
        <f t="shared" si="1"/>
        <v>-5.4629097182288255E-3</v>
      </c>
    </row>
    <row r="29" spans="1:40" x14ac:dyDescent="0.25">
      <c r="B29" s="161"/>
      <c r="C29" s="10"/>
      <c r="D29" s="39"/>
      <c r="E29" s="39"/>
      <c r="F29" s="39"/>
      <c r="G29" s="39"/>
      <c r="H29" s="175"/>
      <c r="I29" s="39"/>
      <c r="W29" s="89">
        <v>42793</v>
      </c>
      <c r="X29" s="10">
        <v>34.520000000000003</v>
      </c>
      <c r="Y29" s="10">
        <v>35.380000000000003</v>
      </c>
      <c r="Z29" s="10">
        <v>34.19</v>
      </c>
      <c r="AA29" s="10">
        <v>34.78</v>
      </c>
      <c r="AB29" s="90">
        <v>3898400</v>
      </c>
      <c r="AC29" s="10">
        <v>34.78</v>
      </c>
      <c r="AD29" s="2">
        <f t="shared" si="0"/>
        <v>1.1900000000000048</v>
      </c>
      <c r="AE29" s="131">
        <f t="shared" si="1"/>
        <v>8.7006960556845758E-3</v>
      </c>
    </row>
    <row r="30" spans="1:40" x14ac:dyDescent="0.25">
      <c r="B30" s="161"/>
      <c r="C30" s="10"/>
      <c r="D30" s="39"/>
      <c r="E30" s="39"/>
      <c r="F30" s="39"/>
      <c r="G30" s="39"/>
      <c r="H30" s="175"/>
      <c r="I30" s="39"/>
      <c r="W30" s="89">
        <v>42790</v>
      </c>
      <c r="X30" s="10">
        <v>33.81</v>
      </c>
      <c r="Y30" s="10">
        <v>34.64</v>
      </c>
      <c r="Z30" s="10">
        <v>33.35</v>
      </c>
      <c r="AA30" s="10">
        <v>34.479999999999997</v>
      </c>
      <c r="AB30" s="90">
        <v>5763800</v>
      </c>
      <c r="AC30" s="10">
        <v>34.479999999999997</v>
      </c>
      <c r="AD30" s="2">
        <f t="shared" si="0"/>
        <v>1.2899999999999991</v>
      </c>
      <c r="AE30" s="131">
        <f t="shared" si="1"/>
        <v>4.6620046620045041E-3</v>
      </c>
    </row>
    <row r="31" spans="1:40" x14ac:dyDescent="0.25">
      <c r="B31" s="161"/>
      <c r="C31" s="10"/>
      <c r="D31" s="39"/>
      <c r="E31" s="39"/>
      <c r="F31" s="39"/>
      <c r="G31" s="39"/>
      <c r="H31" s="175"/>
      <c r="I31" s="180"/>
      <c r="W31" s="89">
        <v>42789</v>
      </c>
      <c r="X31" s="10">
        <v>36.86</v>
      </c>
      <c r="Y31" s="10">
        <v>36.880000000000003</v>
      </c>
      <c r="Z31" s="10">
        <v>34.26</v>
      </c>
      <c r="AA31" s="10">
        <v>34.32</v>
      </c>
      <c r="AB31" s="90">
        <v>7140000</v>
      </c>
      <c r="AC31" s="10">
        <v>34.32</v>
      </c>
      <c r="AD31" s="2">
        <f t="shared" si="0"/>
        <v>2.6200000000000045</v>
      </c>
      <c r="AE31" s="131">
        <f t="shared" si="1"/>
        <v>-6.2295081967213117E-2</v>
      </c>
    </row>
    <row r="32" spans="1:40" x14ac:dyDescent="0.25">
      <c r="B32" s="161"/>
      <c r="C32" s="10"/>
      <c r="D32" s="39"/>
      <c r="E32" s="39"/>
      <c r="F32" s="39"/>
      <c r="G32" s="39"/>
      <c r="H32" s="175"/>
      <c r="I32" s="39"/>
      <c r="W32" s="89">
        <v>42788</v>
      </c>
      <c r="X32" s="10">
        <v>36.4</v>
      </c>
      <c r="Y32" s="10">
        <v>36.71</v>
      </c>
      <c r="Z32" s="10">
        <v>36.21</v>
      </c>
      <c r="AA32" s="10">
        <v>36.6</v>
      </c>
      <c r="AB32" s="90">
        <v>2585700</v>
      </c>
      <c r="AC32" s="10">
        <v>36.6</v>
      </c>
      <c r="AD32" s="2">
        <f t="shared" si="0"/>
        <v>0.5</v>
      </c>
      <c r="AE32" s="131">
        <f t="shared" si="1"/>
        <v>-2.9964587305910673E-3</v>
      </c>
    </row>
    <row r="33" spans="1:31" x14ac:dyDescent="0.25">
      <c r="B33" s="161"/>
      <c r="C33" s="10"/>
      <c r="D33" s="39"/>
      <c r="E33" s="39"/>
      <c r="F33" s="39"/>
      <c r="G33" s="39"/>
      <c r="H33" s="175"/>
      <c r="I33" s="39"/>
      <c r="W33" s="89">
        <v>42787</v>
      </c>
      <c r="X33" s="10">
        <v>36.31</v>
      </c>
      <c r="Y33" s="10">
        <v>37.01</v>
      </c>
      <c r="Z33" s="10">
        <v>36.229999999999997</v>
      </c>
      <c r="AA33" s="10">
        <v>36.71</v>
      </c>
      <c r="AB33" s="90">
        <v>3393400</v>
      </c>
      <c r="AC33" s="10">
        <v>36.71</v>
      </c>
      <c r="AD33" s="2">
        <f t="shared" si="0"/>
        <v>0.78000000000000114</v>
      </c>
      <c r="AE33" s="131">
        <f t="shared" si="1"/>
        <v>1.3808340237503547E-2</v>
      </c>
    </row>
    <row r="34" spans="1:31" x14ac:dyDescent="0.25">
      <c r="B34" s="161"/>
      <c r="C34" s="10"/>
      <c r="D34" s="39"/>
      <c r="E34" s="39"/>
      <c r="F34" s="39"/>
      <c r="G34" s="39"/>
      <c r="H34" s="175"/>
      <c r="I34" s="39"/>
      <c r="W34" s="89">
        <v>42783</v>
      </c>
      <c r="X34" s="10">
        <v>36.24</v>
      </c>
      <c r="Y34" s="10">
        <v>36.61</v>
      </c>
      <c r="Z34" s="10">
        <v>35.79</v>
      </c>
      <c r="AA34" s="10">
        <v>36.21</v>
      </c>
      <c r="AB34" s="90">
        <v>4516800</v>
      </c>
      <c r="AC34" s="10">
        <v>36.21</v>
      </c>
      <c r="AD34" s="2">
        <f t="shared" si="0"/>
        <v>0.82000000000000028</v>
      </c>
      <c r="AE34" s="131">
        <f t="shared" si="1"/>
        <v>-6.85682940208443E-3</v>
      </c>
    </row>
    <row r="35" spans="1:31" x14ac:dyDescent="0.25">
      <c r="B35" s="161"/>
      <c r="C35" s="10"/>
      <c r="D35" s="39"/>
      <c r="E35" s="39"/>
      <c r="F35" s="39"/>
      <c r="G35" s="39"/>
      <c r="H35" s="175"/>
      <c r="I35" s="39"/>
      <c r="W35" s="89">
        <v>42782</v>
      </c>
      <c r="X35" s="10">
        <v>37.82</v>
      </c>
      <c r="Y35" s="10">
        <v>37.83</v>
      </c>
      <c r="Z35" s="10">
        <v>36.35</v>
      </c>
      <c r="AA35" s="10">
        <v>36.46</v>
      </c>
      <c r="AB35" s="90">
        <v>7040700</v>
      </c>
      <c r="AC35" s="10">
        <v>36.46</v>
      </c>
      <c r="AD35" s="2">
        <f t="shared" si="0"/>
        <v>1.4799999999999969</v>
      </c>
      <c r="AE35" s="131">
        <f t="shared" si="1"/>
        <v>-3.7232637972009375E-2</v>
      </c>
    </row>
    <row r="36" spans="1:31" x14ac:dyDescent="0.25">
      <c r="B36" s="161"/>
      <c r="C36" s="10"/>
      <c r="D36" s="39"/>
      <c r="E36" s="39"/>
      <c r="F36" s="39"/>
      <c r="G36" s="39"/>
      <c r="H36" s="175"/>
      <c r="I36" s="39"/>
      <c r="W36" s="89">
        <v>42781</v>
      </c>
      <c r="X36" s="10">
        <v>38.25</v>
      </c>
      <c r="Y36" s="10">
        <v>38.299999999999997</v>
      </c>
      <c r="Z36" s="10">
        <v>37.729999999999997</v>
      </c>
      <c r="AA36" s="10">
        <v>37.869999999999997</v>
      </c>
      <c r="AB36" s="90">
        <v>11488900</v>
      </c>
      <c r="AC36" s="10">
        <v>37.869999999999997</v>
      </c>
      <c r="AD36" s="2">
        <f t="shared" si="0"/>
        <v>0.57000000000000028</v>
      </c>
      <c r="AE36" s="131">
        <f t="shared" si="1"/>
        <v>-1.7894190871369453E-2</v>
      </c>
    </row>
    <row r="37" spans="1:31" x14ac:dyDescent="0.25">
      <c r="B37" s="161"/>
      <c r="C37" s="10"/>
      <c r="D37" s="39"/>
      <c r="E37" s="39"/>
      <c r="F37" s="39"/>
      <c r="G37" s="39"/>
      <c r="H37" s="175"/>
      <c r="I37" s="39"/>
      <c r="W37" s="89">
        <v>42780</v>
      </c>
      <c r="X37" s="10">
        <v>38.57</v>
      </c>
      <c r="Y37" s="10">
        <v>39.25</v>
      </c>
      <c r="Z37" s="10">
        <v>38.18</v>
      </c>
      <c r="AA37" s="10">
        <v>38.56</v>
      </c>
      <c r="AB37" s="90">
        <v>3818600</v>
      </c>
      <c r="AC37" s="10">
        <v>38.56</v>
      </c>
      <c r="AD37" s="2">
        <f t="shared" si="0"/>
        <v>1.0700000000000003</v>
      </c>
      <c r="AE37" s="131">
        <f t="shared" si="1"/>
        <v>2.0790020790022457E-3</v>
      </c>
    </row>
    <row r="38" spans="1:31" x14ac:dyDescent="0.25">
      <c r="B38" s="161"/>
      <c r="C38" s="10"/>
      <c r="D38" s="39"/>
      <c r="E38" s="39"/>
      <c r="F38" s="39"/>
      <c r="G38" s="39"/>
      <c r="H38" s="175"/>
      <c r="I38" s="39"/>
      <c r="W38" s="89">
        <v>42779</v>
      </c>
      <c r="X38" s="10">
        <v>38.79</v>
      </c>
      <c r="Y38" s="10">
        <v>39.78</v>
      </c>
      <c r="Z38" s="10">
        <v>38.450000000000003</v>
      </c>
      <c r="AA38" s="10">
        <v>38.479999999999997</v>
      </c>
      <c r="AB38" s="90">
        <v>5365800</v>
      </c>
      <c r="AC38" s="10">
        <v>38.479999999999997</v>
      </c>
      <c r="AD38" s="2">
        <f t="shared" si="0"/>
        <v>1.3299999999999983</v>
      </c>
      <c r="AE38" s="131">
        <f t="shared" si="1"/>
        <v>4.6997389033942572E-3</v>
      </c>
    </row>
    <row r="39" spans="1:31" ht="20.25" thickBot="1" x14ac:dyDescent="0.35">
      <c r="B39" s="161"/>
      <c r="C39" s="10"/>
      <c r="D39" s="39"/>
      <c r="E39" s="39"/>
      <c r="F39" s="39"/>
      <c r="G39" s="39"/>
      <c r="H39" s="175"/>
      <c r="I39" s="39"/>
      <c r="O39" s="11"/>
      <c r="P39" s="886" t="s">
        <v>78</v>
      </c>
      <c r="Q39" s="886"/>
      <c r="R39" s="33"/>
      <c r="T39" s="86" t="s">
        <v>112</v>
      </c>
      <c r="W39" s="89">
        <v>42776</v>
      </c>
      <c r="X39" s="10">
        <v>37.92</v>
      </c>
      <c r="Y39" s="10">
        <v>38.54</v>
      </c>
      <c r="Z39" s="10">
        <v>37.51</v>
      </c>
      <c r="AA39" s="10">
        <v>38.299999999999997</v>
      </c>
      <c r="AB39" s="90">
        <v>3628600</v>
      </c>
      <c r="AC39" s="10">
        <v>38.299999999999997</v>
      </c>
      <c r="AD39" s="2">
        <f t="shared" si="0"/>
        <v>1.0300000000000011</v>
      </c>
      <c r="AE39" s="131">
        <f t="shared" si="1"/>
        <v>2.3516835916622014E-2</v>
      </c>
    </row>
    <row r="40" spans="1:31" ht="15.75" thickTop="1" x14ac:dyDescent="0.25">
      <c r="B40" s="190"/>
      <c r="C40" s="211"/>
      <c r="D40" s="210"/>
      <c r="E40" s="210"/>
      <c r="F40" s="210"/>
      <c r="G40" s="190"/>
      <c r="H40" s="211"/>
      <c r="I40" s="210"/>
      <c r="J40" s="210"/>
      <c r="K40" s="210"/>
      <c r="L40" s="209"/>
      <c r="O40" s="2"/>
      <c r="P40" s="78">
        <v>1.1000000000000001</v>
      </c>
      <c r="Q40" s="78">
        <f>P40*$Q$4</f>
        <v>23.430000000000003</v>
      </c>
      <c r="R40" s="33"/>
      <c r="T40" s="82" t="s">
        <v>97</v>
      </c>
      <c r="U40" s="83">
        <v>34.229999999999997</v>
      </c>
      <c r="W40" s="89">
        <v>42775</v>
      </c>
      <c r="X40" s="10">
        <v>37.409999999999997</v>
      </c>
      <c r="Y40" s="10">
        <v>37.75</v>
      </c>
      <c r="Z40" s="10">
        <v>36.99</v>
      </c>
      <c r="AA40" s="10">
        <v>37.42</v>
      </c>
      <c r="AB40" s="90">
        <v>3392400</v>
      </c>
      <c r="AC40" s="10">
        <v>37.42</v>
      </c>
      <c r="AD40" s="2">
        <f t="shared" si="0"/>
        <v>0.75999999999999801</v>
      </c>
      <c r="AE40" s="131" t="e">
        <f>AC40/AC68-1</f>
        <v>#DIV/0!</v>
      </c>
    </row>
    <row r="41" spans="1:31" x14ac:dyDescent="0.25">
      <c r="A41" s="4"/>
      <c r="B41" s="69"/>
      <c r="C41" s="4"/>
      <c r="D41" s="3"/>
      <c r="E41" s="3"/>
      <c r="F41" s="3"/>
      <c r="G41" s="3"/>
      <c r="H41" s="212"/>
      <c r="I41" s="3"/>
      <c r="J41" s="3"/>
      <c r="K41" s="3"/>
      <c r="L41" s="4"/>
      <c r="M41" s="4"/>
      <c r="N41" s="4"/>
      <c r="O41" s="2"/>
      <c r="P41" s="78">
        <v>1.0900000000000001</v>
      </c>
      <c r="Q41" s="78">
        <f t="shared" ref="Q41:Q60" si="2">P41*$Q$4</f>
        <v>23.217000000000002</v>
      </c>
      <c r="R41" s="33"/>
      <c r="T41" s="82" t="s">
        <v>98</v>
      </c>
      <c r="U41" s="83">
        <v>34.79</v>
      </c>
      <c r="W41" s="89">
        <v>42774</v>
      </c>
      <c r="X41" s="10">
        <v>37.93</v>
      </c>
      <c r="Y41" s="10">
        <v>38.5</v>
      </c>
      <c r="Z41" s="10">
        <v>37.11</v>
      </c>
      <c r="AA41" s="10">
        <v>37.54</v>
      </c>
      <c r="AB41" s="90">
        <v>3121700</v>
      </c>
      <c r="AC41" s="10">
        <v>37.54</v>
      </c>
      <c r="AD41" s="2">
        <f>Y68-Z68</f>
        <v>0</v>
      </c>
      <c r="AE41" s="131" t="e">
        <f>AC68/AC69-1</f>
        <v>#DIV/0!</v>
      </c>
    </row>
    <row r="42" spans="1:31" x14ac:dyDescent="0.25">
      <c r="A42" s="193"/>
      <c r="B42" s="193"/>
      <c r="C42" s="193"/>
      <c r="D42" s="194"/>
      <c r="E42" s="194"/>
      <c r="F42" s="194"/>
      <c r="G42" s="193"/>
      <c r="H42" s="193"/>
      <c r="I42" s="194"/>
      <c r="J42" s="194"/>
      <c r="K42" s="195" t="s">
        <v>130</v>
      </c>
      <c r="L42" s="193"/>
      <c r="M42" s="194">
        <f>K85+M85-F85</f>
        <v>1128.3800000000047</v>
      </c>
      <c r="N42" s="193"/>
      <c r="O42" s="2"/>
      <c r="P42" s="78">
        <v>1.08</v>
      </c>
      <c r="Q42" s="78">
        <f t="shared" si="2"/>
        <v>23.004000000000001</v>
      </c>
      <c r="R42" s="33"/>
      <c r="T42" s="82" t="s">
        <v>99</v>
      </c>
      <c r="U42" s="83" t="s">
        <v>128</v>
      </c>
      <c r="W42" s="89">
        <v>42773</v>
      </c>
      <c r="X42" s="10">
        <v>38.04</v>
      </c>
      <c r="Y42" s="10">
        <v>38.25</v>
      </c>
      <c r="Z42" s="10">
        <v>37.31</v>
      </c>
      <c r="AA42" s="10">
        <v>37.97</v>
      </c>
      <c r="AB42" s="90">
        <v>3270000</v>
      </c>
      <c r="AC42" s="10">
        <v>37.97</v>
      </c>
      <c r="AD42" s="2"/>
      <c r="AE42" s="131"/>
    </row>
    <row r="43" spans="1:31" x14ac:dyDescent="0.25">
      <c r="A43" s="195" t="s">
        <v>1</v>
      </c>
      <c r="B43" s="195" t="s">
        <v>2</v>
      </c>
      <c r="C43" s="195" t="s">
        <v>4</v>
      </c>
      <c r="D43" s="196" t="s">
        <v>5</v>
      </c>
      <c r="E43" s="196" t="s">
        <v>90</v>
      </c>
      <c r="F43" s="196" t="s">
        <v>60</v>
      </c>
      <c r="G43" s="195" t="s">
        <v>3</v>
      </c>
      <c r="H43" s="195" t="s">
        <v>6</v>
      </c>
      <c r="I43" s="196" t="s">
        <v>7</v>
      </c>
      <c r="J43" s="196" t="s">
        <v>89</v>
      </c>
      <c r="K43" s="196" t="s">
        <v>61</v>
      </c>
      <c r="L43" s="195" t="s">
        <v>77</v>
      </c>
      <c r="M43" s="195" t="s">
        <v>38</v>
      </c>
      <c r="N43" s="195"/>
      <c r="O43" s="2"/>
      <c r="P43" s="78">
        <v>1.07</v>
      </c>
      <c r="Q43" s="78">
        <f t="shared" si="2"/>
        <v>22.791</v>
      </c>
      <c r="R43" s="78"/>
      <c r="T43" s="82" t="s">
        <v>100</v>
      </c>
      <c r="U43" s="83" t="s">
        <v>128</v>
      </c>
      <c r="W43" s="89">
        <v>42772</v>
      </c>
      <c r="X43" s="10">
        <v>36.9</v>
      </c>
      <c r="Y43" s="10">
        <v>38</v>
      </c>
      <c r="Z43" s="10">
        <v>36.799999999999997</v>
      </c>
      <c r="AA43" s="10">
        <v>37.75</v>
      </c>
      <c r="AB43" s="90">
        <v>2833900</v>
      </c>
      <c r="AC43" s="10">
        <v>37.75</v>
      </c>
      <c r="AD43" s="2"/>
      <c r="AE43" s="131"/>
    </row>
    <row r="44" spans="1:31" x14ac:dyDescent="0.25">
      <c r="A44" s="197" t="s">
        <v>10</v>
      </c>
      <c r="B44" s="198">
        <v>42146</v>
      </c>
      <c r="C44" s="193">
        <v>100</v>
      </c>
      <c r="D44" s="194">
        <v>13.1</v>
      </c>
      <c r="E44" s="194">
        <v>0</v>
      </c>
      <c r="F44" s="194">
        <f>C44*D44+E44</f>
        <v>1310</v>
      </c>
      <c r="G44" s="198">
        <v>42199</v>
      </c>
      <c r="H44" s="193">
        <v>52</v>
      </c>
      <c r="I44" s="194">
        <v>10.7</v>
      </c>
      <c r="J44" s="194">
        <v>0.01</v>
      </c>
      <c r="K44" s="194">
        <f t="shared" ref="K44:K67" si="3">H44*I44-J44</f>
        <v>556.39</v>
      </c>
      <c r="L44" s="198">
        <v>42241</v>
      </c>
      <c r="M44" s="194">
        <v>12</v>
      </c>
      <c r="N44" s="193"/>
      <c r="O44" s="2"/>
      <c r="P44" s="78">
        <v>1.06</v>
      </c>
      <c r="Q44" s="78">
        <f t="shared" si="2"/>
        <v>22.578000000000003</v>
      </c>
      <c r="R44" s="78"/>
      <c r="T44" s="82" t="s">
        <v>101</v>
      </c>
      <c r="U44" s="83">
        <v>42.91</v>
      </c>
      <c r="W44" s="89">
        <v>42769</v>
      </c>
      <c r="X44" s="10">
        <v>37.869999999999997</v>
      </c>
      <c r="Y44" s="10">
        <v>38.049999999999997</v>
      </c>
      <c r="Z44" s="10">
        <v>36.83</v>
      </c>
      <c r="AA44" s="10">
        <v>36.86</v>
      </c>
      <c r="AB44" s="90">
        <v>5243300</v>
      </c>
      <c r="AC44" s="10">
        <v>36.86</v>
      </c>
      <c r="AD44" s="2"/>
      <c r="AE44" s="131"/>
    </row>
    <row r="45" spans="1:31" x14ac:dyDescent="0.25">
      <c r="A45" s="200" t="s">
        <v>71</v>
      </c>
      <c r="B45" s="198">
        <v>42151</v>
      </c>
      <c r="C45" s="193">
        <v>102</v>
      </c>
      <c r="D45" s="194">
        <v>12.99</v>
      </c>
      <c r="E45" s="194">
        <v>0</v>
      </c>
      <c r="F45" s="194">
        <f t="shared" ref="F45:F79" si="4">C45*D45+E45</f>
        <v>1324.98</v>
      </c>
      <c r="G45" s="198">
        <v>42235</v>
      </c>
      <c r="H45" s="193">
        <v>150</v>
      </c>
      <c r="I45" s="194">
        <v>9.41</v>
      </c>
      <c r="J45" s="194">
        <v>0.03</v>
      </c>
      <c r="K45" s="194">
        <f t="shared" si="3"/>
        <v>1411.47</v>
      </c>
      <c r="L45" s="198">
        <v>42333</v>
      </c>
      <c r="M45" s="194">
        <v>111</v>
      </c>
      <c r="N45" s="193"/>
      <c r="O45" s="2"/>
      <c r="P45" s="78">
        <v>1.05</v>
      </c>
      <c r="Q45" s="78">
        <f t="shared" si="2"/>
        <v>22.365000000000002</v>
      </c>
      <c r="R45" s="78"/>
      <c r="T45" s="82" t="s">
        <v>102</v>
      </c>
      <c r="U45" s="83">
        <v>0.69392299999999996</v>
      </c>
      <c r="W45" s="89">
        <v>42768</v>
      </c>
      <c r="X45" s="10">
        <v>36.700000000000003</v>
      </c>
      <c r="Y45" s="10">
        <v>38.369999999999997</v>
      </c>
      <c r="Z45" s="10">
        <v>36.630000000000003</v>
      </c>
      <c r="AA45" s="10">
        <v>37.68</v>
      </c>
      <c r="AB45" s="90">
        <v>5049700</v>
      </c>
      <c r="AC45" s="10">
        <v>37.68</v>
      </c>
      <c r="AD45" s="2"/>
      <c r="AE45" s="131"/>
    </row>
    <row r="46" spans="1:31" x14ac:dyDescent="0.25">
      <c r="A46" s="193"/>
      <c r="B46" s="198">
        <v>42152</v>
      </c>
      <c r="C46" s="193">
        <v>50</v>
      </c>
      <c r="D46" s="194">
        <v>12.94</v>
      </c>
      <c r="E46" s="194">
        <v>0</v>
      </c>
      <c r="F46" s="194">
        <f t="shared" si="4"/>
        <v>647</v>
      </c>
      <c r="G46" s="198">
        <v>42256</v>
      </c>
      <c r="H46" s="199">
        <v>300</v>
      </c>
      <c r="I46" s="194">
        <v>9.6999999999999993</v>
      </c>
      <c r="J46" s="194">
        <v>0.05</v>
      </c>
      <c r="K46" s="194">
        <f t="shared" si="3"/>
        <v>2909.95</v>
      </c>
      <c r="L46" s="198">
        <v>42425</v>
      </c>
      <c r="M46" s="194">
        <v>15</v>
      </c>
      <c r="N46" s="193"/>
      <c r="O46" s="2"/>
      <c r="P46" s="78">
        <v>1.04</v>
      </c>
      <c r="Q46" s="78">
        <f t="shared" si="2"/>
        <v>22.152000000000001</v>
      </c>
      <c r="R46" s="78"/>
      <c r="T46" s="82" t="s">
        <v>103</v>
      </c>
      <c r="U46" s="84" t="s">
        <v>128</v>
      </c>
      <c r="W46" s="89">
        <v>42767</v>
      </c>
      <c r="X46" s="10">
        <v>36.58</v>
      </c>
      <c r="Y46" s="10">
        <v>37.19</v>
      </c>
      <c r="Z46" s="10">
        <v>36.200000000000003</v>
      </c>
      <c r="AA46" s="10">
        <v>36.26</v>
      </c>
      <c r="AB46" s="90">
        <v>2905400</v>
      </c>
      <c r="AC46" s="10">
        <v>36.26</v>
      </c>
      <c r="AD46" s="2"/>
      <c r="AE46" s="131"/>
    </row>
    <row r="47" spans="1:31" x14ac:dyDescent="0.25">
      <c r="A47" s="193"/>
      <c r="B47" s="198">
        <v>42166</v>
      </c>
      <c r="C47" s="193">
        <v>48</v>
      </c>
      <c r="D47" s="194">
        <v>12.3</v>
      </c>
      <c r="E47" s="194">
        <v>0</v>
      </c>
      <c r="F47" s="194">
        <f t="shared" si="4"/>
        <v>590.40000000000009</v>
      </c>
      <c r="G47" s="198">
        <v>42285</v>
      </c>
      <c r="H47" s="199">
        <v>300</v>
      </c>
      <c r="I47" s="194">
        <v>9.85</v>
      </c>
      <c r="J47" s="194">
        <v>0.05</v>
      </c>
      <c r="K47" s="194">
        <f t="shared" si="3"/>
        <v>2954.95</v>
      </c>
      <c r="L47" s="193"/>
      <c r="M47" s="194"/>
      <c r="N47" s="193"/>
      <c r="O47" s="2"/>
      <c r="P47" s="78">
        <v>1.03</v>
      </c>
      <c r="Q47" s="78">
        <f t="shared" si="2"/>
        <v>21.939</v>
      </c>
      <c r="R47" s="78"/>
      <c r="T47" s="82"/>
      <c r="U47" s="83"/>
      <c r="W47" s="89">
        <v>42766</v>
      </c>
      <c r="X47" s="10">
        <v>36.78</v>
      </c>
      <c r="Y47" s="10">
        <v>37.229999999999997</v>
      </c>
      <c r="Z47" s="10">
        <v>36.01</v>
      </c>
      <c r="AA47" s="10">
        <v>36.450000000000003</v>
      </c>
      <c r="AB47" s="90">
        <v>2690300</v>
      </c>
      <c r="AC47" s="10">
        <v>36.450000000000003</v>
      </c>
      <c r="AD47" s="2"/>
      <c r="AE47" s="131"/>
    </row>
    <row r="48" spans="1:31" x14ac:dyDescent="0.25">
      <c r="A48" s="193"/>
      <c r="B48" s="198">
        <v>42180</v>
      </c>
      <c r="C48" s="193">
        <v>50</v>
      </c>
      <c r="D48" s="194">
        <v>11.7</v>
      </c>
      <c r="E48" s="194">
        <v>0</v>
      </c>
      <c r="F48" s="194">
        <f t="shared" si="4"/>
        <v>585</v>
      </c>
      <c r="G48" s="198">
        <v>42285</v>
      </c>
      <c r="H48" s="199">
        <v>100</v>
      </c>
      <c r="I48" s="194">
        <v>9.98</v>
      </c>
      <c r="J48" s="194">
        <v>0.02</v>
      </c>
      <c r="K48" s="194">
        <f t="shared" si="3"/>
        <v>997.98</v>
      </c>
      <c r="L48" s="193"/>
      <c r="M48" s="194"/>
      <c r="N48" s="193"/>
      <c r="O48" s="2"/>
      <c r="P48" s="78">
        <v>1.02</v>
      </c>
      <c r="Q48" s="78">
        <f t="shared" si="2"/>
        <v>21.726000000000003</v>
      </c>
      <c r="R48" s="78"/>
      <c r="T48" s="82" t="s">
        <v>104</v>
      </c>
      <c r="U48" s="83" t="s">
        <v>563</v>
      </c>
      <c r="W48" s="89">
        <v>42765</v>
      </c>
      <c r="X48" s="10">
        <v>36.479999999999997</v>
      </c>
      <c r="Y48" s="10">
        <v>36.590000000000003</v>
      </c>
      <c r="Z48" s="10">
        <v>35.770000000000003</v>
      </c>
      <c r="AA48" s="10">
        <v>36.549999999999997</v>
      </c>
      <c r="AB48" s="90">
        <v>3002400</v>
      </c>
      <c r="AC48" s="10">
        <v>36.549999999999997</v>
      </c>
      <c r="AD48" s="2"/>
      <c r="AE48" s="131"/>
    </row>
    <row r="49" spans="1:31" x14ac:dyDescent="0.25">
      <c r="A49" s="193"/>
      <c r="B49" s="198">
        <v>42198</v>
      </c>
      <c r="C49" s="193">
        <v>50</v>
      </c>
      <c r="D49" s="194">
        <v>10.5</v>
      </c>
      <c r="E49" s="194">
        <v>0</v>
      </c>
      <c r="F49" s="194">
        <f t="shared" si="4"/>
        <v>525</v>
      </c>
      <c r="G49" s="198">
        <v>42304</v>
      </c>
      <c r="H49" s="199">
        <v>1400</v>
      </c>
      <c r="I49" s="194">
        <v>9.4600000000000009</v>
      </c>
      <c r="J49" s="194">
        <v>0.24</v>
      </c>
      <c r="K49" s="194">
        <f t="shared" si="3"/>
        <v>13243.760000000002</v>
      </c>
      <c r="L49" s="193"/>
      <c r="M49" s="194"/>
      <c r="N49" s="193"/>
      <c r="O49" s="2"/>
      <c r="P49" s="78">
        <v>1.01</v>
      </c>
      <c r="Q49" s="78">
        <f t="shared" si="2"/>
        <v>21.513000000000002</v>
      </c>
      <c r="R49" s="78"/>
      <c r="T49" s="82" t="s">
        <v>105</v>
      </c>
      <c r="U49" s="83" t="s">
        <v>389</v>
      </c>
      <c r="W49" s="89">
        <v>42762</v>
      </c>
      <c r="X49" s="10">
        <v>36.299999999999997</v>
      </c>
      <c r="Y49" s="10">
        <v>37.39</v>
      </c>
      <c r="Z49" s="10">
        <v>36.270000000000003</v>
      </c>
      <c r="AA49" s="10">
        <v>36.67</v>
      </c>
      <c r="AB49" s="90">
        <v>3617600</v>
      </c>
      <c r="AC49" s="10">
        <v>36.67</v>
      </c>
      <c r="AD49" s="2"/>
      <c r="AE49" s="131"/>
    </row>
    <row r="50" spans="1:31" x14ac:dyDescent="0.25">
      <c r="A50" s="193"/>
      <c r="B50" s="198">
        <v>42205</v>
      </c>
      <c r="C50" s="193">
        <v>20</v>
      </c>
      <c r="D50" s="194">
        <v>10.56</v>
      </c>
      <c r="E50" s="194">
        <v>0</v>
      </c>
      <c r="F50" s="194">
        <f t="shared" si="4"/>
        <v>211.20000000000002</v>
      </c>
      <c r="G50" s="198">
        <v>42310</v>
      </c>
      <c r="H50" s="199">
        <v>3400</v>
      </c>
      <c r="I50" s="194">
        <v>9.1199999999999992</v>
      </c>
      <c r="J50" s="194">
        <v>7.52</v>
      </c>
      <c r="K50" s="194">
        <f t="shared" si="3"/>
        <v>31000.479999999996</v>
      </c>
      <c r="L50" s="193"/>
      <c r="M50" s="194"/>
      <c r="N50" s="193"/>
      <c r="O50" s="2"/>
      <c r="P50" s="78">
        <v>1</v>
      </c>
      <c r="Q50" s="78">
        <f t="shared" si="2"/>
        <v>21.3</v>
      </c>
      <c r="R50" s="78"/>
      <c r="T50" s="82" t="s">
        <v>106</v>
      </c>
      <c r="U50" s="85">
        <v>4016824</v>
      </c>
      <c r="W50" s="89">
        <v>42761</v>
      </c>
      <c r="X50" s="10">
        <v>36.22</v>
      </c>
      <c r="Y50" s="10">
        <v>37.07</v>
      </c>
      <c r="Z50" s="10">
        <v>35.51</v>
      </c>
      <c r="AA50" s="10">
        <v>36.299999999999997</v>
      </c>
      <c r="AB50" s="90">
        <v>5735400</v>
      </c>
      <c r="AC50" s="10">
        <v>36.299999999999997</v>
      </c>
      <c r="AD50" s="2"/>
      <c r="AE50" s="131"/>
    </row>
    <row r="51" spans="1:31" x14ac:dyDescent="0.25">
      <c r="A51" s="193"/>
      <c r="B51" s="198">
        <v>42208</v>
      </c>
      <c r="C51" s="193">
        <v>32</v>
      </c>
      <c r="D51" s="194">
        <v>10.220000000000001</v>
      </c>
      <c r="E51" s="194">
        <v>0</v>
      </c>
      <c r="F51" s="194">
        <f t="shared" si="4"/>
        <v>327.04000000000002</v>
      </c>
      <c r="G51" s="198">
        <v>42314</v>
      </c>
      <c r="H51" s="199">
        <v>1400</v>
      </c>
      <c r="I51" s="194">
        <v>9.42</v>
      </c>
      <c r="J51" s="194">
        <v>0.24</v>
      </c>
      <c r="K51" s="194">
        <f t="shared" si="3"/>
        <v>13187.76</v>
      </c>
      <c r="L51" s="193"/>
      <c r="M51" s="194"/>
      <c r="N51" s="193"/>
      <c r="O51" s="2"/>
      <c r="P51" s="78">
        <v>0.99</v>
      </c>
      <c r="Q51" s="78">
        <f t="shared" si="2"/>
        <v>21.087</v>
      </c>
      <c r="R51" s="78"/>
      <c r="T51" s="82" t="s">
        <v>109</v>
      </c>
      <c r="U51" s="85">
        <v>4551930</v>
      </c>
      <c r="W51" s="89">
        <v>42760</v>
      </c>
      <c r="X51" s="10">
        <v>38.58</v>
      </c>
      <c r="Y51" s="10">
        <v>38.94</v>
      </c>
      <c r="Z51" s="10">
        <v>36.31</v>
      </c>
      <c r="AA51" s="10">
        <v>36.53</v>
      </c>
      <c r="AB51" s="90">
        <v>13583300</v>
      </c>
      <c r="AC51" s="10">
        <v>36.53</v>
      </c>
      <c r="AD51" s="2"/>
      <c r="AE51" s="131"/>
    </row>
    <row r="52" spans="1:31" x14ac:dyDescent="0.25">
      <c r="A52" s="193"/>
      <c r="B52" s="198">
        <v>42230</v>
      </c>
      <c r="C52" s="193">
        <v>100</v>
      </c>
      <c r="D52" s="194">
        <v>9.58</v>
      </c>
      <c r="E52" s="194">
        <v>0</v>
      </c>
      <c r="F52" s="194">
        <f t="shared" si="4"/>
        <v>958</v>
      </c>
      <c r="G52" s="198">
        <v>42331</v>
      </c>
      <c r="H52" s="199">
        <v>1400</v>
      </c>
      <c r="I52" s="194">
        <v>8.41</v>
      </c>
      <c r="J52" s="194">
        <v>0.22</v>
      </c>
      <c r="K52" s="194">
        <f t="shared" si="3"/>
        <v>11773.78</v>
      </c>
      <c r="L52" s="194"/>
      <c r="M52" s="194"/>
      <c r="N52" s="193"/>
      <c r="O52" s="2"/>
      <c r="P52" s="78">
        <v>0.98</v>
      </c>
      <c r="Q52" s="78">
        <f t="shared" si="2"/>
        <v>20.873999999999999</v>
      </c>
      <c r="R52" s="78"/>
      <c r="T52" s="82" t="s">
        <v>107</v>
      </c>
      <c r="U52" s="83" t="s">
        <v>564</v>
      </c>
      <c r="W52" s="89">
        <v>42759</v>
      </c>
      <c r="X52" s="10">
        <v>37.18</v>
      </c>
      <c r="Y52" s="10">
        <v>38.380000000000003</v>
      </c>
      <c r="Z52" s="10">
        <v>37.18</v>
      </c>
      <c r="AA52" s="10">
        <v>37.5</v>
      </c>
      <c r="AB52" s="90">
        <v>11911100</v>
      </c>
      <c r="AC52" s="10">
        <v>37.5</v>
      </c>
      <c r="AD52" s="2"/>
      <c r="AE52" s="131"/>
    </row>
    <row r="53" spans="1:31" x14ac:dyDescent="0.25">
      <c r="A53" s="193"/>
      <c r="B53" s="198">
        <v>42233</v>
      </c>
      <c r="C53" s="193">
        <v>150</v>
      </c>
      <c r="D53" s="194">
        <v>9.3000000000000007</v>
      </c>
      <c r="E53" s="194">
        <v>0</v>
      </c>
      <c r="F53" s="194">
        <f t="shared" si="4"/>
        <v>1395</v>
      </c>
      <c r="G53" s="198">
        <v>42331</v>
      </c>
      <c r="H53" s="199">
        <v>65</v>
      </c>
      <c r="I53" s="194">
        <v>8.41</v>
      </c>
      <c r="J53" s="194">
        <v>0.01</v>
      </c>
      <c r="K53" s="194">
        <f t="shared" si="3"/>
        <v>546.64</v>
      </c>
      <c r="L53" s="193"/>
      <c r="M53" s="193"/>
      <c r="N53" s="193"/>
      <c r="O53" s="2"/>
      <c r="P53" s="78">
        <v>0.97</v>
      </c>
      <c r="Q53" s="78">
        <f t="shared" si="2"/>
        <v>20.661000000000001</v>
      </c>
      <c r="R53" s="78"/>
      <c r="T53" s="82" t="s">
        <v>110</v>
      </c>
      <c r="U53" s="83" t="s">
        <v>128</v>
      </c>
      <c r="W53" s="89">
        <v>42758</v>
      </c>
      <c r="X53" s="10">
        <v>35.92</v>
      </c>
      <c r="Y53" s="10">
        <v>36.4</v>
      </c>
      <c r="Z53" s="10">
        <v>35.46</v>
      </c>
      <c r="AA53" s="10">
        <v>36.29</v>
      </c>
      <c r="AB53" s="90">
        <v>5245000</v>
      </c>
      <c r="AC53" s="10">
        <v>36.29</v>
      </c>
      <c r="AD53" s="2"/>
      <c r="AE53" s="131"/>
    </row>
    <row r="54" spans="1:31" x14ac:dyDescent="0.25">
      <c r="A54" s="193"/>
      <c r="B54" s="198">
        <v>42240</v>
      </c>
      <c r="C54" s="193">
        <v>200</v>
      </c>
      <c r="D54" s="194">
        <v>9.2100000000000009</v>
      </c>
      <c r="E54" s="194">
        <v>0</v>
      </c>
      <c r="F54" s="194">
        <f t="shared" si="4"/>
        <v>1842.0000000000002</v>
      </c>
      <c r="G54" s="198">
        <v>42332</v>
      </c>
      <c r="H54" s="199">
        <v>2235</v>
      </c>
      <c r="I54" s="194">
        <v>8.5</v>
      </c>
      <c r="J54" s="194">
        <v>0.35</v>
      </c>
      <c r="K54" s="194">
        <f t="shared" si="3"/>
        <v>18997.150000000001</v>
      </c>
      <c r="L54" s="193"/>
      <c r="M54" s="193"/>
      <c r="N54" s="193"/>
      <c r="O54" s="2"/>
      <c r="P54" s="78">
        <v>0.96</v>
      </c>
      <c r="Q54" s="78">
        <f t="shared" si="2"/>
        <v>20.448</v>
      </c>
      <c r="R54" s="78"/>
      <c r="T54" s="82" t="s">
        <v>111</v>
      </c>
      <c r="U54" s="83">
        <v>-2.19</v>
      </c>
      <c r="W54" s="89">
        <v>42755</v>
      </c>
      <c r="X54" s="10">
        <v>35.4</v>
      </c>
      <c r="Y54" s="10">
        <v>35.74</v>
      </c>
      <c r="Z54" s="10">
        <v>34.93</v>
      </c>
      <c r="AA54" s="10">
        <v>35.659999999999997</v>
      </c>
      <c r="AB54" s="90">
        <v>5330900</v>
      </c>
      <c r="AC54" s="10">
        <v>35.659999999999997</v>
      </c>
      <c r="AD54" s="2"/>
      <c r="AE54" s="131"/>
    </row>
    <row r="55" spans="1:31" x14ac:dyDescent="0.25">
      <c r="A55" s="193"/>
      <c r="B55" s="198">
        <v>42272</v>
      </c>
      <c r="C55" s="193">
        <v>100</v>
      </c>
      <c r="D55" s="194">
        <v>9.4499999999999993</v>
      </c>
      <c r="E55" s="194">
        <v>0</v>
      </c>
      <c r="F55" s="194">
        <f t="shared" si="4"/>
        <v>944.99999999999989</v>
      </c>
      <c r="G55" s="198">
        <v>42332</v>
      </c>
      <c r="H55" s="199">
        <v>600</v>
      </c>
      <c r="I55" s="194">
        <v>8.75</v>
      </c>
      <c r="J55" s="194">
        <v>0.1</v>
      </c>
      <c r="K55" s="194">
        <f t="shared" si="3"/>
        <v>5249.9</v>
      </c>
      <c r="L55" s="193"/>
      <c r="M55" s="193"/>
      <c r="N55" s="193"/>
      <c r="O55" s="2"/>
      <c r="P55" s="78">
        <v>0.95</v>
      </c>
      <c r="Q55" s="78">
        <f t="shared" si="2"/>
        <v>20.234999999999999</v>
      </c>
      <c r="R55" s="78"/>
      <c r="T55" s="82" t="s">
        <v>108</v>
      </c>
      <c r="U55" s="83" t="s">
        <v>462</v>
      </c>
      <c r="W55" s="89">
        <v>42754</v>
      </c>
      <c r="X55" s="10">
        <v>34.22</v>
      </c>
      <c r="Y55" s="10">
        <v>35.630000000000003</v>
      </c>
      <c r="Z55" s="10">
        <v>34.18</v>
      </c>
      <c r="AA55" s="10">
        <v>35.42</v>
      </c>
      <c r="AB55" s="90">
        <v>5050100</v>
      </c>
      <c r="AC55" s="10">
        <v>35.42</v>
      </c>
      <c r="AD55" s="2"/>
      <c r="AE55" s="131"/>
    </row>
    <row r="56" spans="1:31" x14ac:dyDescent="0.25">
      <c r="A56" s="193"/>
      <c r="B56" s="198">
        <v>42275</v>
      </c>
      <c r="C56" s="193">
        <v>100</v>
      </c>
      <c r="D56" s="194">
        <v>9.3000000000000007</v>
      </c>
      <c r="E56" s="194">
        <v>0</v>
      </c>
      <c r="F56" s="194">
        <f t="shared" si="4"/>
        <v>930.00000000000011</v>
      </c>
      <c r="G56" s="198">
        <v>42335</v>
      </c>
      <c r="H56" s="199">
        <v>500</v>
      </c>
      <c r="I56" s="194">
        <v>9.1</v>
      </c>
      <c r="J56" s="194">
        <v>0.08</v>
      </c>
      <c r="K56" s="194">
        <f t="shared" si="3"/>
        <v>4549.92</v>
      </c>
      <c r="L56" s="193"/>
      <c r="M56" s="193"/>
      <c r="N56" s="193"/>
      <c r="O56" s="2"/>
      <c r="P56" s="78">
        <v>0.94</v>
      </c>
      <c r="Q56" s="78">
        <f t="shared" si="2"/>
        <v>20.021999999999998</v>
      </c>
      <c r="R56" s="78"/>
      <c r="W56" s="89">
        <v>42753</v>
      </c>
      <c r="X56" s="10">
        <v>32.950000000000003</v>
      </c>
      <c r="Y56" s="10">
        <v>34.83</v>
      </c>
      <c r="Z56" s="10">
        <v>32.64</v>
      </c>
      <c r="AA56" s="10">
        <v>34.81</v>
      </c>
      <c r="AB56" s="90">
        <v>6420100</v>
      </c>
      <c r="AC56" s="10">
        <v>34.81</v>
      </c>
      <c r="AD56" s="2"/>
      <c r="AE56" s="131"/>
    </row>
    <row r="57" spans="1:31" x14ac:dyDescent="0.25">
      <c r="A57" s="193"/>
      <c r="B57" s="198">
        <v>42290</v>
      </c>
      <c r="C57" s="193">
        <v>400</v>
      </c>
      <c r="D57" s="194">
        <v>10.79</v>
      </c>
      <c r="E57" s="194">
        <v>0</v>
      </c>
      <c r="F57" s="194">
        <f t="shared" si="4"/>
        <v>4316</v>
      </c>
      <c r="G57" s="198">
        <v>42339</v>
      </c>
      <c r="H57" s="199">
        <v>400</v>
      </c>
      <c r="I57" s="194">
        <v>9.35</v>
      </c>
      <c r="J57" s="194">
        <v>7.0000000000000007E-2</v>
      </c>
      <c r="K57" s="194">
        <f t="shared" si="3"/>
        <v>3739.93</v>
      </c>
      <c r="L57" s="193"/>
      <c r="M57" s="193"/>
      <c r="N57" s="193"/>
      <c r="O57" s="2"/>
      <c r="P57" s="78">
        <v>0.93</v>
      </c>
      <c r="Q57" s="78">
        <f t="shared" si="2"/>
        <v>19.809000000000001</v>
      </c>
      <c r="R57" s="78"/>
      <c r="W57" s="89">
        <v>42752</v>
      </c>
      <c r="X57" s="10">
        <v>32.97</v>
      </c>
      <c r="Y57" s="10">
        <v>33.04</v>
      </c>
      <c r="Z57" s="10">
        <v>32.520000000000003</v>
      </c>
      <c r="AA57" s="10">
        <v>32.64</v>
      </c>
      <c r="AB57" s="90">
        <v>1381800</v>
      </c>
      <c r="AC57" s="10">
        <v>32.64</v>
      </c>
      <c r="AD57" s="2"/>
      <c r="AE57" s="131"/>
    </row>
    <row r="58" spans="1:31" x14ac:dyDescent="0.25">
      <c r="A58" s="193"/>
      <c r="B58" s="198">
        <v>42291</v>
      </c>
      <c r="C58" s="193">
        <v>150</v>
      </c>
      <c r="D58" s="194">
        <v>10.46</v>
      </c>
      <c r="E58" s="194">
        <v>0</v>
      </c>
      <c r="F58" s="194">
        <f t="shared" si="4"/>
        <v>1569.0000000000002</v>
      </c>
      <c r="G58" s="198">
        <v>42342</v>
      </c>
      <c r="H58" s="199">
        <v>500</v>
      </c>
      <c r="I58" s="194">
        <v>9.52</v>
      </c>
      <c r="J58" s="194">
        <v>0.09</v>
      </c>
      <c r="K58" s="194">
        <f t="shared" si="3"/>
        <v>4759.91</v>
      </c>
      <c r="L58" s="193"/>
      <c r="M58" s="193"/>
      <c r="N58" s="193"/>
      <c r="O58" s="2"/>
      <c r="P58" s="78">
        <v>0.92</v>
      </c>
      <c r="Q58" s="78">
        <f t="shared" si="2"/>
        <v>19.596</v>
      </c>
      <c r="R58" s="78"/>
      <c r="W58" s="89">
        <v>42748</v>
      </c>
      <c r="X58" s="10">
        <v>32.82</v>
      </c>
      <c r="Y58" s="10">
        <v>33.43</v>
      </c>
      <c r="Z58" s="10">
        <v>32.53</v>
      </c>
      <c r="AA58" s="10">
        <v>33.01</v>
      </c>
      <c r="AB58" s="90">
        <v>3026200</v>
      </c>
      <c r="AC58" s="10">
        <v>33.01</v>
      </c>
      <c r="AD58" s="2"/>
      <c r="AE58" s="131"/>
    </row>
    <row r="59" spans="1:31" x14ac:dyDescent="0.25">
      <c r="A59" s="193"/>
      <c r="B59" s="198">
        <v>42292</v>
      </c>
      <c r="C59" s="193">
        <v>150</v>
      </c>
      <c r="D59" s="194">
        <v>10.3</v>
      </c>
      <c r="E59" s="194">
        <v>0</v>
      </c>
      <c r="F59" s="194">
        <f t="shared" si="4"/>
        <v>1545</v>
      </c>
      <c r="G59" s="198">
        <v>42347</v>
      </c>
      <c r="H59" s="199">
        <v>1500</v>
      </c>
      <c r="I59" s="194">
        <v>9.31</v>
      </c>
      <c r="J59" s="194">
        <v>0.26</v>
      </c>
      <c r="K59" s="194">
        <f t="shared" si="3"/>
        <v>13964.74</v>
      </c>
      <c r="L59" s="193"/>
      <c r="M59" s="193"/>
      <c r="N59" s="193"/>
      <c r="O59" s="2"/>
      <c r="P59" s="78">
        <v>0.91</v>
      </c>
      <c r="Q59" s="78">
        <f t="shared" si="2"/>
        <v>19.383000000000003</v>
      </c>
      <c r="R59" s="78"/>
      <c r="W59" s="89">
        <v>42747</v>
      </c>
      <c r="X59" s="10">
        <v>33</v>
      </c>
      <c r="Y59" s="10">
        <v>33.5</v>
      </c>
      <c r="Z59" s="10">
        <v>32.51</v>
      </c>
      <c r="AA59" s="10">
        <v>33.04</v>
      </c>
      <c r="AB59" s="90">
        <v>4521700</v>
      </c>
      <c r="AC59" s="10">
        <v>33.04</v>
      </c>
      <c r="AD59" s="2"/>
      <c r="AE59" s="131"/>
    </row>
    <row r="60" spans="1:31" x14ac:dyDescent="0.25">
      <c r="A60" s="193"/>
      <c r="B60" s="198">
        <v>42297</v>
      </c>
      <c r="C60" s="199">
        <v>200</v>
      </c>
      <c r="D60" s="194">
        <v>9.8000000000000007</v>
      </c>
      <c r="E60" s="194">
        <v>0</v>
      </c>
      <c r="F60" s="194">
        <f t="shared" si="4"/>
        <v>1960.0000000000002</v>
      </c>
      <c r="G60" s="198">
        <v>42353</v>
      </c>
      <c r="H60" s="199">
        <v>200</v>
      </c>
      <c r="I60" s="194">
        <v>9.2899999999999991</v>
      </c>
      <c r="J60" s="194">
        <v>0.03</v>
      </c>
      <c r="K60" s="194">
        <f t="shared" si="3"/>
        <v>1857.9699999999998</v>
      </c>
      <c r="L60" s="193"/>
      <c r="M60" s="193"/>
      <c r="N60" s="193"/>
      <c r="O60" s="2"/>
      <c r="P60" s="78">
        <v>0.9</v>
      </c>
      <c r="Q60" s="78">
        <f t="shared" si="2"/>
        <v>19.170000000000002</v>
      </c>
      <c r="R60" s="78"/>
      <c r="W60" s="89">
        <v>42746</v>
      </c>
      <c r="X60" s="10">
        <v>31.08</v>
      </c>
      <c r="Y60" s="10">
        <v>32</v>
      </c>
      <c r="Z60" s="10">
        <v>31.08</v>
      </c>
      <c r="AA60" s="10">
        <v>31.97</v>
      </c>
      <c r="AB60" s="90">
        <v>3068300</v>
      </c>
      <c r="AC60" s="10">
        <v>31.97</v>
      </c>
      <c r="AD60" s="2"/>
      <c r="AE60" s="131"/>
    </row>
    <row r="61" spans="1:31" x14ac:dyDescent="0.25">
      <c r="A61" s="193"/>
      <c r="B61" s="198">
        <v>42297</v>
      </c>
      <c r="C61" s="199">
        <v>900</v>
      </c>
      <c r="D61" s="194">
        <v>9.74</v>
      </c>
      <c r="E61" s="194">
        <v>0</v>
      </c>
      <c r="F61" s="194">
        <f t="shared" si="4"/>
        <v>8766</v>
      </c>
      <c r="G61" s="198">
        <v>42354</v>
      </c>
      <c r="H61" s="199">
        <v>500</v>
      </c>
      <c r="I61" s="194">
        <v>8.93</v>
      </c>
      <c r="J61" s="194">
        <v>0.08</v>
      </c>
      <c r="K61" s="194">
        <f t="shared" si="3"/>
        <v>4464.92</v>
      </c>
      <c r="L61" s="193"/>
      <c r="M61" s="193"/>
      <c r="N61" s="193"/>
      <c r="W61" s="89">
        <v>42745</v>
      </c>
      <c r="X61" s="10">
        <v>29.83</v>
      </c>
      <c r="Y61" s="10">
        <v>31.1</v>
      </c>
      <c r="Z61" s="10">
        <v>29.73</v>
      </c>
      <c r="AA61" s="10">
        <v>30.98</v>
      </c>
      <c r="AB61" s="90">
        <v>3823600</v>
      </c>
      <c r="AC61" s="10">
        <v>30.98</v>
      </c>
      <c r="AD61" s="2"/>
      <c r="AE61" s="131"/>
    </row>
    <row r="62" spans="1:31" x14ac:dyDescent="0.25">
      <c r="A62" s="193"/>
      <c r="B62" s="198">
        <v>42299</v>
      </c>
      <c r="C62" s="193">
        <v>1000</v>
      </c>
      <c r="D62" s="194">
        <v>9.3800000000000008</v>
      </c>
      <c r="E62" s="194">
        <v>0</v>
      </c>
      <c r="F62" s="194">
        <f t="shared" si="4"/>
        <v>9380</v>
      </c>
      <c r="G62" s="198">
        <v>42366</v>
      </c>
      <c r="H62" s="199">
        <v>2000</v>
      </c>
      <c r="I62" s="194">
        <v>9.4499999999999993</v>
      </c>
      <c r="J62" s="194">
        <v>0.35</v>
      </c>
      <c r="K62" s="194">
        <f t="shared" si="3"/>
        <v>18899.650000000001</v>
      </c>
      <c r="L62" s="193"/>
      <c r="M62" s="193"/>
      <c r="N62" s="193"/>
      <c r="W62" s="89">
        <v>42744</v>
      </c>
      <c r="X62" s="10">
        <v>30.88</v>
      </c>
      <c r="Y62" s="10">
        <v>30.88</v>
      </c>
      <c r="Z62" s="10">
        <v>29.22</v>
      </c>
      <c r="AA62" s="10">
        <v>29.48</v>
      </c>
      <c r="AB62" s="90">
        <v>4205100</v>
      </c>
      <c r="AC62" s="10">
        <v>29.48</v>
      </c>
      <c r="AD62" s="2"/>
      <c r="AE62" s="131"/>
    </row>
    <row r="63" spans="1:31" x14ac:dyDescent="0.25">
      <c r="A63" s="193"/>
      <c r="B63" s="198">
        <v>42303</v>
      </c>
      <c r="C63" s="193">
        <v>400</v>
      </c>
      <c r="D63" s="194">
        <v>9.1999999999999993</v>
      </c>
      <c r="E63" s="194">
        <v>0</v>
      </c>
      <c r="F63" s="194">
        <f t="shared" si="4"/>
        <v>3679.9999999999995</v>
      </c>
      <c r="G63" s="198">
        <v>42367</v>
      </c>
      <c r="H63" s="199">
        <v>1000</v>
      </c>
      <c r="I63" s="194">
        <v>9.89</v>
      </c>
      <c r="J63" s="194">
        <v>0.18</v>
      </c>
      <c r="K63" s="194">
        <f t="shared" si="3"/>
        <v>9889.82</v>
      </c>
      <c r="L63" s="193"/>
      <c r="M63" s="193"/>
      <c r="N63" s="193"/>
      <c r="W63" s="89">
        <v>42741</v>
      </c>
      <c r="X63" s="10">
        <v>30.69</v>
      </c>
      <c r="Y63" s="10">
        <v>31.1</v>
      </c>
      <c r="Z63" s="10">
        <v>30.31</v>
      </c>
      <c r="AA63" s="10">
        <v>30.68</v>
      </c>
      <c r="AB63" s="90">
        <v>2086300</v>
      </c>
      <c r="AC63" s="10">
        <v>30.68</v>
      </c>
      <c r="AD63" s="2"/>
      <c r="AE63" s="131"/>
    </row>
    <row r="64" spans="1:31" x14ac:dyDescent="0.25">
      <c r="A64" s="193"/>
      <c r="B64" s="213">
        <v>42304</v>
      </c>
      <c r="C64" s="193">
        <v>900</v>
      </c>
      <c r="D64" s="194">
        <v>9.32</v>
      </c>
      <c r="E64" s="194">
        <v>0</v>
      </c>
      <c r="F64" s="194">
        <f t="shared" si="4"/>
        <v>8388</v>
      </c>
      <c r="G64" s="198">
        <v>42398</v>
      </c>
      <c r="H64" s="199">
        <v>100</v>
      </c>
      <c r="I64" s="194">
        <v>7.21</v>
      </c>
      <c r="J64" s="194">
        <v>0.01</v>
      </c>
      <c r="K64" s="194">
        <f t="shared" si="3"/>
        <v>720.99</v>
      </c>
      <c r="L64" s="193"/>
      <c r="M64" s="193"/>
      <c r="N64" s="193"/>
      <c r="W64" s="89">
        <v>42740</v>
      </c>
      <c r="X64" s="10">
        <v>30.18</v>
      </c>
      <c r="Y64" s="10">
        <v>30.93</v>
      </c>
      <c r="Z64" s="10">
        <v>30.12</v>
      </c>
      <c r="AA64" s="10">
        <v>30.65</v>
      </c>
      <c r="AB64" s="90">
        <v>2444600</v>
      </c>
      <c r="AC64" s="10">
        <v>30.65</v>
      </c>
      <c r="AD64" s="2"/>
      <c r="AE64" s="131"/>
    </row>
    <row r="65" spans="1:31" x14ac:dyDescent="0.25">
      <c r="A65" s="193"/>
      <c r="B65" s="213"/>
      <c r="C65" s="193">
        <v>500</v>
      </c>
      <c r="D65" s="194">
        <v>9.32</v>
      </c>
      <c r="E65" s="194">
        <v>0</v>
      </c>
      <c r="F65" s="194">
        <f t="shared" si="4"/>
        <v>4660</v>
      </c>
      <c r="G65" s="198">
        <v>42403</v>
      </c>
      <c r="H65" s="199">
        <v>100</v>
      </c>
      <c r="I65" s="194">
        <v>7.42</v>
      </c>
      <c r="J65" s="194">
        <v>0.01</v>
      </c>
      <c r="K65" s="194">
        <f t="shared" si="3"/>
        <v>741.99</v>
      </c>
      <c r="L65" s="194"/>
      <c r="M65" s="193"/>
      <c r="N65" s="193"/>
      <c r="W65" s="89">
        <v>42739</v>
      </c>
      <c r="X65" s="10">
        <v>29.02</v>
      </c>
      <c r="Y65" s="10">
        <v>30.3</v>
      </c>
      <c r="Z65" s="10">
        <v>29.02</v>
      </c>
      <c r="AA65" s="10">
        <v>30.26</v>
      </c>
      <c r="AB65" s="90">
        <v>3339500</v>
      </c>
      <c r="AC65" s="10">
        <v>30.26</v>
      </c>
      <c r="AD65" s="2"/>
      <c r="AE65" s="131"/>
    </row>
    <row r="66" spans="1:31" x14ac:dyDescent="0.25">
      <c r="A66" s="193"/>
      <c r="B66" s="198">
        <v>42306</v>
      </c>
      <c r="C66" s="193">
        <v>300</v>
      </c>
      <c r="D66" s="194">
        <v>8.7200000000000006</v>
      </c>
      <c r="E66" s="194">
        <v>6.95</v>
      </c>
      <c r="F66" s="194">
        <f t="shared" si="4"/>
        <v>2622.95</v>
      </c>
      <c r="G66" s="198">
        <v>42404</v>
      </c>
      <c r="H66" s="199">
        <v>100</v>
      </c>
      <c r="I66" s="194">
        <v>8.02</v>
      </c>
      <c r="J66" s="194">
        <v>0.01</v>
      </c>
      <c r="K66" s="194">
        <f t="shared" si="3"/>
        <v>801.99</v>
      </c>
      <c r="L66" s="193"/>
      <c r="M66" s="193"/>
      <c r="N66" s="193"/>
      <c r="W66" s="89">
        <v>42738</v>
      </c>
      <c r="X66" s="10">
        <v>28.6</v>
      </c>
      <c r="Y66" s="10">
        <v>28.87</v>
      </c>
      <c r="Z66" s="10">
        <v>28.17</v>
      </c>
      <c r="AA66" s="10">
        <v>28.83</v>
      </c>
      <c r="AB66" s="90">
        <v>2746400</v>
      </c>
      <c r="AC66" s="10">
        <v>28.83</v>
      </c>
      <c r="AD66" s="2"/>
      <c r="AE66" s="131"/>
    </row>
    <row r="67" spans="1:31" x14ac:dyDescent="0.25">
      <c r="A67" s="193"/>
      <c r="B67" s="198">
        <v>42310</v>
      </c>
      <c r="C67" s="193">
        <v>3400</v>
      </c>
      <c r="D67" s="194">
        <v>9.0299999999999994</v>
      </c>
      <c r="E67" s="194">
        <v>6.95</v>
      </c>
      <c r="F67" s="194">
        <f t="shared" si="4"/>
        <v>30708.949999999997</v>
      </c>
      <c r="G67" s="198">
        <v>42416</v>
      </c>
      <c r="H67" s="199">
        <v>300</v>
      </c>
      <c r="I67" s="194">
        <v>7.98</v>
      </c>
      <c r="J67" s="194">
        <v>0.05</v>
      </c>
      <c r="K67" s="194">
        <f t="shared" si="3"/>
        <v>2393.9499999999998</v>
      </c>
      <c r="L67" s="193"/>
      <c r="M67" s="193"/>
      <c r="N67" s="193"/>
      <c r="W67" s="89">
        <v>42734</v>
      </c>
      <c r="X67" s="10">
        <v>28.97</v>
      </c>
      <c r="Y67" s="10">
        <v>29.38</v>
      </c>
      <c r="Z67" s="10">
        <v>28.01</v>
      </c>
      <c r="AA67" s="10">
        <v>28.08</v>
      </c>
      <c r="AB67" s="90">
        <v>2686000</v>
      </c>
      <c r="AC67" s="10">
        <v>28.08</v>
      </c>
      <c r="AD67" s="2"/>
      <c r="AE67" s="131"/>
    </row>
    <row r="68" spans="1:31" x14ac:dyDescent="0.25">
      <c r="A68" s="193"/>
      <c r="B68" s="198">
        <v>42314</v>
      </c>
      <c r="C68" s="193">
        <v>1400</v>
      </c>
      <c r="D68" s="194">
        <v>9.35</v>
      </c>
      <c r="E68" s="194">
        <v>0</v>
      </c>
      <c r="F68" s="194">
        <f t="shared" si="4"/>
        <v>13090</v>
      </c>
      <c r="G68" s="198">
        <v>42444</v>
      </c>
      <c r="H68" s="193">
        <v>200</v>
      </c>
      <c r="I68" s="194">
        <v>9.49</v>
      </c>
      <c r="J68" s="194">
        <v>0.04</v>
      </c>
      <c r="K68" s="194">
        <v>1897.96</v>
      </c>
      <c r="L68" s="193"/>
      <c r="M68" s="193"/>
      <c r="N68" s="193"/>
      <c r="W68" s="89" t="s">
        <v>120</v>
      </c>
      <c r="X68" s="10"/>
      <c r="Y68" s="10"/>
      <c r="Z68" s="10"/>
      <c r="AA68" s="10"/>
      <c r="AB68" s="90"/>
      <c r="AC68" s="10"/>
      <c r="AD68" s="2"/>
      <c r="AE68" s="131"/>
    </row>
    <row r="69" spans="1:31" x14ac:dyDescent="0.25">
      <c r="A69" s="193"/>
      <c r="B69" s="198">
        <v>42324</v>
      </c>
      <c r="C69" s="207">
        <v>3700</v>
      </c>
      <c r="D69" s="194">
        <v>8.2899999999999991</v>
      </c>
      <c r="E69" s="194">
        <v>0</v>
      </c>
      <c r="F69" s="194">
        <f t="shared" si="4"/>
        <v>30672.999999999996</v>
      </c>
      <c r="G69" s="198"/>
      <c r="H69" s="199"/>
      <c r="I69" s="194"/>
      <c r="J69" s="194"/>
      <c r="K69" s="194"/>
      <c r="L69" s="193"/>
      <c r="M69" s="193"/>
      <c r="N69" s="193"/>
      <c r="AD69" s="2"/>
      <c r="AE69" s="131"/>
    </row>
    <row r="70" spans="1:31" x14ac:dyDescent="0.25">
      <c r="A70" s="193"/>
      <c r="B70" s="198">
        <v>42324</v>
      </c>
      <c r="C70" s="207">
        <v>600</v>
      </c>
      <c r="D70" s="194">
        <v>8.14</v>
      </c>
      <c r="E70" s="194">
        <v>0</v>
      </c>
      <c r="F70" s="194">
        <f t="shared" si="4"/>
        <v>4884</v>
      </c>
      <c r="G70" s="198"/>
      <c r="H70" s="199"/>
      <c r="I70" s="194"/>
      <c r="J70" s="194"/>
      <c r="K70" s="194"/>
      <c r="L70" s="193"/>
      <c r="M70" s="193"/>
      <c r="N70" s="193"/>
    </row>
    <row r="71" spans="1:31" x14ac:dyDescent="0.25">
      <c r="A71" s="193"/>
      <c r="B71" s="198">
        <v>42335</v>
      </c>
      <c r="C71" s="193">
        <v>500</v>
      </c>
      <c r="D71" s="194">
        <v>9.06</v>
      </c>
      <c r="E71" s="194">
        <v>0</v>
      </c>
      <c r="F71" s="194">
        <f t="shared" si="4"/>
        <v>4530</v>
      </c>
      <c r="G71" s="193"/>
      <c r="H71" s="199"/>
      <c r="I71" s="194"/>
      <c r="J71" s="194"/>
      <c r="K71" s="194"/>
      <c r="L71" s="193"/>
      <c r="M71" s="193"/>
      <c r="N71" s="193"/>
    </row>
    <row r="72" spans="1:31" x14ac:dyDescent="0.25">
      <c r="A72" s="193"/>
      <c r="B72" s="198">
        <v>42345</v>
      </c>
      <c r="C72" s="193">
        <v>200</v>
      </c>
      <c r="D72" s="194">
        <v>9.35</v>
      </c>
      <c r="E72" s="194">
        <v>0</v>
      </c>
      <c r="F72" s="194">
        <f t="shared" si="4"/>
        <v>1870</v>
      </c>
      <c r="G72" s="193"/>
      <c r="H72" s="199"/>
      <c r="I72" s="194"/>
      <c r="J72" s="194"/>
      <c r="K72" s="194"/>
      <c r="L72" s="193"/>
      <c r="M72" s="193"/>
      <c r="N72" s="193"/>
    </row>
    <row r="73" spans="1:31" x14ac:dyDescent="0.25">
      <c r="A73" s="193"/>
      <c r="B73" s="198">
        <v>42347</v>
      </c>
      <c r="C73" s="193">
        <v>1500</v>
      </c>
      <c r="D73" s="194">
        <v>9.2759999999999998</v>
      </c>
      <c r="E73" s="194">
        <v>0</v>
      </c>
      <c r="F73" s="194">
        <f t="shared" si="4"/>
        <v>13914</v>
      </c>
      <c r="G73" s="193"/>
      <c r="H73" s="199"/>
      <c r="I73" s="194"/>
      <c r="J73" s="194"/>
      <c r="K73" s="194"/>
      <c r="L73" s="193"/>
      <c r="M73" s="193"/>
      <c r="N73" s="193"/>
    </row>
    <row r="74" spans="1:31" x14ac:dyDescent="0.25">
      <c r="A74" s="193"/>
      <c r="B74" s="198">
        <v>42348</v>
      </c>
      <c r="C74" s="193">
        <v>100</v>
      </c>
      <c r="D74" s="194">
        <v>8.9499999999999993</v>
      </c>
      <c r="E74" s="194">
        <v>0</v>
      </c>
      <c r="F74" s="194">
        <f t="shared" si="4"/>
        <v>894.99999999999989</v>
      </c>
      <c r="G74" s="193"/>
      <c r="H74" s="199"/>
      <c r="I74" s="194"/>
      <c r="J74" s="194"/>
      <c r="K74" s="194"/>
      <c r="L74" s="193"/>
      <c r="M74" s="193"/>
      <c r="N74" s="193"/>
    </row>
    <row r="75" spans="1:31" x14ac:dyDescent="0.25">
      <c r="A75" s="193"/>
      <c r="B75" s="198">
        <v>42353</v>
      </c>
      <c r="C75" s="193">
        <v>100</v>
      </c>
      <c r="D75" s="194">
        <v>9.2200000000000006</v>
      </c>
      <c r="E75" s="194">
        <v>0</v>
      </c>
      <c r="F75" s="194">
        <f t="shared" si="4"/>
        <v>922.00000000000011</v>
      </c>
      <c r="G75" s="193"/>
      <c r="H75" s="199"/>
      <c r="I75" s="194"/>
      <c r="J75" s="194"/>
      <c r="K75" s="194"/>
      <c r="L75" s="193"/>
      <c r="M75" s="193"/>
      <c r="N75" s="193"/>
    </row>
    <row r="76" spans="1:31" x14ac:dyDescent="0.25">
      <c r="A76" s="193"/>
      <c r="B76" s="198">
        <v>42354</v>
      </c>
      <c r="C76" s="193">
        <v>500</v>
      </c>
      <c r="D76" s="194">
        <v>8.85</v>
      </c>
      <c r="E76" s="194">
        <v>0</v>
      </c>
      <c r="F76" s="194">
        <f t="shared" si="4"/>
        <v>4425</v>
      </c>
      <c r="G76" s="193"/>
      <c r="H76" s="199"/>
      <c r="I76" s="194"/>
      <c r="J76" s="194"/>
      <c r="K76" s="194"/>
      <c r="L76" s="193"/>
      <c r="M76" s="193"/>
      <c r="N76" s="193"/>
    </row>
    <row r="77" spans="1:31" x14ac:dyDescent="0.25">
      <c r="A77" s="193"/>
      <c r="B77" s="198">
        <v>42377</v>
      </c>
      <c r="C77" s="193">
        <v>400</v>
      </c>
      <c r="D77" s="194">
        <v>8.0399999999999991</v>
      </c>
      <c r="E77" s="194">
        <v>0</v>
      </c>
      <c r="F77" s="194">
        <f t="shared" si="4"/>
        <v>3215.9999999999995</v>
      </c>
      <c r="G77" s="193"/>
      <c r="H77" s="193"/>
      <c r="I77" s="194"/>
      <c r="J77" s="194"/>
      <c r="K77" s="194"/>
      <c r="L77" s="193"/>
      <c r="M77" s="193"/>
      <c r="N77" s="193"/>
    </row>
    <row r="78" spans="1:31" x14ac:dyDescent="0.25">
      <c r="A78" s="193"/>
      <c r="B78" s="198">
        <v>42389</v>
      </c>
      <c r="C78" s="193">
        <v>100</v>
      </c>
      <c r="D78" s="194">
        <v>6.45</v>
      </c>
      <c r="E78" s="194">
        <v>0</v>
      </c>
      <c r="F78" s="194">
        <f t="shared" si="4"/>
        <v>645</v>
      </c>
      <c r="G78" s="193"/>
      <c r="H78" s="193"/>
      <c r="I78" s="194"/>
      <c r="J78" s="194"/>
      <c r="K78" s="194"/>
      <c r="L78" s="193"/>
      <c r="M78" s="193"/>
      <c r="N78" s="193"/>
    </row>
    <row r="79" spans="1:31" x14ac:dyDescent="0.25">
      <c r="A79" s="193"/>
      <c r="B79" s="198">
        <v>42402</v>
      </c>
      <c r="C79" s="193">
        <v>100</v>
      </c>
      <c r="D79" s="194">
        <v>6.95</v>
      </c>
      <c r="E79" s="194">
        <v>0</v>
      </c>
      <c r="F79" s="194">
        <f t="shared" si="4"/>
        <v>695</v>
      </c>
      <c r="G79" s="193"/>
      <c r="H79" s="193"/>
      <c r="I79" s="194"/>
      <c r="J79" s="194"/>
      <c r="K79" s="194"/>
      <c r="L79" s="193"/>
      <c r="M79" s="193"/>
      <c r="N79" s="193"/>
    </row>
    <row r="80" spans="1:31" x14ac:dyDescent="0.25">
      <c r="A80" s="193"/>
      <c r="B80" s="198">
        <v>42444</v>
      </c>
      <c r="C80" s="193">
        <v>200</v>
      </c>
      <c r="D80" s="194">
        <v>9.4499999999999993</v>
      </c>
      <c r="E80" s="194">
        <v>0</v>
      </c>
      <c r="F80" s="194">
        <v>1889.9999999999998</v>
      </c>
      <c r="G80" s="193"/>
      <c r="H80" s="193"/>
      <c r="I80" s="194"/>
      <c r="J80" s="194"/>
      <c r="K80" s="194"/>
      <c r="L80" s="193"/>
      <c r="M80" s="193"/>
      <c r="N80" s="193"/>
    </row>
    <row r="81" spans="1:14" x14ac:dyDescent="0.25">
      <c r="A81" s="291"/>
      <c r="B81" s="291"/>
      <c r="C81" s="291"/>
      <c r="D81" s="292"/>
      <c r="E81" s="292"/>
      <c r="F81" s="292"/>
      <c r="G81" s="291"/>
      <c r="H81" s="291"/>
      <c r="I81" s="292"/>
      <c r="J81" s="292"/>
      <c r="K81" s="292"/>
      <c r="L81" s="291"/>
      <c r="M81" s="291"/>
      <c r="N81" s="291"/>
    </row>
    <row r="82" spans="1:14" x14ac:dyDescent="0.25">
      <c r="A82" s="291"/>
      <c r="B82" s="290">
        <v>42545</v>
      </c>
      <c r="C82" s="291">
        <v>250</v>
      </c>
      <c r="D82" s="292">
        <v>9.36</v>
      </c>
      <c r="E82" s="292">
        <v>0</v>
      </c>
      <c r="F82" s="292">
        <f>D82*C82+E82</f>
        <v>2340</v>
      </c>
      <c r="G82" s="291">
        <v>42577</v>
      </c>
      <c r="H82" s="295">
        <v>150</v>
      </c>
      <c r="I82" s="292">
        <v>10.58</v>
      </c>
      <c r="J82" s="292">
        <v>0.03</v>
      </c>
      <c r="K82" s="292">
        <f>H82*I82-J82</f>
        <v>1586.97</v>
      </c>
      <c r="L82" s="291"/>
      <c r="M82" s="291"/>
      <c r="N82" s="291"/>
    </row>
    <row r="83" spans="1:14" x14ac:dyDescent="0.25">
      <c r="A83" s="291"/>
      <c r="B83" s="290"/>
      <c r="C83" s="291"/>
      <c r="D83" s="292"/>
      <c r="E83" s="292"/>
      <c r="F83" s="292"/>
      <c r="G83" s="291">
        <v>42577</v>
      </c>
      <c r="H83" s="295">
        <v>100</v>
      </c>
      <c r="I83" s="292">
        <v>10.65</v>
      </c>
      <c r="J83" s="292">
        <v>0.02</v>
      </c>
      <c r="K83" s="292">
        <f>H83*I83-J83</f>
        <v>1064.98</v>
      </c>
      <c r="L83" s="291"/>
      <c r="M83" s="291"/>
      <c r="N83" s="291"/>
    </row>
    <row r="84" spans="1:14" x14ac:dyDescent="0.25">
      <c r="A84" s="291"/>
      <c r="B84" s="291"/>
      <c r="C84" s="291"/>
      <c r="D84" s="292"/>
      <c r="E84" s="292"/>
      <c r="F84" s="292"/>
      <c r="G84" s="291"/>
      <c r="H84" s="291"/>
      <c r="I84" s="292"/>
      <c r="J84" s="292"/>
      <c r="K84" s="292"/>
      <c r="L84" s="291"/>
      <c r="M84" s="291"/>
      <c r="N84" s="291"/>
    </row>
    <row r="85" spans="1:14" x14ac:dyDescent="0.25">
      <c r="A85" s="31" t="s">
        <v>81</v>
      </c>
      <c r="B85" s="14"/>
      <c r="C85" s="14">
        <f>SUM(C44:C84)</f>
        <v>19052</v>
      </c>
      <c r="D85" s="18"/>
      <c r="E85" s="18"/>
      <c r="F85" s="18">
        <f>SUM(F44:F84)</f>
        <v>173175.52</v>
      </c>
      <c r="G85" s="14"/>
      <c r="H85" s="14">
        <f>SUM(H44:H84)</f>
        <v>19052</v>
      </c>
      <c r="I85" s="18"/>
      <c r="J85" s="18"/>
      <c r="K85" s="18">
        <f>SUM(K44:K84)</f>
        <v>174165.9</v>
      </c>
      <c r="L85" s="18"/>
      <c r="M85" s="18">
        <f>SUM(M44:M57)</f>
        <v>138</v>
      </c>
      <c r="N85" s="193"/>
    </row>
    <row r="86" spans="1:14" x14ac:dyDescent="0.25">
      <c r="A86" s="193"/>
      <c r="B86" s="193"/>
      <c r="C86" s="193"/>
      <c r="D86" s="194"/>
      <c r="E86" s="194"/>
      <c r="F86" s="194"/>
      <c r="G86" s="193"/>
      <c r="H86" s="193"/>
      <c r="I86" s="194"/>
      <c r="J86" s="194"/>
      <c r="K86" s="194"/>
      <c r="L86" s="193"/>
      <c r="M86" s="193"/>
      <c r="N86" s="193"/>
    </row>
    <row r="87" spans="1:14" x14ac:dyDescent="0.25">
      <c r="A87" s="193"/>
      <c r="B87" s="193"/>
      <c r="C87" s="193"/>
      <c r="D87" s="194"/>
      <c r="E87" s="194"/>
      <c r="F87" s="194"/>
      <c r="G87" s="193"/>
      <c r="H87" s="193"/>
      <c r="I87" s="194"/>
      <c r="J87" s="194"/>
      <c r="K87" s="194"/>
      <c r="L87" s="193"/>
      <c r="M87" s="193"/>
      <c r="N87" s="193"/>
    </row>
    <row r="88" spans="1:14" x14ac:dyDescent="0.25">
      <c r="A88" s="193"/>
      <c r="B88" s="201" t="s">
        <v>113</v>
      </c>
      <c r="C88" s="201" t="s">
        <v>143</v>
      </c>
      <c r="D88" s="202" t="s">
        <v>142</v>
      </c>
      <c r="E88" s="203" t="s">
        <v>144</v>
      </c>
      <c r="F88" s="203" t="s">
        <v>65</v>
      </c>
      <c r="G88" s="205" t="s">
        <v>148</v>
      </c>
      <c r="H88" s="205" t="s">
        <v>88</v>
      </c>
      <c r="I88" s="205" t="s">
        <v>151</v>
      </c>
      <c r="J88" s="194"/>
      <c r="K88" s="194"/>
      <c r="L88" s="193"/>
      <c r="M88" s="193"/>
      <c r="N88" s="193"/>
    </row>
    <row r="89" spans="1:14" x14ac:dyDescent="0.25">
      <c r="A89" s="193"/>
      <c r="B89" s="198">
        <v>42304</v>
      </c>
      <c r="C89" s="193">
        <v>3700</v>
      </c>
      <c r="D89" s="194">
        <v>9.84</v>
      </c>
      <c r="E89" s="194">
        <v>8.73</v>
      </c>
      <c r="F89" s="194">
        <f>C89*(E89-D89)</f>
        <v>-4106.9999999999982</v>
      </c>
      <c r="G89" s="194">
        <f>D89*C89</f>
        <v>36408</v>
      </c>
      <c r="H89" s="208">
        <f>(E89-D89)/D89</f>
        <v>-0.11280487804878044</v>
      </c>
      <c r="I89" s="194"/>
      <c r="J89" s="194"/>
      <c r="K89" s="194"/>
      <c r="L89" s="193"/>
      <c r="M89" s="193"/>
      <c r="N89" s="193"/>
    </row>
    <row r="90" spans="1:14" x14ac:dyDescent="0.25">
      <c r="A90" s="193"/>
      <c r="B90" s="198">
        <v>42305</v>
      </c>
      <c r="C90" s="193">
        <v>3700</v>
      </c>
      <c r="D90" s="194">
        <v>9.76</v>
      </c>
      <c r="E90" s="194">
        <v>8.99</v>
      </c>
      <c r="F90" s="194">
        <f t="shared" ref="F90:F107" si="5">C90*(E90-D90)</f>
        <v>-2848.9999999999986</v>
      </c>
      <c r="G90" s="194">
        <f t="shared" ref="G90:G107" si="6">D90*C90</f>
        <v>36112</v>
      </c>
      <c r="H90" s="208">
        <f t="shared" ref="H90:H96" si="7">(E90-D90)/D90</f>
        <v>-7.8893442622950782E-2</v>
      </c>
      <c r="I90" s="194"/>
      <c r="J90" s="194"/>
      <c r="K90" s="194"/>
      <c r="L90" s="193"/>
      <c r="M90" s="193"/>
      <c r="N90" s="193"/>
    </row>
    <row r="91" spans="1:14" x14ac:dyDescent="0.25">
      <c r="A91" s="193"/>
      <c r="B91" s="198">
        <v>42311</v>
      </c>
      <c r="C91" s="193">
        <v>3700</v>
      </c>
      <c r="D91" s="194">
        <v>9.73</v>
      </c>
      <c r="E91" s="194">
        <v>9.3800000000000008</v>
      </c>
      <c r="F91" s="194">
        <f t="shared" si="5"/>
        <v>-1294.9999999999986</v>
      </c>
      <c r="G91" s="194">
        <f t="shared" si="6"/>
        <v>36001</v>
      </c>
      <c r="H91" s="208">
        <f t="shared" si="7"/>
        <v>-3.5971223021582698E-2</v>
      </c>
      <c r="I91" s="194"/>
      <c r="J91" s="194"/>
      <c r="K91" s="194"/>
      <c r="L91" s="193"/>
      <c r="M91" s="193"/>
      <c r="N91" s="193"/>
    </row>
    <row r="92" spans="1:14" x14ac:dyDescent="0.25">
      <c r="A92" s="193"/>
      <c r="B92" s="198">
        <v>42320</v>
      </c>
      <c r="C92" s="193">
        <v>7400</v>
      </c>
      <c r="D92" s="194">
        <v>9.01</v>
      </c>
      <c r="E92" s="194">
        <v>7.82</v>
      </c>
      <c r="F92" s="194">
        <f t="shared" si="5"/>
        <v>-8805.9999999999964</v>
      </c>
      <c r="G92" s="194">
        <f t="shared" si="6"/>
        <v>66674</v>
      </c>
      <c r="H92" s="208">
        <f t="shared" si="7"/>
        <v>-0.13207547169811315</v>
      </c>
      <c r="I92" s="194"/>
      <c r="J92" s="194"/>
      <c r="K92" s="194"/>
      <c r="L92" s="193"/>
      <c r="M92" s="193"/>
      <c r="N92" s="193"/>
    </row>
    <row r="93" spans="1:14" x14ac:dyDescent="0.25">
      <c r="A93" s="193"/>
      <c r="B93" s="198">
        <v>42320</v>
      </c>
      <c r="C93" s="193">
        <v>8000</v>
      </c>
      <c r="D93" s="194">
        <v>8.94</v>
      </c>
      <c r="E93" s="194">
        <v>7.82</v>
      </c>
      <c r="F93" s="194">
        <f t="shared" si="5"/>
        <v>-8959.9999999999945</v>
      </c>
      <c r="G93" s="194">
        <f t="shared" si="6"/>
        <v>71520</v>
      </c>
      <c r="H93" s="208">
        <f t="shared" si="7"/>
        <v>-0.12527964205816547</v>
      </c>
      <c r="I93" s="194"/>
      <c r="J93" s="194"/>
      <c r="K93" s="194"/>
      <c r="L93" s="193"/>
      <c r="M93" s="193"/>
      <c r="N93" s="193"/>
    </row>
    <row r="94" spans="1:14" x14ac:dyDescent="0.25">
      <c r="A94" s="193"/>
      <c r="B94" s="198">
        <v>42326</v>
      </c>
      <c r="C94" s="193">
        <v>6600</v>
      </c>
      <c r="D94" s="194">
        <v>9.0582999999999991</v>
      </c>
      <c r="E94" s="194">
        <v>8.41</v>
      </c>
      <c r="F94" s="194">
        <f t="shared" si="5"/>
        <v>-4278.7799999999934</v>
      </c>
      <c r="G94" s="194">
        <f t="shared" si="6"/>
        <v>59784.779999999992</v>
      </c>
      <c r="H94" s="208">
        <f t="shared" si="7"/>
        <v>-7.1569720587748145E-2</v>
      </c>
      <c r="I94" s="194"/>
      <c r="J94" s="194"/>
      <c r="K94" s="194"/>
      <c r="L94" s="193"/>
      <c r="M94" s="193"/>
      <c r="N94" s="193"/>
    </row>
    <row r="95" spans="1:14" x14ac:dyDescent="0.25">
      <c r="A95" s="193"/>
      <c r="B95" s="198">
        <v>42326</v>
      </c>
      <c r="C95" s="193">
        <v>6535</v>
      </c>
      <c r="D95" s="194">
        <v>9.0648</v>
      </c>
      <c r="E95" s="194">
        <v>8.41</v>
      </c>
      <c r="F95" s="194">
        <f t="shared" si="5"/>
        <v>-4279.1179999999986</v>
      </c>
      <c r="G95" s="194">
        <f t="shared" si="6"/>
        <v>59238.468000000001</v>
      </c>
      <c r="H95" s="208">
        <f t="shared" si="7"/>
        <v>-7.2235460241814473E-2</v>
      </c>
      <c r="I95" s="194"/>
      <c r="J95" s="194"/>
      <c r="K95" s="194"/>
      <c r="L95" s="193"/>
      <c r="M95" s="193"/>
      <c r="N95" s="193"/>
    </row>
    <row r="96" spans="1:14" x14ac:dyDescent="0.25">
      <c r="A96" s="193"/>
      <c r="B96" s="198">
        <v>42327</v>
      </c>
      <c r="C96" s="193">
        <v>4300</v>
      </c>
      <c r="D96" s="194">
        <v>9.3583999999999996</v>
      </c>
      <c r="E96" s="194">
        <v>8.76</v>
      </c>
      <c r="F96" s="194">
        <f t="shared" si="5"/>
        <v>-2573.1199999999994</v>
      </c>
      <c r="G96" s="194">
        <f t="shared" si="6"/>
        <v>40241.119999999995</v>
      </c>
      <c r="H96" s="208">
        <f t="shared" si="7"/>
        <v>-6.3942554282783365E-2</v>
      </c>
      <c r="I96" s="194"/>
      <c r="J96" s="194"/>
      <c r="K96" s="194"/>
      <c r="L96" s="193"/>
      <c r="M96" s="193"/>
      <c r="N96" s="193"/>
    </row>
    <row r="97" spans="1:14" x14ac:dyDescent="0.25">
      <c r="A97" s="193"/>
      <c r="B97" s="198">
        <v>42327</v>
      </c>
      <c r="C97" s="193">
        <v>3700</v>
      </c>
      <c r="D97" s="194">
        <v>9.4571000000000005</v>
      </c>
      <c r="E97" s="194">
        <v>8.76</v>
      </c>
      <c r="F97" s="194">
        <f t="shared" si="5"/>
        <v>-2579.2700000000027</v>
      </c>
      <c r="G97" s="194">
        <f t="shared" si="6"/>
        <v>34991.270000000004</v>
      </c>
      <c r="H97" s="208">
        <f>(E97-D97)/D97</f>
        <v>-7.371181440399284E-2</v>
      </c>
      <c r="I97" s="194"/>
      <c r="J97" s="194"/>
      <c r="K97" s="194"/>
      <c r="L97" s="193"/>
      <c r="M97" s="193"/>
      <c r="N97" s="193"/>
    </row>
    <row r="98" spans="1:14" x14ac:dyDescent="0.25">
      <c r="A98" s="193"/>
      <c r="B98" s="198">
        <v>42331</v>
      </c>
      <c r="C98" s="193">
        <v>3700</v>
      </c>
      <c r="D98" s="194">
        <v>9.4499999999999993</v>
      </c>
      <c r="E98" s="194">
        <v>9.07</v>
      </c>
      <c r="F98" s="194">
        <f t="shared" si="5"/>
        <v>-1405.9999999999964</v>
      </c>
      <c r="G98" s="194">
        <f t="shared" si="6"/>
        <v>34965</v>
      </c>
      <c r="H98" s="208">
        <f t="shared" ref="H98:H107" si="8">(E98-D98)/D98</f>
        <v>-4.0211640211640108E-2</v>
      </c>
      <c r="I98" s="194"/>
      <c r="J98" s="194"/>
      <c r="K98" s="194"/>
      <c r="L98" s="193"/>
      <c r="M98" s="193"/>
      <c r="N98" s="193"/>
    </row>
    <row r="99" spans="1:14" x14ac:dyDescent="0.25">
      <c r="A99" s="193"/>
      <c r="B99" s="198">
        <v>42333</v>
      </c>
      <c r="C99" s="193">
        <v>3300</v>
      </c>
      <c r="D99" s="194">
        <v>9.4304000000000006</v>
      </c>
      <c r="E99" s="194">
        <v>9.41</v>
      </c>
      <c r="F99" s="194">
        <f t="shared" si="5"/>
        <v>-67.320000000001386</v>
      </c>
      <c r="G99" s="194">
        <f t="shared" si="6"/>
        <v>31120.320000000003</v>
      </c>
      <c r="H99" s="208">
        <f t="shared" si="8"/>
        <v>-2.1632168306753071E-3</v>
      </c>
      <c r="I99" s="194"/>
      <c r="J99" s="194"/>
      <c r="K99" s="194"/>
      <c r="L99" s="193"/>
      <c r="M99" s="193"/>
      <c r="N99" s="193"/>
    </row>
    <row r="100" spans="1:14" x14ac:dyDescent="0.25">
      <c r="A100" s="193"/>
      <c r="B100" s="198">
        <v>42339</v>
      </c>
      <c r="C100" s="193">
        <v>2800</v>
      </c>
      <c r="D100" s="194">
        <v>9.4145000000000003</v>
      </c>
      <c r="E100" s="194">
        <v>9.48</v>
      </c>
      <c r="F100" s="194">
        <f t="shared" si="5"/>
        <v>183.40000000000032</v>
      </c>
      <c r="G100" s="194">
        <f t="shared" si="6"/>
        <v>26360.600000000002</v>
      </c>
      <c r="H100" s="208">
        <f t="shared" si="8"/>
        <v>6.9573530192787838E-3</v>
      </c>
      <c r="I100" s="194"/>
      <c r="J100" s="194"/>
      <c r="K100" s="194"/>
      <c r="L100" s="193"/>
      <c r="M100" s="193"/>
      <c r="N100" s="193"/>
    </row>
    <row r="101" spans="1:14" x14ac:dyDescent="0.25">
      <c r="A101" s="193"/>
      <c r="B101" s="198">
        <v>42340</v>
      </c>
      <c r="C101" s="193">
        <v>3000</v>
      </c>
      <c r="D101" s="194">
        <v>9.41</v>
      </c>
      <c r="E101" s="194">
        <v>9.35</v>
      </c>
      <c r="F101" s="194">
        <f t="shared" si="5"/>
        <v>-180.00000000000148</v>
      </c>
      <c r="G101" s="194">
        <f t="shared" si="6"/>
        <v>28230</v>
      </c>
      <c r="H101" s="208">
        <f t="shared" si="8"/>
        <v>-6.3761955366631769E-3</v>
      </c>
      <c r="I101" s="194"/>
      <c r="J101" s="194"/>
      <c r="K101" s="194"/>
      <c r="L101" s="193"/>
      <c r="M101" s="193"/>
      <c r="N101" s="193"/>
    </row>
    <row r="102" spans="1:14" x14ac:dyDescent="0.25">
      <c r="A102" s="193"/>
      <c r="B102" s="198">
        <v>42342</v>
      </c>
      <c r="C102" s="193">
        <v>1500</v>
      </c>
      <c r="D102" s="194">
        <v>9.51</v>
      </c>
      <c r="E102" s="194">
        <v>9.34</v>
      </c>
      <c r="F102" s="194">
        <f t="shared" si="5"/>
        <v>-254.99999999999989</v>
      </c>
      <c r="G102" s="194">
        <f t="shared" si="6"/>
        <v>14265</v>
      </c>
      <c r="H102" s="208">
        <f t="shared" si="8"/>
        <v>-1.787592008412197E-2</v>
      </c>
      <c r="I102" s="194"/>
      <c r="J102" s="194"/>
      <c r="K102" s="194"/>
      <c r="L102" s="193"/>
      <c r="M102" s="193"/>
      <c r="N102" s="193"/>
    </row>
    <row r="103" spans="1:14" x14ac:dyDescent="0.25">
      <c r="A103" s="193"/>
      <c r="B103" s="198">
        <v>42342</v>
      </c>
      <c r="C103" s="193">
        <v>3000</v>
      </c>
      <c r="D103" s="194">
        <v>9.3933</v>
      </c>
      <c r="E103" s="194">
        <v>9.34</v>
      </c>
      <c r="F103" s="194">
        <f t="shared" si="5"/>
        <v>-159.90000000000038</v>
      </c>
      <c r="G103" s="194">
        <f t="shared" si="6"/>
        <v>28179.9</v>
      </c>
      <c r="H103" s="208">
        <f t="shared" si="8"/>
        <v>-5.6742571833115225E-3</v>
      </c>
      <c r="I103" s="194"/>
      <c r="J103" s="194"/>
      <c r="K103" s="194"/>
      <c r="L103" s="193"/>
      <c r="M103" s="193"/>
      <c r="N103" s="193"/>
    </row>
    <row r="104" spans="1:14" x14ac:dyDescent="0.25">
      <c r="A104" s="193"/>
      <c r="B104" s="198">
        <v>42345</v>
      </c>
      <c r="C104" s="193">
        <v>3100</v>
      </c>
      <c r="D104" s="194">
        <v>9.3789999999999996</v>
      </c>
      <c r="E104" s="194">
        <v>9.0399999999999991</v>
      </c>
      <c r="F104" s="194">
        <f t="shared" si="5"/>
        <v>-1050.9000000000012</v>
      </c>
      <c r="G104" s="194">
        <f t="shared" si="6"/>
        <v>29074.899999999998</v>
      </c>
      <c r="H104" s="208">
        <f t="shared" si="8"/>
        <v>-3.6144578313253059E-2</v>
      </c>
      <c r="I104" s="194"/>
      <c r="J104" s="194"/>
      <c r="K104" s="194"/>
      <c r="L104" s="193"/>
      <c r="M104" s="193"/>
      <c r="N104" s="193"/>
    </row>
    <row r="105" spans="1:14" x14ac:dyDescent="0.25">
      <c r="A105" s="193"/>
      <c r="B105" s="198">
        <v>42348</v>
      </c>
      <c r="C105" s="193">
        <v>3000</v>
      </c>
      <c r="D105" s="194">
        <v>9.3800000000000008</v>
      </c>
      <c r="E105" s="194">
        <v>9.17</v>
      </c>
      <c r="F105" s="194">
        <f t="shared" si="5"/>
        <v>-630.0000000000025</v>
      </c>
      <c r="G105" s="194">
        <f t="shared" si="6"/>
        <v>28140.000000000004</v>
      </c>
      <c r="H105" s="208">
        <f t="shared" si="8"/>
        <v>-2.2388059701492626E-2</v>
      </c>
      <c r="I105" s="194"/>
      <c r="J105" s="194"/>
      <c r="K105" s="194"/>
      <c r="L105" s="193"/>
      <c r="M105" s="193"/>
      <c r="N105" s="193"/>
    </row>
    <row r="106" spans="1:14" x14ac:dyDescent="0.25">
      <c r="A106" s="193"/>
      <c r="B106" s="198">
        <v>42349</v>
      </c>
      <c r="C106" s="193">
        <v>3000</v>
      </c>
      <c r="D106" s="194">
        <v>9.3659999999999997</v>
      </c>
      <c r="E106" s="194">
        <v>8.86</v>
      </c>
      <c r="F106" s="194">
        <f t="shared" si="5"/>
        <v>-1518.0000000000007</v>
      </c>
      <c r="G106" s="194">
        <f t="shared" si="6"/>
        <v>28098</v>
      </c>
      <c r="H106" s="208">
        <f t="shared" si="8"/>
        <v>-5.4025197522955398E-2</v>
      </c>
      <c r="I106" s="194"/>
      <c r="J106" s="194"/>
      <c r="K106" s="194"/>
      <c r="L106" s="193"/>
      <c r="M106" s="193"/>
      <c r="N106" s="193"/>
    </row>
    <row r="107" spans="1:14" x14ac:dyDescent="0.25">
      <c r="A107" s="193"/>
      <c r="B107" s="198">
        <v>42360</v>
      </c>
      <c r="C107" s="193">
        <v>1000</v>
      </c>
      <c r="D107" s="194">
        <v>9.1999999999999993</v>
      </c>
      <c r="E107" s="194">
        <v>9.56</v>
      </c>
      <c r="F107" s="194">
        <f t="shared" si="5"/>
        <v>360.00000000000119</v>
      </c>
      <c r="G107" s="194">
        <f t="shared" si="6"/>
        <v>9200</v>
      </c>
      <c r="H107" s="208">
        <f t="shared" si="8"/>
        <v>3.9130434782608831E-2</v>
      </c>
      <c r="I107" s="194"/>
      <c r="J107" s="194"/>
      <c r="K107" s="194"/>
      <c r="L107" s="193"/>
      <c r="M107" s="193"/>
      <c r="N107" s="193"/>
    </row>
    <row r="108" spans="1:14" x14ac:dyDescent="0.25">
      <c r="A108" s="193"/>
      <c r="B108" s="198">
        <v>42361</v>
      </c>
      <c r="C108" s="193">
        <v>0</v>
      </c>
      <c r="D108" s="194">
        <v>0</v>
      </c>
      <c r="E108" s="194">
        <v>10.19</v>
      </c>
      <c r="F108" s="194">
        <v>360</v>
      </c>
      <c r="G108" s="194"/>
      <c r="H108" s="208"/>
      <c r="I108" s="194"/>
      <c r="J108" s="194"/>
      <c r="K108" s="194"/>
      <c r="L108" s="193"/>
      <c r="M108" s="193"/>
      <c r="N108" s="193"/>
    </row>
    <row r="109" spans="1:14" x14ac:dyDescent="0.25">
      <c r="A109" s="193"/>
      <c r="B109" s="198">
        <v>42377</v>
      </c>
      <c r="C109" s="193">
        <v>400</v>
      </c>
      <c r="D109" s="194">
        <v>6.31</v>
      </c>
      <c r="E109" s="194">
        <v>8.07</v>
      </c>
      <c r="F109" s="194">
        <f t="shared" ref="F109:F114" si="9">C109*(E109-D109)</f>
        <v>704.00000000000023</v>
      </c>
      <c r="G109" s="194">
        <f t="shared" ref="G109:G114" si="10">D109*C109</f>
        <v>2524</v>
      </c>
      <c r="H109" s="208">
        <f t="shared" ref="H109:H114" si="11">(E109-D109)/D109</f>
        <v>0.27892234548335987</v>
      </c>
      <c r="I109" s="194"/>
      <c r="J109" s="194"/>
      <c r="K109" s="194"/>
      <c r="L109" s="193"/>
      <c r="M109" s="193"/>
      <c r="N109" s="193"/>
    </row>
    <row r="110" spans="1:14" x14ac:dyDescent="0.25">
      <c r="A110" s="193"/>
      <c r="B110" s="198">
        <v>42389</v>
      </c>
      <c r="C110" s="193">
        <v>500</v>
      </c>
      <c r="D110" s="194">
        <v>6.34</v>
      </c>
      <c r="E110" s="194">
        <v>6.74</v>
      </c>
      <c r="F110" s="194">
        <f t="shared" si="9"/>
        <v>200.00000000000017</v>
      </c>
      <c r="G110" s="194">
        <f t="shared" si="10"/>
        <v>3170</v>
      </c>
      <c r="H110" s="208">
        <f t="shared" si="11"/>
        <v>6.3091482649842323E-2</v>
      </c>
      <c r="I110" s="194"/>
      <c r="J110" s="194"/>
      <c r="K110" s="194"/>
      <c r="L110" s="193"/>
      <c r="M110" s="193"/>
      <c r="N110" s="193"/>
    </row>
    <row r="111" spans="1:14" x14ac:dyDescent="0.25">
      <c r="A111" s="193"/>
      <c r="B111" s="198">
        <v>42398</v>
      </c>
      <c r="C111" s="193">
        <v>400</v>
      </c>
      <c r="D111" s="194">
        <v>6.12</v>
      </c>
      <c r="E111" s="194">
        <v>7.14</v>
      </c>
      <c r="F111" s="194">
        <f t="shared" si="9"/>
        <v>407.99999999999983</v>
      </c>
      <c r="G111" s="194">
        <f t="shared" si="10"/>
        <v>2448</v>
      </c>
      <c r="H111" s="208">
        <f t="shared" si="11"/>
        <v>0.1666666666666666</v>
      </c>
      <c r="I111" s="194"/>
      <c r="J111" s="194"/>
      <c r="K111" s="194"/>
      <c r="L111" s="193"/>
      <c r="M111" s="193"/>
      <c r="N111" s="193"/>
    </row>
    <row r="112" spans="1:14" x14ac:dyDescent="0.25">
      <c r="A112" s="193"/>
      <c r="B112" s="198">
        <v>42402</v>
      </c>
      <c r="C112" s="193">
        <v>500</v>
      </c>
      <c r="D112" s="194">
        <v>6.2888999999999999</v>
      </c>
      <c r="E112" s="194">
        <v>6.97</v>
      </c>
      <c r="F112" s="194">
        <f t="shared" si="9"/>
        <v>340.5499999999999</v>
      </c>
      <c r="G112" s="194">
        <f t="shared" si="10"/>
        <v>3144.45</v>
      </c>
      <c r="H112" s="208">
        <f t="shared" si="11"/>
        <v>0.10830192879517878</v>
      </c>
      <c r="I112" s="194"/>
      <c r="J112" s="194"/>
      <c r="K112" s="194"/>
      <c r="L112" s="193"/>
      <c r="M112" s="193"/>
      <c r="N112" s="193"/>
    </row>
    <row r="113" spans="1:14" x14ac:dyDescent="0.25">
      <c r="A113" s="193"/>
      <c r="B113" s="198">
        <v>42403</v>
      </c>
      <c r="C113" s="193">
        <v>400</v>
      </c>
      <c r="D113" s="194">
        <v>6.01</v>
      </c>
      <c r="E113" s="194">
        <v>7.55</v>
      </c>
      <c r="F113" s="194">
        <f t="shared" si="9"/>
        <v>616</v>
      </c>
      <c r="G113" s="194">
        <f t="shared" si="10"/>
        <v>2404</v>
      </c>
      <c r="H113" s="208">
        <f t="shared" si="11"/>
        <v>0.2562396006655574</v>
      </c>
      <c r="I113" s="194"/>
      <c r="J113" s="194"/>
      <c r="K113" s="194"/>
      <c r="L113" s="193"/>
      <c r="M113" s="193"/>
      <c r="N113" s="291"/>
    </row>
    <row r="114" spans="1:14" x14ac:dyDescent="0.25">
      <c r="A114" s="193"/>
      <c r="B114" s="198">
        <v>42404</v>
      </c>
      <c r="C114" s="193">
        <v>300</v>
      </c>
      <c r="D114" s="194">
        <v>5.3349000000000002</v>
      </c>
      <c r="E114" s="194">
        <v>8.31</v>
      </c>
      <c r="F114" s="194">
        <f t="shared" si="9"/>
        <v>892.53000000000009</v>
      </c>
      <c r="G114" s="194">
        <f t="shared" si="10"/>
        <v>1600.47</v>
      </c>
      <c r="H114" s="208">
        <f t="shared" si="11"/>
        <v>0.55766743519091266</v>
      </c>
      <c r="I114" s="194"/>
      <c r="J114" s="194"/>
      <c r="K114" s="194"/>
      <c r="L114" s="193"/>
      <c r="M114" s="193"/>
      <c r="N114" s="291"/>
    </row>
    <row r="115" spans="1:14" x14ac:dyDescent="0.25">
      <c r="A115" s="193"/>
      <c r="B115" s="198">
        <v>42416</v>
      </c>
      <c r="C115" s="193">
        <v>0</v>
      </c>
      <c r="D115" s="194">
        <v>0</v>
      </c>
      <c r="E115" s="194">
        <v>0</v>
      </c>
      <c r="F115" s="194">
        <v>793.47</v>
      </c>
      <c r="G115" s="194"/>
      <c r="H115" s="208"/>
      <c r="I115" s="194"/>
      <c r="J115" s="194"/>
      <c r="K115" s="194"/>
      <c r="L115" s="193"/>
      <c r="M115" s="193"/>
      <c r="N115" s="291"/>
    </row>
    <row r="116" spans="1:14" x14ac:dyDescent="0.25">
      <c r="A116" s="291"/>
      <c r="B116" s="290"/>
      <c r="C116" s="291"/>
      <c r="D116" s="292"/>
      <c r="E116" s="292"/>
      <c r="F116" s="292"/>
      <c r="G116" s="292"/>
      <c r="H116" s="293"/>
      <c r="I116" s="292"/>
      <c r="J116" s="292"/>
      <c r="K116" s="292"/>
      <c r="L116" s="291"/>
      <c r="M116" s="291"/>
      <c r="N116" s="291"/>
    </row>
    <row r="117" spans="1:14" x14ac:dyDescent="0.25">
      <c r="A117" s="291"/>
      <c r="B117" s="290">
        <v>42545</v>
      </c>
      <c r="C117" s="291">
        <v>250</v>
      </c>
      <c r="D117" s="292">
        <v>9.36</v>
      </c>
      <c r="E117" s="292">
        <v>9.3800000000000008</v>
      </c>
      <c r="F117" s="292">
        <f t="shared" ref="F117:F127" si="12">C117*(E117-D117)</f>
        <v>5.0000000000003375</v>
      </c>
      <c r="G117" s="292">
        <f t="shared" ref="G117:G127" si="13">D117*C117</f>
        <v>2340</v>
      </c>
      <c r="H117" s="293">
        <f t="shared" ref="H117:H127" si="14">(E117-D117)/D117</f>
        <v>2.1367521367522809E-3</v>
      </c>
      <c r="I117" s="292"/>
      <c r="J117" s="292"/>
      <c r="K117" s="292"/>
      <c r="L117" s="291"/>
      <c r="M117" s="291"/>
      <c r="N117" s="291"/>
    </row>
    <row r="118" spans="1:14" x14ac:dyDescent="0.25">
      <c r="A118" s="291"/>
      <c r="B118" s="290">
        <v>42548</v>
      </c>
      <c r="C118" s="291">
        <v>250</v>
      </c>
      <c r="D118" s="292">
        <v>9.36</v>
      </c>
      <c r="E118" s="292">
        <v>9.1</v>
      </c>
      <c r="F118" s="292">
        <f t="shared" si="12"/>
        <v>-64.999999999999943</v>
      </c>
      <c r="G118" s="292">
        <f t="shared" si="13"/>
        <v>2340</v>
      </c>
      <c r="H118" s="293">
        <f t="shared" si="14"/>
        <v>-2.7777777777777755E-2</v>
      </c>
      <c r="I118" s="292"/>
      <c r="J118" s="292"/>
      <c r="K118" s="292"/>
      <c r="L118" s="291"/>
      <c r="M118" s="291"/>
      <c r="N118" s="291"/>
    </row>
    <row r="119" spans="1:14" x14ac:dyDescent="0.25">
      <c r="A119" s="291"/>
      <c r="B119" s="290">
        <v>42549</v>
      </c>
      <c r="C119" s="291">
        <v>250</v>
      </c>
      <c r="D119" s="292">
        <v>9.36</v>
      </c>
      <c r="E119" s="292">
        <v>9.33</v>
      </c>
      <c r="F119" s="292">
        <f t="shared" si="12"/>
        <v>-7.4999999999998401</v>
      </c>
      <c r="G119" s="292">
        <f t="shared" si="13"/>
        <v>2340</v>
      </c>
      <c r="H119" s="293">
        <f t="shared" si="14"/>
        <v>-3.2051282051281369E-3</v>
      </c>
      <c r="I119" s="292"/>
      <c r="J119" s="292"/>
      <c r="K119" s="292"/>
      <c r="L119" s="291"/>
      <c r="M119" s="291"/>
      <c r="N119" s="291"/>
    </row>
    <row r="120" spans="1:14" x14ac:dyDescent="0.25">
      <c r="A120" s="291"/>
      <c r="B120" s="290">
        <v>42550</v>
      </c>
      <c r="C120" s="291">
        <v>250</v>
      </c>
      <c r="D120" s="292">
        <v>9.36</v>
      </c>
      <c r="E120" s="292">
        <v>9.1</v>
      </c>
      <c r="F120" s="292">
        <f t="shared" si="12"/>
        <v>-64.999999999999943</v>
      </c>
      <c r="G120" s="292">
        <f t="shared" si="13"/>
        <v>2340</v>
      </c>
      <c r="H120" s="293">
        <f t="shared" si="14"/>
        <v>-2.7777777777777755E-2</v>
      </c>
      <c r="I120" s="292"/>
      <c r="J120" s="292"/>
      <c r="K120" s="292"/>
      <c r="L120" s="291"/>
      <c r="M120" s="291"/>
      <c r="N120" s="291"/>
    </row>
    <row r="121" spans="1:14" x14ac:dyDescent="0.25">
      <c r="A121" s="291"/>
      <c r="B121" s="290">
        <v>42552</v>
      </c>
      <c r="C121" s="291">
        <v>250</v>
      </c>
      <c r="D121" s="292">
        <v>9.36</v>
      </c>
      <c r="E121" s="292">
        <v>9.5500000000000007</v>
      </c>
      <c r="F121" s="292">
        <f t="shared" si="12"/>
        <v>47.50000000000032</v>
      </c>
      <c r="G121" s="292">
        <f t="shared" si="13"/>
        <v>2340</v>
      </c>
      <c r="H121" s="293">
        <f t="shared" si="14"/>
        <v>2.0299145299145439E-2</v>
      </c>
      <c r="I121" s="292"/>
      <c r="J121" s="292"/>
      <c r="K121" s="292"/>
      <c r="L121" s="291"/>
      <c r="M121" s="291"/>
      <c r="N121" s="291"/>
    </row>
    <row r="122" spans="1:14" x14ac:dyDescent="0.25">
      <c r="A122" s="291"/>
      <c r="B122" s="290">
        <v>42556</v>
      </c>
      <c r="C122" s="291">
        <v>250</v>
      </c>
      <c r="D122" s="292">
        <v>9.36</v>
      </c>
      <c r="E122" s="292">
        <v>9.26</v>
      </c>
      <c r="F122" s="292">
        <f t="shared" si="12"/>
        <v>-24.999999999999911</v>
      </c>
      <c r="G122" s="292">
        <f t="shared" si="13"/>
        <v>2340</v>
      </c>
      <c r="H122" s="293">
        <f t="shared" si="14"/>
        <v>-1.0683760683760646E-2</v>
      </c>
      <c r="I122" s="292"/>
      <c r="J122" s="292"/>
      <c r="K122" s="292"/>
      <c r="L122" s="291"/>
      <c r="M122" s="291"/>
      <c r="N122" s="291"/>
    </row>
    <row r="123" spans="1:14" x14ac:dyDescent="0.25">
      <c r="A123" s="291"/>
      <c r="B123" s="290">
        <v>42557</v>
      </c>
      <c r="C123" s="291">
        <v>250</v>
      </c>
      <c r="D123" s="292">
        <v>9.36</v>
      </c>
      <c r="E123" s="292">
        <v>9.19</v>
      </c>
      <c r="F123" s="292">
        <f t="shared" si="12"/>
        <v>-42.499999999999986</v>
      </c>
      <c r="G123" s="292">
        <f t="shared" si="13"/>
        <v>2340</v>
      </c>
      <c r="H123" s="293">
        <f t="shared" si="14"/>
        <v>-1.8162393162393157E-2</v>
      </c>
      <c r="I123" s="292"/>
      <c r="J123" s="292"/>
      <c r="K123" s="292"/>
      <c r="L123" s="291"/>
      <c r="M123" s="291"/>
      <c r="N123" s="291"/>
    </row>
    <row r="124" spans="1:14" x14ac:dyDescent="0.25">
      <c r="A124" s="291"/>
      <c r="B124" s="290">
        <v>42559</v>
      </c>
      <c r="C124" s="291">
        <v>250</v>
      </c>
      <c r="D124" s="292">
        <v>9.36</v>
      </c>
      <c r="E124" s="292">
        <v>9.82</v>
      </c>
      <c r="F124" s="292">
        <f t="shared" si="12"/>
        <v>115.00000000000021</v>
      </c>
      <c r="G124" s="292">
        <f t="shared" si="13"/>
        <v>2340</v>
      </c>
      <c r="H124" s="293">
        <f t="shared" si="14"/>
        <v>4.9145299145299241E-2</v>
      </c>
      <c r="I124" s="292"/>
      <c r="J124" s="292"/>
      <c r="K124" s="292"/>
      <c r="L124" s="291"/>
      <c r="M124" s="291"/>
      <c r="N124" s="291"/>
    </row>
    <row r="125" spans="1:14" x14ac:dyDescent="0.25">
      <c r="A125" s="291"/>
      <c r="B125" s="290">
        <v>42562</v>
      </c>
      <c r="C125" s="291">
        <v>250</v>
      </c>
      <c r="D125" s="292">
        <v>9.36</v>
      </c>
      <c r="E125" s="292">
        <v>10.14</v>
      </c>
      <c r="F125" s="292">
        <f t="shared" si="12"/>
        <v>195.00000000000028</v>
      </c>
      <c r="G125" s="292">
        <f t="shared" si="13"/>
        <v>2340</v>
      </c>
      <c r="H125" s="293">
        <f t="shared" si="14"/>
        <v>8.3333333333333454E-2</v>
      </c>
      <c r="I125" s="292" t="s">
        <v>223</v>
      </c>
      <c r="J125" s="292"/>
      <c r="K125" s="292"/>
      <c r="L125" s="291"/>
      <c r="M125" s="291"/>
      <c r="N125" s="291"/>
    </row>
    <row r="126" spans="1:14" x14ac:dyDescent="0.25">
      <c r="A126" s="291"/>
      <c r="B126" s="290">
        <v>42566</v>
      </c>
      <c r="C126" s="291">
        <v>250</v>
      </c>
      <c r="D126" s="292">
        <v>9.36</v>
      </c>
      <c r="E126" s="292">
        <v>10.92</v>
      </c>
      <c r="F126" s="292">
        <f t="shared" si="12"/>
        <v>390.00000000000011</v>
      </c>
      <c r="G126" s="292">
        <f t="shared" si="13"/>
        <v>2340</v>
      </c>
      <c r="H126" s="293">
        <f t="shared" si="14"/>
        <v>0.16666666666666674</v>
      </c>
      <c r="I126" s="369">
        <v>8.8000000000000007</v>
      </c>
      <c r="J126" s="292"/>
      <c r="K126" s="292"/>
      <c r="L126" s="291"/>
      <c r="M126" s="291"/>
      <c r="N126" s="291"/>
    </row>
    <row r="127" spans="1:14" x14ac:dyDescent="0.25">
      <c r="A127" s="291"/>
      <c r="B127" s="290">
        <v>42570</v>
      </c>
      <c r="C127" s="291">
        <v>250</v>
      </c>
      <c r="D127" s="292">
        <v>9.36</v>
      </c>
      <c r="E127" s="292">
        <v>10.63</v>
      </c>
      <c r="F127" s="292">
        <f t="shared" si="12"/>
        <v>317.50000000000034</v>
      </c>
      <c r="G127" s="292">
        <f t="shared" si="13"/>
        <v>2340</v>
      </c>
      <c r="H127" s="293">
        <f t="shared" si="14"/>
        <v>0.13568376068376084</v>
      </c>
      <c r="I127" s="292"/>
      <c r="J127" s="292"/>
      <c r="K127" s="292"/>
      <c r="L127" s="291"/>
      <c r="M127" s="291"/>
      <c r="N127" s="291"/>
    </row>
    <row r="128" spans="1:14" x14ac:dyDescent="0.25">
      <c r="A128" s="291"/>
      <c r="B128" s="290">
        <v>42577</v>
      </c>
      <c r="C128" s="291">
        <v>0</v>
      </c>
      <c r="D128" s="292"/>
      <c r="E128" s="292"/>
      <c r="F128" s="292">
        <v>311.95</v>
      </c>
      <c r="G128" s="292"/>
      <c r="H128" s="293"/>
      <c r="I128" s="292"/>
      <c r="J128" s="292"/>
      <c r="K128" s="292"/>
      <c r="L128" s="291"/>
      <c r="M128" s="291"/>
    </row>
    <row r="129" spans="1:13" x14ac:dyDescent="0.25">
      <c r="A129" s="291"/>
      <c r="B129" s="290"/>
      <c r="C129" s="291"/>
      <c r="D129" s="292"/>
      <c r="E129" s="292"/>
      <c r="F129" s="292"/>
      <c r="G129" s="292"/>
      <c r="H129" s="293"/>
      <c r="I129" s="292"/>
      <c r="J129" s="292"/>
      <c r="K129" s="292"/>
      <c r="L129" s="291"/>
      <c r="M129" s="291"/>
    </row>
    <row r="130" spans="1:13" x14ac:dyDescent="0.25">
      <c r="A130" s="291"/>
      <c r="B130" s="290"/>
      <c r="C130" s="291"/>
      <c r="D130" s="292"/>
      <c r="E130" s="292"/>
      <c r="F130" s="292"/>
      <c r="G130" s="292"/>
      <c r="H130" s="293"/>
      <c r="I130" s="292"/>
      <c r="J130" s="292"/>
      <c r="K130" s="292"/>
      <c r="L130" s="291"/>
      <c r="M130" s="291"/>
    </row>
  </sheetData>
  <mergeCells count="1">
    <mergeCell ref="P39:Q39"/>
  </mergeCells>
  <conditionalFormatting sqref="F22:F39 H22:H39">
    <cfRule type="expression" dxfId="3607" priority="66">
      <formula>F22&gt;0</formula>
    </cfRule>
    <cfRule type="expression" dxfId="3606" priority="67">
      <formula>F22&lt;0</formula>
    </cfRule>
  </conditionalFormatting>
  <conditionalFormatting sqref="P40:P60">
    <cfRule type="colorScale" priority="70">
      <colorScale>
        <cfvo type="min"/>
        <cfvo type="percentile" val="50"/>
        <cfvo type="max"/>
        <color rgb="FFF8696B"/>
        <color rgb="FFFFEB84"/>
        <color rgb="FF63BE7B"/>
      </colorScale>
    </cfRule>
  </conditionalFormatting>
  <conditionalFormatting sqref="Q40:Q60">
    <cfRule type="colorScale" priority="62">
      <colorScale>
        <cfvo type="min"/>
        <cfvo type="percentile" val="50"/>
        <cfvo type="max"/>
        <color rgb="FFF8696B"/>
        <color rgb="FFFFEB84"/>
        <color rgb="FF63BE7B"/>
      </colorScale>
    </cfRule>
  </conditionalFormatting>
  <conditionalFormatting sqref="R43:R60">
    <cfRule type="colorScale" priority="61">
      <colorScale>
        <cfvo type="min"/>
        <cfvo type="percentile" val="50"/>
        <cfvo type="max"/>
        <color rgb="FFF8696B"/>
        <color rgb="FFFFEB84"/>
        <color rgb="FF63BE7B"/>
      </colorScale>
    </cfRule>
  </conditionalFormatting>
  <conditionalFormatting sqref="AD1:AD69">
    <cfRule type="dataBar" priority="60">
      <dataBar>
        <cfvo type="min"/>
        <cfvo type="max"/>
        <color rgb="FFFF555A"/>
      </dataBar>
      <extLst>
        <ext xmlns:x14="http://schemas.microsoft.com/office/spreadsheetml/2009/9/main" uri="{B025F937-C7B1-47D3-B67F-A62EFF666E3E}">
          <x14:id>{809C0739-8BA5-4EF9-8009-58AC0D069894}</x14:id>
        </ext>
      </extLst>
    </cfRule>
  </conditionalFormatting>
  <conditionalFormatting sqref="AE1:AE69">
    <cfRule type="iconSet" priority="59">
      <iconSet iconSet="3Arrows">
        <cfvo type="percent" val="0"/>
        <cfvo type="num" val="0"/>
        <cfvo type="num" val="0"/>
      </iconSet>
    </cfRule>
  </conditionalFormatting>
  <conditionalFormatting sqref="F41">
    <cfRule type="expression" dxfId="3605" priority="53">
      <formula>F41&gt;0</formula>
    </cfRule>
    <cfRule type="expression" dxfId="3604" priority="54">
      <formula>F41&lt;0</formula>
    </cfRule>
  </conditionalFormatting>
  <conditionalFormatting sqref="F41">
    <cfRule type="expression" dxfId="3603" priority="57">
      <formula>F41&gt;0</formula>
    </cfRule>
    <cfRule type="expression" dxfId="3602" priority="58">
      <formula>F41&lt;0</formula>
    </cfRule>
  </conditionalFormatting>
  <conditionalFormatting sqref="H41">
    <cfRule type="expression" dxfId="3601" priority="35">
      <formula>H41&gt;0</formula>
    </cfRule>
    <cfRule type="expression" dxfId="3600" priority="36">
      <formula>H41&lt;0</formula>
    </cfRule>
  </conditionalFormatting>
  <conditionalFormatting sqref="F89:F95">
    <cfRule type="expression" dxfId="3599" priority="29">
      <formula>F89&gt;0</formula>
    </cfRule>
    <cfRule type="expression" dxfId="3598" priority="30">
      <formula>F89&lt;0</formula>
    </cfRule>
  </conditionalFormatting>
  <conditionalFormatting sqref="F96:F110">
    <cfRule type="expression" dxfId="3597" priority="25">
      <formula>F96&gt;0</formula>
    </cfRule>
    <cfRule type="expression" dxfId="3596" priority="26">
      <formula>F96&lt;0</formula>
    </cfRule>
  </conditionalFormatting>
  <conditionalFormatting sqref="F96:F110">
    <cfRule type="expression" dxfId="3595" priority="27">
      <formula>F96&gt;0</formula>
    </cfRule>
    <cfRule type="expression" dxfId="3594" priority="28">
      <formula>F96&lt;0</formula>
    </cfRule>
  </conditionalFormatting>
  <conditionalFormatting sqref="H89:H100">
    <cfRule type="expression" dxfId="3593" priority="23">
      <formula>H89&gt;0</formula>
    </cfRule>
    <cfRule type="expression" dxfId="3592" priority="24">
      <formula>H89&lt;0</formula>
    </cfRule>
  </conditionalFormatting>
  <conditionalFormatting sqref="H101">
    <cfRule type="expression" dxfId="3591" priority="21">
      <formula>H101&gt;0</formula>
    </cfRule>
    <cfRule type="expression" dxfId="3590" priority="22">
      <formula>H101&lt;0</formula>
    </cfRule>
  </conditionalFormatting>
  <conditionalFormatting sqref="F111:F116">
    <cfRule type="expression" dxfId="3589" priority="19">
      <formula>F111&gt;0</formula>
    </cfRule>
    <cfRule type="expression" dxfId="3588" priority="20">
      <formula>F111&lt;0</formula>
    </cfRule>
  </conditionalFormatting>
  <conditionalFormatting sqref="H103:H116">
    <cfRule type="expression" dxfId="3587" priority="17">
      <formula>H103&gt;0</formula>
    </cfRule>
    <cfRule type="expression" dxfId="3586" priority="18">
      <formula>H103&lt;0</formula>
    </cfRule>
  </conditionalFormatting>
  <conditionalFormatting sqref="H102">
    <cfRule type="expression" dxfId="3585" priority="15">
      <formula>H102&gt;0</formula>
    </cfRule>
    <cfRule type="expression" dxfId="3584" priority="16">
      <formula>H102&lt;0</formula>
    </cfRule>
  </conditionalFormatting>
  <conditionalFormatting sqref="M42">
    <cfRule type="expression" dxfId="3583" priority="13">
      <formula>M42&gt;0</formula>
    </cfRule>
    <cfRule type="expression" dxfId="3582" priority="14">
      <formula>M42&lt;0</formula>
    </cfRule>
  </conditionalFormatting>
  <conditionalFormatting sqref="Q7">
    <cfRule type="expression" dxfId="3581" priority="9">
      <formula>Q7&gt;0</formula>
    </cfRule>
    <cfRule type="expression" dxfId="3580" priority="10">
      <formula>Q7&lt;0</formula>
    </cfRule>
  </conditionalFormatting>
  <conditionalFormatting sqref="Q8">
    <cfRule type="expression" dxfId="3579" priority="7">
      <formula>Q8&gt;0</formula>
    </cfRule>
    <cfRule type="expression" dxfId="3578" priority="8">
      <formula>Q8&lt;0</formula>
    </cfRule>
  </conditionalFormatting>
  <conditionalFormatting sqref="F117:F130 H117:H130">
    <cfRule type="expression" dxfId="3577" priority="1">
      <formula>F117&gt;0</formula>
    </cfRule>
    <cfRule type="expression" dxfId="3576" priority="2">
      <formula>F117&lt;0</formula>
    </cfRule>
  </conditionalFormatting>
  <hyperlinks>
    <hyperlink ref="A3" location="ACTIVE!A1" display="Back"/>
    <hyperlink ref="A45" location="ACTIVE!A1" display="Back"/>
  </hyperlinks>
  <pageMargins left="0.7" right="0.7" top="0.75" bottom="0.75" header="0.3" footer="0.3"/>
  <pageSetup orientation="portrait" horizontalDpi="1200" verticalDpi="1200" r:id="rId1"/>
  <legacyDrawing r:id="rId2"/>
  <extLst>
    <ext xmlns:x14="http://schemas.microsoft.com/office/spreadsheetml/2009/9/main" uri="{78C0D931-6437-407d-A8EE-F0AAD7539E65}">
      <x14:conditionalFormattings>
        <x14:conditionalFormatting xmlns:xm="http://schemas.microsoft.com/office/excel/2006/main">
          <x14:cfRule type="dataBar" id="{809C0739-8BA5-4EF9-8009-58AC0D06989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666</v>
      </c>
      <c r="B2" s="69"/>
      <c r="C2" s="4"/>
      <c r="D2" s="3"/>
      <c r="E2" s="3"/>
      <c r="F2" s="3"/>
      <c r="G2" s="69"/>
      <c r="H2" s="4"/>
      <c r="I2" s="3"/>
      <c r="J2" s="3"/>
      <c r="K2" s="3"/>
      <c r="L2" s="69"/>
      <c r="M2" s="3"/>
      <c r="O2" s="11" t="s">
        <v>57</v>
      </c>
      <c r="Q2">
        <f>C18-H18</f>
        <v>0</v>
      </c>
      <c r="T2" s="1"/>
    </row>
    <row r="3" spans="1:21" x14ac:dyDescent="0.25">
      <c r="A3" s="22" t="s">
        <v>71</v>
      </c>
      <c r="B3" s="69"/>
      <c r="C3" s="4"/>
      <c r="D3" s="3"/>
      <c r="E3" s="3"/>
      <c r="F3" s="3"/>
      <c r="G3" s="69"/>
      <c r="H3" s="158"/>
      <c r="I3" s="3"/>
      <c r="J3" s="3"/>
      <c r="K3" s="3"/>
      <c r="L3" s="4"/>
      <c r="M3" s="4"/>
      <c r="O3" s="11" t="s">
        <v>58</v>
      </c>
      <c r="Q3" s="174">
        <f>IF(Q2=0, Q4, (F18-K18-M18)/Q2)</f>
        <v>277.44</v>
      </c>
      <c r="T3" s="1"/>
    </row>
    <row r="4" spans="1:21" x14ac:dyDescent="0.25">
      <c r="B4" s="69"/>
      <c r="C4" s="4"/>
      <c r="D4" s="3"/>
      <c r="E4" s="3"/>
      <c r="F4" s="3"/>
      <c r="G4" s="69"/>
      <c r="H4" s="158"/>
      <c r="I4" s="3"/>
      <c r="J4" s="3"/>
      <c r="K4" s="3"/>
      <c r="L4" s="4"/>
      <c r="M4" s="4"/>
      <c r="O4" s="11" t="s">
        <v>66</v>
      </c>
      <c r="Q4" s="53">
        <v>277.44</v>
      </c>
      <c r="R4" s="416">
        <v>1.3899999999999999E-2</v>
      </c>
      <c r="T4" s="153"/>
      <c r="U4" s="1"/>
    </row>
    <row r="5" spans="1:21" x14ac:dyDescent="0.25">
      <c r="B5" s="69"/>
      <c r="C5" s="4"/>
      <c r="D5" s="3"/>
      <c r="E5" s="3"/>
      <c r="F5" s="3"/>
      <c r="G5" s="4"/>
      <c r="H5" s="158"/>
      <c r="I5" s="3"/>
      <c r="J5" s="3"/>
      <c r="K5" s="3"/>
      <c r="L5" s="4"/>
      <c r="M5" s="4"/>
      <c r="O5" s="11" t="s">
        <v>67</v>
      </c>
      <c r="Q5" s="3">
        <f>Q4*Q2</f>
        <v>0</v>
      </c>
    </row>
    <row r="6" spans="1:21" x14ac:dyDescent="0.25">
      <c r="B6" s="69"/>
      <c r="C6" s="4"/>
      <c r="D6" s="3"/>
      <c r="E6" s="3"/>
      <c r="F6" s="3"/>
      <c r="G6" s="4"/>
      <c r="H6" s="158"/>
      <c r="I6" s="3"/>
      <c r="J6" s="3"/>
      <c r="K6" s="3"/>
      <c r="L6" s="4"/>
      <c r="M6" s="4"/>
      <c r="O6" s="11" t="s">
        <v>64</v>
      </c>
      <c r="Q6" s="2">
        <f>Q3*Q2</f>
        <v>0</v>
      </c>
    </row>
    <row r="7" spans="1:21" x14ac:dyDescent="0.25">
      <c r="B7" s="4"/>
      <c r="C7" s="4"/>
      <c r="D7" s="3"/>
      <c r="E7" s="3"/>
      <c r="F7" s="3"/>
      <c r="G7" s="4"/>
      <c r="H7" s="158"/>
      <c r="I7" s="3"/>
      <c r="J7" s="3"/>
      <c r="K7" s="3"/>
      <c r="L7" s="4"/>
      <c r="M7" s="4"/>
      <c r="O7" s="11" t="s">
        <v>175</v>
      </c>
      <c r="Q7" s="2">
        <f>Q10+Q8</f>
        <v>843.18000000000029</v>
      </c>
      <c r="R7">
        <v>0</v>
      </c>
    </row>
    <row r="8" spans="1:21" x14ac:dyDescent="0.25">
      <c r="B8" s="4"/>
      <c r="C8" s="4"/>
      <c r="D8" s="3"/>
      <c r="E8" s="3"/>
      <c r="F8" s="3"/>
      <c r="G8" s="4"/>
      <c r="H8" s="158"/>
      <c r="I8" s="3"/>
      <c r="J8" s="3"/>
      <c r="K8" s="3"/>
      <c r="L8" s="4"/>
      <c r="M8" s="4"/>
      <c r="O8" s="11" t="s">
        <v>177</v>
      </c>
      <c r="P8" s="33"/>
      <c r="Q8" s="2">
        <f>K18+M18-F18+Q2*Q4</f>
        <v>0</v>
      </c>
    </row>
    <row r="9" spans="1:21" x14ac:dyDescent="0.25">
      <c r="B9" s="4"/>
      <c r="C9" s="4"/>
      <c r="D9" s="3"/>
      <c r="E9" s="3"/>
      <c r="F9" s="3"/>
      <c r="G9" s="4"/>
      <c r="H9" s="158"/>
      <c r="I9" s="3"/>
      <c r="J9" s="3"/>
      <c r="K9" s="3"/>
      <c r="L9" s="4"/>
      <c r="M9" s="4"/>
      <c r="O9" s="11" t="s">
        <v>202</v>
      </c>
      <c r="Q9" s="131">
        <f>IF(Q2=0, 0, Q8/Q6)</f>
        <v>0</v>
      </c>
    </row>
    <row r="10" spans="1:21" x14ac:dyDescent="0.25">
      <c r="H10" s="67"/>
      <c r="O10" s="11" t="s">
        <v>201</v>
      </c>
      <c r="P10" s="33"/>
      <c r="Q10" s="2">
        <f>M66</f>
        <v>843.18000000000029</v>
      </c>
    </row>
    <row r="11" spans="1:21" x14ac:dyDescent="0.25">
      <c r="H11" s="67"/>
      <c r="O11" s="11" t="s">
        <v>173</v>
      </c>
      <c r="P11" s="33"/>
      <c r="Q11" s="131">
        <v>2.8E-3</v>
      </c>
    </row>
    <row r="12" spans="1:21" x14ac:dyDescent="0.25">
      <c r="H12" s="67"/>
    </row>
    <row r="13" spans="1:21" x14ac:dyDescent="0.25">
      <c r="H13" s="67"/>
    </row>
    <row r="14" spans="1:21" x14ac:dyDescent="0.25">
      <c r="H14" s="67"/>
    </row>
    <row r="15" spans="1:21" x14ac:dyDescent="0.25">
      <c r="H15" s="67"/>
    </row>
    <row r="16" spans="1:21" x14ac:dyDescent="0.25">
      <c r="H16" s="67"/>
    </row>
    <row r="18" spans="1:13" x14ac:dyDescent="0.25">
      <c r="A18" s="31" t="s">
        <v>81</v>
      </c>
      <c r="B18" s="14"/>
      <c r="C18" s="14">
        <f>SUM(C2:C6)</f>
        <v>0</v>
      </c>
      <c r="D18" s="18"/>
      <c r="E18" s="18"/>
      <c r="F18" s="18">
        <f>SUM(F2:F6)</f>
        <v>0</v>
      </c>
      <c r="G18" s="14"/>
      <c r="H18" s="68">
        <f>SUM(H2:H5)</f>
        <v>0</v>
      </c>
      <c r="I18" s="18"/>
      <c r="J18" s="18"/>
      <c r="K18" s="18">
        <f>SUM(K2:K5)</f>
        <v>0</v>
      </c>
      <c r="L18" s="14"/>
      <c r="M18" s="18">
        <f>SUM(M2:M10)</f>
        <v>0</v>
      </c>
    </row>
    <row r="19" spans="1:13" ht="15.75" thickBot="1" x14ac:dyDescent="0.3">
      <c r="A19" s="273" t="s">
        <v>189</v>
      </c>
      <c r="B19" s="274"/>
      <c r="C19" s="275">
        <f>SumByColor($A$19,C2:C17)</f>
        <v>0</v>
      </c>
      <c r="D19" s="275"/>
      <c r="E19" s="275"/>
      <c r="F19" s="276">
        <f>SumByColor($A$19,F2:F17)</f>
        <v>0</v>
      </c>
      <c r="G19" s="275"/>
      <c r="H19" s="275">
        <f>SumByColor($A$19,H2:H17)</f>
        <v>0</v>
      </c>
      <c r="I19" s="275"/>
      <c r="J19" s="275"/>
      <c r="K19" s="276">
        <f>SumByColor($A$19,K3:K17)</f>
        <v>0</v>
      </c>
      <c r="L19" s="275"/>
      <c r="M19" s="276">
        <f>SumByColor($A$19,M2:M17)</f>
        <v>0</v>
      </c>
    </row>
    <row r="24" spans="1:13" x14ac:dyDescent="0.25">
      <c r="B24" s="159" t="s">
        <v>113</v>
      </c>
      <c r="C24" s="159" t="s">
        <v>143</v>
      </c>
      <c r="D24" s="160" t="s">
        <v>142</v>
      </c>
      <c r="E24" s="162" t="s">
        <v>144</v>
      </c>
      <c r="F24" s="162" t="s">
        <v>65</v>
      </c>
      <c r="G24" s="173" t="s">
        <v>148</v>
      </c>
      <c r="H24" s="173" t="s">
        <v>88</v>
      </c>
      <c r="I24" s="173" t="s">
        <v>151</v>
      </c>
      <c r="J24" s="173" t="s">
        <v>147</v>
      </c>
      <c r="K24" s="173" t="s">
        <v>601</v>
      </c>
      <c r="L24" s="173" t="s">
        <v>607</v>
      </c>
    </row>
    <row r="25" spans="1:13" x14ac:dyDescent="0.25">
      <c r="B25" s="161">
        <v>42998</v>
      </c>
      <c r="C25" s="10">
        <v>30</v>
      </c>
      <c r="D25" s="39">
        <v>149.16999999999999</v>
      </c>
      <c r="E25" s="39">
        <v>149.96</v>
      </c>
      <c r="F25" s="39">
        <f>C25*(E25-D25)</f>
        <v>23.700000000000614</v>
      </c>
      <c r="G25" s="39">
        <f>D25*C25</f>
        <v>4475.0999999999995</v>
      </c>
      <c r="H25" s="175">
        <f>(E25-D25)/D25</f>
        <v>5.2959710397534393E-3</v>
      </c>
      <c r="I25" s="39"/>
      <c r="J25" s="39"/>
      <c r="K25" s="39"/>
      <c r="L25" s="39"/>
    </row>
    <row r="26" spans="1:13" x14ac:dyDescent="0.25">
      <c r="B26" s="161">
        <v>43031</v>
      </c>
      <c r="C26" s="10">
        <v>30</v>
      </c>
      <c r="D26" s="39">
        <v>149.16999999999999</v>
      </c>
      <c r="E26" s="39">
        <v>172.16</v>
      </c>
      <c r="F26" s="39">
        <f>C26*(E26-D26)</f>
        <v>689.70000000000027</v>
      </c>
      <c r="G26" s="39">
        <f>D26*C26</f>
        <v>4475.0999999999995</v>
      </c>
      <c r="H26" s="175">
        <f>(E26-D26)/D26</f>
        <v>0.15411946101763097</v>
      </c>
      <c r="I26" s="39"/>
      <c r="J26" s="39"/>
      <c r="K26" s="39"/>
      <c r="L26" s="39"/>
    </row>
    <row r="27" spans="1:13" x14ac:dyDescent="0.25">
      <c r="B27" s="161">
        <v>43035</v>
      </c>
      <c r="C27" s="10">
        <v>0</v>
      </c>
      <c r="D27" s="39"/>
      <c r="E27" s="39"/>
      <c r="F27" s="39">
        <v>843.18</v>
      </c>
      <c r="G27" s="39"/>
      <c r="H27" s="175"/>
      <c r="I27" s="39"/>
      <c r="J27" s="39"/>
      <c r="K27" s="39"/>
      <c r="L27" s="152"/>
    </row>
    <row r="28" spans="1:13" x14ac:dyDescent="0.25">
      <c r="B28" s="161"/>
      <c r="C28" s="10"/>
      <c r="D28" s="39"/>
      <c r="E28" s="39"/>
      <c r="F28" s="39"/>
      <c r="G28" s="39"/>
      <c r="H28" s="175"/>
      <c r="I28" s="39"/>
      <c r="J28" s="39"/>
      <c r="K28" s="39"/>
      <c r="L28" s="152"/>
    </row>
    <row r="29" spans="1:13" x14ac:dyDescent="0.25">
      <c r="B29" s="161"/>
      <c r="C29" s="10"/>
      <c r="D29" s="39"/>
      <c r="E29" s="39"/>
      <c r="F29" s="39"/>
      <c r="G29" s="39"/>
      <c r="H29" s="175"/>
      <c r="I29" s="39"/>
      <c r="J29" s="39"/>
      <c r="K29" s="39"/>
      <c r="L29" s="152"/>
    </row>
    <row r="30" spans="1:13" x14ac:dyDescent="0.25">
      <c r="B30" s="161"/>
      <c r="C30" s="10"/>
      <c r="D30" s="39"/>
      <c r="E30" s="39"/>
      <c r="F30" s="39"/>
      <c r="G30" s="39"/>
      <c r="H30" s="175"/>
      <c r="I30" s="39"/>
      <c r="J30" s="39"/>
      <c r="K30" s="39"/>
      <c r="L30" s="152"/>
    </row>
    <row r="31" spans="1:13" x14ac:dyDescent="0.25">
      <c r="B31" s="161"/>
      <c r="C31" s="10"/>
      <c r="D31" s="39"/>
      <c r="E31" s="39"/>
      <c r="F31" s="39"/>
      <c r="G31" s="39"/>
      <c r="H31" s="175"/>
      <c r="I31" s="39"/>
      <c r="J31" s="39"/>
      <c r="K31" s="39"/>
      <c r="L31" s="152"/>
    </row>
    <row r="32" spans="1:13" x14ac:dyDescent="0.25">
      <c r="B32" s="161"/>
      <c r="C32" s="10"/>
      <c r="D32" s="39"/>
      <c r="E32" s="39"/>
      <c r="F32" s="39"/>
      <c r="G32" s="39"/>
      <c r="H32" s="175"/>
      <c r="I32" s="39"/>
      <c r="J32" s="39"/>
      <c r="K32" s="39"/>
      <c r="L32" s="152"/>
    </row>
    <row r="33" spans="1:17" x14ac:dyDescent="0.25">
      <c r="A33" s="29"/>
      <c r="B33" s="161"/>
      <c r="C33" s="10"/>
      <c r="D33" s="39"/>
      <c r="E33" s="39"/>
      <c r="F33" s="39"/>
      <c r="G33" s="39"/>
      <c r="H33" s="175"/>
      <c r="I33" s="39"/>
      <c r="J33" s="39"/>
      <c r="K33" s="39"/>
      <c r="L33" s="152"/>
    </row>
    <row r="34" spans="1:17" x14ac:dyDescent="0.25">
      <c r="B34" s="161"/>
      <c r="C34" s="10"/>
      <c r="D34" s="39"/>
      <c r="E34" s="39"/>
      <c r="F34" s="39"/>
      <c r="G34" s="39"/>
      <c r="H34" s="175"/>
      <c r="I34" s="39"/>
      <c r="J34" s="39"/>
      <c r="K34" s="39"/>
      <c r="L34" s="152"/>
    </row>
    <row r="35" spans="1:17" x14ac:dyDescent="0.25">
      <c r="B35" s="161"/>
      <c r="C35" s="10"/>
      <c r="D35" s="39"/>
      <c r="E35" s="39"/>
      <c r="F35" s="39"/>
      <c r="G35" s="39"/>
      <c r="H35" s="175"/>
      <c r="I35" s="39"/>
      <c r="J35" s="39"/>
      <c r="K35" s="39"/>
      <c r="L35" s="152"/>
    </row>
    <row r="36" spans="1:17" x14ac:dyDescent="0.25">
      <c r="B36" s="161"/>
      <c r="C36" s="10"/>
      <c r="D36" s="39"/>
      <c r="E36" s="39"/>
      <c r="F36" s="39"/>
      <c r="G36" s="39"/>
      <c r="H36" s="175"/>
      <c r="I36" s="39"/>
      <c r="J36" s="39"/>
      <c r="K36" s="39"/>
      <c r="L36" s="39"/>
    </row>
    <row r="37" spans="1:17" x14ac:dyDescent="0.25">
      <c r="B37" s="161"/>
      <c r="C37" s="10"/>
      <c r="D37" s="39"/>
      <c r="E37" s="39"/>
      <c r="F37" s="39"/>
      <c r="G37" s="39"/>
      <c r="H37" s="175"/>
      <c r="I37" s="39"/>
      <c r="J37" s="39"/>
      <c r="K37" s="39"/>
      <c r="L37" s="39"/>
    </row>
    <row r="38" spans="1:17" x14ac:dyDescent="0.25">
      <c r="B38" s="161"/>
      <c r="C38" s="10"/>
      <c r="D38" s="39"/>
      <c r="E38" s="39"/>
      <c r="F38" s="39"/>
      <c r="G38" s="39"/>
      <c r="H38" s="175"/>
      <c r="I38" s="39"/>
      <c r="J38" s="39"/>
      <c r="K38" s="39"/>
      <c r="L38" s="39"/>
    </row>
    <row r="39" spans="1:17" x14ac:dyDescent="0.25">
      <c r="B39" s="161"/>
      <c r="C39" s="10"/>
      <c r="D39" s="39"/>
      <c r="E39" s="39"/>
      <c r="F39" s="39"/>
      <c r="G39" s="39"/>
      <c r="H39" s="175"/>
      <c r="I39" s="39"/>
      <c r="J39" s="39"/>
      <c r="K39" s="39"/>
      <c r="L39" s="39"/>
    </row>
    <row r="40" spans="1:17" ht="20.25" thickBot="1" x14ac:dyDescent="0.35">
      <c r="B40" s="161"/>
      <c r="C40" s="10"/>
      <c r="D40" s="39"/>
      <c r="E40" s="39"/>
      <c r="F40" s="39"/>
      <c r="G40" s="39"/>
      <c r="H40" s="175"/>
      <c r="I40" s="39"/>
      <c r="J40" s="39"/>
      <c r="K40" s="39"/>
      <c r="L40" s="39"/>
      <c r="O40" s="886" t="s">
        <v>78</v>
      </c>
      <c r="P40" s="886"/>
    </row>
    <row r="41" spans="1:17" ht="15.75" thickTop="1" x14ac:dyDescent="0.25">
      <c r="B41" s="161"/>
      <c r="C41" s="10"/>
      <c r="D41" s="39"/>
      <c r="E41" s="39"/>
      <c r="F41" s="39"/>
      <c r="G41" s="39"/>
      <c r="H41" s="175"/>
      <c r="I41" s="39"/>
      <c r="J41" s="39"/>
      <c r="K41" s="39"/>
      <c r="L41" s="39"/>
      <c r="O41" s="78">
        <v>1.1000000000000001</v>
      </c>
      <c r="P41" s="78">
        <f>O41*$Q$4</f>
        <v>305.18400000000003</v>
      </c>
      <c r="Q41" s="2"/>
    </row>
    <row r="42" spans="1:17" x14ac:dyDescent="0.25">
      <c r="B42" s="161"/>
      <c r="C42" s="10"/>
      <c r="D42" s="39"/>
      <c r="E42" s="39"/>
      <c r="F42" s="39"/>
      <c r="G42" s="39"/>
      <c r="H42" s="175"/>
      <c r="I42" s="39"/>
      <c r="J42" s="39"/>
      <c r="K42" s="39"/>
      <c r="L42" s="39"/>
      <c r="O42" s="78">
        <v>1.0900000000000001</v>
      </c>
      <c r="P42" s="78">
        <f t="shared" ref="P42:P61" si="0">O42*$Q$4</f>
        <v>302.40960000000001</v>
      </c>
      <c r="Q42" s="2"/>
    </row>
    <row r="43" spans="1:17" x14ac:dyDescent="0.25">
      <c r="B43" s="161"/>
      <c r="C43" s="10"/>
      <c r="D43" s="39"/>
      <c r="E43" s="39"/>
      <c r="F43" s="39"/>
      <c r="G43" s="39"/>
      <c r="H43" s="175"/>
      <c r="I43" s="39"/>
      <c r="J43" s="39"/>
      <c r="K43" s="39"/>
      <c r="L43" s="39"/>
      <c r="O43" s="78">
        <v>1.08</v>
      </c>
      <c r="P43" s="78">
        <f t="shared" si="0"/>
        <v>299.6352</v>
      </c>
      <c r="Q43" s="2"/>
    </row>
    <row r="44" spans="1:17" x14ac:dyDescent="0.25">
      <c r="B44" s="161"/>
      <c r="C44" s="10"/>
      <c r="D44" s="39"/>
      <c r="E44" s="39"/>
      <c r="F44" s="39"/>
      <c r="G44" s="39"/>
      <c r="H44" s="175"/>
      <c r="I44" s="39"/>
      <c r="J44" s="39"/>
      <c r="K44" s="39"/>
      <c r="L44" s="39"/>
      <c r="O44" s="78">
        <v>1.07</v>
      </c>
      <c r="P44" s="78">
        <f t="shared" si="0"/>
        <v>296.86080000000004</v>
      </c>
      <c r="Q44" s="2"/>
    </row>
    <row r="45" spans="1:17" x14ac:dyDescent="0.25">
      <c r="B45" s="161"/>
      <c r="C45" s="10"/>
      <c r="D45" s="39"/>
      <c r="E45" s="39"/>
      <c r="F45" s="39"/>
      <c r="G45" s="39"/>
      <c r="H45" s="175"/>
      <c r="I45" s="39"/>
      <c r="J45" s="39"/>
      <c r="K45" s="39"/>
      <c r="L45" s="39"/>
      <c r="O45" s="78">
        <v>1.06</v>
      </c>
      <c r="P45" s="78">
        <f t="shared" si="0"/>
        <v>294.08640000000003</v>
      </c>
      <c r="Q45" s="2"/>
    </row>
    <row r="46" spans="1:17" x14ac:dyDescent="0.25">
      <c r="B46" s="161"/>
      <c r="C46" s="10"/>
      <c r="D46" s="39"/>
      <c r="E46" s="39"/>
      <c r="F46" s="39"/>
      <c r="G46" s="39"/>
      <c r="H46" s="175"/>
      <c r="I46" s="39"/>
      <c r="J46" s="39"/>
      <c r="K46" s="39"/>
      <c r="L46" s="39"/>
      <c r="O46" s="78">
        <v>1.05</v>
      </c>
      <c r="P46" s="78">
        <f t="shared" si="0"/>
        <v>291.31200000000001</v>
      </c>
      <c r="Q46" s="2"/>
    </row>
    <row r="47" spans="1:17" x14ac:dyDescent="0.25">
      <c r="B47" s="69"/>
      <c r="C47" s="4"/>
      <c r="D47" s="3"/>
      <c r="E47" s="3"/>
      <c r="F47" s="3"/>
      <c r="G47" s="3"/>
      <c r="H47" s="212"/>
      <c r="I47" s="210"/>
      <c r="O47" s="78">
        <v>1.04</v>
      </c>
      <c r="P47" s="78">
        <f t="shared" si="0"/>
        <v>288.5376</v>
      </c>
      <c r="Q47" s="2"/>
    </row>
    <row r="48" spans="1:17" x14ac:dyDescent="0.25">
      <c r="B48" s="69"/>
      <c r="C48" s="4"/>
      <c r="D48" s="3"/>
      <c r="E48" s="3"/>
      <c r="F48" s="3"/>
      <c r="G48" s="3"/>
      <c r="H48" s="212"/>
      <c r="I48" s="3"/>
      <c r="O48" s="78">
        <v>1.03</v>
      </c>
      <c r="P48" s="78">
        <f t="shared" si="0"/>
        <v>285.76319999999998</v>
      </c>
      <c r="Q48" s="2"/>
    </row>
    <row r="49" spans="1:17" x14ac:dyDescent="0.25">
      <c r="B49" s="69"/>
      <c r="C49" s="4"/>
      <c r="D49" s="3"/>
      <c r="E49" s="3"/>
      <c r="F49" s="3"/>
      <c r="G49" s="3"/>
      <c r="H49" s="212"/>
      <c r="I49" s="3"/>
      <c r="O49" s="78">
        <v>1.02</v>
      </c>
      <c r="P49" s="78">
        <f t="shared" si="0"/>
        <v>282.98880000000003</v>
      </c>
      <c r="Q49" s="2"/>
    </row>
    <row r="50" spans="1:17" x14ac:dyDescent="0.25">
      <c r="B50" s="69"/>
      <c r="C50" s="4"/>
      <c r="D50" s="3"/>
      <c r="E50" s="3"/>
      <c r="F50" s="3"/>
      <c r="G50" s="3"/>
      <c r="H50" s="212"/>
      <c r="I50" s="3"/>
      <c r="O50" s="78">
        <v>1.01</v>
      </c>
      <c r="P50" s="78">
        <f t="shared" si="0"/>
        <v>280.21440000000001</v>
      </c>
      <c r="Q50" s="2"/>
    </row>
    <row r="51" spans="1:17" x14ac:dyDescent="0.25">
      <c r="B51" s="69"/>
      <c r="C51" s="4"/>
      <c r="D51" s="3"/>
      <c r="E51" s="3"/>
      <c r="F51" s="3"/>
      <c r="G51" s="3"/>
      <c r="H51" s="212"/>
      <c r="I51" s="3"/>
      <c r="O51" s="78">
        <v>1</v>
      </c>
      <c r="P51" s="78">
        <f t="shared" si="0"/>
        <v>277.44</v>
      </c>
      <c r="Q51" s="2"/>
    </row>
    <row r="52" spans="1:17" x14ac:dyDescent="0.25">
      <c r="B52" s="69"/>
      <c r="C52" s="4"/>
      <c r="D52" s="3"/>
      <c r="E52" s="3"/>
      <c r="F52" s="3"/>
      <c r="G52" s="3"/>
      <c r="H52" s="212"/>
      <c r="I52" s="3"/>
      <c r="O52" s="78">
        <v>0.99</v>
      </c>
      <c r="P52" s="78">
        <f t="shared" si="0"/>
        <v>274.66559999999998</v>
      </c>
      <c r="Q52" s="2"/>
    </row>
    <row r="53" spans="1:17" x14ac:dyDescent="0.25">
      <c r="B53" s="69"/>
      <c r="C53" s="4"/>
      <c r="D53" s="3"/>
      <c r="E53" s="3"/>
      <c r="F53" s="3"/>
      <c r="G53" s="3"/>
      <c r="H53" s="212"/>
      <c r="I53" s="3"/>
      <c r="O53" s="78">
        <v>0.98</v>
      </c>
      <c r="P53" s="78">
        <f t="shared" si="0"/>
        <v>271.89119999999997</v>
      </c>
      <c r="Q53" s="2"/>
    </row>
    <row r="54" spans="1:17" x14ac:dyDescent="0.25">
      <c r="A54" s="4"/>
      <c r="B54" s="69"/>
      <c r="C54" s="4"/>
      <c r="D54" s="3"/>
      <c r="E54" s="3"/>
      <c r="F54" s="3"/>
      <c r="G54" s="3"/>
      <c r="H54" s="212"/>
      <c r="I54" s="3"/>
      <c r="J54" s="3"/>
      <c r="K54" s="3"/>
      <c r="L54" s="4"/>
      <c r="O54" s="78">
        <v>0.97</v>
      </c>
      <c r="P54" s="78">
        <f t="shared" si="0"/>
        <v>269.11680000000001</v>
      </c>
    </row>
    <row r="55" spans="1:17" x14ac:dyDescent="0.25">
      <c r="A55" s="4"/>
      <c r="B55" s="69"/>
      <c r="C55" s="4"/>
      <c r="D55" s="3"/>
      <c r="E55" s="3"/>
      <c r="F55" s="3"/>
      <c r="G55" s="3"/>
      <c r="H55" s="212"/>
      <c r="I55" s="3"/>
      <c r="J55" s="3"/>
      <c r="K55" s="3"/>
      <c r="L55" s="4"/>
      <c r="O55" s="78">
        <v>0.96</v>
      </c>
      <c r="P55" s="78">
        <f t="shared" si="0"/>
        <v>266.3424</v>
      </c>
    </row>
    <row r="56" spans="1:17" x14ac:dyDescent="0.25">
      <c r="A56" s="4"/>
      <c r="B56" s="69"/>
      <c r="C56" s="4"/>
      <c r="D56" s="3"/>
      <c r="E56" s="3"/>
      <c r="F56" s="3"/>
      <c r="G56" s="3"/>
      <c r="H56" s="212"/>
      <c r="I56" s="3"/>
      <c r="J56" s="3"/>
      <c r="K56" s="3"/>
      <c r="L56" s="4"/>
      <c r="O56" s="78">
        <v>0.95</v>
      </c>
      <c r="P56" s="78">
        <f t="shared" si="0"/>
        <v>263.56799999999998</v>
      </c>
    </row>
    <row r="57" spans="1:17" x14ac:dyDescent="0.25">
      <c r="A57" s="4"/>
      <c r="B57" s="69"/>
      <c r="C57" s="4"/>
      <c r="D57" s="3"/>
      <c r="E57" s="3"/>
      <c r="F57" s="3"/>
      <c r="G57" s="3"/>
      <c r="H57" s="212"/>
      <c r="I57" s="3"/>
      <c r="J57" s="3"/>
      <c r="K57" s="3"/>
      <c r="L57" s="4"/>
      <c r="O57" s="78">
        <v>0.94</v>
      </c>
      <c r="P57" s="78">
        <f t="shared" si="0"/>
        <v>260.79359999999997</v>
      </c>
    </row>
    <row r="58" spans="1:17" x14ac:dyDescent="0.25">
      <c r="A58" s="4"/>
      <c r="B58" s="69"/>
      <c r="C58" s="4"/>
      <c r="D58" s="3"/>
      <c r="E58" s="3"/>
      <c r="F58" s="3"/>
      <c r="G58" s="3"/>
      <c r="H58" s="212"/>
      <c r="I58" s="3"/>
      <c r="J58" s="3"/>
      <c r="K58" s="3"/>
      <c r="L58" s="4"/>
      <c r="O58" s="78">
        <v>0.93</v>
      </c>
      <c r="P58" s="78">
        <f t="shared" si="0"/>
        <v>258.01920000000001</v>
      </c>
    </row>
    <row r="59" spans="1:17" x14ac:dyDescent="0.25">
      <c r="A59" s="4"/>
      <c r="B59" s="69"/>
      <c r="C59" s="4"/>
      <c r="D59" s="3"/>
      <c r="E59" s="3"/>
      <c r="F59" s="3"/>
      <c r="G59" s="3"/>
      <c r="H59" s="212"/>
      <c r="I59" s="3"/>
      <c r="J59" s="3"/>
      <c r="K59" s="3"/>
      <c r="L59" s="4"/>
      <c r="O59" s="78">
        <v>0.92</v>
      </c>
      <c r="P59" s="78">
        <f t="shared" si="0"/>
        <v>255.2448</v>
      </c>
    </row>
    <row r="60" spans="1:17" x14ac:dyDescent="0.25">
      <c r="A60" s="4"/>
      <c r="B60" s="69"/>
      <c r="C60" s="4"/>
      <c r="D60" s="3"/>
      <c r="E60" s="3"/>
      <c r="F60" s="3"/>
      <c r="G60" s="3"/>
      <c r="H60" s="212"/>
      <c r="I60" s="3"/>
      <c r="J60" s="3"/>
      <c r="K60" s="3"/>
      <c r="L60" s="4"/>
      <c r="O60" s="78">
        <v>0.91</v>
      </c>
      <c r="P60" s="78">
        <f t="shared" si="0"/>
        <v>252.47040000000001</v>
      </c>
    </row>
    <row r="61" spans="1:17" x14ac:dyDescent="0.25">
      <c r="A61" s="4"/>
      <c r="B61" s="69"/>
      <c r="C61" s="4"/>
      <c r="D61" s="3"/>
      <c r="E61" s="3"/>
      <c r="F61" s="3"/>
      <c r="G61" s="3"/>
      <c r="H61" s="212"/>
      <c r="I61" s="3"/>
      <c r="J61" s="3"/>
      <c r="K61" s="3"/>
      <c r="L61" s="4"/>
      <c r="O61" s="78">
        <v>0.9</v>
      </c>
      <c r="P61" s="78">
        <f t="shared" si="0"/>
        <v>249.696</v>
      </c>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t="s">
        <v>65</v>
      </c>
      <c r="M66" s="2">
        <f>M84+K84-F84</f>
        <v>843.18000000000029</v>
      </c>
    </row>
    <row r="67" spans="1:13"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row>
    <row r="68" spans="1:13" x14ac:dyDescent="0.25">
      <c r="A68" s="433"/>
      <c r="B68" s="69">
        <v>42998</v>
      </c>
      <c r="C68" s="4">
        <v>30</v>
      </c>
      <c r="D68" s="3">
        <v>149.16999999999999</v>
      </c>
      <c r="E68" s="3">
        <v>0</v>
      </c>
      <c r="F68" s="3">
        <f>C68*D68+E68</f>
        <v>4475.0999999999995</v>
      </c>
      <c r="G68" s="69">
        <v>43035</v>
      </c>
      <c r="H68" s="4">
        <v>30</v>
      </c>
      <c r="I68" s="3">
        <v>177.28</v>
      </c>
      <c r="J68" s="3">
        <v>0.12</v>
      </c>
      <c r="K68" s="3">
        <f>H68*I68-J68</f>
        <v>5318.28</v>
      </c>
      <c r="L68" s="69"/>
      <c r="M68" s="3"/>
    </row>
    <row r="69" spans="1:13" x14ac:dyDescent="0.25">
      <c r="A69" s="435"/>
      <c r="B69" s="417"/>
      <c r="C69" s="418"/>
      <c r="D69" s="420"/>
      <c r="E69" s="420"/>
      <c r="F69" s="420"/>
      <c r="G69" s="417"/>
      <c r="H69" s="434"/>
      <c r="I69" s="420"/>
      <c r="J69" s="420"/>
      <c r="K69" s="420"/>
      <c r="L69" s="418"/>
      <c r="M69" s="418"/>
    </row>
    <row r="70" spans="1:13" x14ac:dyDescent="0.25">
      <c r="A70" s="418"/>
      <c r="B70" s="417"/>
      <c r="C70" s="418"/>
      <c r="D70" s="420"/>
      <c r="E70" s="420"/>
      <c r="F70" s="420"/>
      <c r="G70" s="417"/>
      <c r="H70" s="434"/>
      <c r="I70" s="420"/>
      <c r="J70" s="420"/>
      <c r="K70" s="420"/>
      <c r="L70" s="418"/>
      <c r="M70" s="418"/>
    </row>
    <row r="71" spans="1:13" x14ac:dyDescent="0.25">
      <c r="A71" s="418"/>
      <c r="B71" s="417"/>
      <c r="C71" s="418"/>
      <c r="D71" s="420"/>
      <c r="E71" s="420"/>
      <c r="F71" s="420"/>
      <c r="G71" s="418"/>
      <c r="H71" s="434"/>
      <c r="I71" s="420"/>
      <c r="J71" s="420"/>
      <c r="K71" s="420"/>
      <c r="L71" s="418"/>
      <c r="M71" s="418"/>
    </row>
    <row r="72" spans="1:13" x14ac:dyDescent="0.25">
      <c r="A72" s="418"/>
      <c r="B72" s="417"/>
      <c r="C72" s="418"/>
      <c r="D72" s="420"/>
      <c r="E72" s="420"/>
      <c r="F72" s="420"/>
      <c r="G72" s="418"/>
      <c r="H72" s="434"/>
      <c r="I72" s="420"/>
      <c r="J72" s="420"/>
      <c r="K72" s="420"/>
      <c r="L72" s="418"/>
      <c r="M72" s="418"/>
    </row>
    <row r="73" spans="1:13" x14ac:dyDescent="0.25">
      <c r="A73" s="418"/>
      <c r="B73" s="418"/>
      <c r="C73" s="418"/>
      <c r="D73" s="420"/>
      <c r="E73" s="420"/>
      <c r="F73" s="420"/>
      <c r="G73" s="418"/>
      <c r="H73" s="434"/>
      <c r="I73" s="420"/>
      <c r="J73" s="420"/>
      <c r="K73" s="420"/>
      <c r="L73" s="418"/>
      <c r="M73" s="418"/>
    </row>
    <row r="74" spans="1:13" x14ac:dyDescent="0.25">
      <c r="A74" s="418"/>
      <c r="B74" s="418"/>
      <c r="C74" s="418"/>
      <c r="D74" s="420"/>
      <c r="E74" s="420"/>
      <c r="F74" s="420"/>
      <c r="G74" s="418"/>
      <c r="H74" s="434"/>
      <c r="I74" s="420"/>
      <c r="J74" s="420"/>
      <c r="K74" s="420"/>
      <c r="L74" s="418"/>
      <c r="M74" s="418"/>
    </row>
    <row r="75" spans="1:13" x14ac:dyDescent="0.25">
      <c r="A75" s="418"/>
      <c r="B75" s="418"/>
      <c r="C75" s="418"/>
      <c r="D75" s="420"/>
      <c r="E75" s="420"/>
      <c r="F75" s="420"/>
      <c r="G75" s="418"/>
      <c r="H75" s="434"/>
      <c r="I75" s="420"/>
      <c r="J75" s="420"/>
      <c r="K75" s="420"/>
      <c r="L75" s="418"/>
      <c r="M75" s="418"/>
    </row>
    <row r="76" spans="1:13" x14ac:dyDescent="0.25">
      <c r="A76" s="418"/>
      <c r="B76" s="418"/>
      <c r="C76" s="418"/>
      <c r="D76" s="420"/>
      <c r="E76" s="420"/>
      <c r="F76" s="420"/>
      <c r="G76" s="418"/>
      <c r="H76" s="434"/>
      <c r="I76" s="420"/>
      <c r="J76" s="420"/>
      <c r="K76" s="420"/>
      <c r="L76" s="418"/>
      <c r="M76" s="418"/>
    </row>
    <row r="77" spans="1:13" x14ac:dyDescent="0.25">
      <c r="A77" s="418"/>
      <c r="B77" s="418"/>
      <c r="C77" s="418"/>
      <c r="D77" s="420"/>
      <c r="E77" s="420"/>
      <c r="F77" s="420"/>
      <c r="G77" s="418"/>
      <c r="H77" s="434"/>
      <c r="I77" s="420"/>
      <c r="J77" s="420"/>
      <c r="K77" s="420"/>
      <c r="L77" s="418"/>
      <c r="M77" s="418"/>
    </row>
    <row r="78" spans="1:13" x14ac:dyDescent="0.25">
      <c r="A78" s="418"/>
      <c r="B78" s="418"/>
      <c r="C78" s="418"/>
      <c r="D78" s="420"/>
      <c r="E78" s="420"/>
      <c r="F78" s="420"/>
      <c r="G78" s="418"/>
      <c r="H78" s="434"/>
      <c r="I78" s="420"/>
      <c r="J78" s="420"/>
      <c r="K78" s="420"/>
      <c r="L78" s="418"/>
      <c r="M78" s="418"/>
    </row>
    <row r="79" spans="1:13" x14ac:dyDescent="0.25">
      <c r="A79" s="418"/>
      <c r="B79" s="418"/>
      <c r="C79" s="418"/>
      <c r="D79" s="420"/>
      <c r="E79" s="420"/>
      <c r="F79" s="420"/>
      <c r="G79" s="418"/>
      <c r="H79" s="434"/>
      <c r="I79" s="420"/>
      <c r="J79" s="420"/>
      <c r="K79" s="420"/>
      <c r="L79" s="418"/>
      <c r="M79" s="418"/>
    </row>
    <row r="80" spans="1:13"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SUM(C68:C72)</f>
        <v>30</v>
      </c>
      <c r="D84" s="438"/>
      <c r="E84" s="438"/>
      <c r="F84" s="438">
        <f>SUM(F68:F72)</f>
        <v>4475.0999999999995</v>
      </c>
      <c r="G84" s="437"/>
      <c r="H84" s="459">
        <f>SUM(H68:H71)</f>
        <v>30</v>
      </c>
      <c r="I84" s="438"/>
      <c r="J84" s="438"/>
      <c r="K84" s="438">
        <f>SUM(K68:K71)</f>
        <v>5318.28</v>
      </c>
      <c r="L84" s="437"/>
      <c r="M84" s="438">
        <f>SUM(M68:M76)</f>
        <v>0</v>
      </c>
    </row>
    <row r="85" spans="1:13" ht="15.75" thickBot="1" x14ac:dyDescent="0.3">
      <c r="A85" s="439" t="s">
        <v>189</v>
      </c>
      <c r="B85" s="440"/>
      <c r="C85" s="441">
        <f>SumByColor($A$19,C68:C83)</f>
        <v>0</v>
      </c>
      <c r="D85" s="441"/>
      <c r="E85" s="441"/>
      <c r="F85" s="442">
        <f>SumByColor($A$19,F68:F83)</f>
        <v>0</v>
      </c>
      <c r="G85" s="441"/>
      <c r="H85" s="441">
        <f>SumByColor($A$19,H68:H83)</f>
        <v>0</v>
      </c>
      <c r="I85" s="441"/>
      <c r="J85" s="441"/>
      <c r="K85" s="442">
        <f>SumByColor($A$19,K69:K83)</f>
        <v>0</v>
      </c>
      <c r="L85" s="441"/>
      <c r="M85" s="442">
        <f>SumByColor($A$19,M68:M83)</f>
        <v>0</v>
      </c>
    </row>
    <row r="88" spans="1:13" x14ac:dyDescent="0.25">
      <c r="B88" s="573" t="s">
        <v>113</v>
      </c>
      <c r="C88" s="573" t="s">
        <v>143</v>
      </c>
      <c r="D88" s="574" t="s">
        <v>142</v>
      </c>
      <c r="E88" s="575" t="s">
        <v>144</v>
      </c>
      <c r="F88" s="575" t="s">
        <v>65</v>
      </c>
      <c r="G88" s="576" t="s">
        <v>148</v>
      </c>
      <c r="H88" s="576" t="s">
        <v>88</v>
      </c>
      <c r="I88" s="576" t="s">
        <v>151</v>
      </c>
    </row>
    <row r="89" spans="1:13" x14ac:dyDescent="0.25">
      <c r="B89" s="481"/>
      <c r="C89" s="478"/>
      <c r="D89" s="479"/>
      <c r="E89" s="479"/>
      <c r="F89" s="479"/>
      <c r="G89" s="479"/>
      <c r="H89" s="577"/>
      <c r="I89" s="479"/>
    </row>
    <row r="90" spans="1:13" x14ac:dyDescent="0.25">
      <c r="B90" s="481"/>
      <c r="C90" s="478"/>
      <c r="D90" s="479"/>
      <c r="E90" s="479"/>
      <c r="F90" s="479"/>
      <c r="G90" s="479"/>
      <c r="H90" s="577"/>
      <c r="I90" s="479"/>
    </row>
    <row r="91" spans="1:13" x14ac:dyDescent="0.25">
      <c r="B91" s="481"/>
      <c r="C91" s="478"/>
      <c r="D91" s="479"/>
      <c r="E91" s="479"/>
      <c r="F91" s="479"/>
      <c r="G91" s="479"/>
      <c r="H91" s="577"/>
      <c r="I91" s="479"/>
    </row>
    <row r="92" spans="1:13" x14ac:dyDescent="0.25">
      <c r="B92" s="481"/>
      <c r="C92" s="478"/>
      <c r="D92" s="479"/>
      <c r="E92" s="479"/>
      <c r="F92" s="479"/>
      <c r="G92" s="479"/>
      <c r="H92" s="577"/>
      <c r="I92" s="479"/>
    </row>
    <row r="93" spans="1:13" x14ac:dyDescent="0.25">
      <c r="B93" s="481"/>
      <c r="C93" s="478"/>
      <c r="D93" s="479"/>
      <c r="E93" s="479"/>
      <c r="F93" s="479"/>
      <c r="G93" s="479"/>
      <c r="H93" s="577"/>
      <c r="I93" s="479"/>
    </row>
    <row r="94" spans="1:13" x14ac:dyDescent="0.25">
      <c r="B94" s="481"/>
      <c r="C94" s="478"/>
      <c r="D94" s="479"/>
      <c r="E94" s="479"/>
      <c r="F94" s="479"/>
      <c r="G94" s="479"/>
      <c r="H94" s="577"/>
      <c r="I94" s="479"/>
    </row>
    <row r="95" spans="1:13" x14ac:dyDescent="0.25">
      <c r="B95" s="481"/>
      <c r="C95" s="478"/>
      <c r="D95" s="479"/>
      <c r="E95" s="479"/>
      <c r="F95" s="479"/>
      <c r="G95" s="479"/>
      <c r="H95" s="577"/>
      <c r="I95" s="479"/>
    </row>
    <row r="96" spans="1:13" x14ac:dyDescent="0.25">
      <c r="B96" s="481"/>
      <c r="C96" s="478"/>
      <c r="D96" s="479"/>
      <c r="E96" s="479"/>
      <c r="F96" s="479"/>
      <c r="G96" s="479"/>
      <c r="H96" s="577"/>
      <c r="I96" s="479"/>
    </row>
    <row r="97" spans="2:9" x14ac:dyDescent="0.25">
      <c r="B97" s="481"/>
      <c r="C97" s="478"/>
      <c r="D97" s="479"/>
      <c r="E97" s="479"/>
      <c r="F97" s="479"/>
      <c r="G97" s="479"/>
      <c r="H97" s="577"/>
      <c r="I97" s="479"/>
    </row>
    <row r="98" spans="2:9" x14ac:dyDescent="0.25">
      <c r="B98" s="481"/>
      <c r="C98" s="478"/>
      <c r="D98" s="479"/>
      <c r="E98" s="479"/>
      <c r="F98" s="479"/>
      <c r="G98" s="479"/>
      <c r="H98" s="577"/>
      <c r="I98" s="479"/>
    </row>
    <row r="99" spans="2:9" x14ac:dyDescent="0.25">
      <c r="B99" s="481"/>
      <c r="C99" s="478"/>
      <c r="D99" s="479"/>
      <c r="E99" s="479"/>
      <c r="F99" s="479"/>
      <c r="G99" s="479"/>
      <c r="H99" s="577"/>
      <c r="I99" s="479"/>
    </row>
    <row r="100" spans="2:9" x14ac:dyDescent="0.25">
      <c r="B100" s="481"/>
      <c r="C100" s="478"/>
      <c r="D100" s="479"/>
      <c r="E100" s="479"/>
      <c r="F100" s="479"/>
      <c r="G100" s="479"/>
      <c r="H100" s="577"/>
      <c r="I100" s="479"/>
    </row>
    <row r="101" spans="2:9" x14ac:dyDescent="0.25">
      <c r="B101" s="481"/>
      <c r="C101" s="478"/>
      <c r="D101" s="479"/>
      <c r="E101" s="479"/>
      <c r="F101" s="479"/>
      <c r="G101" s="479"/>
      <c r="H101" s="577"/>
      <c r="I101" s="479"/>
    </row>
    <row r="102" spans="2:9" x14ac:dyDescent="0.25">
      <c r="B102" s="481"/>
      <c r="C102" s="478"/>
      <c r="D102" s="479"/>
      <c r="E102" s="479"/>
      <c r="F102" s="479"/>
      <c r="G102" s="479"/>
      <c r="H102" s="577"/>
      <c r="I102" s="479"/>
    </row>
    <row r="103" spans="2:9" x14ac:dyDescent="0.25">
      <c r="B103" s="481"/>
      <c r="C103" s="478"/>
      <c r="D103" s="479"/>
      <c r="E103" s="479"/>
      <c r="F103" s="479"/>
      <c r="G103" s="479"/>
      <c r="H103" s="577"/>
      <c r="I103" s="479"/>
    </row>
    <row r="104" spans="2:9" x14ac:dyDescent="0.25">
      <c r="B104" s="481"/>
      <c r="C104" s="478"/>
      <c r="D104" s="479"/>
      <c r="E104" s="479"/>
      <c r="F104" s="479"/>
      <c r="G104" s="479"/>
      <c r="H104" s="577"/>
      <c r="I104" s="479"/>
    </row>
    <row r="105" spans="2:9" x14ac:dyDescent="0.25">
      <c r="B105" s="481"/>
      <c r="C105" s="478"/>
      <c r="D105" s="479"/>
      <c r="E105" s="479"/>
      <c r="F105" s="479"/>
      <c r="G105" s="479"/>
      <c r="H105" s="577"/>
      <c r="I105" s="479"/>
    </row>
    <row r="106" spans="2:9" x14ac:dyDescent="0.25">
      <c r="B106" s="481"/>
      <c r="C106" s="478"/>
      <c r="D106" s="479"/>
      <c r="E106" s="479"/>
      <c r="F106" s="479"/>
      <c r="G106" s="479"/>
      <c r="H106" s="577"/>
      <c r="I106" s="479"/>
    </row>
    <row r="107" spans="2:9" x14ac:dyDescent="0.25">
      <c r="B107" s="481"/>
      <c r="C107" s="478"/>
      <c r="D107" s="479"/>
      <c r="E107" s="479"/>
      <c r="F107" s="479"/>
      <c r="G107" s="479"/>
      <c r="H107" s="577"/>
      <c r="I107" s="479"/>
    </row>
    <row r="108" spans="2:9" x14ac:dyDescent="0.25">
      <c r="B108" s="481"/>
      <c r="C108" s="478"/>
      <c r="D108" s="479"/>
      <c r="E108" s="479"/>
      <c r="F108" s="479"/>
      <c r="G108" s="479"/>
      <c r="H108" s="577"/>
      <c r="I108" s="479"/>
    </row>
    <row r="109" spans="2:9" x14ac:dyDescent="0.25">
      <c r="B109" s="481"/>
      <c r="C109" s="478"/>
      <c r="D109" s="479"/>
      <c r="E109" s="479"/>
      <c r="F109" s="479"/>
      <c r="G109" s="479"/>
      <c r="H109" s="577"/>
      <c r="I109" s="479"/>
    </row>
    <row r="110" spans="2:9" x14ac:dyDescent="0.25">
      <c r="B110" s="481"/>
      <c r="C110" s="478"/>
      <c r="D110" s="479"/>
      <c r="E110" s="479"/>
      <c r="F110" s="479"/>
      <c r="G110" s="479"/>
      <c r="H110" s="577"/>
      <c r="I110" s="479"/>
    </row>
  </sheetData>
  <mergeCells count="1">
    <mergeCell ref="O40:P40"/>
  </mergeCells>
  <conditionalFormatting sqref="O41:O61">
    <cfRule type="colorScale" priority="24">
      <colorScale>
        <cfvo type="min"/>
        <cfvo type="percentile" val="50"/>
        <cfvo type="max"/>
        <color rgb="FFF8696B"/>
        <color rgb="FFFFEB84"/>
        <color rgb="FF63BE7B"/>
      </colorScale>
    </cfRule>
  </conditionalFormatting>
  <conditionalFormatting sqref="P41:P61">
    <cfRule type="colorScale" priority="23">
      <colorScale>
        <cfvo type="min"/>
        <cfvo type="percentile" val="50"/>
        <cfvo type="max"/>
        <color rgb="FFF8696B"/>
        <color rgb="FFFFEB84"/>
        <color rgb="FF63BE7B"/>
      </colorScale>
    </cfRule>
  </conditionalFormatting>
  <conditionalFormatting sqref="F47:F63 H47:H63">
    <cfRule type="expression" dxfId="3575" priority="21">
      <formula>F47&gt;0</formula>
    </cfRule>
    <cfRule type="expression" dxfId="3574" priority="22">
      <formula>F47&lt;0</formula>
    </cfRule>
  </conditionalFormatting>
  <conditionalFormatting sqref="Q7">
    <cfRule type="expression" dxfId="3573" priority="19">
      <formula>Q7&gt;0</formula>
    </cfRule>
    <cfRule type="expression" dxfId="3572" priority="20">
      <formula>Q7&lt;0</formula>
    </cfRule>
  </conditionalFormatting>
  <conditionalFormatting sqref="Q8">
    <cfRule type="expression" dxfId="3571" priority="17">
      <formula>Q8&gt;0</formula>
    </cfRule>
    <cfRule type="expression" dxfId="3570" priority="18">
      <formula>Q8&lt;0</formula>
    </cfRule>
  </conditionalFormatting>
  <conditionalFormatting sqref="F25:F46">
    <cfRule type="expression" dxfId="3569" priority="15">
      <formula>F25&gt;0</formula>
    </cfRule>
    <cfRule type="expression" dxfId="3568" priority="16">
      <formula>F25&lt;0</formula>
    </cfRule>
  </conditionalFormatting>
  <conditionalFormatting sqref="H25:H46">
    <cfRule type="expression" dxfId="3567" priority="13">
      <formula>H25&gt;0</formula>
    </cfRule>
    <cfRule type="expression" dxfId="3566" priority="14">
      <formula>H25&lt;0</formula>
    </cfRule>
  </conditionalFormatting>
  <conditionalFormatting sqref="F89:F110">
    <cfRule type="expression" dxfId="3565" priority="11">
      <formula>F89&gt;0</formula>
    </cfRule>
    <cfRule type="expression" dxfId="3564" priority="12">
      <formula>F89&lt;0</formula>
    </cfRule>
  </conditionalFormatting>
  <conditionalFormatting sqref="H89:H110">
    <cfRule type="expression" dxfId="3563" priority="9">
      <formula>H89&gt;0</formula>
    </cfRule>
    <cfRule type="expression" dxfId="3562" priority="10">
      <formula>H89&lt;0</formula>
    </cfRule>
  </conditionalFormatting>
  <conditionalFormatting sqref="Q10">
    <cfRule type="expression" dxfId="3561" priority="7">
      <formula>Q10&gt;0</formula>
    </cfRule>
    <cfRule type="expression" dxfId="3560" priority="8">
      <formula>Q10&lt;0</formula>
    </cfRule>
  </conditionalFormatting>
  <conditionalFormatting sqref="J25:J38">
    <cfRule type="expression" dxfId="3559" priority="5">
      <formula>J25&gt;0</formula>
    </cfRule>
    <cfRule type="expression" dxfId="3558" priority="6">
      <formula>J25&lt;0</formula>
    </cfRule>
  </conditionalFormatting>
  <conditionalFormatting sqref="K25:K38">
    <cfRule type="expression" dxfId="3557" priority="3">
      <formula>K25&gt;0</formula>
    </cfRule>
    <cfRule type="expression" dxfId="3556" priority="4">
      <formula>K25&lt;0</formula>
    </cfRule>
  </conditionalFormatting>
  <conditionalFormatting sqref="L25:L38">
    <cfRule type="expression" dxfId="3555" priority="1">
      <formula>L25&gt;0</formula>
    </cfRule>
    <cfRule type="expression" dxfId="3554" priority="2">
      <formula>L25&lt;0</formula>
    </cfRule>
  </conditionalFormatting>
  <hyperlinks>
    <hyperlink ref="A3" location="ACTIVE!A1" display="Back"/>
  </hyperlinks>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1277</v>
      </c>
      <c r="B2" s="360">
        <v>43440</v>
      </c>
      <c r="C2" s="7">
        <v>100</v>
      </c>
      <c r="D2" s="43">
        <v>43.5</v>
      </c>
      <c r="E2" s="43">
        <v>0</v>
      </c>
      <c r="F2" s="43">
        <f>C2*D2+E2</f>
        <v>4350</v>
      </c>
      <c r="G2" s="360">
        <v>43473</v>
      </c>
      <c r="H2" s="43">
        <v>100</v>
      </c>
      <c r="I2" s="43">
        <v>45.8</v>
      </c>
      <c r="J2" s="43">
        <v>0.06</v>
      </c>
      <c r="K2" s="43">
        <f>I2*H2-J2</f>
        <v>4579.9399999999996</v>
      </c>
      <c r="L2" s="69"/>
      <c r="M2" s="3"/>
      <c r="O2" s="11" t="s">
        <v>57</v>
      </c>
      <c r="Q2">
        <f>C18-H18</f>
        <v>0</v>
      </c>
      <c r="T2" s="1"/>
      <c r="U2" t="s">
        <v>1230</v>
      </c>
    </row>
    <row r="3" spans="1:21" x14ac:dyDescent="0.25">
      <c r="A3" s="22" t="s">
        <v>71</v>
      </c>
      <c r="B3" s="69"/>
      <c r="C3" s="4"/>
      <c r="D3" s="3"/>
      <c r="E3" s="3"/>
      <c r="F3" s="3"/>
      <c r="G3" s="69"/>
      <c r="H3" s="158"/>
      <c r="I3" s="3"/>
      <c r="J3" s="3"/>
      <c r="K3" s="3"/>
      <c r="L3" s="4"/>
      <c r="M3" s="4"/>
      <c r="O3" s="11" t="s">
        <v>58</v>
      </c>
      <c r="Q3" s="174">
        <f>IF(Q2=0, Q4, (F18-K18-M18)/Q2)</f>
        <v>47.77</v>
      </c>
      <c r="T3" s="1"/>
      <c r="U3" s="22"/>
    </row>
    <row r="4" spans="1:21" x14ac:dyDescent="0.25">
      <c r="B4" s="69"/>
      <c r="C4" s="4"/>
      <c r="D4" s="3"/>
      <c r="E4" s="3"/>
      <c r="F4" s="3"/>
      <c r="G4" s="69"/>
      <c r="H4" s="158"/>
      <c r="I4" s="3"/>
      <c r="J4" s="3"/>
      <c r="K4" s="3"/>
      <c r="L4" s="4"/>
      <c r="M4" s="4"/>
      <c r="O4" s="11" t="s">
        <v>66</v>
      </c>
      <c r="Q4" s="53">
        <v>47.77</v>
      </c>
      <c r="R4" s="416">
        <v>2.4500000000000001E-2</v>
      </c>
      <c r="T4" s="680"/>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229.9399999999996</v>
      </c>
      <c r="R7">
        <v>0</v>
      </c>
    </row>
    <row r="8" spans="1:21" x14ac:dyDescent="0.25">
      <c r="B8" s="69"/>
      <c r="C8" s="4"/>
      <c r="D8" s="3"/>
      <c r="E8" s="3"/>
      <c r="F8" s="3"/>
      <c r="G8" s="4"/>
      <c r="H8" s="158"/>
      <c r="I8" s="3"/>
      <c r="J8" s="3"/>
      <c r="K8" s="3"/>
      <c r="L8" s="4"/>
      <c r="M8" s="4"/>
      <c r="O8" s="11" t="s">
        <v>177</v>
      </c>
      <c r="P8" s="33"/>
      <c r="Q8" s="2">
        <f>K18+M18-F18+Q2*Q4</f>
        <v>229.9399999999996</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2.4182541343939708E-2</v>
      </c>
      <c r="R11">
        <f>0.2888*4</f>
        <v>1.1552</v>
      </c>
    </row>
    <row r="12" spans="1:21" x14ac:dyDescent="0.25">
      <c r="H12" s="67"/>
      <c r="O12" s="11" t="s">
        <v>875</v>
      </c>
      <c r="Q12" s="1" t="s">
        <v>1298</v>
      </c>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52.547000000000004</v>
      </c>
    </row>
    <row r="18" spans="1:16" x14ac:dyDescent="0.25">
      <c r="A18" s="31" t="s">
        <v>81</v>
      </c>
      <c r="B18" s="14"/>
      <c r="C18" s="14">
        <f>SUM(C2:C8)</f>
        <v>100</v>
      </c>
      <c r="D18" s="18"/>
      <c r="E18" s="18"/>
      <c r="F18" s="18">
        <f>SUM(F2:F8)</f>
        <v>4350</v>
      </c>
      <c r="G18" s="14"/>
      <c r="H18" s="68">
        <f>SUM(H2:H5)</f>
        <v>100</v>
      </c>
      <c r="I18" s="18"/>
      <c r="J18" s="18"/>
      <c r="K18" s="18">
        <f>SUM(K2:K5)</f>
        <v>4579.9399999999996</v>
      </c>
      <c r="L18" s="14"/>
      <c r="M18" s="18">
        <f>SUM(M2:M10)</f>
        <v>0</v>
      </c>
      <c r="O18" s="78">
        <v>1.0900000000000001</v>
      </c>
      <c r="P18" s="78">
        <f t="shared" ref="P18:P37" si="0">O18*$Q$4</f>
        <v>52.069300000000005</v>
      </c>
    </row>
    <row r="19" spans="1:16" ht="15.75" thickBot="1" x14ac:dyDescent="0.3">
      <c r="A19" s="273" t="s">
        <v>189</v>
      </c>
      <c r="B19" s="274"/>
      <c r="C19" s="275">
        <f>SumByColor($A$19,C2:C17)</f>
        <v>100</v>
      </c>
      <c r="D19" s="275"/>
      <c r="E19" s="275"/>
      <c r="F19" s="276">
        <f>SumByColor($A$19,F2:F17)</f>
        <v>4350</v>
      </c>
      <c r="G19" s="275"/>
      <c r="H19" s="275">
        <f>SumByColor($A$19,H2:H17)</f>
        <v>100</v>
      </c>
      <c r="I19" s="275"/>
      <c r="J19" s="275"/>
      <c r="K19" s="276">
        <f>SumByColor($A$19,K2:K17)</f>
        <v>4580</v>
      </c>
      <c r="L19" s="275"/>
      <c r="M19" s="276">
        <f>SumByColor($A$19,M2:M17)</f>
        <v>0</v>
      </c>
      <c r="O19" s="78">
        <v>1.08</v>
      </c>
      <c r="P19" s="78">
        <f t="shared" si="0"/>
        <v>51.591600000000007</v>
      </c>
    </row>
    <row r="20" spans="1:16" x14ac:dyDescent="0.25">
      <c r="O20" s="78">
        <v>1.07</v>
      </c>
      <c r="P20" s="78">
        <f t="shared" si="0"/>
        <v>51.113900000000008</v>
      </c>
    </row>
    <row r="21" spans="1:16" x14ac:dyDescent="0.25">
      <c r="O21" s="78">
        <v>1.06</v>
      </c>
      <c r="P21" s="78">
        <f t="shared" si="0"/>
        <v>50.636200000000002</v>
      </c>
    </row>
    <row r="22" spans="1:16" x14ac:dyDescent="0.25">
      <c r="O22" s="78">
        <v>1.05</v>
      </c>
      <c r="P22" s="78">
        <f t="shared" si="0"/>
        <v>50.158500000000004</v>
      </c>
    </row>
    <row r="23" spans="1:16" x14ac:dyDescent="0.25">
      <c r="O23" s="78">
        <v>1.04</v>
      </c>
      <c r="P23" s="78">
        <f t="shared" si="0"/>
        <v>49.680800000000005</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49.203100000000006</v>
      </c>
    </row>
    <row r="25" spans="1:16" x14ac:dyDescent="0.25">
      <c r="B25" s="161">
        <v>43440</v>
      </c>
      <c r="C25" s="10">
        <v>100</v>
      </c>
      <c r="D25" s="39">
        <v>43.5</v>
      </c>
      <c r="E25" s="39">
        <v>44.6</v>
      </c>
      <c r="F25" s="39">
        <f>C25*(E25-D25)</f>
        <v>110.00000000000014</v>
      </c>
      <c r="G25" s="39">
        <f>D25*C25</f>
        <v>4350</v>
      </c>
      <c r="H25" s="175">
        <f>(E25-D25)/D25</f>
        <v>2.5287356321839115E-2</v>
      </c>
      <c r="I25" s="39"/>
      <c r="J25" s="39"/>
      <c r="K25" s="39"/>
      <c r="L25" s="39"/>
      <c r="O25" s="78">
        <v>1.02</v>
      </c>
      <c r="P25" s="78">
        <f t="shared" si="0"/>
        <v>48.7254</v>
      </c>
    </row>
    <row r="26" spans="1:16" x14ac:dyDescent="0.25">
      <c r="B26" s="161">
        <v>43473</v>
      </c>
      <c r="C26" s="10">
        <v>0</v>
      </c>
      <c r="D26" s="39"/>
      <c r="E26" s="39"/>
      <c r="F26" s="39"/>
      <c r="G26" s="39"/>
      <c r="H26" s="175"/>
      <c r="I26" s="39"/>
      <c r="J26" s="39">
        <v>229.94</v>
      </c>
      <c r="K26" s="39"/>
      <c r="L26" s="39"/>
      <c r="O26" s="78">
        <v>1.01</v>
      </c>
      <c r="P26" s="78">
        <f t="shared" si="0"/>
        <v>48.247700000000002</v>
      </c>
    </row>
    <row r="27" spans="1:16" x14ac:dyDescent="0.25">
      <c r="B27" s="161"/>
      <c r="C27" s="10"/>
      <c r="D27" s="39"/>
      <c r="E27" s="39"/>
      <c r="F27" s="39"/>
      <c r="G27" s="39"/>
      <c r="H27" s="175"/>
      <c r="I27" s="39"/>
      <c r="J27" s="39"/>
      <c r="K27" s="39"/>
      <c r="L27" s="39"/>
      <c r="O27" s="78">
        <v>1</v>
      </c>
      <c r="P27" s="78">
        <f t="shared" si="0"/>
        <v>47.77</v>
      </c>
    </row>
    <row r="28" spans="1:16" x14ac:dyDescent="0.25">
      <c r="B28" s="161"/>
      <c r="C28" s="10"/>
      <c r="D28" s="39"/>
      <c r="E28" s="39"/>
      <c r="F28" s="39"/>
      <c r="G28" s="39"/>
      <c r="H28" s="175"/>
      <c r="I28" s="39"/>
      <c r="J28" s="39"/>
      <c r="K28" s="39"/>
      <c r="L28" s="39"/>
      <c r="O28" s="78">
        <v>0.99</v>
      </c>
      <c r="P28" s="78">
        <f t="shared" si="0"/>
        <v>47.292300000000004</v>
      </c>
    </row>
    <row r="29" spans="1:16" x14ac:dyDescent="0.25">
      <c r="B29" s="161"/>
      <c r="C29" s="10"/>
      <c r="D29" s="39"/>
      <c r="E29" s="39"/>
      <c r="F29" s="39"/>
      <c r="G29" s="39"/>
      <c r="H29" s="175"/>
      <c r="I29" s="39"/>
      <c r="J29" s="39"/>
      <c r="K29" s="39"/>
      <c r="L29" s="39"/>
      <c r="O29" s="78">
        <v>0.98</v>
      </c>
      <c r="P29" s="78">
        <f t="shared" si="0"/>
        <v>46.814600000000006</v>
      </c>
    </row>
    <row r="30" spans="1:16" x14ac:dyDescent="0.25">
      <c r="B30" s="161"/>
      <c r="C30" s="10"/>
      <c r="D30" s="39"/>
      <c r="E30" s="39"/>
      <c r="F30" s="39"/>
      <c r="G30" s="39"/>
      <c r="H30" s="175"/>
      <c r="I30" s="39"/>
      <c r="J30" s="39"/>
      <c r="K30" s="39"/>
      <c r="L30" s="39"/>
      <c r="O30" s="78">
        <v>0.97</v>
      </c>
      <c r="P30" s="78">
        <f t="shared" si="0"/>
        <v>46.3369</v>
      </c>
    </row>
    <row r="31" spans="1:16" x14ac:dyDescent="0.25">
      <c r="B31" s="161"/>
      <c r="C31" s="10"/>
      <c r="D31" s="39"/>
      <c r="E31" s="39"/>
      <c r="F31" s="39"/>
      <c r="G31" s="39"/>
      <c r="H31" s="175"/>
      <c r="I31" s="39"/>
      <c r="J31" s="39"/>
      <c r="K31" s="39"/>
      <c r="L31" s="39"/>
      <c r="O31" s="78">
        <v>0.96</v>
      </c>
      <c r="P31" s="78">
        <f t="shared" si="0"/>
        <v>45.859200000000001</v>
      </c>
    </row>
    <row r="32" spans="1:16" x14ac:dyDescent="0.25">
      <c r="B32" s="161"/>
      <c r="C32" s="10"/>
      <c r="D32" s="39"/>
      <c r="E32" s="39"/>
      <c r="F32" s="39"/>
      <c r="G32" s="39"/>
      <c r="H32" s="175"/>
      <c r="I32" s="39"/>
      <c r="J32" s="39"/>
      <c r="K32" s="39"/>
      <c r="L32" s="39"/>
      <c r="O32" s="78">
        <v>0.95</v>
      </c>
      <c r="P32" s="78">
        <f t="shared" si="0"/>
        <v>45.381500000000003</v>
      </c>
    </row>
    <row r="33" spans="2:17" x14ac:dyDescent="0.25">
      <c r="B33" s="161"/>
      <c r="C33" s="10"/>
      <c r="D33" s="39"/>
      <c r="E33" s="39"/>
      <c r="F33" s="39"/>
      <c r="G33" s="39"/>
      <c r="H33" s="175"/>
      <c r="I33" s="39"/>
      <c r="J33" s="39"/>
      <c r="K33" s="39"/>
      <c r="L33" s="39"/>
      <c r="O33" s="78">
        <v>0.94</v>
      </c>
      <c r="P33" s="78">
        <f t="shared" si="0"/>
        <v>44.903800000000004</v>
      </c>
    </row>
    <row r="34" spans="2:17" x14ac:dyDescent="0.25">
      <c r="B34" s="161"/>
      <c r="C34" s="10"/>
      <c r="D34" s="39"/>
      <c r="E34" s="39"/>
      <c r="F34" s="39"/>
      <c r="G34" s="39"/>
      <c r="H34" s="175"/>
      <c r="I34" s="39"/>
      <c r="J34" s="39"/>
      <c r="K34" s="39"/>
      <c r="L34" s="39"/>
      <c r="O34" s="78">
        <v>0.93</v>
      </c>
      <c r="P34" s="78">
        <f t="shared" si="0"/>
        <v>44.426100000000005</v>
      </c>
    </row>
    <row r="35" spans="2:17" x14ac:dyDescent="0.25">
      <c r="B35" s="161"/>
      <c r="C35" s="10"/>
      <c r="D35" s="39"/>
      <c r="E35" s="39"/>
      <c r="F35" s="39"/>
      <c r="G35" s="39"/>
      <c r="H35" s="175"/>
      <c r="I35" s="39"/>
      <c r="J35" s="39"/>
      <c r="K35" s="39"/>
      <c r="L35" s="39"/>
      <c r="O35" s="78">
        <v>0.92</v>
      </c>
      <c r="P35" s="78">
        <f t="shared" si="0"/>
        <v>43.948400000000007</v>
      </c>
    </row>
    <row r="36" spans="2:17" x14ac:dyDescent="0.25">
      <c r="B36" s="161"/>
      <c r="C36" s="10"/>
      <c r="D36" s="39"/>
      <c r="E36" s="39"/>
      <c r="F36" s="39"/>
      <c r="G36" s="39"/>
      <c r="H36" s="175"/>
      <c r="I36" s="39"/>
      <c r="J36" s="39"/>
      <c r="K36" s="39"/>
      <c r="L36" s="39"/>
      <c r="O36" s="78">
        <v>0.91</v>
      </c>
      <c r="P36" s="78">
        <f t="shared" si="0"/>
        <v>43.470700000000001</v>
      </c>
    </row>
    <row r="37" spans="2:17" x14ac:dyDescent="0.25">
      <c r="B37" s="161"/>
      <c r="C37" s="10"/>
      <c r="D37" s="39"/>
      <c r="E37" s="39"/>
      <c r="F37" s="39"/>
      <c r="G37" s="39"/>
      <c r="H37" s="175"/>
      <c r="I37" s="39"/>
      <c r="J37" s="39"/>
      <c r="K37" s="39"/>
      <c r="L37" s="39"/>
      <c r="O37" s="78">
        <v>0.9</v>
      </c>
      <c r="P37" s="78">
        <f t="shared" si="0"/>
        <v>42.993000000000002</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553" priority="35">
      <formula>F47&gt;0</formula>
    </cfRule>
    <cfRule type="expression" dxfId="3552" priority="36">
      <formula>F47&lt;0</formula>
    </cfRule>
  </conditionalFormatting>
  <conditionalFormatting sqref="Q7">
    <cfRule type="expression" dxfId="3551" priority="33">
      <formula>Q7&gt;0</formula>
    </cfRule>
    <cfRule type="expression" dxfId="3550" priority="34">
      <formula>Q7&lt;0</formula>
    </cfRule>
  </conditionalFormatting>
  <conditionalFormatting sqref="Q8">
    <cfRule type="expression" dxfId="3549" priority="31">
      <formula>Q8&gt;0</formula>
    </cfRule>
    <cfRule type="expression" dxfId="3548" priority="32">
      <formula>Q8&lt;0</formula>
    </cfRule>
  </conditionalFormatting>
  <conditionalFormatting sqref="F30:F46">
    <cfRule type="expression" dxfId="3547" priority="29">
      <formula>F30&gt;0</formula>
    </cfRule>
    <cfRule type="expression" dxfId="3546" priority="30">
      <formula>F30&lt;0</formula>
    </cfRule>
  </conditionalFormatting>
  <conditionalFormatting sqref="H30:H46">
    <cfRule type="expression" dxfId="3545" priority="27">
      <formula>H30&gt;0</formula>
    </cfRule>
    <cfRule type="expression" dxfId="3544" priority="28">
      <formula>H30&lt;0</formula>
    </cfRule>
  </conditionalFormatting>
  <conditionalFormatting sqref="Q10">
    <cfRule type="expression" dxfId="3543" priority="25">
      <formula>Q10&gt;0</formula>
    </cfRule>
    <cfRule type="expression" dxfId="3542" priority="26">
      <formula>Q10&lt;0</formula>
    </cfRule>
  </conditionalFormatting>
  <conditionalFormatting sqref="J25:J38">
    <cfRule type="expression" dxfId="3541" priority="23">
      <formula>J25&gt;0</formula>
    </cfRule>
    <cfRule type="expression" dxfId="3540" priority="24">
      <formula>J25&lt;0</formula>
    </cfRule>
  </conditionalFormatting>
  <conditionalFormatting sqref="K25:K38">
    <cfRule type="expression" dxfId="3539" priority="21">
      <formula>K25&gt;0</formula>
    </cfRule>
    <cfRule type="expression" dxfId="3538" priority="22">
      <formula>K25&lt;0</formula>
    </cfRule>
  </conditionalFormatting>
  <conditionalFormatting sqref="L25 L38">
    <cfRule type="expression" dxfId="3537" priority="19">
      <formula>L25&gt;0</formula>
    </cfRule>
    <cfRule type="expression" dxfId="3536" priority="20">
      <formula>L25&lt;0</formula>
    </cfRule>
  </conditionalFormatting>
  <conditionalFormatting sqref="F89:F110">
    <cfRule type="expression" dxfId="3535" priority="17">
      <formula>F89&gt;0</formula>
    </cfRule>
    <cfRule type="expression" dxfId="3534" priority="18">
      <formula>F89&lt;0</formula>
    </cfRule>
  </conditionalFormatting>
  <conditionalFormatting sqref="H89:H110">
    <cfRule type="expression" dxfId="3533" priority="15">
      <formula>H89&gt;0</formula>
    </cfRule>
    <cfRule type="expression" dxfId="3532" priority="16">
      <formula>H89&lt;0</formula>
    </cfRule>
  </conditionalFormatting>
  <conditionalFormatting sqref="J89:J102">
    <cfRule type="expression" dxfId="3531" priority="13">
      <formula>J89&gt;0</formula>
    </cfRule>
    <cfRule type="expression" dxfId="3530" priority="14">
      <formula>J89&lt;0</formula>
    </cfRule>
  </conditionalFormatting>
  <conditionalFormatting sqref="K89:K102">
    <cfRule type="expression" dxfId="3529" priority="11">
      <formula>K89&gt;0</formula>
    </cfRule>
    <cfRule type="expression" dxfId="3528" priority="12">
      <formula>K89&lt;0</formula>
    </cfRule>
  </conditionalFormatting>
  <conditionalFormatting sqref="L89:L102">
    <cfRule type="expression" dxfId="3527" priority="9">
      <formula>L89&gt;0</formula>
    </cfRule>
    <cfRule type="expression" dxfId="3526" priority="10">
      <formula>L89&lt;0</formula>
    </cfRule>
  </conditionalFormatting>
  <conditionalFormatting sqref="F29 F25:F26">
    <cfRule type="expression" dxfId="3525" priority="7">
      <formula>F25&gt;0</formula>
    </cfRule>
    <cfRule type="expression" dxfId="3524" priority="8">
      <formula>F25&lt;0</formula>
    </cfRule>
  </conditionalFormatting>
  <conditionalFormatting sqref="H29 H25:H27">
    <cfRule type="expression" dxfId="3523" priority="5">
      <formula>H25&gt;0</formula>
    </cfRule>
    <cfRule type="expression" dxfId="3522" priority="6">
      <formula>H25&lt;0</formula>
    </cfRule>
  </conditionalFormatting>
  <conditionalFormatting sqref="F27:F28">
    <cfRule type="expression" dxfId="3521" priority="3">
      <formula>F27&gt;0</formula>
    </cfRule>
    <cfRule type="expression" dxfId="3520" priority="4">
      <formula>F27&lt;0</formula>
    </cfRule>
  </conditionalFormatting>
  <conditionalFormatting sqref="H28">
    <cfRule type="expression" dxfId="3519" priority="1">
      <formula>H28&gt;0</formula>
    </cfRule>
    <cfRule type="expression" dxfId="3518" priority="2">
      <formula>H28&lt;0</formula>
    </cfRule>
  </conditionalFormatting>
  <hyperlinks>
    <hyperlink ref="A3" location="ACTIVE!A1" display="Back"/>
  </hyperlinks>
  <pageMargins left="0.7" right="0.7" top="0.75" bottom="0.75" header="0.3" footer="0.3"/>
  <pageSetup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3"/>
  <dimension ref="A1:U114"/>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9" width="12.85546875" style="2" bestFit="1" customWidth="1"/>
    <col min="10" max="11" width="9.140625" style="2"/>
    <col min="17" max="17" width="12" bestFit="1" customWidth="1"/>
    <col min="18" max="18" width="9.7109375" bestFit="1" customWidth="1"/>
    <col min="20" max="20" width="13.7109375" style="29" customWidth="1"/>
    <col min="21" max="21" width="65.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34" t="s">
        <v>70</v>
      </c>
    </row>
    <row r="2" spans="1:21" x14ac:dyDescent="0.25">
      <c r="A2" s="6" t="s">
        <v>611</v>
      </c>
      <c r="B2" s="360">
        <v>42892</v>
      </c>
      <c r="C2" s="7">
        <v>25</v>
      </c>
      <c r="D2" s="43">
        <v>132.88</v>
      </c>
      <c r="E2" s="43">
        <v>0</v>
      </c>
      <c r="F2" s="43">
        <f t="shared" ref="F2:F12" si="0">C2*D2+E2</f>
        <v>3322</v>
      </c>
      <c r="G2" s="360">
        <v>42963</v>
      </c>
      <c r="H2" s="7">
        <v>50</v>
      </c>
      <c r="I2" s="43">
        <v>92.48</v>
      </c>
      <c r="J2" s="43">
        <v>0.11</v>
      </c>
      <c r="K2" s="43">
        <f t="shared" ref="K2:K11" si="1">H2*I2-J2</f>
        <v>4623.8900000000003</v>
      </c>
      <c r="L2" s="69">
        <v>42923</v>
      </c>
      <c r="M2" s="43">
        <v>1.5</v>
      </c>
      <c r="O2" s="11" t="s">
        <v>57</v>
      </c>
      <c r="Q2">
        <f>C18-H18</f>
        <v>0</v>
      </c>
      <c r="T2" s="29">
        <v>43100</v>
      </c>
      <c r="U2" t="s">
        <v>755</v>
      </c>
    </row>
    <row r="3" spans="1:21" x14ac:dyDescent="0.25">
      <c r="A3" s="22" t="s">
        <v>71</v>
      </c>
      <c r="B3" s="360">
        <v>42921</v>
      </c>
      <c r="C3" s="7">
        <v>25</v>
      </c>
      <c r="D3" s="43">
        <v>109.4</v>
      </c>
      <c r="E3" s="43">
        <v>-8.9</v>
      </c>
      <c r="F3" s="43">
        <f t="shared" si="0"/>
        <v>2726.1</v>
      </c>
      <c r="G3" s="360">
        <v>43053</v>
      </c>
      <c r="H3" s="77">
        <v>75</v>
      </c>
      <c r="I3" s="43">
        <v>94.58</v>
      </c>
      <c r="J3" s="43">
        <v>0.16</v>
      </c>
      <c r="K3" s="43">
        <f t="shared" si="1"/>
        <v>7093.34</v>
      </c>
      <c r="L3" s="69">
        <v>43017</v>
      </c>
      <c r="M3" s="43">
        <v>4.5</v>
      </c>
      <c r="O3" s="11" t="s">
        <v>58</v>
      </c>
      <c r="Q3" s="174">
        <f>IF(Q2=0, Q4, (F18-K18-M18)/Q2)</f>
        <v>161.22</v>
      </c>
    </row>
    <row r="4" spans="1:21" x14ac:dyDescent="0.25">
      <c r="B4" s="360">
        <v>42921</v>
      </c>
      <c r="C4" s="7">
        <v>25</v>
      </c>
      <c r="D4" s="43">
        <v>105</v>
      </c>
      <c r="E4" s="43">
        <v>0</v>
      </c>
      <c r="F4" s="43">
        <f t="shared" si="0"/>
        <v>2625</v>
      </c>
      <c r="G4" s="360">
        <v>43068</v>
      </c>
      <c r="H4" s="77">
        <v>25</v>
      </c>
      <c r="I4" s="43">
        <v>98.85</v>
      </c>
      <c r="J4" s="43">
        <v>0.06</v>
      </c>
      <c r="K4" s="43">
        <f t="shared" si="1"/>
        <v>2471.19</v>
      </c>
      <c r="L4" s="69">
        <v>43105</v>
      </c>
      <c r="M4" s="43">
        <v>6</v>
      </c>
      <c r="O4" s="11" t="s">
        <v>66</v>
      </c>
      <c r="Q4" s="53">
        <v>161.22</v>
      </c>
      <c r="R4" s="416">
        <v>1.29E-2</v>
      </c>
      <c r="T4" s="29">
        <v>42738</v>
      </c>
      <c r="U4" t="s">
        <v>754</v>
      </c>
    </row>
    <row r="5" spans="1:21" x14ac:dyDescent="0.25">
      <c r="B5" s="360">
        <v>42962</v>
      </c>
      <c r="C5" s="7">
        <v>50</v>
      </c>
      <c r="D5" s="43">
        <v>90</v>
      </c>
      <c r="E5" s="43">
        <v>0</v>
      </c>
      <c r="F5" s="43">
        <f t="shared" si="0"/>
        <v>4500</v>
      </c>
      <c r="G5" s="360">
        <v>43104</v>
      </c>
      <c r="H5" s="77">
        <v>10</v>
      </c>
      <c r="I5" s="43">
        <v>109.88</v>
      </c>
      <c r="J5" s="43">
        <v>0.03</v>
      </c>
      <c r="K5" s="43">
        <f t="shared" si="1"/>
        <v>1098.77</v>
      </c>
      <c r="L5" s="69">
        <v>43195</v>
      </c>
      <c r="M5" s="43">
        <v>3</v>
      </c>
      <c r="O5" s="11" t="s">
        <v>67</v>
      </c>
      <c r="Q5" s="3">
        <f>Q4*Q2</f>
        <v>0</v>
      </c>
      <c r="T5" s="29">
        <v>43105</v>
      </c>
      <c r="U5" t="s">
        <v>781</v>
      </c>
    </row>
    <row r="6" spans="1:21" x14ac:dyDescent="0.25">
      <c r="B6" s="360">
        <v>43017</v>
      </c>
      <c r="C6" s="7">
        <v>10</v>
      </c>
      <c r="D6" s="43">
        <v>91.81</v>
      </c>
      <c r="E6" s="43">
        <v>0</v>
      </c>
      <c r="F6" s="43">
        <f t="shared" si="0"/>
        <v>918.1</v>
      </c>
      <c r="G6" s="360">
        <v>43112</v>
      </c>
      <c r="H6" s="77">
        <v>15</v>
      </c>
      <c r="I6" s="43">
        <v>115</v>
      </c>
      <c r="J6" s="43">
        <v>0.04</v>
      </c>
      <c r="K6" s="43">
        <f t="shared" si="1"/>
        <v>1724.96</v>
      </c>
      <c r="L6" s="4"/>
      <c r="M6" s="4"/>
      <c r="O6" s="11" t="s">
        <v>64</v>
      </c>
      <c r="Q6" s="2">
        <f>Q3*Q2</f>
        <v>0</v>
      </c>
    </row>
    <row r="7" spans="1:21" x14ac:dyDescent="0.25">
      <c r="B7" s="360">
        <v>43017</v>
      </c>
      <c r="C7" s="7">
        <v>40</v>
      </c>
      <c r="D7" s="43">
        <v>91.81</v>
      </c>
      <c r="E7" s="43">
        <v>0</v>
      </c>
      <c r="F7" s="43">
        <f t="shared" si="0"/>
        <v>3672.4</v>
      </c>
      <c r="G7" s="360">
        <v>43124</v>
      </c>
      <c r="H7" s="77">
        <v>25</v>
      </c>
      <c r="I7" s="43">
        <v>120.38</v>
      </c>
      <c r="J7" s="43">
        <v>7.0000000000000007E-2</v>
      </c>
      <c r="K7" s="43">
        <f t="shared" si="1"/>
        <v>3009.43</v>
      </c>
      <c r="L7" s="4"/>
      <c r="M7" s="4"/>
      <c r="O7" s="11" t="s">
        <v>175</v>
      </c>
      <c r="Q7" s="2">
        <f>Q10+Q8</f>
        <v>2714.0600000000013</v>
      </c>
      <c r="R7">
        <v>0</v>
      </c>
      <c r="T7" s="29">
        <v>43112</v>
      </c>
      <c r="U7" t="s">
        <v>787</v>
      </c>
    </row>
    <row r="8" spans="1:21" x14ac:dyDescent="0.25">
      <c r="B8" s="360">
        <v>43020</v>
      </c>
      <c r="C8" s="7">
        <v>25</v>
      </c>
      <c r="D8" s="43">
        <v>87.28</v>
      </c>
      <c r="E8" s="43">
        <v>0</v>
      </c>
      <c r="F8" s="43">
        <f t="shared" si="0"/>
        <v>2182</v>
      </c>
      <c r="G8" s="360">
        <v>43152</v>
      </c>
      <c r="H8" s="77">
        <v>15</v>
      </c>
      <c r="I8" s="43">
        <v>111.5</v>
      </c>
      <c r="J8" s="43">
        <v>0.04</v>
      </c>
      <c r="K8" s="43">
        <f t="shared" si="1"/>
        <v>1672.46</v>
      </c>
      <c r="L8" s="4"/>
      <c r="M8" s="4"/>
      <c r="O8" s="11" t="s">
        <v>177</v>
      </c>
      <c r="P8" s="33"/>
      <c r="Q8" s="2">
        <f>K18+M18-F18+Q2*Q4</f>
        <v>2714.0600000000013</v>
      </c>
    </row>
    <row r="9" spans="1:21" x14ac:dyDescent="0.25">
      <c r="B9" s="360">
        <v>43045</v>
      </c>
      <c r="C9" s="7">
        <v>50</v>
      </c>
      <c r="D9" s="43">
        <v>80.58</v>
      </c>
      <c r="E9" s="43">
        <v>0</v>
      </c>
      <c r="F9" s="43">
        <f t="shared" si="0"/>
        <v>4029</v>
      </c>
      <c r="G9" s="360">
        <v>43172</v>
      </c>
      <c r="H9" s="77">
        <v>10</v>
      </c>
      <c r="I9" s="43">
        <v>119.38</v>
      </c>
      <c r="J9" s="43">
        <v>0.03</v>
      </c>
      <c r="K9" s="43">
        <f t="shared" si="1"/>
        <v>1193.77</v>
      </c>
      <c r="L9" s="4"/>
      <c r="M9" s="4"/>
      <c r="O9" s="11" t="s">
        <v>202</v>
      </c>
      <c r="Q9" s="131">
        <f>IF(Q2=0, 0, Q8/Q6)</f>
        <v>0</v>
      </c>
      <c r="T9" s="29">
        <v>43114</v>
      </c>
      <c r="U9" t="s">
        <v>808</v>
      </c>
    </row>
    <row r="10" spans="1:21" x14ac:dyDescent="0.25">
      <c r="B10" s="360">
        <v>43130</v>
      </c>
      <c r="C10" s="7">
        <v>10</v>
      </c>
      <c r="D10" s="43">
        <v>118</v>
      </c>
      <c r="E10" s="43">
        <v>0</v>
      </c>
      <c r="F10" s="43">
        <f t="shared" si="0"/>
        <v>1180</v>
      </c>
      <c r="G10" s="360">
        <v>43217</v>
      </c>
      <c r="H10" s="77">
        <v>25</v>
      </c>
      <c r="I10" s="43">
        <v>115.94</v>
      </c>
      <c r="J10" s="43">
        <v>7.0000000000000007E-2</v>
      </c>
      <c r="K10" s="43">
        <f t="shared" si="1"/>
        <v>2898.43</v>
      </c>
      <c r="O10" s="11" t="s">
        <v>201</v>
      </c>
      <c r="P10" s="33"/>
      <c r="Q10" s="2">
        <f>M70</f>
        <v>0</v>
      </c>
      <c r="U10" t="s">
        <v>809</v>
      </c>
    </row>
    <row r="11" spans="1:21" x14ac:dyDescent="0.25">
      <c r="B11" s="360">
        <v>43151</v>
      </c>
      <c r="C11" s="7">
        <v>15</v>
      </c>
      <c r="D11" s="43">
        <v>104.1</v>
      </c>
      <c r="E11" s="43">
        <v>0</v>
      </c>
      <c r="F11" s="43">
        <f t="shared" si="0"/>
        <v>1561.5</v>
      </c>
      <c r="G11" s="360">
        <v>43250</v>
      </c>
      <c r="H11" s="77">
        <v>50</v>
      </c>
      <c r="I11" s="43">
        <v>127.98</v>
      </c>
      <c r="J11" s="43">
        <v>0.08</v>
      </c>
      <c r="K11" s="43">
        <f t="shared" si="1"/>
        <v>6398.92</v>
      </c>
      <c r="O11" s="11" t="s">
        <v>173</v>
      </c>
      <c r="P11" s="33"/>
      <c r="Q11" s="131">
        <v>2.8E-3</v>
      </c>
      <c r="R11">
        <v>0.06</v>
      </c>
    </row>
    <row r="12" spans="1:21" x14ac:dyDescent="0.25">
      <c r="B12" s="360">
        <v>43196</v>
      </c>
      <c r="C12" s="7">
        <v>25</v>
      </c>
      <c r="D12" s="43">
        <v>110.8</v>
      </c>
      <c r="E12" s="43">
        <v>0</v>
      </c>
      <c r="F12" s="43">
        <f t="shared" si="0"/>
        <v>2770</v>
      </c>
      <c r="H12" s="67"/>
      <c r="O12" s="11" t="s">
        <v>923</v>
      </c>
      <c r="Q12" s="29"/>
      <c r="T12" s="29">
        <v>43193</v>
      </c>
      <c r="U12" t="s">
        <v>894</v>
      </c>
    </row>
    <row r="13" spans="1:21" x14ac:dyDescent="0.25">
      <c r="C13" s="4"/>
      <c r="D13" s="3"/>
      <c r="E13" s="3"/>
      <c r="F13" s="3"/>
      <c r="H13" s="67"/>
      <c r="O13" s="11" t="s">
        <v>901</v>
      </c>
      <c r="Q13">
        <f>Q4/6.69</f>
        <v>24.098654708520179</v>
      </c>
    </row>
    <row r="14" spans="1:21" x14ac:dyDescent="0.25">
      <c r="C14" s="4"/>
      <c r="D14" s="3"/>
      <c r="E14" s="3"/>
      <c r="F14" s="3"/>
      <c r="H14" s="67"/>
    </row>
    <row r="15" spans="1:21" x14ac:dyDescent="0.25">
      <c r="H15" s="67"/>
    </row>
    <row r="16" spans="1:21" x14ac:dyDescent="0.25">
      <c r="H16" s="67"/>
    </row>
    <row r="17" spans="1:17" ht="20.25" thickBot="1" x14ac:dyDescent="0.35">
      <c r="O17" s="886" t="s">
        <v>78</v>
      </c>
      <c r="P17" s="886"/>
    </row>
    <row r="18" spans="1:17" ht="15.75" thickTop="1" x14ac:dyDescent="0.25">
      <c r="A18" s="31" t="s">
        <v>81</v>
      </c>
      <c r="B18" s="14"/>
      <c r="C18" s="14">
        <f>SUM(C2:C13)</f>
        <v>300</v>
      </c>
      <c r="D18" s="18"/>
      <c r="E18" s="18"/>
      <c r="F18" s="18">
        <f>SUM(F2:F13)</f>
        <v>29486.100000000002</v>
      </c>
      <c r="G18" s="14"/>
      <c r="H18" s="68">
        <f>SUM(H2:H11)</f>
        <v>300</v>
      </c>
      <c r="I18" s="18"/>
      <c r="J18" s="18"/>
      <c r="K18" s="18">
        <f>SUM(K2:K11)</f>
        <v>32185.160000000003</v>
      </c>
      <c r="L18" s="14"/>
      <c r="M18" s="18">
        <f>SUM(M2:M10)</f>
        <v>15</v>
      </c>
      <c r="O18" s="78">
        <v>1.1000000000000001</v>
      </c>
      <c r="P18" s="78">
        <f>O18*$Q$4</f>
        <v>177.34200000000001</v>
      </c>
      <c r="Q18" s="2"/>
    </row>
    <row r="19" spans="1:17" ht="15.75" thickBot="1" x14ac:dyDescent="0.3">
      <c r="A19" s="273" t="s">
        <v>189</v>
      </c>
      <c r="B19" s="274"/>
      <c r="C19" s="275">
        <f>SumByColor($A$19,C2:C17)</f>
        <v>300</v>
      </c>
      <c r="D19" s="275"/>
      <c r="E19" s="275"/>
      <c r="F19" s="276">
        <f>SumByColor($A$19,F2:F17)</f>
        <v>29486</v>
      </c>
      <c r="G19" s="275"/>
      <c r="H19" s="275">
        <f>SumByColor($A$19,H2:H17)</f>
        <v>300</v>
      </c>
      <c r="I19" s="275"/>
      <c r="J19" s="275"/>
      <c r="K19" s="276">
        <f>SumByColor($A$19,K2:K17)</f>
        <v>32184</v>
      </c>
      <c r="L19" s="275"/>
      <c r="M19" s="276">
        <f>SumByColor($A$19,M2:M17)</f>
        <v>15</v>
      </c>
      <c r="O19" s="78">
        <v>1.0900000000000001</v>
      </c>
      <c r="P19" s="78">
        <f t="shared" ref="P19:P38" si="2">O19*$Q$4</f>
        <v>175.72980000000001</v>
      </c>
      <c r="Q19" s="2"/>
    </row>
    <row r="20" spans="1:17" x14ac:dyDescent="0.25">
      <c r="O20" s="78">
        <v>1.08</v>
      </c>
      <c r="P20" s="78">
        <f t="shared" si="2"/>
        <v>174.11760000000001</v>
      </c>
      <c r="Q20" s="2"/>
    </row>
    <row r="21" spans="1:17" x14ac:dyDescent="0.25">
      <c r="O21" s="78">
        <v>1.07</v>
      </c>
      <c r="P21" s="78">
        <f t="shared" si="2"/>
        <v>172.50540000000001</v>
      </c>
      <c r="Q21" s="2"/>
    </row>
    <row r="22" spans="1:17" x14ac:dyDescent="0.25">
      <c r="O22" s="78">
        <v>1.06</v>
      </c>
      <c r="P22" s="78">
        <f t="shared" si="2"/>
        <v>170.89320000000001</v>
      </c>
      <c r="Q22" s="2"/>
    </row>
    <row r="23" spans="1:17" x14ac:dyDescent="0.25">
      <c r="O23" s="78">
        <v>1.05</v>
      </c>
      <c r="P23" s="78">
        <f t="shared" si="2"/>
        <v>169.28100000000001</v>
      </c>
      <c r="Q23" s="2"/>
    </row>
    <row r="24" spans="1:17" x14ac:dyDescent="0.25">
      <c r="B24" s="159" t="s">
        <v>113</v>
      </c>
      <c r="C24" s="159" t="s">
        <v>143</v>
      </c>
      <c r="D24" s="160" t="s">
        <v>142</v>
      </c>
      <c r="E24" s="162" t="s">
        <v>144</v>
      </c>
      <c r="F24" s="162" t="s">
        <v>65</v>
      </c>
      <c r="G24" s="173" t="s">
        <v>148</v>
      </c>
      <c r="H24" s="173" t="s">
        <v>88</v>
      </c>
      <c r="I24" s="173" t="s">
        <v>151</v>
      </c>
      <c r="J24" s="173" t="s">
        <v>147</v>
      </c>
      <c r="K24" s="173" t="s">
        <v>601</v>
      </c>
      <c r="L24" s="173" t="s">
        <v>452</v>
      </c>
      <c r="M24" s="173" t="s">
        <v>70</v>
      </c>
      <c r="O24" s="78">
        <v>1.04</v>
      </c>
      <c r="P24" s="78">
        <f t="shared" si="2"/>
        <v>167.6688</v>
      </c>
      <c r="Q24" s="2"/>
    </row>
    <row r="25" spans="1:17" x14ac:dyDescent="0.25">
      <c r="B25" s="161">
        <v>42892</v>
      </c>
      <c r="C25" s="10">
        <v>25</v>
      </c>
      <c r="D25" s="39">
        <v>132.88</v>
      </c>
      <c r="E25" s="39">
        <v>131.30000000000001</v>
      </c>
      <c r="F25" s="39">
        <f t="shared" ref="F25:F45" si="3">C25*(E25-D25)</f>
        <v>-39.499999999999602</v>
      </c>
      <c r="G25" s="39">
        <f t="shared" ref="G25:G45" si="4">D25*C25</f>
        <v>3322</v>
      </c>
      <c r="H25" s="175">
        <f t="shared" ref="H25:H45" si="5">(E25-D25)/D25</f>
        <v>-1.1890427453341242E-2</v>
      </c>
      <c r="I25" s="39"/>
      <c r="J25" s="39"/>
      <c r="K25" s="39"/>
      <c r="L25" s="39"/>
      <c r="M25" s="39"/>
      <c r="O25" s="78">
        <v>1.03</v>
      </c>
      <c r="P25" s="78">
        <f t="shared" si="2"/>
        <v>166.0566</v>
      </c>
      <c r="Q25" s="2"/>
    </row>
    <row r="26" spans="1:17" x14ac:dyDescent="0.25">
      <c r="B26" s="161">
        <v>42926</v>
      </c>
      <c r="C26" s="10">
        <v>50</v>
      </c>
      <c r="D26" s="39">
        <v>115.62130000000001</v>
      </c>
      <c r="E26" s="39">
        <v>100.92</v>
      </c>
      <c r="F26" s="39">
        <f t="shared" si="3"/>
        <v>-735.06500000000017</v>
      </c>
      <c r="G26" s="39">
        <f t="shared" si="4"/>
        <v>5781.0650000000005</v>
      </c>
      <c r="H26" s="175">
        <f t="shared" si="5"/>
        <v>-0.12715044719268856</v>
      </c>
      <c r="I26" s="39"/>
      <c r="J26" s="39"/>
      <c r="K26" s="39"/>
      <c r="L26" s="39"/>
      <c r="M26" s="39"/>
      <c r="O26" s="78">
        <v>1.02</v>
      </c>
      <c r="P26" s="78">
        <f t="shared" si="2"/>
        <v>164.4444</v>
      </c>
      <c r="Q26" s="2"/>
    </row>
    <row r="27" spans="1:17" x14ac:dyDescent="0.25">
      <c r="B27" s="161">
        <v>42947</v>
      </c>
      <c r="C27" s="10">
        <v>75</v>
      </c>
      <c r="D27" s="39">
        <v>115.62130000000001</v>
      </c>
      <c r="E27" s="39">
        <v>112.01</v>
      </c>
      <c r="F27" s="39">
        <f t="shared" si="3"/>
        <v>-270.84749999999997</v>
      </c>
      <c r="G27" s="39">
        <f t="shared" si="4"/>
        <v>8671.5974999999999</v>
      </c>
      <c r="H27" s="175">
        <f t="shared" si="5"/>
        <v>-3.1233864348524015E-2</v>
      </c>
      <c r="I27" s="39"/>
      <c r="J27" s="39"/>
      <c r="K27" s="39"/>
      <c r="L27" s="152"/>
      <c r="M27" s="152"/>
      <c r="O27" s="78">
        <v>1.01</v>
      </c>
      <c r="P27" s="78">
        <f t="shared" si="2"/>
        <v>162.8322</v>
      </c>
      <c r="Q27" s="2"/>
    </row>
    <row r="28" spans="1:17" x14ac:dyDescent="0.25">
      <c r="B28" s="161">
        <v>42962</v>
      </c>
      <c r="C28" s="10">
        <v>125</v>
      </c>
      <c r="D28" s="39">
        <v>105.3728</v>
      </c>
      <c r="E28" s="39">
        <v>87.08</v>
      </c>
      <c r="F28" s="39">
        <f t="shared" si="3"/>
        <v>-2286.6</v>
      </c>
      <c r="G28" s="39">
        <f t="shared" si="4"/>
        <v>13171.6</v>
      </c>
      <c r="H28" s="175">
        <f t="shared" si="5"/>
        <v>-0.17360077743022867</v>
      </c>
      <c r="I28" s="39"/>
      <c r="J28" s="39"/>
      <c r="K28" s="39"/>
      <c r="L28" s="152"/>
      <c r="M28" s="152"/>
      <c r="O28" s="78">
        <v>1</v>
      </c>
      <c r="P28" s="78">
        <f t="shared" si="2"/>
        <v>161.22</v>
      </c>
      <c r="Q28" s="2"/>
    </row>
    <row r="29" spans="1:17" x14ac:dyDescent="0.25">
      <c r="B29" s="161">
        <v>42963</v>
      </c>
      <c r="C29" s="10">
        <v>75</v>
      </c>
      <c r="D29" s="39">
        <v>113.97</v>
      </c>
      <c r="E29" s="39">
        <v>87.08</v>
      </c>
      <c r="F29" s="39">
        <f t="shared" si="3"/>
        <v>-2016.75</v>
      </c>
      <c r="G29" s="39">
        <f t="shared" si="4"/>
        <v>8547.75</v>
      </c>
      <c r="H29" s="175">
        <f t="shared" si="5"/>
        <v>-0.23593928226726332</v>
      </c>
      <c r="I29" s="39"/>
      <c r="J29" s="39"/>
      <c r="K29" s="39"/>
      <c r="L29" s="152"/>
      <c r="M29" s="152"/>
      <c r="O29" s="78">
        <v>0.99</v>
      </c>
      <c r="P29" s="78">
        <f t="shared" si="2"/>
        <v>159.6078</v>
      </c>
      <c r="Q29" s="2"/>
    </row>
    <row r="30" spans="1:17" x14ac:dyDescent="0.25">
      <c r="A30">
        <v>25</v>
      </c>
      <c r="B30" s="161">
        <v>42974</v>
      </c>
      <c r="C30" s="10">
        <v>75</v>
      </c>
      <c r="D30" s="39">
        <v>113.97</v>
      </c>
      <c r="E30" s="39">
        <v>95.8</v>
      </c>
      <c r="F30" s="39">
        <f t="shared" si="3"/>
        <v>-1362.7500000000002</v>
      </c>
      <c r="G30" s="39">
        <f t="shared" si="4"/>
        <v>8547.75</v>
      </c>
      <c r="H30" s="175">
        <f t="shared" si="5"/>
        <v>-0.15942791962797229</v>
      </c>
      <c r="I30" s="39"/>
      <c r="J30" s="39"/>
      <c r="K30" s="39"/>
      <c r="L30" s="152"/>
      <c r="M30" s="152"/>
      <c r="O30" s="78">
        <v>0.98</v>
      </c>
      <c r="P30" s="78">
        <f t="shared" si="2"/>
        <v>157.9956</v>
      </c>
      <c r="Q30" s="2"/>
    </row>
    <row r="31" spans="1:17" x14ac:dyDescent="0.25">
      <c r="A31">
        <v>25</v>
      </c>
      <c r="B31" s="161">
        <v>42983</v>
      </c>
      <c r="C31" s="7">
        <v>75</v>
      </c>
      <c r="D31" s="43">
        <v>113.97</v>
      </c>
      <c r="E31" s="39">
        <v>96.73</v>
      </c>
      <c r="F31" s="39">
        <f t="shared" si="3"/>
        <v>-1292.9999999999995</v>
      </c>
      <c r="G31" s="39">
        <f t="shared" si="4"/>
        <v>8547.75</v>
      </c>
      <c r="H31" s="175">
        <f t="shared" si="5"/>
        <v>-0.15126787751162582</v>
      </c>
      <c r="I31" s="39">
        <v>110</v>
      </c>
      <c r="J31" s="39"/>
      <c r="K31" s="39"/>
      <c r="L31" s="152"/>
      <c r="M31" s="152"/>
      <c r="O31" s="78">
        <v>0.97</v>
      </c>
      <c r="P31" s="78">
        <f t="shared" si="2"/>
        <v>156.38339999999999</v>
      </c>
    </row>
    <row r="32" spans="1:17" x14ac:dyDescent="0.25">
      <c r="B32" s="161">
        <v>42988</v>
      </c>
      <c r="C32" s="10">
        <v>75</v>
      </c>
      <c r="D32" s="39">
        <v>113.97</v>
      </c>
      <c r="E32" s="39">
        <v>94.03</v>
      </c>
      <c r="F32" s="39">
        <f t="shared" si="3"/>
        <v>-1495.4999999999998</v>
      </c>
      <c r="G32" s="39">
        <f t="shared" si="4"/>
        <v>8547.75</v>
      </c>
      <c r="H32" s="175">
        <f t="shared" si="5"/>
        <v>-0.17495832236553477</v>
      </c>
      <c r="I32" s="39">
        <v>110</v>
      </c>
      <c r="J32" s="39"/>
      <c r="K32" s="39"/>
      <c r="L32" s="152"/>
      <c r="M32" s="152"/>
      <c r="O32" s="78">
        <v>0.96</v>
      </c>
      <c r="P32" s="78">
        <f t="shared" si="2"/>
        <v>154.77119999999999</v>
      </c>
    </row>
    <row r="33" spans="1:16" x14ac:dyDescent="0.25">
      <c r="A33">
        <v>75</v>
      </c>
      <c r="B33" s="161">
        <v>43009</v>
      </c>
      <c r="C33" s="10">
        <v>75</v>
      </c>
      <c r="D33" s="39">
        <v>113.9695</v>
      </c>
      <c r="E33" s="39">
        <v>99.2</v>
      </c>
      <c r="F33" s="39">
        <f t="shared" si="3"/>
        <v>-1107.7124999999996</v>
      </c>
      <c r="G33" s="39">
        <f t="shared" si="4"/>
        <v>8547.7124999999996</v>
      </c>
      <c r="H33" s="175">
        <f t="shared" si="5"/>
        <v>-0.12959168900451432</v>
      </c>
      <c r="I33" s="39">
        <v>110</v>
      </c>
      <c r="J33" s="39"/>
      <c r="K33" s="39"/>
      <c r="L33" s="152"/>
      <c r="M33" s="152"/>
      <c r="O33" s="78">
        <v>0.95</v>
      </c>
      <c r="P33" s="78">
        <f t="shared" si="2"/>
        <v>153.15899999999999</v>
      </c>
    </row>
    <row r="34" spans="1:16" x14ac:dyDescent="0.25">
      <c r="A34">
        <v>75</v>
      </c>
      <c r="B34" s="161">
        <v>43017</v>
      </c>
      <c r="C34" s="10">
        <v>125</v>
      </c>
      <c r="D34" s="39">
        <v>105.0697</v>
      </c>
      <c r="E34" s="39">
        <v>91.12</v>
      </c>
      <c r="F34" s="39">
        <f t="shared" si="3"/>
        <v>-1743.7124999999992</v>
      </c>
      <c r="G34" s="39">
        <f t="shared" si="4"/>
        <v>13133.7125</v>
      </c>
      <c r="H34" s="175">
        <f t="shared" si="5"/>
        <v>-0.13276615427663727</v>
      </c>
      <c r="I34" s="39">
        <v>100</v>
      </c>
      <c r="J34" s="39"/>
      <c r="K34" s="39"/>
      <c r="L34" s="152"/>
      <c r="M34" s="152"/>
      <c r="O34" s="78">
        <v>0.94</v>
      </c>
      <c r="P34" s="78">
        <f t="shared" si="2"/>
        <v>151.54679999999999</v>
      </c>
    </row>
    <row r="35" spans="1:16" x14ac:dyDescent="0.25">
      <c r="A35">
        <v>75</v>
      </c>
      <c r="B35" s="161">
        <v>43020</v>
      </c>
      <c r="C35" s="10">
        <v>150</v>
      </c>
      <c r="D35" s="39">
        <v>102.10469999999999</v>
      </c>
      <c r="E35" s="39">
        <v>87.98</v>
      </c>
      <c r="F35" s="39">
        <f t="shared" si="3"/>
        <v>-2118.7049999999986</v>
      </c>
      <c r="G35" s="39">
        <f t="shared" si="4"/>
        <v>15315.705</v>
      </c>
      <c r="H35" s="175">
        <f t="shared" si="5"/>
        <v>-0.13833545370585282</v>
      </c>
      <c r="I35" s="39">
        <v>100</v>
      </c>
      <c r="J35" s="39"/>
      <c r="K35" s="39"/>
      <c r="L35" s="39"/>
      <c r="M35" s="39"/>
      <c r="O35" s="78">
        <v>0.93</v>
      </c>
      <c r="P35" s="78">
        <f t="shared" si="2"/>
        <v>149.93460000000002</v>
      </c>
    </row>
    <row r="36" spans="1:16" x14ac:dyDescent="0.25">
      <c r="A36">
        <v>75</v>
      </c>
      <c r="B36" s="161">
        <v>43021</v>
      </c>
      <c r="C36" s="10">
        <v>150</v>
      </c>
      <c r="D36" s="39">
        <v>102.10469999999999</v>
      </c>
      <c r="E36" s="39">
        <v>85.51</v>
      </c>
      <c r="F36" s="39">
        <f t="shared" si="3"/>
        <v>-2489.2049999999981</v>
      </c>
      <c r="G36" s="39">
        <f t="shared" si="4"/>
        <v>15315.705</v>
      </c>
      <c r="H36" s="175">
        <f t="shared" si="5"/>
        <v>-0.16252630877912563</v>
      </c>
      <c r="I36" s="39"/>
      <c r="J36" s="39"/>
      <c r="K36" s="39"/>
      <c r="L36" s="39">
        <v>26.5</v>
      </c>
      <c r="M36" s="39"/>
      <c r="O36" s="78">
        <v>0.92</v>
      </c>
      <c r="P36" s="78">
        <f t="shared" si="2"/>
        <v>148.32240000000002</v>
      </c>
    </row>
    <row r="37" spans="1:16" x14ac:dyDescent="0.25">
      <c r="A37">
        <v>75</v>
      </c>
      <c r="B37" s="161">
        <v>43028</v>
      </c>
      <c r="C37" s="10">
        <v>150</v>
      </c>
      <c r="D37" s="39">
        <v>102.10469999999999</v>
      </c>
      <c r="E37" s="39">
        <v>86.78</v>
      </c>
      <c r="F37" s="39">
        <f t="shared" si="3"/>
        <v>-2298.704999999999</v>
      </c>
      <c r="G37" s="39">
        <f t="shared" si="4"/>
        <v>15315.705</v>
      </c>
      <c r="H37" s="175">
        <f t="shared" si="5"/>
        <v>-0.15008809584671415</v>
      </c>
      <c r="I37" s="39"/>
      <c r="J37" s="39"/>
      <c r="K37" s="39"/>
      <c r="L37" s="39">
        <v>33.119999999999997</v>
      </c>
      <c r="M37" s="39"/>
      <c r="O37" s="78">
        <v>0.91</v>
      </c>
      <c r="P37" s="78">
        <f t="shared" si="2"/>
        <v>146.71020000000001</v>
      </c>
    </row>
    <row r="38" spans="1:16" x14ac:dyDescent="0.25">
      <c r="A38">
        <v>75</v>
      </c>
      <c r="B38" s="161">
        <v>43031</v>
      </c>
      <c r="C38" s="10">
        <v>150</v>
      </c>
      <c r="D38" s="39">
        <v>102.10469999999999</v>
      </c>
      <c r="E38" s="39">
        <v>85.91</v>
      </c>
      <c r="F38" s="39">
        <f t="shared" si="3"/>
        <v>-2429.2049999999995</v>
      </c>
      <c r="G38" s="39">
        <f t="shared" si="4"/>
        <v>15315.705</v>
      </c>
      <c r="H38" s="175">
        <f t="shared" si="5"/>
        <v>-0.15860876139883862</v>
      </c>
      <c r="I38" s="39"/>
      <c r="J38" s="39"/>
      <c r="K38" s="39"/>
      <c r="L38" s="39"/>
      <c r="M38" s="39"/>
      <c r="O38" s="78">
        <v>0.9</v>
      </c>
      <c r="P38" s="78">
        <f t="shared" si="2"/>
        <v>145.09800000000001</v>
      </c>
    </row>
    <row r="39" spans="1:16" x14ac:dyDescent="0.25">
      <c r="A39">
        <v>75</v>
      </c>
      <c r="B39" s="161">
        <v>43044</v>
      </c>
      <c r="C39" s="10">
        <v>150</v>
      </c>
      <c r="D39" s="39">
        <v>102.10469999999999</v>
      </c>
      <c r="E39" s="39">
        <v>81.8</v>
      </c>
      <c r="F39" s="39">
        <f t="shared" si="3"/>
        <v>-3045.7049999999995</v>
      </c>
      <c r="G39" s="39">
        <f t="shared" si="4"/>
        <v>15315.705</v>
      </c>
      <c r="H39" s="175">
        <f t="shared" si="5"/>
        <v>-0.19886156073128855</v>
      </c>
      <c r="I39" s="39">
        <v>100</v>
      </c>
      <c r="J39" s="39"/>
      <c r="K39" s="39"/>
      <c r="L39" s="39">
        <v>32.200000000000003</v>
      </c>
      <c r="M39" s="39"/>
    </row>
    <row r="40" spans="1:16" x14ac:dyDescent="0.25">
      <c r="A40">
        <v>75</v>
      </c>
      <c r="B40" s="161">
        <v>43045</v>
      </c>
      <c r="C40" s="10">
        <v>200</v>
      </c>
      <c r="D40" s="39">
        <v>96.724000000000004</v>
      </c>
      <c r="E40" s="39">
        <v>80.709999999999994</v>
      </c>
      <c r="F40" s="39">
        <f t="shared" si="3"/>
        <v>-3202.800000000002</v>
      </c>
      <c r="G40" s="39">
        <f t="shared" si="4"/>
        <v>19344.8</v>
      </c>
      <c r="H40" s="175">
        <f t="shared" si="5"/>
        <v>-0.16556387246185031</v>
      </c>
      <c r="I40" s="39"/>
      <c r="J40" s="39"/>
      <c r="K40" s="39"/>
      <c r="L40" s="39"/>
      <c r="M40" s="39"/>
    </row>
    <row r="41" spans="1:16" x14ac:dyDescent="0.25">
      <c r="A41">
        <v>75</v>
      </c>
      <c r="B41" s="161">
        <v>43053</v>
      </c>
      <c r="C41" s="10">
        <v>125</v>
      </c>
      <c r="D41" s="39">
        <v>98.01</v>
      </c>
      <c r="E41" s="39">
        <v>95.72</v>
      </c>
      <c r="F41" s="39">
        <f t="shared" si="3"/>
        <v>-286.2500000000008</v>
      </c>
      <c r="G41" s="39">
        <f t="shared" si="4"/>
        <v>12251.25</v>
      </c>
      <c r="H41" s="175">
        <f t="shared" si="5"/>
        <v>-2.3364962758902215E-2</v>
      </c>
      <c r="I41" s="39"/>
      <c r="J41" s="39"/>
      <c r="K41" s="39"/>
      <c r="L41" s="39"/>
      <c r="M41" s="39"/>
    </row>
    <row r="42" spans="1:16" x14ac:dyDescent="0.25">
      <c r="A42">
        <v>75</v>
      </c>
      <c r="B42" s="161">
        <v>43057</v>
      </c>
      <c r="C42" s="10">
        <v>125</v>
      </c>
      <c r="D42" s="39">
        <v>98.01</v>
      </c>
      <c r="E42" s="39">
        <v>89.27</v>
      </c>
      <c r="F42" s="39">
        <f t="shared" si="3"/>
        <v>-1092.5000000000011</v>
      </c>
      <c r="G42" s="39">
        <f t="shared" si="4"/>
        <v>12251.25</v>
      </c>
      <c r="H42" s="175">
        <f t="shared" si="5"/>
        <v>-8.9174574023058964E-2</v>
      </c>
      <c r="I42" s="39"/>
      <c r="J42" s="39"/>
      <c r="K42" s="39"/>
      <c r="L42" s="39">
        <v>55.15</v>
      </c>
      <c r="M42" s="39"/>
    </row>
    <row r="43" spans="1:16" x14ac:dyDescent="0.25">
      <c r="A43">
        <v>50</v>
      </c>
      <c r="B43" s="161">
        <v>43068</v>
      </c>
      <c r="C43" s="10">
        <v>100</v>
      </c>
      <c r="D43" s="39">
        <v>97.8</v>
      </c>
      <c r="E43" s="39">
        <v>99.69</v>
      </c>
      <c r="F43" s="39">
        <f t="shared" si="3"/>
        <v>189.00000000000006</v>
      </c>
      <c r="G43" s="39">
        <f t="shared" si="4"/>
        <v>9780</v>
      </c>
      <c r="H43" s="175">
        <f t="shared" si="5"/>
        <v>1.9325153374233135E-2</v>
      </c>
      <c r="I43" s="39">
        <v>97.3</v>
      </c>
      <c r="J43" s="39"/>
      <c r="K43" s="39"/>
      <c r="L43" s="39"/>
      <c r="M43" s="39"/>
    </row>
    <row r="44" spans="1:16" x14ac:dyDescent="0.25">
      <c r="A44">
        <v>100</v>
      </c>
      <c r="B44" s="161">
        <v>43102</v>
      </c>
      <c r="C44" s="10">
        <v>100</v>
      </c>
      <c r="D44" s="39">
        <v>97.8</v>
      </c>
      <c r="E44" s="39">
        <v>106.09</v>
      </c>
      <c r="F44" s="39">
        <f t="shared" si="3"/>
        <v>829.00000000000068</v>
      </c>
      <c r="G44" s="39">
        <f t="shared" si="4"/>
        <v>9780</v>
      </c>
      <c r="H44" s="175">
        <f t="shared" si="5"/>
        <v>8.4764826175869182E-2</v>
      </c>
      <c r="I44" s="39"/>
      <c r="J44" s="39"/>
      <c r="K44" s="39"/>
      <c r="L44" s="39"/>
      <c r="M44" s="39"/>
    </row>
    <row r="45" spans="1:16" x14ac:dyDescent="0.25">
      <c r="B45" s="161">
        <v>43104</v>
      </c>
      <c r="C45" s="10">
        <v>90</v>
      </c>
      <c r="D45" s="39">
        <v>96.46</v>
      </c>
      <c r="E45" s="39">
        <v>109.88</v>
      </c>
      <c r="F45" s="39">
        <f t="shared" si="3"/>
        <v>1207.8000000000002</v>
      </c>
      <c r="G45" s="39">
        <f t="shared" si="4"/>
        <v>8681.4</v>
      </c>
      <c r="H45" s="175">
        <f t="shared" si="5"/>
        <v>0.13912502591747877</v>
      </c>
      <c r="I45" s="39"/>
      <c r="J45" s="39"/>
      <c r="K45" s="39"/>
      <c r="L45" s="39"/>
      <c r="M45" s="39"/>
    </row>
    <row r="46" spans="1:16" x14ac:dyDescent="0.25">
      <c r="A46">
        <v>90</v>
      </c>
      <c r="B46" s="161">
        <v>43105</v>
      </c>
      <c r="C46" s="10">
        <v>90</v>
      </c>
      <c r="D46" s="39">
        <v>96.3934</v>
      </c>
      <c r="E46" s="39">
        <v>112.18</v>
      </c>
      <c r="F46" s="39">
        <f t="shared" ref="F46:F52" si="6">C46*(E46-D46)</f>
        <v>1420.7940000000006</v>
      </c>
      <c r="G46" s="39">
        <f t="shared" ref="G46:G52" si="7">D46*C46</f>
        <v>8675.4060000000009</v>
      </c>
      <c r="H46" s="175">
        <f t="shared" ref="H46:H52" si="8">(E46-D46)/D46</f>
        <v>0.16377262343687438</v>
      </c>
      <c r="I46" s="39"/>
      <c r="J46" s="39"/>
      <c r="K46" s="39"/>
      <c r="L46" s="39"/>
      <c r="M46" s="39"/>
    </row>
    <row r="47" spans="1:16" x14ac:dyDescent="0.25">
      <c r="A47">
        <v>75</v>
      </c>
      <c r="B47" s="161">
        <v>43112</v>
      </c>
      <c r="C47" s="7">
        <v>75</v>
      </c>
      <c r="D47" s="43">
        <v>92.672700000000006</v>
      </c>
      <c r="E47" s="39">
        <v>115.94</v>
      </c>
      <c r="F47" s="39">
        <f t="shared" si="6"/>
        <v>1745.0474999999994</v>
      </c>
      <c r="G47" s="39">
        <f t="shared" si="7"/>
        <v>6950.4525000000003</v>
      </c>
      <c r="H47" s="175">
        <f t="shared" si="8"/>
        <v>0.25106962460357785</v>
      </c>
      <c r="I47" s="170" t="s">
        <v>786</v>
      </c>
      <c r="J47" s="39"/>
      <c r="K47" s="39"/>
      <c r="L47" s="39">
        <v>74.34</v>
      </c>
      <c r="M47" s="39" t="s">
        <v>807</v>
      </c>
    </row>
    <row r="48" spans="1:16" x14ac:dyDescent="0.25">
      <c r="B48" s="161">
        <v>43124</v>
      </c>
      <c r="C48" s="10">
        <v>50</v>
      </c>
      <c r="D48" s="39">
        <v>78.819999999999993</v>
      </c>
      <c r="E48" s="39">
        <v>120.99</v>
      </c>
      <c r="F48" s="39">
        <f t="shared" si="6"/>
        <v>2108.5</v>
      </c>
      <c r="G48" s="39">
        <f t="shared" si="7"/>
        <v>3940.9999999999995</v>
      </c>
      <c r="H48" s="175">
        <f t="shared" si="8"/>
        <v>0.53501649327581835</v>
      </c>
      <c r="I48" s="39"/>
      <c r="J48" s="39"/>
      <c r="K48" s="39"/>
      <c r="L48" s="39"/>
      <c r="M48" s="39"/>
    </row>
    <row r="49" spans="1:13" x14ac:dyDescent="0.25">
      <c r="A49">
        <v>50</v>
      </c>
      <c r="B49" s="161">
        <v>43130</v>
      </c>
      <c r="C49" s="10">
        <v>60</v>
      </c>
      <c r="D49" s="39">
        <v>85.35</v>
      </c>
      <c r="E49" s="39">
        <v>119.27</v>
      </c>
      <c r="F49" s="39">
        <f t="shared" si="6"/>
        <v>2035.2</v>
      </c>
      <c r="G49" s="39">
        <f t="shared" si="7"/>
        <v>5121</v>
      </c>
      <c r="H49" s="175">
        <f t="shared" si="8"/>
        <v>0.39742237844171063</v>
      </c>
      <c r="I49" s="39"/>
      <c r="J49" s="39"/>
      <c r="K49" s="39"/>
      <c r="L49" s="39"/>
      <c r="M49" s="39"/>
    </row>
    <row r="50" spans="1:13" x14ac:dyDescent="0.25">
      <c r="A50">
        <v>50</v>
      </c>
      <c r="B50" s="161">
        <v>43146</v>
      </c>
      <c r="C50" s="10">
        <v>60</v>
      </c>
      <c r="D50" s="39">
        <v>85.35</v>
      </c>
      <c r="E50" s="39">
        <v>108.78</v>
      </c>
      <c r="F50" s="39">
        <f t="shared" si="6"/>
        <v>1405.8000000000004</v>
      </c>
      <c r="G50" s="39">
        <f t="shared" si="7"/>
        <v>5121</v>
      </c>
      <c r="H50" s="175">
        <f t="shared" si="8"/>
        <v>0.27451669595782086</v>
      </c>
      <c r="I50" s="39"/>
      <c r="J50" s="39"/>
      <c r="K50" s="39"/>
      <c r="L50" s="39"/>
      <c r="M50" s="39"/>
    </row>
    <row r="51" spans="1:13" x14ac:dyDescent="0.25">
      <c r="A51">
        <v>50</v>
      </c>
      <c r="B51" s="161">
        <v>43151</v>
      </c>
      <c r="C51" s="7">
        <v>75</v>
      </c>
      <c r="D51" s="43">
        <v>89.1</v>
      </c>
      <c r="E51" s="39">
        <v>104</v>
      </c>
      <c r="F51" s="39">
        <f t="shared" si="6"/>
        <v>1117.5000000000005</v>
      </c>
      <c r="G51" s="39">
        <f t="shared" si="7"/>
        <v>6682.5</v>
      </c>
      <c r="H51" s="175">
        <f t="shared" si="8"/>
        <v>0.16722783389450063</v>
      </c>
      <c r="I51" s="39" t="s">
        <v>869</v>
      </c>
      <c r="J51" s="39"/>
      <c r="K51" s="39"/>
      <c r="L51" s="39"/>
      <c r="M51" s="39"/>
    </row>
    <row r="52" spans="1:13" x14ac:dyDescent="0.25">
      <c r="A52">
        <v>35</v>
      </c>
      <c r="B52" s="161">
        <v>43152</v>
      </c>
      <c r="C52" s="10">
        <v>60</v>
      </c>
      <c r="D52" s="39">
        <v>83.5</v>
      </c>
      <c r="E52" s="39">
        <v>114</v>
      </c>
      <c r="F52" s="39">
        <f t="shared" si="6"/>
        <v>1830</v>
      </c>
      <c r="G52" s="39">
        <f t="shared" si="7"/>
        <v>5010</v>
      </c>
      <c r="H52" s="175">
        <f t="shared" si="8"/>
        <v>0.3652694610778443</v>
      </c>
      <c r="I52" s="39"/>
      <c r="J52" s="39"/>
      <c r="K52" s="39"/>
      <c r="L52" s="39"/>
      <c r="M52" s="39"/>
    </row>
    <row r="53" spans="1:13" x14ac:dyDescent="0.25">
      <c r="A53">
        <v>35</v>
      </c>
      <c r="B53" s="161">
        <v>43158</v>
      </c>
      <c r="C53" s="10">
        <v>60</v>
      </c>
      <c r="D53" s="39">
        <v>83.5</v>
      </c>
      <c r="E53" s="39">
        <v>109.8</v>
      </c>
      <c r="F53" s="39">
        <f>C53*(E53-D53)</f>
        <v>1577.9999999999998</v>
      </c>
      <c r="G53" s="39">
        <f>D53*C53</f>
        <v>5010</v>
      </c>
      <c r="H53" s="175">
        <f>(E53-D53)/D53</f>
        <v>0.31497005988023946</v>
      </c>
      <c r="I53" s="39"/>
      <c r="J53" s="39"/>
      <c r="K53" s="39"/>
      <c r="L53" s="39"/>
      <c r="M53" s="39"/>
    </row>
    <row r="54" spans="1:13" x14ac:dyDescent="0.25">
      <c r="A54" s="4">
        <v>45</v>
      </c>
      <c r="B54" s="161">
        <v>43172</v>
      </c>
      <c r="C54" s="10">
        <v>50</v>
      </c>
      <c r="D54" s="39">
        <v>76.33</v>
      </c>
      <c r="E54" s="39">
        <v>119</v>
      </c>
      <c r="F54" s="39">
        <f>C54*(E54-D54)</f>
        <v>2133.5</v>
      </c>
      <c r="G54" s="39">
        <f>D54*C54</f>
        <v>3816.5</v>
      </c>
      <c r="H54" s="175">
        <f>(E54-D54)/D54</f>
        <v>0.55902004454342991</v>
      </c>
      <c r="I54" s="39"/>
      <c r="J54" s="39"/>
      <c r="K54" s="39"/>
      <c r="L54" s="39"/>
      <c r="M54" s="39"/>
    </row>
    <row r="55" spans="1:13" x14ac:dyDescent="0.25">
      <c r="A55" s="4">
        <v>50</v>
      </c>
      <c r="B55" s="161">
        <v>43184</v>
      </c>
      <c r="C55" s="10">
        <v>50</v>
      </c>
      <c r="D55" s="39">
        <v>76.33</v>
      </c>
      <c r="E55" s="39">
        <v>110.84</v>
      </c>
      <c r="F55" s="39">
        <f>C55*(E55-D55)</f>
        <v>1725.5000000000002</v>
      </c>
      <c r="G55" s="39">
        <f>D55*C55</f>
        <v>3816.5</v>
      </c>
      <c r="H55" s="175">
        <f>(E55-D55)/D55</f>
        <v>0.45211581291759473</v>
      </c>
      <c r="I55" s="39"/>
      <c r="J55" s="39"/>
      <c r="K55" s="39"/>
      <c r="L55" s="39"/>
      <c r="M55" s="39"/>
    </row>
    <row r="56" spans="1:13" x14ac:dyDescent="0.25">
      <c r="A56" s="4">
        <v>50</v>
      </c>
      <c r="B56" s="161">
        <v>43185</v>
      </c>
      <c r="C56" s="10">
        <v>50</v>
      </c>
      <c r="D56" s="39">
        <v>76.33</v>
      </c>
      <c r="E56" s="39">
        <v>114.77</v>
      </c>
      <c r="F56" s="39">
        <f t="shared" ref="F56:F61" si="9">C56*(E56-D56)</f>
        <v>1922</v>
      </c>
      <c r="G56" s="39">
        <f t="shared" ref="G56:G61" si="10">D56*C56</f>
        <v>3816.5</v>
      </c>
      <c r="H56" s="175">
        <f t="shared" ref="H56:H61" si="11">(E56-D56)/D56</f>
        <v>0.50360277741386084</v>
      </c>
      <c r="I56" s="39"/>
      <c r="J56" s="39"/>
      <c r="K56" s="39"/>
      <c r="L56" s="39"/>
      <c r="M56" s="39"/>
    </row>
    <row r="57" spans="1:13" x14ac:dyDescent="0.25">
      <c r="A57" s="4">
        <v>50</v>
      </c>
      <c r="B57" s="161">
        <v>43196</v>
      </c>
      <c r="C57" s="7">
        <v>75</v>
      </c>
      <c r="D57" s="43">
        <v>87.82</v>
      </c>
      <c r="E57" s="39">
        <v>110.8</v>
      </c>
      <c r="F57" s="39">
        <f t="shared" si="9"/>
        <v>1723.5000000000002</v>
      </c>
      <c r="G57" s="39">
        <f t="shared" si="10"/>
        <v>6586.4999999999991</v>
      </c>
      <c r="H57" s="175">
        <f t="shared" si="11"/>
        <v>0.26167160100204973</v>
      </c>
      <c r="I57" s="39" t="s">
        <v>899</v>
      </c>
      <c r="J57" s="39"/>
      <c r="K57" s="39"/>
      <c r="L57" s="39"/>
      <c r="M57" s="39"/>
    </row>
    <row r="58" spans="1:13" x14ac:dyDescent="0.25">
      <c r="A58" s="4">
        <v>50</v>
      </c>
      <c r="B58" s="161">
        <v>43197</v>
      </c>
      <c r="C58" s="7">
        <v>75</v>
      </c>
      <c r="D58" s="43">
        <v>87.78</v>
      </c>
      <c r="E58" s="39">
        <v>111.91</v>
      </c>
      <c r="F58" s="39">
        <f t="shared" si="9"/>
        <v>1809.7499999999995</v>
      </c>
      <c r="G58" s="39">
        <f t="shared" si="10"/>
        <v>6583.5</v>
      </c>
      <c r="H58" s="175">
        <f t="shared" si="11"/>
        <v>0.27489177489177485</v>
      </c>
      <c r="I58" s="39">
        <v>87.5</v>
      </c>
      <c r="J58" s="39"/>
      <c r="K58" s="39"/>
      <c r="L58" s="39"/>
      <c r="M58" s="39" t="s">
        <v>182</v>
      </c>
    </row>
    <row r="59" spans="1:13" x14ac:dyDescent="0.25">
      <c r="A59" s="4">
        <v>50</v>
      </c>
      <c r="B59" s="161">
        <v>43207</v>
      </c>
      <c r="C59" s="10">
        <v>75</v>
      </c>
      <c r="D59" s="39">
        <v>87.78</v>
      </c>
      <c r="E59" s="39">
        <v>108.2</v>
      </c>
      <c r="F59" s="39">
        <f t="shared" si="9"/>
        <v>1531.5000000000002</v>
      </c>
      <c r="G59" s="39">
        <f t="shared" si="10"/>
        <v>6583.5</v>
      </c>
      <c r="H59" s="175">
        <f t="shared" si="11"/>
        <v>0.23262702210070632</v>
      </c>
      <c r="I59" s="39"/>
      <c r="J59" s="39"/>
      <c r="K59" s="39"/>
      <c r="L59" s="39"/>
      <c r="M59" s="39"/>
    </row>
    <row r="60" spans="1:13" x14ac:dyDescent="0.25">
      <c r="A60" s="4">
        <v>25</v>
      </c>
      <c r="B60" s="161">
        <v>43217</v>
      </c>
      <c r="C60" s="10">
        <v>50</v>
      </c>
      <c r="D60" s="39">
        <v>73.697199999999995</v>
      </c>
      <c r="E60" s="39">
        <v>116.34</v>
      </c>
      <c r="F60" s="39">
        <f t="shared" si="9"/>
        <v>2132.1400000000003</v>
      </c>
      <c r="G60" s="39">
        <f t="shared" si="10"/>
        <v>3684.8599999999997</v>
      </c>
      <c r="H60" s="175">
        <f t="shared" si="11"/>
        <v>0.57862171154399367</v>
      </c>
      <c r="I60" s="39"/>
      <c r="J60" s="39"/>
      <c r="K60" s="39"/>
      <c r="L60" s="39"/>
      <c r="M60" s="39"/>
    </row>
    <row r="61" spans="1:13" x14ac:dyDescent="0.25">
      <c r="A61" s="4">
        <v>50</v>
      </c>
      <c r="B61" s="161">
        <v>36647</v>
      </c>
      <c r="C61" s="10">
        <v>50</v>
      </c>
      <c r="D61" s="39">
        <v>73.7</v>
      </c>
      <c r="E61" s="39">
        <v>117.99</v>
      </c>
      <c r="F61" s="39">
        <f t="shared" si="9"/>
        <v>2214.4999999999995</v>
      </c>
      <c r="G61" s="39">
        <f t="shared" si="10"/>
        <v>3685</v>
      </c>
      <c r="H61" s="175">
        <f t="shared" si="11"/>
        <v>0.60094979647218438</v>
      </c>
      <c r="I61" s="39"/>
      <c r="J61" s="39"/>
      <c r="K61" s="39"/>
      <c r="L61" s="39"/>
      <c r="M61" s="39"/>
    </row>
    <row r="62" spans="1:13" x14ac:dyDescent="0.25">
      <c r="A62" s="4">
        <v>50</v>
      </c>
      <c r="B62" s="161">
        <v>43248</v>
      </c>
      <c r="C62" s="10">
        <v>50</v>
      </c>
      <c r="D62" s="39">
        <v>73.7</v>
      </c>
      <c r="E62" s="39">
        <v>124.91</v>
      </c>
      <c r="F62" s="39">
        <f>C62*(E62-D62)</f>
        <v>2560.4999999999995</v>
      </c>
      <c r="G62" s="39">
        <f>D62*C62</f>
        <v>3685</v>
      </c>
      <c r="H62" s="175">
        <f>(E62-D62)/D62</f>
        <v>0.69484396200814103</v>
      </c>
      <c r="I62" s="39"/>
      <c r="J62" s="39"/>
      <c r="K62" s="39"/>
      <c r="L62" s="39"/>
      <c r="M62" s="39"/>
    </row>
    <row r="63" spans="1:13" x14ac:dyDescent="0.25">
      <c r="A63" s="4"/>
      <c r="B63" s="161">
        <v>43250</v>
      </c>
      <c r="C63" s="10">
        <v>0</v>
      </c>
      <c r="D63" s="39"/>
      <c r="E63" s="39">
        <v>128.53</v>
      </c>
      <c r="F63" s="39">
        <v>2714.06</v>
      </c>
      <c r="G63" s="39"/>
      <c r="H63" s="175"/>
      <c r="I63" s="39"/>
      <c r="J63" s="39"/>
      <c r="K63" s="39"/>
      <c r="L63" s="39"/>
      <c r="M63" s="39"/>
    </row>
    <row r="64" spans="1:13" x14ac:dyDescent="0.25">
      <c r="A64" s="4"/>
      <c r="B64" s="161"/>
      <c r="C64" s="10"/>
      <c r="D64" s="39"/>
      <c r="E64" s="39"/>
      <c r="F64" s="39"/>
      <c r="G64" s="39"/>
      <c r="H64" s="175"/>
      <c r="I64" s="39"/>
      <c r="J64" s="39"/>
      <c r="K64" s="39"/>
      <c r="L64" s="39"/>
      <c r="M64" s="39"/>
    </row>
    <row r="65" spans="1:13" x14ac:dyDescent="0.25">
      <c r="A65" s="4"/>
      <c r="B65" s="161"/>
      <c r="C65" s="10"/>
      <c r="D65" s="39"/>
      <c r="E65" s="39"/>
      <c r="F65" s="39"/>
      <c r="G65" s="39"/>
      <c r="H65" s="175"/>
      <c r="I65" s="39"/>
      <c r="J65" s="39"/>
      <c r="K65" s="39"/>
      <c r="L65" s="39"/>
      <c r="M65" s="39"/>
    </row>
    <row r="66" spans="1:13" x14ac:dyDescent="0.25">
      <c r="A66" s="4"/>
      <c r="B66" s="161"/>
      <c r="C66" s="10"/>
      <c r="D66" s="39"/>
      <c r="E66" s="39"/>
      <c r="F66" s="39"/>
      <c r="G66" s="39"/>
      <c r="H66" s="175"/>
      <c r="I66" s="39"/>
      <c r="J66" s="39"/>
      <c r="K66" s="39"/>
      <c r="L66" s="39"/>
      <c r="M66" s="39"/>
    </row>
    <row r="67" spans="1:13" x14ac:dyDescent="0.25">
      <c r="A67" s="4"/>
      <c r="B67" s="161"/>
      <c r="C67" s="10"/>
      <c r="D67" s="39"/>
      <c r="E67" s="39"/>
      <c r="F67" s="39"/>
      <c r="G67" s="39"/>
      <c r="H67" s="175"/>
      <c r="I67" s="39"/>
      <c r="J67" s="39"/>
      <c r="K67" s="39"/>
      <c r="L67" s="39"/>
      <c r="M67" s="39"/>
    </row>
    <row r="68" spans="1:13" x14ac:dyDescent="0.25">
      <c r="A68" s="4"/>
      <c r="B68" s="161"/>
      <c r="C68" s="10"/>
      <c r="D68" s="39"/>
      <c r="E68" s="39"/>
      <c r="F68" s="39"/>
      <c r="G68" s="39"/>
      <c r="H68" s="175"/>
      <c r="I68" s="39"/>
      <c r="J68" s="39"/>
      <c r="K68" s="39"/>
      <c r="L68" s="39"/>
      <c r="M68" s="39"/>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t="s">
        <v>65</v>
      </c>
      <c r="M70" s="2">
        <f>M88+K88-F88</f>
        <v>0</v>
      </c>
    </row>
    <row r="71" spans="1:13" x14ac:dyDescent="0.25">
      <c r="A71" s="431" t="s">
        <v>1</v>
      </c>
      <c r="B71" s="431" t="s">
        <v>2</v>
      </c>
      <c r="C71" s="431" t="s">
        <v>4</v>
      </c>
      <c r="D71" s="432" t="s">
        <v>5</v>
      </c>
      <c r="E71" s="432" t="s">
        <v>94</v>
      </c>
      <c r="F71" s="432" t="s">
        <v>60</v>
      </c>
      <c r="G71" s="431" t="s">
        <v>3</v>
      </c>
      <c r="H71" s="431" t="s">
        <v>6</v>
      </c>
      <c r="I71" s="432" t="s">
        <v>7</v>
      </c>
      <c r="J71" s="432" t="s">
        <v>95</v>
      </c>
      <c r="K71" s="432" t="s">
        <v>61</v>
      </c>
      <c r="L71" s="431" t="s">
        <v>37</v>
      </c>
      <c r="M71" s="431" t="s">
        <v>38</v>
      </c>
    </row>
    <row r="72" spans="1:13" x14ac:dyDescent="0.25">
      <c r="A72" s="433"/>
      <c r="B72" s="417"/>
      <c r="C72" s="418"/>
      <c r="D72" s="420"/>
      <c r="E72" s="420"/>
      <c r="F72" s="420"/>
      <c r="G72" s="417"/>
      <c r="H72" s="434"/>
      <c r="I72" s="420"/>
      <c r="J72" s="420"/>
      <c r="K72" s="420"/>
      <c r="L72" s="417"/>
      <c r="M72" s="420"/>
    </row>
    <row r="73" spans="1:13" x14ac:dyDescent="0.25">
      <c r="A73" s="435"/>
      <c r="B73" s="417"/>
      <c r="C73" s="418"/>
      <c r="D73" s="420"/>
      <c r="E73" s="420"/>
      <c r="F73" s="420"/>
      <c r="G73" s="417"/>
      <c r="H73" s="434"/>
      <c r="I73" s="420"/>
      <c r="J73" s="420"/>
      <c r="K73" s="420"/>
      <c r="L73" s="418"/>
      <c r="M73" s="418"/>
    </row>
    <row r="74" spans="1:13" x14ac:dyDescent="0.25">
      <c r="A74" s="418"/>
      <c r="B74" s="417"/>
      <c r="C74" s="418"/>
      <c r="D74" s="420"/>
      <c r="E74" s="420"/>
      <c r="F74" s="420"/>
      <c r="G74" s="417"/>
      <c r="H74" s="434"/>
      <c r="I74" s="420"/>
      <c r="J74" s="420"/>
      <c r="K74" s="420"/>
      <c r="L74" s="418"/>
      <c r="M74" s="418"/>
    </row>
    <row r="75" spans="1:13" x14ac:dyDescent="0.25">
      <c r="A75" s="418"/>
      <c r="B75" s="417"/>
      <c r="C75" s="418"/>
      <c r="D75" s="420"/>
      <c r="E75" s="420"/>
      <c r="F75" s="420"/>
      <c r="G75" s="418"/>
      <c r="H75" s="434"/>
      <c r="I75" s="420"/>
      <c r="J75" s="420"/>
      <c r="K75" s="420"/>
      <c r="L75" s="418"/>
      <c r="M75" s="418"/>
    </row>
    <row r="76" spans="1:13" x14ac:dyDescent="0.25">
      <c r="A76" s="418"/>
      <c r="B76" s="417"/>
      <c r="C76" s="418"/>
      <c r="D76" s="420"/>
      <c r="E76" s="420"/>
      <c r="F76" s="420"/>
      <c r="G76" s="418"/>
      <c r="H76" s="434"/>
      <c r="I76" s="420"/>
      <c r="J76" s="420"/>
      <c r="K76" s="420"/>
      <c r="L76" s="418"/>
      <c r="M76" s="418"/>
    </row>
    <row r="77" spans="1:13" x14ac:dyDescent="0.25">
      <c r="A77" s="418"/>
      <c r="B77" s="418"/>
      <c r="C77" s="418"/>
      <c r="D77" s="420"/>
      <c r="E77" s="420"/>
      <c r="F77" s="420"/>
      <c r="G77" s="418"/>
      <c r="H77" s="434"/>
      <c r="I77" s="420"/>
      <c r="J77" s="420"/>
      <c r="K77" s="420"/>
      <c r="L77" s="418"/>
      <c r="M77" s="418"/>
    </row>
    <row r="78" spans="1:13" x14ac:dyDescent="0.25">
      <c r="A78" s="418"/>
      <c r="B78" s="418"/>
      <c r="C78" s="418"/>
      <c r="D78" s="420"/>
      <c r="E78" s="420"/>
      <c r="F78" s="420"/>
      <c r="G78" s="418"/>
      <c r="H78" s="434"/>
      <c r="I78" s="420"/>
      <c r="J78" s="420"/>
      <c r="K78" s="420"/>
      <c r="L78" s="418"/>
      <c r="M78" s="418"/>
    </row>
    <row r="79" spans="1:13" x14ac:dyDescent="0.25">
      <c r="A79" s="418"/>
      <c r="B79" s="418"/>
      <c r="C79" s="418"/>
      <c r="D79" s="420"/>
      <c r="E79" s="420"/>
      <c r="F79" s="420"/>
      <c r="G79" s="418"/>
      <c r="H79" s="434"/>
      <c r="I79" s="420"/>
      <c r="J79" s="420"/>
      <c r="K79" s="420"/>
      <c r="L79" s="418"/>
      <c r="M79" s="418"/>
    </row>
    <row r="80" spans="1:13"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34"/>
      <c r="I83" s="420"/>
      <c r="J83" s="420"/>
      <c r="K83" s="420"/>
      <c r="L83" s="418"/>
      <c r="M83" s="418"/>
    </row>
    <row r="84" spans="1:13" x14ac:dyDescent="0.25">
      <c r="A84" s="418"/>
      <c r="B84" s="418"/>
      <c r="C84" s="418"/>
      <c r="D84" s="420"/>
      <c r="E84" s="420"/>
      <c r="F84" s="420"/>
      <c r="G84" s="418"/>
      <c r="H84" s="434"/>
      <c r="I84" s="420"/>
      <c r="J84" s="420"/>
      <c r="K84" s="420"/>
      <c r="L84" s="418"/>
      <c r="M84" s="418"/>
    </row>
    <row r="85" spans="1:13" x14ac:dyDescent="0.25">
      <c r="A85" s="418"/>
      <c r="B85" s="418"/>
      <c r="C85" s="418"/>
      <c r="D85" s="420"/>
      <c r="E85" s="420"/>
      <c r="F85" s="420"/>
      <c r="G85" s="418"/>
      <c r="H85" s="434"/>
      <c r="I85" s="420"/>
      <c r="J85" s="420"/>
      <c r="K85" s="420"/>
      <c r="L85" s="418"/>
      <c r="M85" s="418"/>
    </row>
    <row r="86" spans="1:13" x14ac:dyDescent="0.25">
      <c r="A86" s="418"/>
      <c r="B86" s="418"/>
      <c r="C86" s="418"/>
      <c r="D86" s="420"/>
      <c r="E86" s="420"/>
      <c r="F86" s="420"/>
      <c r="G86" s="418"/>
      <c r="H86" s="434"/>
      <c r="I86" s="420"/>
      <c r="J86" s="420"/>
      <c r="K86" s="420"/>
      <c r="L86" s="418"/>
      <c r="M86" s="418"/>
    </row>
    <row r="87" spans="1:13" x14ac:dyDescent="0.25">
      <c r="A87" s="418"/>
      <c r="B87" s="418"/>
      <c r="C87" s="418"/>
      <c r="D87" s="420"/>
      <c r="E87" s="420"/>
      <c r="F87" s="420"/>
      <c r="G87" s="418"/>
      <c r="H87" s="418"/>
      <c r="I87" s="420"/>
      <c r="J87" s="420"/>
      <c r="K87" s="420"/>
      <c r="L87" s="418"/>
      <c r="M87" s="418"/>
    </row>
    <row r="88" spans="1:13" x14ac:dyDescent="0.25">
      <c r="A88" s="436" t="s">
        <v>81</v>
      </c>
      <c r="B88" s="437"/>
      <c r="C88" s="437">
        <f>SUM(C72:C76)</f>
        <v>0</v>
      </c>
      <c r="D88" s="438"/>
      <c r="E88" s="438"/>
      <c r="F88" s="438">
        <f>SUM(F72:F76)</f>
        <v>0</v>
      </c>
      <c r="G88" s="437"/>
      <c r="H88" s="459">
        <f>SUM(H72:H75)</f>
        <v>0</v>
      </c>
      <c r="I88" s="438"/>
      <c r="J88" s="438"/>
      <c r="K88" s="438">
        <f>SUM(K72:K75)</f>
        <v>0</v>
      </c>
      <c r="L88" s="437"/>
      <c r="M88" s="438">
        <f>SUM(M72:M80)</f>
        <v>0</v>
      </c>
    </row>
    <row r="89" spans="1:13" ht="15.75" thickBot="1" x14ac:dyDescent="0.3">
      <c r="A89" s="439" t="s">
        <v>189</v>
      </c>
      <c r="B89" s="440"/>
      <c r="C89" s="441">
        <f>SumByColor($A$19,C72:C87)</f>
        <v>0</v>
      </c>
      <c r="D89" s="441"/>
      <c r="E89" s="441"/>
      <c r="F89" s="442">
        <f>SumByColor($A$19,F72:F87)</f>
        <v>0</v>
      </c>
      <c r="G89" s="441"/>
      <c r="H89" s="441">
        <f>SumByColor($A$19,H72:H87)</f>
        <v>0</v>
      </c>
      <c r="I89" s="441"/>
      <c r="J89" s="441"/>
      <c r="K89" s="442">
        <f>SumByColor($A$19,K73:K87)</f>
        <v>0</v>
      </c>
      <c r="L89" s="441"/>
      <c r="M89" s="442">
        <f>SumByColor($A$19,M72:M87)</f>
        <v>0</v>
      </c>
    </row>
    <row r="92" spans="1:13" x14ac:dyDescent="0.25">
      <c r="B92" s="573" t="s">
        <v>113</v>
      </c>
      <c r="C92" s="573" t="s">
        <v>143</v>
      </c>
      <c r="D92" s="574" t="s">
        <v>142</v>
      </c>
      <c r="E92" s="575" t="s">
        <v>144</v>
      </c>
      <c r="F92" s="575" t="s">
        <v>65</v>
      </c>
      <c r="G92" s="576" t="s">
        <v>148</v>
      </c>
      <c r="H92" s="576" t="s">
        <v>88</v>
      </c>
      <c r="I92" s="576" t="s">
        <v>151</v>
      </c>
    </row>
    <row r="93" spans="1:13" x14ac:dyDescent="0.25">
      <c r="B93" s="481"/>
      <c r="C93" s="478"/>
      <c r="D93" s="479"/>
      <c r="E93" s="479"/>
      <c r="F93" s="479"/>
      <c r="G93" s="479"/>
      <c r="H93" s="577"/>
      <c r="I93" s="479"/>
    </row>
    <row r="94" spans="1:13" x14ac:dyDescent="0.25">
      <c r="B94" s="481"/>
      <c r="C94" s="478"/>
      <c r="D94" s="479"/>
      <c r="E94" s="479"/>
      <c r="F94" s="479"/>
      <c r="G94" s="479"/>
      <c r="H94" s="577"/>
      <c r="I94" s="479"/>
    </row>
    <row r="95" spans="1:13" x14ac:dyDescent="0.25">
      <c r="B95" s="481"/>
      <c r="C95" s="478"/>
      <c r="D95" s="479"/>
      <c r="E95" s="479"/>
      <c r="F95" s="479"/>
      <c r="G95" s="479"/>
      <c r="H95" s="577"/>
      <c r="I95" s="479"/>
    </row>
    <row r="96" spans="1:13" x14ac:dyDescent="0.25">
      <c r="B96" s="481"/>
      <c r="C96" s="478"/>
      <c r="D96" s="479"/>
      <c r="E96" s="479"/>
      <c r="F96" s="479"/>
      <c r="G96" s="479"/>
      <c r="H96" s="577"/>
      <c r="I96" s="479"/>
    </row>
    <row r="97" spans="2:9" x14ac:dyDescent="0.25">
      <c r="B97" s="481"/>
      <c r="C97" s="478"/>
      <c r="D97" s="479"/>
      <c r="E97" s="479"/>
      <c r="F97" s="479"/>
      <c r="G97" s="479"/>
      <c r="H97" s="577"/>
      <c r="I97" s="479"/>
    </row>
    <row r="98" spans="2:9" x14ac:dyDescent="0.25">
      <c r="B98" s="481"/>
      <c r="C98" s="478"/>
      <c r="D98" s="479"/>
      <c r="E98" s="479"/>
      <c r="F98" s="479"/>
      <c r="G98" s="479"/>
      <c r="H98" s="577"/>
      <c r="I98" s="479"/>
    </row>
    <row r="99" spans="2:9" x14ac:dyDescent="0.25">
      <c r="B99" s="481"/>
      <c r="C99" s="478"/>
      <c r="D99" s="479"/>
      <c r="E99" s="479"/>
      <c r="F99" s="479"/>
      <c r="G99" s="479"/>
      <c r="H99" s="577"/>
      <c r="I99" s="479"/>
    </row>
    <row r="100" spans="2:9" x14ac:dyDescent="0.25">
      <c r="B100" s="481"/>
      <c r="C100" s="478"/>
      <c r="D100" s="479"/>
      <c r="E100" s="479"/>
      <c r="F100" s="479"/>
      <c r="G100" s="479"/>
      <c r="H100" s="577"/>
      <c r="I100" s="479"/>
    </row>
    <row r="101" spans="2:9" x14ac:dyDescent="0.25">
      <c r="B101" s="481"/>
      <c r="C101" s="478"/>
      <c r="D101" s="479"/>
      <c r="E101" s="479"/>
      <c r="F101" s="479"/>
      <c r="G101" s="479"/>
      <c r="H101" s="577"/>
      <c r="I101" s="479"/>
    </row>
    <row r="102" spans="2:9" x14ac:dyDescent="0.25">
      <c r="B102" s="481"/>
      <c r="C102" s="478"/>
      <c r="D102" s="479"/>
      <c r="E102" s="479"/>
      <c r="F102" s="479"/>
      <c r="G102" s="479"/>
      <c r="H102" s="577"/>
      <c r="I102" s="479"/>
    </row>
    <row r="103" spans="2:9" x14ac:dyDescent="0.25">
      <c r="B103" s="481"/>
      <c r="C103" s="478"/>
      <c r="D103" s="479"/>
      <c r="E103" s="479"/>
      <c r="F103" s="479"/>
      <c r="G103" s="479"/>
      <c r="H103" s="577"/>
      <c r="I103" s="479"/>
    </row>
    <row r="104" spans="2:9" x14ac:dyDescent="0.25">
      <c r="B104" s="481"/>
      <c r="C104" s="478"/>
      <c r="D104" s="479"/>
      <c r="E104" s="479"/>
      <c r="F104" s="479"/>
      <c r="G104" s="479"/>
      <c r="H104" s="577"/>
      <c r="I104" s="479"/>
    </row>
    <row r="105" spans="2:9" x14ac:dyDescent="0.25">
      <c r="B105" s="481"/>
      <c r="C105" s="478"/>
      <c r="D105" s="479"/>
      <c r="E105" s="479"/>
      <c r="F105" s="479"/>
      <c r="G105" s="479"/>
      <c r="H105" s="577"/>
      <c r="I105" s="479"/>
    </row>
    <row r="106" spans="2:9" x14ac:dyDescent="0.25">
      <c r="B106" s="481"/>
      <c r="C106" s="478"/>
      <c r="D106" s="479"/>
      <c r="E106" s="479"/>
      <c r="F106" s="479"/>
      <c r="G106" s="479"/>
      <c r="H106" s="577"/>
      <c r="I106" s="479"/>
    </row>
    <row r="107" spans="2:9" x14ac:dyDescent="0.25">
      <c r="B107" s="481"/>
      <c r="C107" s="478"/>
      <c r="D107" s="479"/>
      <c r="E107" s="479"/>
      <c r="F107" s="479"/>
      <c r="G107" s="479"/>
      <c r="H107" s="577"/>
      <c r="I107" s="479"/>
    </row>
    <row r="108" spans="2:9" x14ac:dyDescent="0.25">
      <c r="B108" s="481"/>
      <c r="C108" s="478"/>
      <c r="D108" s="479"/>
      <c r="E108" s="479"/>
      <c r="F108" s="479"/>
      <c r="G108" s="479"/>
      <c r="H108" s="577"/>
      <c r="I108" s="479"/>
    </row>
    <row r="109" spans="2:9" x14ac:dyDescent="0.25">
      <c r="B109" s="481"/>
      <c r="C109" s="478"/>
      <c r="D109" s="479"/>
      <c r="E109" s="479"/>
      <c r="F109" s="479"/>
      <c r="G109" s="479"/>
      <c r="H109" s="577"/>
      <c r="I109" s="479"/>
    </row>
    <row r="110" spans="2:9" x14ac:dyDescent="0.25">
      <c r="B110" s="481"/>
      <c r="C110" s="478"/>
      <c r="D110" s="479"/>
      <c r="E110" s="479"/>
      <c r="F110" s="479"/>
      <c r="G110" s="479"/>
      <c r="H110" s="577"/>
      <c r="I110" s="479"/>
    </row>
    <row r="111" spans="2:9" x14ac:dyDescent="0.25">
      <c r="B111" s="481"/>
      <c r="C111" s="478"/>
      <c r="D111" s="479"/>
      <c r="E111" s="479"/>
      <c r="F111" s="479"/>
      <c r="G111" s="479"/>
      <c r="H111" s="577"/>
      <c r="I111" s="479"/>
    </row>
    <row r="112" spans="2:9" x14ac:dyDescent="0.25">
      <c r="B112" s="481"/>
      <c r="C112" s="478"/>
      <c r="D112" s="479"/>
      <c r="E112" s="479"/>
      <c r="F112" s="479"/>
      <c r="G112" s="479"/>
      <c r="H112" s="577"/>
      <c r="I112" s="479"/>
    </row>
    <row r="113" spans="2:9" x14ac:dyDescent="0.25">
      <c r="B113" s="481"/>
      <c r="C113" s="478"/>
      <c r="D113" s="479"/>
      <c r="E113" s="479"/>
      <c r="F113" s="479"/>
      <c r="G113" s="479"/>
      <c r="H113" s="577"/>
      <c r="I113" s="479"/>
    </row>
    <row r="114" spans="2:9" x14ac:dyDescent="0.25">
      <c r="B114" s="481"/>
      <c r="C114" s="478"/>
      <c r="D114" s="479"/>
      <c r="E114" s="479"/>
      <c r="F114" s="479"/>
      <c r="G114" s="479"/>
      <c r="H114" s="577"/>
      <c r="I114" s="479"/>
    </row>
  </sheetData>
  <mergeCells count="1">
    <mergeCell ref="O17:P17"/>
  </mergeCells>
  <conditionalFormatting sqref="O18:O38">
    <cfRule type="colorScale" priority="32">
      <colorScale>
        <cfvo type="min"/>
        <cfvo type="percentile" val="50"/>
        <cfvo type="max"/>
        <color rgb="FFF8696B"/>
        <color rgb="FFFFEB84"/>
        <color rgb="FF63BE7B"/>
      </colorScale>
    </cfRule>
  </conditionalFormatting>
  <conditionalFormatting sqref="P18:P38">
    <cfRule type="colorScale" priority="31">
      <colorScale>
        <cfvo type="min"/>
        <cfvo type="percentile" val="50"/>
        <cfvo type="max"/>
        <color rgb="FFF8696B"/>
        <color rgb="FFFFEB84"/>
        <color rgb="FF63BE7B"/>
      </colorScale>
    </cfRule>
  </conditionalFormatting>
  <conditionalFormatting sqref="Q7 F25:F60 H25:H60 H65:H68 F65:F68">
    <cfRule type="expression" dxfId="3517" priority="25">
      <formula>F7&gt;0</formula>
    </cfRule>
    <cfRule type="expression" dxfId="3516" priority="26">
      <formula>F7&lt;0</formula>
    </cfRule>
  </conditionalFormatting>
  <conditionalFormatting sqref="Q8">
    <cfRule type="expression" dxfId="3515" priority="23">
      <formula>Q8&gt;0</formula>
    </cfRule>
    <cfRule type="expression" dxfId="3514" priority="24">
      <formula>Q8&lt;0</formula>
    </cfRule>
  </conditionalFormatting>
  <conditionalFormatting sqref="F93:F114">
    <cfRule type="expression" dxfId="3513" priority="17">
      <formula>F93&gt;0</formula>
    </cfRule>
    <cfRule type="expression" dxfId="3512" priority="18">
      <formula>F93&lt;0</formula>
    </cfRule>
  </conditionalFormatting>
  <conditionalFormatting sqref="H93:H114">
    <cfRule type="expression" dxfId="3511" priority="15">
      <formula>H93&gt;0</formula>
    </cfRule>
    <cfRule type="expression" dxfId="3510" priority="16">
      <formula>H93&lt;0</formula>
    </cfRule>
  </conditionalFormatting>
  <conditionalFormatting sqref="Q10">
    <cfRule type="expression" dxfId="3509" priority="13">
      <formula>Q10&gt;0</formula>
    </cfRule>
    <cfRule type="expression" dxfId="3508" priority="14">
      <formula>Q10&lt;0</formula>
    </cfRule>
  </conditionalFormatting>
  <conditionalFormatting sqref="J25:J38">
    <cfRule type="expression" dxfId="3507" priority="11">
      <formula>J25&gt;0</formula>
    </cfRule>
    <cfRule type="expression" dxfId="3506" priority="12">
      <formula>J25&lt;0</formula>
    </cfRule>
  </conditionalFormatting>
  <conditionalFormatting sqref="K25:K38">
    <cfRule type="expression" dxfId="3505" priority="9">
      <formula>K25&gt;0</formula>
    </cfRule>
    <cfRule type="expression" dxfId="3504" priority="10">
      <formula>K25&lt;0</formula>
    </cfRule>
  </conditionalFormatting>
  <conditionalFormatting sqref="L25:L34">
    <cfRule type="expression" dxfId="3503" priority="7">
      <formula>L25&gt;0</formula>
    </cfRule>
    <cfRule type="expression" dxfId="3502" priority="8">
      <formula>L25&lt;0</formula>
    </cfRule>
  </conditionalFormatting>
  <conditionalFormatting sqref="J43">
    <cfRule type="expression" dxfId="3501" priority="5">
      <formula>J43&gt;0</formula>
    </cfRule>
    <cfRule type="expression" dxfId="3500" priority="6">
      <formula>J43&lt;0</formula>
    </cfRule>
  </conditionalFormatting>
  <conditionalFormatting sqref="M25:M34">
    <cfRule type="expression" dxfId="3499" priority="3">
      <formula>M25&gt;0</formula>
    </cfRule>
    <cfRule type="expression" dxfId="3498" priority="4">
      <formula>M25&lt;0</formula>
    </cfRule>
  </conditionalFormatting>
  <conditionalFormatting sqref="H61:H64 F61:F64">
    <cfRule type="expression" dxfId="3497" priority="1">
      <formula>F61&gt;0</formula>
    </cfRule>
    <cfRule type="expression" dxfId="3496" priority="2">
      <formula>F61&lt;0</formula>
    </cfRule>
  </conditionalFormatting>
  <hyperlinks>
    <hyperlink ref="A3" location="ACTIVE!A1" display="Back"/>
  </hyperlinks>
  <pageMargins left="0.7" right="0.7" top="0.75" bottom="0.75" header="0.3" footer="0.3"/>
  <pageSetup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9"/>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c r="X1" s="88"/>
      <c r="Y1" s="88"/>
      <c r="Z1" s="88"/>
      <c r="AA1" s="88"/>
      <c r="AB1" s="88"/>
      <c r="AC1" s="88"/>
    </row>
    <row r="2" spans="1:31" x14ac:dyDescent="0.25">
      <c r="A2" s="6" t="s">
        <v>664</v>
      </c>
      <c r="B2" s="69"/>
      <c r="C2" s="4"/>
      <c r="D2" s="3"/>
      <c r="E2" s="3"/>
      <c r="F2" s="3"/>
      <c r="G2" s="69"/>
      <c r="H2" s="4"/>
      <c r="I2" s="3"/>
      <c r="J2" s="3"/>
      <c r="K2" s="3"/>
      <c r="L2" s="69"/>
      <c r="M2" s="3"/>
      <c r="O2" s="11" t="s">
        <v>57</v>
      </c>
      <c r="Q2">
        <f>C18-H18</f>
        <v>0</v>
      </c>
      <c r="T2" s="1"/>
      <c r="W2" s="127"/>
      <c r="X2" s="10"/>
      <c r="Y2" s="10"/>
      <c r="Z2" s="10"/>
      <c r="AA2" s="10"/>
      <c r="AB2" s="90"/>
      <c r="AC2" s="10"/>
      <c r="AD2" s="2"/>
      <c r="AE2" s="131"/>
    </row>
    <row r="3" spans="1:31" x14ac:dyDescent="0.25">
      <c r="A3" s="22" t="s">
        <v>71</v>
      </c>
      <c r="B3" s="69"/>
      <c r="C3" s="4"/>
      <c r="D3" s="3"/>
      <c r="E3" s="3"/>
      <c r="F3" s="3"/>
      <c r="G3" s="69"/>
      <c r="H3" s="158"/>
      <c r="I3" s="3"/>
      <c r="J3" s="3"/>
      <c r="K3" s="3"/>
      <c r="L3" s="69"/>
      <c r="M3" s="3"/>
      <c r="O3" s="11" t="s">
        <v>58</v>
      </c>
      <c r="Q3" s="174">
        <f>IF(Q2=0, Q4, (F18-K18-M18)/Q2)</f>
        <v>1147.26</v>
      </c>
      <c r="T3" s="1"/>
      <c r="W3" s="127"/>
      <c r="X3" s="10"/>
      <c r="Y3" s="10"/>
      <c r="Z3" s="10"/>
      <c r="AA3" s="10"/>
      <c r="AB3" s="90"/>
      <c r="AC3" s="10"/>
      <c r="AD3" s="2"/>
      <c r="AE3" s="131"/>
    </row>
    <row r="4" spans="1:31" x14ac:dyDescent="0.25">
      <c r="B4" s="69"/>
      <c r="C4" s="4"/>
      <c r="D4" s="3"/>
      <c r="E4" s="3"/>
      <c r="F4" s="3"/>
      <c r="G4" s="69"/>
      <c r="H4" s="158"/>
      <c r="I4" s="3"/>
      <c r="J4" s="3"/>
      <c r="K4" s="3"/>
      <c r="L4" s="4"/>
      <c r="M4" s="4"/>
      <c r="O4" s="11" t="s">
        <v>66</v>
      </c>
      <c r="Q4" s="53">
        <v>1147.26</v>
      </c>
      <c r="R4" s="416">
        <v>-8.0000000000000004E-4</v>
      </c>
      <c r="T4" s="153"/>
      <c r="U4" s="1"/>
      <c r="W4" s="127"/>
      <c r="X4" s="10"/>
      <c r="Y4" s="10"/>
      <c r="Z4" s="10"/>
      <c r="AA4" s="10"/>
      <c r="AB4" s="90"/>
      <c r="AC4" s="10"/>
      <c r="AD4" s="2"/>
      <c r="AE4" s="131"/>
    </row>
    <row r="5" spans="1:31" x14ac:dyDescent="0.25">
      <c r="B5" s="69"/>
      <c r="C5" s="4"/>
      <c r="D5" s="3"/>
      <c r="E5" s="3"/>
      <c r="F5" s="3"/>
      <c r="G5" s="4"/>
      <c r="H5" s="158"/>
      <c r="I5" s="3"/>
      <c r="J5" s="3"/>
      <c r="K5" s="3"/>
      <c r="L5" s="4"/>
      <c r="M5" s="4"/>
      <c r="O5" s="11" t="s">
        <v>67</v>
      </c>
      <c r="Q5" s="3">
        <f>Q4*Q2</f>
        <v>0</v>
      </c>
      <c r="W5" s="127"/>
      <c r="X5" s="10"/>
      <c r="Y5" s="10"/>
      <c r="Z5" s="10"/>
      <c r="AA5" s="10"/>
      <c r="AB5" s="90"/>
      <c r="AC5" s="10"/>
      <c r="AD5" s="2"/>
      <c r="AE5" s="131"/>
    </row>
    <row r="6" spans="1:31" x14ac:dyDescent="0.25">
      <c r="B6" s="69"/>
      <c r="C6" s="4"/>
      <c r="D6" s="3"/>
      <c r="E6" s="3"/>
      <c r="F6" s="3"/>
      <c r="G6" s="4"/>
      <c r="H6" s="158"/>
      <c r="I6" s="3"/>
      <c r="J6" s="3"/>
      <c r="K6" s="3"/>
      <c r="L6" s="4"/>
      <c r="M6" s="4"/>
      <c r="O6" s="11" t="s">
        <v>64</v>
      </c>
      <c r="Q6" s="2">
        <f>Q3*Q2</f>
        <v>0</v>
      </c>
      <c r="W6" s="127"/>
      <c r="X6" s="10"/>
      <c r="Y6" s="10"/>
      <c r="Z6" s="10"/>
      <c r="AA6" s="10"/>
      <c r="AB6" s="90"/>
      <c r="AC6" s="10"/>
      <c r="AD6" s="2"/>
      <c r="AE6" s="131"/>
    </row>
    <row r="7" spans="1:31" x14ac:dyDescent="0.25">
      <c r="B7" s="4"/>
      <c r="C7" s="4"/>
      <c r="D7" s="3"/>
      <c r="E7" s="3"/>
      <c r="F7" s="3"/>
      <c r="G7" s="4"/>
      <c r="H7" s="158"/>
      <c r="I7" s="3"/>
      <c r="J7" s="3"/>
      <c r="K7" s="3"/>
      <c r="L7" s="4"/>
      <c r="M7" s="4"/>
      <c r="O7" s="11" t="s">
        <v>175</v>
      </c>
      <c r="Q7" s="2">
        <f>Q10+Q8</f>
        <v>559.89000000000033</v>
      </c>
      <c r="R7">
        <v>0</v>
      </c>
      <c r="W7" s="127"/>
      <c r="X7" s="10"/>
      <c r="Y7" s="10"/>
      <c r="Z7" s="10"/>
      <c r="AA7" s="10"/>
      <c r="AB7" s="90"/>
      <c r="AC7" s="10"/>
      <c r="AD7" s="2"/>
      <c r="AE7" s="131"/>
    </row>
    <row r="8" spans="1:31" x14ac:dyDescent="0.25">
      <c r="B8" s="4"/>
      <c r="C8" s="4"/>
      <c r="D8" s="3"/>
      <c r="E8" s="3"/>
      <c r="F8" s="3"/>
      <c r="G8" s="4"/>
      <c r="H8" s="158"/>
      <c r="I8" s="3"/>
      <c r="J8" s="3"/>
      <c r="K8" s="3"/>
      <c r="L8" s="4"/>
      <c r="M8" s="4"/>
      <c r="O8" s="11" t="s">
        <v>177</v>
      </c>
      <c r="P8" s="33"/>
      <c r="Q8" s="2">
        <f>K18+M18-F18+Q2*Q4</f>
        <v>0</v>
      </c>
      <c r="W8" s="127"/>
      <c r="X8" s="10"/>
      <c r="Y8" s="10"/>
      <c r="Z8" s="10"/>
      <c r="AA8" s="10"/>
      <c r="AB8" s="90"/>
      <c r="AC8" s="10"/>
      <c r="AD8" s="2"/>
      <c r="AE8" s="131"/>
    </row>
    <row r="9" spans="1:31" x14ac:dyDescent="0.25">
      <c r="B9" s="4"/>
      <c r="C9" s="4"/>
      <c r="D9" s="3"/>
      <c r="E9" s="3"/>
      <c r="F9" s="3"/>
      <c r="G9" s="4"/>
      <c r="H9" s="158"/>
      <c r="I9" s="3"/>
      <c r="J9" s="3"/>
      <c r="K9" s="3"/>
      <c r="L9" s="4"/>
      <c r="M9" s="4"/>
      <c r="O9" s="11" t="s">
        <v>202</v>
      </c>
      <c r="Q9" s="131">
        <f>IF(Q2=0, 0, Q8/Q6)</f>
        <v>0</v>
      </c>
      <c r="W9" s="127"/>
      <c r="X9" s="10"/>
      <c r="Y9" s="10"/>
      <c r="Z9" s="10"/>
      <c r="AA9" s="10"/>
      <c r="AB9" s="90"/>
      <c r="AC9" s="10"/>
      <c r="AD9" s="2"/>
      <c r="AE9" s="131"/>
    </row>
    <row r="10" spans="1:31" x14ac:dyDescent="0.25">
      <c r="H10" s="67"/>
      <c r="O10" s="11" t="s">
        <v>201</v>
      </c>
      <c r="P10" s="33"/>
      <c r="Q10" s="2">
        <f>M66</f>
        <v>559.89000000000033</v>
      </c>
      <c r="W10" s="127"/>
      <c r="X10" s="10"/>
      <c r="Y10" s="10"/>
      <c r="Z10" s="10"/>
      <c r="AA10" s="10"/>
      <c r="AB10" s="90"/>
      <c r="AC10" s="10"/>
      <c r="AD10" s="2"/>
      <c r="AE10" s="131"/>
    </row>
    <row r="11" spans="1:31" x14ac:dyDescent="0.25">
      <c r="H11" s="67"/>
      <c r="O11" s="11" t="s">
        <v>173</v>
      </c>
      <c r="P11" s="33"/>
      <c r="Q11" s="131">
        <v>0</v>
      </c>
      <c r="W11" s="127"/>
      <c r="X11" s="10"/>
      <c r="Y11" s="10"/>
      <c r="Z11" s="10"/>
      <c r="AA11" s="10"/>
      <c r="AB11" s="90"/>
      <c r="AC11" s="10"/>
      <c r="AD11" s="2"/>
      <c r="AE11" s="131"/>
    </row>
    <row r="12" spans="1:31" x14ac:dyDescent="0.25">
      <c r="H12" s="67"/>
      <c r="W12" s="127"/>
      <c r="X12" s="10"/>
      <c r="Y12" s="10"/>
      <c r="Z12" s="10"/>
      <c r="AA12" s="10"/>
      <c r="AB12" s="90"/>
      <c r="AC12" s="10"/>
      <c r="AD12" s="2"/>
      <c r="AE12" s="131"/>
    </row>
    <row r="13" spans="1:31" x14ac:dyDescent="0.25">
      <c r="H13" s="67"/>
      <c r="W13" s="127"/>
      <c r="X13" s="10"/>
      <c r="Y13" s="10"/>
      <c r="Z13" s="10"/>
      <c r="AA13" s="10"/>
      <c r="AB13" s="90"/>
      <c r="AC13" s="10"/>
      <c r="AD13" s="2"/>
      <c r="AE13" s="131"/>
    </row>
    <row r="14" spans="1:31" x14ac:dyDescent="0.25">
      <c r="H14" s="67"/>
      <c r="W14" s="127"/>
      <c r="X14" s="10"/>
      <c r="Y14" s="10"/>
      <c r="Z14" s="10"/>
      <c r="AA14" s="10"/>
      <c r="AB14" s="90"/>
      <c r="AC14" s="10"/>
      <c r="AD14" s="2"/>
      <c r="AE14" s="131"/>
    </row>
    <row r="15" spans="1:31" x14ac:dyDescent="0.25">
      <c r="H15" s="67"/>
      <c r="W15" s="127"/>
      <c r="X15" s="10"/>
      <c r="Y15" s="10"/>
      <c r="Z15" s="10"/>
      <c r="AA15" s="10"/>
      <c r="AB15" s="90"/>
      <c r="AC15" s="10"/>
      <c r="AD15" s="2"/>
      <c r="AE15" s="131"/>
    </row>
    <row r="16" spans="1:31" x14ac:dyDescent="0.25">
      <c r="H16" s="67"/>
      <c r="W16" s="127"/>
      <c r="X16" s="10"/>
      <c r="Y16" s="10"/>
      <c r="Z16" s="10"/>
      <c r="AA16" s="10"/>
      <c r="AB16" s="90"/>
      <c r="AC16" s="10"/>
      <c r="AD16" s="2"/>
      <c r="AE16" s="131"/>
    </row>
    <row r="17" spans="1:31" x14ac:dyDescent="0.25">
      <c r="W17" s="127"/>
      <c r="X17" s="10"/>
      <c r="Y17" s="10"/>
      <c r="Z17" s="10"/>
      <c r="AA17" s="10"/>
      <c r="AB17" s="90"/>
      <c r="AC17" s="10"/>
      <c r="AD17" s="2"/>
      <c r="AE17" s="131"/>
    </row>
    <row r="18" spans="1:31" x14ac:dyDescent="0.25">
      <c r="A18" s="31" t="s">
        <v>81</v>
      </c>
      <c r="B18" s="14"/>
      <c r="C18" s="14">
        <f>SUM(C2:C6)</f>
        <v>0</v>
      </c>
      <c r="D18" s="18"/>
      <c r="E18" s="18"/>
      <c r="F18" s="18">
        <f>SUM(F2:F6)</f>
        <v>0</v>
      </c>
      <c r="G18" s="14"/>
      <c r="H18" s="68">
        <f>SUM(H2:H5)</f>
        <v>0</v>
      </c>
      <c r="I18" s="18"/>
      <c r="J18" s="18"/>
      <c r="K18" s="18">
        <f>SUM(K2:K5)</f>
        <v>0</v>
      </c>
      <c r="L18" s="14"/>
      <c r="M18" s="18">
        <f>SUM(M2:M10)</f>
        <v>0</v>
      </c>
      <c r="W18" s="127"/>
      <c r="X18" s="10"/>
      <c r="Y18" s="10"/>
      <c r="Z18" s="10"/>
      <c r="AA18" s="10"/>
      <c r="AB18" s="90"/>
      <c r="AC18" s="10"/>
      <c r="AD18" s="2"/>
      <c r="AE18" s="131"/>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SumByColor($A$19,K3:K17)</f>
        <v>0</v>
      </c>
      <c r="L19" s="275"/>
      <c r="M19" s="276">
        <f>SumByColor($A$19,M2:M17)</f>
        <v>0</v>
      </c>
      <c r="W19" s="127"/>
      <c r="X19" s="10"/>
      <c r="Y19" s="10"/>
      <c r="Z19" s="10"/>
      <c r="AA19" s="10"/>
      <c r="AB19" s="90"/>
      <c r="AC19" s="10"/>
      <c r="AD19" s="2"/>
      <c r="AE19" s="131"/>
    </row>
    <row r="20" spans="1:31" x14ac:dyDescent="0.25">
      <c r="W20" s="127"/>
      <c r="X20" s="10"/>
      <c r="Y20" s="10"/>
      <c r="Z20" s="10"/>
      <c r="AA20" s="10"/>
      <c r="AB20" s="90"/>
      <c r="AC20" s="10"/>
      <c r="AD20" s="2"/>
      <c r="AE20" s="131"/>
    </row>
    <row r="21" spans="1:31" x14ac:dyDescent="0.25">
      <c r="W21" s="127"/>
      <c r="X21" s="10"/>
      <c r="Y21" s="10"/>
      <c r="Z21" s="10"/>
      <c r="AA21" s="10"/>
      <c r="AB21" s="90"/>
      <c r="AC21" s="10"/>
      <c r="AD21" s="2"/>
      <c r="AE21" s="131"/>
    </row>
    <row r="22" spans="1:31" x14ac:dyDescent="0.25">
      <c r="W22" s="127"/>
      <c r="X22" s="10"/>
      <c r="Y22" s="10"/>
      <c r="Z22" s="10"/>
      <c r="AA22" s="10"/>
      <c r="AB22" s="90"/>
      <c r="AC22" s="10"/>
      <c r="AD22" s="2"/>
      <c r="AE22" s="131"/>
    </row>
    <row r="23" spans="1:31" x14ac:dyDescent="0.25">
      <c r="W23" s="127"/>
      <c r="X23" s="10"/>
      <c r="Y23" s="10"/>
      <c r="Z23" s="10"/>
      <c r="AA23" s="10"/>
      <c r="AB23" s="90"/>
      <c r="AC23" s="10"/>
      <c r="AD23" s="2"/>
      <c r="AE23" s="131"/>
    </row>
    <row r="24" spans="1:31" x14ac:dyDescent="0.25">
      <c r="B24" s="159" t="s">
        <v>113</v>
      </c>
      <c r="C24" s="159" t="s">
        <v>143</v>
      </c>
      <c r="D24" s="160" t="s">
        <v>142</v>
      </c>
      <c r="E24" s="162" t="s">
        <v>144</v>
      </c>
      <c r="F24" s="162" t="s">
        <v>65</v>
      </c>
      <c r="G24" s="173" t="s">
        <v>148</v>
      </c>
      <c r="H24" s="173" t="s">
        <v>88</v>
      </c>
      <c r="I24" s="173" t="s">
        <v>151</v>
      </c>
      <c r="J24" s="173" t="s">
        <v>147</v>
      </c>
      <c r="K24" s="173" t="s">
        <v>601</v>
      </c>
      <c r="L24" s="173" t="s">
        <v>607</v>
      </c>
      <c r="W24" s="127"/>
      <c r="X24" s="10"/>
      <c r="Y24" s="10"/>
      <c r="Z24" s="10"/>
      <c r="AA24" s="10"/>
      <c r="AB24" s="90"/>
      <c r="AC24" s="10"/>
      <c r="AD24" s="2"/>
      <c r="AE24" s="131"/>
    </row>
    <row r="25" spans="1:31" x14ac:dyDescent="0.25">
      <c r="B25" s="161">
        <v>42997</v>
      </c>
      <c r="C25" s="10">
        <v>8</v>
      </c>
      <c r="D25" s="39">
        <v>538</v>
      </c>
      <c r="E25" s="39">
        <v>535.19000000000005</v>
      </c>
      <c r="F25" s="39">
        <f>C25*(E25-D25)</f>
        <v>-22.479999999999563</v>
      </c>
      <c r="G25" s="39">
        <f>D25*C25</f>
        <v>4304</v>
      </c>
      <c r="H25" s="175">
        <f>(E25-D25)/D25</f>
        <v>-5.2230483271374448E-3</v>
      </c>
      <c r="I25" s="39">
        <v>22</v>
      </c>
      <c r="J25" s="39"/>
      <c r="K25" s="39"/>
      <c r="L25" s="39"/>
      <c r="W25" s="127"/>
      <c r="X25" s="10"/>
      <c r="Y25" s="10"/>
      <c r="Z25" s="10"/>
      <c r="AA25" s="10"/>
      <c r="AB25" s="90"/>
      <c r="AC25" s="10"/>
      <c r="AD25" s="2"/>
      <c r="AE25" s="131"/>
    </row>
    <row r="26" spans="1:31" x14ac:dyDescent="0.25">
      <c r="B26" s="161">
        <v>43031</v>
      </c>
      <c r="C26" s="10">
        <v>8</v>
      </c>
      <c r="D26" s="39">
        <v>538</v>
      </c>
      <c r="E26" s="39">
        <v>589</v>
      </c>
      <c r="F26" s="39">
        <f>C26*(E26-D26)</f>
        <v>408</v>
      </c>
      <c r="G26" s="39">
        <f>D26*C26</f>
        <v>4304</v>
      </c>
      <c r="H26" s="175">
        <f>(E26-D26)/D26</f>
        <v>9.4795539033457249E-2</v>
      </c>
      <c r="I26" s="39"/>
      <c r="J26" s="39"/>
      <c r="K26" s="39"/>
      <c r="L26" s="39"/>
      <c r="W26" s="127"/>
      <c r="X26" s="10"/>
      <c r="Y26" s="10"/>
      <c r="Z26" s="10"/>
      <c r="AA26" s="10"/>
      <c r="AB26" s="90"/>
      <c r="AC26" s="10"/>
      <c r="AD26" s="2"/>
      <c r="AE26" s="131"/>
    </row>
    <row r="27" spans="1:31" x14ac:dyDescent="0.25">
      <c r="B27" s="161">
        <v>43042</v>
      </c>
      <c r="C27" s="10">
        <v>0</v>
      </c>
      <c r="D27" s="39"/>
      <c r="E27" s="39"/>
      <c r="F27" s="39">
        <v>559.89</v>
      </c>
      <c r="G27" s="39"/>
      <c r="H27" s="175"/>
      <c r="I27" s="39"/>
      <c r="J27" s="39"/>
      <c r="K27" s="39"/>
      <c r="L27" s="152"/>
      <c r="W27" s="127"/>
      <c r="X27" s="10"/>
      <c r="Y27" s="10"/>
      <c r="Z27" s="10"/>
      <c r="AA27" s="10"/>
      <c r="AB27" s="90"/>
      <c r="AC27" s="10"/>
      <c r="AD27" s="2"/>
      <c r="AE27" s="131"/>
    </row>
    <row r="28" spans="1:31" x14ac:dyDescent="0.25">
      <c r="B28" s="161"/>
      <c r="C28" s="10"/>
      <c r="D28" s="39"/>
      <c r="E28" s="39"/>
      <c r="F28" s="39"/>
      <c r="G28" s="39"/>
      <c r="H28" s="175"/>
      <c r="I28" s="39"/>
      <c r="J28" s="39"/>
      <c r="K28" s="39"/>
      <c r="L28" s="152"/>
      <c r="W28" s="127"/>
      <c r="X28" s="10"/>
      <c r="Y28" s="10"/>
      <c r="Z28" s="10"/>
      <c r="AA28" s="10"/>
      <c r="AB28" s="90"/>
      <c r="AC28" s="10"/>
      <c r="AD28" s="2"/>
      <c r="AE28" s="131"/>
    </row>
    <row r="29" spans="1:31" x14ac:dyDescent="0.25">
      <c r="B29" s="161"/>
      <c r="C29" s="10"/>
      <c r="D29" s="39"/>
      <c r="E29" s="39"/>
      <c r="F29" s="39"/>
      <c r="G29" s="39"/>
      <c r="H29" s="175"/>
      <c r="I29" s="39"/>
      <c r="J29" s="39"/>
      <c r="K29" s="39"/>
      <c r="L29" s="152"/>
      <c r="W29" s="127"/>
      <c r="X29" s="10"/>
      <c r="Y29" s="10"/>
      <c r="Z29" s="10"/>
      <c r="AA29" s="10"/>
      <c r="AB29" s="90"/>
      <c r="AC29" s="10"/>
      <c r="AD29" s="2"/>
      <c r="AE29" s="131"/>
    </row>
    <row r="30" spans="1:31" x14ac:dyDescent="0.25">
      <c r="B30" s="161"/>
      <c r="C30" s="10"/>
      <c r="D30" s="39"/>
      <c r="E30" s="39"/>
      <c r="F30" s="39"/>
      <c r="G30" s="39"/>
      <c r="H30" s="175"/>
      <c r="I30" s="39"/>
      <c r="J30" s="39"/>
      <c r="K30" s="39"/>
      <c r="L30" s="152"/>
      <c r="W30" s="127"/>
      <c r="X30" s="10"/>
      <c r="Y30" s="10"/>
      <c r="Z30" s="10"/>
      <c r="AA30" s="10"/>
      <c r="AB30" s="90"/>
      <c r="AC30" s="10"/>
      <c r="AD30" s="2"/>
      <c r="AE30" s="131"/>
    </row>
    <row r="31" spans="1:31" x14ac:dyDescent="0.25">
      <c r="B31" s="161"/>
      <c r="C31" s="10"/>
      <c r="D31" s="39"/>
      <c r="E31" s="39"/>
      <c r="F31" s="39"/>
      <c r="G31" s="39"/>
      <c r="H31" s="175"/>
      <c r="I31" s="39"/>
      <c r="J31" s="39"/>
      <c r="K31" s="39"/>
      <c r="L31" s="152"/>
      <c r="W31" s="127"/>
      <c r="X31" s="10"/>
      <c r="Y31" s="10"/>
      <c r="Z31" s="10"/>
      <c r="AA31" s="10"/>
      <c r="AB31" s="90"/>
      <c r="AC31" s="10"/>
      <c r="AD31" s="2"/>
      <c r="AE31" s="131"/>
    </row>
    <row r="32" spans="1:31" x14ac:dyDescent="0.25">
      <c r="B32" s="161"/>
      <c r="C32" s="10"/>
      <c r="D32" s="39"/>
      <c r="E32" s="39"/>
      <c r="F32" s="39"/>
      <c r="G32" s="39"/>
      <c r="H32" s="175"/>
      <c r="I32" s="39"/>
      <c r="J32" s="39"/>
      <c r="K32" s="39"/>
      <c r="L32" s="152"/>
      <c r="W32" s="127"/>
      <c r="X32" s="10"/>
      <c r="Y32" s="10"/>
      <c r="Z32" s="10"/>
      <c r="AA32" s="10"/>
      <c r="AB32" s="90"/>
      <c r="AC32" s="10"/>
      <c r="AD32" s="2"/>
      <c r="AE32" s="131"/>
    </row>
    <row r="33" spans="1:31" x14ac:dyDescent="0.25">
      <c r="A33" s="29"/>
      <c r="B33" s="161"/>
      <c r="C33" s="10"/>
      <c r="D33" s="39"/>
      <c r="E33" s="39"/>
      <c r="F33" s="39"/>
      <c r="G33" s="39"/>
      <c r="H33" s="175"/>
      <c r="I33" s="39"/>
      <c r="J33" s="39"/>
      <c r="K33" s="39"/>
      <c r="L33" s="152"/>
      <c r="W33" s="127"/>
      <c r="X33" s="10"/>
      <c r="Y33" s="10"/>
      <c r="Z33" s="10"/>
      <c r="AA33" s="10"/>
      <c r="AB33" s="90"/>
      <c r="AC33" s="10"/>
      <c r="AD33" s="2"/>
      <c r="AE33" s="131"/>
    </row>
    <row r="34" spans="1:31" x14ac:dyDescent="0.25">
      <c r="B34" s="161"/>
      <c r="C34" s="10"/>
      <c r="D34" s="39"/>
      <c r="E34" s="39"/>
      <c r="F34" s="39"/>
      <c r="G34" s="39"/>
      <c r="H34" s="175"/>
      <c r="I34" s="39"/>
      <c r="J34" s="39"/>
      <c r="K34" s="39"/>
      <c r="L34" s="152"/>
      <c r="W34" s="127"/>
      <c r="X34" s="10"/>
      <c r="Y34" s="10"/>
      <c r="Z34" s="10"/>
      <c r="AA34" s="10"/>
      <c r="AB34" s="90"/>
      <c r="AC34" s="10"/>
      <c r="AD34" s="2"/>
      <c r="AE34" s="131"/>
    </row>
    <row r="35" spans="1:31" x14ac:dyDescent="0.25">
      <c r="B35" s="161"/>
      <c r="C35" s="10"/>
      <c r="D35" s="39"/>
      <c r="E35" s="39"/>
      <c r="F35" s="39"/>
      <c r="G35" s="39"/>
      <c r="H35" s="175"/>
      <c r="I35" s="39"/>
      <c r="J35" s="39"/>
      <c r="K35" s="39"/>
      <c r="L35" s="152"/>
      <c r="W35" s="127"/>
      <c r="X35" s="10"/>
      <c r="Y35" s="10"/>
      <c r="Z35" s="10"/>
      <c r="AA35" s="10"/>
      <c r="AB35" s="90"/>
      <c r="AC35" s="10"/>
      <c r="AD35" s="2"/>
      <c r="AE35" s="131"/>
    </row>
    <row r="36" spans="1:31" x14ac:dyDescent="0.25">
      <c r="B36" s="161"/>
      <c r="C36" s="10"/>
      <c r="D36" s="39"/>
      <c r="E36" s="39"/>
      <c r="F36" s="39"/>
      <c r="G36" s="39"/>
      <c r="H36" s="175"/>
      <c r="I36" s="39"/>
      <c r="J36" s="39"/>
      <c r="K36" s="39"/>
      <c r="L36" s="39"/>
      <c r="W36" s="127"/>
      <c r="X36" s="10"/>
      <c r="Y36" s="10"/>
      <c r="Z36" s="10"/>
      <c r="AA36" s="10"/>
      <c r="AB36" s="90"/>
      <c r="AC36" s="10"/>
      <c r="AD36" s="2"/>
      <c r="AE36" s="131"/>
    </row>
    <row r="37" spans="1:31" x14ac:dyDescent="0.25">
      <c r="B37" s="161"/>
      <c r="C37" s="10"/>
      <c r="D37" s="39"/>
      <c r="E37" s="39"/>
      <c r="F37" s="39"/>
      <c r="G37" s="39"/>
      <c r="H37" s="175"/>
      <c r="I37" s="39"/>
      <c r="J37" s="39"/>
      <c r="K37" s="39"/>
      <c r="L37" s="39"/>
      <c r="W37" s="127"/>
      <c r="X37" s="10"/>
      <c r="Y37" s="10"/>
      <c r="Z37" s="10"/>
      <c r="AA37" s="10"/>
      <c r="AB37" s="90"/>
      <c r="AC37" s="10"/>
      <c r="AD37" s="2"/>
      <c r="AE37" s="131"/>
    </row>
    <row r="38" spans="1:31" x14ac:dyDescent="0.25">
      <c r="B38" s="161"/>
      <c r="C38" s="10"/>
      <c r="D38" s="39"/>
      <c r="E38" s="39"/>
      <c r="F38" s="39"/>
      <c r="G38" s="39"/>
      <c r="H38" s="175"/>
      <c r="I38" s="39"/>
      <c r="J38" s="39"/>
      <c r="K38" s="39"/>
      <c r="L38" s="39"/>
      <c r="W38" s="127"/>
      <c r="X38" s="10"/>
      <c r="Y38" s="10"/>
      <c r="Z38" s="10"/>
      <c r="AA38" s="10"/>
      <c r="AB38" s="90"/>
      <c r="AC38" s="10"/>
      <c r="AD38" s="2"/>
      <c r="AE38" s="131"/>
    </row>
    <row r="39" spans="1:31" x14ac:dyDescent="0.25">
      <c r="B39" s="161"/>
      <c r="C39" s="10"/>
      <c r="D39" s="39"/>
      <c r="E39" s="39"/>
      <c r="F39" s="39"/>
      <c r="G39" s="39"/>
      <c r="H39" s="175"/>
      <c r="I39" s="39"/>
      <c r="J39" s="39"/>
      <c r="K39" s="39"/>
      <c r="L39" s="39"/>
      <c r="W39" s="127"/>
      <c r="X39" s="10"/>
      <c r="Y39" s="10"/>
      <c r="Z39" s="10"/>
      <c r="AA39" s="10"/>
      <c r="AB39" s="90"/>
      <c r="AC39" s="10"/>
      <c r="AD39" s="2"/>
      <c r="AE39" s="131"/>
    </row>
    <row r="40" spans="1:31" ht="20.25" thickBot="1" x14ac:dyDescent="0.35">
      <c r="B40" s="161"/>
      <c r="C40" s="10"/>
      <c r="D40" s="39"/>
      <c r="E40" s="39"/>
      <c r="F40" s="39"/>
      <c r="G40" s="39"/>
      <c r="H40" s="175"/>
      <c r="I40" s="39"/>
      <c r="J40" s="39"/>
      <c r="K40" s="39"/>
      <c r="L40" s="39"/>
      <c r="O40" s="886" t="s">
        <v>78</v>
      </c>
      <c r="P40" s="886"/>
      <c r="W40" s="127"/>
      <c r="X40" s="10"/>
      <c r="Y40" s="10"/>
      <c r="Z40" s="10"/>
      <c r="AA40" s="10"/>
      <c r="AB40" s="90"/>
      <c r="AC40" s="10"/>
      <c r="AD40" s="2"/>
      <c r="AE40" s="131"/>
    </row>
    <row r="41" spans="1:31" ht="15.75" thickTop="1" x14ac:dyDescent="0.25">
      <c r="B41" s="161"/>
      <c r="C41" s="10"/>
      <c r="D41" s="39"/>
      <c r="E41" s="39"/>
      <c r="F41" s="39"/>
      <c r="G41" s="39"/>
      <c r="H41" s="175"/>
      <c r="I41" s="39"/>
      <c r="J41" s="39"/>
      <c r="K41" s="39"/>
      <c r="L41" s="39"/>
      <c r="O41" s="78">
        <v>1.1000000000000001</v>
      </c>
      <c r="P41" s="78">
        <f>O41*$Q$4</f>
        <v>1261.9860000000001</v>
      </c>
      <c r="Q41" s="2"/>
      <c r="W41" s="127"/>
      <c r="X41" s="10"/>
      <c r="Y41" s="10"/>
      <c r="Z41" s="10"/>
      <c r="AA41" s="10"/>
      <c r="AB41" s="90"/>
      <c r="AC41" s="10"/>
      <c r="AD41" s="2"/>
      <c r="AE41" s="131"/>
    </row>
    <row r="42" spans="1:31" ht="20.25" thickBot="1" x14ac:dyDescent="0.35">
      <c r="B42" s="161"/>
      <c r="C42" s="10"/>
      <c r="D42" s="39"/>
      <c r="E42" s="39"/>
      <c r="F42" s="39"/>
      <c r="G42" s="39"/>
      <c r="H42" s="175"/>
      <c r="I42" s="39"/>
      <c r="J42" s="39"/>
      <c r="K42" s="39"/>
      <c r="L42" s="39"/>
      <c r="O42" s="78">
        <v>1.0900000000000001</v>
      </c>
      <c r="P42" s="78">
        <f t="shared" ref="P42:P61" si="0">O42*$Q$4</f>
        <v>1250.5134</v>
      </c>
      <c r="Q42" s="2"/>
      <c r="T42" s="86"/>
      <c r="W42" s="127"/>
      <c r="X42" s="10"/>
      <c r="Y42" s="10"/>
      <c r="Z42" s="10"/>
      <c r="AA42" s="10"/>
      <c r="AB42" s="90"/>
      <c r="AC42" s="10"/>
      <c r="AD42" s="2"/>
      <c r="AE42" s="131"/>
    </row>
    <row r="43" spans="1:31" ht="15.75" thickTop="1" x14ac:dyDescent="0.25">
      <c r="B43" s="161"/>
      <c r="C43" s="10"/>
      <c r="D43" s="39"/>
      <c r="E43" s="39"/>
      <c r="F43" s="39"/>
      <c r="G43" s="39"/>
      <c r="H43" s="175"/>
      <c r="I43" s="39"/>
      <c r="J43" s="39"/>
      <c r="K43" s="39"/>
      <c r="L43" s="39"/>
      <c r="O43" s="78">
        <v>1.08</v>
      </c>
      <c r="P43" s="78">
        <f t="shared" si="0"/>
        <v>1239.0408</v>
      </c>
      <c r="Q43" s="2"/>
      <c r="T43" s="122"/>
      <c r="U43" s="123"/>
      <c r="W43" s="127"/>
      <c r="X43" s="10"/>
      <c r="Y43" s="10"/>
      <c r="Z43" s="10"/>
      <c r="AA43" s="10"/>
      <c r="AB43" s="90"/>
      <c r="AC43" s="10"/>
      <c r="AD43" s="2"/>
      <c r="AE43" s="131"/>
    </row>
    <row r="44" spans="1:31" x14ac:dyDescent="0.25">
      <c r="B44" s="161"/>
      <c r="C44" s="10"/>
      <c r="D44" s="39"/>
      <c r="E44" s="39"/>
      <c r="F44" s="39"/>
      <c r="G44" s="39"/>
      <c r="H44" s="175"/>
      <c r="I44" s="39"/>
      <c r="J44" s="39"/>
      <c r="K44" s="39"/>
      <c r="L44" s="39"/>
      <c r="O44" s="78">
        <v>1.07</v>
      </c>
      <c r="P44" s="78">
        <f t="shared" si="0"/>
        <v>1227.5682000000002</v>
      </c>
      <c r="Q44" s="2"/>
      <c r="T44" s="88"/>
      <c r="U44" s="124"/>
      <c r="W44" s="127"/>
      <c r="X44" s="10"/>
      <c r="Y44" s="10"/>
      <c r="Z44" s="10"/>
      <c r="AA44" s="10"/>
      <c r="AB44" s="90"/>
      <c r="AC44" s="10"/>
      <c r="AD44" s="2"/>
      <c r="AE44" s="131"/>
    </row>
    <row r="45" spans="1:31" x14ac:dyDescent="0.25">
      <c r="B45" s="161"/>
      <c r="C45" s="10"/>
      <c r="D45" s="39"/>
      <c r="E45" s="39"/>
      <c r="F45" s="39"/>
      <c r="G45" s="39"/>
      <c r="H45" s="175"/>
      <c r="I45" s="39"/>
      <c r="J45" s="39"/>
      <c r="K45" s="39"/>
      <c r="L45" s="39"/>
      <c r="O45" s="78">
        <v>1.06</v>
      </c>
      <c r="P45" s="78">
        <f t="shared" si="0"/>
        <v>1216.0956000000001</v>
      </c>
      <c r="Q45" s="2"/>
      <c r="T45" s="88"/>
      <c r="U45" s="124"/>
      <c r="W45" s="127"/>
      <c r="X45" s="10"/>
      <c r="Y45" s="10"/>
      <c r="Z45" s="10"/>
      <c r="AA45" s="10"/>
      <c r="AB45" s="90"/>
      <c r="AC45" s="10"/>
      <c r="AD45" s="2"/>
      <c r="AE45" s="131"/>
    </row>
    <row r="46" spans="1:31" x14ac:dyDescent="0.25">
      <c r="B46" s="161"/>
      <c r="C46" s="10"/>
      <c r="D46" s="39"/>
      <c r="E46" s="39"/>
      <c r="F46" s="39"/>
      <c r="G46" s="39"/>
      <c r="H46" s="175"/>
      <c r="I46" s="39"/>
      <c r="J46" s="39"/>
      <c r="K46" s="39"/>
      <c r="L46" s="39"/>
      <c r="O46" s="78">
        <v>1.05</v>
      </c>
      <c r="P46" s="78">
        <f t="shared" si="0"/>
        <v>1204.623</v>
      </c>
      <c r="Q46" s="2"/>
      <c r="T46" s="88"/>
      <c r="U46" s="124"/>
      <c r="W46" s="127"/>
      <c r="X46" s="10"/>
      <c r="Y46" s="10"/>
      <c r="Z46" s="10"/>
      <c r="AA46" s="10"/>
      <c r="AB46" s="90"/>
      <c r="AC46" s="10"/>
      <c r="AD46" s="2"/>
      <c r="AE46" s="131"/>
    </row>
    <row r="47" spans="1:31" x14ac:dyDescent="0.25">
      <c r="B47" s="69"/>
      <c r="C47" s="4"/>
      <c r="D47" s="3"/>
      <c r="E47" s="3"/>
      <c r="F47" s="3"/>
      <c r="G47" s="3"/>
      <c r="H47" s="212"/>
      <c r="I47" s="210"/>
      <c r="O47" s="78">
        <v>1.04</v>
      </c>
      <c r="P47" s="78">
        <f t="shared" si="0"/>
        <v>1193.1504</v>
      </c>
      <c r="Q47" s="2"/>
      <c r="T47" s="88"/>
      <c r="U47" s="124"/>
      <c r="W47" s="127"/>
      <c r="X47" s="10"/>
      <c r="Y47" s="10"/>
      <c r="Z47" s="10"/>
      <c r="AA47" s="10"/>
      <c r="AB47" s="90"/>
      <c r="AC47" s="10"/>
      <c r="AD47" s="2"/>
      <c r="AE47" s="131"/>
    </row>
    <row r="48" spans="1:31" x14ac:dyDescent="0.25">
      <c r="B48" s="69"/>
      <c r="C48" s="4"/>
      <c r="D48" s="3"/>
      <c r="E48" s="3"/>
      <c r="F48" s="3"/>
      <c r="G48" s="3"/>
      <c r="H48" s="212"/>
      <c r="I48" s="3"/>
      <c r="O48" s="78">
        <v>1.03</v>
      </c>
      <c r="P48" s="78">
        <f t="shared" si="0"/>
        <v>1181.6777999999999</v>
      </c>
      <c r="Q48" s="2"/>
      <c r="T48" s="88"/>
      <c r="U48" s="124"/>
      <c r="W48" s="127"/>
      <c r="X48" s="10"/>
      <c r="Y48" s="10"/>
      <c r="Z48" s="10"/>
      <c r="AA48" s="10"/>
      <c r="AB48" s="90"/>
      <c r="AC48" s="10"/>
      <c r="AD48" s="2"/>
      <c r="AE48" s="131"/>
    </row>
    <row r="49" spans="1:31" x14ac:dyDescent="0.25">
      <c r="B49" s="69"/>
      <c r="C49" s="4"/>
      <c r="D49" s="3"/>
      <c r="E49" s="3"/>
      <c r="F49" s="3"/>
      <c r="G49" s="3"/>
      <c r="H49" s="212"/>
      <c r="I49" s="3"/>
      <c r="O49" s="78">
        <v>1.02</v>
      </c>
      <c r="P49" s="78">
        <f t="shared" si="0"/>
        <v>1170.2052000000001</v>
      </c>
      <c r="Q49" s="2"/>
      <c r="T49" s="88"/>
      <c r="U49" s="124"/>
      <c r="W49" s="127"/>
      <c r="X49" s="10"/>
      <c r="Y49" s="10"/>
      <c r="Z49" s="10"/>
      <c r="AA49" s="10"/>
      <c r="AB49" s="90"/>
      <c r="AC49" s="10"/>
      <c r="AD49" s="2"/>
      <c r="AE49" s="131"/>
    </row>
    <row r="50" spans="1:31" x14ac:dyDescent="0.25">
      <c r="B50" s="69"/>
      <c r="C50" s="4"/>
      <c r="D50" s="3"/>
      <c r="E50" s="3"/>
      <c r="F50" s="3"/>
      <c r="G50" s="3"/>
      <c r="H50" s="212"/>
      <c r="I50" s="3"/>
      <c r="O50" s="78">
        <v>1.01</v>
      </c>
      <c r="P50" s="78">
        <f t="shared" si="0"/>
        <v>1158.7326</v>
      </c>
      <c r="Q50" s="2"/>
      <c r="T50" s="88"/>
      <c r="U50" s="124"/>
      <c r="W50" s="127"/>
      <c r="X50" s="10"/>
      <c r="Y50" s="10"/>
      <c r="Z50" s="10"/>
      <c r="AA50" s="10"/>
      <c r="AB50" s="90"/>
      <c r="AC50" s="10"/>
      <c r="AD50" s="2"/>
      <c r="AE50" s="131"/>
    </row>
    <row r="51" spans="1:31" x14ac:dyDescent="0.25">
      <c r="B51" s="69"/>
      <c r="C51" s="4"/>
      <c r="D51" s="3"/>
      <c r="E51" s="3"/>
      <c r="F51" s="3"/>
      <c r="G51" s="3"/>
      <c r="H51" s="212"/>
      <c r="I51" s="3"/>
      <c r="O51" s="78">
        <v>1</v>
      </c>
      <c r="P51" s="78">
        <f t="shared" si="0"/>
        <v>1147.26</v>
      </c>
      <c r="Q51" s="2"/>
      <c r="T51" s="88"/>
      <c r="U51" s="124"/>
      <c r="W51" s="127"/>
      <c r="X51" s="10"/>
      <c r="Y51" s="10"/>
      <c r="Z51" s="10"/>
      <c r="AA51" s="10"/>
      <c r="AB51" s="90"/>
      <c r="AC51" s="10"/>
      <c r="AD51" s="2"/>
      <c r="AE51" s="131"/>
    </row>
    <row r="52" spans="1:31" x14ac:dyDescent="0.25">
      <c r="B52" s="69"/>
      <c r="C52" s="4"/>
      <c r="D52" s="3"/>
      <c r="E52" s="3"/>
      <c r="F52" s="3"/>
      <c r="G52" s="3"/>
      <c r="H52" s="212"/>
      <c r="I52" s="3"/>
      <c r="O52" s="78">
        <v>0.99</v>
      </c>
      <c r="P52" s="78">
        <f t="shared" si="0"/>
        <v>1135.7873999999999</v>
      </c>
      <c r="Q52" s="2"/>
      <c r="T52" s="88"/>
      <c r="U52" s="124"/>
      <c r="W52" s="127"/>
      <c r="X52" s="10"/>
      <c r="Y52" s="10"/>
      <c r="Z52" s="10"/>
      <c r="AA52" s="10"/>
      <c r="AB52" s="90"/>
      <c r="AC52" s="10"/>
      <c r="AD52" s="2"/>
      <c r="AE52" s="131"/>
    </row>
    <row r="53" spans="1:31" x14ac:dyDescent="0.25">
      <c r="B53" s="69"/>
      <c r="C53" s="4"/>
      <c r="D53" s="3"/>
      <c r="E53" s="3"/>
      <c r="F53" s="3"/>
      <c r="G53" s="3"/>
      <c r="H53" s="212"/>
      <c r="I53" s="3"/>
      <c r="O53" s="78">
        <v>0.98</v>
      </c>
      <c r="P53" s="78">
        <f t="shared" si="0"/>
        <v>1124.3147999999999</v>
      </c>
      <c r="Q53" s="2"/>
      <c r="T53" s="88"/>
      <c r="U53" s="125"/>
      <c r="W53" s="127"/>
      <c r="X53" s="10"/>
      <c r="Y53" s="10"/>
      <c r="Z53" s="10"/>
      <c r="AA53" s="10"/>
      <c r="AB53" s="90"/>
      <c r="AC53" s="10"/>
      <c r="AD53" s="2"/>
      <c r="AE53" s="131"/>
    </row>
    <row r="54" spans="1:31" x14ac:dyDescent="0.25">
      <c r="A54" s="4"/>
      <c r="B54" s="69"/>
      <c r="C54" s="4"/>
      <c r="D54" s="3"/>
      <c r="E54" s="3"/>
      <c r="F54" s="3"/>
      <c r="G54" s="3"/>
      <c r="H54" s="212"/>
      <c r="I54" s="3"/>
      <c r="J54" s="3"/>
      <c r="K54" s="3"/>
      <c r="L54" s="4"/>
      <c r="O54" s="78">
        <v>0.97</v>
      </c>
      <c r="P54" s="78">
        <f t="shared" si="0"/>
        <v>1112.8422</v>
      </c>
      <c r="T54" s="88"/>
      <c r="U54" s="125"/>
      <c r="W54" s="127"/>
      <c r="X54" s="10"/>
      <c r="Y54" s="10"/>
      <c r="Z54" s="10"/>
      <c r="AA54" s="10"/>
      <c r="AB54" s="90"/>
      <c r="AC54" s="10"/>
      <c r="AD54" s="2"/>
      <c r="AE54" s="131"/>
    </row>
    <row r="55" spans="1:31" x14ac:dyDescent="0.25">
      <c r="A55" s="4"/>
      <c r="B55" s="69"/>
      <c r="C55" s="4"/>
      <c r="D55" s="3"/>
      <c r="E55" s="3"/>
      <c r="F55" s="3"/>
      <c r="G55" s="3"/>
      <c r="H55" s="212"/>
      <c r="I55" s="3"/>
      <c r="J55" s="3"/>
      <c r="K55" s="3"/>
      <c r="L55" s="4"/>
      <c r="O55" s="78">
        <v>0.96</v>
      </c>
      <c r="P55" s="78">
        <f t="shared" si="0"/>
        <v>1101.3696</v>
      </c>
      <c r="T55" s="88"/>
      <c r="U55" s="124"/>
      <c r="W55" s="127"/>
      <c r="X55" s="10"/>
      <c r="Y55" s="10"/>
      <c r="Z55" s="10"/>
      <c r="AA55" s="10"/>
      <c r="AB55" s="90"/>
      <c r="AC55" s="10"/>
      <c r="AD55" s="2"/>
      <c r="AE55" s="131"/>
    </row>
    <row r="56" spans="1:31" x14ac:dyDescent="0.25">
      <c r="A56" s="4"/>
      <c r="B56" s="69"/>
      <c r="C56" s="4"/>
      <c r="D56" s="3"/>
      <c r="E56" s="3"/>
      <c r="F56" s="3"/>
      <c r="G56" s="3"/>
      <c r="H56" s="212"/>
      <c r="I56" s="3"/>
      <c r="J56" s="3"/>
      <c r="K56" s="3"/>
      <c r="L56" s="4"/>
      <c r="O56" s="78">
        <v>0.95</v>
      </c>
      <c r="P56" s="78">
        <f t="shared" si="0"/>
        <v>1089.8969999999999</v>
      </c>
      <c r="T56" s="88"/>
      <c r="U56" s="124"/>
      <c r="W56" s="127"/>
      <c r="X56" s="10"/>
      <c r="Y56" s="10"/>
      <c r="Z56" s="10"/>
      <c r="AA56" s="10"/>
      <c r="AB56" s="90"/>
      <c r="AC56" s="10"/>
      <c r="AD56" s="2"/>
      <c r="AE56" s="131"/>
    </row>
    <row r="57" spans="1:31" x14ac:dyDescent="0.25">
      <c r="A57" s="4"/>
      <c r="B57" s="69"/>
      <c r="C57" s="4"/>
      <c r="D57" s="3"/>
      <c r="E57" s="3"/>
      <c r="F57" s="3"/>
      <c r="G57" s="3"/>
      <c r="H57" s="212"/>
      <c r="I57" s="3"/>
      <c r="J57" s="3"/>
      <c r="K57" s="3"/>
      <c r="L57" s="4"/>
      <c r="O57" s="78">
        <v>0.94</v>
      </c>
      <c r="P57" s="78">
        <f t="shared" si="0"/>
        <v>1078.4243999999999</v>
      </c>
      <c r="T57" s="88"/>
      <c r="U57" s="124"/>
      <c r="W57" s="127"/>
      <c r="X57" s="10"/>
      <c r="Y57" s="10"/>
      <c r="Z57" s="10"/>
      <c r="AA57" s="10"/>
      <c r="AB57" s="90"/>
      <c r="AC57" s="10"/>
      <c r="AD57" s="2"/>
      <c r="AE57" s="131"/>
    </row>
    <row r="58" spans="1:31" x14ac:dyDescent="0.25">
      <c r="A58" s="4"/>
      <c r="B58" s="69"/>
      <c r="C58" s="4"/>
      <c r="D58" s="3"/>
      <c r="E58" s="3"/>
      <c r="F58" s="3"/>
      <c r="G58" s="3"/>
      <c r="H58" s="212"/>
      <c r="I58" s="3"/>
      <c r="J58" s="3"/>
      <c r="K58" s="3"/>
      <c r="L58" s="4"/>
      <c r="O58" s="78">
        <v>0.93</v>
      </c>
      <c r="P58" s="78">
        <f t="shared" si="0"/>
        <v>1066.9518</v>
      </c>
      <c r="T58" s="88"/>
      <c r="U58" s="124"/>
      <c r="W58" s="127"/>
      <c r="X58" s="10"/>
      <c r="Y58" s="10"/>
      <c r="Z58" s="10"/>
      <c r="AA58" s="10"/>
      <c r="AB58" s="90"/>
      <c r="AC58" s="10"/>
      <c r="AD58" s="2"/>
      <c r="AE58" s="131"/>
    </row>
    <row r="59" spans="1:31" x14ac:dyDescent="0.25">
      <c r="A59" s="4"/>
      <c r="B59" s="69"/>
      <c r="C59" s="4"/>
      <c r="D59" s="3"/>
      <c r="E59" s="3"/>
      <c r="F59" s="3"/>
      <c r="G59" s="3"/>
      <c r="H59" s="212"/>
      <c r="I59" s="3"/>
      <c r="J59" s="3"/>
      <c r="K59" s="3"/>
      <c r="L59" s="4"/>
      <c r="O59" s="78">
        <v>0.92</v>
      </c>
      <c r="P59" s="78">
        <f t="shared" si="0"/>
        <v>1055.4792</v>
      </c>
      <c r="W59" s="127"/>
      <c r="X59" s="10"/>
      <c r="Y59" s="10"/>
      <c r="Z59" s="10"/>
      <c r="AA59" s="10"/>
      <c r="AB59" s="90"/>
      <c r="AC59" s="10"/>
      <c r="AD59" s="2"/>
      <c r="AE59" s="131"/>
    </row>
    <row r="60" spans="1:31" x14ac:dyDescent="0.25">
      <c r="A60" s="4"/>
      <c r="B60" s="69"/>
      <c r="C60" s="4"/>
      <c r="D60" s="3"/>
      <c r="E60" s="3"/>
      <c r="F60" s="3"/>
      <c r="G60" s="3"/>
      <c r="H60" s="212"/>
      <c r="I60" s="3"/>
      <c r="J60" s="3"/>
      <c r="K60" s="3"/>
      <c r="L60" s="4"/>
      <c r="O60" s="78">
        <v>0.91</v>
      </c>
      <c r="P60" s="78">
        <f t="shared" si="0"/>
        <v>1044.0065999999999</v>
      </c>
      <c r="W60" s="127"/>
      <c r="X60" s="10"/>
      <c r="Y60" s="10"/>
      <c r="Z60" s="10"/>
      <c r="AA60" s="10"/>
      <c r="AB60" s="90"/>
      <c r="AC60" s="10"/>
      <c r="AD60" s="2"/>
      <c r="AE60" s="131"/>
    </row>
    <row r="61" spans="1:31" x14ac:dyDescent="0.25">
      <c r="A61" s="4"/>
      <c r="B61" s="69"/>
      <c r="C61" s="4"/>
      <c r="D61" s="3"/>
      <c r="E61" s="3"/>
      <c r="F61" s="3"/>
      <c r="G61" s="3"/>
      <c r="H61" s="212"/>
      <c r="I61" s="3"/>
      <c r="J61" s="3"/>
      <c r="K61" s="3"/>
      <c r="L61" s="4"/>
      <c r="O61" s="78">
        <v>0.9</v>
      </c>
      <c r="P61" s="78">
        <f t="shared" si="0"/>
        <v>1032.5340000000001</v>
      </c>
      <c r="W61" s="127"/>
      <c r="X61" s="10"/>
      <c r="Y61" s="10"/>
      <c r="Z61" s="10"/>
      <c r="AA61" s="10"/>
      <c r="AB61" s="90"/>
      <c r="AC61" s="10"/>
      <c r="AD61" s="2"/>
      <c r="AE61" s="131"/>
    </row>
    <row r="62" spans="1:31" x14ac:dyDescent="0.25">
      <c r="A62" s="4"/>
      <c r="B62" s="69"/>
      <c r="C62" s="4"/>
      <c r="D62" s="3"/>
      <c r="E62" s="3"/>
      <c r="F62" s="3"/>
      <c r="G62" s="3"/>
      <c r="H62" s="212"/>
      <c r="I62" s="3"/>
      <c r="J62" s="3"/>
      <c r="K62" s="3"/>
      <c r="L62" s="4"/>
      <c r="W62" s="127"/>
      <c r="X62" s="10"/>
      <c r="Y62" s="10"/>
      <c r="Z62" s="10"/>
      <c r="AA62" s="10"/>
      <c r="AB62" s="90"/>
      <c r="AC62" s="10"/>
      <c r="AD62" s="2"/>
      <c r="AE62" s="131"/>
    </row>
    <row r="63" spans="1:31" x14ac:dyDescent="0.25">
      <c r="A63" s="4"/>
      <c r="B63" s="69"/>
      <c r="C63" s="4"/>
      <c r="D63" s="3"/>
      <c r="E63" s="3"/>
      <c r="F63" s="3"/>
      <c r="G63" s="3"/>
      <c r="H63" s="212"/>
      <c r="I63" s="3"/>
      <c r="J63" s="3"/>
      <c r="K63" s="3"/>
      <c r="L63" s="4"/>
      <c r="W63" s="127"/>
      <c r="X63" s="10"/>
      <c r="Y63" s="10"/>
      <c r="Z63" s="10"/>
      <c r="AA63" s="10"/>
      <c r="AB63" s="90"/>
      <c r="AC63" s="10"/>
      <c r="AD63" s="2"/>
      <c r="AE63" s="131"/>
    </row>
    <row r="64" spans="1:31" x14ac:dyDescent="0.25">
      <c r="A64" s="4"/>
      <c r="B64" s="4"/>
      <c r="C64" s="4"/>
      <c r="D64" s="3"/>
      <c r="E64" s="3"/>
      <c r="F64" s="3"/>
      <c r="G64" s="4"/>
      <c r="H64" s="4"/>
      <c r="I64" s="3"/>
      <c r="J64" s="3"/>
      <c r="K64" s="3"/>
      <c r="L64" s="4"/>
      <c r="W64" s="127"/>
      <c r="X64" s="10"/>
      <c r="Y64" s="10"/>
      <c r="Z64" s="10"/>
      <c r="AA64" s="10"/>
      <c r="AB64" s="90"/>
      <c r="AC64" s="10"/>
      <c r="AD64" s="2"/>
      <c r="AE64" s="131"/>
    </row>
    <row r="65" spans="1:31" x14ac:dyDescent="0.25">
      <c r="A65" s="4"/>
      <c r="B65" s="4"/>
      <c r="C65" s="4"/>
      <c r="D65" s="3"/>
      <c r="E65" s="3"/>
      <c r="F65" s="3"/>
      <c r="G65" s="4"/>
      <c r="H65" s="4"/>
      <c r="I65" s="3"/>
      <c r="J65" s="3"/>
      <c r="K65" s="3"/>
      <c r="L65" s="4"/>
      <c r="W65" s="127"/>
      <c r="X65" s="10"/>
      <c r="Y65" s="10"/>
      <c r="Z65" s="10"/>
      <c r="AA65" s="10"/>
      <c r="AB65" s="90"/>
      <c r="AC65" s="10"/>
      <c r="AD65" s="2"/>
      <c r="AE65" s="131"/>
    </row>
    <row r="66" spans="1:31" x14ac:dyDescent="0.25">
      <c r="A66" s="4"/>
      <c r="B66" s="4"/>
      <c r="C66" s="4"/>
      <c r="D66" s="3"/>
      <c r="E66" s="3"/>
      <c r="F66" s="3"/>
      <c r="G66" s="4"/>
      <c r="H66" s="4"/>
      <c r="I66" s="3"/>
      <c r="J66" s="3"/>
      <c r="K66" s="3"/>
      <c r="L66" s="4" t="s">
        <v>65</v>
      </c>
      <c r="M66" s="2">
        <f>M84+K84-F84</f>
        <v>559.89000000000033</v>
      </c>
      <c r="W66" s="127"/>
      <c r="X66" s="10"/>
      <c r="Y66" s="10"/>
      <c r="Z66" s="10"/>
      <c r="AA66" s="10"/>
      <c r="AB66" s="90"/>
      <c r="AC66" s="10"/>
      <c r="AD66" s="2"/>
      <c r="AE66" s="131"/>
    </row>
    <row r="67" spans="1:31"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c r="W67" s="127"/>
      <c r="X67" s="10"/>
      <c r="Y67" s="10"/>
      <c r="Z67" s="10"/>
      <c r="AA67" s="10"/>
      <c r="AB67" s="90"/>
      <c r="AC67" s="10"/>
      <c r="AD67" s="2"/>
      <c r="AE67" s="131"/>
    </row>
    <row r="68" spans="1:31" x14ac:dyDescent="0.25">
      <c r="A68" s="433" t="s">
        <v>664</v>
      </c>
      <c r="B68" s="69">
        <v>42997</v>
      </c>
      <c r="C68" s="4">
        <v>8</v>
      </c>
      <c r="D68" s="3">
        <v>538</v>
      </c>
      <c r="E68" s="3">
        <v>0</v>
      </c>
      <c r="F68" s="3">
        <f>C68*D68+E68</f>
        <v>4304</v>
      </c>
      <c r="G68" s="69">
        <v>43042</v>
      </c>
      <c r="H68" s="4">
        <v>8</v>
      </c>
      <c r="I68" s="3">
        <v>608</v>
      </c>
      <c r="J68" s="3">
        <v>0.11</v>
      </c>
      <c r="K68" s="3">
        <f>H68*I68-J68</f>
        <v>4863.8900000000003</v>
      </c>
      <c r="L68" s="69"/>
      <c r="M68" s="420"/>
      <c r="W68" s="127"/>
      <c r="X68" s="10"/>
      <c r="Y68" s="10"/>
      <c r="Z68" s="10"/>
      <c r="AA68" s="10"/>
      <c r="AB68" s="90"/>
      <c r="AC68" s="10"/>
      <c r="AD68" s="2"/>
      <c r="AE68" s="131"/>
    </row>
    <row r="69" spans="1:31" x14ac:dyDescent="0.25">
      <c r="A69" s="435" t="s">
        <v>71</v>
      </c>
      <c r="B69" s="417"/>
      <c r="C69" s="418"/>
      <c r="D69" s="420"/>
      <c r="E69" s="420"/>
      <c r="F69" s="420"/>
      <c r="G69" s="417"/>
      <c r="H69" s="434"/>
      <c r="I69" s="420"/>
      <c r="J69" s="420"/>
      <c r="K69" s="420"/>
      <c r="L69" s="418"/>
      <c r="M69" s="418"/>
      <c r="AD69" s="2"/>
      <c r="AE69" s="131"/>
    </row>
    <row r="70" spans="1:31" x14ac:dyDescent="0.25">
      <c r="A70" s="418"/>
      <c r="B70" s="417"/>
      <c r="C70" s="418"/>
      <c r="D70" s="420"/>
      <c r="E70" s="420"/>
      <c r="F70" s="420"/>
      <c r="G70" s="417"/>
      <c r="H70" s="434"/>
      <c r="I70" s="420"/>
      <c r="J70" s="420"/>
      <c r="K70" s="420"/>
      <c r="L70" s="418"/>
      <c r="M70" s="418"/>
    </row>
    <row r="71" spans="1:31" x14ac:dyDescent="0.25">
      <c r="A71" s="418"/>
      <c r="B71" s="417"/>
      <c r="C71" s="418"/>
      <c r="D71" s="420"/>
      <c r="E71" s="420"/>
      <c r="F71" s="420"/>
      <c r="G71" s="418"/>
      <c r="H71" s="434"/>
      <c r="I71" s="420"/>
      <c r="J71" s="420"/>
      <c r="K71" s="420"/>
      <c r="L71" s="418"/>
      <c r="M71" s="418"/>
    </row>
    <row r="72" spans="1:31" x14ac:dyDescent="0.25">
      <c r="A72" s="418"/>
      <c r="B72" s="417"/>
      <c r="C72" s="418"/>
      <c r="D72" s="420"/>
      <c r="E72" s="420"/>
      <c r="F72" s="420"/>
      <c r="G72" s="418"/>
      <c r="H72" s="434"/>
      <c r="I72" s="420"/>
      <c r="J72" s="420"/>
      <c r="K72" s="420"/>
      <c r="L72" s="418"/>
      <c r="M72" s="418"/>
    </row>
    <row r="73" spans="1:31" x14ac:dyDescent="0.25">
      <c r="A73" s="418"/>
      <c r="B73" s="418"/>
      <c r="C73" s="418"/>
      <c r="D73" s="420"/>
      <c r="E73" s="420"/>
      <c r="F73" s="420"/>
      <c r="G73" s="418"/>
      <c r="H73" s="434"/>
      <c r="I73" s="420"/>
      <c r="J73" s="420"/>
      <c r="K73" s="420"/>
      <c r="L73" s="418"/>
      <c r="M73" s="418"/>
    </row>
    <row r="74" spans="1:31" x14ac:dyDescent="0.25">
      <c r="A74" s="418"/>
      <c r="B74" s="418"/>
      <c r="C74" s="418"/>
      <c r="D74" s="420"/>
      <c r="E74" s="420"/>
      <c r="F74" s="420"/>
      <c r="G74" s="418"/>
      <c r="H74" s="434"/>
      <c r="I74" s="420"/>
      <c r="J74" s="420"/>
      <c r="K74" s="420"/>
      <c r="L74" s="418"/>
      <c r="M74" s="418"/>
    </row>
    <row r="75" spans="1:31" x14ac:dyDescent="0.25">
      <c r="A75" s="418"/>
      <c r="B75" s="418"/>
      <c r="C75" s="418"/>
      <c r="D75" s="420"/>
      <c r="E75" s="420"/>
      <c r="F75" s="420"/>
      <c r="G75" s="418"/>
      <c r="H75" s="434"/>
      <c r="I75" s="420"/>
      <c r="J75" s="420"/>
      <c r="K75" s="420"/>
      <c r="L75" s="418"/>
      <c r="M75" s="418"/>
    </row>
    <row r="76" spans="1:31" x14ac:dyDescent="0.25">
      <c r="A76" s="418"/>
      <c r="B76" s="418"/>
      <c r="C76" s="418"/>
      <c r="D76" s="420"/>
      <c r="E76" s="420"/>
      <c r="F76" s="420"/>
      <c r="G76" s="418"/>
      <c r="H76" s="434"/>
      <c r="I76" s="420"/>
      <c r="J76" s="420"/>
      <c r="K76" s="420"/>
      <c r="L76" s="418"/>
      <c r="M76" s="418"/>
    </row>
    <row r="77" spans="1:31" x14ac:dyDescent="0.25">
      <c r="A77" s="418"/>
      <c r="B77" s="418"/>
      <c r="C77" s="418"/>
      <c r="D77" s="420"/>
      <c r="E77" s="420"/>
      <c r="F77" s="420"/>
      <c r="G77" s="418"/>
      <c r="H77" s="434"/>
      <c r="I77" s="420"/>
      <c r="J77" s="420"/>
      <c r="K77" s="420"/>
      <c r="L77" s="418"/>
      <c r="M77" s="418"/>
    </row>
    <row r="78" spans="1:31" x14ac:dyDescent="0.25">
      <c r="A78" s="418"/>
      <c r="B78" s="418"/>
      <c r="C78" s="418"/>
      <c r="D78" s="420"/>
      <c r="E78" s="420"/>
      <c r="F78" s="420"/>
      <c r="G78" s="418"/>
      <c r="H78" s="434"/>
      <c r="I78" s="420"/>
      <c r="J78" s="420"/>
      <c r="K78" s="420"/>
      <c r="L78" s="418"/>
      <c r="M78" s="418"/>
    </row>
    <row r="79" spans="1:31" x14ac:dyDescent="0.25">
      <c r="A79" s="418"/>
      <c r="B79" s="418"/>
      <c r="C79" s="418"/>
      <c r="D79" s="420"/>
      <c r="E79" s="420"/>
      <c r="F79" s="420"/>
      <c r="G79" s="418"/>
      <c r="H79" s="434"/>
      <c r="I79" s="420"/>
      <c r="J79" s="420"/>
      <c r="K79" s="420"/>
      <c r="L79" s="418"/>
      <c r="M79" s="418"/>
    </row>
    <row r="80" spans="1:31"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SUM(C68:C72)</f>
        <v>8</v>
      </c>
      <c r="D84" s="438"/>
      <c r="E84" s="438"/>
      <c r="F84" s="438">
        <f>SUM(F68:F72)</f>
        <v>4304</v>
      </c>
      <c r="G84" s="437"/>
      <c r="H84" s="459">
        <f>SUM(H68:H71)</f>
        <v>8</v>
      </c>
      <c r="I84" s="438"/>
      <c r="J84" s="438"/>
      <c r="K84" s="438">
        <f>SUM(K68:K71)</f>
        <v>4863.8900000000003</v>
      </c>
      <c r="L84" s="437"/>
      <c r="M84" s="438">
        <f>SUM(M68:M76)</f>
        <v>0</v>
      </c>
    </row>
    <row r="85" spans="1:13" ht="15.75" thickBot="1" x14ac:dyDescent="0.3">
      <c r="A85" s="439" t="s">
        <v>189</v>
      </c>
      <c r="B85" s="440"/>
      <c r="C85" s="441">
        <f>SumByColor($A$19,C68:C83)</f>
        <v>0</v>
      </c>
      <c r="D85" s="441"/>
      <c r="E85" s="441"/>
      <c r="F85" s="442">
        <f>SumByColor($A$19,F68:F83)</f>
        <v>0</v>
      </c>
      <c r="G85" s="441"/>
      <c r="H85" s="441">
        <f>SumByColor($A$19,H68:H83)</f>
        <v>0</v>
      </c>
      <c r="I85" s="441"/>
      <c r="J85" s="441"/>
      <c r="K85" s="442">
        <f>SumByColor($A$19,K69:K83)</f>
        <v>0</v>
      </c>
      <c r="L85" s="441"/>
      <c r="M85" s="442">
        <f>SumByColor($A$19,M68:M83)</f>
        <v>0</v>
      </c>
    </row>
    <row r="88" spans="1:13" x14ac:dyDescent="0.25">
      <c r="B88" s="159" t="s">
        <v>113</v>
      </c>
      <c r="C88" s="159" t="s">
        <v>143</v>
      </c>
      <c r="D88" s="160" t="s">
        <v>142</v>
      </c>
      <c r="E88" s="162" t="s">
        <v>144</v>
      </c>
      <c r="F88" s="162" t="s">
        <v>65</v>
      </c>
      <c r="G88" s="173" t="s">
        <v>148</v>
      </c>
      <c r="H88" s="173" t="s">
        <v>88</v>
      </c>
      <c r="I88" s="173" t="s">
        <v>151</v>
      </c>
    </row>
    <row r="89" spans="1:13" x14ac:dyDescent="0.25">
      <c r="B89" s="161"/>
      <c r="C89" s="10"/>
      <c r="D89" s="39"/>
      <c r="E89" s="39"/>
      <c r="F89" s="39"/>
      <c r="G89" s="39"/>
      <c r="H89" s="175"/>
      <c r="I89" s="39"/>
    </row>
    <row r="90" spans="1:13" x14ac:dyDescent="0.25">
      <c r="B90" s="161"/>
      <c r="C90" s="10"/>
      <c r="D90" s="39"/>
      <c r="E90" s="39"/>
      <c r="F90" s="39"/>
      <c r="G90" s="39"/>
      <c r="H90" s="175"/>
      <c r="I90" s="39"/>
    </row>
    <row r="91" spans="1:13" x14ac:dyDescent="0.25">
      <c r="B91" s="161"/>
      <c r="C91" s="10"/>
      <c r="D91" s="39"/>
      <c r="E91" s="39"/>
      <c r="F91" s="39"/>
      <c r="G91" s="39"/>
      <c r="H91" s="175"/>
      <c r="I91" s="39"/>
    </row>
    <row r="92" spans="1:13" x14ac:dyDescent="0.25">
      <c r="B92" s="161"/>
      <c r="C92" s="10"/>
      <c r="D92" s="39"/>
      <c r="E92" s="39"/>
      <c r="F92" s="39"/>
      <c r="G92" s="39"/>
      <c r="H92" s="175"/>
      <c r="I92" s="39"/>
    </row>
    <row r="93" spans="1:13" x14ac:dyDescent="0.25">
      <c r="B93" s="161"/>
      <c r="C93" s="10"/>
      <c r="D93" s="39"/>
      <c r="E93" s="39"/>
      <c r="F93" s="39"/>
      <c r="G93" s="39"/>
      <c r="H93" s="175"/>
      <c r="I93" s="39"/>
    </row>
    <row r="94" spans="1:13" x14ac:dyDescent="0.25">
      <c r="B94" s="161"/>
      <c r="C94" s="10"/>
      <c r="D94" s="39"/>
      <c r="E94" s="39"/>
      <c r="F94" s="39"/>
      <c r="G94" s="39"/>
      <c r="H94" s="175"/>
      <c r="I94" s="39"/>
    </row>
    <row r="95" spans="1:13" x14ac:dyDescent="0.25">
      <c r="B95" s="161"/>
      <c r="C95" s="10"/>
      <c r="D95" s="39"/>
      <c r="E95" s="39"/>
      <c r="F95" s="39"/>
      <c r="G95" s="39"/>
      <c r="H95" s="175"/>
      <c r="I95" s="39"/>
    </row>
    <row r="96" spans="1:13" x14ac:dyDescent="0.25">
      <c r="B96" s="161"/>
      <c r="C96" s="10"/>
      <c r="D96" s="39"/>
      <c r="E96" s="39"/>
      <c r="F96" s="39"/>
      <c r="G96" s="39"/>
      <c r="H96" s="175"/>
      <c r="I96" s="39"/>
    </row>
    <row r="97" spans="2:9" x14ac:dyDescent="0.25">
      <c r="B97" s="161"/>
      <c r="C97" s="10"/>
      <c r="D97" s="39"/>
      <c r="E97" s="39"/>
      <c r="F97" s="39"/>
      <c r="G97" s="39"/>
      <c r="H97" s="175"/>
      <c r="I97" s="39"/>
    </row>
    <row r="98" spans="2:9" x14ac:dyDescent="0.25">
      <c r="B98" s="161"/>
      <c r="C98" s="10"/>
      <c r="D98" s="39"/>
      <c r="E98" s="39"/>
      <c r="F98" s="39"/>
      <c r="G98" s="39"/>
      <c r="H98" s="175"/>
      <c r="I98" s="39"/>
    </row>
    <row r="99" spans="2:9" x14ac:dyDescent="0.25">
      <c r="B99" s="161"/>
      <c r="C99" s="10"/>
      <c r="D99" s="39"/>
      <c r="E99" s="39"/>
      <c r="F99" s="39"/>
      <c r="G99" s="39"/>
      <c r="H99" s="175"/>
      <c r="I99" s="39"/>
    </row>
    <row r="100" spans="2:9" x14ac:dyDescent="0.25">
      <c r="B100" s="161"/>
      <c r="C100" s="10"/>
      <c r="D100" s="39"/>
      <c r="E100" s="39"/>
      <c r="F100" s="39"/>
      <c r="G100" s="39"/>
      <c r="H100" s="175"/>
      <c r="I100" s="39"/>
    </row>
    <row r="101" spans="2:9" x14ac:dyDescent="0.25">
      <c r="B101" s="161"/>
      <c r="C101" s="10"/>
      <c r="D101" s="39"/>
      <c r="E101" s="39"/>
      <c r="F101" s="39"/>
      <c r="G101" s="39"/>
      <c r="H101" s="175"/>
      <c r="I101" s="39"/>
    </row>
    <row r="102" spans="2:9" x14ac:dyDescent="0.25">
      <c r="B102" s="161"/>
      <c r="C102" s="10"/>
      <c r="D102" s="39"/>
      <c r="E102" s="39"/>
      <c r="F102" s="39"/>
      <c r="G102" s="39"/>
      <c r="H102" s="175"/>
      <c r="I102" s="39"/>
    </row>
    <row r="103" spans="2:9" x14ac:dyDescent="0.25">
      <c r="B103" s="161"/>
      <c r="C103" s="10"/>
      <c r="D103" s="39"/>
      <c r="E103" s="39"/>
      <c r="F103" s="39"/>
      <c r="G103" s="39"/>
      <c r="H103" s="175"/>
      <c r="I103" s="39"/>
    </row>
    <row r="104" spans="2:9" x14ac:dyDescent="0.25">
      <c r="B104" s="161"/>
      <c r="C104" s="10"/>
      <c r="D104" s="39"/>
      <c r="E104" s="39"/>
      <c r="F104" s="39"/>
      <c r="G104" s="39"/>
      <c r="H104" s="175"/>
      <c r="I104" s="39"/>
    </row>
    <row r="105" spans="2:9" x14ac:dyDescent="0.25">
      <c r="B105" s="161"/>
      <c r="C105" s="10"/>
      <c r="D105" s="39"/>
      <c r="E105" s="39"/>
      <c r="F105" s="39"/>
      <c r="G105" s="39"/>
      <c r="H105" s="175"/>
      <c r="I105" s="39"/>
    </row>
    <row r="106" spans="2:9" x14ac:dyDescent="0.25">
      <c r="B106" s="161"/>
      <c r="C106" s="10"/>
      <c r="D106" s="39"/>
      <c r="E106" s="39"/>
      <c r="F106" s="39"/>
      <c r="G106" s="39"/>
      <c r="H106" s="175"/>
      <c r="I106" s="39"/>
    </row>
    <row r="107" spans="2:9" x14ac:dyDescent="0.25">
      <c r="B107" s="161"/>
      <c r="C107" s="10"/>
      <c r="D107" s="39"/>
      <c r="E107" s="39"/>
      <c r="F107" s="39"/>
      <c r="G107" s="39"/>
      <c r="H107" s="175"/>
      <c r="I107" s="39"/>
    </row>
    <row r="108" spans="2:9" x14ac:dyDescent="0.25">
      <c r="B108" s="161"/>
      <c r="C108" s="10"/>
      <c r="D108" s="39"/>
      <c r="E108" s="39"/>
      <c r="F108" s="39"/>
      <c r="G108" s="39"/>
      <c r="H108" s="175"/>
      <c r="I108" s="39"/>
    </row>
    <row r="109" spans="2:9" x14ac:dyDescent="0.25">
      <c r="B109" s="161"/>
      <c r="C109" s="10"/>
      <c r="D109" s="39"/>
      <c r="E109" s="39"/>
      <c r="F109" s="39"/>
      <c r="G109" s="39"/>
      <c r="H109" s="175"/>
      <c r="I109" s="39"/>
    </row>
    <row r="110" spans="2:9" x14ac:dyDescent="0.25">
      <c r="B110" s="161"/>
      <c r="C110" s="10"/>
      <c r="D110" s="39"/>
      <c r="E110" s="39"/>
      <c r="F110" s="39"/>
      <c r="G110" s="39"/>
      <c r="H110" s="175"/>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{583A4A63-FAA7-4909-8147-1AD94FE11E05}</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3495" priority="21">
      <formula>F47&gt;0</formula>
    </cfRule>
    <cfRule type="expression" dxfId="3494" priority="22">
      <formula>F47&lt;0</formula>
    </cfRule>
  </conditionalFormatting>
  <conditionalFormatting sqref="Q7">
    <cfRule type="expression" dxfId="3493" priority="19">
      <formula>Q7&gt;0</formula>
    </cfRule>
    <cfRule type="expression" dxfId="3492" priority="20">
      <formula>Q7&lt;0</formula>
    </cfRule>
  </conditionalFormatting>
  <conditionalFormatting sqref="Q8">
    <cfRule type="expression" dxfId="3491" priority="17">
      <formula>Q8&gt;0</formula>
    </cfRule>
    <cfRule type="expression" dxfId="3490" priority="18">
      <formula>Q8&lt;0</formula>
    </cfRule>
  </conditionalFormatting>
  <conditionalFormatting sqref="F25:F46">
    <cfRule type="expression" dxfId="3489" priority="15">
      <formula>F25&gt;0</formula>
    </cfRule>
    <cfRule type="expression" dxfId="3488" priority="16">
      <formula>F25&lt;0</formula>
    </cfRule>
  </conditionalFormatting>
  <conditionalFormatting sqref="H25:H46">
    <cfRule type="expression" dxfId="3487" priority="13">
      <formula>H25&gt;0</formula>
    </cfRule>
    <cfRule type="expression" dxfId="3486" priority="14">
      <formula>H25&lt;0</formula>
    </cfRule>
  </conditionalFormatting>
  <conditionalFormatting sqref="F89:F110">
    <cfRule type="expression" dxfId="3485" priority="11">
      <formula>F89&gt;0</formula>
    </cfRule>
    <cfRule type="expression" dxfId="3484" priority="12">
      <formula>F89&lt;0</formula>
    </cfRule>
  </conditionalFormatting>
  <conditionalFormatting sqref="H89:H110">
    <cfRule type="expression" dxfId="3483" priority="9">
      <formula>H89&gt;0</formula>
    </cfRule>
    <cfRule type="expression" dxfId="3482" priority="10">
      <formula>H89&lt;0</formula>
    </cfRule>
  </conditionalFormatting>
  <conditionalFormatting sqref="Q10">
    <cfRule type="expression" dxfId="3481" priority="7">
      <formula>Q10&gt;0</formula>
    </cfRule>
    <cfRule type="expression" dxfId="3480" priority="8">
      <formula>Q10&lt;0</formula>
    </cfRule>
  </conditionalFormatting>
  <conditionalFormatting sqref="J25:J38">
    <cfRule type="expression" dxfId="3479" priority="5">
      <formula>J25&gt;0</formula>
    </cfRule>
    <cfRule type="expression" dxfId="3478" priority="6">
      <formula>J25&lt;0</formula>
    </cfRule>
  </conditionalFormatting>
  <conditionalFormatting sqref="K25:K38">
    <cfRule type="expression" dxfId="3477" priority="3">
      <formula>K25&gt;0</formula>
    </cfRule>
    <cfRule type="expression" dxfId="3476" priority="4">
      <formula>K25&lt;0</formula>
    </cfRule>
  </conditionalFormatting>
  <conditionalFormatting sqref="L25:L38">
    <cfRule type="expression" dxfId="3475" priority="1">
      <formula>L25&gt;0</formula>
    </cfRule>
    <cfRule type="expression" dxfId="3474"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583A4A63-FAA7-4909-8147-1AD94FE11E0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3"/>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7" max="17" width="8.5703125" bestFit="1" customWidth="1"/>
    <col min="18" max="18" width="10.7109375" bestFit="1" customWidth="1"/>
    <col min="20" max="20" width="13.7109375" customWidth="1"/>
    <col min="21" max="21" width="60.71093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752</v>
      </c>
      <c r="M2" s="3"/>
      <c r="O2" s="11" t="s">
        <v>57</v>
      </c>
      <c r="Q2">
        <f>C18-H18</f>
        <v>0</v>
      </c>
      <c r="T2" s="1"/>
      <c r="W2" s="131"/>
    </row>
    <row r="3" spans="1:23" x14ac:dyDescent="0.25">
      <c r="A3" s="22" t="s">
        <v>71</v>
      </c>
      <c r="B3" s="69"/>
      <c r="C3" s="4"/>
      <c r="D3" s="3"/>
      <c r="E3" s="3"/>
      <c r="F3" s="3"/>
      <c r="G3" s="69"/>
      <c r="H3" s="158"/>
      <c r="I3" s="3"/>
      <c r="J3" s="3"/>
      <c r="K3" s="3"/>
      <c r="L3" s="69"/>
      <c r="M3" s="3"/>
      <c r="O3" s="11" t="s">
        <v>58</v>
      </c>
      <c r="Q3" s="174">
        <f>IF(Q2=0, Q4, (F18-K18-M18)/Q2)</f>
        <v>843.29</v>
      </c>
      <c r="T3" s="1"/>
      <c r="W3" s="131"/>
    </row>
    <row r="4" spans="1:23" x14ac:dyDescent="0.25">
      <c r="B4" s="69"/>
      <c r="C4" s="4"/>
      <c r="D4" s="3"/>
      <c r="E4" s="3"/>
      <c r="F4" s="3"/>
      <c r="G4" s="69"/>
      <c r="H4" s="158"/>
      <c r="I4" s="3"/>
      <c r="J4" s="3"/>
      <c r="K4" s="3"/>
      <c r="L4" s="4"/>
      <c r="M4" s="4"/>
      <c r="O4" s="11" t="s">
        <v>66</v>
      </c>
      <c r="Q4" s="53">
        <v>843.29</v>
      </c>
      <c r="R4" s="416">
        <v>1.7899999999999999E-2</v>
      </c>
      <c r="T4" s="1"/>
      <c r="W4" s="131"/>
    </row>
    <row r="5" spans="1:23" x14ac:dyDescent="0.25">
      <c r="B5" s="69"/>
      <c r="C5" s="4"/>
      <c r="D5" s="3"/>
      <c r="E5" s="3"/>
      <c r="F5" s="3"/>
      <c r="G5" s="4"/>
      <c r="H5" s="158"/>
      <c r="I5" s="3"/>
      <c r="J5" s="3"/>
      <c r="K5" s="3"/>
      <c r="L5" s="4"/>
      <c r="M5" s="4"/>
      <c r="O5" s="11" t="s">
        <v>67</v>
      </c>
      <c r="Q5" s="3">
        <f>Q4*Q2</f>
        <v>0</v>
      </c>
      <c r="W5" s="131"/>
    </row>
    <row r="6" spans="1:23" x14ac:dyDescent="0.25">
      <c r="B6" s="69"/>
      <c r="C6" s="4"/>
      <c r="D6" s="3"/>
      <c r="E6" s="3"/>
      <c r="F6" s="3"/>
      <c r="G6" s="4"/>
      <c r="H6" s="158"/>
      <c r="I6" s="3"/>
      <c r="J6" s="3"/>
      <c r="K6" s="3"/>
      <c r="L6" s="4"/>
      <c r="M6" s="4"/>
      <c r="O6" s="11" t="s">
        <v>64</v>
      </c>
      <c r="Q6" s="2">
        <f>Q3*Q2</f>
        <v>0</v>
      </c>
      <c r="W6" s="131"/>
    </row>
    <row r="7" spans="1:23" x14ac:dyDescent="0.25">
      <c r="B7" s="4"/>
      <c r="C7" s="4"/>
      <c r="D7" s="3"/>
      <c r="E7" s="3"/>
      <c r="F7" s="3"/>
      <c r="G7" s="4"/>
      <c r="H7" s="158"/>
      <c r="I7" s="3"/>
      <c r="J7" s="3"/>
      <c r="K7" s="3"/>
      <c r="L7" s="4"/>
      <c r="M7" s="4"/>
      <c r="O7" s="11" t="s">
        <v>175</v>
      </c>
      <c r="Q7" s="2">
        <f>Q10+Q8</f>
        <v>1264.8599999999997</v>
      </c>
      <c r="R7">
        <v>0</v>
      </c>
      <c r="W7" s="131"/>
    </row>
    <row r="8" spans="1:23" x14ac:dyDescent="0.25">
      <c r="B8" s="4"/>
      <c r="C8" s="4"/>
      <c r="D8" s="3"/>
      <c r="E8" s="3"/>
      <c r="F8" s="3"/>
      <c r="G8" s="4"/>
      <c r="H8" s="158"/>
      <c r="I8" s="3"/>
      <c r="J8" s="3"/>
      <c r="K8" s="3"/>
      <c r="L8" s="4"/>
      <c r="M8" s="4"/>
      <c r="O8" s="11" t="s">
        <v>177</v>
      </c>
      <c r="P8" s="33"/>
      <c r="Q8" s="2">
        <f>K18+M18-F18+Q2*Q4</f>
        <v>0</v>
      </c>
      <c r="W8" s="131"/>
    </row>
    <row r="9" spans="1:23" x14ac:dyDescent="0.25">
      <c r="B9" s="4"/>
      <c r="C9" s="4"/>
      <c r="D9" s="3"/>
      <c r="E9" s="3"/>
      <c r="F9" s="3"/>
      <c r="G9" s="4"/>
      <c r="H9" s="158"/>
      <c r="I9" s="3"/>
      <c r="J9" s="3"/>
      <c r="K9" s="3"/>
      <c r="L9" s="4"/>
      <c r="M9" s="4"/>
      <c r="O9" s="11" t="s">
        <v>202</v>
      </c>
      <c r="Q9" s="131">
        <f>IF(Q2=0, 0, Q8/Q6)</f>
        <v>0</v>
      </c>
      <c r="W9" s="131"/>
    </row>
    <row r="10" spans="1:23" x14ac:dyDescent="0.25">
      <c r="H10" s="67"/>
      <c r="O10" s="11" t="s">
        <v>201</v>
      </c>
      <c r="P10" s="33"/>
      <c r="Q10" s="2">
        <f>M66</f>
        <v>1264.8599999999997</v>
      </c>
      <c r="W10" s="131"/>
    </row>
    <row r="11" spans="1:23" x14ac:dyDescent="0.25">
      <c r="H11" s="67"/>
      <c r="O11" s="11" t="s">
        <v>173</v>
      </c>
      <c r="P11" s="33"/>
      <c r="Q11" s="131">
        <v>0</v>
      </c>
      <c r="R11">
        <v>0</v>
      </c>
      <c r="W11" s="131"/>
    </row>
    <row r="12" spans="1:23" x14ac:dyDescent="0.25">
      <c r="H12" s="67"/>
      <c r="W12" s="131"/>
    </row>
    <row r="13" spans="1:23" x14ac:dyDescent="0.25">
      <c r="H13" s="67"/>
      <c r="W13" s="131"/>
    </row>
    <row r="14" spans="1:23" ht="20.25" thickBot="1" x14ac:dyDescent="0.35">
      <c r="H14" s="67"/>
      <c r="O14" s="886" t="s">
        <v>78</v>
      </c>
      <c r="P14" s="886"/>
      <c r="W14" s="131"/>
    </row>
    <row r="15" spans="1:23" ht="15.75" thickTop="1" x14ac:dyDescent="0.25">
      <c r="H15" s="67"/>
      <c r="O15" s="78">
        <v>1.1000000000000001</v>
      </c>
      <c r="P15" s="78">
        <f>O15*$Q$4</f>
        <v>927.61900000000003</v>
      </c>
      <c r="W15" s="131"/>
    </row>
    <row r="16" spans="1:23" x14ac:dyDescent="0.25">
      <c r="H16" s="67"/>
      <c r="O16" s="78">
        <v>1.0900000000000001</v>
      </c>
      <c r="P16" s="78">
        <f t="shared" ref="P16:P35" si="0">O16*$Q$4</f>
        <v>919.18610000000001</v>
      </c>
      <c r="W16" s="131"/>
    </row>
    <row r="17" spans="1:23" x14ac:dyDescent="0.25">
      <c r="O17" s="78">
        <v>1.08</v>
      </c>
      <c r="P17" s="78">
        <f t="shared" si="0"/>
        <v>910.75319999999999</v>
      </c>
      <c r="W17" s="131"/>
    </row>
    <row r="18" spans="1:23" x14ac:dyDescent="0.25">
      <c r="A18" s="31" t="s">
        <v>81</v>
      </c>
      <c r="B18" s="14"/>
      <c r="C18" s="14">
        <f>SUM(C2:C6)</f>
        <v>0</v>
      </c>
      <c r="D18" s="18"/>
      <c r="E18" s="18"/>
      <c r="F18" s="18">
        <f>SUM(F2:F6)</f>
        <v>0</v>
      </c>
      <c r="G18" s="14"/>
      <c r="H18" s="68">
        <f>SUM(H2:H5)</f>
        <v>0</v>
      </c>
      <c r="I18" s="18"/>
      <c r="J18" s="18"/>
      <c r="K18" s="18">
        <f>SUM(K2:K5)</f>
        <v>0</v>
      </c>
      <c r="L18" s="14"/>
      <c r="M18" s="18">
        <f>SUM(M2:M10)</f>
        <v>0</v>
      </c>
      <c r="O18" s="78">
        <v>1.07</v>
      </c>
      <c r="P18" s="78">
        <f t="shared" si="0"/>
        <v>902.32029999999997</v>
      </c>
      <c r="W18" s="131"/>
    </row>
    <row r="19" spans="1:23" ht="15.75" thickBot="1" x14ac:dyDescent="0.3">
      <c r="A19" s="273" t="s">
        <v>189</v>
      </c>
      <c r="B19" s="274"/>
      <c r="C19" s="275">
        <f>SumByColor($A$19,C2:C17)</f>
        <v>0</v>
      </c>
      <c r="D19" s="275"/>
      <c r="E19" s="275"/>
      <c r="F19" s="276">
        <f>SumByColor($A$19,F2:F17)</f>
        <v>0</v>
      </c>
      <c r="G19" s="275"/>
      <c r="H19" s="275">
        <f>SumByColor($A$19,H2:H17)</f>
        <v>0</v>
      </c>
      <c r="I19" s="275"/>
      <c r="J19" s="275"/>
      <c r="K19" s="276">
        <f>SumByColor($A$19,K3:K17)</f>
        <v>0</v>
      </c>
      <c r="L19" s="275"/>
      <c r="M19" s="276">
        <f>SumByColor($A$19,M2:M17)</f>
        <v>0</v>
      </c>
      <c r="O19" s="78">
        <v>1.06</v>
      </c>
      <c r="P19" s="78">
        <f t="shared" si="0"/>
        <v>893.88739999999996</v>
      </c>
      <c r="W19" s="131"/>
    </row>
    <row r="20" spans="1:23" x14ac:dyDescent="0.25">
      <c r="O20" s="78">
        <v>1.05</v>
      </c>
      <c r="P20" s="78">
        <f t="shared" si="0"/>
        <v>885.45450000000005</v>
      </c>
      <c r="W20" s="131"/>
    </row>
    <row r="21" spans="1:23" x14ac:dyDescent="0.25">
      <c r="O21" s="78">
        <v>1.04</v>
      </c>
      <c r="P21" s="78">
        <f t="shared" si="0"/>
        <v>877.02160000000003</v>
      </c>
      <c r="W21" s="131"/>
    </row>
    <row r="22" spans="1:23" x14ac:dyDescent="0.25">
      <c r="O22" s="78">
        <v>1.03</v>
      </c>
      <c r="P22" s="78">
        <f t="shared" si="0"/>
        <v>868.58870000000002</v>
      </c>
      <c r="W22" s="131"/>
    </row>
    <row r="23" spans="1:23" x14ac:dyDescent="0.25">
      <c r="O23" s="78">
        <v>1.02</v>
      </c>
      <c r="P23" s="78">
        <f t="shared" si="0"/>
        <v>860.1558</v>
      </c>
      <c r="W23" s="131"/>
    </row>
    <row r="24" spans="1:23" x14ac:dyDescent="0.25">
      <c r="B24" s="159" t="s">
        <v>113</v>
      </c>
      <c r="C24" s="159" t="s">
        <v>143</v>
      </c>
      <c r="D24" s="160" t="s">
        <v>142</v>
      </c>
      <c r="E24" s="162" t="s">
        <v>144</v>
      </c>
      <c r="F24" s="162" t="s">
        <v>65</v>
      </c>
      <c r="G24" s="173" t="s">
        <v>148</v>
      </c>
      <c r="H24" s="173" t="s">
        <v>88</v>
      </c>
      <c r="I24" s="173" t="s">
        <v>151</v>
      </c>
      <c r="J24" s="173" t="s">
        <v>452</v>
      </c>
      <c r="K24" s="173" t="s">
        <v>175</v>
      </c>
      <c r="L24" s="173"/>
      <c r="O24" s="78">
        <v>1.01</v>
      </c>
      <c r="P24" s="78">
        <f t="shared" si="0"/>
        <v>851.72289999999998</v>
      </c>
      <c r="W24" s="131"/>
    </row>
    <row r="25" spans="1:23" x14ac:dyDescent="0.25">
      <c r="B25" s="161">
        <v>43140</v>
      </c>
      <c r="C25" s="10">
        <v>10</v>
      </c>
      <c r="D25" s="39">
        <v>251.2</v>
      </c>
      <c r="E25" s="39">
        <v>255.46</v>
      </c>
      <c r="F25" s="39">
        <f>C25*(E25-D25)</f>
        <v>42.600000000000193</v>
      </c>
      <c r="G25" s="39">
        <f>D25*C25</f>
        <v>2512</v>
      </c>
      <c r="H25" s="175">
        <f>(E25-D25)/D25</f>
        <v>1.6958598726114726E-2</v>
      </c>
      <c r="I25" s="39"/>
      <c r="J25" s="39"/>
      <c r="K25" s="39"/>
      <c r="L25" s="152"/>
      <c r="O25" s="78">
        <v>1</v>
      </c>
      <c r="P25" s="78">
        <f t="shared" si="0"/>
        <v>843.29</v>
      </c>
      <c r="W25" s="131"/>
    </row>
    <row r="26" spans="1:23" x14ac:dyDescent="0.25">
      <c r="B26" s="161">
        <v>43151</v>
      </c>
      <c r="C26" s="10">
        <v>10</v>
      </c>
      <c r="D26" s="39">
        <v>251.2</v>
      </c>
      <c r="E26" s="39">
        <v>317.57</v>
      </c>
      <c r="F26" s="39">
        <f>C26*(E26-D26)</f>
        <v>663.7</v>
      </c>
      <c r="G26" s="39">
        <f>D26*C26</f>
        <v>2512</v>
      </c>
      <c r="H26" s="175">
        <f>(E26-D26)/D26</f>
        <v>0.26421178343949048</v>
      </c>
      <c r="I26" s="39"/>
      <c r="J26" s="39"/>
      <c r="K26" s="39">
        <v>1121</v>
      </c>
      <c r="L26" s="152"/>
      <c r="O26" s="78">
        <v>0.99</v>
      </c>
      <c r="P26" s="78">
        <f t="shared" si="0"/>
        <v>834.85709999999995</v>
      </c>
      <c r="W26" s="131"/>
    </row>
    <row r="27" spans="1:23" x14ac:dyDescent="0.25">
      <c r="B27" s="161">
        <v>43180</v>
      </c>
      <c r="C27" s="10">
        <v>0</v>
      </c>
      <c r="D27" s="39"/>
      <c r="E27" s="39"/>
      <c r="F27" s="39">
        <v>707.92</v>
      </c>
      <c r="G27" s="39"/>
      <c r="H27" s="175"/>
      <c r="I27" s="39"/>
      <c r="J27" s="39"/>
      <c r="K27" s="39">
        <v>1164.8599999999999</v>
      </c>
      <c r="L27" s="152"/>
      <c r="O27" s="78">
        <v>0.98</v>
      </c>
      <c r="P27" s="78">
        <f t="shared" si="0"/>
        <v>826.42419999999993</v>
      </c>
      <c r="W27" s="131"/>
    </row>
    <row r="28" spans="1:23" x14ac:dyDescent="0.25">
      <c r="B28" s="161"/>
      <c r="C28" s="10"/>
      <c r="D28" s="39"/>
      <c r="E28" s="39"/>
      <c r="F28" s="39"/>
      <c r="G28" s="39"/>
      <c r="H28" s="175"/>
      <c r="I28" s="39"/>
      <c r="J28" s="39"/>
      <c r="K28" s="39"/>
      <c r="L28" s="152"/>
      <c r="O28" s="78">
        <v>0.97</v>
      </c>
      <c r="P28" s="78">
        <f t="shared" si="0"/>
        <v>817.99129999999991</v>
      </c>
      <c r="W28" s="131"/>
    </row>
    <row r="29" spans="1:23" x14ac:dyDescent="0.25">
      <c r="B29" s="161"/>
      <c r="C29" s="10"/>
      <c r="D29" s="39"/>
      <c r="E29" s="39"/>
      <c r="F29" s="39"/>
      <c r="G29" s="39"/>
      <c r="H29" s="175"/>
      <c r="I29" s="39"/>
      <c r="J29" s="39"/>
      <c r="K29" s="39"/>
      <c r="L29" s="152"/>
      <c r="O29" s="78">
        <v>0.96</v>
      </c>
      <c r="P29" s="78">
        <f t="shared" si="0"/>
        <v>809.55839999999989</v>
      </c>
      <c r="W29" s="131"/>
    </row>
    <row r="30" spans="1:23" x14ac:dyDescent="0.25">
      <c r="B30" s="161"/>
      <c r="C30" s="10"/>
      <c r="D30" s="39"/>
      <c r="E30" s="39"/>
      <c r="F30" s="39"/>
      <c r="G30" s="39"/>
      <c r="H30" s="175"/>
      <c r="I30" s="39"/>
      <c r="J30" s="39"/>
      <c r="K30" s="39"/>
      <c r="L30" s="152"/>
      <c r="O30" s="78">
        <v>0.95</v>
      </c>
      <c r="P30" s="78">
        <f t="shared" si="0"/>
        <v>801.12549999999987</v>
      </c>
      <c r="W30" s="131"/>
    </row>
    <row r="31" spans="1:23" x14ac:dyDescent="0.25">
      <c r="B31" s="161"/>
      <c r="C31" s="10"/>
      <c r="D31" s="39"/>
      <c r="E31" s="39"/>
      <c r="F31" s="39"/>
      <c r="G31" s="39"/>
      <c r="H31" s="175"/>
      <c r="I31" s="39"/>
      <c r="J31" s="39"/>
      <c r="K31" s="39"/>
      <c r="L31" s="152"/>
      <c r="O31" s="78">
        <v>0.94</v>
      </c>
      <c r="P31" s="78">
        <f t="shared" si="0"/>
        <v>792.69259999999997</v>
      </c>
      <c r="W31" s="131"/>
    </row>
    <row r="32" spans="1:23" x14ac:dyDescent="0.25">
      <c r="B32" s="161"/>
      <c r="C32" s="10"/>
      <c r="D32" s="39"/>
      <c r="E32" s="39"/>
      <c r="F32" s="39"/>
      <c r="G32" s="39"/>
      <c r="H32" s="175"/>
      <c r="I32" s="39"/>
      <c r="J32" s="39"/>
      <c r="K32" s="39"/>
      <c r="L32" s="152"/>
      <c r="O32" s="78">
        <v>0.93</v>
      </c>
      <c r="P32" s="78">
        <f t="shared" si="0"/>
        <v>784.25969999999995</v>
      </c>
      <c r="W32" s="131"/>
    </row>
    <row r="33" spans="1:23" x14ac:dyDescent="0.25">
      <c r="A33" s="29"/>
      <c r="B33" s="161"/>
      <c r="C33" s="10"/>
      <c r="D33" s="39"/>
      <c r="E33" s="39"/>
      <c r="F33" s="39"/>
      <c r="G33" s="39"/>
      <c r="H33" s="175"/>
      <c r="I33" s="39"/>
      <c r="J33" s="39"/>
      <c r="K33" s="39"/>
      <c r="L33" s="39"/>
      <c r="O33" s="78">
        <v>0.92</v>
      </c>
      <c r="P33" s="78">
        <f t="shared" si="0"/>
        <v>775.82680000000005</v>
      </c>
      <c r="W33" s="131"/>
    </row>
    <row r="34" spans="1:23" x14ac:dyDescent="0.25">
      <c r="B34" s="161"/>
      <c r="C34" s="10"/>
      <c r="D34" s="39"/>
      <c r="E34" s="39"/>
      <c r="F34" s="39"/>
      <c r="G34" s="39"/>
      <c r="H34" s="175"/>
      <c r="I34" s="39"/>
      <c r="J34" s="39"/>
      <c r="K34" s="39"/>
      <c r="L34" s="152"/>
      <c r="O34" s="78">
        <v>0.91</v>
      </c>
      <c r="P34" s="78">
        <f t="shared" si="0"/>
        <v>767.39390000000003</v>
      </c>
      <c r="W34" s="131"/>
    </row>
    <row r="35" spans="1:23" x14ac:dyDescent="0.25">
      <c r="B35" s="161"/>
      <c r="C35" s="10"/>
      <c r="D35" s="39"/>
      <c r="E35" s="39"/>
      <c r="F35" s="39"/>
      <c r="G35" s="39"/>
      <c r="H35" s="175"/>
      <c r="I35" s="39"/>
      <c r="J35" s="39"/>
      <c r="K35" s="39"/>
      <c r="L35" s="152"/>
      <c r="O35" s="78">
        <v>0.9</v>
      </c>
      <c r="P35" s="78">
        <f t="shared" si="0"/>
        <v>758.96100000000001</v>
      </c>
      <c r="W35" s="131"/>
    </row>
    <row r="36" spans="1:23" x14ac:dyDescent="0.25">
      <c r="B36" s="161"/>
      <c r="C36" s="10"/>
      <c r="D36" s="39"/>
      <c r="E36" s="39"/>
      <c r="F36" s="39"/>
      <c r="G36" s="39"/>
      <c r="H36" s="175"/>
      <c r="I36" s="39"/>
      <c r="J36" s="39"/>
      <c r="K36" s="39"/>
      <c r="L36" s="39"/>
      <c r="W36" s="131"/>
    </row>
    <row r="37" spans="1:23" x14ac:dyDescent="0.25">
      <c r="B37" s="161"/>
      <c r="C37" s="10"/>
      <c r="D37" s="39"/>
      <c r="E37" s="39"/>
      <c r="F37" s="39"/>
      <c r="G37" s="39"/>
      <c r="H37" s="175"/>
      <c r="I37" s="39"/>
      <c r="J37" s="39"/>
      <c r="K37" s="39"/>
      <c r="L37" s="39"/>
      <c r="W37" s="131"/>
    </row>
    <row r="38" spans="1:23" x14ac:dyDescent="0.25">
      <c r="B38" s="161"/>
      <c r="C38" s="10"/>
      <c r="D38" s="39"/>
      <c r="E38" s="39"/>
      <c r="F38" s="39"/>
      <c r="G38" s="39"/>
      <c r="H38" s="175"/>
      <c r="I38" s="39"/>
      <c r="J38" s="39"/>
      <c r="K38" s="39"/>
      <c r="L38" s="39"/>
      <c r="W38" s="131"/>
    </row>
    <row r="39" spans="1:23" x14ac:dyDescent="0.25">
      <c r="B39" s="161"/>
      <c r="C39" s="10"/>
      <c r="D39" s="39"/>
      <c r="E39" s="39"/>
      <c r="F39" s="39"/>
      <c r="G39" s="39"/>
      <c r="H39" s="175"/>
      <c r="I39" s="39"/>
      <c r="J39" s="39"/>
      <c r="K39" s="39"/>
      <c r="L39" s="39"/>
      <c r="T39" s="131"/>
    </row>
    <row r="40" spans="1:23" x14ac:dyDescent="0.25">
      <c r="B40" s="161"/>
      <c r="C40" s="10"/>
      <c r="D40" s="39"/>
      <c r="E40" s="39"/>
      <c r="F40" s="39"/>
      <c r="G40" s="39"/>
      <c r="H40" s="175"/>
      <c r="I40" s="39"/>
      <c r="J40" s="39"/>
      <c r="K40" s="39"/>
      <c r="L40" s="39"/>
      <c r="T40" s="131"/>
    </row>
    <row r="41" spans="1:23" x14ac:dyDescent="0.25">
      <c r="B41" s="161"/>
      <c r="C41" s="10"/>
      <c r="D41" s="39"/>
      <c r="E41" s="39"/>
      <c r="F41" s="39"/>
      <c r="G41" s="39"/>
      <c r="H41" s="175"/>
      <c r="I41" s="39"/>
      <c r="J41" s="39"/>
      <c r="K41" s="39"/>
      <c r="L41" s="39"/>
      <c r="Q41" s="2"/>
      <c r="T41" s="131"/>
    </row>
    <row r="42" spans="1:23" x14ac:dyDescent="0.25">
      <c r="B42" s="161"/>
      <c r="C42" s="10"/>
      <c r="D42" s="39"/>
      <c r="E42" s="39"/>
      <c r="F42" s="39"/>
      <c r="G42" s="39"/>
      <c r="H42" s="175"/>
      <c r="I42" s="39"/>
      <c r="J42" s="39"/>
      <c r="K42" s="39"/>
      <c r="L42" s="39"/>
      <c r="Q42" s="2"/>
      <c r="T42" s="131"/>
    </row>
    <row r="43" spans="1:23" x14ac:dyDescent="0.25">
      <c r="B43" s="161"/>
      <c r="C43" s="10"/>
      <c r="D43" s="39"/>
      <c r="E43" s="39"/>
      <c r="F43" s="39"/>
      <c r="G43" s="39"/>
      <c r="H43" s="175"/>
      <c r="I43" s="39"/>
      <c r="J43" s="39"/>
      <c r="K43" s="39"/>
      <c r="L43" s="39"/>
      <c r="Q43" s="2"/>
      <c r="T43" s="131"/>
    </row>
    <row r="44" spans="1:23" x14ac:dyDescent="0.25">
      <c r="B44" s="161"/>
      <c r="C44" s="10"/>
      <c r="D44" s="39"/>
      <c r="E44" s="39"/>
      <c r="F44" s="39"/>
      <c r="G44" s="39"/>
      <c r="H44" s="175"/>
      <c r="I44" s="39"/>
      <c r="J44" s="39"/>
      <c r="K44" s="39"/>
      <c r="L44" s="39"/>
      <c r="Q44" s="2"/>
      <c r="T44" s="131"/>
    </row>
    <row r="45" spans="1:23" x14ac:dyDescent="0.25">
      <c r="B45" s="161"/>
      <c r="C45" s="10"/>
      <c r="D45" s="39"/>
      <c r="E45" s="39"/>
      <c r="F45" s="39"/>
      <c r="G45" s="39"/>
      <c r="H45" s="175"/>
      <c r="I45" s="39"/>
      <c r="J45" s="39"/>
      <c r="K45" s="39"/>
      <c r="L45" s="39"/>
      <c r="Q45" s="2"/>
      <c r="T45" s="131"/>
    </row>
    <row r="46" spans="1:23" x14ac:dyDescent="0.25">
      <c r="B46" s="161"/>
      <c r="C46" s="10"/>
      <c r="D46" s="39"/>
      <c r="E46" s="39"/>
      <c r="F46" s="39"/>
      <c r="G46" s="39"/>
      <c r="H46" s="175"/>
      <c r="I46" s="39"/>
      <c r="J46" s="39"/>
      <c r="K46" s="39"/>
      <c r="L46" s="39"/>
      <c r="Q46" s="2"/>
      <c r="T46" s="131"/>
    </row>
    <row r="47" spans="1:23" x14ac:dyDescent="0.25">
      <c r="B47" s="69"/>
      <c r="C47" s="4"/>
      <c r="D47" s="3"/>
      <c r="E47" s="3"/>
      <c r="F47" s="3"/>
      <c r="G47" s="3"/>
      <c r="H47" s="212"/>
      <c r="I47" s="210"/>
      <c r="Q47" s="2"/>
      <c r="T47" s="131"/>
    </row>
    <row r="48" spans="1:23" x14ac:dyDescent="0.25">
      <c r="B48" s="69"/>
      <c r="C48" s="4"/>
      <c r="D48" s="3"/>
      <c r="E48" s="3"/>
      <c r="F48" s="3"/>
      <c r="G48" s="3"/>
      <c r="H48" s="212"/>
      <c r="I48" s="3"/>
      <c r="Q48" s="2"/>
      <c r="T48" s="131"/>
    </row>
    <row r="49" spans="1:23" x14ac:dyDescent="0.25">
      <c r="B49" s="69"/>
      <c r="C49" s="4"/>
      <c r="D49" s="3"/>
      <c r="E49" s="3"/>
      <c r="F49" s="3"/>
      <c r="G49" s="3"/>
      <c r="H49" s="212"/>
      <c r="I49" s="3"/>
      <c r="Q49" s="2"/>
      <c r="T49" s="131"/>
    </row>
    <row r="50" spans="1:23" x14ac:dyDescent="0.25">
      <c r="B50" s="69"/>
      <c r="C50" s="4"/>
      <c r="D50" s="3"/>
      <c r="E50" s="3"/>
      <c r="F50" s="3"/>
      <c r="G50" s="3"/>
      <c r="H50" s="212"/>
      <c r="I50" s="3"/>
      <c r="Q50" s="2"/>
      <c r="T50" s="131"/>
    </row>
    <row r="51" spans="1:23" x14ac:dyDescent="0.25">
      <c r="B51" s="69"/>
      <c r="C51" s="4"/>
      <c r="D51" s="3"/>
      <c r="E51" s="3"/>
      <c r="F51" s="3"/>
      <c r="G51" s="3"/>
      <c r="H51" s="212"/>
      <c r="I51" s="3"/>
      <c r="Q51" s="2"/>
      <c r="T51" s="131"/>
    </row>
    <row r="52" spans="1:23" x14ac:dyDescent="0.25">
      <c r="B52" s="69"/>
      <c r="C52" s="4"/>
      <c r="D52" s="3"/>
      <c r="E52" s="3"/>
      <c r="F52" s="3"/>
      <c r="G52" s="3"/>
      <c r="H52" s="212"/>
      <c r="I52" s="3"/>
      <c r="Q52" s="2"/>
      <c r="T52" s="131"/>
    </row>
    <row r="53" spans="1:23" x14ac:dyDescent="0.25">
      <c r="B53" s="69"/>
      <c r="C53" s="4"/>
      <c r="D53" s="3"/>
      <c r="E53" s="3"/>
      <c r="F53" s="3"/>
      <c r="G53" s="3"/>
      <c r="H53" s="212"/>
      <c r="I53" s="3"/>
      <c r="Q53" s="2"/>
      <c r="T53" s="131"/>
    </row>
    <row r="54" spans="1:23" x14ac:dyDescent="0.25">
      <c r="A54" s="4"/>
      <c r="B54" s="69"/>
      <c r="C54" s="4"/>
      <c r="D54" s="3"/>
      <c r="E54" s="3"/>
      <c r="F54" s="3"/>
      <c r="G54" s="3"/>
      <c r="H54" s="212"/>
      <c r="I54" s="3"/>
      <c r="J54" s="3"/>
      <c r="K54" s="3"/>
      <c r="L54" s="4"/>
      <c r="T54" s="131"/>
    </row>
    <row r="55" spans="1:23" x14ac:dyDescent="0.25">
      <c r="A55" s="4"/>
      <c r="B55" s="69"/>
      <c r="C55" s="4"/>
      <c r="D55" s="3"/>
      <c r="E55" s="3"/>
      <c r="F55" s="3"/>
      <c r="G55" s="3"/>
      <c r="H55" s="212"/>
      <c r="I55" s="3"/>
      <c r="J55" s="3"/>
      <c r="K55" s="3"/>
      <c r="L55" s="4"/>
      <c r="T55" s="131"/>
    </row>
    <row r="56" spans="1:23" x14ac:dyDescent="0.25">
      <c r="A56" s="4"/>
      <c r="B56" s="69"/>
      <c r="C56" s="4"/>
      <c r="D56" s="3"/>
      <c r="E56" s="3"/>
      <c r="F56" s="3"/>
      <c r="G56" s="3"/>
      <c r="H56" s="212"/>
      <c r="I56" s="3"/>
      <c r="J56" s="3"/>
      <c r="K56" s="3"/>
      <c r="L56" s="4"/>
      <c r="T56" s="131"/>
    </row>
    <row r="57" spans="1:23" x14ac:dyDescent="0.25">
      <c r="A57" s="4"/>
      <c r="B57" s="69"/>
      <c r="C57" s="4"/>
      <c r="D57" s="3"/>
      <c r="E57" s="3"/>
      <c r="F57" s="3"/>
      <c r="G57" s="3"/>
      <c r="H57" s="212"/>
      <c r="I57" s="3"/>
      <c r="J57" s="3"/>
      <c r="K57" s="3"/>
      <c r="L57" s="4"/>
      <c r="T57" s="131"/>
    </row>
    <row r="58" spans="1:23" x14ac:dyDescent="0.25">
      <c r="A58" s="4"/>
      <c r="B58" s="69"/>
      <c r="C58" s="4"/>
      <c r="D58" s="3"/>
      <c r="E58" s="3"/>
      <c r="F58" s="3"/>
      <c r="G58" s="3"/>
      <c r="H58" s="212"/>
      <c r="I58" s="3"/>
      <c r="J58" s="3"/>
      <c r="K58" s="3"/>
      <c r="L58" s="4"/>
      <c r="T58" s="131"/>
    </row>
    <row r="59" spans="1:23" x14ac:dyDescent="0.25">
      <c r="A59" s="4"/>
      <c r="B59" s="69"/>
      <c r="C59" s="4"/>
      <c r="D59" s="3"/>
      <c r="E59" s="3"/>
      <c r="F59" s="3"/>
      <c r="G59" s="3"/>
      <c r="H59" s="212"/>
      <c r="I59" s="3"/>
      <c r="J59" s="3"/>
      <c r="K59" s="3"/>
      <c r="L59" s="4"/>
      <c r="T59" s="131"/>
    </row>
    <row r="60" spans="1:23" x14ac:dyDescent="0.25">
      <c r="A60" s="4"/>
      <c r="B60" s="69"/>
      <c r="C60" s="4"/>
      <c r="D60" s="3"/>
      <c r="E60" s="3"/>
      <c r="F60" s="3"/>
      <c r="G60" s="3"/>
      <c r="H60" s="212"/>
      <c r="I60" s="3"/>
      <c r="J60" s="3"/>
      <c r="K60" s="3"/>
      <c r="L60" s="4"/>
      <c r="W60" s="131"/>
    </row>
    <row r="61" spans="1:23" x14ac:dyDescent="0.25">
      <c r="A61" s="4"/>
      <c r="B61" s="69"/>
      <c r="C61" s="4"/>
      <c r="D61" s="3"/>
      <c r="E61" s="3"/>
      <c r="F61" s="3"/>
      <c r="G61" s="3"/>
      <c r="H61" s="212"/>
      <c r="I61" s="3"/>
      <c r="J61" s="3"/>
      <c r="K61" s="3"/>
      <c r="L61" s="4"/>
      <c r="W61" s="131"/>
    </row>
    <row r="62" spans="1:23" x14ac:dyDescent="0.25">
      <c r="A62" s="4"/>
      <c r="B62" s="69"/>
      <c r="C62" s="4"/>
      <c r="D62" s="3"/>
      <c r="E62" s="3"/>
      <c r="F62" s="3"/>
      <c r="G62" s="3"/>
      <c r="H62" s="212"/>
      <c r="I62" s="3"/>
      <c r="J62" s="3"/>
      <c r="K62" s="3"/>
      <c r="L62" s="4"/>
      <c r="W62" s="131"/>
    </row>
    <row r="63" spans="1:23" x14ac:dyDescent="0.25">
      <c r="A63" s="4"/>
      <c r="B63" s="69"/>
      <c r="C63" s="4"/>
      <c r="D63" s="3"/>
      <c r="E63" s="3"/>
      <c r="F63" s="3"/>
      <c r="G63" s="3"/>
      <c r="H63" s="212"/>
      <c r="I63" s="3"/>
      <c r="J63" s="3"/>
      <c r="K63" s="3"/>
      <c r="L63" s="4"/>
      <c r="W63" s="131"/>
    </row>
    <row r="64" spans="1:23" x14ac:dyDescent="0.25">
      <c r="A64" s="4"/>
      <c r="B64" s="4"/>
      <c r="C64" s="4"/>
      <c r="D64" s="3"/>
      <c r="E64" s="3"/>
      <c r="F64" s="3"/>
      <c r="G64" s="4"/>
      <c r="H64" s="4"/>
      <c r="I64" s="3"/>
      <c r="J64" s="3"/>
      <c r="K64" s="3"/>
      <c r="L64" s="4"/>
      <c r="W64" s="131"/>
    </row>
    <row r="65" spans="1:23" x14ac:dyDescent="0.25">
      <c r="A65" s="4"/>
      <c r="B65" s="4"/>
      <c r="C65" s="4"/>
      <c r="D65" s="3"/>
      <c r="E65" s="3"/>
      <c r="F65" s="3"/>
      <c r="G65" s="4"/>
      <c r="H65" s="4"/>
      <c r="I65" s="3"/>
      <c r="J65" s="3"/>
      <c r="K65" s="3"/>
      <c r="L65" s="4"/>
      <c r="W65" s="131"/>
    </row>
    <row r="66" spans="1:23" x14ac:dyDescent="0.25">
      <c r="A66" s="4"/>
      <c r="B66" s="4"/>
      <c r="C66" s="4"/>
      <c r="D66" s="3"/>
      <c r="E66" s="3"/>
      <c r="F66" s="3"/>
      <c r="G66" s="4"/>
      <c r="H66" s="4"/>
      <c r="I66" s="3"/>
      <c r="J66" s="3"/>
      <c r="K66" s="3"/>
      <c r="L66" s="4" t="s">
        <v>65</v>
      </c>
      <c r="M66" s="2">
        <f>M84+K84-F84</f>
        <v>1264.8599999999997</v>
      </c>
      <c r="W66" s="131"/>
    </row>
    <row r="67" spans="1:23"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c r="W67" s="131"/>
    </row>
    <row r="68" spans="1:23" x14ac:dyDescent="0.25">
      <c r="A68" s="433" t="s">
        <v>752</v>
      </c>
      <c r="B68" s="69">
        <v>43098</v>
      </c>
      <c r="C68" s="4">
        <v>10</v>
      </c>
      <c r="D68" s="3">
        <v>288.98</v>
      </c>
      <c r="E68" s="3">
        <v>-0.02</v>
      </c>
      <c r="F68" s="3">
        <f>C68*D68+E68</f>
        <v>2889.78</v>
      </c>
      <c r="G68" s="69">
        <v>43098</v>
      </c>
      <c r="H68" s="4">
        <v>10</v>
      </c>
      <c r="I68" s="3">
        <v>334.68</v>
      </c>
      <c r="J68" s="3">
        <v>0.08</v>
      </c>
      <c r="K68" s="3">
        <f>H68*I68-J68</f>
        <v>3346.7200000000003</v>
      </c>
      <c r="L68" s="69"/>
      <c r="M68" s="3"/>
      <c r="W68" s="131"/>
    </row>
    <row r="69" spans="1:23" x14ac:dyDescent="0.25">
      <c r="A69" s="435" t="s">
        <v>71</v>
      </c>
      <c r="B69" s="69">
        <v>43140</v>
      </c>
      <c r="C69" s="4">
        <v>10</v>
      </c>
      <c r="D69" s="3">
        <v>251.2</v>
      </c>
      <c r="E69" s="3">
        <v>0</v>
      </c>
      <c r="F69" s="3">
        <f>C69*D69+E69</f>
        <v>2512</v>
      </c>
      <c r="G69" s="69">
        <v>43180</v>
      </c>
      <c r="H69" s="4">
        <v>10</v>
      </c>
      <c r="I69" s="3">
        <v>332</v>
      </c>
      <c r="J69" s="3">
        <v>0.08</v>
      </c>
      <c r="K69" s="3">
        <f>H69*I69-J69</f>
        <v>3319.92</v>
      </c>
      <c r="L69" s="69"/>
      <c r="M69" s="418"/>
      <c r="W69" s="131"/>
    </row>
    <row r="70" spans="1:23" x14ac:dyDescent="0.25">
      <c r="A70" s="418"/>
      <c r="B70" s="417"/>
      <c r="C70" s="418"/>
      <c r="D70" s="420"/>
      <c r="E70" s="420"/>
      <c r="F70" s="420"/>
      <c r="G70" s="417"/>
      <c r="H70" s="434"/>
      <c r="I70" s="420"/>
      <c r="J70" s="420"/>
      <c r="K70" s="420"/>
      <c r="L70" s="418"/>
      <c r="M70" s="418"/>
    </row>
    <row r="71" spans="1:23" x14ac:dyDescent="0.25">
      <c r="A71" s="418"/>
      <c r="B71" s="417"/>
      <c r="C71" s="418"/>
      <c r="D71" s="420"/>
      <c r="E71" s="420"/>
      <c r="F71" s="420"/>
      <c r="G71" s="418"/>
      <c r="H71" s="434"/>
      <c r="I71" s="420"/>
      <c r="J71" s="420"/>
      <c r="K71" s="420"/>
      <c r="L71" s="418"/>
      <c r="M71" s="418"/>
    </row>
    <row r="72" spans="1:23" x14ac:dyDescent="0.25">
      <c r="A72" s="418"/>
      <c r="B72" s="417"/>
      <c r="C72" s="418"/>
      <c r="D72" s="420"/>
      <c r="E72" s="420"/>
      <c r="F72" s="420"/>
      <c r="G72" s="418"/>
      <c r="H72" s="434"/>
      <c r="I72" s="420"/>
      <c r="J72" s="420"/>
      <c r="K72" s="420"/>
      <c r="L72" s="418"/>
      <c r="M72" s="418"/>
    </row>
    <row r="73" spans="1:23" x14ac:dyDescent="0.25">
      <c r="A73" s="418"/>
      <c r="B73" s="418"/>
      <c r="C73" s="418"/>
      <c r="D73" s="420"/>
      <c r="E73" s="420"/>
      <c r="F73" s="420"/>
      <c r="G73" s="418"/>
      <c r="H73" s="434"/>
      <c r="I73" s="420"/>
      <c r="J73" s="420"/>
      <c r="K73" s="420"/>
      <c r="L73" s="418"/>
      <c r="M73" s="418"/>
    </row>
    <row r="74" spans="1:23" x14ac:dyDescent="0.25">
      <c r="A74" s="418"/>
      <c r="B74" s="418"/>
      <c r="C74" s="418"/>
      <c r="D74" s="420"/>
      <c r="E74" s="420"/>
      <c r="F74" s="420"/>
      <c r="G74" s="418"/>
      <c r="H74" s="434"/>
      <c r="I74" s="420"/>
      <c r="J74" s="420"/>
      <c r="K74" s="420"/>
      <c r="L74" s="418"/>
      <c r="M74" s="418"/>
    </row>
    <row r="75" spans="1:23" x14ac:dyDescent="0.25">
      <c r="A75" s="418"/>
      <c r="B75" s="418"/>
      <c r="C75" s="418"/>
      <c r="D75" s="420"/>
      <c r="E75" s="420"/>
      <c r="F75" s="420"/>
      <c r="G75" s="418"/>
      <c r="H75" s="434"/>
      <c r="I75" s="420"/>
      <c r="J75" s="420"/>
      <c r="K75" s="420"/>
      <c r="L75" s="418"/>
      <c r="M75" s="418"/>
    </row>
    <row r="76" spans="1:23" x14ac:dyDescent="0.25">
      <c r="A76" s="418"/>
      <c r="B76" s="418"/>
      <c r="C76" s="418"/>
      <c r="D76" s="420"/>
      <c r="E76" s="420"/>
      <c r="F76" s="420"/>
      <c r="G76" s="418"/>
      <c r="H76" s="434"/>
      <c r="I76" s="420"/>
      <c r="J76" s="420"/>
      <c r="K76" s="420"/>
      <c r="L76" s="418"/>
      <c r="M76" s="418"/>
    </row>
    <row r="77" spans="1:23" x14ac:dyDescent="0.25">
      <c r="A77" s="418"/>
      <c r="B77" s="418"/>
      <c r="C77" s="418"/>
      <c r="D77" s="420"/>
      <c r="E77" s="420"/>
      <c r="F77" s="420"/>
      <c r="G77" s="418"/>
      <c r="H77" s="434"/>
      <c r="I77" s="420"/>
      <c r="J77" s="420"/>
      <c r="K77" s="420"/>
      <c r="L77" s="418"/>
      <c r="M77" s="418"/>
    </row>
    <row r="78" spans="1:23" x14ac:dyDescent="0.25">
      <c r="A78" s="418"/>
      <c r="B78" s="418"/>
      <c r="C78" s="418"/>
      <c r="D78" s="420"/>
      <c r="E78" s="420"/>
      <c r="F78" s="420"/>
      <c r="G78" s="418"/>
      <c r="H78" s="434"/>
      <c r="I78" s="420"/>
      <c r="J78" s="420"/>
      <c r="K78" s="420"/>
      <c r="L78" s="418"/>
      <c r="M78" s="418"/>
    </row>
    <row r="79" spans="1:23" x14ac:dyDescent="0.25">
      <c r="A79" s="418"/>
      <c r="B79" s="418"/>
      <c r="C79" s="418"/>
      <c r="D79" s="420"/>
      <c r="E79" s="420"/>
      <c r="F79" s="420"/>
      <c r="G79" s="418"/>
      <c r="H79" s="434"/>
      <c r="I79" s="420"/>
      <c r="J79" s="420"/>
      <c r="K79" s="420"/>
      <c r="L79" s="418"/>
      <c r="M79" s="418"/>
    </row>
    <row r="80" spans="1:23"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SUM(C68:C72)</f>
        <v>20</v>
      </c>
      <c r="D84" s="438"/>
      <c r="E84" s="438"/>
      <c r="F84" s="438">
        <f>SUM(F68:F72)</f>
        <v>5401.7800000000007</v>
      </c>
      <c r="G84" s="437"/>
      <c r="H84" s="459">
        <f>SUM(H68:H71)</f>
        <v>20</v>
      </c>
      <c r="I84" s="438"/>
      <c r="J84" s="438"/>
      <c r="K84" s="438">
        <f>SUM(K68:K71)</f>
        <v>6666.64</v>
      </c>
      <c r="L84" s="437"/>
      <c r="M84" s="438">
        <f>SUM(M68:M76)</f>
        <v>0</v>
      </c>
    </row>
    <row r="85" spans="1:13" ht="15.75" thickBot="1" x14ac:dyDescent="0.3">
      <c r="A85" s="439" t="s">
        <v>189</v>
      </c>
      <c r="B85" s="440"/>
      <c r="C85" s="441">
        <f>SumByColor($A$19,C68:C83)</f>
        <v>0</v>
      </c>
      <c r="D85" s="441"/>
      <c r="E85" s="441"/>
      <c r="F85" s="442">
        <f>SumByColor($A$19,F68:F83)</f>
        <v>0</v>
      </c>
      <c r="G85" s="441"/>
      <c r="H85" s="441">
        <f>SumByColor($A$19,H68:H83)</f>
        <v>0</v>
      </c>
      <c r="I85" s="441"/>
      <c r="J85" s="441"/>
      <c r="K85" s="442">
        <f>SumByColor($A$19,K69:K83)</f>
        <v>0</v>
      </c>
      <c r="L85" s="441"/>
      <c r="M85" s="442">
        <f>SumByColor($A$19,M68:M83)</f>
        <v>0</v>
      </c>
    </row>
    <row r="88" spans="1:13" x14ac:dyDescent="0.25">
      <c r="B88" s="159" t="s">
        <v>113</v>
      </c>
      <c r="C88" s="159" t="s">
        <v>143</v>
      </c>
      <c r="D88" s="160" t="s">
        <v>142</v>
      </c>
      <c r="E88" s="162" t="s">
        <v>144</v>
      </c>
      <c r="F88" s="162" t="s">
        <v>65</v>
      </c>
      <c r="G88" s="173" t="s">
        <v>148</v>
      </c>
      <c r="H88" s="173" t="s">
        <v>88</v>
      </c>
      <c r="I88" s="173" t="s">
        <v>151</v>
      </c>
      <c r="J88" s="39"/>
      <c r="K88" s="39"/>
    </row>
    <row r="89" spans="1:13" x14ac:dyDescent="0.25">
      <c r="B89" s="161">
        <v>43098</v>
      </c>
      <c r="C89" s="10">
        <v>10</v>
      </c>
      <c r="D89" s="39">
        <v>288.97800000000001</v>
      </c>
      <c r="E89" s="39">
        <v>289.02999999999997</v>
      </c>
      <c r="F89" s="39">
        <f>C89*(E89-D89)</f>
        <v>0.51999999999964075</v>
      </c>
      <c r="G89" s="39">
        <f>D89*C89</f>
        <v>2889.78</v>
      </c>
      <c r="H89" s="175">
        <f>(E89-D89)/D89</f>
        <v>1.7994449404440502E-4</v>
      </c>
      <c r="I89" s="39"/>
      <c r="J89" s="39"/>
      <c r="K89" s="39"/>
    </row>
    <row r="90" spans="1:13" x14ac:dyDescent="0.25">
      <c r="B90" s="161">
        <v>43105</v>
      </c>
      <c r="C90" s="10">
        <v>10</v>
      </c>
      <c r="D90" s="39">
        <v>288.97800000000001</v>
      </c>
      <c r="E90" s="39">
        <v>313.79000000000002</v>
      </c>
      <c r="F90" s="39">
        <f>C90*(E90-D90)</f>
        <v>248.12000000000012</v>
      </c>
      <c r="G90" s="39">
        <f>D90*C90</f>
        <v>2889.78</v>
      </c>
      <c r="H90" s="175">
        <f>(E90-D90)/D90</f>
        <v>8.5861207427555084E-2</v>
      </c>
      <c r="I90" s="39"/>
      <c r="J90" s="39"/>
      <c r="K90" s="39"/>
    </row>
    <row r="91" spans="1:13" x14ac:dyDescent="0.25">
      <c r="A91" s="1">
        <v>43129</v>
      </c>
      <c r="B91" s="161">
        <v>43108</v>
      </c>
      <c r="C91" s="10">
        <v>10</v>
      </c>
      <c r="D91" s="39">
        <v>288.97800000000001</v>
      </c>
      <c r="E91" s="39">
        <v>318.47000000000003</v>
      </c>
      <c r="F91" s="39">
        <f>C91*(E91-D91)</f>
        <v>294.92000000000019</v>
      </c>
      <c r="G91" s="39">
        <f>D91*C91</f>
        <v>2889.78</v>
      </c>
      <c r="H91" s="175">
        <f>(E91-D91)/D91</f>
        <v>0.10205621189156273</v>
      </c>
      <c r="I91" s="39"/>
      <c r="J91" s="39"/>
      <c r="K91" s="39"/>
    </row>
    <row r="92" spans="1:13" x14ac:dyDescent="0.25">
      <c r="B92" s="161">
        <v>43117</v>
      </c>
      <c r="C92" s="10">
        <v>10</v>
      </c>
      <c r="D92" s="39">
        <v>288.97800000000001</v>
      </c>
      <c r="E92" s="39">
        <v>334.63</v>
      </c>
      <c r="F92" s="39">
        <f>C92*(E92-D92)</f>
        <v>456.51999999999987</v>
      </c>
      <c r="G92" s="39">
        <f>D92*C92</f>
        <v>2889.78</v>
      </c>
      <c r="H92" s="175">
        <f>(E92-D92)/D92</f>
        <v>0.15797742388693944</v>
      </c>
      <c r="I92" s="39"/>
      <c r="J92" s="39"/>
      <c r="K92" s="39"/>
    </row>
    <row r="93" spans="1:13" x14ac:dyDescent="0.25">
      <c r="B93" s="161">
        <v>43129</v>
      </c>
      <c r="C93" s="10">
        <v>0</v>
      </c>
      <c r="D93" s="39"/>
      <c r="E93" s="39"/>
      <c r="F93" s="39">
        <v>456.94</v>
      </c>
      <c r="G93" s="39"/>
      <c r="H93" s="175"/>
      <c r="I93" s="39"/>
      <c r="J93" s="39"/>
      <c r="K93" s="39"/>
    </row>
    <row r="94" spans="1:13" x14ac:dyDescent="0.25">
      <c r="B94" s="161"/>
      <c r="C94" s="10"/>
      <c r="D94" s="39"/>
      <c r="E94" s="39"/>
      <c r="F94" s="39"/>
      <c r="G94" s="39"/>
      <c r="H94" s="175"/>
      <c r="I94" s="39"/>
      <c r="J94" s="39"/>
      <c r="K94" s="39"/>
    </row>
    <row r="95" spans="1:13" x14ac:dyDescent="0.25">
      <c r="B95" s="161"/>
      <c r="C95" s="10"/>
      <c r="D95" s="39"/>
      <c r="E95" s="39"/>
      <c r="F95" s="39"/>
      <c r="G95" s="39"/>
      <c r="H95" s="175"/>
      <c r="I95" s="39"/>
      <c r="J95" s="39"/>
      <c r="K95" s="39"/>
    </row>
    <row r="96" spans="1:13" x14ac:dyDescent="0.25">
      <c r="B96" s="161"/>
      <c r="C96" s="10"/>
      <c r="D96" s="39"/>
      <c r="E96" s="39"/>
      <c r="F96" s="39"/>
      <c r="G96" s="39"/>
      <c r="H96" s="175"/>
      <c r="I96" s="39"/>
      <c r="J96" s="39"/>
      <c r="K96" s="39"/>
    </row>
    <row r="97" spans="2:11" x14ac:dyDescent="0.25">
      <c r="B97" s="161"/>
      <c r="C97" s="10"/>
      <c r="D97" s="39"/>
      <c r="E97" s="39"/>
      <c r="F97" s="39"/>
      <c r="G97" s="39"/>
      <c r="H97" s="175"/>
      <c r="I97" s="39"/>
      <c r="J97" s="39"/>
      <c r="K97" s="39"/>
    </row>
    <row r="98" spans="2:11" x14ac:dyDescent="0.25">
      <c r="B98" s="161"/>
      <c r="C98" s="10"/>
      <c r="D98" s="39"/>
      <c r="E98" s="39"/>
      <c r="F98" s="39"/>
      <c r="G98" s="39"/>
      <c r="H98" s="175"/>
      <c r="I98" s="39"/>
      <c r="J98" s="39"/>
      <c r="K98" s="39"/>
    </row>
    <row r="99" spans="2:11" x14ac:dyDescent="0.25">
      <c r="B99" s="161"/>
      <c r="C99" s="10"/>
      <c r="D99" s="39"/>
      <c r="E99" s="39"/>
      <c r="F99" s="39"/>
      <c r="G99" s="39"/>
      <c r="H99" s="175"/>
      <c r="I99" s="39"/>
      <c r="J99" s="39"/>
      <c r="K99" s="39"/>
    </row>
    <row r="100" spans="2:11" x14ac:dyDescent="0.25">
      <c r="B100" s="161"/>
      <c r="C100" s="10"/>
      <c r="D100" s="39"/>
      <c r="E100" s="39"/>
      <c r="F100" s="39"/>
      <c r="G100" s="39"/>
      <c r="H100" s="175"/>
      <c r="I100" s="39"/>
      <c r="J100" s="39"/>
      <c r="K100" s="39"/>
    </row>
    <row r="101" spans="2:11" x14ac:dyDescent="0.25">
      <c r="B101" s="161"/>
      <c r="C101" s="10"/>
      <c r="D101" s="39"/>
      <c r="E101" s="39"/>
      <c r="F101" s="39"/>
      <c r="G101" s="39"/>
      <c r="H101" s="175"/>
      <c r="I101" s="39"/>
      <c r="J101" s="39"/>
      <c r="K101" s="39"/>
    </row>
    <row r="102" spans="2:11" x14ac:dyDescent="0.25">
      <c r="B102" s="161"/>
      <c r="C102" s="10"/>
      <c r="D102" s="39"/>
      <c r="E102" s="39"/>
      <c r="F102" s="39"/>
      <c r="G102" s="39"/>
      <c r="H102" s="175"/>
      <c r="I102" s="39"/>
      <c r="J102" s="39"/>
      <c r="K102" s="39"/>
    </row>
    <row r="103" spans="2:11" x14ac:dyDescent="0.25">
      <c r="B103" s="161"/>
      <c r="C103" s="10"/>
      <c r="D103" s="39"/>
      <c r="E103" s="39"/>
      <c r="F103" s="39"/>
      <c r="G103" s="39"/>
      <c r="H103" s="175"/>
      <c r="I103" s="39"/>
      <c r="J103" s="39"/>
      <c r="K103" s="39"/>
    </row>
    <row r="104" spans="2:11" x14ac:dyDescent="0.25">
      <c r="B104" s="161"/>
      <c r="C104" s="10"/>
      <c r="D104" s="39"/>
      <c r="E104" s="39"/>
      <c r="F104" s="39"/>
      <c r="G104" s="39"/>
      <c r="H104" s="175"/>
      <c r="I104" s="39"/>
      <c r="J104" s="39"/>
      <c r="K104" s="39"/>
    </row>
    <row r="105" spans="2:11" x14ac:dyDescent="0.25">
      <c r="B105" s="161"/>
      <c r="C105" s="10"/>
      <c r="D105" s="39"/>
      <c r="E105" s="39"/>
      <c r="F105" s="39"/>
      <c r="G105" s="39"/>
      <c r="H105" s="175"/>
      <c r="I105" s="39"/>
      <c r="J105" s="39"/>
      <c r="K105" s="39"/>
    </row>
    <row r="106" spans="2:11" x14ac:dyDescent="0.25">
      <c r="B106" s="161"/>
      <c r="C106" s="10"/>
      <c r="D106" s="39"/>
      <c r="E106" s="39"/>
      <c r="F106" s="39"/>
      <c r="G106" s="39"/>
      <c r="H106" s="175"/>
      <c r="I106" s="39"/>
      <c r="J106" s="39"/>
      <c r="K106" s="39"/>
    </row>
    <row r="107" spans="2:11" x14ac:dyDescent="0.25">
      <c r="B107" s="161"/>
      <c r="C107" s="10"/>
      <c r="D107" s="39"/>
      <c r="E107" s="39"/>
      <c r="F107" s="39"/>
      <c r="G107" s="39"/>
      <c r="H107" s="175"/>
      <c r="I107" s="39"/>
      <c r="J107" s="39"/>
      <c r="K107" s="39"/>
    </row>
    <row r="108" spans="2:11" x14ac:dyDescent="0.25">
      <c r="B108" s="161"/>
      <c r="C108" s="10"/>
      <c r="D108" s="39"/>
      <c r="E108" s="39"/>
      <c r="F108" s="39"/>
      <c r="G108" s="39"/>
      <c r="H108" s="175"/>
      <c r="I108" s="39"/>
      <c r="J108" s="39"/>
      <c r="K108" s="39"/>
    </row>
    <row r="109" spans="2:11" x14ac:dyDescent="0.25">
      <c r="B109" s="161"/>
      <c r="C109" s="10"/>
      <c r="D109" s="39"/>
      <c r="E109" s="39"/>
      <c r="F109" s="39"/>
      <c r="G109" s="39"/>
      <c r="H109" s="175"/>
      <c r="I109" s="39"/>
      <c r="J109" s="39"/>
      <c r="K109" s="39"/>
    </row>
    <row r="110" spans="2:11" x14ac:dyDescent="0.25">
      <c r="B110" s="161"/>
      <c r="C110" s="10"/>
      <c r="D110" s="39"/>
      <c r="E110" s="39"/>
      <c r="F110" s="39"/>
      <c r="G110" s="39"/>
      <c r="H110" s="175"/>
      <c r="I110" s="39"/>
      <c r="J110" s="39"/>
      <c r="K110" s="39"/>
    </row>
  </sheetData>
  <mergeCells count="1">
    <mergeCell ref="O14:P14"/>
  </mergeCells>
  <conditionalFormatting sqref="O15:O35">
    <cfRule type="colorScale" priority="33">
      <colorScale>
        <cfvo type="min"/>
        <cfvo type="percentile" val="50"/>
        <cfvo type="max"/>
        <color rgb="FFF8696B"/>
        <color rgb="FFFFEB84"/>
        <color rgb="FF63BE7B"/>
      </colorScale>
    </cfRule>
  </conditionalFormatting>
  <conditionalFormatting sqref="P15:P35">
    <cfRule type="colorScale" priority="32">
      <colorScale>
        <cfvo type="min"/>
        <cfvo type="percentile" val="50"/>
        <cfvo type="max"/>
        <color rgb="FFF8696B"/>
        <color rgb="FFFFEB84"/>
        <color rgb="FF63BE7B"/>
      </colorScale>
    </cfRule>
  </conditionalFormatting>
  <conditionalFormatting sqref="W1:W38 W60:W69 T39:T59">
    <cfRule type="iconSet" priority="31">
      <iconSet iconSet="3Arrows">
        <cfvo type="percent" val="0"/>
        <cfvo type="num" val="0"/>
        <cfvo type="num" val="0"/>
      </iconSet>
    </cfRule>
  </conditionalFormatting>
  <conditionalFormatting sqref="F89:F95 H89:H95 J88:K110 F29:F63 H29:H63 J29:K38">
    <cfRule type="expression" dxfId="3473" priority="29">
      <formula>F29&gt;0</formula>
    </cfRule>
    <cfRule type="expression" dxfId="3472" priority="30">
      <formula>F29&lt;0</formula>
    </cfRule>
  </conditionalFormatting>
  <conditionalFormatting sqref="Q7">
    <cfRule type="expression" dxfId="3471" priority="27">
      <formula>Q7&gt;0</formula>
    </cfRule>
    <cfRule type="expression" dxfId="3470" priority="28">
      <formula>Q7&lt;0</formula>
    </cfRule>
  </conditionalFormatting>
  <conditionalFormatting sqref="Q8">
    <cfRule type="expression" dxfId="3469" priority="25">
      <formula>Q8&gt;0</formula>
    </cfRule>
    <cfRule type="expression" dxfId="3468" priority="26">
      <formula>Q8&lt;0</formula>
    </cfRule>
  </conditionalFormatting>
  <conditionalFormatting sqref="F96:F110">
    <cfRule type="expression" dxfId="3467" priority="19">
      <formula>F96&gt;0</formula>
    </cfRule>
    <cfRule type="expression" dxfId="3466" priority="20">
      <formula>F96&lt;0</formula>
    </cfRule>
  </conditionalFormatting>
  <conditionalFormatting sqref="H96:H110">
    <cfRule type="expression" dxfId="3465" priority="17">
      <formula>H96&gt;0</formula>
    </cfRule>
    <cfRule type="expression" dxfId="3464" priority="18">
      <formula>H96&lt;0</formula>
    </cfRule>
  </conditionalFormatting>
  <conditionalFormatting sqref="Q10">
    <cfRule type="expression" dxfId="3463" priority="15">
      <formula>Q10&gt;0</formula>
    </cfRule>
    <cfRule type="expression" dxfId="3462" priority="16">
      <formula>Q10&lt;0</formula>
    </cfRule>
  </conditionalFormatting>
  <conditionalFormatting sqref="L29:L38">
    <cfRule type="expression" dxfId="3461" priority="9">
      <formula>L29&gt;0</formula>
    </cfRule>
    <cfRule type="expression" dxfId="3460" priority="10">
      <formula>L29&lt;0</formula>
    </cfRule>
  </conditionalFormatting>
  <conditionalFormatting sqref="F27:F29 H27:H29 J25:K29">
    <cfRule type="expression" dxfId="3459" priority="7">
      <formula>F25&gt;0</formula>
    </cfRule>
    <cfRule type="expression" dxfId="3458" priority="8">
      <formula>F25&lt;0</formula>
    </cfRule>
  </conditionalFormatting>
  <conditionalFormatting sqref="L25:L29">
    <cfRule type="expression" dxfId="3457" priority="5">
      <formula>L25&gt;0</formula>
    </cfRule>
    <cfRule type="expression" dxfId="3456" priority="6">
      <formula>L25&lt;0</formula>
    </cfRule>
  </conditionalFormatting>
  <conditionalFormatting sqref="F25:F26">
    <cfRule type="expression" dxfId="3455" priority="3">
      <formula>F25&gt;0</formula>
    </cfRule>
    <cfRule type="expression" dxfId="3454" priority="4">
      <formula>F25&lt;0</formula>
    </cfRule>
  </conditionalFormatting>
  <conditionalFormatting sqref="H25:H26">
    <cfRule type="expression" dxfId="3453" priority="1">
      <formula>H25&gt;0</formula>
    </cfRule>
    <cfRule type="expression" dxfId="3452" priority="2">
      <formula>H25&lt;0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5"/>
  <dimension ref="A1:U125"/>
  <sheetViews>
    <sheetView workbookViewId="0">
      <pane ySplit="1" topLeftCell="A8" activePane="bottomLeft" state="frozen"/>
      <selection activeCell="M34" sqref="M34"/>
      <selection pane="bottomLeft" activeCell="U73" sqref="U73"/>
    </sheetView>
  </sheetViews>
  <sheetFormatPr defaultRowHeight="15" x14ac:dyDescent="0.25"/>
  <cols>
    <col min="4" max="6" width="9.140625" style="2"/>
    <col min="9" max="11" width="9.140625" style="2"/>
    <col min="17" max="17" width="11.85546875" bestFit="1" customWidth="1"/>
    <col min="18" max="18" width="10.7109375" bestFit="1" customWidth="1"/>
    <col min="20" max="20" width="18.5703125" customWidth="1"/>
    <col min="21" max="21" width="6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267</v>
      </c>
      <c r="B2" s="360">
        <v>43300</v>
      </c>
      <c r="C2" s="7">
        <v>50</v>
      </c>
      <c r="D2" s="43">
        <v>64.88</v>
      </c>
      <c r="E2" s="43">
        <v>0</v>
      </c>
      <c r="F2" s="43">
        <f t="shared" ref="F2:F12" si="0">C2*D2+E2</f>
        <v>3244</v>
      </c>
      <c r="G2" s="360">
        <v>43332</v>
      </c>
      <c r="H2" s="7">
        <v>50</v>
      </c>
      <c r="I2" s="43">
        <v>74.599999999999994</v>
      </c>
      <c r="J2" s="43">
        <v>0.05</v>
      </c>
      <c r="K2" s="43">
        <f t="shared" ref="K2:K13" si="1">H2*I2-J2</f>
        <v>3729.9499999999994</v>
      </c>
      <c r="L2" s="69">
        <v>43313</v>
      </c>
      <c r="M2" s="43">
        <v>50</v>
      </c>
      <c r="O2" s="11" t="s">
        <v>57</v>
      </c>
      <c r="Q2">
        <f>C18-H18</f>
        <v>0</v>
      </c>
      <c r="T2" s="1" t="s">
        <v>1066</v>
      </c>
      <c r="U2" t="s">
        <v>1174</v>
      </c>
    </row>
    <row r="3" spans="1:21" x14ac:dyDescent="0.25">
      <c r="A3" s="22" t="s">
        <v>71</v>
      </c>
      <c r="B3" s="360">
        <v>43300</v>
      </c>
      <c r="C3" s="7">
        <v>50</v>
      </c>
      <c r="D3" s="43">
        <v>64.88</v>
      </c>
      <c r="E3" s="43">
        <v>0</v>
      </c>
      <c r="F3" s="43">
        <f t="shared" si="0"/>
        <v>3244</v>
      </c>
      <c r="G3" s="360">
        <v>43339</v>
      </c>
      <c r="H3" s="77">
        <v>50</v>
      </c>
      <c r="I3" s="43">
        <v>74.75</v>
      </c>
      <c r="J3" s="43">
        <v>0.05</v>
      </c>
      <c r="K3" s="43">
        <f t="shared" si="1"/>
        <v>3737.45</v>
      </c>
      <c r="L3" s="69">
        <v>43405</v>
      </c>
      <c r="M3" s="43">
        <v>75</v>
      </c>
      <c r="O3" s="11" t="s">
        <v>58</v>
      </c>
      <c r="Q3" s="388">
        <f>IF(Q2=0, Q4, (F18-K18-M18)/Q2)</f>
        <v>76.58</v>
      </c>
      <c r="T3" s="1" t="s">
        <v>1179</v>
      </c>
    </row>
    <row r="4" spans="1:21" x14ac:dyDescent="0.25">
      <c r="B4" s="360">
        <v>43313</v>
      </c>
      <c r="C4" s="7">
        <v>50</v>
      </c>
      <c r="D4" s="43">
        <v>64.180000000000007</v>
      </c>
      <c r="E4" s="43">
        <v>0</v>
      </c>
      <c r="F4" s="43">
        <f t="shared" si="0"/>
        <v>3209.0000000000005</v>
      </c>
      <c r="G4" s="360">
        <v>43361</v>
      </c>
      <c r="H4" s="77">
        <v>50</v>
      </c>
      <c r="I4" s="43">
        <v>78.8</v>
      </c>
      <c r="J4" s="43">
        <v>0.05</v>
      </c>
      <c r="K4" s="43">
        <f t="shared" si="1"/>
        <v>3939.95</v>
      </c>
      <c r="L4" s="69">
        <v>43500</v>
      </c>
      <c r="M4" s="43">
        <v>50</v>
      </c>
      <c r="O4" s="11" t="s">
        <v>66</v>
      </c>
      <c r="Q4" s="53">
        <v>76.58</v>
      </c>
      <c r="R4" s="396">
        <v>-9.7999999999999997E-3</v>
      </c>
      <c r="T4" s="153" t="s">
        <v>1186</v>
      </c>
      <c r="U4" s="1" t="s">
        <v>1187</v>
      </c>
    </row>
    <row r="5" spans="1:21" x14ac:dyDescent="0.25">
      <c r="B5" s="360">
        <v>43333</v>
      </c>
      <c r="C5" s="7">
        <v>50</v>
      </c>
      <c r="D5" s="43">
        <v>73.010000000000005</v>
      </c>
      <c r="E5" s="43">
        <v>0</v>
      </c>
      <c r="F5" s="43">
        <f t="shared" si="0"/>
        <v>3650.5000000000005</v>
      </c>
      <c r="G5" s="360">
        <v>43374</v>
      </c>
      <c r="H5" s="77">
        <v>50</v>
      </c>
      <c r="I5" s="43">
        <v>79.7</v>
      </c>
      <c r="J5" s="43">
        <v>0.05</v>
      </c>
      <c r="K5" s="43">
        <f t="shared" si="1"/>
        <v>3984.95</v>
      </c>
      <c r="L5" s="69">
        <v>43589</v>
      </c>
      <c r="M5" s="43">
        <v>100</v>
      </c>
      <c r="O5" s="11" t="s">
        <v>67</v>
      </c>
      <c r="Q5" s="3">
        <f>Q4*Q2</f>
        <v>0</v>
      </c>
    </row>
    <row r="6" spans="1:21" x14ac:dyDescent="0.25">
      <c r="B6" s="360">
        <v>43368</v>
      </c>
      <c r="C6" s="7">
        <v>50</v>
      </c>
      <c r="D6" s="43">
        <v>77.8</v>
      </c>
      <c r="E6" s="43">
        <v>0</v>
      </c>
      <c r="F6" s="43">
        <f t="shared" si="0"/>
        <v>3890</v>
      </c>
      <c r="G6" s="360">
        <v>43411</v>
      </c>
      <c r="H6" s="77">
        <v>50</v>
      </c>
      <c r="I6" s="43">
        <v>79.08</v>
      </c>
      <c r="J6" s="43">
        <v>0.05</v>
      </c>
      <c r="K6" s="43">
        <f t="shared" si="1"/>
        <v>3953.95</v>
      </c>
      <c r="L6" s="69">
        <v>43679</v>
      </c>
      <c r="M6" s="43">
        <v>100</v>
      </c>
      <c r="O6" s="11" t="s">
        <v>64</v>
      </c>
      <c r="Q6" s="2">
        <f>Q3*Q2</f>
        <v>0</v>
      </c>
    </row>
    <row r="7" spans="1:21" x14ac:dyDescent="0.25">
      <c r="B7" s="360">
        <v>43384</v>
      </c>
      <c r="C7" s="7">
        <v>100</v>
      </c>
      <c r="D7" s="43">
        <v>74.28</v>
      </c>
      <c r="E7" s="43">
        <v>0</v>
      </c>
      <c r="F7" s="43">
        <f t="shared" si="0"/>
        <v>7428</v>
      </c>
      <c r="G7" s="360">
        <v>43431</v>
      </c>
      <c r="H7" s="77">
        <v>100</v>
      </c>
      <c r="I7" s="43">
        <v>80.41</v>
      </c>
      <c r="J7" s="43">
        <v>0.5</v>
      </c>
      <c r="K7" s="43">
        <f t="shared" si="1"/>
        <v>8040.5</v>
      </c>
      <c r="L7" s="69">
        <v>43773</v>
      </c>
      <c r="M7" s="43">
        <v>50</v>
      </c>
      <c r="O7" s="11" t="s">
        <v>175</v>
      </c>
      <c r="Q7" s="2">
        <f>Q10+Q8</f>
        <v>4302.9500000000007</v>
      </c>
      <c r="R7">
        <v>0</v>
      </c>
      <c r="T7" s="1">
        <v>43320</v>
      </c>
      <c r="U7" t="s">
        <v>82</v>
      </c>
    </row>
    <row r="8" spans="1:21" x14ac:dyDescent="0.25">
      <c r="B8" s="360">
        <v>43440</v>
      </c>
      <c r="C8" s="7">
        <v>100</v>
      </c>
      <c r="D8" s="43">
        <v>75.88</v>
      </c>
      <c r="E8" s="43">
        <v>0</v>
      </c>
      <c r="F8" s="43">
        <f t="shared" si="0"/>
        <v>7588</v>
      </c>
      <c r="G8" s="360">
        <v>43483</v>
      </c>
      <c r="H8" s="77">
        <v>50</v>
      </c>
      <c r="I8" s="43">
        <v>65.38</v>
      </c>
      <c r="J8" s="43">
        <v>0.04</v>
      </c>
      <c r="K8" s="43">
        <f t="shared" si="1"/>
        <v>3268.96</v>
      </c>
      <c r="L8" s="4"/>
      <c r="M8" s="4"/>
      <c r="O8" s="11" t="s">
        <v>177</v>
      </c>
      <c r="P8" s="33"/>
      <c r="Q8" s="2">
        <f>K18+M18-F18+Q2*Q4</f>
        <v>4105.7400000000052</v>
      </c>
      <c r="U8" s="396" t="s">
        <v>1184</v>
      </c>
    </row>
    <row r="9" spans="1:21" x14ac:dyDescent="0.25">
      <c r="B9" s="360">
        <v>43481</v>
      </c>
      <c r="C9" s="7">
        <v>50</v>
      </c>
      <c r="D9" s="43">
        <v>63.48</v>
      </c>
      <c r="E9" s="43">
        <v>0</v>
      </c>
      <c r="F9" s="43">
        <f t="shared" si="0"/>
        <v>3174</v>
      </c>
      <c r="G9" s="360">
        <v>43545</v>
      </c>
      <c r="H9" s="77">
        <v>100</v>
      </c>
      <c r="I9" s="43">
        <v>57.45</v>
      </c>
      <c r="J9" s="43">
        <v>7.0000000000000007E-2</v>
      </c>
      <c r="K9" s="43">
        <f t="shared" si="1"/>
        <v>5744.93</v>
      </c>
      <c r="L9" s="4"/>
      <c r="M9" s="4"/>
      <c r="O9" s="11" t="s">
        <v>202</v>
      </c>
      <c r="Q9" s="131">
        <f>IF(Q2=0, 0, Q8/Q6)</f>
        <v>0</v>
      </c>
    </row>
    <row r="10" spans="1:21" x14ac:dyDescent="0.25">
      <c r="B10" s="360">
        <v>43523</v>
      </c>
      <c r="C10" s="7">
        <v>100</v>
      </c>
      <c r="D10" s="43">
        <v>58.88</v>
      </c>
      <c r="E10" s="43">
        <v>0</v>
      </c>
      <c r="F10" s="43">
        <f t="shared" si="0"/>
        <v>5888</v>
      </c>
      <c r="G10" s="360">
        <v>43657</v>
      </c>
      <c r="H10" s="77">
        <v>100</v>
      </c>
      <c r="I10" s="43">
        <v>59.5</v>
      </c>
      <c r="J10" s="43">
        <v>0.12</v>
      </c>
      <c r="K10" s="43">
        <f t="shared" si="1"/>
        <v>5949.88</v>
      </c>
      <c r="L10" s="4"/>
      <c r="M10" s="4"/>
      <c r="O10" s="11" t="s">
        <v>201</v>
      </c>
      <c r="P10" s="33"/>
      <c r="Q10" s="2">
        <f>M68</f>
        <v>197.20999999999549</v>
      </c>
      <c r="T10" s="1">
        <v>43483</v>
      </c>
      <c r="U10" t="s">
        <v>1305</v>
      </c>
    </row>
    <row r="11" spans="1:21" x14ac:dyDescent="0.25">
      <c r="B11" s="360">
        <v>43531</v>
      </c>
      <c r="C11" s="7">
        <v>100</v>
      </c>
      <c r="D11" s="43">
        <v>52.8</v>
      </c>
      <c r="E11" s="43">
        <v>0</v>
      </c>
      <c r="F11" s="43">
        <f t="shared" si="0"/>
        <v>5280</v>
      </c>
      <c r="G11" s="360">
        <v>43686</v>
      </c>
      <c r="H11" s="77">
        <v>50</v>
      </c>
      <c r="I11" s="43">
        <v>59.34</v>
      </c>
      <c r="J11" s="43">
        <v>0.06</v>
      </c>
      <c r="K11" s="43">
        <f t="shared" si="1"/>
        <v>2966.94</v>
      </c>
      <c r="O11" s="11" t="s">
        <v>173</v>
      </c>
      <c r="P11" s="33"/>
      <c r="Q11" s="131">
        <f>R11*4/Q4</f>
        <v>2.6116479498563595E-2</v>
      </c>
      <c r="R11">
        <v>0.5</v>
      </c>
    </row>
    <row r="12" spans="1:21" x14ac:dyDescent="0.25">
      <c r="B12" s="360">
        <v>43658</v>
      </c>
      <c r="C12" s="7">
        <v>50</v>
      </c>
      <c r="D12" s="43">
        <v>57.5</v>
      </c>
      <c r="E12" s="43">
        <v>0</v>
      </c>
      <c r="F12" s="43">
        <f t="shared" si="0"/>
        <v>2875</v>
      </c>
      <c r="G12" s="360">
        <v>43695</v>
      </c>
      <c r="H12" s="77">
        <v>50</v>
      </c>
      <c r="I12" s="43">
        <v>60.18</v>
      </c>
      <c r="J12" s="43">
        <v>0.06</v>
      </c>
      <c r="K12" s="43">
        <f t="shared" si="1"/>
        <v>3008.94</v>
      </c>
      <c r="O12" s="11" t="s">
        <v>875</v>
      </c>
      <c r="Q12" s="1" t="s">
        <v>1353</v>
      </c>
      <c r="T12" s="1">
        <v>43516</v>
      </c>
      <c r="U12" t="s">
        <v>1329</v>
      </c>
    </row>
    <row r="13" spans="1:21" ht="15" customHeight="1" x14ac:dyDescent="0.25">
      <c r="B13" s="360">
        <v>43658</v>
      </c>
      <c r="C13" s="7">
        <v>50</v>
      </c>
      <c r="D13" s="43">
        <v>57.5</v>
      </c>
      <c r="E13" s="43">
        <v>0</v>
      </c>
      <c r="F13" s="43">
        <f t="shared" ref="F13" si="2">C13*D13+E13</f>
        <v>2875</v>
      </c>
      <c r="G13" s="360">
        <v>43794</v>
      </c>
      <c r="H13" s="77">
        <v>100</v>
      </c>
      <c r="I13" s="43">
        <v>77</v>
      </c>
      <c r="J13" s="43">
        <v>0.16</v>
      </c>
      <c r="K13" s="43">
        <f t="shared" si="1"/>
        <v>7699.84</v>
      </c>
      <c r="O13" s="11" t="s">
        <v>901</v>
      </c>
      <c r="Q13" s="2">
        <f>Q4/(6.78)</f>
        <v>11.294985250737463</v>
      </c>
      <c r="U13" s="887" t="s">
        <v>1330</v>
      </c>
    </row>
    <row r="14" spans="1:21" x14ac:dyDescent="0.25">
      <c r="H14" s="67"/>
      <c r="O14" s="11" t="s">
        <v>988</v>
      </c>
      <c r="Q14" s="1">
        <v>43324</v>
      </c>
      <c r="U14" s="887"/>
    </row>
    <row r="15" spans="1:21" x14ac:dyDescent="0.25">
      <c r="H15" s="67"/>
      <c r="U15" s="887"/>
    </row>
    <row r="16" spans="1:21" x14ac:dyDescent="0.25">
      <c r="H16" s="67"/>
      <c r="U16" s="887"/>
    </row>
    <row r="17" spans="1:21" x14ac:dyDescent="0.25">
      <c r="U17" s="887"/>
    </row>
    <row r="18" spans="1:21" x14ac:dyDescent="0.25">
      <c r="A18" s="31" t="s">
        <v>81</v>
      </c>
      <c r="B18" s="14"/>
      <c r="C18" s="14">
        <f>SUM(C2:C17)</f>
        <v>800</v>
      </c>
      <c r="D18" s="18"/>
      <c r="E18" s="18"/>
      <c r="F18" s="18">
        <f>SUM(F2:F17)</f>
        <v>52345.5</v>
      </c>
      <c r="G18" s="14"/>
      <c r="H18" s="14">
        <f>SUM(H2:H17)</f>
        <v>800</v>
      </c>
      <c r="I18" s="18"/>
      <c r="J18" s="18"/>
      <c r="K18" s="18">
        <f>SUM(K2:K17)</f>
        <v>56026.240000000005</v>
      </c>
      <c r="L18" s="14"/>
      <c r="M18" s="18">
        <f>SUM(M2:M10)</f>
        <v>425</v>
      </c>
      <c r="U18" s="887"/>
    </row>
    <row r="19" spans="1:21" ht="15.75" thickBot="1" x14ac:dyDescent="0.3">
      <c r="A19" s="273" t="s">
        <v>189</v>
      </c>
      <c r="B19" s="274"/>
      <c r="C19" s="275">
        <f>SumByColor($A$19,C2:C17)</f>
        <v>800</v>
      </c>
      <c r="D19" s="275"/>
      <c r="E19" s="275"/>
      <c r="F19" s="276">
        <f>SumByColor($A$19,F2:F17)</f>
        <v>52346</v>
      </c>
      <c r="G19" s="275"/>
      <c r="H19" s="275">
        <f>SumByColor($A$19,H2:H17)</f>
        <v>800</v>
      </c>
      <c r="I19" s="275"/>
      <c r="J19" s="275"/>
      <c r="K19" s="276">
        <f>SumByColor($A$19,K2:K17)</f>
        <v>56026</v>
      </c>
      <c r="L19" s="275"/>
      <c r="M19" s="276">
        <f>SumByColor($A$19,M2:M17)</f>
        <v>425</v>
      </c>
      <c r="U19" s="887"/>
    </row>
    <row r="20" spans="1:21" ht="20.25" thickBot="1" x14ac:dyDescent="0.35">
      <c r="O20" s="752" t="s">
        <v>78</v>
      </c>
      <c r="P20" s="752"/>
      <c r="U20" s="887"/>
    </row>
    <row r="21" spans="1:21" ht="15.75" thickTop="1" x14ac:dyDescent="0.25">
      <c r="O21" s="78">
        <v>1.1000000000000001</v>
      </c>
      <c r="P21" s="78">
        <f>O21*$Q$4</f>
        <v>84.238</v>
      </c>
      <c r="U21" s="887"/>
    </row>
    <row r="22" spans="1:21" x14ac:dyDescent="0.25">
      <c r="O22" s="78">
        <v>1.0900000000000001</v>
      </c>
      <c r="P22" s="78">
        <f t="shared" ref="P22:P41" si="3">O22*$Q$4</f>
        <v>83.472200000000001</v>
      </c>
      <c r="U22" s="887"/>
    </row>
    <row r="23" spans="1:21" x14ac:dyDescent="0.25">
      <c r="O23" s="78">
        <v>1.08</v>
      </c>
      <c r="P23" s="78">
        <f t="shared" si="3"/>
        <v>82.706400000000002</v>
      </c>
      <c r="U23" s="887"/>
    </row>
    <row r="24" spans="1:21" x14ac:dyDescent="0.25">
      <c r="B24" s="159" t="s">
        <v>113</v>
      </c>
      <c r="C24" s="159" t="s">
        <v>143</v>
      </c>
      <c r="D24" s="160" t="s">
        <v>142</v>
      </c>
      <c r="E24" s="162" t="s">
        <v>144</v>
      </c>
      <c r="F24" s="163" t="s">
        <v>65</v>
      </c>
      <c r="G24" s="173" t="s">
        <v>148</v>
      </c>
      <c r="H24" s="163" t="s">
        <v>88</v>
      </c>
      <c r="I24" s="173" t="s">
        <v>151</v>
      </c>
      <c r="J24" s="173" t="s">
        <v>452</v>
      </c>
      <c r="K24" s="173" t="s">
        <v>147</v>
      </c>
      <c r="L24" s="173" t="s">
        <v>901</v>
      </c>
      <c r="O24" s="78">
        <v>1.07</v>
      </c>
      <c r="P24" s="78">
        <f t="shared" si="3"/>
        <v>81.940600000000003</v>
      </c>
      <c r="U24" s="887"/>
    </row>
    <row r="25" spans="1:21" x14ac:dyDescent="0.25">
      <c r="B25" s="161">
        <v>43300</v>
      </c>
      <c r="C25" s="181">
        <v>100</v>
      </c>
      <c r="D25" s="182">
        <v>64.88</v>
      </c>
      <c r="E25" s="39">
        <v>64.88</v>
      </c>
      <c r="F25" s="39">
        <f t="shared" ref="F25:F30" si="4">C25*(E25-D25)</f>
        <v>0</v>
      </c>
      <c r="G25" s="39">
        <f t="shared" ref="G25:G30" si="5">D25*C25</f>
        <v>6488</v>
      </c>
      <c r="H25" s="175">
        <f t="shared" ref="H25:H30" si="6">(E25-D25)/D25</f>
        <v>0</v>
      </c>
      <c r="I25" s="39"/>
      <c r="J25" s="39"/>
      <c r="K25" s="39">
        <f t="shared" ref="K25:K30" si="7">$Q$10+F25</f>
        <v>197.20999999999549</v>
      </c>
      <c r="L25" s="39">
        <v>9.48</v>
      </c>
      <c r="O25" s="78">
        <v>1.06</v>
      </c>
      <c r="P25" s="78">
        <f t="shared" si="3"/>
        <v>81.174800000000005</v>
      </c>
    </row>
    <row r="26" spans="1:21" x14ac:dyDescent="0.25">
      <c r="B26" s="161">
        <v>43312</v>
      </c>
      <c r="C26" s="10">
        <v>100</v>
      </c>
      <c r="D26" s="39">
        <v>64.88</v>
      </c>
      <c r="E26" s="39">
        <v>64.86</v>
      </c>
      <c r="F26" s="39">
        <f t="shared" si="4"/>
        <v>-1.9999999999996021</v>
      </c>
      <c r="G26" s="39">
        <f t="shared" si="5"/>
        <v>6488</v>
      </c>
      <c r="H26" s="175">
        <f t="shared" si="6"/>
        <v>-3.0826140567194856E-4</v>
      </c>
      <c r="I26" s="39"/>
      <c r="J26" s="39"/>
      <c r="K26" s="39">
        <f t="shared" si="7"/>
        <v>195.20999999999589</v>
      </c>
      <c r="L26" s="39"/>
      <c r="O26" s="78">
        <v>1.05</v>
      </c>
      <c r="P26" s="78">
        <f t="shared" si="3"/>
        <v>80.409000000000006</v>
      </c>
    </row>
    <row r="27" spans="1:21" x14ac:dyDescent="0.25">
      <c r="A27">
        <v>0</v>
      </c>
      <c r="B27" s="161">
        <v>43313</v>
      </c>
      <c r="C27" s="10">
        <v>150</v>
      </c>
      <c r="D27" s="39">
        <v>64.313329999999993</v>
      </c>
      <c r="E27" s="39">
        <v>64.09</v>
      </c>
      <c r="F27" s="39">
        <f t="shared" si="4"/>
        <v>-33.499499999998505</v>
      </c>
      <c r="G27" s="39">
        <f t="shared" si="5"/>
        <v>9646.9994999999999</v>
      </c>
      <c r="H27" s="175">
        <f t="shared" si="6"/>
        <v>-3.472530500286489E-3</v>
      </c>
      <c r="I27" s="39"/>
      <c r="J27" s="39" t="s">
        <v>182</v>
      </c>
      <c r="K27" s="39">
        <f t="shared" si="7"/>
        <v>163.71049999999698</v>
      </c>
      <c r="L27" s="39">
        <v>9.19</v>
      </c>
      <c r="O27" s="78">
        <v>1.04</v>
      </c>
      <c r="P27" s="78">
        <f t="shared" si="3"/>
        <v>79.643200000000007</v>
      </c>
    </row>
    <row r="28" spans="1:21" x14ac:dyDescent="0.25">
      <c r="B28" s="161">
        <v>43316</v>
      </c>
      <c r="C28" s="10">
        <v>150</v>
      </c>
      <c r="D28" s="39">
        <v>64.313329999999993</v>
      </c>
      <c r="E28" s="39">
        <v>64.89</v>
      </c>
      <c r="F28" s="39">
        <f t="shared" si="4"/>
        <v>86.500500000001068</v>
      </c>
      <c r="G28" s="39">
        <f t="shared" si="5"/>
        <v>9646.9994999999999</v>
      </c>
      <c r="H28" s="175">
        <f t="shared" si="6"/>
        <v>8.9665703828429848E-3</v>
      </c>
      <c r="I28" s="39"/>
      <c r="J28" s="39"/>
      <c r="K28" s="39">
        <f t="shared" si="7"/>
        <v>283.71049999999656</v>
      </c>
      <c r="L28" s="39">
        <v>9.3000000000000007</v>
      </c>
      <c r="O28" s="78">
        <v>1.03</v>
      </c>
      <c r="P28" s="78">
        <f t="shared" si="3"/>
        <v>78.877399999999994</v>
      </c>
    </row>
    <row r="29" spans="1:21" x14ac:dyDescent="0.25">
      <c r="B29" s="161">
        <v>43324</v>
      </c>
      <c r="C29" s="10">
        <v>150</v>
      </c>
      <c r="D29" s="39">
        <v>64.313329999999993</v>
      </c>
      <c r="E29" s="39">
        <v>69.05</v>
      </c>
      <c r="F29" s="39">
        <f t="shared" si="4"/>
        <v>710.50050000000056</v>
      </c>
      <c r="G29" s="39">
        <f t="shared" si="5"/>
        <v>9646.9994999999999</v>
      </c>
      <c r="H29" s="175">
        <f t="shared" si="6"/>
        <v>7.3649894975116426E-2</v>
      </c>
      <c r="I29" s="39"/>
      <c r="J29" s="39"/>
      <c r="K29" s="39">
        <f t="shared" si="7"/>
        <v>907.71049999999605</v>
      </c>
      <c r="L29" s="39"/>
      <c r="O29" s="78">
        <v>1.02</v>
      </c>
      <c r="P29" s="78">
        <f t="shared" si="3"/>
        <v>78.111599999999996</v>
      </c>
    </row>
    <row r="30" spans="1:21" x14ac:dyDescent="0.25">
      <c r="B30" s="161">
        <v>43325</v>
      </c>
      <c r="C30" s="10">
        <v>150</v>
      </c>
      <c r="D30" s="39">
        <v>64.313329999999993</v>
      </c>
      <c r="E30" s="39">
        <v>69.5</v>
      </c>
      <c r="F30" s="39">
        <f t="shared" si="4"/>
        <v>778.00050000000101</v>
      </c>
      <c r="G30" s="39">
        <f t="shared" si="5"/>
        <v>9646.9994999999999</v>
      </c>
      <c r="H30" s="175">
        <f t="shared" si="6"/>
        <v>8.0646889221876822E-2</v>
      </c>
      <c r="I30" s="39"/>
      <c r="J30" s="39"/>
      <c r="K30" s="39">
        <f t="shared" si="7"/>
        <v>975.2104999999965</v>
      </c>
      <c r="L30" s="39"/>
      <c r="O30" s="78">
        <v>1.01</v>
      </c>
      <c r="P30" s="78">
        <f t="shared" si="3"/>
        <v>77.345799999999997</v>
      </c>
    </row>
    <row r="31" spans="1:21" x14ac:dyDescent="0.25">
      <c r="B31" s="161">
        <v>43328</v>
      </c>
      <c r="C31" s="10">
        <v>150</v>
      </c>
      <c r="D31" s="39">
        <v>64.313329999999993</v>
      </c>
      <c r="E31" s="39">
        <v>73.2</v>
      </c>
      <c r="F31" s="39">
        <f>C31*(E31-D31)</f>
        <v>1333.0005000000015</v>
      </c>
      <c r="G31" s="39">
        <f>D31*C31</f>
        <v>9646.9994999999999</v>
      </c>
      <c r="H31" s="175">
        <f>(E31-D31)/D31</f>
        <v>0.13817773080635087</v>
      </c>
      <c r="I31" s="39"/>
      <c r="J31" s="39"/>
      <c r="K31" s="39">
        <f t="shared" ref="K31:K43" si="8">$Q$10+F31</f>
        <v>1530.210499999997</v>
      </c>
      <c r="L31" s="39"/>
      <c r="O31" s="78">
        <v>1</v>
      </c>
      <c r="P31" s="78">
        <f t="shared" si="3"/>
        <v>76.58</v>
      </c>
    </row>
    <row r="32" spans="1:21" x14ac:dyDescent="0.25">
      <c r="B32" s="161">
        <v>43329</v>
      </c>
      <c r="C32" s="10">
        <v>150</v>
      </c>
      <c r="D32" s="39">
        <v>64.313329999999993</v>
      </c>
      <c r="E32" s="39">
        <v>73.680000000000007</v>
      </c>
      <c r="F32" s="39">
        <f t="shared" ref="F32:F60" si="9">C32*(E32-D32)</f>
        <v>1405.0005000000019</v>
      </c>
      <c r="G32" s="39">
        <f t="shared" ref="G32:G53" si="10">D32*C32</f>
        <v>9646.9994999999999</v>
      </c>
      <c r="H32" s="175">
        <f t="shared" ref="H32:H53" si="11">(E32-D32)/D32</f>
        <v>0.14564119133622866</v>
      </c>
      <c r="I32" s="39"/>
      <c r="J32" s="39"/>
      <c r="K32" s="39">
        <f t="shared" si="8"/>
        <v>1602.2104999999974</v>
      </c>
      <c r="L32" s="39"/>
      <c r="O32" s="78">
        <v>0.99</v>
      </c>
      <c r="P32" s="78">
        <f t="shared" si="3"/>
        <v>75.8142</v>
      </c>
    </row>
    <row r="33" spans="1:17" x14ac:dyDescent="0.25">
      <c r="A33">
        <v>50</v>
      </c>
      <c r="B33" s="161">
        <v>43332</v>
      </c>
      <c r="C33" s="10">
        <v>100</v>
      </c>
      <c r="D33" s="39">
        <v>59.170499999999997</v>
      </c>
      <c r="E33" s="39">
        <v>74.599999999999994</v>
      </c>
      <c r="F33" s="39">
        <f t="shared" si="9"/>
        <v>1542.9499999999998</v>
      </c>
      <c r="G33" s="39">
        <f t="shared" si="10"/>
        <v>5917.0499999999993</v>
      </c>
      <c r="H33" s="175">
        <f t="shared" si="11"/>
        <v>0.26076338716083181</v>
      </c>
      <c r="I33" s="39"/>
      <c r="J33" s="39"/>
      <c r="K33" s="39">
        <f t="shared" si="8"/>
        <v>1740.1599999999953</v>
      </c>
      <c r="L33" s="39">
        <v>10.7</v>
      </c>
      <c r="O33" s="78">
        <v>0.98</v>
      </c>
      <c r="P33" s="78">
        <f t="shared" si="3"/>
        <v>75.048400000000001</v>
      </c>
    </row>
    <row r="34" spans="1:17" x14ac:dyDescent="0.25">
      <c r="A34">
        <v>50</v>
      </c>
      <c r="B34" s="161">
        <v>43333</v>
      </c>
      <c r="C34" s="10">
        <v>150</v>
      </c>
      <c r="D34" s="39">
        <v>63.783670000000001</v>
      </c>
      <c r="E34" s="39">
        <v>73.69</v>
      </c>
      <c r="F34" s="39">
        <f t="shared" si="9"/>
        <v>1485.9494999999995</v>
      </c>
      <c r="G34" s="39">
        <f t="shared" si="10"/>
        <v>9567.5504999999994</v>
      </c>
      <c r="H34" s="175">
        <f t="shared" si="11"/>
        <v>0.15531138299191621</v>
      </c>
      <c r="I34" s="39"/>
      <c r="J34" s="39"/>
      <c r="K34" s="39">
        <f t="shared" si="8"/>
        <v>1683.159499999995</v>
      </c>
      <c r="L34" s="39">
        <v>10.56</v>
      </c>
      <c r="O34" s="78">
        <v>0.97</v>
      </c>
      <c r="P34" s="78">
        <f t="shared" si="3"/>
        <v>74.282600000000002</v>
      </c>
    </row>
    <row r="35" spans="1:17" x14ac:dyDescent="0.25">
      <c r="A35">
        <v>50</v>
      </c>
      <c r="B35" s="161">
        <v>43337</v>
      </c>
      <c r="C35" s="10">
        <v>150</v>
      </c>
      <c r="D35" s="39">
        <v>63.78</v>
      </c>
      <c r="E35" s="39">
        <v>74.08</v>
      </c>
      <c r="F35" s="39">
        <f t="shared" si="9"/>
        <v>1544.9999999999995</v>
      </c>
      <c r="G35" s="39">
        <f t="shared" si="10"/>
        <v>9567</v>
      </c>
      <c r="H35" s="175">
        <f t="shared" si="11"/>
        <v>0.16149263091878327</v>
      </c>
      <c r="I35" s="39"/>
      <c r="J35" s="39"/>
      <c r="K35" s="39">
        <f t="shared" si="8"/>
        <v>1742.209999999995</v>
      </c>
      <c r="L35" s="39">
        <v>10.62</v>
      </c>
      <c r="O35" s="78">
        <v>0.96</v>
      </c>
      <c r="P35" s="78">
        <f t="shared" si="3"/>
        <v>73.516799999999989</v>
      </c>
    </row>
    <row r="36" spans="1:17" x14ac:dyDescent="0.25">
      <c r="A36">
        <v>0</v>
      </c>
      <c r="B36" s="161">
        <v>43339</v>
      </c>
      <c r="C36" s="10">
        <v>100</v>
      </c>
      <c r="D36" s="39">
        <v>58.301000000000002</v>
      </c>
      <c r="E36" s="39">
        <v>74.75</v>
      </c>
      <c r="F36" s="39">
        <f t="shared" si="9"/>
        <v>1644.8999999999999</v>
      </c>
      <c r="G36" s="39">
        <f t="shared" si="10"/>
        <v>5830.1</v>
      </c>
      <c r="H36" s="175">
        <f t="shared" si="11"/>
        <v>0.28213924289463299</v>
      </c>
      <c r="I36" s="39"/>
      <c r="J36" s="39"/>
      <c r="K36" s="760">
        <f t="shared" si="8"/>
        <v>1842.1099999999954</v>
      </c>
      <c r="L36" s="39">
        <v>10.72</v>
      </c>
      <c r="O36" s="78">
        <v>0.95</v>
      </c>
      <c r="P36" s="78">
        <f t="shared" si="3"/>
        <v>72.750999999999991</v>
      </c>
    </row>
    <row r="37" spans="1:17" x14ac:dyDescent="0.25">
      <c r="A37">
        <v>0</v>
      </c>
      <c r="B37" s="161">
        <v>43361</v>
      </c>
      <c r="C37" s="10">
        <v>50</v>
      </c>
      <c r="D37" s="39">
        <v>37.802999999999997</v>
      </c>
      <c r="E37" s="39">
        <v>78.61</v>
      </c>
      <c r="F37" s="39">
        <f t="shared" si="9"/>
        <v>2040.3500000000001</v>
      </c>
      <c r="G37" s="39">
        <f t="shared" si="10"/>
        <v>1890.1499999999999</v>
      </c>
      <c r="H37" s="175">
        <f t="shared" si="11"/>
        <v>1.0794645927571886</v>
      </c>
      <c r="I37" s="39"/>
      <c r="J37" s="39"/>
      <c r="K37" s="760">
        <f t="shared" si="8"/>
        <v>2237.5599999999959</v>
      </c>
      <c r="L37" s="39">
        <v>11.27</v>
      </c>
      <c r="O37" s="78">
        <v>0.94</v>
      </c>
      <c r="P37" s="78">
        <f t="shared" si="3"/>
        <v>71.985199999999992</v>
      </c>
    </row>
    <row r="38" spans="1:17" x14ac:dyDescent="0.25">
      <c r="A38">
        <v>50</v>
      </c>
      <c r="B38" s="161">
        <v>43368</v>
      </c>
      <c r="C38" s="181">
        <v>100</v>
      </c>
      <c r="D38" s="182">
        <v>57.801499999999997</v>
      </c>
      <c r="E38" s="39">
        <v>77.61</v>
      </c>
      <c r="F38" s="39">
        <f t="shared" si="9"/>
        <v>1980.8500000000001</v>
      </c>
      <c r="G38" s="39">
        <f t="shared" si="10"/>
        <v>5780.15</v>
      </c>
      <c r="H38" s="175">
        <f t="shared" si="11"/>
        <v>0.34269871889137832</v>
      </c>
      <c r="I38" s="39"/>
      <c r="J38" s="39"/>
      <c r="K38" s="39">
        <f t="shared" si="8"/>
        <v>2178.0599999999959</v>
      </c>
      <c r="L38" s="39">
        <v>11.13</v>
      </c>
      <c r="O38" s="78">
        <v>0.93</v>
      </c>
      <c r="P38" s="78">
        <f t="shared" si="3"/>
        <v>71.219400000000007</v>
      </c>
    </row>
    <row r="39" spans="1:17" x14ac:dyDescent="0.25">
      <c r="A39">
        <v>0</v>
      </c>
      <c r="B39" s="161">
        <v>43374</v>
      </c>
      <c r="C39" s="10">
        <v>50</v>
      </c>
      <c r="D39" s="39">
        <v>35.904000000000003</v>
      </c>
      <c r="E39" s="39">
        <v>79.5</v>
      </c>
      <c r="F39" s="39">
        <f t="shared" si="9"/>
        <v>2179.7999999999997</v>
      </c>
      <c r="G39" s="39">
        <f t="shared" si="10"/>
        <v>1795.2000000000003</v>
      </c>
      <c r="H39" s="175">
        <f t="shared" si="11"/>
        <v>1.2142379679144384</v>
      </c>
      <c r="I39" s="39"/>
      <c r="J39" s="39"/>
      <c r="K39" s="760">
        <f t="shared" si="8"/>
        <v>2377.0099999999952</v>
      </c>
      <c r="L39" s="39">
        <v>11.4</v>
      </c>
      <c r="O39" s="78">
        <v>0.92</v>
      </c>
      <c r="P39" s="78">
        <f t="shared" si="3"/>
        <v>70.453599999999994</v>
      </c>
    </row>
    <row r="40" spans="1:17" x14ac:dyDescent="0.25">
      <c r="A40">
        <v>0</v>
      </c>
      <c r="B40" s="161">
        <v>43384</v>
      </c>
      <c r="C40" s="10">
        <v>150</v>
      </c>
      <c r="D40" s="39">
        <v>61.488</v>
      </c>
      <c r="E40" s="39">
        <v>73.19</v>
      </c>
      <c r="F40" s="39">
        <f t="shared" si="9"/>
        <v>1755.2999999999997</v>
      </c>
      <c r="G40" s="39">
        <f t="shared" si="10"/>
        <v>9223.2000000000007</v>
      </c>
      <c r="H40" s="175">
        <f t="shared" si="11"/>
        <v>0.19031355711683579</v>
      </c>
      <c r="I40" s="39"/>
      <c r="J40" s="39"/>
      <c r="K40" s="98">
        <f t="shared" si="8"/>
        <v>1952.5099999999952</v>
      </c>
      <c r="L40" s="39">
        <v>10.49</v>
      </c>
      <c r="O40" s="78">
        <v>0.91</v>
      </c>
      <c r="P40" s="78">
        <f t="shared" si="3"/>
        <v>69.687799999999996</v>
      </c>
    </row>
    <row r="41" spans="1:17" x14ac:dyDescent="0.25">
      <c r="B41" s="161">
        <v>43402</v>
      </c>
      <c r="C41" s="10">
        <v>150</v>
      </c>
      <c r="D41" s="39">
        <v>61.49</v>
      </c>
      <c r="E41" s="39">
        <v>70.540000000000006</v>
      </c>
      <c r="F41" s="39">
        <f t="shared" si="9"/>
        <v>1357.5000000000007</v>
      </c>
      <c r="G41" s="39">
        <f t="shared" si="10"/>
        <v>9223.5</v>
      </c>
      <c r="H41" s="175">
        <f t="shared" si="11"/>
        <v>0.14717840299235654</v>
      </c>
      <c r="I41" s="39"/>
      <c r="J41" s="39"/>
      <c r="K41" s="98">
        <f t="shared" si="8"/>
        <v>1554.7099999999962</v>
      </c>
      <c r="L41" s="39">
        <v>10.11</v>
      </c>
      <c r="O41" s="78">
        <v>0.9</v>
      </c>
      <c r="P41" s="78">
        <f t="shared" si="3"/>
        <v>68.921999999999997</v>
      </c>
      <c r="Q41" s="2"/>
    </row>
    <row r="42" spans="1:17" x14ac:dyDescent="0.25">
      <c r="A42">
        <v>50</v>
      </c>
      <c r="B42" s="161">
        <v>43405</v>
      </c>
      <c r="C42" s="10">
        <v>150</v>
      </c>
      <c r="D42" s="39">
        <v>60.988</v>
      </c>
      <c r="E42" s="39">
        <v>74.41</v>
      </c>
      <c r="F42" s="39">
        <f t="shared" si="9"/>
        <v>2013.2999999999995</v>
      </c>
      <c r="G42" s="39">
        <f t="shared" si="10"/>
        <v>9148.2000000000007</v>
      </c>
      <c r="H42" s="175">
        <f t="shared" si="11"/>
        <v>0.22007608054043415</v>
      </c>
      <c r="I42" s="39"/>
      <c r="J42" s="39"/>
      <c r="K42" s="98">
        <f t="shared" si="8"/>
        <v>2210.5099999999948</v>
      </c>
      <c r="L42" s="39">
        <v>10.67</v>
      </c>
      <c r="Q42" s="2"/>
    </row>
    <row r="43" spans="1:17" x14ac:dyDescent="0.25">
      <c r="A43">
        <v>0</v>
      </c>
      <c r="B43" s="161">
        <v>43411</v>
      </c>
      <c r="C43" s="10">
        <v>100</v>
      </c>
      <c r="D43" s="39">
        <v>51.942500000000003</v>
      </c>
      <c r="E43" s="39">
        <v>78.77</v>
      </c>
      <c r="F43" s="39">
        <f t="shared" si="9"/>
        <v>2682.7499999999995</v>
      </c>
      <c r="G43" s="39">
        <f t="shared" si="10"/>
        <v>5194.25</v>
      </c>
      <c r="H43" s="175">
        <f t="shared" si="11"/>
        <v>0.51648457428887695</v>
      </c>
      <c r="I43" s="39"/>
      <c r="J43" s="39"/>
      <c r="K43" s="760">
        <f t="shared" si="8"/>
        <v>2879.959999999995</v>
      </c>
      <c r="L43" s="39">
        <v>11.29</v>
      </c>
      <c r="Q43" s="2"/>
    </row>
    <row r="44" spans="1:17" x14ac:dyDescent="0.25">
      <c r="A44">
        <v>0</v>
      </c>
      <c r="B44" s="161">
        <v>43431</v>
      </c>
      <c r="C44" s="10">
        <v>0</v>
      </c>
      <c r="D44" s="39">
        <v>51.94</v>
      </c>
      <c r="E44" s="39">
        <v>79.5</v>
      </c>
      <c r="F44" s="39">
        <f t="shared" si="9"/>
        <v>0</v>
      </c>
      <c r="G44" s="39">
        <f t="shared" si="10"/>
        <v>0</v>
      </c>
      <c r="H44" s="175">
        <f t="shared" si="11"/>
        <v>0.53061224489795922</v>
      </c>
      <c r="I44" s="39"/>
      <c r="J44" s="39"/>
      <c r="K44" s="760">
        <v>3043.46</v>
      </c>
      <c r="L44" s="39">
        <v>11.4</v>
      </c>
      <c r="Q44" s="2"/>
    </row>
    <row r="45" spans="1:17" x14ac:dyDescent="0.25">
      <c r="B45" s="161">
        <v>43440</v>
      </c>
      <c r="C45" s="10">
        <v>100</v>
      </c>
      <c r="D45" s="39">
        <v>47.417499999999997</v>
      </c>
      <c r="E45" s="39">
        <v>76.569999999999993</v>
      </c>
      <c r="F45" s="39">
        <f t="shared" si="9"/>
        <v>2915.2499999999995</v>
      </c>
      <c r="G45" s="39">
        <f t="shared" si="10"/>
        <v>4741.75</v>
      </c>
      <c r="H45" s="175">
        <f t="shared" si="11"/>
        <v>0.61480466072652495</v>
      </c>
      <c r="I45" s="39"/>
      <c r="J45" s="39"/>
      <c r="K45" s="760">
        <v>3112.46</v>
      </c>
      <c r="L45" s="39">
        <v>10.98</v>
      </c>
      <c r="Q45" s="2"/>
    </row>
    <row r="46" spans="1:17" x14ac:dyDescent="0.25">
      <c r="A46">
        <v>100</v>
      </c>
      <c r="B46" s="161">
        <v>43481</v>
      </c>
      <c r="C46" s="10">
        <v>150</v>
      </c>
      <c r="D46" s="39">
        <v>52.77167</v>
      </c>
      <c r="E46" s="39">
        <v>63.74</v>
      </c>
      <c r="F46" s="39">
        <f t="shared" si="9"/>
        <v>1645.2495000000004</v>
      </c>
      <c r="G46" s="39">
        <f t="shared" si="10"/>
        <v>7915.7505000000001</v>
      </c>
      <c r="H46" s="175">
        <f t="shared" si="11"/>
        <v>0.20784504261472114</v>
      </c>
      <c r="I46" s="39"/>
      <c r="J46" s="39"/>
      <c r="K46" s="98">
        <f t="shared" ref="K46:K53" si="12">$Q$10+F46</f>
        <v>1842.4594999999958</v>
      </c>
      <c r="L46" s="39">
        <v>9.14</v>
      </c>
      <c r="Q46" s="2"/>
    </row>
    <row r="47" spans="1:17" x14ac:dyDescent="0.25">
      <c r="A47">
        <v>50</v>
      </c>
      <c r="B47" s="161">
        <v>43483</v>
      </c>
      <c r="C47" s="10">
        <v>100</v>
      </c>
      <c r="D47" s="39">
        <v>46.468000000000004</v>
      </c>
      <c r="E47" s="39">
        <v>65.38</v>
      </c>
      <c r="F47" s="39">
        <f t="shared" si="9"/>
        <v>1891.1999999999991</v>
      </c>
      <c r="G47" s="39">
        <f t="shared" si="10"/>
        <v>4646.8</v>
      </c>
      <c r="H47" s="175">
        <f t="shared" si="11"/>
        <v>0.40698975639149504</v>
      </c>
      <c r="I47" s="39"/>
      <c r="J47" s="39"/>
      <c r="K47" s="98">
        <f t="shared" si="12"/>
        <v>2088.4099999999944</v>
      </c>
      <c r="L47" s="39">
        <v>9.3699999999999992</v>
      </c>
      <c r="Q47" s="2"/>
    </row>
    <row r="48" spans="1:17" x14ac:dyDescent="0.25">
      <c r="A48">
        <v>50</v>
      </c>
      <c r="B48" s="161">
        <v>43500</v>
      </c>
      <c r="C48" s="181">
        <v>100</v>
      </c>
      <c r="D48" s="182">
        <v>45.9679</v>
      </c>
      <c r="E48" s="39">
        <v>65.91</v>
      </c>
      <c r="F48" s="39">
        <f t="shared" si="9"/>
        <v>1994.2099999999996</v>
      </c>
      <c r="G48" s="39">
        <f t="shared" si="10"/>
        <v>4596.79</v>
      </c>
      <c r="H48" s="175">
        <f t="shared" si="11"/>
        <v>0.43382664859608544</v>
      </c>
      <c r="I48" s="39"/>
      <c r="J48" s="39"/>
      <c r="K48" s="98">
        <f t="shared" si="12"/>
        <v>2191.4199999999951</v>
      </c>
      <c r="L48" s="39">
        <v>9.4499999999999993</v>
      </c>
      <c r="Q48" s="2"/>
    </row>
    <row r="49" spans="1:17" x14ac:dyDescent="0.25">
      <c r="A49">
        <v>100</v>
      </c>
      <c r="B49" s="161">
        <v>43523</v>
      </c>
      <c r="C49" s="7">
        <v>200</v>
      </c>
      <c r="D49" s="43">
        <v>52.423999999999999</v>
      </c>
      <c r="E49" s="39">
        <v>58.5</v>
      </c>
      <c r="F49" s="39">
        <f t="shared" si="9"/>
        <v>1215.2</v>
      </c>
      <c r="G49" s="39">
        <f t="shared" si="10"/>
        <v>10484.799999999999</v>
      </c>
      <c r="H49" s="175">
        <f t="shared" si="11"/>
        <v>0.11590111399359074</v>
      </c>
      <c r="I49" s="39"/>
      <c r="J49" s="39"/>
      <c r="K49" s="98">
        <f t="shared" si="12"/>
        <v>1412.4099999999955</v>
      </c>
      <c r="L49" s="39">
        <v>8.6300000000000008</v>
      </c>
      <c r="Q49" s="2"/>
    </row>
    <row r="50" spans="1:17" x14ac:dyDescent="0.25">
      <c r="A50">
        <v>100</v>
      </c>
      <c r="B50" s="161">
        <v>43531</v>
      </c>
      <c r="C50" s="470">
        <v>300</v>
      </c>
      <c r="D50" s="536">
        <v>52.549300000000002</v>
      </c>
      <c r="E50" s="39">
        <v>52.36</v>
      </c>
      <c r="F50" s="39">
        <f t="shared" si="9"/>
        <v>-56.790000000000873</v>
      </c>
      <c r="G50" s="39">
        <f t="shared" si="10"/>
        <v>15764.79</v>
      </c>
      <c r="H50" s="175">
        <f t="shared" si="11"/>
        <v>-3.6023315248728889E-3</v>
      </c>
      <c r="I50" s="39"/>
      <c r="J50" s="39"/>
      <c r="K50" s="98">
        <f t="shared" si="12"/>
        <v>140.41999999999462</v>
      </c>
      <c r="L50" s="39">
        <v>7.72</v>
      </c>
      <c r="Q50" s="2"/>
    </row>
    <row r="51" spans="1:17" x14ac:dyDescent="0.25">
      <c r="A51">
        <v>100</v>
      </c>
      <c r="B51" s="161">
        <v>43535</v>
      </c>
      <c r="C51" s="10">
        <v>300</v>
      </c>
      <c r="D51" s="39">
        <v>52.55</v>
      </c>
      <c r="E51" s="39">
        <v>53.75</v>
      </c>
      <c r="F51" s="39">
        <f t="shared" si="9"/>
        <v>360.00000000000085</v>
      </c>
      <c r="G51" s="39">
        <f t="shared" si="10"/>
        <v>15765</v>
      </c>
      <c r="H51" s="175">
        <f t="shared" si="11"/>
        <v>2.2835394862036212E-2</v>
      </c>
      <c r="I51" s="39"/>
      <c r="J51" s="39"/>
      <c r="K51" s="98">
        <f t="shared" si="12"/>
        <v>557.2099999999964</v>
      </c>
      <c r="L51" s="39">
        <v>7.93</v>
      </c>
      <c r="Q51" s="2"/>
    </row>
    <row r="52" spans="1:17" x14ac:dyDescent="0.25">
      <c r="A52">
        <v>0</v>
      </c>
      <c r="B52" s="161">
        <v>43545</v>
      </c>
      <c r="C52" s="7">
        <v>200</v>
      </c>
      <c r="D52" s="43">
        <v>50.098999999999997</v>
      </c>
      <c r="E52" s="39">
        <v>57.4</v>
      </c>
      <c r="F52" s="39">
        <f t="shared" si="9"/>
        <v>1460.2000000000003</v>
      </c>
      <c r="G52" s="39">
        <f t="shared" si="10"/>
        <v>10019.799999999999</v>
      </c>
      <c r="H52" s="175">
        <f t="shared" si="11"/>
        <v>0.14573145172558338</v>
      </c>
      <c r="I52" s="39"/>
      <c r="J52" s="39"/>
      <c r="K52" s="98">
        <f t="shared" si="12"/>
        <v>1657.4099999999958</v>
      </c>
      <c r="L52" s="39">
        <v>8.4700000000000006</v>
      </c>
      <c r="Q52" s="2"/>
    </row>
    <row r="53" spans="1:17" x14ac:dyDescent="0.25">
      <c r="A53">
        <v>200</v>
      </c>
      <c r="B53" s="161">
        <v>43572</v>
      </c>
      <c r="C53" s="10">
        <v>200</v>
      </c>
      <c r="D53" s="39">
        <v>50.1</v>
      </c>
      <c r="E53" s="39">
        <v>53.9</v>
      </c>
      <c r="F53" s="39">
        <f t="shared" si="9"/>
        <v>759.99999999999943</v>
      </c>
      <c r="G53" s="39">
        <f t="shared" si="10"/>
        <v>10020</v>
      </c>
      <c r="H53" s="175">
        <f t="shared" si="11"/>
        <v>7.5848303393213509E-2</v>
      </c>
      <c r="I53" s="39"/>
      <c r="J53" s="39"/>
      <c r="K53" s="98">
        <f t="shared" si="12"/>
        <v>957.20999999999492</v>
      </c>
      <c r="L53" s="39"/>
      <c r="Q53" s="2"/>
    </row>
    <row r="54" spans="1:17" x14ac:dyDescent="0.25">
      <c r="A54" s="4">
        <v>200</v>
      </c>
      <c r="B54" s="161">
        <v>43614</v>
      </c>
      <c r="C54" s="10">
        <v>200</v>
      </c>
      <c r="D54" s="39">
        <v>50.1</v>
      </c>
      <c r="E54" s="39">
        <v>52.52</v>
      </c>
      <c r="F54" s="39">
        <f t="shared" si="9"/>
        <v>484.00000000000034</v>
      </c>
      <c r="G54" s="39">
        <f t="shared" ref="G54:G60" si="13">D54*C54</f>
        <v>10020</v>
      </c>
      <c r="H54" s="175">
        <f t="shared" ref="H54:H60" si="14">(E54-D54)/D54</f>
        <v>4.8303393213572889E-2</v>
      </c>
      <c r="I54" s="39"/>
      <c r="J54" s="39"/>
      <c r="K54" s="98">
        <f t="shared" ref="K54:K60" si="15">$Q$10+F54</f>
        <v>681.20999999999583</v>
      </c>
      <c r="L54" s="39"/>
    </row>
    <row r="55" spans="1:17" x14ac:dyDescent="0.25">
      <c r="A55" s="4">
        <v>100</v>
      </c>
      <c r="B55" s="161">
        <v>43657</v>
      </c>
      <c r="C55" s="181">
        <v>100</v>
      </c>
      <c r="D55" s="182">
        <v>39.700000000000003</v>
      </c>
      <c r="E55" s="39">
        <v>57.97</v>
      </c>
      <c r="F55" s="39">
        <f t="shared" si="9"/>
        <v>1826.9999999999995</v>
      </c>
      <c r="G55" s="39">
        <f t="shared" si="13"/>
        <v>3970.0000000000005</v>
      </c>
      <c r="H55" s="175">
        <f t="shared" si="14"/>
        <v>0.46020151133501247</v>
      </c>
      <c r="I55" s="39"/>
      <c r="J55" s="39"/>
      <c r="K55" s="98">
        <f t="shared" si="15"/>
        <v>2024.209999999995</v>
      </c>
      <c r="L55" s="39"/>
    </row>
    <row r="56" spans="1:17" x14ac:dyDescent="0.25">
      <c r="A56" s="4">
        <v>100</v>
      </c>
      <c r="B56" s="161">
        <v>43658</v>
      </c>
      <c r="C56" s="7">
        <v>200</v>
      </c>
      <c r="D56" s="43">
        <v>48.6</v>
      </c>
      <c r="E56" s="39">
        <v>57.55</v>
      </c>
      <c r="F56" s="39">
        <f t="shared" si="9"/>
        <v>1789.9999999999991</v>
      </c>
      <c r="G56" s="39">
        <f t="shared" si="13"/>
        <v>9720</v>
      </c>
      <c r="H56" s="175">
        <f t="shared" si="14"/>
        <v>0.18415637860082296</v>
      </c>
      <c r="I56" s="39"/>
      <c r="J56" s="39"/>
      <c r="K56" s="98">
        <f t="shared" si="15"/>
        <v>1987.2099999999946</v>
      </c>
      <c r="L56" s="39">
        <v>8.5500000000000007</v>
      </c>
    </row>
    <row r="57" spans="1:17" x14ac:dyDescent="0.25">
      <c r="A57" s="4"/>
      <c r="B57" s="161">
        <v>43679</v>
      </c>
      <c r="C57" s="7">
        <v>200</v>
      </c>
      <c r="D57" s="43">
        <v>48.099899999999998</v>
      </c>
      <c r="E57" s="39">
        <v>55.37</v>
      </c>
      <c r="F57" s="39">
        <f t="shared" si="9"/>
        <v>1454.02</v>
      </c>
      <c r="G57" s="39">
        <f t="shared" si="13"/>
        <v>9619.98</v>
      </c>
      <c r="H57" s="175">
        <f t="shared" si="14"/>
        <v>0.15114584437805484</v>
      </c>
      <c r="I57" s="39"/>
      <c r="J57" s="39"/>
      <c r="K57" s="98">
        <f t="shared" si="15"/>
        <v>1651.2299999999955</v>
      </c>
      <c r="L57" s="39"/>
    </row>
    <row r="58" spans="1:17" x14ac:dyDescent="0.25">
      <c r="A58" s="4">
        <v>50</v>
      </c>
      <c r="B58" s="161">
        <v>43686</v>
      </c>
      <c r="C58" s="10">
        <v>150</v>
      </c>
      <c r="D58" s="39">
        <v>44.353999999999999</v>
      </c>
      <c r="E58" s="39">
        <v>59.29</v>
      </c>
      <c r="F58" s="39">
        <f t="shared" si="9"/>
        <v>2240.4</v>
      </c>
      <c r="G58" s="39">
        <f t="shared" si="13"/>
        <v>6653.0999999999995</v>
      </c>
      <c r="H58" s="175">
        <f t="shared" si="14"/>
        <v>0.33674527663795822</v>
      </c>
      <c r="I58" s="39"/>
      <c r="J58" s="39"/>
      <c r="K58" s="98">
        <f t="shared" si="15"/>
        <v>2437.6099999999956</v>
      </c>
      <c r="L58" s="39"/>
    </row>
    <row r="59" spans="1:17" x14ac:dyDescent="0.25">
      <c r="A59" s="4">
        <v>100</v>
      </c>
      <c r="B59" s="161">
        <v>43695</v>
      </c>
      <c r="C59" s="181">
        <v>100</v>
      </c>
      <c r="D59" s="182">
        <v>36.441000000000003</v>
      </c>
      <c r="E59" s="39">
        <v>60.28</v>
      </c>
      <c r="F59" s="39">
        <f t="shared" si="9"/>
        <v>2383.8999999999996</v>
      </c>
      <c r="G59" s="39">
        <f t="shared" si="13"/>
        <v>3644.1000000000004</v>
      </c>
      <c r="H59" s="175">
        <f t="shared" si="14"/>
        <v>0.65418073049587</v>
      </c>
      <c r="I59" s="39"/>
      <c r="J59" s="39"/>
      <c r="K59" s="98">
        <f t="shared" si="15"/>
        <v>2581.1099999999951</v>
      </c>
      <c r="L59" s="39"/>
    </row>
    <row r="60" spans="1:17" x14ac:dyDescent="0.25">
      <c r="A60" s="4">
        <v>100</v>
      </c>
      <c r="B60" s="161">
        <v>43753</v>
      </c>
      <c r="C60" s="10">
        <v>100</v>
      </c>
      <c r="D60" s="39">
        <v>36.44</v>
      </c>
      <c r="E60" s="39">
        <v>64.72</v>
      </c>
      <c r="F60" s="39">
        <f t="shared" si="9"/>
        <v>2828</v>
      </c>
      <c r="G60" s="39">
        <f t="shared" si="13"/>
        <v>3644</v>
      </c>
      <c r="H60" s="175">
        <f t="shared" si="14"/>
        <v>0.77607025246981343</v>
      </c>
      <c r="I60" s="39"/>
      <c r="J60" s="39"/>
      <c r="K60" s="98">
        <f t="shared" si="15"/>
        <v>3025.2099999999955</v>
      </c>
      <c r="L60" s="39"/>
    </row>
    <row r="61" spans="1:17" x14ac:dyDescent="0.25">
      <c r="A61" s="4">
        <v>100</v>
      </c>
      <c r="B61" s="161">
        <v>43773</v>
      </c>
      <c r="C61" s="181">
        <v>100</v>
      </c>
      <c r="D61" s="182">
        <v>35.941000000000003</v>
      </c>
      <c r="E61" s="39">
        <v>68.040000000000006</v>
      </c>
      <c r="F61" s="39">
        <f t="shared" ref="F61" si="16">C61*(E61-D61)</f>
        <v>3209.9000000000005</v>
      </c>
      <c r="G61" s="39">
        <f t="shared" ref="G61" si="17">D61*C61</f>
        <v>3594.1000000000004</v>
      </c>
      <c r="H61" s="175">
        <f t="shared" ref="H61" si="18">(E61-D61)/D61</f>
        <v>0.89310258479174209</v>
      </c>
      <c r="I61" s="39"/>
      <c r="J61" s="39"/>
      <c r="K61" s="760">
        <f t="shared" ref="K61" si="19">$Q$10+F61</f>
        <v>3407.109999999996</v>
      </c>
      <c r="L61" s="39"/>
    </row>
    <row r="62" spans="1:17" x14ac:dyDescent="0.25">
      <c r="A62" s="4"/>
      <c r="B62" s="161">
        <v>43794</v>
      </c>
      <c r="C62" s="10">
        <v>0</v>
      </c>
      <c r="D62" s="39">
        <v>35.94</v>
      </c>
      <c r="E62" s="39">
        <v>76.58</v>
      </c>
      <c r="F62" s="39"/>
      <c r="G62" s="39"/>
      <c r="H62" s="175"/>
      <c r="I62" s="39"/>
      <c r="J62" s="39"/>
      <c r="K62" s="760">
        <v>4302.95</v>
      </c>
      <c r="L62" s="39"/>
    </row>
    <row r="63" spans="1:17" x14ac:dyDescent="0.25">
      <c r="A63" s="4"/>
      <c r="B63" s="161"/>
      <c r="C63" s="10"/>
      <c r="D63" s="39"/>
      <c r="E63" s="39"/>
      <c r="F63" s="39"/>
      <c r="G63" s="39"/>
      <c r="H63" s="175"/>
      <c r="I63" s="39"/>
      <c r="J63" s="39"/>
      <c r="K63" s="39"/>
      <c r="L63" s="39"/>
    </row>
    <row r="64" spans="1:17" x14ac:dyDescent="0.25">
      <c r="A64" s="4"/>
      <c r="B64" s="161"/>
      <c r="C64" s="10"/>
      <c r="D64" s="39"/>
      <c r="E64" s="39"/>
      <c r="F64" s="39"/>
      <c r="G64" s="39"/>
      <c r="H64" s="175"/>
      <c r="I64" s="39"/>
      <c r="J64" s="39"/>
      <c r="K64" s="39"/>
      <c r="L64" s="39"/>
    </row>
    <row r="65" spans="1:13" x14ac:dyDescent="0.25">
      <c r="A65" s="4"/>
      <c r="B65" s="161"/>
      <c r="C65" s="10"/>
      <c r="D65" s="39"/>
      <c r="E65" s="39"/>
      <c r="F65" s="39"/>
      <c r="G65" s="39"/>
      <c r="H65" s="175"/>
      <c r="I65" s="39"/>
      <c r="J65" s="39"/>
      <c r="K65" s="39"/>
      <c r="L65" s="39"/>
    </row>
    <row r="66" spans="1:13" x14ac:dyDescent="0.25">
      <c r="A66" s="4"/>
      <c r="B66" s="161"/>
      <c r="C66" s="10"/>
      <c r="D66" s="39"/>
      <c r="E66" s="39"/>
      <c r="F66" s="39"/>
      <c r="G66" s="39"/>
      <c r="H66" s="175"/>
      <c r="I66" s="39"/>
      <c r="J66" s="39"/>
      <c r="K66" s="39"/>
      <c r="L66" s="39"/>
    </row>
    <row r="67" spans="1:13" x14ac:dyDescent="0.25">
      <c r="A67" s="4"/>
      <c r="B67" s="69"/>
      <c r="C67" s="4"/>
      <c r="D67" s="3"/>
      <c r="E67" s="3"/>
      <c r="F67" s="3"/>
      <c r="G67" s="3"/>
      <c r="H67" s="212"/>
      <c r="I67" s="3"/>
      <c r="J67" s="3"/>
      <c r="K67" s="3"/>
      <c r="L67" s="4"/>
    </row>
    <row r="68" spans="1:13" x14ac:dyDescent="0.25">
      <c r="A68" s="4"/>
      <c r="B68" s="69"/>
      <c r="C68" s="4"/>
      <c r="D68" s="3"/>
      <c r="E68" s="3"/>
      <c r="F68" s="3"/>
      <c r="G68" s="3"/>
      <c r="H68" s="212"/>
      <c r="I68" s="3"/>
      <c r="J68" s="3"/>
      <c r="K68" s="3"/>
      <c r="L68" t="s">
        <v>65</v>
      </c>
      <c r="M68" s="39">
        <f>K86+M86-F86</f>
        <v>197.20999999999549</v>
      </c>
    </row>
    <row r="69" spans="1:13" x14ac:dyDescent="0.25">
      <c r="A69" s="297" t="s">
        <v>1</v>
      </c>
      <c r="B69" s="297" t="s">
        <v>2</v>
      </c>
      <c r="C69" s="297" t="s">
        <v>4</v>
      </c>
      <c r="D69" s="299" t="s">
        <v>5</v>
      </c>
      <c r="E69" s="299" t="s">
        <v>94</v>
      </c>
      <c r="F69" s="299" t="s">
        <v>60</v>
      </c>
      <c r="G69" s="297" t="s">
        <v>3</v>
      </c>
      <c r="H69" s="297" t="s">
        <v>6</v>
      </c>
      <c r="I69" s="299" t="s">
        <v>7</v>
      </c>
      <c r="J69" s="299" t="s">
        <v>95</v>
      </c>
      <c r="K69" s="299" t="s">
        <v>61</v>
      </c>
      <c r="L69" s="297" t="s">
        <v>37</v>
      </c>
      <c r="M69" s="297" t="s">
        <v>38</v>
      </c>
    </row>
    <row r="70" spans="1:13" x14ac:dyDescent="0.25">
      <c r="A70" s="300" t="s">
        <v>267</v>
      </c>
      <c r="B70" s="290">
        <v>42626</v>
      </c>
      <c r="C70" s="291">
        <v>20</v>
      </c>
      <c r="D70" s="292">
        <v>90.85</v>
      </c>
      <c r="E70" s="292">
        <v>0</v>
      </c>
      <c r="F70" s="292">
        <f t="shared" ref="F70:F75" si="20">D70*C70 + E70</f>
        <v>1817</v>
      </c>
      <c r="G70" s="290">
        <v>42762</v>
      </c>
      <c r="H70" s="291">
        <v>40</v>
      </c>
      <c r="I70" s="292">
        <v>77.78</v>
      </c>
      <c r="J70" s="292">
        <v>7.0000000000000007E-2</v>
      </c>
      <c r="K70" s="292">
        <f>I70*H70 - J70</f>
        <v>3111.1299999999997</v>
      </c>
      <c r="L70" s="290">
        <v>42678</v>
      </c>
      <c r="M70" s="292">
        <v>17</v>
      </c>
    </row>
    <row r="71" spans="1:13" x14ac:dyDescent="0.25">
      <c r="A71" s="301" t="s">
        <v>71</v>
      </c>
      <c r="B71" s="290">
        <v>42646</v>
      </c>
      <c r="C71" s="291">
        <v>20</v>
      </c>
      <c r="D71" s="292">
        <v>87.56</v>
      </c>
      <c r="E71" s="292">
        <v>0</v>
      </c>
      <c r="F71" s="292">
        <f t="shared" si="20"/>
        <v>1751.2</v>
      </c>
      <c r="G71" s="290">
        <v>42788</v>
      </c>
      <c r="H71" s="295">
        <v>40</v>
      </c>
      <c r="I71" s="292">
        <v>80.38</v>
      </c>
      <c r="J71" s="292">
        <v>7.0000000000000007E-2</v>
      </c>
      <c r="K71" s="292">
        <f>I71*H71 - J71</f>
        <v>3215.1299999999997</v>
      </c>
      <c r="L71" s="290">
        <v>42769</v>
      </c>
      <c r="M71" s="292">
        <v>40</v>
      </c>
    </row>
    <row r="72" spans="1:13" x14ac:dyDescent="0.25">
      <c r="A72" s="291"/>
      <c r="B72" s="290">
        <v>42677</v>
      </c>
      <c r="C72" s="291">
        <v>40</v>
      </c>
      <c r="D72" s="292">
        <v>81.98</v>
      </c>
      <c r="E72" s="292">
        <v>0</v>
      </c>
      <c r="F72" s="292">
        <f t="shared" si="20"/>
        <v>3279.2000000000003</v>
      </c>
      <c r="G72" s="290">
        <v>42796</v>
      </c>
      <c r="H72" s="295">
        <v>80</v>
      </c>
      <c r="I72" s="292">
        <v>81.2</v>
      </c>
      <c r="J72" s="292">
        <v>0.14000000000000001</v>
      </c>
      <c r="K72" s="292">
        <f>I72*H72 - J72</f>
        <v>6495.86</v>
      </c>
      <c r="L72" s="290">
        <v>42856</v>
      </c>
      <c r="M72" s="291">
        <v>30</v>
      </c>
    </row>
    <row r="73" spans="1:13" x14ac:dyDescent="0.25">
      <c r="A73" s="291"/>
      <c r="B73" s="290">
        <v>42760</v>
      </c>
      <c r="C73" s="291">
        <v>20</v>
      </c>
      <c r="D73" s="292">
        <v>80.28</v>
      </c>
      <c r="E73" s="292">
        <v>0</v>
      </c>
      <c r="F73" s="292">
        <f t="shared" si="20"/>
        <v>1605.6</v>
      </c>
      <c r="G73" s="290">
        <v>42850</v>
      </c>
      <c r="H73" s="295">
        <v>60</v>
      </c>
      <c r="I73" s="292">
        <v>81.98</v>
      </c>
      <c r="J73" s="292">
        <v>0.11</v>
      </c>
      <c r="K73" s="292">
        <f>I73*H73 - J73</f>
        <v>4918.6900000000005</v>
      </c>
      <c r="L73" s="291"/>
      <c r="M73" s="291"/>
    </row>
    <row r="74" spans="1:13" x14ac:dyDescent="0.25">
      <c r="A74" s="291"/>
      <c r="B74" s="290">
        <v>42762</v>
      </c>
      <c r="C74" s="291">
        <v>80</v>
      </c>
      <c r="D74" s="292">
        <v>77.180000000000007</v>
      </c>
      <c r="E74" s="292">
        <v>0</v>
      </c>
      <c r="F74" s="292">
        <f t="shared" si="20"/>
        <v>6174.4000000000005</v>
      </c>
      <c r="G74" s="291"/>
      <c r="H74" s="295"/>
      <c r="I74" s="292"/>
      <c r="J74" s="292"/>
      <c r="K74" s="292"/>
      <c r="L74" s="291"/>
      <c r="M74" s="291"/>
    </row>
    <row r="75" spans="1:13" x14ac:dyDescent="0.25">
      <c r="A75" s="291"/>
      <c r="B75" s="290">
        <v>42768</v>
      </c>
      <c r="C75" s="291">
        <v>40</v>
      </c>
      <c r="D75" s="292">
        <v>75.08</v>
      </c>
      <c r="E75" s="292">
        <v>0</v>
      </c>
      <c r="F75" s="292">
        <f t="shared" si="20"/>
        <v>3003.2</v>
      </c>
      <c r="G75" s="291"/>
      <c r="H75" s="295"/>
      <c r="I75" s="292"/>
      <c r="J75" s="292"/>
      <c r="K75" s="292"/>
      <c r="L75" s="291"/>
      <c r="M75" s="291"/>
    </row>
    <row r="76" spans="1:13" x14ac:dyDescent="0.25">
      <c r="A76" s="291"/>
      <c r="B76" s="291"/>
      <c r="C76" s="291"/>
      <c r="D76" s="292"/>
      <c r="E76" s="292"/>
      <c r="F76" s="292"/>
      <c r="G76" s="291"/>
      <c r="H76" s="295"/>
      <c r="I76" s="292"/>
      <c r="J76" s="292"/>
      <c r="K76" s="292"/>
      <c r="L76" s="291"/>
      <c r="M76" s="291"/>
    </row>
    <row r="77" spans="1:13" x14ac:dyDescent="0.25">
      <c r="A77" s="291"/>
      <c r="B77" s="291"/>
      <c r="C77" s="291"/>
      <c r="D77" s="292"/>
      <c r="E77" s="292"/>
      <c r="F77" s="292"/>
      <c r="G77" s="291"/>
      <c r="H77" s="295"/>
      <c r="I77" s="292"/>
      <c r="J77" s="292"/>
      <c r="K77" s="292"/>
      <c r="L77" s="291"/>
      <c r="M77" s="291"/>
    </row>
    <row r="78" spans="1:13" x14ac:dyDescent="0.25">
      <c r="A78" s="291"/>
      <c r="B78" s="291"/>
      <c r="C78" s="291"/>
      <c r="D78" s="292"/>
      <c r="E78" s="292"/>
      <c r="F78" s="292"/>
      <c r="G78" s="291"/>
      <c r="H78" s="295"/>
      <c r="I78" s="292"/>
      <c r="J78" s="292"/>
      <c r="K78" s="292"/>
      <c r="L78" s="291"/>
      <c r="M78" s="291"/>
    </row>
    <row r="79" spans="1:13" x14ac:dyDescent="0.25">
      <c r="A79" s="291"/>
      <c r="B79" s="291"/>
      <c r="C79" s="291"/>
      <c r="D79" s="292"/>
      <c r="E79" s="292"/>
      <c r="F79" s="292"/>
      <c r="G79" s="291"/>
      <c r="H79" s="295"/>
      <c r="I79" s="292"/>
      <c r="J79" s="292"/>
      <c r="K79" s="292"/>
      <c r="L79" s="291"/>
      <c r="M79" s="291"/>
    </row>
    <row r="80" spans="1:13" x14ac:dyDescent="0.25">
      <c r="A80" s="291"/>
      <c r="B80" s="291"/>
      <c r="C80" s="291"/>
      <c r="D80" s="292"/>
      <c r="E80" s="292"/>
      <c r="F80" s="292"/>
      <c r="G80" s="291"/>
      <c r="H80" s="295"/>
      <c r="I80" s="292"/>
      <c r="J80" s="292"/>
      <c r="K80" s="292"/>
      <c r="L80" s="291"/>
      <c r="M80" s="291"/>
    </row>
    <row r="81" spans="1:13" x14ac:dyDescent="0.25">
      <c r="A81" s="291"/>
      <c r="B81" s="291"/>
      <c r="C81" s="291"/>
      <c r="D81" s="292"/>
      <c r="E81" s="292"/>
      <c r="F81" s="292"/>
      <c r="G81" s="291"/>
      <c r="H81" s="295"/>
      <c r="I81" s="292"/>
      <c r="J81" s="292"/>
      <c r="K81" s="292"/>
      <c r="L81" s="291"/>
      <c r="M81" s="291"/>
    </row>
    <row r="82" spans="1:13" x14ac:dyDescent="0.25">
      <c r="A82" s="291"/>
      <c r="B82" s="291"/>
      <c r="C82" s="291"/>
      <c r="D82" s="292"/>
      <c r="E82" s="292"/>
      <c r="F82" s="292"/>
      <c r="G82" s="291"/>
      <c r="H82" s="295"/>
      <c r="I82" s="292"/>
      <c r="J82" s="292"/>
      <c r="K82" s="292"/>
      <c r="L82" s="291"/>
      <c r="M82" s="291"/>
    </row>
    <row r="83" spans="1:13" x14ac:dyDescent="0.25">
      <c r="A83" s="291"/>
      <c r="B83" s="291"/>
      <c r="C83" s="291"/>
      <c r="D83" s="292"/>
      <c r="E83" s="292"/>
      <c r="F83" s="292"/>
      <c r="G83" s="291"/>
      <c r="H83" s="295"/>
      <c r="I83" s="292"/>
      <c r="J83" s="292"/>
      <c r="K83" s="292"/>
      <c r="L83" s="291"/>
      <c r="M83" s="291"/>
    </row>
    <row r="84" spans="1:13" x14ac:dyDescent="0.25">
      <c r="A84" s="291"/>
      <c r="B84" s="291"/>
      <c r="C84" s="291"/>
      <c r="D84" s="292"/>
      <c r="E84" s="292"/>
      <c r="F84" s="292"/>
      <c r="G84" s="291"/>
      <c r="H84" s="295"/>
      <c r="I84" s="292"/>
      <c r="J84" s="292"/>
      <c r="K84" s="292"/>
      <c r="L84" s="291"/>
      <c r="M84" s="291"/>
    </row>
    <row r="85" spans="1:13" x14ac:dyDescent="0.25">
      <c r="A85" s="291"/>
      <c r="B85" s="291"/>
      <c r="C85" s="291"/>
      <c r="D85" s="292"/>
      <c r="E85" s="292"/>
      <c r="F85" s="292"/>
      <c r="G85" s="291"/>
      <c r="H85" s="291"/>
      <c r="I85" s="292"/>
      <c r="J85" s="292"/>
      <c r="K85" s="292"/>
      <c r="L85" s="291"/>
      <c r="M85" s="291"/>
    </row>
    <row r="86" spans="1:13" x14ac:dyDescent="0.25">
      <c r="A86" s="21" t="s">
        <v>81</v>
      </c>
      <c r="B86" s="12"/>
      <c r="C86" s="12">
        <f>SUM(C70:C75)</f>
        <v>220</v>
      </c>
      <c r="D86" s="13"/>
      <c r="E86" s="13"/>
      <c r="F86" s="13">
        <f>SUM(F70:F75)</f>
        <v>17630.600000000002</v>
      </c>
      <c r="G86" s="12"/>
      <c r="H86" s="12">
        <f>SUM(H70:H73)</f>
        <v>220</v>
      </c>
      <c r="I86" s="13"/>
      <c r="J86" s="13"/>
      <c r="K86" s="13">
        <f>SUM(K70:K73)</f>
        <v>17740.809999999998</v>
      </c>
      <c r="L86" s="12"/>
      <c r="M86" s="13">
        <f>SUM(M70:M78)</f>
        <v>87</v>
      </c>
    </row>
    <row r="87" spans="1:13" ht="15.75" thickBot="1" x14ac:dyDescent="0.3">
      <c r="A87" s="370" t="s">
        <v>189</v>
      </c>
      <c r="B87" s="371"/>
      <c r="C87" s="372">
        <f>SumByColor($A$19,C70:C85)</f>
        <v>0</v>
      </c>
      <c r="D87" s="372"/>
      <c r="E87" s="372"/>
      <c r="F87" s="373">
        <f>SumByColor($A$19,F70:F85)</f>
        <v>0</v>
      </c>
      <c r="G87" s="372"/>
      <c r="H87" s="372">
        <f>SumByColor($A$19,H70:H85)</f>
        <v>0</v>
      </c>
      <c r="I87" s="372"/>
      <c r="J87" s="372"/>
      <c r="K87" s="373">
        <f>SumByColor($A$19,K70:K85)</f>
        <v>0</v>
      </c>
      <c r="L87" s="372"/>
      <c r="M87" s="373">
        <f>SumByColor($A$19,M70:M85)</f>
        <v>0</v>
      </c>
    </row>
    <row r="88" spans="1:13" x14ac:dyDescent="0.25">
      <c r="A88" s="291"/>
      <c r="B88" s="291"/>
      <c r="C88" s="291"/>
      <c r="D88" s="292"/>
      <c r="E88" s="292"/>
      <c r="F88" s="292"/>
      <c r="G88" s="291"/>
      <c r="H88" s="291"/>
      <c r="I88" s="292"/>
      <c r="J88" s="292"/>
      <c r="K88" s="292"/>
      <c r="L88" s="291"/>
      <c r="M88" s="291"/>
    </row>
    <row r="92" spans="1:13" x14ac:dyDescent="0.25">
      <c r="A92" s="291"/>
      <c r="B92" s="291"/>
      <c r="C92" s="291"/>
      <c r="D92" s="292"/>
      <c r="E92" s="292"/>
      <c r="F92" s="292"/>
      <c r="G92" s="291"/>
      <c r="H92" s="291"/>
      <c r="I92" s="292"/>
      <c r="J92" s="292"/>
      <c r="K92" s="292"/>
      <c r="L92" s="291"/>
    </row>
    <row r="93" spans="1:13" x14ac:dyDescent="0.25">
      <c r="A93" s="291"/>
      <c r="B93" s="405" t="s">
        <v>113</v>
      </c>
      <c r="C93" s="405" t="s">
        <v>143</v>
      </c>
      <c r="D93" s="406" t="s">
        <v>142</v>
      </c>
      <c r="E93" s="407" t="s">
        <v>144</v>
      </c>
      <c r="F93" s="407" t="s">
        <v>65</v>
      </c>
      <c r="G93" s="409" t="s">
        <v>148</v>
      </c>
      <c r="H93" s="409" t="s">
        <v>88</v>
      </c>
      <c r="I93" s="409" t="s">
        <v>151</v>
      </c>
      <c r="J93" s="292"/>
      <c r="K93" s="292"/>
      <c r="L93" s="291"/>
    </row>
    <row r="94" spans="1:13" x14ac:dyDescent="0.25">
      <c r="A94" s="291"/>
      <c r="B94" s="290">
        <v>42626</v>
      </c>
      <c r="C94" s="291">
        <v>20</v>
      </c>
      <c r="D94" s="292">
        <v>90.85</v>
      </c>
      <c r="E94" s="292">
        <v>90.93</v>
      </c>
      <c r="F94" s="292">
        <f t="shared" ref="F94:F117" si="21">C94*(E94-D94)</f>
        <v>1.6000000000002501</v>
      </c>
      <c r="G94" s="292">
        <f t="shared" ref="G94:G117" si="22">D94*C94</f>
        <v>1817</v>
      </c>
      <c r="H94" s="293">
        <f t="shared" ref="H94:H117" si="23">(E94-D94)/D94</f>
        <v>8.8057237204196487E-4</v>
      </c>
      <c r="I94" s="292"/>
      <c r="J94" s="292"/>
      <c r="K94" s="292"/>
      <c r="L94" s="291"/>
    </row>
    <row r="95" spans="1:13" x14ac:dyDescent="0.25">
      <c r="A95" s="291"/>
      <c r="B95" s="290">
        <v>42627</v>
      </c>
      <c r="C95" s="291">
        <v>20</v>
      </c>
      <c r="D95" s="292">
        <v>90.85</v>
      </c>
      <c r="E95" s="292">
        <v>89.44</v>
      </c>
      <c r="F95" s="292">
        <f t="shared" si="21"/>
        <v>-28.199999999999932</v>
      </c>
      <c r="G95" s="292">
        <f t="shared" si="22"/>
        <v>1817</v>
      </c>
      <c r="H95" s="293">
        <f t="shared" si="23"/>
        <v>-1.5520088057237168E-2</v>
      </c>
      <c r="I95" s="292"/>
      <c r="J95" s="292"/>
      <c r="K95" s="292"/>
      <c r="L95" s="291"/>
    </row>
    <row r="96" spans="1:13" x14ac:dyDescent="0.25">
      <c r="A96" s="291"/>
      <c r="B96" s="290">
        <v>42640</v>
      </c>
      <c r="C96" s="291">
        <v>20</v>
      </c>
      <c r="D96" s="292">
        <v>90.85</v>
      </c>
      <c r="E96" s="292">
        <v>90.56</v>
      </c>
      <c r="F96" s="292">
        <f t="shared" si="21"/>
        <v>-5.7999999999998408</v>
      </c>
      <c r="G96" s="292">
        <f t="shared" si="22"/>
        <v>1817</v>
      </c>
      <c r="H96" s="293">
        <f t="shared" si="23"/>
        <v>-3.1920748486515362E-3</v>
      </c>
      <c r="I96" s="292"/>
      <c r="J96" s="292"/>
      <c r="K96" s="292"/>
      <c r="L96" s="291"/>
    </row>
    <row r="97" spans="1:12" x14ac:dyDescent="0.25">
      <c r="A97" s="291"/>
      <c r="B97" s="290">
        <v>42646</v>
      </c>
      <c r="C97" s="291">
        <v>40</v>
      </c>
      <c r="D97" s="292">
        <v>89.204999999999998</v>
      </c>
      <c r="E97" s="292">
        <v>87.09</v>
      </c>
      <c r="F97" s="292">
        <f t="shared" si="21"/>
        <v>-84.599999999999795</v>
      </c>
      <c r="G97" s="292">
        <f t="shared" si="22"/>
        <v>3568.2</v>
      </c>
      <c r="H97" s="293">
        <f t="shared" si="23"/>
        <v>-2.3709433327728211E-2</v>
      </c>
      <c r="I97" s="292"/>
      <c r="J97" s="292"/>
      <c r="K97" s="292"/>
      <c r="L97" s="291"/>
    </row>
    <row r="98" spans="1:12" x14ac:dyDescent="0.25">
      <c r="A98" s="291"/>
      <c r="B98" s="290">
        <v>42651</v>
      </c>
      <c r="C98" s="291">
        <v>40</v>
      </c>
      <c r="D98" s="292">
        <v>89.204999999999998</v>
      </c>
      <c r="E98" s="292">
        <v>86.4</v>
      </c>
      <c r="F98" s="292">
        <f t="shared" si="21"/>
        <v>-112.1999999999997</v>
      </c>
      <c r="G98" s="292">
        <f t="shared" si="22"/>
        <v>3568.2</v>
      </c>
      <c r="H98" s="293">
        <f t="shared" si="23"/>
        <v>-3.1444425760887761E-2</v>
      </c>
      <c r="I98" s="292"/>
      <c r="J98" s="292"/>
      <c r="K98" s="292"/>
      <c r="L98" s="291"/>
    </row>
    <row r="99" spans="1:12" x14ac:dyDescent="0.25">
      <c r="A99" s="291"/>
      <c r="B99" s="290">
        <v>42674</v>
      </c>
      <c r="C99" s="291">
        <v>40</v>
      </c>
      <c r="D99" s="292">
        <v>89.204999999999998</v>
      </c>
      <c r="E99" s="292">
        <v>84.1</v>
      </c>
      <c r="F99" s="292">
        <f t="shared" si="21"/>
        <v>-204.20000000000016</v>
      </c>
      <c r="G99" s="292">
        <f t="shared" si="22"/>
        <v>3568.2</v>
      </c>
      <c r="H99" s="293">
        <f t="shared" si="23"/>
        <v>-5.7227733871419807E-2</v>
      </c>
      <c r="I99" s="292"/>
      <c r="J99" s="292"/>
      <c r="K99" s="292"/>
      <c r="L99" s="291"/>
    </row>
    <row r="100" spans="1:12" x14ac:dyDescent="0.25">
      <c r="A100" s="291"/>
      <c r="B100" s="290">
        <v>42677</v>
      </c>
      <c r="C100" s="291">
        <v>80</v>
      </c>
      <c r="D100" s="292">
        <v>85.38</v>
      </c>
      <c r="E100" s="292">
        <v>81.569999999999993</v>
      </c>
      <c r="F100" s="292">
        <f t="shared" si="21"/>
        <v>-304.80000000000018</v>
      </c>
      <c r="G100" s="292">
        <f t="shared" si="22"/>
        <v>6830.4</v>
      </c>
      <c r="H100" s="293">
        <f t="shared" si="23"/>
        <v>-4.4624033731553089E-2</v>
      </c>
      <c r="I100" s="292" t="s">
        <v>182</v>
      </c>
      <c r="J100" s="292"/>
      <c r="K100" s="292"/>
      <c r="L100" s="291"/>
    </row>
    <row r="101" spans="1:12" x14ac:dyDescent="0.25">
      <c r="A101" s="291"/>
      <c r="B101" s="290">
        <v>42702</v>
      </c>
      <c r="C101" s="291">
        <v>80</v>
      </c>
      <c r="D101" s="292">
        <v>85.38</v>
      </c>
      <c r="E101" s="292">
        <v>74.06</v>
      </c>
      <c r="F101" s="292">
        <f t="shared" si="21"/>
        <v>-905.59999999999945</v>
      </c>
      <c r="G101" s="292">
        <f t="shared" si="22"/>
        <v>6830.4</v>
      </c>
      <c r="H101" s="293">
        <f t="shared" si="23"/>
        <v>-0.13258374326540165</v>
      </c>
      <c r="I101" s="292"/>
      <c r="J101" s="292"/>
      <c r="K101" s="292"/>
      <c r="L101" s="291"/>
    </row>
    <row r="102" spans="1:12" x14ac:dyDescent="0.25">
      <c r="A102" s="291"/>
      <c r="B102" s="290">
        <v>42704</v>
      </c>
      <c r="C102" s="291">
        <v>80</v>
      </c>
      <c r="D102" s="292">
        <v>85.38</v>
      </c>
      <c r="E102" s="292">
        <v>76.89</v>
      </c>
      <c r="F102" s="292">
        <f t="shared" si="21"/>
        <v>-679.19999999999959</v>
      </c>
      <c r="G102" s="292">
        <f t="shared" si="22"/>
        <v>6830.4</v>
      </c>
      <c r="H102" s="293">
        <f t="shared" si="23"/>
        <v>-9.9437807449051244E-2</v>
      </c>
      <c r="I102" s="292"/>
      <c r="J102" s="292"/>
      <c r="K102" s="292"/>
      <c r="L102" s="291"/>
    </row>
    <row r="103" spans="1:12" x14ac:dyDescent="0.25">
      <c r="A103" s="291"/>
      <c r="B103" s="290">
        <v>42729</v>
      </c>
      <c r="C103" s="291">
        <v>80</v>
      </c>
      <c r="D103" s="292">
        <v>85.38</v>
      </c>
      <c r="E103" s="292">
        <v>79.14</v>
      </c>
      <c r="F103" s="292">
        <f t="shared" si="21"/>
        <v>-499.19999999999959</v>
      </c>
      <c r="G103" s="292">
        <f t="shared" si="22"/>
        <v>6830.4</v>
      </c>
      <c r="H103" s="293">
        <f t="shared" si="23"/>
        <v>-7.3085031623330937E-2</v>
      </c>
      <c r="I103" s="292"/>
      <c r="J103" s="292"/>
      <c r="K103" s="292"/>
      <c r="L103" s="291"/>
    </row>
    <row r="104" spans="1:12" x14ac:dyDescent="0.25">
      <c r="A104" s="291"/>
      <c r="B104" s="290">
        <v>42745</v>
      </c>
      <c r="C104" s="291">
        <v>80</v>
      </c>
      <c r="D104" s="292">
        <v>85.38</v>
      </c>
      <c r="E104" s="292">
        <v>82.67</v>
      </c>
      <c r="F104" s="292">
        <f t="shared" si="21"/>
        <v>-216.7999999999995</v>
      </c>
      <c r="G104" s="292">
        <f t="shared" si="22"/>
        <v>6830.4</v>
      </c>
      <c r="H104" s="293">
        <f t="shared" si="23"/>
        <v>-3.1740454438978612E-2</v>
      </c>
      <c r="I104" s="292"/>
      <c r="J104" s="292"/>
      <c r="K104" s="292"/>
      <c r="L104" s="291"/>
    </row>
    <row r="105" spans="1:12" x14ac:dyDescent="0.25">
      <c r="A105" s="291"/>
      <c r="B105" s="290">
        <v>42756</v>
      </c>
      <c r="C105" s="291">
        <v>80</v>
      </c>
      <c r="D105" s="292">
        <v>85.38</v>
      </c>
      <c r="E105" s="292">
        <v>81.56</v>
      </c>
      <c r="F105" s="292">
        <f t="shared" si="21"/>
        <v>-305.59999999999945</v>
      </c>
      <c r="G105" s="292">
        <f t="shared" si="22"/>
        <v>6830.4</v>
      </c>
      <c r="H105" s="293">
        <f t="shared" si="23"/>
        <v>-4.4741157179667292E-2</v>
      </c>
      <c r="I105" s="292"/>
      <c r="J105" s="292"/>
      <c r="K105" s="292"/>
      <c r="L105" s="291"/>
    </row>
    <row r="106" spans="1:12" x14ac:dyDescent="0.25">
      <c r="A106" s="291"/>
      <c r="B106" s="290">
        <v>42760</v>
      </c>
      <c r="C106" s="291">
        <v>100</v>
      </c>
      <c r="D106" s="292">
        <v>84.36</v>
      </c>
      <c r="E106" s="292">
        <v>79.489999999999995</v>
      </c>
      <c r="F106" s="292">
        <f t="shared" si="21"/>
        <v>-487.00000000000045</v>
      </c>
      <c r="G106" s="292">
        <f t="shared" si="22"/>
        <v>8436</v>
      </c>
      <c r="H106" s="293">
        <f t="shared" si="23"/>
        <v>-5.7728781412991995E-2</v>
      </c>
      <c r="I106" s="292"/>
      <c r="J106" s="292"/>
      <c r="K106" s="292"/>
      <c r="L106" s="291"/>
    </row>
    <row r="107" spans="1:12" x14ac:dyDescent="0.25">
      <c r="A107" s="291"/>
      <c r="B107" s="290">
        <v>42762</v>
      </c>
      <c r="C107" s="291">
        <v>180</v>
      </c>
      <c r="D107" s="292">
        <v>81.169280000000001</v>
      </c>
      <c r="E107" s="292">
        <v>77.75</v>
      </c>
      <c r="F107" s="292">
        <f t="shared" si="21"/>
        <v>-615.47040000000015</v>
      </c>
      <c r="G107" s="292">
        <f t="shared" si="22"/>
        <v>14610.4704</v>
      </c>
      <c r="H107" s="293">
        <f t="shared" si="23"/>
        <v>-4.2125296663959574E-2</v>
      </c>
      <c r="I107" s="292"/>
      <c r="J107" s="292"/>
      <c r="K107" s="292"/>
      <c r="L107" s="291"/>
    </row>
    <row r="108" spans="1:12" x14ac:dyDescent="0.25">
      <c r="A108" s="291" t="s">
        <v>345</v>
      </c>
      <c r="B108" s="290">
        <v>42762</v>
      </c>
      <c r="C108" s="291">
        <v>140</v>
      </c>
      <c r="D108" s="292">
        <v>82.137640000000005</v>
      </c>
      <c r="E108" s="292">
        <v>77.75</v>
      </c>
      <c r="F108" s="292">
        <f t="shared" si="21"/>
        <v>-614.26960000000065</v>
      </c>
      <c r="G108" s="292">
        <f t="shared" si="22"/>
        <v>11499.269600000001</v>
      </c>
      <c r="H108" s="293">
        <f t="shared" si="23"/>
        <v>-5.3418140574771865E-2</v>
      </c>
      <c r="I108" s="292"/>
      <c r="J108" s="292"/>
      <c r="K108" s="292"/>
      <c r="L108" s="291"/>
    </row>
    <row r="109" spans="1:12" x14ac:dyDescent="0.25">
      <c r="A109" s="291" t="s">
        <v>358</v>
      </c>
      <c r="B109" s="290">
        <v>42768</v>
      </c>
      <c r="C109" s="291">
        <v>180</v>
      </c>
      <c r="D109" s="292">
        <v>80.347059999999999</v>
      </c>
      <c r="E109" s="292">
        <v>74.8</v>
      </c>
      <c r="F109" s="292">
        <f t="shared" si="21"/>
        <v>-998.47080000000028</v>
      </c>
      <c r="G109" s="292">
        <f t="shared" si="22"/>
        <v>14462.470799999999</v>
      </c>
      <c r="H109" s="293">
        <f t="shared" si="23"/>
        <v>-6.903874267459198E-2</v>
      </c>
      <c r="I109" s="292" t="s">
        <v>182</v>
      </c>
      <c r="J109" s="292"/>
      <c r="K109" s="292"/>
      <c r="L109" s="291"/>
    </row>
    <row r="110" spans="1:12" x14ac:dyDescent="0.25">
      <c r="A110" s="291" t="s">
        <v>358</v>
      </c>
      <c r="B110" s="290">
        <v>42778</v>
      </c>
      <c r="C110" s="291">
        <v>180</v>
      </c>
      <c r="D110" s="292">
        <v>80.347059999999999</v>
      </c>
      <c r="E110" s="292">
        <v>78.53</v>
      </c>
      <c r="F110" s="292">
        <f t="shared" si="21"/>
        <v>-327.07079999999962</v>
      </c>
      <c r="G110" s="292">
        <f t="shared" si="22"/>
        <v>14462.470799999999</v>
      </c>
      <c r="H110" s="293">
        <f t="shared" si="23"/>
        <v>-2.2615139869461284E-2</v>
      </c>
      <c r="I110" s="292"/>
      <c r="J110" s="292"/>
      <c r="K110" s="292"/>
      <c r="L110" s="291"/>
    </row>
    <row r="111" spans="1:12" x14ac:dyDescent="0.25">
      <c r="A111" s="291" t="s">
        <v>402</v>
      </c>
      <c r="B111" s="290">
        <v>42787</v>
      </c>
      <c r="C111" s="291">
        <v>180</v>
      </c>
      <c r="D111" s="292">
        <v>80.346999999999994</v>
      </c>
      <c r="E111" s="292">
        <v>79.760000000000005</v>
      </c>
      <c r="F111" s="292">
        <f t="shared" si="21"/>
        <v>-105.65999999999804</v>
      </c>
      <c r="G111" s="292">
        <f t="shared" si="22"/>
        <v>14462.46</v>
      </c>
      <c r="H111" s="293">
        <f t="shared" si="23"/>
        <v>-7.3058110445939376E-3</v>
      </c>
      <c r="I111" s="292"/>
      <c r="J111" s="292"/>
      <c r="K111" s="292"/>
      <c r="L111" s="291"/>
    </row>
    <row r="112" spans="1:12" x14ac:dyDescent="0.25">
      <c r="A112" s="291" t="s">
        <v>404</v>
      </c>
      <c r="B112" s="290">
        <v>42788</v>
      </c>
      <c r="C112" s="291">
        <v>140</v>
      </c>
      <c r="D112" s="292">
        <v>80.338139999999996</v>
      </c>
      <c r="E112" s="292">
        <v>80.16</v>
      </c>
      <c r="F112" s="292">
        <f t="shared" si="21"/>
        <v>-24.939599999999871</v>
      </c>
      <c r="G112" s="292">
        <f t="shared" si="22"/>
        <v>11247.339599999999</v>
      </c>
      <c r="H112" s="293">
        <f t="shared" si="23"/>
        <v>-2.2173776988115368E-3</v>
      </c>
      <c r="I112" s="292"/>
      <c r="J112" s="292"/>
      <c r="K112" s="292"/>
      <c r="L112" s="291"/>
    </row>
    <row r="113" spans="1:12" x14ac:dyDescent="0.25">
      <c r="A113" s="291" t="s">
        <v>404</v>
      </c>
      <c r="B113" s="290">
        <v>42790</v>
      </c>
      <c r="C113" s="291">
        <v>140</v>
      </c>
      <c r="D113" s="292">
        <v>80.338139999999996</v>
      </c>
      <c r="E113" s="292">
        <v>81.48</v>
      </c>
      <c r="F113" s="292">
        <f t="shared" si="21"/>
        <v>159.86040000000116</v>
      </c>
      <c r="G113" s="292">
        <f t="shared" si="22"/>
        <v>11247.339599999999</v>
      </c>
      <c r="H113" s="293">
        <f t="shared" si="23"/>
        <v>1.4213174464830881E-2</v>
      </c>
      <c r="I113" s="292"/>
      <c r="J113" s="292"/>
      <c r="K113" s="292"/>
      <c r="L113" s="291"/>
    </row>
    <row r="114" spans="1:12" x14ac:dyDescent="0.25">
      <c r="A114" s="291" t="s">
        <v>426</v>
      </c>
      <c r="B114" s="290">
        <v>42796</v>
      </c>
      <c r="C114" s="291">
        <v>60</v>
      </c>
      <c r="D114" s="292">
        <v>79.191299999999998</v>
      </c>
      <c r="E114" s="292">
        <v>81.349999999999994</v>
      </c>
      <c r="F114" s="292">
        <f t="shared" si="21"/>
        <v>129.52199999999976</v>
      </c>
      <c r="G114" s="292">
        <f t="shared" si="22"/>
        <v>4751.4780000000001</v>
      </c>
      <c r="H114" s="293">
        <f t="shared" si="23"/>
        <v>2.7259307524942718E-2</v>
      </c>
      <c r="I114" s="292"/>
      <c r="J114" s="292"/>
      <c r="K114" s="292"/>
      <c r="L114" s="291"/>
    </row>
    <row r="115" spans="1:12" x14ac:dyDescent="0.25">
      <c r="A115" s="291">
        <v>60</v>
      </c>
      <c r="B115" s="290">
        <v>42809</v>
      </c>
      <c r="C115" s="291">
        <v>60</v>
      </c>
      <c r="D115" s="292">
        <v>79.191299999999998</v>
      </c>
      <c r="E115" s="292">
        <v>79.73</v>
      </c>
      <c r="F115" s="292">
        <f t="shared" si="21"/>
        <v>32.322000000000344</v>
      </c>
      <c r="G115" s="292">
        <f t="shared" si="22"/>
        <v>4751.4780000000001</v>
      </c>
      <c r="H115" s="293">
        <f t="shared" si="23"/>
        <v>6.8025149227251697E-3</v>
      </c>
      <c r="I115" s="292"/>
      <c r="J115" s="292"/>
      <c r="K115" s="292"/>
      <c r="L115" s="291"/>
    </row>
    <row r="116" spans="1:12" x14ac:dyDescent="0.25">
      <c r="A116" s="291">
        <v>60</v>
      </c>
      <c r="B116" s="290">
        <v>42818</v>
      </c>
      <c r="C116" s="291">
        <v>60</v>
      </c>
      <c r="D116" s="292">
        <v>79.191299999999998</v>
      </c>
      <c r="E116" s="292">
        <v>78.489999999999995</v>
      </c>
      <c r="F116" s="292">
        <f t="shared" si="21"/>
        <v>-42.078000000000202</v>
      </c>
      <c r="G116" s="292">
        <f t="shared" si="22"/>
        <v>4751.4780000000001</v>
      </c>
      <c r="H116" s="293">
        <f t="shared" si="23"/>
        <v>-8.8557707727995802E-3</v>
      </c>
      <c r="I116" s="292"/>
      <c r="J116" s="292"/>
      <c r="K116" s="292"/>
      <c r="L116" s="291"/>
    </row>
    <row r="117" spans="1:12" x14ac:dyDescent="0.25">
      <c r="A117" s="291">
        <v>60</v>
      </c>
      <c r="B117" s="290">
        <v>42841</v>
      </c>
      <c r="C117" s="291">
        <v>60</v>
      </c>
      <c r="D117" s="292">
        <v>79.19</v>
      </c>
      <c r="E117" s="292">
        <v>77.959999999999994</v>
      </c>
      <c r="F117" s="292">
        <f t="shared" si="21"/>
        <v>-73.800000000000239</v>
      </c>
      <c r="G117" s="292">
        <f t="shared" si="22"/>
        <v>4751.3999999999996</v>
      </c>
      <c r="H117" s="293">
        <f t="shared" si="23"/>
        <v>-1.5532264174769592E-2</v>
      </c>
      <c r="I117" s="292"/>
      <c r="J117" s="292"/>
      <c r="K117" s="292"/>
      <c r="L117" s="291"/>
    </row>
    <row r="118" spans="1:12" x14ac:dyDescent="0.25">
      <c r="A118" s="291">
        <v>0</v>
      </c>
      <c r="B118" s="290">
        <v>42850</v>
      </c>
      <c r="C118" s="291">
        <v>0</v>
      </c>
      <c r="D118" s="292"/>
      <c r="E118" s="292">
        <v>82.17</v>
      </c>
      <c r="F118" s="292">
        <v>167.21</v>
      </c>
      <c r="G118" s="292"/>
      <c r="H118" s="293"/>
      <c r="I118" s="292"/>
      <c r="J118" s="292"/>
      <c r="K118" s="292"/>
      <c r="L118" s="291"/>
    </row>
    <row r="119" spans="1:12" x14ac:dyDescent="0.25">
      <c r="A119" s="291"/>
      <c r="B119" s="290"/>
      <c r="C119" s="291"/>
      <c r="D119" s="292"/>
      <c r="E119" s="292"/>
      <c r="F119" s="292"/>
      <c r="G119" s="292"/>
      <c r="H119" s="293"/>
      <c r="I119" s="292"/>
      <c r="J119" s="292"/>
      <c r="K119" s="292"/>
      <c r="L119" s="291"/>
    </row>
    <row r="120" spans="1:12" x14ac:dyDescent="0.25">
      <c r="A120" s="291"/>
      <c r="B120" s="290"/>
      <c r="C120" s="291"/>
      <c r="D120" s="292"/>
      <c r="E120" s="292"/>
      <c r="F120" s="292"/>
      <c r="G120" s="292"/>
      <c r="H120" s="293"/>
      <c r="I120" s="292"/>
      <c r="J120" s="292"/>
      <c r="K120" s="292"/>
      <c r="L120" s="291"/>
    </row>
    <row r="121" spans="1:12" x14ac:dyDescent="0.25">
      <c r="A121" s="291"/>
      <c r="B121" s="290"/>
      <c r="C121" s="291"/>
      <c r="D121" s="292"/>
      <c r="E121" s="292"/>
      <c r="F121" s="292"/>
      <c r="G121" s="292"/>
      <c r="H121" s="293"/>
      <c r="I121" s="292"/>
      <c r="J121" s="292"/>
      <c r="K121" s="292"/>
      <c r="L121" s="291"/>
    </row>
    <row r="122" spans="1:12" x14ac:dyDescent="0.25">
      <c r="A122" s="291"/>
      <c r="B122" s="290"/>
      <c r="C122" s="291"/>
      <c r="D122" s="292"/>
      <c r="E122" s="292"/>
      <c r="F122" s="292"/>
      <c r="G122" s="292"/>
      <c r="H122" s="293"/>
      <c r="I122" s="292"/>
      <c r="J122" s="292"/>
      <c r="K122" s="292"/>
      <c r="L122" s="291"/>
    </row>
    <row r="123" spans="1:12" x14ac:dyDescent="0.25">
      <c r="A123" s="291"/>
      <c r="B123" s="290"/>
      <c r="C123" s="291"/>
      <c r="D123" s="292"/>
      <c r="E123" s="292"/>
      <c r="F123" s="292"/>
      <c r="G123" s="292"/>
      <c r="H123" s="293"/>
      <c r="I123" s="292"/>
      <c r="J123" s="292"/>
      <c r="K123" s="292"/>
      <c r="L123" s="291"/>
    </row>
    <row r="124" spans="1:12" x14ac:dyDescent="0.25">
      <c r="A124" s="291"/>
      <c r="B124" s="290"/>
      <c r="C124" s="291"/>
      <c r="D124" s="292"/>
      <c r="E124" s="292"/>
      <c r="F124" s="292"/>
      <c r="G124" s="292"/>
      <c r="H124" s="293"/>
      <c r="I124" s="292"/>
      <c r="J124" s="292"/>
      <c r="K124" s="292"/>
      <c r="L124" s="291"/>
    </row>
    <row r="125" spans="1:12" x14ac:dyDescent="0.25">
      <c r="A125" s="291"/>
      <c r="B125" s="290"/>
      <c r="C125" s="291"/>
      <c r="D125" s="292"/>
      <c r="E125" s="292"/>
      <c r="F125" s="292"/>
      <c r="G125" s="292"/>
      <c r="H125" s="293"/>
      <c r="I125" s="292"/>
      <c r="J125" s="292"/>
      <c r="K125" s="292"/>
      <c r="L125" s="291"/>
    </row>
  </sheetData>
  <mergeCells count="1">
    <mergeCell ref="U13:U24"/>
  </mergeCells>
  <conditionalFormatting sqref="O21:O41">
    <cfRule type="colorScale" priority="60">
      <colorScale>
        <cfvo type="min"/>
        <cfvo type="percentile" val="50"/>
        <cfvo type="max"/>
        <color rgb="FFF8696B"/>
        <color rgb="FFFFEB84"/>
        <color rgb="FF63BE7B"/>
      </colorScale>
    </cfRule>
  </conditionalFormatting>
  <conditionalFormatting sqref="P21:P41">
    <cfRule type="colorScale" priority="59">
      <colorScale>
        <cfvo type="min"/>
        <cfvo type="percentile" val="50"/>
        <cfvo type="max"/>
        <color rgb="FFF8696B"/>
        <color rgb="FFFFEB84"/>
        <color rgb="FF63BE7B"/>
      </colorScale>
    </cfRule>
  </conditionalFormatting>
  <conditionalFormatting sqref="F25:F53 H25:H54 F65:F68 H65:H68 H58 F58">
    <cfRule type="expression" dxfId="3451" priority="55">
      <formula>F25&gt;0</formula>
    </cfRule>
    <cfRule type="expression" dxfId="3450" priority="56">
      <formula>F25&lt;0</formula>
    </cfRule>
  </conditionalFormatting>
  <conditionalFormatting sqref="Q7">
    <cfRule type="expression" dxfId="3449" priority="53">
      <formula>Q7&gt;0</formula>
    </cfRule>
    <cfRule type="expression" dxfId="3448" priority="54">
      <formula>Q7&lt;0</formula>
    </cfRule>
  </conditionalFormatting>
  <conditionalFormatting sqref="Q8">
    <cfRule type="expression" dxfId="3447" priority="51">
      <formula>Q8&gt;0</formula>
    </cfRule>
    <cfRule type="expression" dxfId="3446" priority="52">
      <formula>Q8&lt;0</formula>
    </cfRule>
  </conditionalFormatting>
  <conditionalFormatting sqref="M68">
    <cfRule type="expression" dxfId="3445" priority="45">
      <formula>M68&gt;0</formula>
    </cfRule>
    <cfRule type="expression" dxfId="3444" priority="46">
      <formula>M68&lt;0</formula>
    </cfRule>
  </conditionalFormatting>
  <conditionalFormatting sqref="F94:F125">
    <cfRule type="expression" dxfId="3443" priority="43">
      <formula>F94&gt;0</formula>
    </cfRule>
    <cfRule type="expression" dxfId="3442" priority="44">
      <formula>F94&lt;0</formula>
    </cfRule>
  </conditionalFormatting>
  <conditionalFormatting sqref="H94:H125">
    <cfRule type="expression" dxfId="3441" priority="41">
      <formula>H94&gt;0</formula>
    </cfRule>
    <cfRule type="expression" dxfId="3440" priority="42">
      <formula>H94&lt;0</formula>
    </cfRule>
  </conditionalFormatting>
  <conditionalFormatting sqref="J28:J30 K25:K30 J31:K38">
    <cfRule type="expression" dxfId="3439" priority="35">
      <formula>J25&gt;0</formula>
    </cfRule>
    <cfRule type="expression" dxfId="3438" priority="36">
      <formula>J25&lt;0</formula>
    </cfRule>
  </conditionalFormatting>
  <conditionalFormatting sqref="K39:K42">
    <cfRule type="expression" dxfId="3437" priority="33">
      <formula>K39&gt;0</formula>
    </cfRule>
    <cfRule type="expression" dxfId="3436" priority="34">
      <formula>K39&lt;0</formula>
    </cfRule>
  </conditionalFormatting>
  <conditionalFormatting sqref="K43">
    <cfRule type="expression" dxfId="3435" priority="31">
      <formula>K43&gt;0</formula>
    </cfRule>
    <cfRule type="expression" dxfId="3434" priority="32">
      <formula>K43&lt;0</formula>
    </cfRule>
  </conditionalFormatting>
  <conditionalFormatting sqref="K44">
    <cfRule type="expression" dxfId="3433" priority="29">
      <formula>K44&gt;0</formula>
    </cfRule>
    <cfRule type="expression" dxfId="3432" priority="30">
      <formula>K44&lt;0</formula>
    </cfRule>
  </conditionalFormatting>
  <conditionalFormatting sqref="K45">
    <cfRule type="expression" dxfId="3431" priority="27">
      <formula>K45&gt;0</formula>
    </cfRule>
    <cfRule type="expression" dxfId="3430" priority="28">
      <formula>K45&lt;0</formula>
    </cfRule>
  </conditionalFormatting>
  <conditionalFormatting sqref="K46:K51">
    <cfRule type="expression" dxfId="3429" priority="15">
      <formula>K46&gt;0</formula>
    </cfRule>
    <cfRule type="expression" dxfId="3428" priority="16">
      <formula>K46&lt;0</formula>
    </cfRule>
  </conditionalFormatting>
  <conditionalFormatting sqref="K52:K60">
    <cfRule type="expression" dxfId="3427" priority="13">
      <formula>K52&gt;0</formula>
    </cfRule>
    <cfRule type="expression" dxfId="3426" priority="14">
      <formula>K52&lt;0</formula>
    </cfRule>
  </conditionalFormatting>
  <conditionalFormatting sqref="H55:H57 F54:F57">
    <cfRule type="expression" dxfId="3425" priority="11">
      <formula>F54&gt;0</formula>
    </cfRule>
    <cfRule type="expression" dxfId="3424" priority="12">
      <formula>F54&lt;0</formula>
    </cfRule>
  </conditionalFormatting>
  <conditionalFormatting sqref="F63:F64 H63:H64">
    <cfRule type="expression" dxfId="3423" priority="9">
      <formula>F63&gt;0</formula>
    </cfRule>
    <cfRule type="expression" dxfId="3422" priority="10">
      <formula>F63&lt;0</formula>
    </cfRule>
  </conditionalFormatting>
  <conditionalFormatting sqref="F62 H62">
    <cfRule type="expression" dxfId="3421" priority="7">
      <formula>F62&gt;0</formula>
    </cfRule>
    <cfRule type="expression" dxfId="3420" priority="8">
      <formula>F62&lt;0</formula>
    </cfRule>
  </conditionalFormatting>
  <conditionalFormatting sqref="F59:F61 H59:H61">
    <cfRule type="expression" dxfId="3419" priority="5">
      <formula>F59&gt;0</formula>
    </cfRule>
    <cfRule type="expression" dxfId="3418" priority="6">
      <formula>F59&lt;0</formula>
    </cfRule>
  </conditionalFormatting>
  <conditionalFormatting sqref="K61">
    <cfRule type="expression" dxfId="3417" priority="3">
      <formula>K61&gt;0</formula>
    </cfRule>
    <cfRule type="expression" dxfId="3416" priority="4">
      <formula>K61&lt;0</formula>
    </cfRule>
  </conditionalFormatting>
  <conditionalFormatting sqref="K62">
    <cfRule type="expression" dxfId="3415" priority="1">
      <formula>K62&gt;0</formula>
    </cfRule>
    <cfRule type="expression" dxfId="3414" priority="2">
      <formula>K62&lt;0</formula>
    </cfRule>
  </conditionalFormatting>
  <hyperlinks>
    <hyperlink ref="A3" location="ACTIVE!A1" display="Back"/>
    <hyperlink ref="A71" location="ACTIVE!A1" display="Back"/>
  </hyperlinks>
  <pageMargins left="0.7" right="0.7" top="0.75" bottom="0.75" header="0.3" footer="0.3"/>
  <pageSetup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1234</v>
      </c>
      <c r="B2" s="360">
        <v>43384</v>
      </c>
      <c r="C2" s="7">
        <v>300</v>
      </c>
      <c r="D2" s="43">
        <v>16.8</v>
      </c>
      <c r="E2" s="43">
        <v>0</v>
      </c>
      <c r="F2" s="43">
        <f>C2*D2+E2</f>
        <v>5040</v>
      </c>
      <c r="G2" s="360">
        <v>43417</v>
      </c>
      <c r="H2" s="7">
        <v>300</v>
      </c>
      <c r="I2" s="43">
        <v>19.68</v>
      </c>
      <c r="J2" s="43">
        <v>0.08</v>
      </c>
      <c r="K2" s="43">
        <f>H2*I2-J2</f>
        <v>5903.92</v>
      </c>
      <c r="L2" s="69"/>
      <c r="M2" s="3"/>
      <c r="O2" s="11" t="s">
        <v>57</v>
      </c>
      <c r="Q2">
        <f>C18-H18</f>
        <v>0</v>
      </c>
      <c r="T2" s="1"/>
    </row>
    <row r="3" spans="1:21" x14ac:dyDescent="0.25">
      <c r="A3" s="22" t="s">
        <v>71</v>
      </c>
      <c r="B3" s="69"/>
      <c r="C3" s="4"/>
      <c r="D3" s="3"/>
      <c r="E3" s="3"/>
      <c r="F3" s="3"/>
      <c r="G3" s="69"/>
      <c r="H3" s="158"/>
      <c r="I3" s="3"/>
      <c r="J3" s="3"/>
      <c r="K3" s="3"/>
      <c r="L3" s="4"/>
      <c r="M3" s="4"/>
      <c r="O3" s="11" t="s">
        <v>58</v>
      </c>
      <c r="Q3" s="174">
        <f>IF(Q2=0, Q4, (F18-K18-M18)/Q2)</f>
        <v>30.69</v>
      </c>
      <c r="T3" s="1"/>
      <c r="U3" s="22"/>
    </row>
    <row r="4" spans="1:21" x14ac:dyDescent="0.25">
      <c r="B4" s="69"/>
      <c r="C4" s="4"/>
      <c r="D4" s="3"/>
      <c r="E4" s="3"/>
      <c r="F4" s="3"/>
      <c r="G4" s="69"/>
      <c r="H4" s="158"/>
      <c r="I4" s="3"/>
      <c r="J4" s="3"/>
      <c r="K4" s="3"/>
      <c r="L4" s="4"/>
      <c r="M4" s="4"/>
      <c r="O4" s="11" t="s">
        <v>66</v>
      </c>
      <c r="Q4" s="53">
        <v>30.69</v>
      </c>
      <c r="R4" s="416">
        <v>-5.1000000000000004E-3</v>
      </c>
      <c r="T4" s="680"/>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863.92000000000007</v>
      </c>
      <c r="R7">
        <v>0</v>
      </c>
    </row>
    <row r="8" spans="1:21" x14ac:dyDescent="0.25">
      <c r="B8" s="69"/>
      <c r="C8" s="4"/>
      <c r="D8" s="3"/>
      <c r="E8" s="3"/>
      <c r="F8" s="3"/>
      <c r="G8" s="4"/>
      <c r="H8" s="158"/>
      <c r="I8" s="3"/>
      <c r="J8" s="3"/>
      <c r="K8" s="3"/>
      <c r="L8" s="4"/>
      <c r="M8" s="4"/>
      <c r="O8" s="11" t="s">
        <v>177</v>
      </c>
      <c r="P8" s="33"/>
      <c r="Q8" s="2">
        <f>K18+M18-F18+Q2*Q4</f>
        <v>863.92000000000007</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0</v>
      </c>
    </row>
    <row r="12" spans="1:21" x14ac:dyDescent="0.25">
      <c r="H12" s="67"/>
      <c r="O12" s="11" t="s">
        <v>875</v>
      </c>
      <c r="Q12" s="1"/>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33.759000000000007</v>
      </c>
    </row>
    <row r="18" spans="1:16" x14ac:dyDescent="0.25">
      <c r="A18" s="31" t="s">
        <v>81</v>
      </c>
      <c r="B18" s="14"/>
      <c r="C18" s="14">
        <f>SUM(C2:C8)</f>
        <v>300</v>
      </c>
      <c r="D18" s="18"/>
      <c r="E18" s="18"/>
      <c r="F18" s="18">
        <f>SUM(F2:F8)</f>
        <v>5040</v>
      </c>
      <c r="G18" s="14"/>
      <c r="H18" s="68">
        <f>SUM(H2:H5)</f>
        <v>300</v>
      </c>
      <c r="I18" s="18"/>
      <c r="J18" s="18"/>
      <c r="K18" s="18">
        <f>SUM(K2:K5)</f>
        <v>5903.92</v>
      </c>
      <c r="L18" s="14"/>
      <c r="M18" s="18">
        <f>SUM(M2:M10)</f>
        <v>0</v>
      </c>
      <c r="O18" s="78">
        <v>1.0900000000000001</v>
      </c>
      <c r="P18" s="78">
        <f t="shared" ref="P18:P37" si="0">O18*$Q$4</f>
        <v>33.452100000000002</v>
      </c>
    </row>
    <row r="19" spans="1:16" ht="15.75" thickBot="1" x14ac:dyDescent="0.3">
      <c r="A19" s="273" t="s">
        <v>189</v>
      </c>
      <c r="B19" s="274"/>
      <c r="C19" s="275">
        <f>SumByColor($A$19,C2:C17)</f>
        <v>300</v>
      </c>
      <c r="D19" s="275"/>
      <c r="E19" s="275"/>
      <c r="F19" s="276">
        <f>SumByColor($A$19,F2:F17)</f>
        <v>5040</v>
      </c>
      <c r="G19" s="275"/>
      <c r="H19" s="275">
        <f>SumByColor($A$19,H2:H17)</f>
        <v>300</v>
      </c>
      <c r="I19" s="275"/>
      <c r="J19" s="275"/>
      <c r="K19" s="276">
        <f>SumByColor($A$19,K2:K17)</f>
        <v>5904</v>
      </c>
      <c r="L19" s="275"/>
      <c r="M19" s="276">
        <f>SumByColor($A$19,M2:M17)</f>
        <v>0</v>
      </c>
      <c r="O19" s="78">
        <v>1.08</v>
      </c>
      <c r="P19" s="78">
        <f t="shared" si="0"/>
        <v>33.145200000000003</v>
      </c>
    </row>
    <row r="20" spans="1:16" x14ac:dyDescent="0.25">
      <c r="O20" s="78">
        <v>1.07</v>
      </c>
      <c r="P20" s="78">
        <f t="shared" si="0"/>
        <v>32.838300000000004</v>
      </c>
    </row>
    <row r="21" spans="1:16" x14ac:dyDescent="0.25">
      <c r="O21" s="78">
        <v>1.06</v>
      </c>
      <c r="P21" s="78">
        <f t="shared" si="0"/>
        <v>32.531400000000005</v>
      </c>
    </row>
    <row r="22" spans="1:16" x14ac:dyDescent="0.25">
      <c r="O22" s="78">
        <v>1.05</v>
      </c>
      <c r="P22" s="78">
        <f t="shared" si="0"/>
        <v>32.224500000000006</v>
      </c>
    </row>
    <row r="23" spans="1:16" x14ac:dyDescent="0.25">
      <c r="O23" s="78">
        <v>1.04</v>
      </c>
      <c r="P23" s="78">
        <f t="shared" si="0"/>
        <v>31.917600000000004</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31.610700000000001</v>
      </c>
    </row>
    <row r="25" spans="1:16" x14ac:dyDescent="0.25">
      <c r="B25" s="161">
        <v>43384</v>
      </c>
      <c r="C25" s="10">
        <v>300</v>
      </c>
      <c r="D25" s="39">
        <v>16.8</v>
      </c>
      <c r="E25" s="39">
        <v>16.89</v>
      </c>
      <c r="F25" s="39">
        <f>C25*(E25-D25)</f>
        <v>26.999999999999957</v>
      </c>
      <c r="G25" s="39">
        <f>D25*C25</f>
        <v>5040</v>
      </c>
      <c r="H25" s="175">
        <f>(E25-D25)/D25</f>
        <v>5.3571428571428485E-3</v>
      </c>
      <c r="I25" s="39"/>
      <c r="J25" s="39"/>
      <c r="K25" s="39"/>
      <c r="L25" s="39"/>
      <c r="O25" s="78">
        <v>1.02</v>
      </c>
      <c r="P25" s="78">
        <f t="shared" si="0"/>
        <v>31.303800000000003</v>
      </c>
    </row>
    <row r="26" spans="1:16" x14ac:dyDescent="0.25">
      <c r="B26" s="161">
        <v>43417</v>
      </c>
      <c r="C26" s="10">
        <v>0</v>
      </c>
      <c r="D26" s="39">
        <v>16.8</v>
      </c>
      <c r="E26" s="39">
        <v>19.04</v>
      </c>
      <c r="F26" s="39">
        <f>C26*(E26-D26)</f>
        <v>0</v>
      </c>
      <c r="G26" s="39">
        <f>D26*C26</f>
        <v>0</v>
      </c>
      <c r="H26" s="175">
        <f>(E26-D26)/D26</f>
        <v>0.13333333333333325</v>
      </c>
      <c r="I26" s="39"/>
      <c r="J26" s="39">
        <v>863.92</v>
      </c>
      <c r="K26" s="39"/>
      <c r="L26" s="39"/>
      <c r="O26" s="78">
        <v>1.01</v>
      </c>
      <c r="P26" s="78">
        <f t="shared" si="0"/>
        <v>30.9969</v>
      </c>
    </row>
    <row r="27" spans="1:16" x14ac:dyDescent="0.25">
      <c r="B27" s="161"/>
      <c r="C27" s="10"/>
      <c r="D27" s="39"/>
      <c r="E27" s="39"/>
      <c r="F27" s="39"/>
      <c r="G27" s="39"/>
      <c r="H27" s="175"/>
      <c r="I27" s="39"/>
      <c r="J27" s="39"/>
      <c r="K27" s="39"/>
      <c r="L27" s="39"/>
      <c r="O27" s="78">
        <v>1</v>
      </c>
      <c r="P27" s="78">
        <f t="shared" si="0"/>
        <v>30.69</v>
      </c>
    </row>
    <row r="28" spans="1:16" x14ac:dyDescent="0.25">
      <c r="B28" s="161"/>
      <c r="C28" s="10"/>
      <c r="D28" s="39"/>
      <c r="E28" s="39"/>
      <c r="F28" s="39"/>
      <c r="G28" s="39"/>
      <c r="H28" s="175"/>
      <c r="I28" s="39"/>
      <c r="J28" s="39"/>
      <c r="K28" s="39"/>
      <c r="L28" s="39"/>
      <c r="O28" s="78">
        <v>0.99</v>
      </c>
      <c r="P28" s="78">
        <f t="shared" si="0"/>
        <v>30.383100000000002</v>
      </c>
    </row>
    <row r="29" spans="1:16" x14ac:dyDescent="0.25">
      <c r="B29" s="161"/>
      <c r="C29" s="10"/>
      <c r="D29" s="39"/>
      <c r="E29" s="39"/>
      <c r="F29" s="39"/>
      <c r="G29" s="39"/>
      <c r="H29" s="175"/>
      <c r="I29" s="39"/>
      <c r="J29" s="39"/>
      <c r="K29" s="39"/>
      <c r="L29" s="39"/>
      <c r="O29" s="78">
        <v>0.98</v>
      </c>
      <c r="P29" s="78">
        <f t="shared" si="0"/>
        <v>30.0762</v>
      </c>
    </row>
    <row r="30" spans="1:16" x14ac:dyDescent="0.25">
      <c r="B30" s="161"/>
      <c r="C30" s="10"/>
      <c r="D30" s="39"/>
      <c r="E30" s="39"/>
      <c r="F30" s="39"/>
      <c r="G30" s="39"/>
      <c r="H30" s="175"/>
      <c r="I30" s="39"/>
      <c r="J30" s="39"/>
      <c r="K30" s="39"/>
      <c r="L30" s="39"/>
      <c r="O30" s="78">
        <v>0.97</v>
      </c>
      <c r="P30" s="78">
        <f t="shared" si="0"/>
        <v>29.769300000000001</v>
      </c>
    </row>
    <row r="31" spans="1:16" x14ac:dyDescent="0.25">
      <c r="B31" s="161"/>
      <c r="C31" s="10"/>
      <c r="D31" s="39"/>
      <c r="E31" s="39"/>
      <c r="F31" s="39"/>
      <c r="G31" s="39"/>
      <c r="H31" s="175"/>
      <c r="I31" s="39"/>
      <c r="J31" s="39"/>
      <c r="K31" s="39"/>
      <c r="L31" s="39"/>
      <c r="O31" s="78">
        <v>0.96</v>
      </c>
      <c r="P31" s="78">
        <f t="shared" si="0"/>
        <v>29.462399999999999</v>
      </c>
    </row>
    <row r="32" spans="1:16" x14ac:dyDescent="0.25">
      <c r="B32" s="161"/>
      <c r="C32" s="10"/>
      <c r="D32" s="39"/>
      <c r="E32" s="39"/>
      <c r="F32" s="39"/>
      <c r="G32" s="39"/>
      <c r="H32" s="175"/>
      <c r="I32" s="39"/>
      <c r="J32" s="39"/>
      <c r="K32" s="39"/>
      <c r="L32" s="39"/>
      <c r="O32" s="78">
        <v>0.95</v>
      </c>
      <c r="P32" s="78">
        <f t="shared" si="0"/>
        <v>29.1555</v>
      </c>
    </row>
    <row r="33" spans="2:17" x14ac:dyDescent="0.25">
      <c r="B33" s="161"/>
      <c r="C33" s="10"/>
      <c r="D33" s="39"/>
      <c r="E33" s="39"/>
      <c r="F33" s="39"/>
      <c r="G33" s="39"/>
      <c r="H33" s="175"/>
      <c r="I33" s="39"/>
      <c r="J33" s="39"/>
      <c r="K33" s="39"/>
      <c r="L33" s="39"/>
      <c r="O33" s="78">
        <v>0.94</v>
      </c>
      <c r="P33" s="78">
        <f t="shared" si="0"/>
        <v>28.848600000000001</v>
      </c>
    </row>
    <row r="34" spans="2:17" x14ac:dyDescent="0.25">
      <c r="B34" s="161"/>
      <c r="C34" s="10"/>
      <c r="D34" s="39"/>
      <c r="E34" s="39"/>
      <c r="F34" s="39"/>
      <c r="G34" s="39"/>
      <c r="H34" s="175"/>
      <c r="I34" s="39"/>
      <c r="J34" s="39"/>
      <c r="K34" s="39"/>
      <c r="L34" s="39"/>
      <c r="O34" s="78">
        <v>0.93</v>
      </c>
      <c r="P34" s="78">
        <f t="shared" si="0"/>
        <v>28.541700000000002</v>
      </c>
    </row>
    <row r="35" spans="2:17" x14ac:dyDescent="0.25">
      <c r="B35" s="161"/>
      <c r="C35" s="10"/>
      <c r="D35" s="39"/>
      <c r="E35" s="39"/>
      <c r="F35" s="39"/>
      <c r="G35" s="39"/>
      <c r="H35" s="175"/>
      <c r="I35" s="39"/>
      <c r="J35" s="39"/>
      <c r="K35" s="39"/>
      <c r="L35" s="39"/>
      <c r="O35" s="78">
        <v>0.92</v>
      </c>
      <c r="P35" s="78">
        <f t="shared" si="0"/>
        <v>28.234800000000003</v>
      </c>
    </row>
    <row r="36" spans="2:17" x14ac:dyDescent="0.25">
      <c r="B36" s="161"/>
      <c r="C36" s="10"/>
      <c r="D36" s="39"/>
      <c r="E36" s="39"/>
      <c r="F36" s="39"/>
      <c r="G36" s="39"/>
      <c r="H36" s="175"/>
      <c r="I36" s="39"/>
      <c r="J36" s="39"/>
      <c r="K36" s="39"/>
      <c r="L36" s="39"/>
      <c r="O36" s="78">
        <v>0.91</v>
      </c>
      <c r="P36" s="78">
        <f t="shared" si="0"/>
        <v>27.927900000000001</v>
      </c>
    </row>
    <row r="37" spans="2:17" x14ac:dyDescent="0.25">
      <c r="B37" s="161"/>
      <c r="C37" s="10"/>
      <c r="D37" s="39"/>
      <c r="E37" s="39"/>
      <c r="F37" s="39"/>
      <c r="G37" s="39"/>
      <c r="H37" s="175"/>
      <c r="I37" s="39"/>
      <c r="J37" s="39"/>
      <c r="K37" s="39"/>
      <c r="L37" s="39"/>
      <c r="O37" s="78">
        <v>0.9</v>
      </c>
      <c r="P37" s="78">
        <f t="shared" si="0"/>
        <v>27.621000000000002</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1234</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413" priority="35">
      <formula>F47&gt;0</formula>
    </cfRule>
    <cfRule type="expression" dxfId="3412" priority="36">
      <formula>F47&lt;0</formula>
    </cfRule>
  </conditionalFormatting>
  <conditionalFormatting sqref="Q7">
    <cfRule type="expression" dxfId="3411" priority="33">
      <formula>Q7&gt;0</formula>
    </cfRule>
    <cfRule type="expression" dxfId="3410" priority="34">
      <formula>Q7&lt;0</formula>
    </cfRule>
  </conditionalFormatting>
  <conditionalFormatting sqref="Q8">
    <cfRule type="expression" dxfId="3409" priority="31">
      <formula>Q8&gt;0</formula>
    </cfRule>
    <cfRule type="expression" dxfId="3408" priority="32">
      <formula>Q8&lt;0</formula>
    </cfRule>
  </conditionalFormatting>
  <conditionalFormatting sqref="F30:F46">
    <cfRule type="expression" dxfId="3407" priority="29">
      <formula>F30&gt;0</formula>
    </cfRule>
    <cfRule type="expression" dxfId="3406" priority="30">
      <formula>F30&lt;0</formula>
    </cfRule>
  </conditionalFormatting>
  <conditionalFormatting sqref="H30:H46">
    <cfRule type="expression" dxfId="3405" priority="27">
      <formula>H30&gt;0</formula>
    </cfRule>
    <cfRule type="expression" dxfId="3404" priority="28">
      <formula>H30&lt;0</formula>
    </cfRule>
  </conditionalFormatting>
  <conditionalFormatting sqref="Q10">
    <cfRule type="expression" dxfId="3403" priority="25">
      <formula>Q10&gt;0</formula>
    </cfRule>
    <cfRule type="expression" dxfId="3402" priority="26">
      <formula>Q10&lt;0</formula>
    </cfRule>
  </conditionalFormatting>
  <conditionalFormatting sqref="J25:J38">
    <cfRule type="expression" dxfId="3401" priority="23">
      <formula>J25&gt;0</formula>
    </cfRule>
    <cfRule type="expression" dxfId="3400" priority="24">
      <formula>J25&lt;0</formula>
    </cfRule>
  </conditionalFormatting>
  <conditionalFormatting sqref="K25:K38">
    <cfRule type="expression" dxfId="3399" priority="21">
      <formula>K25&gt;0</formula>
    </cfRule>
    <cfRule type="expression" dxfId="3398" priority="22">
      <formula>K25&lt;0</formula>
    </cfRule>
  </conditionalFormatting>
  <conditionalFormatting sqref="L25 L38">
    <cfRule type="expression" dxfId="3397" priority="19">
      <formula>L25&gt;0</formula>
    </cfRule>
    <cfRule type="expression" dxfId="3396" priority="20">
      <formula>L25&lt;0</formula>
    </cfRule>
  </conditionalFormatting>
  <conditionalFormatting sqref="F89:F110">
    <cfRule type="expression" dxfId="3395" priority="17">
      <formula>F89&gt;0</formula>
    </cfRule>
    <cfRule type="expression" dxfId="3394" priority="18">
      <formula>F89&lt;0</formula>
    </cfRule>
  </conditionalFormatting>
  <conditionalFormatting sqref="H89:H110">
    <cfRule type="expression" dxfId="3393" priority="15">
      <formula>H89&gt;0</formula>
    </cfRule>
    <cfRule type="expression" dxfId="3392" priority="16">
      <formula>H89&lt;0</formula>
    </cfRule>
  </conditionalFormatting>
  <conditionalFormatting sqref="J89:J102">
    <cfRule type="expression" dxfId="3391" priority="13">
      <formula>J89&gt;0</formula>
    </cfRule>
    <cfRule type="expression" dxfId="3390" priority="14">
      <formula>J89&lt;0</formula>
    </cfRule>
  </conditionalFormatting>
  <conditionalFormatting sqref="K89:K102">
    <cfRule type="expression" dxfId="3389" priority="11">
      <formula>K89&gt;0</formula>
    </cfRule>
    <cfRule type="expression" dxfId="3388" priority="12">
      <formula>K89&lt;0</formula>
    </cfRule>
  </conditionalFormatting>
  <conditionalFormatting sqref="L89:L102">
    <cfRule type="expression" dxfId="3387" priority="9">
      <formula>L89&gt;0</formula>
    </cfRule>
    <cfRule type="expression" dxfId="3386" priority="10">
      <formula>L89&lt;0</formula>
    </cfRule>
  </conditionalFormatting>
  <conditionalFormatting sqref="F29 F25:F26">
    <cfRule type="expression" dxfId="3385" priority="7">
      <formula>F25&gt;0</formula>
    </cfRule>
    <cfRule type="expression" dxfId="3384" priority="8">
      <formula>F25&lt;0</formula>
    </cfRule>
  </conditionalFormatting>
  <conditionalFormatting sqref="H29 H25:H27">
    <cfRule type="expression" dxfId="3383" priority="5">
      <formula>H25&gt;0</formula>
    </cfRule>
    <cfRule type="expression" dxfId="3382" priority="6">
      <formula>H25&lt;0</formula>
    </cfRule>
  </conditionalFormatting>
  <conditionalFormatting sqref="F27:F28">
    <cfRule type="expression" dxfId="3381" priority="3">
      <formula>F27&gt;0</formula>
    </cfRule>
    <cfRule type="expression" dxfId="3380" priority="4">
      <formula>F27&lt;0</formula>
    </cfRule>
  </conditionalFormatting>
  <conditionalFormatting sqref="H28">
    <cfRule type="expression" dxfId="3379" priority="1">
      <formula>H28&gt;0</formula>
    </cfRule>
    <cfRule type="expression" dxfId="3378" priority="2">
      <formula>H28&lt;0</formula>
    </cfRule>
  </conditionalFormatting>
  <hyperlinks>
    <hyperlink ref="A3" location="ACTIVE!A1" display="Back"/>
  </hyperlinks>
  <pageMargins left="0.7" right="0.7" top="0.75" bottom="0.75" header="0.3" footer="0.3"/>
  <pageSetup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1263</v>
      </c>
      <c r="B2" s="360">
        <v>43424</v>
      </c>
      <c r="C2" s="7">
        <v>100</v>
      </c>
      <c r="D2" s="43">
        <v>25.91</v>
      </c>
      <c r="E2" s="43">
        <v>0</v>
      </c>
      <c r="F2" s="43">
        <f>C2*D2+E2</f>
        <v>2591</v>
      </c>
      <c r="G2" s="360">
        <v>43424</v>
      </c>
      <c r="H2" s="7">
        <v>100</v>
      </c>
      <c r="I2" s="43">
        <v>25.4</v>
      </c>
      <c r="J2" s="43">
        <v>0.03</v>
      </c>
      <c r="K2" s="43">
        <f>H2*I2-J2</f>
        <v>2539.9699999999998</v>
      </c>
      <c r="L2" s="69"/>
      <c r="M2" s="3"/>
      <c r="O2" s="11" t="s">
        <v>57</v>
      </c>
      <c r="Q2">
        <f>C18-H18</f>
        <v>0</v>
      </c>
      <c r="T2" s="1"/>
    </row>
    <row r="3" spans="1:21" x14ac:dyDescent="0.25">
      <c r="A3" s="22" t="s">
        <v>71</v>
      </c>
      <c r="B3" s="485">
        <v>43447</v>
      </c>
      <c r="C3" s="7">
        <v>100</v>
      </c>
      <c r="D3" s="43">
        <v>23.55</v>
      </c>
      <c r="E3" s="43">
        <v>0</v>
      </c>
      <c r="F3" s="43">
        <f>C3*D3+E3</f>
        <v>2355</v>
      </c>
      <c r="G3" s="360">
        <v>43496</v>
      </c>
      <c r="H3" s="77">
        <v>100</v>
      </c>
      <c r="I3" s="43">
        <v>30</v>
      </c>
      <c r="J3" s="43">
        <v>0.04</v>
      </c>
      <c r="K3" s="43">
        <f>H3*I3-J3</f>
        <v>2999.96</v>
      </c>
      <c r="L3" s="4"/>
      <c r="M3" s="4"/>
      <c r="O3" s="11" t="s">
        <v>58</v>
      </c>
      <c r="Q3" s="174">
        <f>IF(Q2=0, Q4, (F18-K18-M18)/Q2)</f>
        <v>35.64</v>
      </c>
      <c r="T3" s="1"/>
    </row>
    <row r="4" spans="1:21" x14ac:dyDescent="0.25">
      <c r="B4" s="69"/>
      <c r="C4" s="4"/>
      <c r="D4" s="3"/>
      <c r="E4" s="3"/>
      <c r="F4" s="3"/>
      <c r="G4" s="69"/>
      <c r="H4" s="158"/>
      <c r="I4" s="3"/>
      <c r="J4" s="3"/>
      <c r="K4" s="3"/>
      <c r="L4" s="4"/>
      <c r="M4" s="4"/>
      <c r="O4" s="11" t="s">
        <v>66</v>
      </c>
      <c r="Q4" s="53">
        <v>35.64</v>
      </c>
      <c r="R4" s="416">
        <v>-4.4000000000000003E-3</v>
      </c>
      <c r="T4" s="680"/>
      <c r="U4" s="30"/>
    </row>
    <row r="5" spans="1:21" x14ac:dyDescent="0.25">
      <c r="B5" s="69"/>
      <c r="C5" s="4"/>
      <c r="D5" s="3"/>
      <c r="E5" s="3"/>
      <c r="F5" s="3"/>
      <c r="G5" s="69"/>
      <c r="H5" s="158"/>
      <c r="I5" s="3"/>
      <c r="J5" s="3"/>
      <c r="K5" s="3"/>
      <c r="L5" s="4"/>
      <c r="M5" s="4"/>
      <c r="O5" s="11" t="s">
        <v>67</v>
      </c>
      <c r="Q5" s="3">
        <f>Q4*Q2</f>
        <v>0</v>
      </c>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69"/>
      <c r="H7" s="158"/>
      <c r="I7" s="3"/>
      <c r="J7" s="3"/>
      <c r="K7" s="3"/>
      <c r="L7" s="4"/>
      <c r="M7" s="4"/>
      <c r="O7" s="11" t="s">
        <v>175</v>
      </c>
      <c r="Q7" s="2">
        <f>Q10+Q8</f>
        <v>593.93000000000029</v>
      </c>
      <c r="R7">
        <v>0</v>
      </c>
      <c r="T7" s="1"/>
    </row>
    <row r="8" spans="1:21" x14ac:dyDescent="0.25">
      <c r="B8" s="69"/>
      <c r="C8" s="4"/>
      <c r="D8" s="3"/>
      <c r="E8" s="3"/>
      <c r="F8" s="3"/>
      <c r="G8" s="69"/>
      <c r="H8" s="158"/>
      <c r="I8" s="3"/>
      <c r="J8" s="3"/>
      <c r="K8" s="3"/>
      <c r="L8" s="4"/>
      <c r="M8" s="4"/>
      <c r="O8" s="11" t="s">
        <v>177</v>
      </c>
      <c r="P8" s="33"/>
      <c r="Q8" s="2">
        <f>K18+M18-F18+Q2*Q4</f>
        <v>593.93000000000029</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0</v>
      </c>
      <c r="R11">
        <v>0</v>
      </c>
    </row>
    <row r="12" spans="1:21" x14ac:dyDescent="0.25">
      <c r="H12" s="67"/>
      <c r="O12" s="11" t="s">
        <v>875</v>
      </c>
      <c r="Q12" s="1" t="s">
        <v>1303</v>
      </c>
    </row>
    <row r="13" spans="1:21" x14ac:dyDescent="0.25">
      <c r="H13" s="67"/>
      <c r="O13" s="11" t="s">
        <v>901</v>
      </c>
      <c r="Q13" s="2">
        <f>Q4/4.4</f>
        <v>8.1</v>
      </c>
      <c r="T13" s="1"/>
    </row>
    <row r="14" spans="1:21" x14ac:dyDescent="0.25">
      <c r="H14" s="67"/>
      <c r="O14" s="11" t="s">
        <v>988</v>
      </c>
      <c r="Q14" s="1"/>
    </row>
    <row r="15" spans="1:21" x14ac:dyDescent="0.25">
      <c r="H15" s="67"/>
    </row>
    <row r="16" spans="1:21" ht="20.25" thickBot="1" x14ac:dyDescent="0.35">
      <c r="H16" s="67"/>
      <c r="O16" s="886" t="s">
        <v>78</v>
      </c>
      <c r="P16" s="886"/>
    </row>
    <row r="17" spans="1:16" ht="15.75" thickTop="1" x14ac:dyDescent="0.25">
      <c r="O17" s="78">
        <v>1.1000000000000001</v>
      </c>
      <c r="P17" s="78">
        <f>O17*$Q$4</f>
        <v>39.204000000000001</v>
      </c>
    </row>
    <row r="18" spans="1:16" x14ac:dyDescent="0.25">
      <c r="A18" s="31" t="s">
        <v>81</v>
      </c>
      <c r="B18" s="14"/>
      <c r="C18" s="14">
        <f>SUM(C2:C9)</f>
        <v>200</v>
      </c>
      <c r="D18" s="18"/>
      <c r="E18" s="18"/>
      <c r="F18" s="18">
        <f>SUM(F2:F9)</f>
        <v>4946</v>
      </c>
      <c r="G18" s="14"/>
      <c r="H18" s="68">
        <f>SUM(H2:H8)</f>
        <v>200</v>
      </c>
      <c r="I18" s="18"/>
      <c r="J18" s="18"/>
      <c r="K18" s="18">
        <f>SUM(K2:K8)</f>
        <v>5539.93</v>
      </c>
      <c r="L18" s="14"/>
      <c r="M18" s="18">
        <f>SUM(M2:M10)</f>
        <v>0</v>
      </c>
      <c r="O18" s="78">
        <v>1.0900000000000001</v>
      </c>
      <c r="P18" s="78">
        <f t="shared" ref="P18:P37" si="0">O18*$Q$4</f>
        <v>38.847600000000007</v>
      </c>
    </row>
    <row r="19" spans="1:16" ht="15.75" thickBot="1" x14ac:dyDescent="0.3">
      <c r="A19" s="273" t="s">
        <v>189</v>
      </c>
      <c r="B19" s="274"/>
      <c r="C19" s="275">
        <f>SumByColor($A$19,C2:C17)</f>
        <v>200</v>
      </c>
      <c r="D19" s="275"/>
      <c r="E19" s="275"/>
      <c r="F19" s="276">
        <f>SumByColor($A$19,F2:F17)</f>
        <v>4946</v>
      </c>
      <c r="G19" s="275"/>
      <c r="H19" s="275">
        <f>SumByColor($A$19,H2:H17)</f>
        <v>200</v>
      </c>
      <c r="I19" s="275"/>
      <c r="J19" s="275"/>
      <c r="K19" s="276">
        <f>SumByColor($A$19,K2:K17)</f>
        <v>5540</v>
      </c>
      <c r="L19" s="275"/>
      <c r="M19" s="276">
        <f>SumByColor($A$19,M2:M17)</f>
        <v>0</v>
      </c>
      <c r="O19" s="78">
        <v>1.08</v>
      </c>
      <c r="P19" s="78">
        <f t="shared" si="0"/>
        <v>38.491200000000006</v>
      </c>
    </row>
    <row r="20" spans="1:16" x14ac:dyDescent="0.25">
      <c r="O20" s="78">
        <v>1.07</v>
      </c>
      <c r="P20" s="78">
        <f t="shared" si="0"/>
        <v>38.134800000000006</v>
      </c>
    </row>
    <row r="21" spans="1:16" x14ac:dyDescent="0.25">
      <c r="O21" s="78">
        <v>1.06</v>
      </c>
      <c r="P21" s="78">
        <f t="shared" si="0"/>
        <v>37.778400000000005</v>
      </c>
    </row>
    <row r="22" spans="1:16" x14ac:dyDescent="0.25">
      <c r="O22" s="78">
        <v>1.05</v>
      </c>
      <c r="P22" s="78">
        <f t="shared" si="0"/>
        <v>37.422000000000004</v>
      </c>
    </row>
    <row r="23" spans="1:16" x14ac:dyDescent="0.25">
      <c r="O23" s="78">
        <v>1.04</v>
      </c>
      <c r="P23" s="78">
        <f t="shared" si="0"/>
        <v>37.065600000000003</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36.709200000000003</v>
      </c>
    </row>
    <row r="25" spans="1:16" x14ac:dyDescent="0.25">
      <c r="B25" s="161">
        <v>43427</v>
      </c>
      <c r="C25" s="10">
        <v>100</v>
      </c>
      <c r="D25" s="39">
        <v>25.91</v>
      </c>
      <c r="E25" s="39">
        <v>26.69</v>
      </c>
      <c r="F25" s="39">
        <f>C25*(E25-D25)</f>
        <v>78.000000000000114</v>
      </c>
      <c r="G25" s="39">
        <f>D25*C25</f>
        <v>2591</v>
      </c>
      <c r="H25" s="175">
        <f>(E25-D25)/D25</f>
        <v>3.0104206869934431E-2</v>
      </c>
      <c r="I25" s="39"/>
      <c r="J25" s="39"/>
      <c r="K25" s="39"/>
      <c r="L25" s="39"/>
      <c r="O25" s="78">
        <v>1.02</v>
      </c>
      <c r="P25" s="78">
        <f t="shared" si="0"/>
        <v>36.352800000000002</v>
      </c>
    </row>
    <row r="26" spans="1:16" x14ac:dyDescent="0.25">
      <c r="B26" s="161">
        <v>43430</v>
      </c>
      <c r="C26" s="10">
        <v>100</v>
      </c>
      <c r="D26" s="39">
        <v>25.91</v>
      </c>
      <c r="E26" s="39">
        <v>27</v>
      </c>
      <c r="F26" s="39">
        <f>C26*(E26-D26)</f>
        <v>108.99999999999999</v>
      </c>
      <c r="G26" s="39">
        <f>D26*C26</f>
        <v>2591</v>
      </c>
      <c r="H26" s="175">
        <f>(E26-D26)/D26</f>
        <v>4.2068699343882666E-2</v>
      </c>
      <c r="I26" s="39"/>
      <c r="J26" s="39"/>
      <c r="K26" s="39"/>
      <c r="L26" s="39"/>
      <c r="O26" s="78">
        <v>1.01</v>
      </c>
      <c r="P26" s="78">
        <f t="shared" si="0"/>
        <v>35.996400000000001</v>
      </c>
    </row>
    <row r="27" spans="1:16" x14ac:dyDescent="0.25">
      <c r="B27" s="161">
        <v>43447</v>
      </c>
      <c r="C27" s="10">
        <v>200</v>
      </c>
      <c r="D27" s="39">
        <v>24.73</v>
      </c>
      <c r="E27" s="39">
        <v>23.51</v>
      </c>
      <c r="F27" s="39">
        <f>C27*(E27-D27)</f>
        <v>-243.99999999999977</v>
      </c>
      <c r="G27" s="39">
        <f>D27*C27</f>
        <v>4946</v>
      </c>
      <c r="H27" s="175">
        <f>(E27-D27)/D27</f>
        <v>-4.9332794177112768E-2</v>
      </c>
      <c r="I27" s="39"/>
      <c r="J27" s="39"/>
      <c r="K27" s="39"/>
      <c r="L27" s="39"/>
      <c r="O27" s="78">
        <v>1</v>
      </c>
      <c r="P27" s="78">
        <f t="shared" si="0"/>
        <v>35.64</v>
      </c>
    </row>
    <row r="28" spans="1:16" x14ac:dyDescent="0.25">
      <c r="B28" s="161">
        <v>43476</v>
      </c>
      <c r="C28" s="10">
        <v>100</v>
      </c>
      <c r="D28" s="39">
        <v>24.060300000000002</v>
      </c>
      <c r="E28" s="39">
        <v>25.27</v>
      </c>
      <c r="F28" s="39">
        <f>C28*(E28-D28)</f>
        <v>120.9699999999998</v>
      </c>
      <c r="G28" s="39">
        <f>D28*C28</f>
        <v>2406.0300000000002</v>
      </c>
      <c r="H28" s="175">
        <f>(E28-D28)/D28</f>
        <v>5.0277843584660122E-2</v>
      </c>
      <c r="I28" s="39"/>
      <c r="J28" s="39"/>
      <c r="K28" s="39"/>
      <c r="L28" s="39"/>
      <c r="O28" s="78">
        <v>0.99</v>
      </c>
      <c r="P28" s="78">
        <f t="shared" si="0"/>
        <v>35.2836</v>
      </c>
    </row>
    <row r="29" spans="1:16" x14ac:dyDescent="0.25">
      <c r="B29" s="161">
        <v>43496</v>
      </c>
      <c r="C29" s="10">
        <v>0</v>
      </c>
      <c r="D29" s="39"/>
      <c r="E29" s="39">
        <v>27.17</v>
      </c>
      <c r="F29" s="39"/>
      <c r="G29" s="39"/>
      <c r="H29" s="175"/>
      <c r="I29" s="39"/>
      <c r="J29" s="760">
        <v>593.92999999999995</v>
      </c>
      <c r="K29" s="39"/>
      <c r="L29" s="39"/>
      <c r="O29" s="78">
        <v>0.98</v>
      </c>
      <c r="P29" s="78">
        <f t="shared" si="0"/>
        <v>34.927199999999999</v>
      </c>
    </row>
    <row r="30" spans="1:16" x14ac:dyDescent="0.25">
      <c r="B30" s="161"/>
      <c r="C30" s="10"/>
      <c r="D30" s="39"/>
      <c r="E30" s="39"/>
      <c r="F30" s="39"/>
      <c r="G30" s="39"/>
      <c r="H30" s="175"/>
      <c r="I30" s="39"/>
      <c r="J30" s="39"/>
      <c r="K30" s="39"/>
      <c r="L30" s="39"/>
      <c r="O30" s="78">
        <v>0.97</v>
      </c>
      <c r="P30" s="78">
        <f t="shared" si="0"/>
        <v>34.570799999999998</v>
      </c>
    </row>
    <row r="31" spans="1:16" x14ac:dyDescent="0.25">
      <c r="B31" s="161"/>
      <c r="C31" s="10"/>
      <c r="D31" s="39"/>
      <c r="E31" s="39"/>
      <c r="F31" s="39"/>
      <c r="G31" s="39"/>
      <c r="H31" s="175"/>
      <c r="I31" s="39"/>
      <c r="J31" s="39"/>
      <c r="K31" s="39"/>
      <c r="L31" s="39"/>
      <c r="O31" s="78">
        <v>0.96</v>
      </c>
      <c r="P31" s="78">
        <f t="shared" si="0"/>
        <v>34.214399999999998</v>
      </c>
    </row>
    <row r="32" spans="1:16" x14ac:dyDescent="0.25">
      <c r="B32" s="161"/>
      <c r="C32" s="10"/>
      <c r="D32" s="39"/>
      <c r="E32" s="39"/>
      <c r="F32" s="39"/>
      <c r="G32" s="39"/>
      <c r="H32" s="175"/>
      <c r="I32" s="39"/>
      <c r="J32" s="39"/>
      <c r="K32" s="39"/>
      <c r="L32" s="39"/>
      <c r="O32" s="78">
        <v>0.95</v>
      </c>
      <c r="P32" s="78">
        <f t="shared" si="0"/>
        <v>33.857999999999997</v>
      </c>
    </row>
    <row r="33" spans="2:17" x14ac:dyDescent="0.25">
      <c r="B33" s="161"/>
      <c r="C33" s="10"/>
      <c r="D33" s="39"/>
      <c r="E33" s="39"/>
      <c r="F33" s="39"/>
      <c r="G33" s="39"/>
      <c r="H33" s="175"/>
      <c r="I33" s="39"/>
      <c r="J33" s="39"/>
      <c r="K33" s="39"/>
      <c r="L33" s="39"/>
      <c r="O33" s="78">
        <v>0.94</v>
      </c>
      <c r="P33" s="78">
        <f t="shared" si="0"/>
        <v>33.501599999999996</v>
      </c>
    </row>
    <row r="34" spans="2:17" x14ac:dyDescent="0.25">
      <c r="B34" s="161"/>
      <c r="C34" s="10"/>
      <c r="D34" s="39"/>
      <c r="E34" s="39"/>
      <c r="F34" s="39"/>
      <c r="G34" s="39"/>
      <c r="H34" s="175"/>
      <c r="I34" s="39"/>
      <c r="J34" s="39"/>
      <c r="K34" s="39"/>
      <c r="L34" s="39"/>
      <c r="O34" s="78">
        <v>0.93</v>
      </c>
      <c r="P34" s="78">
        <f t="shared" si="0"/>
        <v>33.145200000000003</v>
      </c>
    </row>
    <row r="35" spans="2:17" x14ac:dyDescent="0.25">
      <c r="B35" s="161"/>
      <c r="C35" s="10"/>
      <c r="D35" s="39"/>
      <c r="E35" s="39"/>
      <c r="F35" s="39"/>
      <c r="G35" s="39"/>
      <c r="H35" s="175"/>
      <c r="I35" s="39"/>
      <c r="J35" s="39"/>
      <c r="K35" s="39"/>
      <c r="L35" s="39"/>
      <c r="O35" s="78">
        <v>0.92</v>
      </c>
      <c r="P35" s="78">
        <f t="shared" si="0"/>
        <v>32.788800000000002</v>
      </c>
    </row>
    <row r="36" spans="2:17" x14ac:dyDescent="0.25">
      <c r="B36" s="161"/>
      <c r="C36" s="10"/>
      <c r="D36" s="39"/>
      <c r="E36" s="39"/>
      <c r="F36" s="39"/>
      <c r="G36" s="39"/>
      <c r="H36" s="175"/>
      <c r="I36" s="39"/>
      <c r="J36" s="39"/>
      <c r="K36" s="39"/>
      <c r="L36" s="39"/>
      <c r="O36" s="78">
        <v>0.91</v>
      </c>
      <c r="P36" s="78">
        <f t="shared" si="0"/>
        <v>32.432400000000001</v>
      </c>
    </row>
    <row r="37" spans="2:17" x14ac:dyDescent="0.25">
      <c r="B37" s="161"/>
      <c r="C37" s="10"/>
      <c r="D37" s="39"/>
      <c r="E37" s="39"/>
      <c r="F37" s="39"/>
      <c r="G37" s="39"/>
      <c r="H37" s="175"/>
      <c r="I37" s="39"/>
      <c r="J37" s="39"/>
      <c r="K37" s="39"/>
      <c r="L37" s="39"/>
      <c r="O37" s="78">
        <v>0.9</v>
      </c>
      <c r="P37" s="78">
        <f t="shared" si="0"/>
        <v>32.076000000000001</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760"/>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60"/>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1263</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377" priority="43">
      <formula>F54&gt;0</formula>
    </cfRule>
    <cfRule type="expression" dxfId="3376" priority="44">
      <formula>F54&lt;0</formula>
    </cfRule>
  </conditionalFormatting>
  <conditionalFormatting sqref="Q7">
    <cfRule type="expression" dxfId="3375" priority="41">
      <formula>Q7&gt;0</formula>
    </cfRule>
    <cfRule type="expression" dxfId="3374" priority="42">
      <formula>Q7&lt;0</formula>
    </cfRule>
  </conditionalFormatting>
  <conditionalFormatting sqref="Q8">
    <cfRule type="expression" dxfId="3373" priority="39">
      <formula>Q8&gt;0</formula>
    </cfRule>
    <cfRule type="expression" dxfId="3372" priority="40">
      <formula>Q8&lt;0</formula>
    </cfRule>
  </conditionalFormatting>
  <conditionalFormatting sqref="F33:F36 F38:F53">
    <cfRule type="expression" dxfId="3371" priority="37">
      <formula>F33&gt;0</formula>
    </cfRule>
    <cfRule type="expression" dxfId="3370" priority="38">
      <formula>F33&lt;0</formula>
    </cfRule>
  </conditionalFormatting>
  <conditionalFormatting sqref="H33:H36 H38:H53">
    <cfRule type="expression" dxfId="3369" priority="35">
      <formula>H33&gt;0</formula>
    </cfRule>
    <cfRule type="expression" dxfId="3368" priority="36">
      <formula>H33&lt;0</formula>
    </cfRule>
  </conditionalFormatting>
  <conditionalFormatting sqref="Q10">
    <cfRule type="expression" dxfId="3367" priority="33">
      <formula>Q10&gt;0</formula>
    </cfRule>
    <cfRule type="expression" dxfId="3366" priority="34">
      <formula>Q10&lt;0</formula>
    </cfRule>
  </conditionalFormatting>
  <conditionalFormatting sqref="J25:J37">
    <cfRule type="expression" dxfId="3365" priority="31">
      <formula>J25&gt;0</formula>
    </cfRule>
    <cfRule type="expression" dxfId="3364" priority="32">
      <formula>J25&lt;0</formula>
    </cfRule>
  </conditionalFormatting>
  <conditionalFormatting sqref="K25:K38">
    <cfRule type="expression" dxfId="3363" priority="29">
      <formula>K25&gt;0</formula>
    </cfRule>
    <cfRule type="expression" dxfId="3362" priority="30">
      <formula>K25&lt;0</formula>
    </cfRule>
  </conditionalFormatting>
  <conditionalFormatting sqref="L25">
    <cfRule type="expression" dxfId="3361" priority="27">
      <formula>L25&gt;0</formula>
    </cfRule>
    <cfRule type="expression" dxfId="3360" priority="28">
      <formula>L25&lt;0</formula>
    </cfRule>
  </conditionalFormatting>
  <conditionalFormatting sqref="F89:F110">
    <cfRule type="expression" dxfId="3359" priority="25">
      <formula>F89&gt;0</formula>
    </cfRule>
    <cfRule type="expression" dxfId="3358" priority="26">
      <formula>F89&lt;0</formula>
    </cfRule>
  </conditionalFormatting>
  <conditionalFormatting sqref="H89:H110">
    <cfRule type="expression" dxfId="3357" priority="23">
      <formula>H89&gt;0</formula>
    </cfRule>
    <cfRule type="expression" dxfId="3356" priority="24">
      <formula>H89&lt;0</formula>
    </cfRule>
  </conditionalFormatting>
  <conditionalFormatting sqref="J89:J102">
    <cfRule type="expression" dxfId="3355" priority="21">
      <formula>J89&gt;0</formula>
    </cfRule>
    <cfRule type="expression" dxfId="3354" priority="22">
      <formula>J89&lt;0</formula>
    </cfRule>
  </conditionalFormatting>
  <conditionalFormatting sqref="K89:K102">
    <cfRule type="expression" dxfId="3353" priority="19">
      <formula>K89&gt;0</formula>
    </cfRule>
    <cfRule type="expression" dxfId="3352" priority="20">
      <formula>K89&lt;0</formula>
    </cfRule>
  </conditionalFormatting>
  <conditionalFormatting sqref="L89:L102">
    <cfRule type="expression" dxfId="3351" priority="17">
      <formula>L89&gt;0</formula>
    </cfRule>
    <cfRule type="expression" dxfId="3350" priority="18">
      <formula>L89&lt;0</formula>
    </cfRule>
  </conditionalFormatting>
  <conditionalFormatting sqref="F29:F32">
    <cfRule type="expression" dxfId="3349" priority="15">
      <formula>F29&gt;0</formula>
    </cfRule>
    <cfRule type="expression" dxfId="3348" priority="16">
      <formula>F29&lt;0</formula>
    </cfRule>
  </conditionalFormatting>
  <conditionalFormatting sqref="H29:H32">
    <cfRule type="expression" dxfId="3347" priority="13">
      <formula>H29&gt;0</formula>
    </cfRule>
    <cfRule type="expression" dxfId="3346" priority="14">
      <formula>H29&lt;0</formula>
    </cfRule>
  </conditionalFormatting>
  <conditionalFormatting sqref="F25:F28">
    <cfRule type="expression" dxfId="3345" priority="11">
      <formula>F25&gt;0</formula>
    </cfRule>
    <cfRule type="expression" dxfId="3344" priority="12">
      <formula>F25&lt;0</formula>
    </cfRule>
  </conditionalFormatting>
  <conditionalFormatting sqref="H25:H28">
    <cfRule type="expression" dxfId="3343" priority="9">
      <formula>H25&gt;0</formula>
    </cfRule>
    <cfRule type="expression" dxfId="3342" priority="10">
      <formula>H25&lt;0</formula>
    </cfRule>
  </conditionalFormatting>
  <conditionalFormatting sqref="F37">
    <cfRule type="expression" dxfId="3341" priority="7">
      <formula>F37&gt;0</formula>
    </cfRule>
    <cfRule type="expression" dxfId="3340" priority="8">
      <formula>F37&lt;0</formula>
    </cfRule>
  </conditionalFormatting>
  <conditionalFormatting sqref="H37">
    <cfRule type="expression" dxfId="3339" priority="5">
      <formula>H37&gt;0</formula>
    </cfRule>
    <cfRule type="expression" dxfId="3338" priority="6">
      <formula>H37&lt;0</formula>
    </cfRule>
  </conditionalFormatting>
  <conditionalFormatting sqref="J49">
    <cfRule type="expression" dxfId="3337" priority="3">
      <formula>J49&gt;0</formula>
    </cfRule>
    <cfRule type="expression" dxfId="3336" priority="4">
      <formula>J49&lt;0</formula>
    </cfRule>
  </conditionalFormatting>
  <conditionalFormatting sqref="J38:J48">
    <cfRule type="expression" dxfId="3335" priority="1">
      <formula>J38&gt;0</formula>
    </cfRule>
    <cfRule type="expression" dxfId="3334" priority="2">
      <formula>J38&lt;0</formula>
    </cfRule>
  </conditionalFormatting>
  <hyperlinks>
    <hyperlink ref="A3" location="ACTIVE!A1" display="Back"/>
  </hyperlinks>
  <pageMargins left="0.7" right="0.7" top="0.75" bottom="0.75" header="0.3" footer="0.3"/>
  <pageSetup orientation="portrait"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5"/>
  <dimension ref="A1:U98"/>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0.7109375" bestFit="1" customWidth="1"/>
    <col min="4" max="6" width="9.140625" style="2"/>
    <col min="7" max="7" width="9.7109375" bestFit="1" customWidth="1"/>
    <col min="8" max="8" width="11.5703125" bestFit="1" customWidth="1"/>
    <col min="9" max="11" width="9.140625" style="2"/>
    <col min="15" max="15" width="13.7109375" bestFit="1" customWidth="1"/>
    <col min="17" max="17" width="12"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1347</v>
      </c>
      <c r="B2" s="397">
        <v>43377</v>
      </c>
      <c r="C2" s="4">
        <v>100</v>
      </c>
      <c r="D2" s="3">
        <v>63.5</v>
      </c>
      <c r="E2" s="3">
        <v>0</v>
      </c>
      <c r="F2" s="3">
        <f t="shared" ref="F2:F8" si="0">C2*D2+E2</f>
        <v>6350</v>
      </c>
      <c r="G2" s="397">
        <v>43622</v>
      </c>
      <c r="H2" s="158">
        <v>200</v>
      </c>
      <c r="I2" s="3">
        <v>38.89</v>
      </c>
      <c r="J2" s="3">
        <v>1.65</v>
      </c>
      <c r="K2" s="3">
        <f>H2*I2-J2</f>
        <v>7776.35</v>
      </c>
      <c r="L2" s="69">
        <v>43448</v>
      </c>
      <c r="M2" s="43">
        <v>38</v>
      </c>
      <c r="O2" s="11" t="s">
        <v>57</v>
      </c>
      <c r="Q2">
        <f>C18-H18</f>
        <v>100</v>
      </c>
      <c r="T2" s="1"/>
      <c r="U2" t="s">
        <v>1313</v>
      </c>
    </row>
    <row r="3" spans="1:21" x14ac:dyDescent="0.25">
      <c r="A3" s="22" t="s">
        <v>71</v>
      </c>
      <c r="B3" s="397">
        <v>43440</v>
      </c>
      <c r="C3" s="4">
        <v>100</v>
      </c>
      <c r="D3" s="3">
        <v>53.8</v>
      </c>
      <c r="E3" s="3">
        <v>0</v>
      </c>
      <c r="F3" s="3">
        <f t="shared" si="0"/>
        <v>5380</v>
      </c>
      <c r="G3" s="397">
        <v>43662</v>
      </c>
      <c r="H3" s="77">
        <v>34</v>
      </c>
      <c r="I3" s="43">
        <v>73.5</v>
      </c>
      <c r="J3" s="43">
        <v>0.05</v>
      </c>
      <c r="K3" s="43">
        <f>H3*I3-J3</f>
        <v>2498.9499999999998</v>
      </c>
      <c r="L3" s="69">
        <v>43539</v>
      </c>
      <c r="M3" s="43">
        <v>76</v>
      </c>
      <c r="O3" s="11" t="s">
        <v>58</v>
      </c>
      <c r="Q3" s="174">
        <f>IF(Q2=0, Q4, (F18-K18-M18)/Q2)</f>
        <v>77.882700000000014</v>
      </c>
      <c r="T3" s="1"/>
    </row>
    <row r="4" spans="1:21" x14ac:dyDescent="0.25">
      <c r="B4" s="397">
        <v>43622</v>
      </c>
      <c r="C4" s="4">
        <v>34</v>
      </c>
      <c r="D4" s="3">
        <v>87.19</v>
      </c>
      <c r="E4" s="3">
        <v>0</v>
      </c>
      <c r="F4" s="3">
        <f t="shared" si="0"/>
        <v>2964.46</v>
      </c>
      <c r="G4" s="397">
        <v>43718</v>
      </c>
      <c r="H4" s="77">
        <v>34</v>
      </c>
      <c r="I4" s="43">
        <v>71.7</v>
      </c>
      <c r="J4" s="43">
        <v>0.05</v>
      </c>
      <c r="K4" s="43">
        <f>H4*I4-J4</f>
        <v>2437.75</v>
      </c>
      <c r="L4" s="69">
        <v>43558</v>
      </c>
      <c r="M4" s="7">
        <v>3770.58</v>
      </c>
      <c r="N4" t="s">
        <v>1336</v>
      </c>
      <c r="O4" s="11" t="s">
        <v>66</v>
      </c>
      <c r="Q4" s="53">
        <v>64.040000000000006</v>
      </c>
      <c r="R4" s="416">
        <v>4.8999999999999998E-3</v>
      </c>
      <c r="T4" s="1"/>
    </row>
    <row r="5" spans="1:21" x14ac:dyDescent="0.25">
      <c r="B5" s="398">
        <v>43622</v>
      </c>
      <c r="C5" s="4">
        <v>32</v>
      </c>
      <c r="D5" s="3">
        <v>87.19</v>
      </c>
      <c r="E5" s="3">
        <v>0</v>
      </c>
      <c r="F5" s="3">
        <f t="shared" si="0"/>
        <v>2790.08</v>
      </c>
      <c r="G5" s="398"/>
      <c r="H5" s="158"/>
      <c r="I5" s="3"/>
      <c r="J5" s="3"/>
      <c r="K5" s="3"/>
      <c r="L5" s="69">
        <v>43563</v>
      </c>
      <c r="M5" s="7">
        <v>37.840000000000003</v>
      </c>
      <c r="N5" t="s">
        <v>1337</v>
      </c>
      <c r="O5" s="11" t="s">
        <v>67</v>
      </c>
      <c r="Q5" s="3">
        <f>Q4*Q2</f>
        <v>6404.0000000000009</v>
      </c>
      <c r="T5" s="680"/>
      <c r="U5" s="30"/>
    </row>
    <row r="6" spans="1:21" x14ac:dyDescent="0.25">
      <c r="B6" s="397">
        <v>43655</v>
      </c>
      <c r="C6" s="7">
        <v>34</v>
      </c>
      <c r="D6" s="43">
        <v>70</v>
      </c>
      <c r="E6" s="43">
        <v>0</v>
      </c>
      <c r="F6" s="43">
        <f t="shared" si="0"/>
        <v>2380</v>
      </c>
      <c r="G6" s="398"/>
      <c r="H6" s="158"/>
      <c r="I6" s="3"/>
      <c r="J6" s="3"/>
      <c r="K6" s="3"/>
      <c r="L6" s="69">
        <v>43613</v>
      </c>
      <c r="M6" s="43">
        <v>28</v>
      </c>
      <c r="O6" s="11" t="s">
        <v>64</v>
      </c>
      <c r="Q6" s="2">
        <f>Q3*Q2</f>
        <v>7788.2700000000013</v>
      </c>
      <c r="U6" s="396"/>
    </row>
    <row r="7" spans="1:21" x14ac:dyDescent="0.25">
      <c r="B7" s="398">
        <v>43679</v>
      </c>
      <c r="C7" s="7">
        <v>34</v>
      </c>
      <c r="D7" s="43">
        <v>68.7</v>
      </c>
      <c r="E7" s="43">
        <v>0</v>
      </c>
      <c r="F7" s="43">
        <f t="shared" si="0"/>
        <v>2335.8000000000002</v>
      </c>
      <c r="G7" s="398"/>
      <c r="H7" s="158"/>
      <c r="I7" s="3"/>
      <c r="J7" s="3"/>
      <c r="K7" s="3"/>
      <c r="L7" s="69">
        <v>43722</v>
      </c>
      <c r="M7" s="43">
        <v>19.8</v>
      </c>
      <c r="O7" s="11" t="s">
        <v>175</v>
      </c>
      <c r="Q7" s="2">
        <f>Q10+Q8</f>
        <v>-1384.2699999999995</v>
      </c>
      <c r="R7">
        <v>100</v>
      </c>
    </row>
    <row r="8" spans="1:21" x14ac:dyDescent="0.25">
      <c r="B8" s="398">
        <v>43745</v>
      </c>
      <c r="C8" s="4">
        <v>34</v>
      </c>
      <c r="D8" s="3">
        <v>66.8</v>
      </c>
      <c r="E8" s="3">
        <v>0</v>
      </c>
      <c r="F8" s="3">
        <f t="shared" si="0"/>
        <v>2271.1999999999998</v>
      </c>
      <c r="G8" s="398"/>
      <c r="H8" s="158"/>
      <c r="I8" s="3"/>
      <c r="J8" s="3"/>
      <c r="K8" s="3"/>
      <c r="L8" s="4"/>
      <c r="M8" s="4"/>
      <c r="O8" s="11" t="s">
        <v>177</v>
      </c>
      <c r="P8" s="33"/>
      <c r="Q8" s="2">
        <f>K18+M18-F18+Q2*Q4</f>
        <v>-1384.2699999999995</v>
      </c>
      <c r="T8" s="1"/>
      <c r="U8" s="728"/>
    </row>
    <row r="9" spans="1:21" x14ac:dyDescent="0.25">
      <c r="B9" s="398"/>
      <c r="C9" s="4"/>
      <c r="D9" s="3"/>
      <c r="E9" s="3"/>
      <c r="F9" s="3"/>
      <c r="G9" s="398"/>
      <c r="H9" s="158"/>
      <c r="I9" s="3"/>
      <c r="J9" s="3"/>
      <c r="K9" s="3"/>
      <c r="L9" s="4"/>
      <c r="M9" s="4"/>
      <c r="O9" s="11" t="s">
        <v>202</v>
      </c>
      <c r="Q9" s="131">
        <f>IF(Q2=0, 0, Q8/Q6)</f>
        <v>-0.17773780313214607</v>
      </c>
    </row>
    <row r="10" spans="1:21" x14ac:dyDescent="0.25">
      <c r="B10" s="398"/>
      <c r="C10" s="4"/>
      <c r="D10" s="3"/>
      <c r="E10" s="3"/>
      <c r="F10" s="3"/>
      <c r="G10" s="398"/>
      <c r="H10" s="158"/>
      <c r="I10" s="3"/>
      <c r="J10" s="3"/>
      <c r="K10" s="3"/>
      <c r="L10" s="4"/>
      <c r="M10" s="4"/>
      <c r="O10" s="11" t="s">
        <v>201</v>
      </c>
      <c r="P10" s="33"/>
      <c r="Q10" s="2">
        <f>M54</f>
        <v>0</v>
      </c>
      <c r="T10" s="153"/>
    </row>
    <row r="11" spans="1:21" x14ac:dyDescent="0.25">
      <c r="B11" s="398"/>
      <c r="C11" s="4"/>
      <c r="D11" s="3"/>
      <c r="E11" s="3"/>
      <c r="F11" s="3"/>
      <c r="G11" s="398"/>
      <c r="H11" s="158"/>
      <c r="I11" s="3"/>
      <c r="J11" s="3"/>
      <c r="K11" s="3"/>
      <c r="L11" s="4"/>
      <c r="M11" s="4"/>
      <c r="O11" s="11" t="s">
        <v>173</v>
      </c>
      <c r="P11" s="33"/>
      <c r="Q11" s="131">
        <f>R11*4/Q4</f>
        <v>0</v>
      </c>
    </row>
    <row r="12" spans="1:21" x14ac:dyDescent="0.25">
      <c r="B12" s="398"/>
      <c r="C12" s="4"/>
      <c r="D12" s="3"/>
      <c r="E12" s="3"/>
      <c r="F12" s="3"/>
      <c r="G12" s="398"/>
      <c r="H12" s="158"/>
      <c r="I12" s="3"/>
      <c r="J12" s="3"/>
      <c r="K12" s="3"/>
      <c r="L12" s="4"/>
      <c r="M12" s="4"/>
      <c r="O12" s="11" t="s">
        <v>875</v>
      </c>
      <c r="Q12" s="1"/>
      <c r="T12" s="1"/>
    </row>
    <row r="13" spans="1:21" x14ac:dyDescent="0.25">
      <c r="B13" s="398"/>
      <c r="C13" s="4"/>
      <c r="D13" s="3"/>
      <c r="E13" s="3"/>
      <c r="F13" s="3"/>
      <c r="G13" s="398"/>
      <c r="H13" s="158"/>
      <c r="I13" s="3"/>
      <c r="J13" s="3"/>
      <c r="K13" s="3"/>
      <c r="L13" s="4"/>
      <c r="M13" s="4"/>
      <c r="O13" s="11" t="s">
        <v>901</v>
      </c>
      <c r="Q13" s="2"/>
    </row>
    <row r="14" spans="1:21" x14ac:dyDescent="0.25">
      <c r="B14" s="29"/>
      <c r="G14" s="29"/>
      <c r="H14" s="67"/>
      <c r="O14" s="11" t="s">
        <v>988</v>
      </c>
      <c r="Q14" s="1">
        <v>43436</v>
      </c>
      <c r="T14" s="1"/>
    </row>
    <row r="15" spans="1:21" x14ac:dyDescent="0.25">
      <c r="B15" s="29"/>
      <c r="G15" s="29"/>
      <c r="H15" s="67"/>
    </row>
    <row r="16" spans="1:21" x14ac:dyDescent="0.25">
      <c r="B16" s="29"/>
      <c r="G16" s="29"/>
      <c r="H16" s="67"/>
      <c r="T16" s="1"/>
    </row>
    <row r="17" spans="1:20" x14ac:dyDescent="0.25">
      <c r="B17" s="29"/>
      <c r="G17" s="29"/>
    </row>
    <row r="18" spans="1:20" ht="20.25" thickBot="1" x14ac:dyDescent="0.35">
      <c r="A18" s="31" t="s">
        <v>81</v>
      </c>
      <c r="B18" s="14"/>
      <c r="C18" s="14">
        <f>SUM(C2:C12)</f>
        <v>368</v>
      </c>
      <c r="D18" s="18"/>
      <c r="E18" s="18"/>
      <c r="F18" s="18">
        <f>SUM(F2:F12)</f>
        <v>24471.54</v>
      </c>
      <c r="G18" s="14"/>
      <c r="H18" s="68">
        <f>SUM(H2:H8)</f>
        <v>268</v>
      </c>
      <c r="I18" s="18"/>
      <c r="J18" s="18"/>
      <c r="K18" s="18">
        <f>SUM(K2:K8)</f>
        <v>12713.05</v>
      </c>
      <c r="L18" s="14"/>
      <c r="M18" s="18">
        <f>SUM(M2:M10)</f>
        <v>3970.2200000000003</v>
      </c>
      <c r="O18" s="764" t="s">
        <v>78</v>
      </c>
      <c r="P18" s="764"/>
      <c r="T18" s="1"/>
    </row>
    <row r="19" spans="1:20" ht="16.5" thickTop="1" thickBot="1" x14ac:dyDescent="0.3">
      <c r="A19" s="273" t="s">
        <v>189</v>
      </c>
      <c r="B19" s="274"/>
      <c r="C19" s="275">
        <f>SumByColor($A$19,C2:C17)</f>
        <v>68</v>
      </c>
      <c r="D19" s="275"/>
      <c r="E19" s="275"/>
      <c r="F19" s="276">
        <f>SumByColor($A$19,F2:F17)</f>
        <v>4716</v>
      </c>
      <c r="G19" s="275"/>
      <c r="H19" s="275">
        <f>SumByColor($A$19,H2:H17)</f>
        <v>68</v>
      </c>
      <c r="I19" s="275"/>
      <c r="J19" s="275"/>
      <c r="K19" s="276">
        <f>SumByColor($A$19,K2:K17)</f>
        <v>4937</v>
      </c>
      <c r="L19" s="275"/>
      <c r="M19" s="276">
        <f>SumByColor($A$19,M2:M17)</f>
        <v>3971</v>
      </c>
      <c r="O19" s="78">
        <v>1.1000000000000001</v>
      </c>
      <c r="P19" s="78">
        <f>O19*$Q$4</f>
        <v>70.444000000000017</v>
      </c>
    </row>
    <row r="20" spans="1:20" x14ac:dyDescent="0.25">
      <c r="O20" s="78">
        <v>1.0900000000000001</v>
      </c>
      <c r="P20" s="78">
        <f t="shared" ref="P20:P39" si="1">O20*$Q$4</f>
        <v>69.803600000000017</v>
      </c>
    </row>
    <row r="21" spans="1:20" x14ac:dyDescent="0.25">
      <c r="O21" s="78">
        <v>1.08</v>
      </c>
      <c r="P21" s="78">
        <f t="shared" si="1"/>
        <v>69.163200000000018</v>
      </c>
      <c r="T21" s="1"/>
    </row>
    <row r="22" spans="1:20" x14ac:dyDescent="0.25">
      <c r="O22" s="78">
        <v>1.07</v>
      </c>
      <c r="P22" s="78">
        <f t="shared" si="1"/>
        <v>68.522800000000004</v>
      </c>
    </row>
    <row r="23" spans="1:20" x14ac:dyDescent="0.25">
      <c r="O23" s="78">
        <v>1.06</v>
      </c>
      <c r="P23" s="78">
        <f t="shared" si="1"/>
        <v>67.882400000000004</v>
      </c>
    </row>
    <row r="24" spans="1:20" x14ac:dyDescent="0.25">
      <c r="B24" s="159" t="s">
        <v>113</v>
      </c>
      <c r="C24" s="159" t="s">
        <v>143</v>
      </c>
      <c r="D24" s="160" t="s">
        <v>142</v>
      </c>
      <c r="E24" s="162" t="s">
        <v>144</v>
      </c>
      <c r="F24" s="162" t="s">
        <v>65</v>
      </c>
      <c r="G24" s="173" t="s">
        <v>148</v>
      </c>
      <c r="H24" s="173" t="s">
        <v>88</v>
      </c>
      <c r="I24" s="173" t="s">
        <v>151</v>
      </c>
      <c r="J24" s="173" t="s">
        <v>147</v>
      </c>
      <c r="K24" s="173" t="s">
        <v>452</v>
      </c>
      <c r="L24" s="173" t="s">
        <v>901</v>
      </c>
      <c r="O24" s="78">
        <v>1.05</v>
      </c>
      <c r="P24" s="78">
        <f t="shared" si="1"/>
        <v>67.242000000000004</v>
      </c>
    </row>
    <row r="25" spans="1:20" x14ac:dyDescent="0.25">
      <c r="B25" s="161">
        <v>43654</v>
      </c>
      <c r="C25" s="10">
        <v>66</v>
      </c>
      <c r="D25" s="39">
        <v>87.188890000000001</v>
      </c>
      <c r="E25" s="39">
        <v>70</v>
      </c>
      <c r="F25" s="39">
        <f t="shared" ref="F25" si="2">C25*(E25-D25)</f>
        <v>-1134.4667400000001</v>
      </c>
      <c r="G25" s="39">
        <f t="shared" ref="G25" si="3">D25*C25</f>
        <v>5754.4667399999998</v>
      </c>
      <c r="H25" s="175">
        <f t="shared" ref="H25" si="4">(E25-D25)/D25</f>
        <v>-0.19714541611895736</v>
      </c>
      <c r="I25" s="39"/>
      <c r="J25" s="39"/>
      <c r="K25" s="39"/>
      <c r="L25" s="39"/>
      <c r="O25" s="78">
        <v>1.04</v>
      </c>
      <c r="P25" s="78">
        <f t="shared" si="1"/>
        <v>66.601600000000005</v>
      </c>
    </row>
    <row r="26" spans="1:20" x14ac:dyDescent="0.25">
      <c r="B26" s="161">
        <v>43655</v>
      </c>
      <c r="C26" s="7">
        <v>100</v>
      </c>
      <c r="D26" s="43">
        <v>81.344700000000003</v>
      </c>
      <c r="E26" s="39">
        <v>70</v>
      </c>
      <c r="F26" s="39">
        <f t="shared" ref="F26" si="5">C26*(E26-D26)</f>
        <v>-1134.4700000000003</v>
      </c>
      <c r="G26" s="39">
        <f t="shared" ref="G26" si="6">D26*C26</f>
        <v>8134.47</v>
      </c>
      <c r="H26" s="175">
        <f t="shared" ref="H26" si="7">(E26-D26)/D26</f>
        <v>-0.13946452565440653</v>
      </c>
      <c r="I26" s="39"/>
      <c r="J26" s="39"/>
      <c r="K26" s="39"/>
      <c r="L26" s="39"/>
      <c r="O26" s="78">
        <v>1.03</v>
      </c>
      <c r="P26" s="78">
        <f t="shared" si="1"/>
        <v>65.961200000000005</v>
      </c>
      <c r="T26" s="153"/>
    </row>
    <row r="27" spans="1:20" x14ac:dyDescent="0.25">
      <c r="A27">
        <v>32</v>
      </c>
      <c r="B27" s="161">
        <v>43662</v>
      </c>
      <c r="C27" s="10">
        <v>66</v>
      </c>
      <c r="D27" s="39">
        <v>85.436700000000002</v>
      </c>
      <c r="E27" s="39">
        <v>73.5</v>
      </c>
      <c r="F27" s="39">
        <f t="shared" ref="F27" si="8">C27*(E27-D27)</f>
        <v>-787.82220000000007</v>
      </c>
      <c r="G27" s="39">
        <f t="shared" ref="G27" si="9">D27*C27</f>
        <v>5638.8222000000005</v>
      </c>
      <c r="H27" s="175">
        <f t="shared" ref="H27" si="10">(E27-D27)/D27</f>
        <v>-0.13971396367134969</v>
      </c>
      <c r="I27" s="39"/>
      <c r="J27" s="39"/>
      <c r="K27" s="39"/>
      <c r="L27" s="39"/>
      <c r="O27" s="78">
        <v>1.02</v>
      </c>
      <c r="P27" s="78">
        <f t="shared" si="1"/>
        <v>65.320800000000006</v>
      </c>
      <c r="T27" s="64"/>
    </row>
    <row r="28" spans="1:20" x14ac:dyDescent="0.25">
      <c r="B28" s="161">
        <v>43679</v>
      </c>
      <c r="C28" s="7">
        <v>100</v>
      </c>
      <c r="D28" s="43">
        <v>79.746200000000002</v>
      </c>
      <c r="E28" s="39">
        <v>69.05</v>
      </c>
      <c r="F28" s="39">
        <f t="shared" ref="F28:F33" si="11">C28*(E28-D28)</f>
        <v>-1069.6200000000003</v>
      </c>
      <c r="G28" s="39">
        <f t="shared" ref="G28:G33" si="12">D28*C28</f>
        <v>7974.62</v>
      </c>
      <c r="H28" s="175">
        <f t="shared" ref="H28:H33" si="13">(E28-D28)/D28</f>
        <v>-0.13412802114708919</v>
      </c>
      <c r="I28" s="39"/>
      <c r="J28" s="39"/>
      <c r="K28" s="39"/>
      <c r="L28" s="39"/>
      <c r="O28" s="78">
        <v>1.01</v>
      </c>
      <c r="P28" s="78">
        <f t="shared" si="1"/>
        <v>64.680400000000006</v>
      </c>
      <c r="T28" s="153"/>
    </row>
    <row r="29" spans="1:20" x14ac:dyDescent="0.25">
      <c r="B29" s="161">
        <v>43718</v>
      </c>
      <c r="C29" s="10">
        <v>66</v>
      </c>
      <c r="D29" s="39">
        <v>83.891999999999996</v>
      </c>
      <c r="E29" s="39">
        <v>71.7</v>
      </c>
      <c r="F29" s="39">
        <f t="shared" si="11"/>
        <v>-804.67199999999957</v>
      </c>
      <c r="G29" s="39">
        <f t="shared" si="12"/>
        <v>5536.8719999999994</v>
      </c>
      <c r="H29" s="175">
        <f t="shared" si="13"/>
        <v>-0.14532970962666278</v>
      </c>
      <c r="I29" s="39"/>
      <c r="J29" s="39"/>
      <c r="K29" s="39"/>
      <c r="L29" s="39"/>
      <c r="O29" s="78">
        <v>1</v>
      </c>
      <c r="P29" s="78">
        <f t="shared" si="1"/>
        <v>64.040000000000006</v>
      </c>
      <c r="T29" s="153"/>
    </row>
    <row r="30" spans="1:20" x14ac:dyDescent="0.25">
      <c r="B30" s="161">
        <v>43722</v>
      </c>
      <c r="C30" s="10">
        <v>66</v>
      </c>
      <c r="D30" s="39">
        <v>83.591999999999999</v>
      </c>
      <c r="E30" s="39">
        <v>71.290000000000006</v>
      </c>
      <c r="F30" s="39">
        <f t="shared" si="11"/>
        <v>-811.93199999999956</v>
      </c>
      <c r="G30" s="39">
        <f t="shared" si="12"/>
        <v>5517.0720000000001</v>
      </c>
      <c r="H30" s="175">
        <f t="shared" si="13"/>
        <v>-0.14716719303282602</v>
      </c>
      <c r="I30" s="39"/>
      <c r="J30" s="39"/>
      <c r="K30" s="39"/>
      <c r="L30" s="39"/>
      <c r="O30" s="78">
        <v>0.99</v>
      </c>
      <c r="P30" s="78">
        <f t="shared" si="1"/>
        <v>63.399600000000007</v>
      </c>
      <c r="T30" s="153"/>
    </row>
    <row r="31" spans="1:20" x14ac:dyDescent="0.25">
      <c r="B31" s="161">
        <v>43745</v>
      </c>
      <c r="C31" s="7">
        <v>100</v>
      </c>
      <c r="D31" s="43">
        <v>77.8827</v>
      </c>
      <c r="E31" s="39">
        <v>66.8</v>
      </c>
      <c r="F31" s="39">
        <f t="shared" si="11"/>
        <v>-1108.2700000000002</v>
      </c>
      <c r="G31" s="39">
        <f t="shared" si="12"/>
        <v>7788.27</v>
      </c>
      <c r="H31" s="175">
        <f t="shared" si="13"/>
        <v>-0.14229989458506193</v>
      </c>
      <c r="I31" s="39"/>
      <c r="J31" s="39"/>
      <c r="K31" s="39"/>
      <c r="L31" s="39"/>
      <c r="O31" s="78">
        <v>0.98</v>
      </c>
      <c r="P31" s="78">
        <f t="shared" si="1"/>
        <v>62.759200000000007</v>
      </c>
    </row>
    <row r="32" spans="1:20" x14ac:dyDescent="0.25">
      <c r="B32" s="161">
        <v>43797</v>
      </c>
      <c r="C32" s="10">
        <v>100</v>
      </c>
      <c r="D32" s="39">
        <v>77.88</v>
      </c>
      <c r="E32" s="39">
        <v>65.61</v>
      </c>
      <c r="F32" s="39">
        <f t="shared" si="11"/>
        <v>-1226.9999999999995</v>
      </c>
      <c r="G32" s="39">
        <f t="shared" si="12"/>
        <v>7788</v>
      </c>
      <c r="H32" s="175">
        <f t="shared" si="13"/>
        <v>-0.15755007704160243</v>
      </c>
      <c r="I32" s="39"/>
      <c r="J32" s="39"/>
      <c r="K32" s="39"/>
      <c r="L32" s="39"/>
      <c r="O32" s="78">
        <v>0.97</v>
      </c>
      <c r="P32" s="78">
        <f t="shared" si="1"/>
        <v>62.118800000000007</v>
      </c>
    </row>
    <row r="33" spans="1:17" x14ac:dyDescent="0.25">
      <c r="B33" s="161">
        <v>43807</v>
      </c>
      <c r="C33" s="10">
        <v>100</v>
      </c>
      <c r="D33" s="39">
        <v>77.8827</v>
      </c>
      <c r="E33" s="39">
        <v>63.59</v>
      </c>
      <c r="F33" s="39">
        <f t="shared" si="11"/>
        <v>-1429.2699999999995</v>
      </c>
      <c r="G33" s="39">
        <f t="shared" si="12"/>
        <v>7788.27</v>
      </c>
      <c r="H33" s="175">
        <f t="shared" si="13"/>
        <v>-0.18351572300395333</v>
      </c>
      <c r="I33" s="39"/>
      <c r="J33" s="39"/>
      <c r="K33" s="39"/>
      <c r="L33" s="39"/>
      <c r="O33" s="78">
        <v>0.96</v>
      </c>
      <c r="P33" s="78">
        <f t="shared" si="1"/>
        <v>61.478400000000001</v>
      </c>
    </row>
    <row r="34" spans="1:17" x14ac:dyDescent="0.25">
      <c r="B34" s="161"/>
      <c r="C34" s="10"/>
      <c r="D34" s="39"/>
      <c r="E34" s="39"/>
      <c r="F34" s="39"/>
      <c r="G34" s="39"/>
      <c r="H34" s="175"/>
      <c r="I34" s="39"/>
      <c r="J34" s="39"/>
      <c r="K34" s="39"/>
      <c r="L34" s="39"/>
      <c r="O34" s="78">
        <v>0.95</v>
      </c>
      <c r="P34" s="78">
        <f t="shared" si="1"/>
        <v>60.838000000000001</v>
      </c>
    </row>
    <row r="35" spans="1:17" x14ac:dyDescent="0.25">
      <c r="B35" s="161"/>
      <c r="C35" s="10"/>
      <c r="D35" s="39"/>
      <c r="E35" s="39"/>
      <c r="F35" s="39"/>
      <c r="G35" s="39"/>
      <c r="H35" s="175"/>
      <c r="I35" s="39"/>
      <c r="J35" s="39"/>
      <c r="K35" s="39"/>
      <c r="L35" s="39"/>
      <c r="O35" s="78">
        <v>0.94</v>
      </c>
      <c r="P35" s="78">
        <f t="shared" si="1"/>
        <v>60.197600000000001</v>
      </c>
    </row>
    <row r="36" spans="1:17" x14ac:dyDescent="0.25">
      <c r="B36" s="161"/>
      <c r="C36" s="10"/>
      <c r="D36" s="39"/>
      <c r="E36" s="39"/>
      <c r="F36" s="39"/>
      <c r="G36" s="39"/>
      <c r="H36" s="175"/>
      <c r="I36" s="39"/>
      <c r="J36" s="39"/>
      <c r="K36" s="39"/>
      <c r="L36" s="39"/>
      <c r="O36" s="78">
        <v>0.93</v>
      </c>
      <c r="P36" s="78">
        <f t="shared" si="1"/>
        <v>59.557200000000009</v>
      </c>
    </row>
    <row r="37" spans="1:17" x14ac:dyDescent="0.25">
      <c r="B37" s="161"/>
      <c r="C37" s="10"/>
      <c r="D37" s="39"/>
      <c r="E37" s="39"/>
      <c r="F37" s="39"/>
      <c r="G37" s="39"/>
      <c r="H37" s="175"/>
      <c r="I37" s="39"/>
      <c r="J37" s="39"/>
      <c r="K37" s="39"/>
      <c r="L37" s="39"/>
      <c r="O37" s="78">
        <v>0.92</v>
      </c>
      <c r="P37" s="78">
        <f t="shared" si="1"/>
        <v>58.916800000000009</v>
      </c>
    </row>
    <row r="38" spans="1:17" x14ac:dyDescent="0.25">
      <c r="B38" s="161"/>
      <c r="C38" s="10"/>
      <c r="D38" s="39"/>
      <c r="E38" s="39"/>
      <c r="F38" s="39"/>
      <c r="G38" s="39"/>
      <c r="H38" s="175"/>
      <c r="I38" s="39"/>
      <c r="J38" s="39"/>
      <c r="K38" s="39"/>
      <c r="L38" s="39"/>
      <c r="O38" s="78">
        <v>0.91</v>
      </c>
      <c r="P38" s="78">
        <f t="shared" si="1"/>
        <v>58.27640000000001</v>
      </c>
    </row>
    <row r="39" spans="1:17" x14ac:dyDescent="0.25">
      <c r="B39" s="161"/>
      <c r="C39" s="10"/>
      <c r="D39" s="39"/>
      <c r="E39" s="39"/>
      <c r="F39" s="39"/>
      <c r="G39" s="39"/>
      <c r="H39" s="175"/>
      <c r="I39" s="39"/>
      <c r="J39" s="39"/>
      <c r="K39" s="39"/>
      <c r="L39" s="39"/>
      <c r="O39" s="78">
        <v>0.9</v>
      </c>
      <c r="P39" s="78">
        <f t="shared" si="1"/>
        <v>57.63600000000001</v>
      </c>
    </row>
    <row r="40" spans="1:17" x14ac:dyDescent="0.25">
      <c r="B40" s="161"/>
      <c r="C40" s="10"/>
      <c r="D40" s="39"/>
      <c r="E40" s="39"/>
      <c r="F40" s="39"/>
      <c r="G40" s="39"/>
      <c r="H40" s="175"/>
      <c r="I40" s="39"/>
      <c r="J40" s="39"/>
      <c r="K40" s="39"/>
      <c r="L40" s="39"/>
    </row>
    <row r="41" spans="1:17" x14ac:dyDescent="0.25">
      <c r="B41" s="161"/>
      <c r="C41" s="10"/>
      <c r="D41" s="39"/>
      <c r="E41" s="39"/>
      <c r="F41" s="39"/>
      <c r="G41" s="39"/>
      <c r="H41" s="175"/>
      <c r="I41" s="39"/>
      <c r="J41" s="39"/>
      <c r="K41" s="39"/>
      <c r="L41" s="39"/>
      <c r="Q41" s="2"/>
    </row>
    <row r="42" spans="1:17" x14ac:dyDescent="0.25">
      <c r="A42" s="4"/>
      <c r="B42" s="161"/>
      <c r="C42" s="10"/>
      <c r="D42" s="39"/>
      <c r="E42" s="39"/>
      <c r="F42" s="39"/>
      <c r="G42" s="39"/>
      <c r="H42" s="175"/>
      <c r="I42" s="39"/>
      <c r="J42" s="760"/>
      <c r="K42" s="39"/>
      <c r="L42" s="39"/>
      <c r="Q42" s="2"/>
    </row>
    <row r="43" spans="1:17" x14ac:dyDescent="0.25">
      <c r="A43" s="4"/>
      <c r="B43" s="161"/>
      <c r="C43" s="10"/>
      <c r="D43" s="39"/>
      <c r="E43" s="39"/>
      <c r="F43" s="760"/>
      <c r="G43" s="39"/>
      <c r="H43" s="175"/>
      <c r="I43" s="39"/>
      <c r="J43" s="39"/>
      <c r="K43" s="39"/>
      <c r="L43" s="39"/>
      <c r="Q43" s="2"/>
    </row>
    <row r="44" spans="1:17" x14ac:dyDescent="0.25">
      <c r="A44" s="4"/>
      <c r="B44" s="161"/>
      <c r="C44" s="10"/>
      <c r="D44" s="39"/>
      <c r="E44" s="39"/>
      <c r="F44" s="760"/>
      <c r="G44" s="39"/>
      <c r="H44" s="175"/>
      <c r="I44" s="39"/>
      <c r="J44" s="39"/>
      <c r="K44" s="39"/>
      <c r="L44" s="39"/>
      <c r="Q44" s="2"/>
    </row>
    <row r="45" spans="1:17" x14ac:dyDescent="0.25">
      <c r="A45" s="4"/>
      <c r="B45" s="161"/>
      <c r="C45" s="10"/>
      <c r="D45" s="39"/>
      <c r="E45" s="39"/>
      <c r="F45" s="760"/>
      <c r="G45" s="39"/>
      <c r="H45" s="175"/>
      <c r="I45" s="39"/>
      <c r="J45" s="39"/>
      <c r="K45" s="39"/>
      <c r="L45" s="39"/>
      <c r="Q45" s="2"/>
    </row>
    <row r="46" spans="1:17" x14ac:dyDescent="0.25">
      <c r="A46" s="4"/>
      <c r="B46" s="161"/>
      <c r="C46" s="10"/>
      <c r="D46" s="39"/>
      <c r="E46" s="39"/>
      <c r="F46" s="39"/>
      <c r="G46" s="39"/>
      <c r="H46" s="175"/>
      <c r="I46" s="39"/>
      <c r="J46" s="39"/>
      <c r="K46" s="39"/>
      <c r="L46" s="39"/>
      <c r="Q46" s="2"/>
    </row>
    <row r="47" spans="1:17" x14ac:dyDescent="0.25">
      <c r="A47" s="4"/>
      <c r="B47" s="161"/>
      <c r="C47" s="10"/>
      <c r="D47" s="39"/>
      <c r="E47" s="39"/>
      <c r="F47" s="39"/>
      <c r="G47" s="39"/>
      <c r="H47" s="175"/>
      <c r="I47" s="39"/>
      <c r="J47" s="39"/>
      <c r="K47" s="39"/>
      <c r="L47" s="39"/>
      <c r="Q47" s="2"/>
    </row>
    <row r="48" spans="1:17" x14ac:dyDescent="0.25">
      <c r="A48" s="4"/>
      <c r="B48" s="161"/>
      <c r="C48" s="10"/>
      <c r="D48" s="39"/>
      <c r="E48" s="39"/>
      <c r="F48" s="39"/>
      <c r="G48" s="39"/>
      <c r="H48" s="175"/>
      <c r="I48" s="39"/>
      <c r="J48" s="39"/>
      <c r="K48" s="39"/>
      <c r="L48" s="39"/>
      <c r="Q48" s="2"/>
    </row>
    <row r="49" spans="1:17" x14ac:dyDescent="0.25">
      <c r="A49" s="4"/>
      <c r="B49" s="161"/>
      <c r="C49" s="10"/>
      <c r="D49" s="39"/>
      <c r="E49" s="39"/>
      <c r="F49" s="39"/>
      <c r="G49" s="39"/>
      <c r="H49" s="175"/>
      <c r="I49" s="39"/>
      <c r="J49" s="39"/>
      <c r="K49" s="39"/>
      <c r="L49" s="39"/>
      <c r="Q49" s="2"/>
    </row>
    <row r="50" spans="1:17" x14ac:dyDescent="0.25">
      <c r="A50" s="4"/>
      <c r="B50" s="161"/>
      <c r="C50" s="10"/>
      <c r="D50" s="39"/>
      <c r="E50" s="39"/>
      <c r="F50" s="39"/>
      <c r="G50" s="39"/>
      <c r="H50" s="175"/>
      <c r="I50" s="39"/>
      <c r="J50" s="39"/>
      <c r="K50" s="39"/>
      <c r="L50" s="39"/>
      <c r="Q50" s="2"/>
    </row>
    <row r="51" spans="1:17" x14ac:dyDescent="0.25">
      <c r="A51" s="4"/>
      <c r="B51" s="161"/>
      <c r="C51" s="10"/>
      <c r="D51" s="39"/>
      <c r="E51" s="39"/>
      <c r="F51" s="39"/>
      <c r="G51" s="39"/>
      <c r="H51" s="175"/>
      <c r="I51" s="39"/>
      <c r="J51" s="39"/>
      <c r="K51" s="39"/>
      <c r="L51" s="39"/>
      <c r="Q51" s="2"/>
    </row>
    <row r="52" spans="1:17" x14ac:dyDescent="0.25">
      <c r="A52" s="4"/>
      <c r="B52" s="4"/>
      <c r="C52" s="4"/>
      <c r="D52" s="3"/>
      <c r="E52" s="3"/>
      <c r="F52" s="3"/>
      <c r="G52" s="4"/>
      <c r="H52" s="4"/>
      <c r="I52" s="3"/>
      <c r="J52" s="3"/>
      <c r="K52" s="3"/>
      <c r="L52" s="4"/>
      <c r="Q52" s="2"/>
    </row>
    <row r="53" spans="1:17" x14ac:dyDescent="0.25">
      <c r="A53" s="4"/>
      <c r="B53" s="4"/>
      <c r="C53" s="4"/>
      <c r="D53" s="3"/>
      <c r="E53" s="3"/>
      <c r="F53" s="3"/>
      <c r="G53" s="4"/>
      <c r="H53" s="4"/>
      <c r="I53" s="3"/>
      <c r="J53" s="3"/>
      <c r="K53" s="3"/>
      <c r="L53" s="4"/>
      <c r="Q53" s="2"/>
    </row>
    <row r="54" spans="1:17" x14ac:dyDescent="0.25">
      <c r="A54" s="478"/>
      <c r="B54" s="478"/>
      <c r="C54" s="478"/>
      <c r="D54" s="479"/>
      <c r="E54" s="479"/>
      <c r="F54" s="479"/>
      <c r="G54" s="478"/>
      <c r="H54" s="478"/>
      <c r="I54" s="479"/>
      <c r="J54" s="479"/>
      <c r="K54" s="479"/>
      <c r="L54" s="478" t="s">
        <v>65</v>
      </c>
      <c r="M54" s="479"/>
    </row>
    <row r="55" spans="1:17" x14ac:dyDescent="0.25">
      <c r="A55" s="597" t="s">
        <v>1</v>
      </c>
      <c r="B55" s="597" t="s">
        <v>2</v>
      </c>
      <c r="C55" s="597" t="s">
        <v>4</v>
      </c>
      <c r="D55" s="598" t="s">
        <v>5</v>
      </c>
      <c r="E55" s="598" t="s">
        <v>94</v>
      </c>
      <c r="F55" s="598" t="s">
        <v>60</v>
      </c>
      <c r="G55" s="597" t="s">
        <v>3</v>
      </c>
      <c r="H55" s="597" t="s">
        <v>6</v>
      </c>
      <c r="I55" s="598" t="s">
        <v>7</v>
      </c>
      <c r="J55" s="598" t="s">
        <v>95</v>
      </c>
      <c r="K55" s="598" t="s">
        <v>61</v>
      </c>
      <c r="L55" s="597" t="s">
        <v>37</v>
      </c>
      <c r="M55" s="597" t="s">
        <v>38</v>
      </c>
    </row>
    <row r="56" spans="1:17" x14ac:dyDescent="0.25">
      <c r="A56" s="599" t="s">
        <v>1347</v>
      </c>
      <c r="B56" s="481"/>
      <c r="C56" s="478"/>
      <c r="D56" s="479"/>
      <c r="E56" s="479"/>
      <c r="F56" s="479"/>
      <c r="G56" s="481"/>
      <c r="H56" s="478"/>
      <c r="I56" s="479"/>
      <c r="J56" s="479"/>
      <c r="K56" s="479"/>
      <c r="L56" s="481"/>
      <c r="M56" s="479"/>
    </row>
    <row r="57" spans="1:17" x14ac:dyDescent="0.25">
      <c r="A57" s="600"/>
      <c r="B57" s="481"/>
      <c r="C57" s="478"/>
      <c r="D57" s="479"/>
      <c r="E57" s="479"/>
      <c r="F57" s="479"/>
      <c r="G57" s="481"/>
      <c r="H57" s="480"/>
      <c r="I57" s="479"/>
      <c r="J57" s="479"/>
      <c r="K57" s="479"/>
      <c r="L57" s="478"/>
      <c r="M57" s="478"/>
    </row>
    <row r="58" spans="1:17" x14ac:dyDescent="0.25">
      <c r="A58" s="478"/>
      <c r="B58" s="481"/>
      <c r="C58" s="478"/>
      <c r="D58" s="479"/>
      <c r="E58" s="479"/>
      <c r="F58" s="479"/>
      <c r="G58" s="481"/>
      <c r="H58" s="480"/>
      <c r="I58" s="479"/>
      <c r="J58" s="479"/>
      <c r="K58" s="479"/>
      <c r="L58" s="478"/>
      <c r="M58" s="478"/>
    </row>
    <row r="59" spans="1:17" x14ac:dyDescent="0.25">
      <c r="A59" s="478"/>
      <c r="B59" s="481"/>
      <c r="C59" s="478"/>
      <c r="D59" s="479"/>
      <c r="E59" s="479"/>
      <c r="F59" s="479"/>
      <c r="G59" s="478"/>
      <c r="H59" s="480"/>
      <c r="I59" s="479"/>
      <c r="J59" s="479"/>
      <c r="K59" s="479"/>
      <c r="L59" s="478"/>
      <c r="M59" s="478"/>
    </row>
    <row r="60" spans="1:17" x14ac:dyDescent="0.25">
      <c r="A60" s="478"/>
      <c r="B60" s="481"/>
      <c r="C60" s="478"/>
      <c r="D60" s="479"/>
      <c r="E60" s="479"/>
      <c r="F60" s="479"/>
      <c r="G60" s="478"/>
      <c r="H60" s="480"/>
      <c r="I60" s="479"/>
      <c r="J60" s="479"/>
      <c r="K60" s="479"/>
      <c r="L60" s="478"/>
      <c r="M60" s="478"/>
    </row>
    <row r="61" spans="1:17" x14ac:dyDescent="0.25">
      <c r="A61" s="478"/>
      <c r="B61" s="478"/>
      <c r="C61" s="478"/>
      <c r="D61" s="479"/>
      <c r="E61" s="479"/>
      <c r="F61" s="479"/>
      <c r="G61" s="478"/>
      <c r="H61" s="480"/>
      <c r="I61" s="479"/>
      <c r="J61" s="479"/>
      <c r="K61" s="479"/>
      <c r="L61" s="478"/>
      <c r="M61" s="478"/>
    </row>
    <row r="62" spans="1:17" x14ac:dyDescent="0.25">
      <c r="A62" s="478"/>
      <c r="B62" s="478"/>
      <c r="C62" s="478"/>
      <c r="D62" s="479"/>
      <c r="E62" s="479"/>
      <c r="F62" s="479"/>
      <c r="G62" s="478"/>
      <c r="H62" s="480"/>
      <c r="I62" s="479"/>
      <c r="J62" s="479"/>
      <c r="K62" s="479"/>
      <c r="L62" s="478"/>
      <c r="M62" s="478"/>
    </row>
    <row r="63" spans="1:17" x14ac:dyDescent="0.25">
      <c r="A63" s="478"/>
      <c r="B63" s="478"/>
      <c r="C63" s="478"/>
      <c r="D63" s="479"/>
      <c r="E63" s="479"/>
      <c r="F63" s="479"/>
      <c r="G63" s="478"/>
      <c r="H63" s="480"/>
      <c r="I63" s="479"/>
      <c r="J63" s="479"/>
      <c r="K63" s="479"/>
      <c r="L63" s="478"/>
      <c r="M63" s="478"/>
    </row>
    <row r="64" spans="1:17" x14ac:dyDescent="0.25">
      <c r="A64" s="478"/>
      <c r="B64" s="478"/>
      <c r="C64" s="478"/>
      <c r="D64" s="479"/>
      <c r="E64" s="479"/>
      <c r="F64" s="479"/>
      <c r="G64" s="478"/>
      <c r="H64" s="480"/>
      <c r="I64" s="479"/>
      <c r="J64" s="479"/>
      <c r="K64" s="479"/>
      <c r="L64" s="478"/>
      <c r="M64" s="478"/>
    </row>
    <row r="65" spans="1:13" x14ac:dyDescent="0.25">
      <c r="A65" s="478"/>
      <c r="B65" s="478"/>
      <c r="C65" s="478"/>
      <c r="D65" s="479"/>
      <c r="E65" s="479"/>
      <c r="F65" s="479"/>
      <c r="G65" s="478"/>
      <c r="H65" s="480"/>
      <c r="I65" s="479"/>
      <c r="J65" s="479"/>
      <c r="K65" s="479"/>
      <c r="L65" s="478"/>
      <c r="M65" s="478"/>
    </row>
    <row r="66" spans="1:13" x14ac:dyDescent="0.25">
      <c r="A66" s="478"/>
      <c r="B66" s="478"/>
      <c r="C66" s="478"/>
      <c r="D66" s="479"/>
      <c r="E66" s="479"/>
      <c r="F66" s="479"/>
      <c r="G66" s="478"/>
      <c r="H66" s="480"/>
      <c r="I66" s="479"/>
      <c r="J66" s="479"/>
      <c r="K66" s="479"/>
      <c r="L66" s="478"/>
      <c r="M66" s="478"/>
    </row>
    <row r="67" spans="1:13" x14ac:dyDescent="0.25">
      <c r="A67" s="478"/>
      <c r="B67" s="478"/>
      <c r="C67" s="478"/>
      <c r="D67" s="479"/>
      <c r="E67" s="479"/>
      <c r="F67" s="479"/>
      <c r="G67" s="478"/>
      <c r="H67" s="480"/>
      <c r="I67" s="479"/>
      <c r="J67" s="479"/>
      <c r="K67" s="479"/>
      <c r="L67" s="478"/>
      <c r="M67" s="478"/>
    </row>
    <row r="68" spans="1:13" x14ac:dyDescent="0.25">
      <c r="A68" s="478"/>
      <c r="B68" s="478"/>
      <c r="C68" s="478"/>
      <c r="D68" s="479"/>
      <c r="E68" s="479"/>
      <c r="F68" s="479"/>
      <c r="G68" s="478"/>
      <c r="H68" s="480"/>
      <c r="I68" s="479"/>
      <c r="J68" s="479"/>
      <c r="K68" s="479"/>
      <c r="L68" s="478"/>
      <c r="M68" s="478"/>
    </row>
    <row r="69" spans="1:13" x14ac:dyDescent="0.25">
      <c r="A69" s="478"/>
      <c r="B69" s="478"/>
      <c r="C69" s="478"/>
      <c r="D69" s="479"/>
      <c r="E69" s="479"/>
      <c r="F69" s="479"/>
      <c r="G69" s="478"/>
      <c r="H69" s="480"/>
      <c r="I69" s="479"/>
      <c r="J69" s="479"/>
      <c r="K69" s="479"/>
      <c r="L69" s="478"/>
      <c r="M69" s="478"/>
    </row>
    <row r="70" spans="1:13" x14ac:dyDescent="0.25">
      <c r="A70" s="478"/>
      <c r="B70" s="478"/>
      <c r="C70" s="478"/>
      <c r="D70" s="479"/>
      <c r="E70" s="479"/>
      <c r="F70" s="479"/>
      <c r="G70" s="478"/>
      <c r="H70" s="480"/>
      <c r="I70" s="479"/>
      <c r="J70" s="479"/>
      <c r="K70" s="479"/>
      <c r="L70" s="478"/>
      <c r="M70" s="478"/>
    </row>
    <row r="71" spans="1:13" x14ac:dyDescent="0.25">
      <c r="A71" s="478"/>
      <c r="B71" s="478"/>
      <c r="C71" s="478"/>
      <c r="D71" s="479"/>
      <c r="E71" s="479"/>
      <c r="F71" s="479"/>
      <c r="G71" s="478"/>
      <c r="H71" s="478"/>
      <c r="I71" s="479"/>
      <c r="J71" s="479"/>
      <c r="K71" s="479"/>
      <c r="L71" s="478"/>
      <c r="M71" s="478"/>
    </row>
    <row r="72" spans="1:13" x14ac:dyDescent="0.25">
      <c r="A72" s="601" t="s">
        <v>81</v>
      </c>
      <c r="B72" s="602"/>
      <c r="C72" s="602">
        <f>SUM(C56:C60)</f>
        <v>0</v>
      </c>
      <c r="D72" s="603"/>
      <c r="E72" s="603"/>
      <c r="F72" s="603">
        <f>SUM(F56:F60)</f>
        <v>0</v>
      </c>
      <c r="G72" s="602"/>
      <c r="H72" s="604">
        <f>SUM(H56:H59)</f>
        <v>0</v>
      </c>
      <c r="I72" s="603"/>
      <c r="J72" s="603"/>
      <c r="K72" s="603">
        <f>SUM(K56:K59)</f>
        <v>0</v>
      </c>
      <c r="L72" s="602"/>
      <c r="M72" s="603">
        <f>SUM(M56:M64)</f>
        <v>0</v>
      </c>
    </row>
    <row r="73" spans="1:13" ht="15.75" thickBot="1" x14ac:dyDescent="0.3">
      <c r="A73" s="605" t="s">
        <v>189</v>
      </c>
      <c r="B73" s="637"/>
      <c r="C73" s="606">
        <f>SumByColor($A$19,C56:C71)</f>
        <v>0</v>
      </c>
      <c r="D73" s="606"/>
      <c r="E73" s="606"/>
      <c r="F73" s="607">
        <f>SumByColor($A$19,F56:F71)</f>
        <v>0</v>
      </c>
      <c r="G73" s="606"/>
      <c r="H73" s="606">
        <f>SumByColor($A$19,H56:H71)</f>
        <v>0</v>
      </c>
      <c r="I73" s="606"/>
      <c r="J73" s="606"/>
      <c r="K73" s="607">
        <f>SumByColor($A$19,K57:K71)</f>
        <v>0</v>
      </c>
      <c r="L73" s="606"/>
      <c r="M73" s="607">
        <f>SumByColor($A$19,M56:M71)</f>
        <v>0</v>
      </c>
    </row>
    <row r="76" spans="1:13" x14ac:dyDescent="0.25">
      <c r="B76" s="159" t="s">
        <v>113</v>
      </c>
      <c r="C76" s="159" t="s">
        <v>143</v>
      </c>
      <c r="D76" s="160" t="s">
        <v>142</v>
      </c>
      <c r="E76" s="162" t="s">
        <v>144</v>
      </c>
      <c r="F76" s="162" t="s">
        <v>65</v>
      </c>
      <c r="G76" s="173" t="s">
        <v>148</v>
      </c>
      <c r="H76" s="173" t="s">
        <v>88</v>
      </c>
      <c r="I76" s="173" t="s">
        <v>151</v>
      </c>
      <c r="J76" s="173" t="s">
        <v>147</v>
      </c>
      <c r="K76" s="173" t="s">
        <v>601</v>
      </c>
      <c r="L76" s="173" t="s">
        <v>607</v>
      </c>
    </row>
    <row r="77" spans="1:13" x14ac:dyDescent="0.25">
      <c r="B77" s="161"/>
      <c r="C77" s="10"/>
      <c r="D77" s="39"/>
      <c r="E77" s="39"/>
      <c r="F77" s="39"/>
      <c r="G77" s="39"/>
      <c r="H77" s="175"/>
      <c r="I77" s="39"/>
      <c r="J77" s="39"/>
      <c r="K77" s="39"/>
      <c r="L77" s="39"/>
    </row>
    <row r="78" spans="1:13" x14ac:dyDescent="0.25">
      <c r="B78" s="161"/>
      <c r="C78" s="10"/>
      <c r="D78" s="39"/>
      <c r="E78" s="39"/>
      <c r="F78" s="39"/>
      <c r="G78" s="39"/>
      <c r="H78" s="175"/>
      <c r="I78" s="39"/>
      <c r="J78" s="39"/>
      <c r="K78" s="39"/>
      <c r="L78" s="39"/>
    </row>
    <row r="79" spans="1:13" x14ac:dyDescent="0.25">
      <c r="B79" s="161"/>
      <c r="C79" s="10"/>
      <c r="D79" s="39"/>
      <c r="E79" s="39"/>
      <c r="F79" s="39"/>
      <c r="G79" s="39"/>
      <c r="H79" s="175"/>
      <c r="I79" s="39"/>
      <c r="J79" s="39"/>
      <c r="K79" s="39"/>
      <c r="L79" s="152"/>
    </row>
    <row r="80" spans="1:13" x14ac:dyDescent="0.25">
      <c r="B80" s="161"/>
      <c r="C80" s="10"/>
      <c r="D80" s="39"/>
      <c r="E80" s="39"/>
      <c r="F80" s="39"/>
      <c r="G80" s="39"/>
      <c r="H80" s="175"/>
      <c r="I80" s="39"/>
      <c r="J80" s="39"/>
      <c r="K80" s="39"/>
      <c r="L80" s="152"/>
    </row>
    <row r="81" spans="2:12" x14ac:dyDescent="0.25">
      <c r="B81" s="161"/>
      <c r="C81" s="10"/>
      <c r="D81" s="39"/>
      <c r="E81" s="39"/>
      <c r="F81" s="39"/>
      <c r="G81" s="39"/>
      <c r="H81" s="175"/>
      <c r="I81" s="39"/>
      <c r="J81" s="39"/>
      <c r="K81" s="39"/>
      <c r="L81" s="152"/>
    </row>
    <row r="82" spans="2:12" x14ac:dyDescent="0.25">
      <c r="B82" s="161"/>
      <c r="C82" s="10"/>
      <c r="D82" s="39"/>
      <c r="E82" s="39"/>
      <c r="F82" s="39"/>
      <c r="G82" s="39"/>
      <c r="H82" s="175"/>
      <c r="I82" s="39"/>
      <c r="J82" s="39"/>
      <c r="K82" s="39"/>
      <c r="L82" s="152"/>
    </row>
    <row r="83" spans="2:12" x14ac:dyDescent="0.25">
      <c r="B83" s="161"/>
      <c r="C83" s="10"/>
      <c r="D83" s="39"/>
      <c r="E83" s="39"/>
      <c r="F83" s="39"/>
      <c r="G83" s="39"/>
      <c r="H83" s="175"/>
      <c r="I83" s="39"/>
      <c r="J83" s="39"/>
      <c r="K83" s="39"/>
      <c r="L83" s="152"/>
    </row>
    <row r="84" spans="2:12" x14ac:dyDescent="0.25">
      <c r="B84" s="161"/>
      <c r="C84" s="10"/>
      <c r="D84" s="39"/>
      <c r="E84" s="39"/>
      <c r="F84" s="39"/>
      <c r="G84" s="39"/>
      <c r="H84" s="175"/>
      <c r="I84" s="39"/>
      <c r="J84" s="39"/>
      <c r="K84" s="39"/>
      <c r="L84" s="152"/>
    </row>
    <row r="85" spans="2:12" x14ac:dyDescent="0.25">
      <c r="B85" s="161"/>
      <c r="C85" s="10"/>
      <c r="D85" s="39"/>
      <c r="E85" s="39"/>
      <c r="F85" s="39"/>
      <c r="G85" s="39"/>
      <c r="H85" s="175"/>
      <c r="I85" s="39"/>
      <c r="J85" s="39"/>
      <c r="K85" s="39"/>
      <c r="L85" s="152"/>
    </row>
    <row r="86" spans="2:12" x14ac:dyDescent="0.25">
      <c r="B86" s="161"/>
      <c r="C86" s="10"/>
      <c r="D86" s="39"/>
      <c r="E86" s="39"/>
      <c r="F86" s="39"/>
      <c r="G86" s="39"/>
      <c r="H86" s="175"/>
      <c r="I86" s="39"/>
      <c r="J86" s="39"/>
      <c r="K86" s="39"/>
      <c r="L86" s="152"/>
    </row>
    <row r="87" spans="2:12" x14ac:dyDescent="0.25">
      <c r="B87" s="161"/>
      <c r="C87" s="10"/>
      <c r="D87" s="39"/>
      <c r="E87" s="39"/>
      <c r="F87" s="39"/>
      <c r="G87" s="39"/>
      <c r="H87" s="175"/>
      <c r="I87" s="39"/>
      <c r="J87" s="39"/>
      <c r="K87" s="39"/>
      <c r="L87" s="152"/>
    </row>
    <row r="88" spans="2:12" x14ac:dyDescent="0.25">
      <c r="B88" s="161"/>
      <c r="C88" s="10"/>
      <c r="D88" s="39"/>
      <c r="E88" s="39"/>
      <c r="F88" s="39"/>
      <c r="G88" s="39"/>
      <c r="H88" s="175"/>
      <c r="I88" s="39"/>
      <c r="J88" s="39"/>
      <c r="K88" s="39"/>
      <c r="L88" s="39"/>
    </row>
    <row r="89" spans="2:12" x14ac:dyDescent="0.25">
      <c r="B89" s="161"/>
      <c r="C89" s="10"/>
      <c r="D89" s="39"/>
      <c r="E89" s="39"/>
      <c r="F89" s="39"/>
      <c r="G89" s="39"/>
      <c r="H89" s="175"/>
      <c r="I89" s="39"/>
      <c r="J89" s="39"/>
      <c r="K89" s="39"/>
      <c r="L89" s="39"/>
    </row>
    <row r="90" spans="2:12" x14ac:dyDescent="0.25">
      <c r="B90" s="161"/>
      <c r="C90" s="10"/>
      <c r="D90" s="39"/>
      <c r="E90" s="39"/>
      <c r="F90" s="39"/>
      <c r="G90" s="39"/>
      <c r="H90" s="175"/>
      <c r="I90" s="39"/>
      <c r="J90" s="39"/>
      <c r="K90" s="39"/>
      <c r="L90" s="39"/>
    </row>
    <row r="91" spans="2:12" x14ac:dyDescent="0.25">
      <c r="B91" s="161"/>
      <c r="C91" s="10"/>
      <c r="D91" s="39"/>
      <c r="E91" s="39"/>
      <c r="F91" s="39"/>
      <c r="G91" s="39"/>
      <c r="H91" s="175"/>
      <c r="I91" s="39"/>
      <c r="J91" s="39"/>
      <c r="K91" s="39"/>
      <c r="L91" s="39"/>
    </row>
    <row r="92" spans="2:12" x14ac:dyDescent="0.25">
      <c r="B92" s="161"/>
      <c r="C92" s="10"/>
      <c r="D92" s="39"/>
      <c r="E92" s="39"/>
      <c r="F92" s="39"/>
      <c r="G92" s="39"/>
      <c r="H92" s="175"/>
      <c r="I92" s="39"/>
      <c r="J92" s="39"/>
      <c r="K92" s="39"/>
      <c r="L92" s="39"/>
    </row>
    <row r="93" spans="2:12" x14ac:dyDescent="0.25">
      <c r="B93" s="161"/>
      <c r="C93" s="10"/>
      <c r="D93" s="39"/>
      <c r="E93" s="39"/>
      <c r="F93" s="39"/>
      <c r="G93" s="39"/>
      <c r="H93" s="175"/>
      <c r="I93" s="39"/>
      <c r="J93" s="39"/>
      <c r="K93" s="39"/>
      <c r="L93" s="39"/>
    </row>
    <row r="94" spans="2:12" x14ac:dyDescent="0.25">
      <c r="B94" s="161"/>
      <c r="C94" s="10"/>
      <c r="D94" s="39"/>
      <c r="E94" s="39"/>
      <c r="F94" s="39"/>
      <c r="G94" s="39"/>
      <c r="H94" s="175"/>
      <c r="I94" s="39"/>
      <c r="J94" s="39"/>
      <c r="K94" s="39"/>
      <c r="L94" s="39"/>
    </row>
    <row r="95" spans="2:12" x14ac:dyDescent="0.25">
      <c r="B95" s="161"/>
      <c r="C95" s="10"/>
      <c r="D95" s="39"/>
      <c r="E95" s="39"/>
      <c r="F95" s="39"/>
      <c r="G95" s="39"/>
      <c r="H95" s="175"/>
      <c r="I95" s="39"/>
      <c r="J95" s="39"/>
      <c r="K95" s="39"/>
      <c r="L95" s="39"/>
    </row>
    <row r="96" spans="2:12" x14ac:dyDescent="0.25">
      <c r="B96" s="161"/>
      <c r="C96" s="10"/>
      <c r="D96" s="39"/>
      <c r="E96" s="39"/>
      <c r="F96" s="39"/>
      <c r="G96" s="39"/>
      <c r="H96" s="175"/>
      <c r="I96" s="39"/>
      <c r="J96" s="39"/>
      <c r="K96" s="39"/>
      <c r="L96" s="39"/>
    </row>
    <row r="97" spans="2:12" x14ac:dyDescent="0.25">
      <c r="B97" s="161"/>
      <c r="C97" s="10"/>
      <c r="D97" s="39"/>
      <c r="E97" s="39"/>
      <c r="F97" s="39"/>
      <c r="G97" s="39"/>
      <c r="H97" s="175"/>
      <c r="I97" s="39"/>
      <c r="J97" s="39"/>
      <c r="K97" s="39"/>
      <c r="L97" s="39"/>
    </row>
    <row r="98" spans="2:12" x14ac:dyDescent="0.25">
      <c r="B98" s="161"/>
      <c r="C98" s="10"/>
      <c r="D98" s="39"/>
      <c r="E98" s="39"/>
      <c r="F98" s="39"/>
      <c r="G98" s="39"/>
      <c r="H98" s="175"/>
      <c r="I98" s="39"/>
      <c r="J98" s="39"/>
      <c r="K98" s="39"/>
      <c r="L98" s="39"/>
    </row>
  </sheetData>
  <conditionalFormatting sqref="O19:O39">
    <cfRule type="colorScale" priority="40">
      <colorScale>
        <cfvo type="min"/>
        <cfvo type="percentile" val="50"/>
        <cfvo type="max"/>
        <color rgb="FFF8696B"/>
        <color rgb="FFFFEB84"/>
        <color rgb="FF63BE7B"/>
      </colorScale>
    </cfRule>
  </conditionalFormatting>
  <conditionalFormatting sqref="P19:P39">
    <cfRule type="colorScale" priority="39">
      <colorScale>
        <cfvo type="min"/>
        <cfvo type="percentile" val="50"/>
        <cfvo type="max"/>
        <color rgb="FFF8696B"/>
        <color rgb="FFFFEB84"/>
        <color rgb="FF63BE7B"/>
      </colorScale>
    </cfRule>
  </conditionalFormatting>
  <conditionalFormatting sqref="Q7 F25 H25 J25:J26 H29:H42 F29:F42">
    <cfRule type="expression" dxfId="3333" priority="37">
      <formula>F7&gt;0</formula>
    </cfRule>
    <cfRule type="expression" dxfId="3332" priority="38">
      <formula>F7&lt;0</formula>
    </cfRule>
  </conditionalFormatting>
  <conditionalFormatting sqref="Q8">
    <cfRule type="expression" dxfId="3331" priority="35">
      <formula>Q8&gt;0</formula>
    </cfRule>
    <cfRule type="expression" dxfId="3330" priority="36">
      <formula>Q8&lt;0</formula>
    </cfRule>
  </conditionalFormatting>
  <conditionalFormatting sqref="F46:F51">
    <cfRule type="expression" dxfId="3329" priority="33">
      <formula>F46&gt;0</formula>
    </cfRule>
    <cfRule type="expression" dxfId="3328" priority="34">
      <formula>F46&lt;0</formula>
    </cfRule>
  </conditionalFormatting>
  <conditionalFormatting sqref="H46:H51">
    <cfRule type="expression" dxfId="3327" priority="31">
      <formula>H46&gt;0</formula>
    </cfRule>
    <cfRule type="expression" dxfId="3326" priority="32">
      <formula>H46&lt;0</formula>
    </cfRule>
  </conditionalFormatting>
  <conditionalFormatting sqref="Q10">
    <cfRule type="expression" dxfId="3325" priority="29">
      <formula>Q10&gt;0</formula>
    </cfRule>
    <cfRule type="expression" dxfId="3324" priority="30">
      <formula>Q10&lt;0</formula>
    </cfRule>
  </conditionalFormatting>
  <conditionalFormatting sqref="K25:K26">
    <cfRule type="expression" dxfId="3323" priority="25">
      <formula>K25&gt;0</formula>
    </cfRule>
    <cfRule type="expression" dxfId="3322" priority="26">
      <formula>K25&lt;0</formula>
    </cfRule>
  </conditionalFormatting>
  <conditionalFormatting sqref="F77:F98">
    <cfRule type="expression" dxfId="3321" priority="21">
      <formula>F77&gt;0</formula>
    </cfRule>
    <cfRule type="expression" dxfId="3320" priority="22">
      <formula>F77&lt;0</formula>
    </cfRule>
  </conditionalFormatting>
  <conditionalFormatting sqref="H77:H98">
    <cfRule type="expression" dxfId="3319" priority="19">
      <formula>H77&gt;0</formula>
    </cfRule>
    <cfRule type="expression" dxfId="3318" priority="20">
      <formula>H77&lt;0</formula>
    </cfRule>
  </conditionalFormatting>
  <conditionalFormatting sqref="J77:J90">
    <cfRule type="expression" dxfId="3317" priority="17">
      <formula>J77&gt;0</formula>
    </cfRule>
    <cfRule type="expression" dxfId="3316" priority="18">
      <formula>J77&lt;0</formula>
    </cfRule>
  </conditionalFormatting>
  <conditionalFormatting sqref="K77:K90">
    <cfRule type="expression" dxfId="3315" priority="15">
      <formula>K77&gt;0</formula>
    </cfRule>
    <cfRule type="expression" dxfId="3314" priority="16">
      <formula>K77&lt;0</formula>
    </cfRule>
  </conditionalFormatting>
  <conditionalFormatting sqref="L77:L90">
    <cfRule type="expression" dxfId="3313" priority="13">
      <formula>L77&gt;0</formula>
    </cfRule>
    <cfRule type="expression" dxfId="3312" priority="14">
      <formula>L77&lt;0</formula>
    </cfRule>
  </conditionalFormatting>
  <conditionalFormatting sqref="J42">
    <cfRule type="expression" dxfId="3311" priority="7">
      <formula>J42&gt;0</formula>
    </cfRule>
    <cfRule type="expression" dxfId="3310" priority="8">
      <formula>J42&lt;0</formula>
    </cfRule>
  </conditionalFormatting>
  <conditionalFormatting sqref="F43:F45">
    <cfRule type="expression" dxfId="3309" priority="5">
      <formula>F43&gt;0</formula>
    </cfRule>
    <cfRule type="expression" dxfId="3308" priority="6">
      <formula>F43&lt;0</formula>
    </cfRule>
  </conditionalFormatting>
  <conditionalFormatting sqref="H43:H45">
    <cfRule type="expression" dxfId="3307" priority="3">
      <formula>H43&gt;0</formula>
    </cfRule>
    <cfRule type="expression" dxfId="3306" priority="4">
      <formula>H43&lt;0</formula>
    </cfRule>
  </conditionalFormatting>
  <conditionalFormatting sqref="F26:F28 H26:H28">
    <cfRule type="expression" dxfId="3305" priority="1">
      <formula>F26&gt;0</formula>
    </cfRule>
    <cfRule type="expression" dxfId="3304" priority="2">
      <formula>F26&lt;0</formula>
    </cfRule>
  </conditionalFormatting>
  <hyperlinks>
    <hyperlink ref="A3" location="ACTIVE!A1" display="Back"/>
  </hyperlinks>
  <pageMargins left="0.7" right="0.7" top="0.75" bottom="0.75" header="0.3" footer="0.3"/>
  <pageSetup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1269</v>
      </c>
      <c r="B2" s="360">
        <v>43427</v>
      </c>
      <c r="C2" s="7">
        <v>50</v>
      </c>
      <c r="D2" s="43">
        <v>99.45</v>
      </c>
      <c r="E2" s="43">
        <v>0</v>
      </c>
      <c r="F2" s="43">
        <f>C2*D2+E2</f>
        <v>4972.5</v>
      </c>
      <c r="G2" s="360">
        <v>43483</v>
      </c>
      <c r="H2" s="7">
        <v>25</v>
      </c>
      <c r="I2" s="43">
        <v>100.58</v>
      </c>
      <c r="J2" s="43">
        <v>0.03</v>
      </c>
      <c r="K2" s="43">
        <f>H2*I2-J2</f>
        <v>2514.4699999999998</v>
      </c>
      <c r="L2" s="69">
        <v>43496</v>
      </c>
      <c r="M2" s="43">
        <v>22</v>
      </c>
      <c r="O2" s="11" t="s">
        <v>57</v>
      </c>
      <c r="Q2">
        <f>C18-H18</f>
        <v>0</v>
      </c>
      <c r="T2" s="1"/>
    </row>
    <row r="3" spans="1:21" x14ac:dyDescent="0.25">
      <c r="A3" s="22" t="s">
        <v>71</v>
      </c>
      <c r="B3" s="360">
        <v>43427</v>
      </c>
      <c r="C3" s="7">
        <v>50</v>
      </c>
      <c r="D3" s="43">
        <v>99.45</v>
      </c>
      <c r="E3" s="43">
        <v>0</v>
      </c>
      <c r="F3" s="43">
        <f>C3*D3+E3</f>
        <v>4972.5</v>
      </c>
      <c r="G3" s="360">
        <v>43483</v>
      </c>
      <c r="H3" s="77">
        <v>25</v>
      </c>
      <c r="I3" s="43">
        <v>101.03</v>
      </c>
      <c r="J3" s="43">
        <v>0.03</v>
      </c>
      <c r="K3" s="43">
        <f>H3*I3-J3</f>
        <v>2525.7199999999998</v>
      </c>
      <c r="L3" s="4"/>
      <c r="M3" s="4"/>
      <c r="O3" s="11" t="s">
        <v>58</v>
      </c>
      <c r="Q3" s="174">
        <f>IF(Q2=0, Q4, (F18-K18-M18)/Q2)</f>
        <v>80.13</v>
      </c>
      <c r="T3" s="1"/>
    </row>
    <row r="4" spans="1:21" x14ac:dyDescent="0.25">
      <c r="B4" s="69"/>
      <c r="C4" s="4"/>
      <c r="D4" s="3"/>
      <c r="E4" s="3"/>
      <c r="F4" s="3"/>
      <c r="G4" s="360">
        <v>43563</v>
      </c>
      <c r="H4" s="77">
        <v>50</v>
      </c>
      <c r="I4" s="43">
        <v>100</v>
      </c>
      <c r="J4" s="43">
        <v>7.0000000000000007E-2</v>
      </c>
      <c r="K4" s="43">
        <f>H4*I4-J4</f>
        <v>4999.93</v>
      </c>
      <c r="L4" s="4"/>
      <c r="M4" s="4"/>
      <c r="O4" s="11" t="s">
        <v>66</v>
      </c>
      <c r="Q4" s="53">
        <v>80.13</v>
      </c>
      <c r="R4" s="416">
        <v>8.6E-3</v>
      </c>
      <c r="T4" s="680"/>
      <c r="U4" s="30"/>
    </row>
    <row r="5" spans="1:21" x14ac:dyDescent="0.25">
      <c r="B5" s="69"/>
      <c r="C5" s="4"/>
      <c r="D5" s="3"/>
      <c r="E5" s="3"/>
      <c r="F5" s="3"/>
      <c r="G5" s="69"/>
      <c r="H5" s="158"/>
      <c r="I5" s="3"/>
      <c r="J5" s="3"/>
      <c r="K5" s="3"/>
      <c r="L5" s="4"/>
      <c r="M5" s="4"/>
      <c r="O5" s="11" t="s">
        <v>67</v>
      </c>
      <c r="Q5" s="3">
        <f>Q4*Q2</f>
        <v>0</v>
      </c>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69"/>
      <c r="H7" s="158"/>
      <c r="I7" s="3"/>
      <c r="J7" s="3"/>
      <c r="K7" s="3"/>
      <c r="L7" s="4"/>
      <c r="M7" s="4"/>
      <c r="O7" s="11" t="s">
        <v>175</v>
      </c>
      <c r="Q7" s="2">
        <f>Q10+Q8</f>
        <v>117.11999999999898</v>
      </c>
      <c r="R7">
        <v>0</v>
      </c>
      <c r="T7" s="1"/>
    </row>
    <row r="8" spans="1:21" x14ac:dyDescent="0.25">
      <c r="B8" s="69"/>
      <c r="C8" s="4"/>
      <c r="D8" s="3"/>
      <c r="E8" s="3"/>
      <c r="F8" s="3"/>
      <c r="G8" s="69"/>
      <c r="H8" s="158"/>
      <c r="I8" s="3"/>
      <c r="J8" s="3"/>
      <c r="K8" s="3"/>
      <c r="L8" s="4"/>
      <c r="M8" s="4"/>
      <c r="O8" s="11" t="s">
        <v>177</v>
      </c>
      <c r="P8" s="33"/>
      <c r="Q8" s="2">
        <f>K18+M18-F18+Q2*Q4</f>
        <v>117.11999999999898</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1.0982153999750405E-2</v>
      </c>
      <c r="R11">
        <f>0.88/4</f>
        <v>0.22</v>
      </c>
    </row>
    <row r="12" spans="1:21" x14ac:dyDescent="0.25">
      <c r="H12" s="67"/>
      <c r="O12" s="11" t="s">
        <v>875</v>
      </c>
      <c r="Q12" s="1" t="s">
        <v>1304</v>
      </c>
    </row>
    <row r="13" spans="1:21" x14ac:dyDescent="0.25">
      <c r="H13" s="67"/>
      <c r="O13" s="11" t="s">
        <v>901</v>
      </c>
      <c r="Q13" s="2">
        <f>Q4/4.4</f>
        <v>18.211363636363632</v>
      </c>
      <c r="T13" s="1"/>
    </row>
    <row r="14" spans="1:21" x14ac:dyDescent="0.25">
      <c r="H14" s="67"/>
      <c r="O14" s="11" t="s">
        <v>988</v>
      </c>
      <c r="Q14" s="1">
        <v>43436</v>
      </c>
    </row>
    <row r="15" spans="1:21" x14ac:dyDescent="0.25">
      <c r="H15" s="67"/>
    </row>
    <row r="16" spans="1:21" ht="20.25" thickBot="1" x14ac:dyDescent="0.35">
      <c r="H16" s="67"/>
      <c r="O16" s="886" t="s">
        <v>78</v>
      </c>
      <c r="P16" s="886"/>
    </row>
    <row r="17" spans="1:16" ht="15.75" thickTop="1" x14ac:dyDescent="0.25">
      <c r="O17" s="78">
        <v>1.1000000000000001</v>
      </c>
      <c r="P17" s="78">
        <f>O17*$Q$4</f>
        <v>88.143000000000001</v>
      </c>
    </row>
    <row r="18" spans="1:16" x14ac:dyDescent="0.25">
      <c r="A18" s="31" t="s">
        <v>81</v>
      </c>
      <c r="B18" s="14"/>
      <c r="C18" s="14">
        <f>SUM(C2:C9)</f>
        <v>100</v>
      </c>
      <c r="D18" s="18"/>
      <c r="E18" s="18"/>
      <c r="F18" s="18">
        <f>SUM(F2:F9)</f>
        <v>9945</v>
      </c>
      <c r="G18" s="14"/>
      <c r="H18" s="68">
        <f>SUM(H2:H8)</f>
        <v>100</v>
      </c>
      <c r="I18" s="18"/>
      <c r="J18" s="18"/>
      <c r="K18" s="18">
        <f>SUM(K2:K8)</f>
        <v>10040.119999999999</v>
      </c>
      <c r="L18" s="14"/>
      <c r="M18" s="18">
        <f>SUM(M2:M10)</f>
        <v>22</v>
      </c>
      <c r="O18" s="78">
        <v>1.0900000000000001</v>
      </c>
      <c r="P18" s="78">
        <f t="shared" ref="P18:P37" si="0">O18*$Q$4</f>
        <v>87.341700000000003</v>
      </c>
    </row>
    <row r="19" spans="1:16" ht="15.75" thickBot="1" x14ac:dyDescent="0.3">
      <c r="A19" s="273" t="s">
        <v>189</v>
      </c>
      <c r="B19" s="274"/>
      <c r="C19" s="275">
        <f>SumByColor($A$19,C2:C17)</f>
        <v>100</v>
      </c>
      <c r="D19" s="275"/>
      <c r="E19" s="275"/>
      <c r="F19" s="276">
        <f>SumByColor($A$19,F2:F17)</f>
        <v>9944</v>
      </c>
      <c r="G19" s="275"/>
      <c r="H19" s="275">
        <f>SumByColor($A$19,H2:H17)</f>
        <v>100</v>
      </c>
      <c r="I19" s="275"/>
      <c r="J19" s="275"/>
      <c r="K19" s="276">
        <f>SumByColor($A$19,K2:K17)</f>
        <v>10040</v>
      </c>
      <c r="L19" s="275"/>
      <c r="M19" s="276">
        <f>SumByColor($A$19,M2:M17)</f>
        <v>22</v>
      </c>
      <c r="O19" s="78">
        <v>1.08</v>
      </c>
      <c r="P19" s="78">
        <f t="shared" si="0"/>
        <v>86.540400000000005</v>
      </c>
    </row>
    <row r="20" spans="1:16" x14ac:dyDescent="0.25">
      <c r="O20" s="78">
        <v>1.07</v>
      </c>
      <c r="P20" s="78">
        <f t="shared" si="0"/>
        <v>85.739099999999993</v>
      </c>
    </row>
    <row r="21" spans="1:16" x14ac:dyDescent="0.25">
      <c r="O21" s="78">
        <v>1.06</v>
      </c>
      <c r="P21" s="78">
        <f t="shared" si="0"/>
        <v>84.937799999999996</v>
      </c>
    </row>
    <row r="22" spans="1:16" x14ac:dyDescent="0.25">
      <c r="O22" s="78">
        <v>1.05</v>
      </c>
      <c r="P22" s="78">
        <f t="shared" si="0"/>
        <v>84.136499999999998</v>
      </c>
    </row>
    <row r="23" spans="1:16" x14ac:dyDescent="0.25">
      <c r="O23" s="78">
        <v>1.04</v>
      </c>
      <c r="P23" s="78">
        <f t="shared" si="0"/>
        <v>83.3352</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82.533900000000003</v>
      </c>
    </row>
    <row r="25" spans="1:16" x14ac:dyDescent="0.25">
      <c r="B25" s="161">
        <v>43427</v>
      </c>
      <c r="C25" s="10">
        <v>100</v>
      </c>
      <c r="D25" s="39">
        <v>99.45</v>
      </c>
      <c r="E25" s="39">
        <v>99.45</v>
      </c>
      <c r="F25" s="39">
        <f t="shared" ref="F25:F34" si="1">C25*(E25-D25)</f>
        <v>0</v>
      </c>
      <c r="G25" s="39">
        <f t="shared" ref="G25:G34" si="2">D25*C25</f>
        <v>9945</v>
      </c>
      <c r="H25" s="175">
        <f t="shared" ref="H25:H34" si="3">(E25-D25)/D25</f>
        <v>0</v>
      </c>
      <c r="I25" s="39"/>
      <c r="J25" s="39"/>
      <c r="K25" s="39"/>
      <c r="L25" s="39"/>
      <c r="O25" s="78">
        <v>1.02</v>
      </c>
      <c r="P25" s="78">
        <f t="shared" si="0"/>
        <v>81.732599999999991</v>
      </c>
    </row>
    <row r="26" spans="1:16" x14ac:dyDescent="0.25">
      <c r="B26" s="161">
        <v>43432</v>
      </c>
      <c r="C26" s="10">
        <v>100</v>
      </c>
      <c r="D26" s="39">
        <v>99.45</v>
      </c>
      <c r="E26" s="39">
        <v>103.77</v>
      </c>
      <c r="F26" s="39">
        <f t="shared" si="1"/>
        <v>431.99999999999932</v>
      </c>
      <c r="G26" s="39">
        <f t="shared" si="2"/>
        <v>9945</v>
      </c>
      <c r="H26" s="175">
        <f t="shared" si="3"/>
        <v>4.343891402714925E-2</v>
      </c>
      <c r="I26" s="39"/>
      <c r="J26" s="39"/>
      <c r="K26" s="39"/>
      <c r="L26" s="39"/>
      <c r="O26" s="78">
        <v>1.01</v>
      </c>
      <c r="P26" s="78">
        <f t="shared" si="0"/>
        <v>80.931299999999993</v>
      </c>
    </row>
    <row r="27" spans="1:16" x14ac:dyDescent="0.25">
      <c r="B27" s="161">
        <v>43442</v>
      </c>
      <c r="C27" s="10">
        <v>100</v>
      </c>
      <c r="D27" s="39">
        <v>99.45</v>
      </c>
      <c r="E27" s="39">
        <v>103.61</v>
      </c>
      <c r="F27" s="39">
        <f t="shared" si="1"/>
        <v>415.99999999999966</v>
      </c>
      <c r="G27" s="39">
        <f t="shared" si="2"/>
        <v>9945</v>
      </c>
      <c r="H27" s="175">
        <f t="shared" si="3"/>
        <v>4.1830065359477087E-2</v>
      </c>
      <c r="I27" s="39"/>
      <c r="J27" s="39"/>
      <c r="K27" s="39"/>
      <c r="L27" s="39"/>
      <c r="O27" s="78">
        <v>1</v>
      </c>
      <c r="P27" s="78">
        <f t="shared" si="0"/>
        <v>80.13</v>
      </c>
    </row>
    <row r="28" spans="1:16" x14ac:dyDescent="0.25">
      <c r="B28" s="161">
        <v>43461</v>
      </c>
      <c r="C28" s="10">
        <v>100</v>
      </c>
      <c r="D28" s="39">
        <v>99.45</v>
      </c>
      <c r="E28" s="39">
        <v>85.81</v>
      </c>
      <c r="F28" s="39">
        <f t="shared" si="1"/>
        <v>-1364</v>
      </c>
      <c r="G28" s="39">
        <f t="shared" si="2"/>
        <v>9945</v>
      </c>
      <c r="H28" s="175">
        <f t="shared" si="3"/>
        <v>-0.13715434891905481</v>
      </c>
      <c r="I28" s="39"/>
      <c r="J28" s="39"/>
      <c r="K28" s="39"/>
      <c r="L28" s="39"/>
      <c r="O28" s="78">
        <v>0.99</v>
      </c>
      <c r="P28" s="78">
        <f t="shared" si="0"/>
        <v>79.328699999999998</v>
      </c>
    </row>
    <row r="29" spans="1:16" x14ac:dyDescent="0.25">
      <c r="B29" s="161">
        <v>43467</v>
      </c>
      <c r="C29" s="10">
        <v>100</v>
      </c>
      <c r="D29" s="39">
        <v>99.45</v>
      </c>
      <c r="E29" s="39">
        <v>90.61</v>
      </c>
      <c r="F29" s="39">
        <f t="shared" si="1"/>
        <v>-884.00000000000034</v>
      </c>
      <c r="G29" s="39">
        <f t="shared" si="2"/>
        <v>9945</v>
      </c>
      <c r="H29" s="175">
        <f t="shared" si="3"/>
        <v>-8.888888888888892E-2</v>
      </c>
      <c r="I29" s="39"/>
      <c r="J29" s="39"/>
      <c r="K29" s="39"/>
      <c r="L29" s="39"/>
      <c r="O29" s="78">
        <v>0.98</v>
      </c>
      <c r="P29" s="78">
        <f t="shared" si="0"/>
        <v>78.5274</v>
      </c>
    </row>
    <row r="30" spans="1:16" x14ac:dyDescent="0.25">
      <c r="B30" s="161">
        <v>43483</v>
      </c>
      <c r="C30" s="10">
        <v>75</v>
      </c>
      <c r="D30" s="39">
        <v>99.073700000000002</v>
      </c>
      <c r="E30" s="39">
        <v>100.58</v>
      </c>
      <c r="F30" s="39">
        <f t="shared" si="1"/>
        <v>112.9724999999997</v>
      </c>
      <c r="G30" s="39">
        <f t="shared" si="2"/>
        <v>7430.5275000000001</v>
      </c>
      <c r="H30" s="175">
        <f t="shared" si="3"/>
        <v>1.5203833106061406E-2</v>
      </c>
      <c r="I30" s="39"/>
      <c r="J30" s="39"/>
      <c r="K30" s="39"/>
      <c r="L30" s="39"/>
      <c r="O30" s="78">
        <v>0.97</v>
      </c>
      <c r="P30" s="78">
        <f t="shared" si="0"/>
        <v>77.726099999999988</v>
      </c>
    </row>
    <row r="31" spans="1:16" x14ac:dyDescent="0.25">
      <c r="B31" s="161">
        <v>43483</v>
      </c>
      <c r="C31" s="10">
        <v>50</v>
      </c>
      <c r="D31" s="39">
        <v>98.096000000000004</v>
      </c>
      <c r="E31" s="39">
        <v>101.03</v>
      </c>
      <c r="F31" s="39">
        <f t="shared" si="1"/>
        <v>146.69999999999987</v>
      </c>
      <c r="G31" s="39">
        <f t="shared" si="2"/>
        <v>4904.8</v>
      </c>
      <c r="H31" s="175">
        <f t="shared" si="3"/>
        <v>2.9909476431250994E-2</v>
      </c>
      <c r="I31" s="39"/>
      <c r="J31" s="39"/>
      <c r="K31" s="39"/>
      <c r="L31" s="39"/>
      <c r="O31" s="78">
        <v>0.96</v>
      </c>
      <c r="P31" s="78">
        <f t="shared" si="0"/>
        <v>76.924799999999991</v>
      </c>
    </row>
    <row r="32" spans="1:16" x14ac:dyDescent="0.25">
      <c r="B32" s="161">
        <v>43496</v>
      </c>
      <c r="C32" s="10">
        <v>50</v>
      </c>
      <c r="D32" s="39">
        <v>97.656199999999998</v>
      </c>
      <c r="E32" s="39">
        <v>99.45</v>
      </c>
      <c r="F32" s="39">
        <f t="shared" si="1"/>
        <v>89.690000000000225</v>
      </c>
      <c r="G32" s="39">
        <f t="shared" si="2"/>
        <v>4882.8099999999995</v>
      </c>
      <c r="H32" s="175">
        <f t="shared" si="3"/>
        <v>1.8368521404683005E-2</v>
      </c>
      <c r="I32" s="39"/>
      <c r="J32" s="39"/>
      <c r="K32" s="39"/>
      <c r="L32" s="39"/>
      <c r="O32" s="78">
        <v>0.95</v>
      </c>
      <c r="P32" s="78">
        <f t="shared" si="0"/>
        <v>76.123499999999993</v>
      </c>
    </row>
    <row r="33" spans="2:17" x14ac:dyDescent="0.25">
      <c r="B33" s="161">
        <v>43535</v>
      </c>
      <c r="C33" s="10">
        <v>50</v>
      </c>
      <c r="D33" s="39">
        <v>97.66</v>
      </c>
      <c r="E33" s="39">
        <v>86.26</v>
      </c>
      <c r="F33" s="39">
        <f t="shared" si="1"/>
        <v>-569.99999999999955</v>
      </c>
      <c r="G33" s="39">
        <f t="shared" si="2"/>
        <v>4883</v>
      </c>
      <c r="H33" s="175">
        <f t="shared" si="3"/>
        <v>-0.11673151750972754</v>
      </c>
      <c r="I33" s="39"/>
      <c r="J33" s="39"/>
      <c r="K33" s="39"/>
      <c r="L33" s="39"/>
      <c r="O33" s="78">
        <v>0.94</v>
      </c>
      <c r="P33" s="78">
        <f t="shared" si="0"/>
        <v>75.322199999999995</v>
      </c>
    </row>
    <row r="34" spans="2:17" x14ac:dyDescent="0.25">
      <c r="B34" s="161">
        <v>43563</v>
      </c>
      <c r="C34" s="10">
        <v>0</v>
      </c>
      <c r="D34" s="39">
        <v>97.66</v>
      </c>
      <c r="E34" s="39">
        <v>99.48</v>
      </c>
      <c r="F34" s="39">
        <f t="shared" si="1"/>
        <v>0</v>
      </c>
      <c r="G34" s="39">
        <f t="shared" si="2"/>
        <v>0</v>
      </c>
      <c r="H34" s="175">
        <f t="shared" si="3"/>
        <v>1.8636084374360103E-2</v>
      </c>
      <c r="I34" s="39"/>
      <c r="J34" s="39">
        <v>117.12</v>
      </c>
      <c r="K34" s="39"/>
      <c r="L34" s="39"/>
      <c r="O34" s="78">
        <v>0.93</v>
      </c>
      <c r="P34" s="78">
        <f t="shared" si="0"/>
        <v>74.520899999999997</v>
      </c>
    </row>
    <row r="35" spans="2:17" x14ac:dyDescent="0.25">
      <c r="B35" s="161"/>
      <c r="C35" s="10"/>
      <c r="D35" s="39"/>
      <c r="E35" s="39"/>
      <c r="F35" s="39"/>
      <c r="G35" s="39"/>
      <c r="H35" s="175"/>
      <c r="I35" s="39"/>
      <c r="J35" s="39"/>
      <c r="K35" s="39"/>
      <c r="L35" s="39"/>
      <c r="O35" s="78">
        <v>0.92</v>
      </c>
      <c r="P35" s="78">
        <f t="shared" si="0"/>
        <v>73.7196</v>
      </c>
    </row>
    <row r="36" spans="2:17" x14ac:dyDescent="0.25">
      <c r="B36" s="161"/>
      <c r="C36" s="10"/>
      <c r="D36" s="39"/>
      <c r="E36" s="39"/>
      <c r="F36" s="39"/>
      <c r="G36" s="39"/>
      <c r="H36" s="175"/>
      <c r="I36" s="39"/>
      <c r="J36" s="39"/>
      <c r="K36" s="39"/>
      <c r="L36" s="39"/>
      <c r="O36" s="78">
        <v>0.91</v>
      </c>
      <c r="P36" s="78">
        <f t="shared" si="0"/>
        <v>72.918300000000002</v>
      </c>
    </row>
    <row r="37" spans="2:17" x14ac:dyDescent="0.25">
      <c r="B37" s="161"/>
      <c r="C37" s="10"/>
      <c r="D37" s="39"/>
      <c r="E37" s="39"/>
      <c r="F37" s="39"/>
      <c r="G37" s="39"/>
      <c r="H37" s="175"/>
      <c r="I37" s="39"/>
      <c r="J37" s="39"/>
      <c r="K37" s="39"/>
      <c r="L37" s="39"/>
      <c r="O37" s="78">
        <v>0.9</v>
      </c>
      <c r="P37" s="78">
        <f t="shared" si="0"/>
        <v>72.117000000000004</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760"/>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60"/>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1269</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303" priority="43">
      <formula>F54&gt;0</formula>
    </cfRule>
    <cfRule type="expression" dxfId="3302" priority="44">
      <formula>F54&lt;0</formula>
    </cfRule>
  </conditionalFormatting>
  <conditionalFormatting sqref="Q7">
    <cfRule type="expression" dxfId="3301" priority="41">
      <formula>Q7&gt;0</formula>
    </cfRule>
    <cfRule type="expression" dxfId="3300" priority="42">
      <formula>Q7&lt;0</formula>
    </cfRule>
  </conditionalFormatting>
  <conditionalFormatting sqref="Q8">
    <cfRule type="expression" dxfId="3299" priority="39">
      <formula>Q8&gt;0</formula>
    </cfRule>
    <cfRule type="expression" dxfId="3298" priority="40">
      <formula>Q8&lt;0</formula>
    </cfRule>
  </conditionalFormatting>
  <conditionalFormatting sqref="F33:F36 F38:F53">
    <cfRule type="expression" dxfId="3297" priority="37">
      <formula>F33&gt;0</formula>
    </cfRule>
    <cfRule type="expression" dxfId="3296" priority="38">
      <formula>F33&lt;0</formula>
    </cfRule>
  </conditionalFormatting>
  <conditionalFormatting sqref="H33:H36 H38:H53">
    <cfRule type="expression" dxfId="3295" priority="35">
      <formula>H33&gt;0</formula>
    </cfRule>
    <cfRule type="expression" dxfId="3294" priority="36">
      <formula>H33&lt;0</formula>
    </cfRule>
  </conditionalFormatting>
  <conditionalFormatting sqref="Q10">
    <cfRule type="expression" dxfId="3293" priority="33">
      <formula>Q10&gt;0</formula>
    </cfRule>
    <cfRule type="expression" dxfId="3292" priority="34">
      <formula>Q10&lt;0</formula>
    </cfRule>
  </conditionalFormatting>
  <conditionalFormatting sqref="J25:J37">
    <cfRule type="expression" dxfId="3291" priority="31">
      <formula>J25&gt;0</formula>
    </cfRule>
    <cfRule type="expression" dxfId="3290" priority="32">
      <formula>J25&lt;0</formula>
    </cfRule>
  </conditionalFormatting>
  <conditionalFormatting sqref="K25:K38">
    <cfRule type="expression" dxfId="3289" priority="29">
      <formula>K25&gt;0</formula>
    </cfRule>
    <cfRule type="expression" dxfId="3288" priority="30">
      <formula>K25&lt;0</formula>
    </cfRule>
  </conditionalFormatting>
  <conditionalFormatting sqref="L25">
    <cfRule type="expression" dxfId="3287" priority="27">
      <formula>L25&gt;0</formula>
    </cfRule>
    <cfRule type="expression" dxfId="3286" priority="28">
      <formula>L25&lt;0</formula>
    </cfRule>
  </conditionalFormatting>
  <conditionalFormatting sqref="F89:F110">
    <cfRule type="expression" dxfId="3285" priority="25">
      <formula>F89&gt;0</formula>
    </cfRule>
    <cfRule type="expression" dxfId="3284" priority="26">
      <formula>F89&lt;0</formula>
    </cfRule>
  </conditionalFormatting>
  <conditionalFormatting sqref="H89:H110">
    <cfRule type="expression" dxfId="3283" priority="23">
      <formula>H89&gt;0</formula>
    </cfRule>
    <cfRule type="expression" dxfId="3282" priority="24">
      <formula>H89&lt;0</formula>
    </cfRule>
  </conditionalFormatting>
  <conditionalFormatting sqref="J89:J102">
    <cfRule type="expression" dxfId="3281" priority="21">
      <formula>J89&gt;0</formula>
    </cfRule>
    <cfRule type="expression" dxfId="3280" priority="22">
      <formula>J89&lt;0</formula>
    </cfRule>
  </conditionalFormatting>
  <conditionalFormatting sqref="K89:K102">
    <cfRule type="expression" dxfId="3279" priority="19">
      <formula>K89&gt;0</formula>
    </cfRule>
    <cfRule type="expression" dxfId="3278" priority="20">
      <formula>K89&lt;0</formula>
    </cfRule>
  </conditionalFormatting>
  <conditionalFormatting sqref="L89:L102">
    <cfRule type="expression" dxfId="3277" priority="17">
      <formula>L89&gt;0</formula>
    </cfRule>
    <cfRule type="expression" dxfId="3276" priority="18">
      <formula>L89&lt;0</formula>
    </cfRule>
  </conditionalFormatting>
  <conditionalFormatting sqref="F29:F32">
    <cfRule type="expression" dxfId="3275" priority="15">
      <formula>F29&gt;0</formula>
    </cfRule>
    <cfRule type="expression" dxfId="3274" priority="16">
      <formula>F29&lt;0</formula>
    </cfRule>
  </conditionalFormatting>
  <conditionalFormatting sqref="H29:H32">
    <cfRule type="expression" dxfId="3273" priority="13">
      <formula>H29&gt;0</formula>
    </cfRule>
    <cfRule type="expression" dxfId="3272" priority="14">
      <formula>H29&lt;0</formula>
    </cfRule>
  </conditionalFormatting>
  <conditionalFormatting sqref="F25:F28">
    <cfRule type="expression" dxfId="3271" priority="11">
      <formula>F25&gt;0</formula>
    </cfRule>
    <cfRule type="expression" dxfId="3270" priority="12">
      <formula>F25&lt;0</formula>
    </cfRule>
  </conditionalFormatting>
  <conditionalFormatting sqref="H25:H28">
    <cfRule type="expression" dxfId="3269" priority="9">
      <formula>H25&gt;0</formula>
    </cfRule>
    <cfRule type="expression" dxfId="3268" priority="10">
      <formula>H25&lt;0</formula>
    </cfRule>
  </conditionalFormatting>
  <conditionalFormatting sqref="F37">
    <cfRule type="expression" dxfId="3267" priority="7">
      <formula>F37&gt;0</formula>
    </cfRule>
    <cfRule type="expression" dxfId="3266" priority="8">
      <formula>F37&lt;0</formula>
    </cfRule>
  </conditionalFormatting>
  <conditionalFormatting sqref="H37">
    <cfRule type="expression" dxfId="3265" priority="5">
      <formula>H37&gt;0</formula>
    </cfRule>
    <cfRule type="expression" dxfId="3264" priority="6">
      <formula>H37&lt;0</formula>
    </cfRule>
  </conditionalFormatting>
  <conditionalFormatting sqref="J49">
    <cfRule type="expression" dxfId="3263" priority="3">
      <formula>J49&gt;0</formula>
    </cfRule>
    <cfRule type="expression" dxfId="3262" priority="4">
      <formula>J49&lt;0</formula>
    </cfRule>
  </conditionalFormatting>
  <conditionalFormatting sqref="J38:J48">
    <cfRule type="expression" dxfId="3261" priority="1">
      <formula>J38&gt;0</formula>
    </cfRule>
    <cfRule type="expression" dxfId="3260" priority="2">
      <formula>J38&lt;0</formula>
    </cfRule>
  </conditionalFormatting>
  <hyperlinks>
    <hyperlink ref="A3" location="ACTIVE!A1" display="Back"/>
  </hyperlinks>
  <pageMargins left="0.7" right="0.7" top="0.75" bottom="0.75" header="0.3" footer="0.3"/>
  <pageSetup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2"/>
  <dimension ref="A1:AE70"/>
  <sheetViews>
    <sheetView workbookViewId="0">
      <pane ySplit="1" topLeftCell="A2" activePane="bottomLeft" state="frozen"/>
      <selection activeCell="A2" sqref="A2"/>
      <selection pane="bottomLeft"/>
    </sheetView>
  </sheetViews>
  <sheetFormatPr defaultRowHeight="15" x14ac:dyDescent="0.25"/>
  <cols>
    <col min="4" max="6" width="9.140625" style="2"/>
    <col min="9" max="11" width="9.140625" style="2"/>
    <col min="18" max="18" width="9.7109375" bestFit="1" customWidth="1"/>
    <col min="20" max="20" width="13.7109375" customWidth="1"/>
    <col min="21" max="21" width="18.140625" customWidth="1"/>
    <col min="23" max="23" width="14.42578125"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259</v>
      </c>
      <c r="B2" s="69"/>
      <c r="C2" s="4"/>
      <c r="D2" s="3"/>
      <c r="E2" s="3"/>
      <c r="F2" s="3"/>
      <c r="G2" s="69"/>
      <c r="H2" s="158"/>
      <c r="I2" s="3"/>
      <c r="J2" s="3"/>
      <c r="K2" s="3"/>
      <c r="L2" s="69"/>
      <c r="M2" s="3"/>
      <c r="O2" s="11" t="s">
        <v>57</v>
      </c>
      <c r="Q2">
        <f>C18-H18</f>
        <v>0</v>
      </c>
      <c r="T2" s="1"/>
      <c r="W2" s="127">
        <v>42830</v>
      </c>
      <c r="X2" s="10">
        <v>31.78</v>
      </c>
      <c r="Y2" s="10">
        <v>31.85</v>
      </c>
      <c r="Z2" s="10">
        <v>31.26</v>
      </c>
      <c r="AA2" s="10">
        <v>31.38</v>
      </c>
      <c r="AB2" s="90">
        <v>8365200</v>
      </c>
      <c r="AC2" s="10">
        <v>31.38</v>
      </c>
      <c r="AD2" s="2">
        <f>Y2-Z2</f>
        <v>0.58999999999999986</v>
      </c>
      <c r="AE2" s="131">
        <f>AC2/AC3-1</f>
        <v>-1.1653543307086678E-2</v>
      </c>
    </row>
    <row r="3" spans="1:31" x14ac:dyDescent="0.25">
      <c r="A3" s="22" t="s">
        <v>71</v>
      </c>
      <c r="B3" s="69"/>
      <c r="C3" s="4"/>
      <c r="D3" s="3"/>
      <c r="E3" s="3"/>
      <c r="F3" s="3"/>
      <c r="G3" s="69"/>
      <c r="H3" s="158"/>
      <c r="I3" s="3"/>
      <c r="J3" s="3"/>
      <c r="K3" s="3"/>
      <c r="L3" s="4"/>
      <c r="M3" s="4"/>
      <c r="O3" s="11" t="s">
        <v>58</v>
      </c>
      <c r="Q3" s="174">
        <f>IF(Q2=0, Q4, (F18-K18-M18)/Q2)</f>
        <v>32.270000000000003</v>
      </c>
      <c r="T3" s="1"/>
      <c r="W3" s="127">
        <v>42829</v>
      </c>
      <c r="X3" s="10">
        <v>32.01</v>
      </c>
      <c r="Y3" s="10">
        <v>32.17</v>
      </c>
      <c r="Z3" s="10">
        <v>31.61</v>
      </c>
      <c r="AA3" s="10">
        <v>31.75</v>
      </c>
      <c r="AB3" s="90">
        <v>9084900</v>
      </c>
      <c r="AC3" s="10">
        <v>31.75</v>
      </c>
      <c r="AD3" s="2">
        <f t="shared" ref="AD3:AD66" si="0">Y3-Z3</f>
        <v>0.56000000000000227</v>
      </c>
      <c r="AE3" s="131">
        <f t="shared" ref="AE3:AE66" si="1">AC3/AC4-1</f>
        <v>-1.244167962674958E-2</v>
      </c>
    </row>
    <row r="4" spans="1:31" x14ac:dyDescent="0.25">
      <c r="B4" s="69"/>
      <c r="C4" s="4"/>
      <c r="D4" s="3"/>
      <c r="E4" s="3"/>
      <c r="F4" s="3"/>
      <c r="G4" s="69"/>
      <c r="H4" s="158"/>
      <c r="I4" s="3"/>
      <c r="J4" s="3"/>
      <c r="K4" s="3"/>
      <c r="L4" s="4"/>
      <c r="M4" s="4"/>
      <c r="O4" s="11" t="s">
        <v>66</v>
      </c>
      <c r="Q4" s="53">
        <v>32.270000000000003</v>
      </c>
      <c r="R4" s="396">
        <v>3.0999999999999999E-3</v>
      </c>
      <c r="T4" s="153"/>
      <c r="U4" s="1"/>
      <c r="W4" s="127">
        <v>42828</v>
      </c>
      <c r="X4" s="10">
        <v>32.479999999999997</v>
      </c>
      <c r="Y4" s="10">
        <v>32.54</v>
      </c>
      <c r="Z4" s="10">
        <v>32.03</v>
      </c>
      <c r="AA4" s="10">
        <v>32.15</v>
      </c>
      <c r="AB4" s="90">
        <v>5842400</v>
      </c>
      <c r="AC4" s="10">
        <v>32.15</v>
      </c>
      <c r="AD4" s="2">
        <f t="shared" si="0"/>
        <v>0.50999999999999801</v>
      </c>
      <c r="AE4" s="131">
        <f t="shared" si="1"/>
        <v>-7.4096943501080759E-3</v>
      </c>
    </row>
    <row r="5" spans="1:31" x14ac:dyDescent="0.25">
      <c r="B5" s="69"/>
      <c r="C5" s="4"/>
      <c r="D5" s="3"/>
      <c r="E5" s="3"/>
      <c r="F5" s="3"/>
      <c r="G5" s="4"/>
      <c r="H5" s="158"/>
      <c r="I5" s="3"/>
      <c r="J5" s="3"/>
      <c r="K5" s="3"/>
      <c r="L5" s="4"/>
      <c r="M5" s="4"/>
      <c r="O5" s="11" t="s">
        <v>67</v>
      </c>
      <c r="Q5" s="3">
        <f>Q4*Q2</f>
        <v>0</v>
      </c>
      <c r="W5" s="127">
        <v>42825</v>
      </c>
      <c r="X5" s="10">
        <v>32.22</v>
      </c>
      <c r="Y5" s="10">
        <v>32.6</v>
      </c>
      <c r="Z5" s="10">
        <v>32.200000000000003</v>
      </c>
      <c r="AA5" s="10">
        <v>32.39</v>
      </c>
      <c r="AB5" s="90">
        <v>6709800</v>
      </c>
      <c r="AC5" s="10">
        <v>32.39</v>
      </c>
      <c r="AD5" s="2">
        <f t="shared" si="0"/>
        <v>0.39999999999999858</v>
      </c>
      <c r="AE5" s="131">
        <f t="shared" si="1"/>
        <v>9.2707045735473947E-4</v>
      </c>
    </row>
    <row r="6" spans="1:31" x14ac:dyDescent="0.25">
      <c r="B6" s="69"/>
      <c r="C6" s="4"/>
      <c r="D6" s="3"/>
      <c r="E6" s="3"/>
      <c r="F6" s="3"/>
      <c r="G6" s="4"/>
      <c r="H6" s="158"/>
      <c r="I6" s="3"/>
      <c r="J6" s="3"/>
      <c r="K6" s="3"/>
      <c r="L6" s="4"/>
      <c r="M6" s="4"/>
      <c r="O6" s="11" t="s">
        <v>64</v>
      </c>
      <c r="Q6" s="2">
        <f>Q3*Q2</f>
        <v>0</v>
      </c>
      <c r="W6" s="127">
        <v>42824</v>
      </c>
      <c r="X6" s="10">
        <v>32.04</v>
      </c>
      <c r="Y6" s="10">
        <v>32.39</v>
      </c>
      <c r="Z6" s="10">
        <v>32.01</v>
      </c>
      <c r="AA6" s="10">
        <v>32.36</v>
      </c>
      <c r="AB6" s="90">
        <v>4124000</v>
      </c>
      <c r="AC6" s="10">
        <v>32.36</v>
      </c>
      <c r="AD6" s="2">
        <f t="shared" si="0"/>
        <v>0.38000000000000256</v>
      </c>
      <c r="AE6" s="131">
        <f t="shared" si="1"/>
        <v>7.7857365306757131E-3</v>
      </c>
    </row>
    <row r="7" spans="1:31" x14ac:dyDescent="0.25">
      <c r="B7" s="4"/>
      <c r="C7" s="4"/>
      <c r="D7" s="3"/>
      <c r="E7" s="3"/>
      <c r="F7" s="3"/>
      <c r="G7" s="4"/>
      <c r="H7" s="158"/>
      <c r="I7" s="3"/>
      <c r="J7" s="3"/>
      <c r="K7" s="3"/>
      <c r="L7" s="4"/>
      <c r="M7" s="4"/>
      <c r="O7" s="11" t="s">
        <v>175</v>
      </c>
      <c r="Q7" s="2">
        <f>Q10+Q8</f>
        <v>98.449999999999818</v>
      </c>
      <c r="R7">
        <v>0</v>
      </c>
      <c r="W7" s="127">
        <v>42823</v>
      </c>
      <c r="X7" s="10">
        <v>32.31</v>
      </c>
      <c r="Y7" s="10">
        <v>32.49</v>
      </c>
      <c r="Z7" s="10">
        <v>32.07</v>
      </c>
      <c r="AA7" s="10">
        <v>32.11</v>
      </c>
      <c r="AB7" s="90">
        <v>7239100</v>
      </c>
      <c r="AC7" s="10">
        <v>32.11</v>
      </c>
      <c r="AD7" s="2">
        <f t="shared" si="0"/>
        <v>0.42000000000000171</v>
      </c>
      <c r="AE7" s="131">
        <f t="shared" si="1"/>
        <v>-1.0172626387176309E-2</v>
      </c>
    </row>
    <row r="8" spans="1:31" x14ac:dyDescent="0.25">
      <c r="B8" s="4"/>
      <c r="C8" s="4"/>
      <c r="D8" s="3"/>
      <c r="E8" s="3"/>
      <c r="F8" s="3"/>
      <c r="G8" s="4"/>
      <c r="H8" s="158"/>
      <c r="I8" s="3"/>
      <c r="J8" s="3"/>
      <c r="K8" s="3"/>
      <c r="L8" s="4"/>
      <c r="M8" s="4"/>
      <c r="O8" s="11" t="s">
        <v>177</v>
      </c>
      <c r="P8" s="33"/>
      <c r="Q8" s="2">
        <f>K18+M18-F18+Q2*Q4</f>
        <v>0</v>
      </c>
      <c r="W8" s="127">
        <v>42822</v>
      </c>
      <c r="X8" s="10">
        <v>31.76</v>
      </c>
      <c r="Y8" s="10">
        <v>32.58</v>
      </c>
      <c r="Z8" s="10">
        <v>31.75</v>
      </c>
      <c r="AA8" s="10">
        <v>32.44</v>
      </c>
      <c r="AB8" s="90">
        <v>11092100</v>
      </c>
      <c r="AC8" s="10">
        <v>32.44</v>
      </c>
      <c r="AD8" s="2">
        <f t="shared" si="0"/>
        <v>0.82999999999999829</v>
      </c>
      <c r="AE8" s="131">
        <f t="shared" si="1"/>
        <v>1.6927899686520309E-2</v>
      </c>
    </row>
    <row r="9" spans="1:31" x14ac:dyDescent="0.25">
      <c r="B9" s="4"/>
      <c r="C9" s="4"/>
      <c r="D9" s="3"/>
      <c r="E9" s="3"/>
      <c r="F9" s="3"/>
      <c r="G9" s="4"/>
      <c r="H9" s="158"/>
      <c r="I9" s="3"/>
      <c r="J9" s="3"/>
      <c r="K9" s="3"/>
      <c r="L9" s="4"/>
      <c r="M9" s="4"/>
      <c r="O9" s="11" t="s">
        <v>202</v>
      </c>
      <c r="Q9" s="131">
        <f>IF(Q2=0, 0, Q8/Q6)</f>
        <v>0</v>
      </c>
      <c r="W9" s="127">
        <v>42821</v>
      </c>
      <c r="X9" s="10">
        <v>31.4</v>
      </c>
      <c r="Y9" s="10">
        <v>32.049999999999997</v>
      </c>
      <c r="Z9" s="10">
        <v>31.31</v>
      </c>
      <c r="AA9" s="10">
        <v>31.9</v>
      </c>
      <c r="AB9" s="90">
        <v>11019100</v>
      </c>
      <c r="AC9" s="10">
        <v>31.9</v>
      </c>
      <c r="AD9" s="2">
        <f t="shared" si="0"/>
        <v>0.73999999999999844</v>
      </c>
      <c r="AE9" s="131">
        <f t="shared" si="1"/>
        <v>1.2055837563451854E-2</v>
      </c>
    </row>
    <row r="10" spans="1:31" x14ac:dyDescent="0.25">
      <c r="H10" s="67"/>
      <c r="O10" s="11" t="s">
        <v>201</v>
      </c>
      <c r="P10" s="33"/>
      <c r="Q10" s="2">
        <f>M44</f>
        <v>98.449999999999818</v>
      </c>
      <c r="W10" s="127">
        <v>42818</v>
      </c>
      <c r="X10" s="10">
        <v>31.38</v>
      </c>
      <c r="Y10" s="10">
        <v>31.85</v>
      </c>
      <c r="Z10" s="10">
        <v>31.26</v>
      </c>
      <c r="AA10" s="10">
        <v>31.52</v>
      </c>
      <c r="AB10" s="90">
        <v>10347800</v>
      </c>
      <c r="AC10" s="10">
        <v>31.52</v>
      </c>
      <c r="AD10" s="2">
        <f t="shared" si="0"/>
        <v>0.58999999999999986</v>
      </c>
      <c r="AE10" s="131">
        <f t="shared" si="1"/>
        <v>6.0644749441429724E-3</v>
      </c>
    </row>
    <row r="11" spans="1:31" x14ac:dyDescent="0.25">
      <c r="H11" s="67"/>
      <c r="O11" s="11" t="s">
        <v>173</v>
      </c>
      <c r="P11" s="33"/>
      <c r="Q11" s="131">
        <f>IF(U58="N/A (N/A)", 0, VALUE(TRIM(CLEAN(MID(U58, FIND("(", U58)+1, 5)))))</f>
        <v>1.11E-2</v>
      </c>
      <c r="W11" s="127">
        <v>42817</v>
      </c>
      <c r="X11" s="10">
        <v>30.97</v>
      </c>
      <c r="Y11" s="10">
        <v>31.55</v>
      </c>
      <c r="Z11" s="10">
        <v>30.88</v>
      </c>
      <c r="AA11" s="10">
        <v>31.33</v>
      </c>
      <c r="AB11" s="90">
        <v>11218600</v>
      </c>
      <c r="AC11" s="10">
        <v>31.33</v>
      </c>
      <c r="AD11" s="2">
        <f t="shared" si="0"/>
        <v>0.67000000000000171</v>
      </c>
      <c r="AE11" s="131">
        <f t="shared" si="1"/>
        <v>1.1624152405553811E-2</v>
      </c>
    </row>
    <row r="12" spans="1:31" x14ac:dyDescent="0.25">
      <c r="H12" s="67"/>
      <c r="W12" s="127">
        <v>42816</v>
      </c>
      <c r="X12" s="10">
        <v>30.63</v>
      </c>
      <c r="Y12" s="10">
        <v>31.09</v>
      </c>
      <c r="Z12" s="10">
        <v>30.49</v>
      </c>
      <c r="AA12" s="10">
        <v>30.97</v>
      </c>
      <c r="AB12" s="90">
        <v>6602500</v>
      </c>
      <c r="AC12" s="10">
        <v>30.97</v>
      </c>
      <c r="AD12" s="2">
        <f t="shared" si="0"/>
        <v>0.60000000000000142</v>
      </c>
      <c r="AE12" s="131">
        <f t="shared" si="1"/>
        <v>1.3416230366492199E-2</v>
      </c>
    </row>
    <row r="13" spans="1:31" x14ac:dyDescent="0.25">
      <c r="H13" s="67"/>
      <c r="W13" s="127">
        <v>42815</v>
      </c>
      <c r="X13" s="10">
        <v>30.77</v>
      </c>
      <c r="Y13" s="10">
        <v>30.86</v>
      </c>
      <c r="Z13" s="10">
        <v>30.52</v>
      </c>
      <c r="AA13" s="10">
        <v>30.56</v>
      </c>
      <c r="AB13" s="90">
        <v>9621300</v>
      </c>
      <c r="AC13" s="10">
        <v>30.56</v>
      </c>
      <c r="AD13" s="2">
        <f t="shared" si="0"/>
        <v>0.33999999999999986</v>
      </c>
      <c r="AE13" s="131">
        <f t="shared" si="1"/>
        <v>-2.285341168788757E-3</v>
      </c>
    </row>
    <row r="14" spans="1:31" x14ac:dyDescent="0.25">
      <c r="H14" s="67"/>
      <c r="W14" s="127">
        <v>42814</v>
      </c>
      <c r="X14" s="10">
        <v>30.85</v>
      </c>
      <c r="Y14" s="10">
        <v>31.01</v>
      </c>
      <c r="Z14" s="10">
        <v>30.58</v>
      </c>
      <c r="AA14" s="10">
        <v>30.63</v>
      </c>
      <c r="AB14" s="90">
        <v>4134000</v>
      </c>
      <c r="AC14" s="10">
        <v>30.63</v>
      </c>
      <c r="AD14" s="2">
        <f t="shared" si="0"/>
        <v>0.43000000000000327</v>
      </c>
      <c r="AE14" s="131">
        <f t="shared" si="1"/>
        <v>-6.1648280337444072E-3</v>
      </c>
    </row>
    <row r="15" spans="1:31" x14ac:dyDescent="0.25">
      <c r="H15" s="67"/>
      <c r="W15" s="127">
        <v>42811</v>
      </c>
      <c r="X15" s="10">
        <v>30.97</v>
      </c>
      <c r="Y15" s="10">
        <v>31.03</v>
      </c>
      <c r="Z15" s="10">
        <v>30.65</v>
      </c>
      <c r="AA15" s="10">
        <v>30.82</v>
      </c>
      <c r="AB15" s="90">
        <v>9431700</v>
      </c>
      <c r="AC15" s="10">
        <v>30.82</v>
      </c>
      <c r="AD15" s="2">
        <f t="shared" si="0"/>
        <v>0.38000000000000256</v>
      </c>
      <c r="AE15" s="131">
        <f t="shared" si="1"/>
        <v>1.9505851755525772E-3</v>
      </c>
    </row>
    <row r="16" spans="1:31" x14ac:dyDescent="0.25">
      <c r="H16" s="67"/>
      <c r="W16" s="127">
        <v>42810</v>
      </c>
      <c r="X16" s="10">
        <v>30.68</v>
      </c>
      <c r="Y16" s="10">
        <v>30.78</v>
      </c>
      <c r="Z16" s="10">
        <v>30.42</v>
      </c>
      <c r="AA16" s="10">
        <v>30.76</v>
      </c>
      <c r="AB16" s="90">
        <v>8728100</v>
      </c>
      <c r="AC16" s="10">
        <v>30.76</v>
      </c>
      <c r="AD16" s="2">
        <f t="shared" si="0"/>
        <v>0.35999999999999943</v>
      </c>
      <c r="AE16" s="131">
        <f t="shared" si="1"/>
        <v>6.5061808718303027E-4</v>
      </c>
    </row>
    <row r="17" spans="1:31" x14ac:dyDescent="0.25">
      <c r="W17" s="127">
        <v>42809</v>
      </c>
      <c r="X17" s="10">
        <v>30.67</v>
      </c>
      <c r="Y17" s="10">
        <v>30.92</v>
      </c>
      <c r="Z17" s="10">
        <v>30.44</v>
      </c>
      <c r="AA17" s="10">
        <v>30.74</v>
      </c>
      <c r="AB17" s="90">
        <v>4065200</v>
      </c>
      <c r="AC17" s="10">
        <v>30.74</v>
      </c>
      <c r="AD17" s="2">
        <f t="shared" si="0"/>
        <v>0.48000000000000043</v>
      </c>
      <c r="AE17" s="131">
        <f t="shared" si="1"/>
        <v>7.2083879423328057E-3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7">
        <v>42808</v>
      </c>
      <c r="X18" s="10">
        <v>30.49</v>
      </c>
      <c r="Y18" s="10">
        <v>30.61</v>
      </c>
      <c r="Z18" s="10">
        <v>30.32</v>
      </c>
      <c r="AA18" s="10">
        <v>30.52</v>
      </c>
      <c r="AB18" s="90">
        <v>4307000</v>
      </c>
      <c r="AC18" s="10">
        <v>30.52</v>
      </c>
      <c r="AD18" s="2">
        <f t="shared" si="0"/>
        <v>0.28999999999999915</v>
      </c>
      <c r="AE18" s="131">
        <f t="shared" si="1"/>
        <v>6.5573770491811345E-4</v>
      </c>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v>42807</v>
      </c>
      <c r="X19" s="10">
        <v>30.4</v>
      </c>
      <c r="Y19" s="10">
        <v>30.55</v>
      </c>
      <c r="Z19" s="10">
        <v>30.35</v>
      </c>
      <c r="AA19" s="10">
        <v>30.5</v>
      </c>
      <c r="AB19" s="90">
        <v>5352000</v>
      </c>
      <c r="AC19" s="10">
        <v>30.5</v>
      </c>
      <c r="AD19" s="2">
        <f t="shared" si="0"/>
        <v>0.19999999999999929</v>
      </c>
      <c r="AE19" s="131" t="e">
        <f t="shared" si="1"/>
        <v>#DIV/0!</v>
      </c>
    </row>
    <row r="20" spans="1:31" x14ac:dyDescent="0.25">
      <c r="W20" s="127">
        <v>42807</v>
      </c>
      <c r="X20" s="10" t="s">
        <v>264</v>
      </c>
      <c r="Y20" s="10"/>
      <c r="Z20" s="10"/>
      <c r="AA20" s="10"/>
      <c r="AB20" s="90"/>
      <c r="AC20" s="10"/>
      <c r="AD20" s="2">
        <f t="shared" si="0"/>
        <v>0</v>
      </c>
      <c r="AE20" s="131">
        <f t="shared" si="1"/>
        <v>-1</v>
      </c>
    </row>
    <row r="21" spans="1:31" x14ac:dyDescent="0.25">
      <c r="W21" s="127">
        <v>42804</v>
      </c>
      <c r="X21" s="10">
        <v>30.83</v>
      </c>
      <c r="Y21" s="10">
        <v>30.92</v>
      </c>
      <c r="Z21" s="10">
        <v>30.4</v>
      </c>
      <c r="AA21" s="10">
        <v>30.55</v>
      </c>
      <c r="AB21" s="90">
        <v>7785800</v>
      </c>
      <c r="AC21" s="10">
        <v>30.37</v>
      </c>
      <c r="AD21" s="2">
        <f t="shared" si="0"/>
        <v>0.52000000000000313</v>
      </c>
      <c r="AE21" s="131">
        <f t="shared" si="1"/>
        <v>-4.9148099606814988E-3</v>
      </c>
    </row>
    <row r="22" spans="1:31" x14ac:dyDescent="0.25">
      <c r="W22" s="127">
        <v>42803</v>
      </c>
      <c r="X22" s="10">
        <v>30.36</v>
      </c>
      <c r="Y22" s="10">
        <v>30.83</v>
      </c>
      <c r="Z22" s="10">
        <v>30.36</v>
      </c>
      <c r="AA22" s="10">
        <v>30.7</v>
      </c>
      <c r="AB22" s="90">
        <v>6664200</v>
      </c>
      <c r="AC22" s="10">
        <v>30.52</v>
      </c>
      <c r="AD22" s="2">
        <f t="shared" si="0"/>
        <v>0.46999999999999886</v>
      </c>
      <c r="AE22" s="131">
        <f t="shared" si="1"/>
        <v>1.1600928074245953E-2</v>
      </c>
    </row>
    <row r="23" spans="1:31" x14ac:dyDescent="0.25">
      <c r="W23" s="127">
        <v>42802</v>
      </c>
      <c r="X23" s="10">
        <v>30.59</v>
      </c>
      <c r="Y23" s="10">
        <v>30.6</v>
      </c>
      <c r="Z23" s="10">
        <v>30.33</v>
      </c>
      <c r="AA23" s="10">
        <v>30.35</v>
      </c>
      <c r="AB23" s="90">
        <v>4993300</v>
      </c>
      <c r="AC23" s="10">
        <v>30.17</v>
      </c>
      <c r="AD23" s="2">
        <f t="shared" si="0"/>
        <v>0.27000000000000313</v>
      </c>
      <c r="AE23" s="131">
        <f t="shared" si="1"/>
        <v>-5.6031641397494836E-3</v>
      </c>
    </row>
    <row r="24" spans="1:31" x14ac:dyDescent="0.25">
      <c r="B24" s="159" t="s">
        <v>113</v>
      </c>
      <c r="C24" s="159" t="s">
        <v>143</v>
      </c>
      <c r="D24" s="160" t="s">
        <v>142</v>
      </c>
      <c r="E24" s="162" t="s">
        <v>144</v>
      </c>
      <c r="F24" s="162" t="s">
        <v>65</v>
      </c>
      <c r="G24" s="173" t="s">
        <v>148</v>
      </c>
      <c r="H24" s="173" t="s">
        <v>88</v>
      </c>
      <c r="I24" s="173" t="s">
        <v>151</v>
      </c>
      <c r="W24" s="127">
        <v>42801</v>
      </c>
      <c r="X24" s="10">
        <v>30.61</v>
      </c>
      <c r="Y24" s="10">
        <v>30.77</v>
      </c>
      <c r="Z24" s="10">
        <v>30.23</v>
      </c>
      <c r="AA24" s="10">
        <v>30.52</v>
      </c>
      <c r="AB24" s="90">
        <v>6845900</v>
      </c>
      <c r="AC24" s="10">
        <v>30.34</v>
      </c>
      <c r="AD24" s="2">
        <f t="shared" si="0"/>
        <v>0.53999999999999915</v>
      </c>
      <c r="AE24" s="131">
        <f t="shared" si="1"/>
        <v>-5.5719436250409871E-3</v>
      </c>
    </row>
    <row r="25" spans="1:31" x14ac:dyDescent="0.25">
      <c r="B25" s="161">
        <v>42619</v>
      </c>
      <c r="C25" s="10">
        <v>100</v>
      </c>
      <c r="D25" s="39">
        <v>24.28</v>
      </c>
      <c r="E25" s="39">
        <v>24.42</v>
      </c>
      <c r="F25" s="39">
        <f t="shared" ref="F25:F31" si="2">C25*(E25-D25)</f>
        <v>14.000000000000057</v>
      </c>
      <c r="G25" s="39">
        <f t="shared" ref="G25:G31" si="3">D25*C25</f>
        <v>2428</v>
      </c>
      <c r="H25" s="175">
        <f t="shared" ref="H25:H31" si="4">(E25-D25)/D25</f>
        <v>5.7660626029654265E-3</v>
      </c>
      <c r="I25" s="39"/>
      <c r="W25" s="127">
        <v>42800</v>
      </c>
      <c r="X25" s="10">
        <v>30.41</v>
      </c>
      <c r="Y25" s="10">
        <v>31.03</v>
      </c>
      <c r="Z25" s="10">
        <v>30.29</v>
      </c>
      <c r="AA25" s="10">
        <v>30.69</v>
      </c>
      <c r="AB25" s="90">
        <v>10712300</v>
      </c>
      <c r="AC25" s="10">
        <v>30.51</v>
      </c>
      <c r="AD25" s="2">
        <f t="shared" si="0"/>
        <v>0.74000000000000199</v>
      </c>
      <c r="AE25" s="131">
        <f t="shared" si="1"/>
        <v>7.5957727873183778E-3</v>
      </c>
    </row>
    <row r="26" spans="1:31" x14ac:dyDescent="0.25">
      <c r="B26" s="161">
        <v>42620</v>
      </c>
      <c r="C26" s="10">
        <v>100</v>
      </c>
      <c r="D26" s="39">
        <v>24.28</v>
      </c>
      <c r="E26" s="39">
        <v>24.38</v>
      </c>
      <c r="F26" s="39">
        <f t="shared" si="2"/>
        <v>9.9999999999997868</v>
      </c>
      <c r="G26" s="39">
        <f t="shared" si="3"/>
        <v>2428</v>
      </c>
      <c r="H26" s="175">
        <f t="shared" si="4"/>
        <v>4.1186161449752005E-3</v>
      </c>
      <c r="I26" s="39"/>
      <c r="W26" s="127">
        <v>42797</v>
      </c>
      <c r="X26" s="10">
        <v>30.2</v>
      </c>
      <c r="Y26" s="10">
        <v>30.52</v>
      </c>
      <c r="Z26" s="10">
        <v>30.03</v>
      </c>
      <c r="AA26" s="10">
        <v>30.46</v>
      </c>
      <c r="AB26" s="90">
        <v>4421900</v>
      </c>
      <c r="AC26" s="10">
        <v>30.28</v>
      </c>
      <c r="AD26" s="2">
        <f t="shared" si="0"/>
        <v>0.48999999999999844</v>
      </c>
      <c r="AE26" s="131">
        <f t="shared" si="1"/>
        <v>8.6608927381746081E-3</v>
      </c>
    </row>
    <row r="27" spans="1:31" x14ac:dyDescent="0.25">
      <c r="B27" s="161">
        <v>42621</v>
      </c>
      <c r="C27" s="10">
        <v>100</v>
      </c>
      <c r="D27" s="39">
        <v>24.28</v>
      </c>
      <c r="E27" s="39">
        <v>24.75</v>
      </c>
      <c r="F27" s="39">
        <f t="shared" si="2"/>
        <v>46.999999999999886</v>
      </c>
      <c r="G27" s="39">
        <f t="shared" si="3"/>
        <v>2428</v>
      </c>
      <c r="H27" s="175">
        <f t="shared" si="4"/>
        <v>1.9357495881383809E-2</v>
      </c>
      <c r="I27" s="39"/>
      <c r="W27" s="127">
        <v>42796</v>
      </c>
      <c r="X27" s="10">
        <v>30.33</v>
      </c>
      <c r="Y27" s="10">
        <v>30.48</v>
      </c>
      <c r="Z27" s="10">
        <v>30.09</v>
      </c>
      <c r="AA27" s="10">
        <v>30.2</v>
      </c>
      <c r="AB27" s="90">
        <v>6699200</v>
      </c>
      <c r="AC27" s="10">
        <v>30.02</v>
      </c>
      <c r="AD27" s="2">
        <f t="shared" si="0"/>
        <v>0.39000000000000057</v>
      </c>
      <c r="AE27" s="131">
        <f t="shared" si="1"/>
        <v>-6.9467416473701915E-3</v>
      </c>
    </row>
    <row r="28" spans="1:31" x14ac:dyDescent="0.25">
      <c r="B28" s="161">
        <v>42622</v>
      </c>
      <c r="C28" s="10">
        <v>100</v>
      </c>
      <c r="D28" s="39">
        <v>24.28</v>
      </c>
      <c r="E28" s="39">
        <v>23.57</v>
      </c>
      <c r="F28" s="39">
        <f t="shared" si="2"/>
        <v>-71.000000000000085</v>
      </c>
      <c r="G28" s="39">
        <f t="shared" si="3"/>
        <v>2428</v>
      </c>
      <c r="H28" s="175">
        <f t="shared" si="4"/>
        <v>-2.9242174629324581E-2</v>
      </c>
      <c r="I28" s="39"/>
      <c r="W28" s="127">
        <v>42795</v>
      </c>
      <c r="X28" s="10">
        <v>30.2</v>
      </c>
      <c r="Y28" s="10">
        <v>30.73</v>
      </c>
      <c r="Z28" s="10">
        <v>30.15</v>
      </c>
      <c r="AA28" s="10">
        <v>30.41</v>
      </c>
      <c r="AB28" s="90">
        <v>8348600</v>
      </c>
      <c r="AC28" s="10">
        <v>30.23</v>
      </c>
      <c r="AD28" s="2">
        <f t="shared" si="0"/>
        <v>0.58000000000000185</v>
      </c>
      <c r="AE28" s="131">
        <f t="shared" si="1"/>
        <v>1.6476126429051829E-2</v>
      </c>
    </row>
    <row r="29" spans="1:31" x14ac:dyDescent="0.25">
      <c r="B29" s="161">
        <v>42635</v>
      </c>
      <c r="C29" s="10">
        <v>100</v>
      </c>
      <c r="D29" s="39">
        <v>24.28</v>
      </c>
      <c r="E29" s="39">
        <v>24.3</v>
      </c>
      <c r="F29" s="39">
        <f t="shared" si="2"/>
        <v>1.9999999999999574</v>
      </c>
      <c r="G29" s="39">
        <f t="shared" si="3"/>
        <v>2428</v>
      </c>
      <c r="H29" s="175">
        <f t="shared" si="4"/>
        <v>8.2372322899504011E-4</v>
      </c>
      <c r="I29" s="39"/>
      <c r="W29" s="127">
        <v>42794</v>
      </c>
      <c r="X29" s="10">
        <v>30.33</v>
      </c>
      <c r="Y29" s="10">
        <v>30.42</v>
      </c>
      <c r="Z29" s="10">
        <v>29.9</v>
      </c>
      <c r="AA29" s="10">
        <v>29.92</v>
      </c>
      <c r="AB29" s="90">
        <v>8553500</v>
      </c>
      <c r="AC29" s="10">
        <v>29.74</v>
      </c>
      <c r="AD29" s="2">
        <f t="shared" si="0"/>
        <v>0.52000000000000313</v>
      </c>
      <c r="AE29" s="131">
        <f t="shared" si="1"/>
        <v>-1.6859504132231473E-2</v>
      </c>
    </row>
    <row r="30" spans="1:31" x14ac:dyDescent="0.25">
      <c r="B30" s="161">
        <v>42640</v>
      </c>
      <c r="C30" s="10">
        <v>100</v>
      </c>
      <c r="D30" s="39">
        <v>24.28</v>
      </c>
      <c r="E30" s="39">
        <v>24.2</v>
      </c>
      <c r="F30" s="39">
        <f t="shared" si="2"/>
        <v>-8.0000000000001847</v>
      </c>
      <c r="G30" s="39">
        <f t="shared" si="3"/>
        <v>2428</v>
      </c>
      <c r="H30" s="175">
        <f t="shared" si="4"/>
        <v>-3.2948929159803066E-3</v>
      </c>
      <c r="I30" s="39"/>
      <c r="W30" s="127">
        <v>42793</v>
      </c>
      <c r="X30" s="10">
        <v>30.51</v>
      </c>
      <c r="Y30" s="10">
        <v>30.7</v>
      </c>
      <c r="Z30" s="10">
        <v>30.29</v>
      </c>
      <c r="AA30" s="10">
        <v>30.43</v>
      </c>
      <c r="AB30" s="90">
        <v>6475700</v>
      </c>
      <c r="AC30" s="10">
        <v>30.25</v>
      </c>
      <c r="AD30" s="2">
        <f t="shared" si="0"/>
        <v>0.41000000000000014</v>
      </c>
      <c r="AE30" s="131">
        <f t="shared" si="1"/>
        <v>-5.9152152481104503E-3</v>
      </c>
    </row>
    <row r="31" spans="1:31" x14ac:dyDescent="0.25">
      <c r="B31" s="161">
        <v>42646</v>
      </c>
      <c r="C31" s="10">
        <v>100</v>
      </c>
      <c r="D31" s="39">
        <v>24.28</v>
      </c>
      <c r="E31" s="39">
        <v>24.73</v>
      </c>
      <c r="F31" s="39">
        <f t="shared" si="2"/>
        <v>44.999999999999929</v>
      </c>
      <c r="G31" s="39">
        <f t="shared" si="3"/>
        <v>2428</v>
      </c>
      <c r="H31" s="175">
        <f t="shared" si="4"/>
        <v>1.8533772652388768E-2</v>
      </c>
      <c r="I31" s="39"/>
      <c r="W31" s="127">
        <v>42790</v>
      </c>
      <c r="X31" s="10">
        <v>30.44</v>
      </c>
      <c r="Y31" s="10">
        <v>30.62</v>
      </c>
      <c r="Z31" s="10">
        <v>30.27</v>
      </c>
      <c r="AA31" s="10">
        <v>30.61</v>
      </c>
      <c r="AB31" s="90">
        <v>4930200</v>
      </c>
      <c r="AC31" s="10">
        <v>30.43</v>
      </c>
      <c r="AD31" s="2">
        <f t="shared" si="0"/>
        <v>0.35000000000000142</v>
      </c>
      <c r="AE31" s="131">
        <f t="shared" si="1"/>
        <v>8.9522546419098514E-3</v>
      </c>
    </row>
    <row r="32" spans="1:31" x14ac:dyDescent="0.25">
      <c r="B32" s="161">
        <v>42663</v>
      </c>
      <c r="C32" s="10">
        <v>0</v>
      </c>
      <c r="D32" s="39"/>
      <c r="E32" s="39"/>
      <c r="F32" s="39">
        <v>98.45</v>
      </c>
      <c r="G32" s="39"/>
      <c r="H32" s="175"/>
      <c r="I32" s="39"/>
      <c r="W32" s="127">
        <v>42789</v>
      </c>
      <c r="X32" s="10">
        <v>30.29</v>
      </c>
      <c r="Y32" s="10">
        <v>30.68</v>
      </c>
      <c r="Z32" s="10">
        <v>30.17</v>
      </c>
      <c r="AA32" s="10">
        <v>30.34</v>
      </c>
      <c r="AB32" s="90">
        <v>4368900</v>
      </c>
      <c r="AC32" s="10">
        <v>30.16</v>
      </c>
      <c r="AD32" s="2">
        <f t="shared" si="0"/>
        <v>0.50999999999999801</v>
      </c>
      <c r="AE32" s="131">
        <f t="shared" si="1"/>
        <v>-4.2918454935622075E-3</v>
      </c>
    </row>
    <row r="33" spans="1:31" x14ac:dyDescent="0.25">
      <c r="B33" s="161"/>
      <c r="C33" s="10"/>
      <c r="D33" s="39"/>
      <c r="E33" s="39"/>
      <c r="F33" s="39"/>
      <c r="G33" s="39"/>
      <c r="H33" s="175"/>
      <c r="I33" s="180"/>
      <c r="W33" s="127">
        <v>42788</v>
      </c>
      <c r="X33" s="10">
        <v>30.39</v>
      </c>
      <c r="Y33" s="10">
        <v>30.6</v>
      </c>
      <c r="Z33" s="10">
        <v>30.39</v>
      </c>
      <c r="AA33" s="10">
        <v>30.47</v>
      </c>
      <c r="AB33" s="90">
        <v>4596900</v>
      </c>
      <c r="AC33" s="10">
        <v>30.29</v>
      </c>
      <c r="AD33" s="2">
        <f t="shared" si="0"/>
        <v>0.21000000000000085</v>
      </c>
      <c r="AE33" s="131">
        <f t="shared" si="1"/>
        <v>-2.6341784655911082E-3</v>
      </c>
    </row>
    <row r="34" spans="1:31" x14ac:dyDescent="0.25">
      <c r="B34" s="161"/>
      <c r="C34" s="10"/>
      <c r="D34" s="39"/>
      <c r="E34" s="39"/>
      <c r="F34" s="39"/>
      <c r="G34" s="39"/>
      <c r="H34" s="175"/>
      <c r="I34" s="39"/>
      <c r="W34" s="127">
        <v>42787</v>
      </c>
      <c r="X34" s="10">
        <v>30.24</v>
      </c>
      <c r="Y34" s="10">
        <v>30.8</v>
      </c>
      <c r="Z34" s="10">
        <v>30.23</v>
      </c>
      <c r="AA34" s="10">
        <v>30.55</v>
      </c>
      <c r="AB34" s="90">
        <v>9231400</v>
      </c>
      <c r="AC34" s="10">
        <v>30.37</v>
      </c>
      <c r="AD34" s="2">
        <f t="shared" si="0"/>
        <v>0.57000000000000028</v>
      </c>
      <c r="AE34" s="131">
        <f t="shared" si="1"/>
        <v>6.6291017567119415E-3</v>
      </c>
    </row>
    <row r="35" spans="1:31" x14ac:dyDescent="0.25">
      <c r="B35" s="161"/>
      <c r="C35" s="10"/>
      <c r="D35" s="39"/>
      <c r="E35" s="39"/>
      <c r="F35" s="39"/>
      <c r="G35" s="39"/>
      <c r="H35" s="175"/>
      <c r="I35" s="39"/>
      <c r="W35" s="127">
        <v>42783</v>
      </c>
      <c r="X35" s="10">
        <v>30.42</v>
      </c>
      <c r="Y35" s="10">
        <v>30.51</v>
      </c>
      <c r="Z35" s="10">
        <v>30.16</v>
      </c>
      <c r="AA35" s="10">
        <v>30.35</v>
      </c>
      <c r="AB35" s="90">
        <v>5004100</v>
      </c>
      <c r="AC35" s="10">
        <v>30.17</v>
      </c>
      <c r="AD35" s="2">
        <f t="shared" si="0"/>
        <v>0.35000000000000142</v>
      </c>
      <c r="AE35" s="131">
        <f t="shared" si="1"/>
        <v>-5.2753049785689843E-3</v>
      </c>
    </row>
    <row r="36" spans="1:31" x14ac:dyDescent="0.25">
      <c r="B36" s="161"/>
      <c r="C36" s="10"/>
      <c r="D36" s="39"/>
      <c r="E36" s="39"/>
      <c r="F36" s="39"/>
      <c r="G36" s="39"/>
      <c r="H36" s="175"/>
      <c r="I36" s="39"/>
      <c r="W36" s="127">
        <v>42782</v>
      </c>
      <c r="X36" s="10">
        <v>30.58</v>
      </c>
      <c r="Y36" s="10">
        <v>30.75</v>
      </c>
      <c r="Z36" s="10">
        <v>30.41</v>
      </c>
      <c r="AA36" s="10">
        <v>30.51</v>
      </c>
      <c r="AB36" s="90">
        <v>4313900</v>
      </c>
      <c r="AC36" s="10">
        <v>30.33</v>
      </c>
      <c r="AD36" s="2">
        <f t="shared" si="0"/>
        <v>0.33999999999999986</v>
      </c>
      <c r="AE36" s="131">
        <f t="shared" si="1"/>
        <v>-6.2254259501965947E-3</v>
      </c>
    </row>
    <row r="37" spans="1:31" x14ac:dyDescent="0.25">
      <c r="B37" s="69"/>
      <c r="C37" s="4"/>
      <c r="D37" s="3"/>
      <c r="E37" s="3"/>
      <c r="F37" s="3"/>
      <c r="G37" s="3"/>
      <c r="H37" s="212"/>
      <c r="I37" s="3"/>
      <c r="W37" s="127">
        <v>42781</v>
      </c>
      <c r="X37" s="10">
        <v>30.08</v>
      </c>
      <c r="Y37" s="10">
        <v>30.7</v>
      </c>
      <c r="Z37" s="10">
        <v>30.07</v>
      </c>
      <c r="AA37" s="10">
        <v>30.7</v>
      </c>
      <c r="AB37" s="90">
        <v>7597400</v>
      </c>
      <c r="AC37" s="10">
        <v>30.52</v>
      </c>
      <c r="AD37" s="2">
        <f t="shared" si="0"/>
        <v>0.62999999999999901</v>
      </c>
      <c r="AE37" s="131">
        <f t="shared" si="1"/>
        <v>1.3280212483399723E-2</v>
      </c>
    </row>
    <row r="38" spans="1:31" x14ac:dyDescent="0.25">
      <c r="B38" s="69"/>
      <c r="C38" s="4"/>
      <c r="D38" s="3"/>
      <c r="E38" s="3"/>
      <c r="F38" s="3"/>
      <c r="G38" s="3"/>
      <c r="H38" s="212"/>
      <c r="I38" s="3"/>
      <c r="W38" s="127">
        <v>42780</v>
      </c>
      <c r="X38" s="10">
        <v>29.74</v>
      </c>
      <c r="Y38" s="10">
        <v>30.4</v>
      </c>
      <c r="Z38" s="10">
        <v>29.57</v>
      </c>
      <c r="AA38" s="10">
        <v>30.3</v>
      </c>
      <c r="AB38" s="90">
        <v>9255700</v>
      </c>
      <c r="AC38" s="10">
        <v>30.12</v>
      </c>
      <c r="AD38" s="2">
        <f t="shared" si="0"/>
        <v>0.82999999999999829</v>
      </c>
      <c r="AE38" s="131">
        <f t="shared" si="1"/>
        <v>1.9634394041976977E-2</v>
      </c>
    </row>
    <row r="39" spans="1:31" x14ac:dyDescent="0.25">
      <c r="A39" s="22" t="s">
        <v>275</v>
      </c>
      <c r="B39" s="69"/>
      <c r="C39" s="4"/>
      <c r="D39" s="3"/>
      <c r="E39" s="3"/>
      <c r="F39" s="3"/>
      <c r="G39" s="3"/>
      <c r="H39" s="212"/>
      <c r="I39" s="3"/>
      <c r="W39" s="127">
        <v>42779</v>
      </c>
      <c r="X39" s="10">
        <v>30.09</v>
      </c>
      <c r="Y39" s="10">
        <v>30.12</v>
      </c>
      <c r="Z39" s="10">
        <v>29.51</v>
      </c>
      <c r="AA39" s="10">
        <v>29.72</v>
      </c>
      <c r="AB39" s="90">
        <v>6974000</v>
      </c>
      <c r="AC39" s="10">
        <v>29.54</v>
      </c>
      <c r="AD39" s="2">
        <f t="shared" si="0"/>
        <v>0.60999999999999943</v>
      </c>
      <c r="AE39" s="131">
        <f t="shared" si="1"/>
        <v>-6.3908509922637746E-3</v>
      </c>
    </row>
    <row r="40" spans="1:31" ht="20.25" thickBot="1" x14ac:dyDescent="0.35">
      <c r="B40" s="69"/>
      <c r="C40" s="4"/>
      <c r="D40" s="3"/>
      <c r="E40" s="3"/>
      <c r="F40" s="3"/>
      <c r="G40" s="3"/>
      <c r="H40" s="212"/>
      <c r="I40" s="3"/>
      <c r="O40" s="886" t="s">
        <v>78</v>
      </c>
      <c r="P40" s="886"/>
      <c r="W40" s="127">
        <v>42776</v>
      </c>
      <c r="X40" s="10">
        <v>30.19</v>
      </c>
      <c r="Y40" s="10">
        <v>30.28</v>
      </c>
      <c r="Z40" s="10">
        <v>29.81</v>
      </c>
      <c r="AA40" s="10">
        <v>29.91</v>
      </c>
      <c r="AB40" s="90">
        <v>8876300</v>
      </c>
      <c r="AC40" s="10">
        <v>29.73</v>
      </c>
      <c r="AD40" s="2">
        <f t="shared" si="0"/>
        <v>0.47000000000000242</v>
      </c>
      <c r="AE40" s="131">
        <f t="shared" si="1"/>
        <v>-7.014028056112287E-3</v>
      </c>
    </row>
    <row r="41" spans="1:31" ht="15.75" thickTop="1" x14ac:dyDescent="0.25">
      <c r="B41" s="69"/>
      <c r="C41" s="4"/>
      <c r="D41" s="3"/>
      <c r="E41" s="3"/>
      <c r="F41" s="3"/>
      <c r="G41" s="3"/>
      <c r="H41" s="212"/>
      <c r="I41" s="3"/>
      <c r="O41" s="78">
        <v>1.1000000000000001</v>
      </c>
      <c r="P41" s="78">
        <f>O41*$Q$4</f>
        <v>35.497000000000007</v>
      </c>
      <c r="Q41" s="2"/>
      <c r="W41" s="127">
        <v>42775</v>
      </c>
      <c r="X41" s="10">
        <v>30.35</v>
      </c>
      <c r="Y41" s="10">
        <v>30.51</v>
      </c>
      <c r="Z41" s="10">
        <v>30.09</v>
      </c>
      <c r="AA41" s="10">
        <v>30.12</v>
      </c>
      <c r="AB41" s="90">
        <v>5773100</v>
      </c>
      <c r="AC41" s="10">
        <v>29.94</v>
      </c>
      <c r="AD41" s="2">
        <f t="shared" si="0"/>
        <v>0.42000000000000171</v>
      </c>
      <c r="AE41" s="131">
        <f t="shared" si="1"/>
        <v>-2.9970029970030065E-3</v>
      </c>
    </row>
    <row r="42" spans="1:31" ht="20.25" thickBot="1" x14ac:dyDescent="0.35">
      <c r="B42" s="69"/>
      <c r="C42" s="4"/>
      <c r="D42" s="3"/>
      <c r="E42" s="3"/>
      <c r="F42" s="3"/>
      <c r="G42" s="3"/>
      <c r="H42" s="212"/>
      <c r="I42" s="3"/>
      <c r="O42" s="78">
        <v>1.0900000000000001</v>
      </c>
      <c r="P42" s="78">
        <f t="shared" ref="P42:P61" si="5">O42*$Q$4</f>
        <v>35.174300000000009</v>
      </c>
      <c r="Q42" s="2"/>
      <c r="T42" s="86" t="s">
        <v>112</v>
      </c>
      <c r="W42" s="127">
        <v>42774</v>
      </c>
      <c r="X42" s="10">
        <v>30.47</v>
      </c>
      <c r="Y42" s="10">
        <v>30.57</v>
      </c>
      <c r="Z42" s="10">
        <v>29.96</v>
      </c>
      <c r="AA42" s="10">
        <v>30.21</v>
      </c>
      <c r="AB42" s="90">
        <v>7847500</v>
      </c>
      <c r="AC42" s="10">
        <v>30.03</v>
      </c>
      <c r="AD42" s="2">
        <f t="shared" si="0"/>
        <v>0.60999999999999943</v>
      </c>
      <c r="AE42" s="131">
        <f t="shared" si="1"/>
        <v>-8.9108910891089188E-3</v>
      </c>
    </row>
    <row r="43" spans="1:31" ht="15.75" thickTop="1" x14ac:dyDescent="0.25">
      <c r="B43" s="69"/>
      <c r="C43" s="4"/>
      <c r="D43" s="3"/>
      <c r="E43" s="3"/>
      <c r="F43" s="3"/>
      <c r="G43" s="3"/>
      <c r="H43" s="212"/>
      <c r="I43" s="3"/>
      <c r="O43" s="78">
        <v>1.08</v>
      </c>
      <c r="P43" s="78">
        <f t="shared" si="5"/>
        <v>34.851600000000005</v>
      </c>
      <c r="Q43" s="2"/>
      <c r="T43" s="122" t="s">
        <v>97</v>
      </c>
      <c r="U43" s="123">
        <v>31.75</v>
      </c>
      <c r="W43" s="127">
        <v>42773</v>
      </c>
      <c r="X43" s="10">
        <v>30.85</v>
      </c>
      <c r="Y43" s="10">
        <v>31.46</v>
      </c>
      <c r="Z43" s="10">
        <v>30.14</v>
      </c>
      <c r="AA43" s="10">
        <v>30.48</v>
      </c>
      <c r="AB43" s="90">
        <v>15176600</v>
      </c>
      <c r="AC43" s="10">
        <v>30.3</v>
      </c>
      <c r="AD43" s="2">
        <f t="shared" si="0"/>
        <v>1.3200000000000003</v>
      </c>
      <c r="AE43" s="131">
        <f t="shared" si="1"/>
        <v>-1.8782383419689075E-2</v>
      </c>
    </row>
    <row r="44" spans="1:31" x14ac:dyDescent="0.25">
      <c r="B44" s="69"/>
      <c r="C44" s="4"/>
      <c r="D44" s="3"/>
      <c r="E44" s="3"/>
      <c r="F44" s="3"/>
      <c r="G44" s="3"/>
      <c r="H44" s="212"/>
      <c r="I44" s="3"/>
      <c r="L44" t="s">
        <v>65</v>
      </c>
      <c r="M44" s="2">
        <f>M62+K62-F62</f>
        <v>98.449999999999818</v>
      </c>
      <c r="O44" s="78">
        <v>1.07</v>
      </c>
      <c r="P44" s="78">
        <f t="shared" si="5"/>
        <v>34.528900000000007</v>
      </c>
      <c r="Q44" s="2"/>
      <c r="T44" s="88" t="s">
        <v>98</v>
      </c>
      <c r="U44" s="124">
        <v>31.78</v>
      </c>
      <c r="W44" s="127">
        <v>42772</v>
      </c>
      <c r="X44" s="10">
        <v>31.19</v>
      </c>
      <c r="Y44" s="10">
        <v>31.5</v>
      </c>
      <c r="Z44" s="10">
        <v>30.96</v>
      </c>
      <c r="AA44" s="10">
        <v>31.06</v>
      </c>
      <c r="AB44" s="90">
        <v>13631800</v>
      </c>
      <c r="AC44" s="10">
        <v>30.88</v>
      </c>
      <c r="AD44" s="2">
        <f t="shared" si="0"/>
        <v>0.53999999999999915</v>
      </c>
      <c r="AE44" s="131">
        <f t="shared" si="1"/>
        <v>-1.0573534123678341E-2</v>
      </c>
    </row>
    <row r="45" spans="1:31" x14ac:dyDescent="0.25">
      <c r="A45" s="195" t="s">
        <v>1</v>
      </c>
      <c r="B45" s="195" t="s">
        <v>2</v>
      </c>
      <c r="C45" s="195" t="s">
        <v>4</v>
      </c>
      <c r="D45" s="196" t="s">
        <v>5</v>
      </c>
      <c r="E45" s="196" t="s">
        <v>94</v>
      </c>
      <c r="F45" s="196" t="s">
        <v>60</v>
      </c>
      <c r="G45" s="195" t="s">
        <v>3</v>
      </c>
      <c r="H45" s="195" t="s">
        <v>6</v>
      </c>
      <c r="I45" s="196" t="s">
        <v>7</v>
      </c>
      <c r="J45" s="196" t="s">
        <v>95</v>
      </c>
      <c r="K45" s="196" t="s">
        <v>61</v>
      </c>
      <c r="L45" s="195" t="s">
        <v>37</v>
      </c>
      <c r="M45" s="195" t="s">
        <v>38</v>
      </c>
      <c r="O45" s="78">
        <v>1.06</v>
      </c>
      <c r="P45" s="78">
        <f t="shared" si="5"/>
        <v>34.206200000000003</v>
      </c>
      <c r="Q45" s="2"/>
      <c r="T45" s="88" t="s">
        <v>99</v>
      </c>
      <c r="U45" s="124" t="s">
        <v>517</v>
      </c>
      <c r="W45" s="127">
        <v>42769</v>
      </c>
      <c r="X45" s="10">
        <v>31.46</v>
      </c>
      <c r="Y45" s="10">
        <v>31.62</v>
      </c>
      <c r="Z45" s="10">
        <v>31.16</v>
      </c>
      <c r="AA45" s="10">
        <v>31.4</v>
      </c>
      <c r="AB45" s="90">
        <v>7520500</v>
      </c>
      <c r="AC45" s="10">
        <v>31.21</v>
      </c>
      <c r="AD45" s="2">
        <f t="shared" si="0"/>
        <v>0.46000000000000085</v>
      </c>
      <c r="AE45" s="131">
        <f t="shared" si="1"/>
        <v>-1.9187719859289354E-3</v>
      </c>
    </row>
    <row r="46" spans="1:31" x14ac:dyDescent="0.25">
      <c r="A46" s="197" t="s">
        <v>259</v>
      </c>
      <c r="B46" s="198">
        <v>42619</v>
      </c>
      <c r="C46" s="193">
        <v>100</v>
      </c>
      <c r="D46" s="194">
        <v>24.28</v>
      </c>
      <c r="E46" s="194">
        <v>0</v>
      </c>
      <c r="F46" s="194">
        <f>D46*C46+E46</f>
        <v>2428</v>
      </c>
      <c r="G46" s="198">
        <v>42663</v>
      </c>
      <c r="H46" s="199">
        <v>100</v>
      </c>
      <c r="I46" s="194">
        <v>25.09</v>
      </c>
      <c r="J46" s="194">
        <v>0.55000000000000004</v>
      </c>
      <c r="K46" s="194">
        <f>H46*I46-J46</f>
        <v>2508.4499999999998</v>
      </c>
      <c r="L46" s="198">
        <v>42662</v>
      </c>
      <c r="M46" s="194">
        <v>18</v>
      </c>
      <c r="O46" s="78">
        <v>1.05</v>
      </c>
      <c r="P46" s="78">
        <f t="shared" si="5"/>
        <v>33.883500000000005</v>
      </c>
      <c r="Q46" s="2"/>
      <c r="T46" s="88" t="s">
        <v>100</v>
      </c>
      <c r="U46" s="124" t="s">
        <v>128</v>
      </c>
      <c r="W46" s="127">
        <v>42768</v>
      </c>
      <c r="X46" s="10">
        <v>31.53</v>
      </c>
      <c r="Y46" s="10">
        <v>31.59</v>
      </c>
      <c r="Z46" s="10">
        <v>31.29</v>
      </c>
      <c r="AA46" s="10">
        <v>31.46</v>
      </c>
      <c r="AB46" s="90">
        <v>4731000</v>
      </c>
      <c r="AC46" s="10">
        <v>31.27</v>
      </c>
      <c r="AD46" s="2">
        <f t="shared" si="0"/>
        <v>0.30000000000000071</v>
      </c>
      <c r="AE46" s="131">
        <f t="shared" si="1"/>
        <v>-5.0906776964683154E-3</v>
      </c>
    </row>
    <row r="47" spans="1:31" x14ac:dyDescent="0.25">
      <c r="A47" s="200" t="s">
        <v>71</v>
      </c>
      <c r="B47" s="198"/>
      <c r="C47" s="193"/>
      <c r="D47" s="194"/>
      <c r="E47" s="194"/>
      <c r="F47" s="194"/>
      <c r="G47" s="198"/>
      <c r="H47" s="199"/>
      <c r="I47" s="194"/>
      <c r="J47" s="194"/>
      <c r="K47" s="194"/>
      <c r="L47" s="193"/>
      <c r="M47" s="193"/>
      <c r="O47" s="78">
        <v>1.04</v>
      </c>
      <c r="P47" s="78">
        <f t="shared" si="5"/>
        <v>33.560800000000008</v>
      </c>
      <c r="Q47" s="2"/>
      <c r="T47" s="88" t="s">
        <v>101</v>
      </c>
      <c r="U47" s="124">
        <v>34.090000000000003</v>
      </c>
      <c r="W47" s="127">
        <v>42767</v>
      </c>
      <c r="X47" s="10">
        <v>31.32</v>
      </c>
      <c r="Y47" s="10">
        <v>31.75</v>
      </c>
      <c r="Z47" s="10">
        <v>31.32</v>
      </c>
      <c r="AA47" s="10">
        <v>31.62</v>
      </c>
      <c r="AB47" s="90">
        <v>7435000</v>
      </c>
      <c r="AC47" s="10">
        <v>31.43</v>
      </c>
      <c r="AD47" s="2">
        <f t="shared" si="0"/>
        <v>0.42999999999999972</v>
      </c>
      <c r="AE47" s="131">
        <f t="shared" si="1"/>
        <v>7.3717948717948456E-3</v>
      </c>
    </row>
    <row r="48" spans="1:31" x14ac:dyDescent="0.25">
      <c r="A48" s="193"/>
      <c r="B48" s="198"/>
      <c r="C48" s="193"/>
      <c r="D48" s="194"/>
      <c r="E48" s="194"/>
      <c r="F48" s="194"/>
      <c r="G48" s="198"/>
      <c r="H48" s="199"/>
      <c r="I48" s="194"/>
      <c r="J48" s="194"/>
      <c r="K48" s="194"/>
      <c r="L48" s="193"/>
      <c r="M48" s="193"/>
      <c r="O48" s="78">
        <v>1.03</v>
      </c>
      <c r="P48" s="78">
        <f t="shared" si="5"/>
        <v>33.238100000000003</v>
      </c>
      <c r="Q48" s="2"/>
      <c r="T48" s="88" t="s">
        <v>102</v>
      </c>
      <c r="U48" s="124">
        <v>1.5157</v>
      </c>
      <c r="W48" s="127">
        <v>42766</v>
      </c>
      <c r="X48" s="10">
        <v>31.2</v>
      </c>
      <c r="Y48" s="10">
        <v>31.44</v>
      </c>
      <c r="Z48" s="10">
        <v>31.05</v>
      </c>
      <c r="AA48" s="10">
        <v>31.38</v>
      </c>
      <c r="AB48" s="90">
        <v>5170600</v>
      </c>
      <c r="AC48" s="10">
        <v>31.2</v>
      </c>
      <c r="AD48" s="2">
        <f t="shared" si="0"/>
        <v>0.39000000000000057</v>
      </c>
      <c r="AE48" s="131">
        <f t="shared" si="1"/>
        <v>3.2061558191731621E-4</v>
      </c>
    </row>
    <row r="49" spans="1:31" x14ac:dyDescent="0.25">
      <c r="A49" s="193"/>
      <c r="B49" s="198"/>
      <c r="C49" s="193"/>
      <c r="D49" s="194"/>
      <c r="E49" s="194"/>
      <c r="F49" s="194"/>
      <c r="G49" s="193"/>
      <c r="H49" s="199"/>
      <c r="I49" s="194"/>
      <c r="J49" s="194"/>
      <c r="K49" s="194"/>
      <c r="L49" s="193"/>
      <c r="M49" s="193"/>
      <c r="O49" s="78">
        <v>1.02</v>
      </c>
      <c r="P49" s="78">
        <f t="shared" si="5"/>
        <v>32.915400000000005</v>
      </c>
      <c r="Q49" s="2"/>
      <c r="T49" s="88" t="s">
        <v>121</v>
      </c>
      <c r="U49" s="124" t="s">
        <v>387</v>
      </c>
      <c r="W49" s="127">
        <v>42765</v>
      </c>
      <c r="X49" s="10">
        <v>31.28</v>
      </c>
      <c r="Y49" s="10">
        <v>31.4</v>
      </c>
      <c r="Z49" s="10">
        <v>31</v>
      </c>
      <c r="AA49" s="10">
        <v>31.37</v>
      </c>
      <c r="AB49" s="90">
        <v>9097500</v>
      </c>
      <c r="AC49" s="10">
        <v>31.19</v>
      </c>
      <c r="AD49" s="2">
        <f t="shared" si="0"/>
        <v>0.39999999999999858</v>
      </c>
      <c r="AE49" s="131">
        <f t="shared" si="1"/>
        <v>2.5715204114433732E-3</v>
      </c>
    </row>
    <row r="50" spans="1:31" x14ac:dyDescent="0.25">
      <c r="A50" s="193"/>
      <c r="B50" s="198"/>
      <c r="C50" s="193"/>
      <c r="D50" s="194"/>
      <c r="E50" s="194"/>
      <c r="F50" s="194"/>
      <c r="G50" s="193"/>
      <c r="H50" s="199"/>
      <c r="I50" s="194"/>
      <c r="J50" s="194"/>
      <c r="K50" s="194"/>
      <c r="L50" s="193"/>
      <c r="M50" s="193"/>
      <c r="O50" s="78">
        <v>1.01</v>
      </c>
      <c r="P50" s="78">
        <f t="shared" si="5"/>
        <v>32.592700000000001</v>
      </c>
      <c r="Q50" s="2"/>
      <c r="T50" s="88"/>
      <c r="U50" s="124"/>
      <c r="W50" s="127">
        <v>42762</v>
      </c>
      <c r="X50" s="10">
        <v>31.14</v>
      </c>
      <c r="Y50" s="10">
        <v>31.52</v>
      </c>
      <c r="Z50" s="10">
        <v>30.88</v>
      </c>
      <c r="AA50" s="10">
        <v>31.29</v>
      </c>
      <c r="AB50" s="90">
        <v>8259000</v>
      </c>
      <c r="AC50" s="10">
        <v>31.11</v>
      </c>
      <c r="AD50" s="2">
        <f t="shared" si="0"/>
        <v>0.64000000000000057</v>
      </c>
      <c r="AE50" s="131">
        <f t="shared" si="1"/>
        <v>9.4094743672938908E-3</v>
      </c>
    </row>
    <row r="51" spans="1:31" x14ac:dyDescent="0.25">
      <c r="A51" s="193"/>
      <c r="B51" s="193"/>
      <c r="C51" s="193"/>
      <c r="D51" s="194"/>
      <c r="E51" s="194"/>
      <c r="F51" s="194"/>
      <c r="G51" s="193"/>
      <c r="H51" s="199"/>
      <c r="I51" s="194"/>
      <c r="J51" s="194"/>
      <c r="K51" s="194"/>
      <c r="L51" s="193"/>
      <c r="M51" s="193"/>
      <c r="O51" s="78">
        <v>1</v>
      </c>
      <c r="P51" s="78">
        <f t="shared" si="5"/>
        <v>32.270000000000003</v>
      </c>
      <c r="Q51" s="2"/>
      <c r="T51" s="88" t="s">
        <v>104</v>
      </c>
      <c r="U51" s="124" t="s">
        <v>518</v>
      </c>
      <c r="W51" s="127">
        <v>42761</v>
      </c>
      <c r="X51" s="10">
        <v>30.43</v>
      </c>
      <c r="Y51" s="10">
        <v>31.61</v>
      </c>
      <c r="Z51" s="10">
        <v>30.31</v>
      </c>
      <c r="AA51" s="10">
        <v>31</v>
      </c>
      <c r="AB51" s="90">
        <v>12695500</v>
      </c>
      <c r="AC51" s="10">
        <v>30.82</v>
      </c>
      <c r="AD51" s="2">
        <f t="shared" si="0"/>
        <v>1.3000000000000007</v>
      </c>
      <c r="AE51" s="131">
        <f t="shared" si="1"/>
        <v>2.3240371845949515E-2</v>
      </c>
    </row>
    <row r="52" spans="1:31" x14ac:dyDescent="0.25">
      <c r="A52" s="193"/>
      <c r="B52" s="193"/>
      <c r="C52" s="193"/>
      <c r="D52" s="194"/>
      <c r="E52" s="194"/>
      <c r="F52" s="194"/>
      <c r="G52" s="193"/>
      <c r="H52" s="199"/>
      <c r="I52" s="194"/>
      <c r="J52" s="194"/>
      <c r="K52" s="194"/>
      <c r="L52" s="193"/>
      <c r="M52" s="193"/>
      <c r="O52" s="78">
        <v>0.99</v>
      </c>
      <c r="P52" s="78">
        <f t="shared" si="5"/>
        <v>31.947300000000002</v>
      </c>
      <c r="Q52" s="2"/>
      <c r="T52" s="88" t="s">
        <v>105</v>
      </c>
      <c r="U52" s="124" t="s">
        <v>480</v>
      </c>
      <c r="W52" s="127">
        <v>42760</v>
      </c>
      <c r="X52" s="10">
        <v>30.37</v>
      </c>
      <c r="Y52" s="10">
        <v>30.44</v>
      </c>
      <c r="Z52" s="10">
        <v>30.17</v>
      </c>
      <c r="AA52" s="10">
        <v>30.3</v>
      </c>
      <c r="AB52" s="90">
        <v>5237500</v>
      </c>
      <c r="AC52" s="10">
        <v>30.12</v>
      </c>
      <c r="AD52" s="2">
        <f t="shared" si="0"/>
        <v>0.26999999999999957</v>
      </c>
      <c r="AE52" s="131">
        <f t="shared" si="1"/>
        <v>6.6445182724250706E-4</v>
      </c>
    </row>
    <row r="53" spans="1:31" x14ac:dyDescent="0.25">
      <c r="A53" s="193"/>
      <c r="B53" s="193"/>
      <c r="C53" s="193"/>
      <c r="D53" s="194"/>
      <c r="E53" s="194"/>
      <c r="F53" s="194"/>
      <c r="G53" s="193"/>
      <c r="H53" s="199"/>
      <c r="I53" s="194"/>
      <c r="J53" s="194"/>
      <c r="K53" s="194"/>
      <c r="L53" s="193"/>
      <c r="M53" s="193"/>
      <c r="O53" s="78">
        <v>0.98</v>
      </c>
      <c r="P53" s="78">
        <f t="shared" si="5"/>
        <v>31.624600000000001</v>
      </c>
      <c r="Q53" s="2"/>
      <c r="T53" s="88" t="s">
        <v>106</v>
      </c>
      <c r="U53" s="125">
        <v>8602257</v>
      </c>
      <c r="W53" s="127">
        <v>42759</v>
      </c>
      <c r="X53" s="10">
        <v>30.11</v>
      </c>
      <c r="Y53" s="10">
        <v>30.3</v>
      </c>
      <c r="Z53" s="10">
        <v>29.89</v>
      </c>
      <c r="AA53" s="10">
        <v>30.28</v>
      </c>
      <c r="AB53" s="90">
        <v>4774700</v>
      </c>
      <c r="AC53" s="10">
        <v>30.1</v>
      </c>
      <c r="AD53" s="2">
        <f t="shared" si="0"/>
        <v>0.41000000000000014</v>
      </c>
      <c r="AE53" s="131">
        <f t="shared" si="1"/>
        <v>9.3896713615024829E-3</v>
      </c>
    </row>
    <row r="54" spans="1:31" x14ac:dyDescent="0.25">
      <c r="A54" s="193"/>
      <c r="B54" s="193"/>
      <c r="C54" s="193"/>
      <c r="D54" s="194"/>
      <c r="E54" s="194"/>
      <c r="F54" s="194"/>
      <c r="G54" s="193"/>
      <c r="H54" s="199"/>
      <c r="I54" s="194"/>
      <c r="J54" s="194"/>
      <c r="K54" s="194"/>
      <c r="L54" s="193"/>
      <c r="M54" s="193"/>
      <c r="O54" s="78">
        <v>0.97</v>
      </c>
      <c r="P54" s="78">
        <f t="shared" si="5"/>
        <v>31.301900000000003</v>
      </c>
      <c r="T54" s="88" t="s">
        <v>109</v>
      </c>
      <c r="U54" s="125">
        <v>7388890</v>
      </c>
      <c r="W54" s="127">
        <v>42758</v>
      </c>
      <c r="X54" s="10">
        <v>30.06</v>
      </c>
      <c r="Y54" s="10">
        <v>30.17</v>
      </c>
      <c r="Z54" s="10">
        <v>29.82</v>
      </c>
      <c r="AA54" s="10">
        <v>30</v>
      </c>
      <c r="AB54" s="90">
        <v>5811600</v>
      </c>
      <c r="AC54" s="10">
        <v>29.82</v>
      </c>
      <c r="AD54" s="2">
        <f t="shared" si="0"/>
        <v>0.35000000000000142</v>
      </c>
      <c r="AE54" s="131">
        <f t="shared" si="1"/>
        <v>-1.6739203213926857E-3</v>
      </c>
    </row>
    <row r="55" spans="1:31" x14ac:dyDescent="0.25">
      <c r="A55" s="193"/>
      <c r="B55" s="193"/>
      <c r="C55" s="193"/>
      <c r="D55" s="194"/>
      <c r="E55" s="194"/>
      <c r="F55" s="194"/>
      <c r="G55" s="193"/>
      <c r="H55" s="199"/>
      <c r="I55" s="194"/>
      <c r="J55" s="194"/>
      <c r="K55" s="194"/>
      <c r="L55" s="193"/>
      <c r="M55" s="193"/>
      <c r="O55" s="78">
        <v>0.96</v>
      </c>
      <c r="P55" s="78">
        <f t="shared" si="5"/>
        <v>30.979200000000002</v>
      </c>
      <c r="T55" s="88" t="s">
        <v>107</v>
      </c>
      <c r="U55" s="124" t="s">
        <v>519</v>
      </c>
      <c r="W55" s="127">
        <v>42755</v>
      </c>
      <c r="X55" s="10">
        <v>29.88</v>
      </c>
      <c r="Y55" s="10">
        <v>30.13</v>
      </c>
      <c r="Z55" s="10">
        <v>29.84</v>
      </c>
      <c r="AA55" s="10">
        <v>30.05</v>
      </c>
      <c r="AB55" s="90">
        <v>6710600</v>
      </c>
      <c r="AC55" s="10">
        <v>29.87</v>
      </c>
      <c r="AD55" s="2">
        <f t="shared" si="0"/>
        <v>0.28999999999999915</v>
      </c>
      <c r="AE55" s="131">
        <f t="shared" si="1"/>
        <v>8.4402430790007088E-3</v>
      </c>
    </row>
    <row r="56" spans="1:31" x14ac:dyDescent="0.25">
      <c r="A56" s="193"/>
      <c r="B56" s="193"/>
      <c r="C56" s="193"/>
      <c r="D56" s="194"/>
      <c r="E56" s="194"/>
      <c r="F56" s="194"/>
      <c r="G56" s="193"/>
      <c r="H56" s="199"/>
      <c r="I56" s="194"/>
      <c r="J56" s="194"/>
      <c r="K56" s="194"/>
      <c r="L56" s="193"/>
      <c r="M56" s="193"/>
      <c r="O56" s="78">
        <v>0.95</v>
      </c>
      <c r="P56" s="78">
        <f t="shared" si="5"/>
        <v>30.656500000000001</v>
      </c>
      <c r="T56" s="88" t="s">
        <v>110</v>
      </c>
      <c r="U56" s="124">
        <v>19.12</v>
      </c>
      <c r="W56" s="127">
        <v>42754</v>
      </c>
      <c r="X56" s="10">
        <v>30.16</v>
      </c>
      <c r="Y56" s="10">
        <v>30.37</v>
      </c>
      <c r="Z56" s="10">
        <v>29.71</v>
      </c>
      <c r="AA56" s="10">
        <v>29.8</v>
      </c>
      <c r="AB56" s="90">
        <v>9174400</v>
      </c>
      <c r="AC56" s="10">
        <v>29.62</v>
      </c>
      <c r="AD56" s="2">
        <f t="shared" si="0"/>
        <v>0.66000000000000014</v>
      </c>
      <c r="AE56" s="131">
        <f t="shared" si="1"/>
        <v>-1.5619807244931838E-2</v>
      </c>
    </row>
    <row r="57" spans="1:31" x14ac:dyDescent="0.25">
      <c r="A57" s="193"/>
      <c r="B57" s="193"/>
      <c r="C57" s="193"/>
      <c r="D57" s="194"/>
      <c r="E57" s="194"/>
      <c r="F57" s="194"/>
      <c r="G57" s="193"/>
      <c r="H57" s="199"/>
      <c r="I57" s="194"/>
      <c r="J57" s="194"/>
      <c r="K57" s="194"/>
      <c r="L57" s="193"/>
      <c r="M57" s="193"/>
      <c r="O57" s="78">
        <v>0.94</v>
      </c>
      <c r="P57" s="78">
        <f t="shared" si="5"/>
        <v>30.3338</v>
      </c>
      <c r="T57" s="88" t="s">
        <v>111</v>
      </c>
      <c r="U57" s="124">
        <v>1.64</v>
      </c>
      <c r="W57" s="127">
        <v>42753</v>
      </c>
      <c r="X57" s="10">
        <v>30.01</v>
      </c>
      <c r="Y57" s="10">
        <v>30.33</v>
      </c>
      <c r="Z57" s="10">
        <v>29.92</v>
      </c>
      <c r="AA57" s="10">
        <v>30.27</v>
      </c>
      <c r="AB57" s="90">
        <v>7185800</v>
      </c>
      <c r="AC57" s="10">
        <v>30.09</v>
      </c>
      <c r="AD57" s="2">
        <f t="shared" si="0"/>
        <v>0.40999999999999659</v>
      </c>
      <c r="AE57" s="131">
        <f t="shared" si="1"/>
        <v>1.1428571428571344E-2</v>
      </c>
    </row>
    <row r="58" spans="1:31" x14ac:dyDescent="0.25">
      <c r="A58" s="193"/>
      <c r="B58" s="193"/>
      <c r="C58" s="193"/>
      <c r="D58" s="194"/>
      <c r="E58" s="194"/>
      <c r="F58" s="194"/>
      <c r="G58" s="193"/>
      <c r="H58" s="199"/>
      <c r="I58" s="194"/>
      <c r="J58" s="194"/>
      <c r="K58" s="194"/>
      <c r="L58" s="193"/>
      <c r="M58" s="193"/>
      <c r="O58" s="78">
        <v>0.93</v>
      </c>
      <c r="P58" s="78">
        <f t="shared" si="5"/>
        <v>30.011100000000006</v>
      </c>
      <c r="T58" s="88" t="s">
        <v>108</v>
      </c>
      <c r="U58" s="124" t="s">
        <v>481</v>
      </c>
      <c r="W58" s="127">
        <v>42752</v>
      </c>
      <c r="X58" s="10">
        <v>29.89</v>
      </c>
      <c r="Y58" s="10">
        <v>30.11</v>
      </c>
      <c r="Z58" s="10">
        <v>29.86</v>
      </c>
      <c r="AA58" s="10">
        <v>29.93</v>
      </c>
      <c r="AB58" s="90">
        <v>4861800</v>
      </c>
      <c r="AC58" s="10">
        <v>29.75</v>
      </c>
      <c r="AD58" s="2">
        <f t="shared" si="0"/>
        <v>0.25</v>
      </c>
      <c r="AE58" s="131">
        <f t="shared" si="1"/>
        <v>-3.3500837520938909E-3</v>
      </c>
    </row>
    <row r="59" spans="1:31" x14ac:dyDescent="0.25">
      <c r="A59" s="193"/>
      <c r="B59" s="193"/>
      <c r="C59" s="193"/>
      <c r="D59" s="194"/>
      <c r="E59" s="194"/>
      <c r="F59" s="194"/>
      <c r="G59" s="193"/>
      <c r="H59" s="199"/>
      <c r="I59" s="194"/>
      <c r="J59" s="194"/>
      <c r="K59" s="194"/>
      <c r="L59" s="193"/>
      <c r="M59" s="193"/>
      <c r="O59" s="78">
        <v>0.92</v>
      </c>
      <c r="P59" s="78">
        <f t="shared" si="5"/>
        <v>29.688400000000005</v>
      </c>
      <c r="W59" s="127">
        <v>42748</v>
      </c>
      <c r="X59" s="10">
        <v>29.77</v>
      </c>
      <c r="Y59" s="10">
        <v>30.09</v>
      </c>
      <c r="Z59" s="10">
        <v>29.62</v>
      </c>
      <c r="AA59" s="10">
        <v>30.03</v>
      </c>
      <c r="AB59" s="90">
        <v>5500600</v>
      </c>
      <c r="AC59" s="10">
        <v>29.85</v>
      </c>
      <c r="AD59" s="2">
        <f t="shared" si="0"/>
        <v>0.46999999999999886</v>
      </c>
      <c r="AE59" s="131">
        <f t="shared" si="1"/>
        <v>7.4249071886602902E-3</v>
      </c>
    </row>
    <row r="60" spans="1:31" x14ac:dyDescent="0.25">
      <c r="A60" s="193"/>
      <c r="B60" s="193"/>
      <c r="C60" s="193"/>
      <c r="D60" s="194"/>
      <c r="E60" s="194"/>
      <c r="F60" s="194"/>
      <c r="G60" s="193"/>
      <c r="H60" s="199"/>
      <c r="I60" s="194"/>
      <c r="J60" s="194"/>
      <c r="K60" s="194"/>
      <c r="L60" s="193"/>
      <c r="M60" s="193"/>
      <c r="O60" s="78">
        <v>0.91</v>
      </c>
      <c r="P60" s="78">
        <f t="shared" si="5"/>
        <v>29.365700000000004</v>
      </c>
      <c r="W60" s="127">
        <v>42747</v>
      </c>
      <c r="X60" s="10">
        <v>30.05</v>
      </c>
      <c r="Y60" s="10">
        <v>30.07</v>
      </c>
      <c r="Z60" s="10">
        <v>29.67</v>
      </c>
      <c r="AA60" s="10">
        <v>29.81</v>
      </c>
      <c r="AB60" s="90">
        <v>6010300</v>
      </c>
      <c r="AC60" s="10">
        <v>29.63</v>
      </c>
      <c r="AD60" s="2">
        <f t="shared" si="0"/>
        <v>0.39999999999999858</v>
      </c>
      <c r="AE60" s="131">
        <f t="shared" si="1"/>
        <v>-9.0301003344481767E-3</v>
      </c>
    </row>
    <row r="61" spans="1:31" x14ac:dyDescent="0.25">
      <c r="A61" s="193"/>
      <c r="B61" s="193"/>
      <c r="C61" s="193"/>
      <c r="D61" s="194"/>
      <c r="E61" s="194"/>
      <c r="F61" s="194"/>
      <c r="G61" s="193"/>
      <c r="H61" s="193"/>
      <c r="I61" s="194"/>
      <c r="J61" s="194"/>
      <c r="K61" s="194"/>
      <c r="L61" s="193"/>
      <c r="M61" s="193"/>
      <c r="O61" s="78">
        <v>0.9</v>
      </c>
      <c r="P61" s="78">
        <f t="shared" si="5"/>
        <v>29.043000000000003</v>
      </c>
      <c r="W61" s="127">
        <v>42746</v>
      </c>
      <c r="X61" s="10">
        <v>29.72</v>
      </c>
      <c r="Y61" s="10">
        <v>30.1</v>
      </c>
      <c r="Z61" s="10">
        <v>29.59</v>
      </c>
      <c r="AA61" s="10">
        <v>30.08</v>
      </c>
      <c r="AB61" s="90">
        <v>8220900</v>
      </c>
      <c r="AC61" s="10">
        <v>29.9</v>
      </c>
      <c r="AD61" s="2">
        <f t="shared" si="0"/>
        <v>0.51000000000000156</v>
      </c>
      <c r="AE61" s="131">
        <f t="shared" si="1"/>
        <v>1.3559322033898313E-2</v>
      </c>
    </row>
    <row r="62" spans="1:31" x14ac:dyDescent="0.25">
      <c r="A62" s="31" t="s">
        <v>81</v>
      </c>
      <c r="B62" s="14"/>
      <c r="C62" s="14">
        <f>SUM(C46:C50)</f>
        <v>100</v>
      </c>
      <c r="D62" s="18"/>
      <c r="E62" s="18"/>
      <c r="F62" s="18">
        <f>SUM(F46:F50)</f>
        <v>2428</v>
      </c>
      <c r="G62" s="14"/>
      <c r="H62" s="14">
        <f>SUM(H46:H49)</f>
        <v>100</v>
      </c>
      <c r="I62" s="18"/>
      <c r="J62" s="18"/>
      <c r="K62" s="18">
        <f>SUM(K46:K49)</f>
        <v>2508.4499999999998</v>
      </c>
      <c r="L62" s="14"/>
      <c r="M62" s="18">
        <f>SUM(M46:M54)</f>
        <v>18</v>
      </c>
      <c r="W62" s="127">
        <v>42745</v>
      </c>
      <c r="X62" s="10">
        <v>29.58</v>
      </c>
      <c r="Y62" s="10">
        <v>30.08</v>
      </c>
      <c r="Z62" s="10">
        <v>29.25</v>
      </c>
      <c r="AA62" s="10">
        <v>29.67</v>
      </c>
      <c r="AB62" s="90">
        <v>8469300</v>
      </c>
      <c r="AC62" s="10">
        <v>29.5</v>
      </c>
      <c r="AD62" s="2">
        <f t="shared" si="0"/>
        <v>0.82999999999999829</v>
      </c>
      <c r="AE62" s="131">
        <f t="shared" si="1"/>
        <v>6.8259385665527805E-3</v>
      </c>
    </row>
    <row r="63" spans="1:31" ht="15.75" thickBot="1" x14ac:dyDescent="0.3">
      <c r="A63" s="365" t="s">
        <v>189</v>
      </c>
      <c r="B63" s="366"/>
      <c r="C63" s="367">
        <f>SumByColor($A$19,C46:C61)</f>
        <v>0</v>
      </c>
      <c r="D63" s="367"/>
      <c r="E63" s="367"/>
      <c r="F63" s="368">
        <f>SumByColor($A$19,F46:F61)</f>
        <v>0</v>
      </c>
      <c r="G63" s="367"/>
      <c r="H63" s="367">
        <f>SumByColor($A$19,H46:H61)</f>
        <v>0</v>
      </c>
      <c r="I63" s="367"/>
      <c r="J63" s="367"/>
      <c r="K63" s="368">
        <f>SumByColor($A$19,K46:K61)</f>
        <v>0</v>
      </c>
      <c r="L63" s="367"/>
      <c r="M63" s="368">
        <f>SumByColor($A$19,M46:M61)</f>
        <v>0</v>
      </c>
      <c r="W63" s="127">
        <v>42744</v>
      </c>
      <c r="X63" s="10">
        <v>29.58</v>
      </c>
      <c r="Y63" s="10">
        <v>29.66</v>
      </c>
      <c r="Z63" s="10">
        <v>29.25</v>
      </c>
      <c r="AA63" s="10">
        <v>29.47</v>
      </c>
      <c r="AB63" s="90">
        <v>6543300</v>
      </c>
      <c r="AC63" s="10">
        <v>29.3</v>
      </c>
      <c r="AD63" s="2">
        <f t="shared" si="0"/>
        <v>0.41000000000000014</v>
      </c>
      <c r="AE63" s="131">
        <f t="shared" si="1"/>
        <v>-1.7035775127768327E-3</v>
      </c>
    </row>
    <row r="64" spans="1:31" x14ac:dyDescent="0.25">
      <c r="B64" s="4"/>
      <c r="C64" s="4"/>
      <c r="D64" s="3"/>
      <c r="E64" s="3"/>
      <c r="F64" s="3"/>
      <c r="G64" s="4"/>
      <c r="H64" s="4"/>
      <c r="I64" s="3"/>
      <c r="W64" s="127">
        <v>42741</v>
      </c>
      <c r="X64" s="10">
        <v>29.03</v>
      </c>
      <c r="Y64" s="10">
        <v>29.6</v>
      </c>
      <c r="Z64" s="10">
        <v>28.85</v>
      </c>
      <c r="AA64" s="10">
        <v>29.52</v>
      </c>
      <c r="AB64" s="90">
        <v>8338400</v>
      </c>
      <c r="AC64" s="10">
        <v>29.35</v>
      </c>
      <c r="AD64" s="2">
        <f t="shared" si="0"/>
        <v>0.75</v>
      </c>
      <c r="AE64" s="131">
        <f t="shared" si="1"/>
        <v>1.803676725633041E-2</v>
      </c>
    </row>
    <row r="65" spans="2:31" x14ac:dyDescent="0.25">
      <c r="B65" s="4"/>
      <c r="C65" s="4"/>
      <c r="D65" s="3"/>
      <c r="E65" s="3"/>
      <c r="F65" s="3"/>
      <c r="G65" s="4"/>
      <c r="H65" s="4"/>
      <c r="I65" s="3"/>
      <c r="W65" s="127">
        <v>42740</v>
      </c>
      <c r="X65" s="10">
        <v>28.83</v>
      </c>
      <c r="Y65" s="10">
        <v>29.17</v>
      </c>
      <c r="Z65" s="10">
        <v>28.65</v>
      </c>
      <c r="AA65" s="10">
        <v>29</v>
      </c>
      <c r="AB65" s="90">
        <v>6325400</v>
      </c>
      <c r="AC65" s="10">
        <v>28.83</v>
      </c>
      <c r="AD65" s="2">
        <f t="shared" si="0"/>
        <v>0.52000000000000313</v>
      </c>
      <c r="AE65" s="131">
        <f t="shared" si="1"/>
        <v>-6.9324090121325455E-4</v>
      </c>
    </row>
    <row r="66" spans="2:31" x14ac:dyDescent="0.25">
      <c r="W66" s="127">
        <v>42739</v>
      </c>
      <c r="X66" s="10">
        <v>28.88</v>
      </c>
      <c r="Y66" s="10">
        <v>29.19</v>
      </c>
      <c r="Z66" s="10">
        <v>28.76</v>
      </c>
      <c r="AA66" s="10">
        <v>29.02</v>
      </c>
      <c r="AB66" s="90">
        <v>8645600</v>
      </c>
      <c r="AC66" s="10">
        <v>28.85</v>
      </c>
      <c r="AD66" s="2">
        <f t="shared" si="0"/>
        <v>0.42999999999999972</v>
      </c>
      <c r="AE66" s="131">
        <f t="shared" si="1"/>
        <v>1.0507880910683109E-2</v>
      </c>
    </row>
    <row r="67" spans="2:31" x14ac:dyDescent="0.25">
      <c r="W67" s="127">
        <v>42738</v>
      </c>
      <c r="X67" s="10">
        <v>28.42</v>
      </c>
      <c r="Y67" s="10">
        <v>29.04</v>
      </c>
      <c r="Z67" s="10">
        <v>28.27</v>
      </c>
      <c r="AA67" s="10">
        <v>28.72</v>
      </c>
      <c r="AB67" s="90">
        <v>10597900</v>
      </c>
      <c r="AC67" s="10">
        <v>28.55</v>
      </c>
      <c r="AD67" s="2">
        <f>Y67-Z67</f>
        <v>0.76999999999999957</v>
      </c>
      <c r="AE67" s="131" t="e">
        <f>AC67/#REF!-1</f>
        <v>#REF!</v>
      </c>
    </row>
    <row r="68" spans="2:31" x14ac:dyDescent="0.25">
      <c r="W68" s="127">
        <v>42734</v>
      </c>
      <c r="X68" s="10">
        <v>28.29</v>
      </c>
      <c r="Y68" s="10">
        <v>28.37</v>
      </c>
      <c r="Z68" s="10">
        <v>27.92</v>
      </c>
      <c r="AA68" s="10">
        <v>28.04</v>
      </c>
      <c r="AB68" s="90">
        <v>6161200</v>
      </c>
      <c r="AC68" s="10">
        <v>27.87</v>
      </c>
      <c r="AD68" s="2" t="e">
        <f>#REF!-#REF!</f>
        <v>#REF!</v>
      </c>
      <c r="AE68" s="131" t="e">
        <f>#REF!/AC70-1</f>
        <v>#REF!</v>
      </c>
    </row>
    <row r="69" spans="2:31" x14ac:dyDescent="0.25">
      <c r="W69" s="127" t="s">
        <v>120</v>
      </c>
      <c r="X69" s="10"/>
      <c r="Y69" s="10"/>
      <c r="Z69" s="10"/>
      <c r="AA69" s="10"/>
      <c r="AB69" s="90"/>
      <c r="AC69" s="10"/>
      <c r="AD69" s="2">
        <f>Y70-Z70</f>
        <v>0</v>
      </c>
      <c r="AE69" s="131" t="e">
        <f>AC70/AC71-1</f>
        <v>#DIV/0!</v>
      </c>
    </row>
    <row r="70" spans="2:31" x14ac:dyDescent="0.25">
      <c r="W70" s="127"/>
      <c r="X70" s="10"/>
      <c r="Y70" s="10"/>
      <c r="Z70" s="10"/>
      <c r="AA70" s="10"/>
      <c r="AB70" s="90"/>
      <c r="AC70" s="10"/>
    </row>
  </sheetData>
  <mergeCells count="1">
    <mergeCell ref="O40:P40"/>
  </mergeCells>
  <conditionalFormatting sqref="O41:O61">
    <cfRule type="colorScale" priority="16">
      <colorScale>
        <cfvo type="min"/>
        <cfvo type="percentile" val="50"/>
        <cfvo type="max"/>
        <color rgb="FFF8696B"/>
        <color rgb="FFFFEB84"/>
        <color rgb="FF63BE7B"/>
      </colorScale>
    </cfRule>
  </conditionalFormatting>
  <conditionalFormatting sqref="P41:P61">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{FB655D0F-7FA3-4E22-9F1C-61BC0AD0587B}</x14:id>
        </ext>
      </extLst>
    </cfRule>
  </conditionalFormatting>
  <conditionalFormatting sqref="AE1:AE69">
    <cfRule type="iconSet" priority="13">
      <iconSet iconSet="3Arrows">
        <cfvo type="percent" val="0"/>
        <cfvo type="num" val="0"/>
        <cfvo type="num" val="0"/>
      </iconSet>
    </cfRule>
  </conditionalFormatting>
  <conditionalFormatting sqref="F33:F44 H33:H44">
    <cfRule type="expression" dxfId="3259" priority="11">
      <formula>F33&gt;0</formula>
    </cfRule>
    <cfRule type="expression" dxfId="3258" priority="12">
      <formula>F33&lt;0</formula>
    </cfRule>
  </conditionalFormatting>
  <conditionalFormatting sqref="Q7">
    <cfRule type="expression" dxfId="3257" priority="9">
      <formula>Q7&gt;0</formula>
    </cfRule>
    <cfRule type="expression" dxfId="3256" priority="10">
      <formula>Q7&lt;0</formula>
    </cfRule>
  </conditionalFormatting>
  <conditionalFormatting sqref="Q8">
    <cfRule type="expression" dxfId="3255" priority="7">
      <formula>Q8&gt;0</formula>
    </cfRule>
    <cfRule type="expression" dxfId="3254" priority="8">
      <formula>Q8&lt;0</formula>
    </cfRule>
  </conditionalFormatting>
  <conditionalFormatting sqref="F25:F32">
    <cfRule type="expression" dxfId="3253" priority="5">
      <formula>F25&gt;0</formula>
    </cfRule>
    <cfRule type="expression" dxfId="3252" priority="6">
      <formula>F25&lt;0</formula>
    </cfRule>
  </conditionalFormatting>
  <conditionalFormatting sqref="H25:H32">
    <cfRule type="expression" dxfId="3251" priority="3">
      <formula>H25&gt;0</formula>
    </cfRule>
    <cfRule type="expression" dxfId="3250" priority="4">
      <formula>H25&lt;0</formula>
    </cfRule>
  </conditionalFormatting>
  <conditionalFormatting sqref="Q10">
    <cfRule type="expression" dxfId="3249" priority="1">
      <formula>Q10&gt;0</formula>
    </cfRule>
    <cfRule type="expression" dxfId="3248" priority="2">
      <formula>Q10&lt;0</formula>
    </cfRule>
  </conditionalFormatting>
  <hyperlinks>
    <hyperlink ref="A3" location="ACTIVE!A1" display="Back"/>
    <hyperlink ref="A39" r:id="rId1"/>
    <hyperlink ref="A47" location="ACTIVE!A1" display="Back"/>
  </hyperlinks>
  <pageMargins left="0.7" right="0.7" top="0.75" bottom="0.75" header="0.3" footer="0.3"/>
  <pageSetup orientation="portrait" r:id="rId2"/>
  <drawing r:id="rId3"/>
  <extLst>
    <ext xmlns:x14="http://schemas.microsoft.com/office/spreadsheetml/2009/9/main" uri="{78C0D931-6437-407d-A8EE-F0AAD7539E65}">
      <x14:conditionalFormattings>
        <x14:conditionalFormatting xmlns:xm="http://schemas.microsoft.com/office/excel/2006/main">
          <x14:cfRule type="dataBar" id="{FB655D0F-7FA3-4E22-9F1C-61BC0AD0587B}">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5.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1235</v>
      </c>
      <c r="B2" s="360">
        <v>43384</v>
      </c>
      <c r="C2" s="7">
        <v>25</v>
      </c>
      <c r="D2" s="43">
        <v>219</v>
      </c>
      <c r="E2" s="43">
        <v>0</v>
      </c>
      <c r="F2" s="43">
        <f>C2*D2+E2</f>
        <v>5475</v>
      </c>
      <c r="G2" s="360">
        <v>43427</v>
      </c>
      <c r="H2" s="7">
        <v>25</v>
      </c>
      <c r="I2" s="43">
        <v>225.6</v>
      </c>
      <c r="J2" s="43">
        <v>7.0000000000000007E-2</v>
      </c>
      <c r="K2" s="43">
        <f>H2*I2-J2</f>
        <v>5639.93</v>
      </c>
      <c r="L2" s="69">
        <v>43556</v>
      </c>
      <c r="M2" s="43">
        <v>19.5</v>
      </c>
      <c r="O2" s="11" t="s">
        <v>57</v>
      </c>
      <c r="Q2">
        <f>C18-H18</f>
        <v>0</v>
      </c>
      <c r="T2" s="1"/>
    </row>
    <row r="3" spans="1:21" x14ac:dyDescent="0.25">
      <c r="A3" s="22" t="s">
        <v>71</v>
      </c>
      <c r="B3" s="360" t="s">
        <v>1278</v>
      </c>
      <c r="C3" s="7">
        <v>20</v>
      </c>
      <c r="D3" s="43">
        <v>208.5</v>
      </c>
      <c r="E3" s="43">
        <v>0</v>
      </c>
      <c r="F3" s="43">
        <f>C3*D3+E3</f>
        <v>4170</v>
      </c>
      <c r="G3" s="360">
        <v>43447</v>
      </c>
      <c r="H3" s="77">
        <v>20</v>
      </c>
      <c r="I3" s="43">
        <v>186.58</v>
      </c>
      <c r="J3" s="43">
        <v>0.05</v>
      </c>
      <c r="K3" s="43">
        <f>H3*I3-J3</f>
        <v>3731.55</v>
      </c>
      <c r="L3" s="4"/>
      <c r="M3" s="4"/>
      <c r="O3" s="11" t="s">
        <v>58</v>
      </c>
      <c r="Q3" s="174">
        <f>IF(Q2=0, Q4, (F18-K18-M18)/Q2)</f>
        <v>145.66999999999999</v>
      </c>
      <c r="T3" s="1"/>
      <c r="U3" s="22"/>
    </row>
    <row r="4" spans="1:21" x14ac:dyDescent="0.25">
      <c r="B4" s="360">
        <v>43447</v>
      </c>
      <c r="C4" s="7">
        <v>20</v>
      </c>
      <c r="D4" s="43">
        <v>184.2</v>
      </c>
      <c r="E4" s="43">
        <v>0</v>
      </c>
      <c r="F4" s="43">
        <f>C4*D4+E4</f>
        <v>3684</v>
      </c>
      <c r="G4" s="360">
        <v>43572</v>
      </c>
      <c r="H4" s="77">
        <v>30</v>
      </c>
      <c r="I4" s="43">
        <v>198.45</v>
      </c>
      <c r="J4" s="43">
        <v>0.12</v>
      </c>
      <c r="K4" s="43">
        <f>H4*I4-J4</f>
        <v>5953.38</v>
      </c>
      <c r="L4" s="4"/>
      <c r="M4" s="4"/>
      <c r="O4" s="11" t="s">
        <v>66</v>
      </c>
      <c r="Q4" s="53">
        <v>145.66999999999999</v>
      </c>
      <c r="R4" s="416">
        <v>4.1999999999999997E-3</v>
      </c>
      <c r="T4" s="680"/>
      <c r="U4" s="30"/>
    </row>
    <row r="5" spans="1:21" x14ac:dyDescent="0.25">
      <c r="B5" s="360">
        <v>43447</v>
      </c>
      <c r="C5" s="7">
        <v>10</v>
      </c>
      <c r="D5" s="43">
        <v>184.2</v>
      </c>
      <c r="E5" s="43">
        <v>0</v>
      </c>
      <c r="F5" s="43">
        <f>C5*D5+E5</f>
        <v>1842</v>
      </c>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173.36000000000058</v>
      </c>
      <c r="R7">
        <v>0</v>
      </c>
    </row>
    <row r="8" spans="1:21" x14ac:dyDescent="0.25">
      <c r="B8" s="69"/>
      <c r="C8" s="4"/>
      <c r="D8" s="3"/>
      <c r="E8" s="3"/>
      <c r="F8" s="3"/>
      <c r="G8" s="4"/>
      <c r="H8" s="158"/>
      <c r="I8" s="3"/>
      <c r="J8" s="3"/>
      <c r="K8" s="3"/>
      <c r="L8" s="4"/>
      <c r="M8" s="4"/>
      <c r="O8" s="11" t="s">
        <v>177</v>
      </c>
      <c r="P8" s="33"/>
      <c r="Q8" s="2">
        <f>K18+M18-F18+Q2*Q4</f>
        <v>173.36000000000058</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0</v>
      </c>
    </row>
    <row r="12" spans="1:21" x14ac:dyDescent="0.25">
      <c r="H12" s="67"/>
      <c r="O12" s="11" t="s">
        <v>875</v>
      </c>
      <c r="Q12" s="1" t="s">
        <v>1297</v>
      </c>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160.23699999999999</v>
      </c>
    </row>
    <row r="18" spans="1:16" x14ac:dyDescent="0.25">
      <c r="A18" s="31" t="s">
        <v>81</v>
      </c>
      <c r="B18" s="14"/>
      <c r="C18" s="14">
        <f>SUM(C2:C8)</f>
        <v>75</v>
      </c>
      <c r="D18" s="18"/>
      <c r="E18" s="18"/>
      <c r="F18" s="18">
        <f>SUM(F2:F8)</f>
        <v>15171</v>
      </c>
      <c r="G18" s="14"/>
      <c r="H18" s="68">
        <f>SUM(H2:H5)</f>
        <v>75</v>
      </c>
      <c r="I18" s="18"/>
      <c r="J18" s="18"/>
      <c r="K18" s="18">
        <f>SUM(K2:K5)</f>
        <v>15324.86</v>
      </c>
      <c r="L18" s="14"/>
      <c r="M18" s="18">
        <f>SUM(M2:M10)</f>
        <v>19.5</v>
      </c>
      <c r="O18" s="78">
        <v>1.0900000000000001</v>
      </c>
      <c r="P18" s="78">
        <f t="shared" ref="P18:P37" si="0">O18*$Q$4</f>
        <v>158.78030000000001</v>
      </c>
    </row>
    <row r="19" spans="1:16" ht="15.75" thickBot="1" x14ac:dyDescent="0.3">
      <c r="A19" s="273" t="s">
        <v>189</v>
      </c>
      <c r="B19" s="274"/>
      <c r="C19" s="275">
        <f>SumByColor($A$19,C2:C17)</f>
        <v>75</v>
      </c>
      <c r="D19" s="275"/>
      <c r="E19" s="275"/>
      <c r="F19" s="276">
        <f>SumByColor($A$19,F2:F17)</f>
        <v>15171</v>
      </c>
      <c r="G19" s="275"/>
      <c r="H19" s="275">
        <f>SumByColor($A$19,H2:H17)</f>
        <v>75</v>
      </c>
      <c r="I19" s="275"/>
      <c r="J19" s="275"/>
      <c r="K19" s="276">
        <f>SumByColor($A$19,K2:K17)</f>
        <v>15325</v>
      </c>
      <c r="L19" s="275"/>
      <c r="M19" s="276">
        <f>SumByColor($A$19,M2:M17)</f>
        <v>20</v>
      </c>
      <c r="O19" s="78">
        <v>1.08</v>
      </c>
      <c r="P19" s="78">
        <f t="shared" si="0"/>
        <v>157.3236</v>
      </c>
    </row>
    <row r="20" spans="1:16" x14ac:dyDescent="0.25">
      <c r="O20" s="78">
        <v>1.07</v>
      </c>
      <c r="P20" s="78">
        <f t="shared" si="0"/>
        <v>155.86689999999999</v>
      </c>
    </row>
    <row r="21" spans="1:16" x14ac:dyDescent="0.25">
      <c r="O21" s="78">
        <v>1.06</v>
      </c>
      <c r="P21" s="78">
        <f t="shared" si="0"/>
        <v>154.4102</v>
      </c>
    </row>
    <row r="22" spans="1:16" x14ac:dyDescent="0.25">
      <c r="O22" s="78">
        <v>1.05</v>
      </c>
      <c r="P22" s="78">
        <f t="shared" si="0"/>
        <v>152.95349999999999</v>
      </c>
    </row>
    <row r="23" spans="1:16" x14ac:dyDescent="0.25">
      <c r="O23" s="78">
        <v>1.04</v>
      </c>
      <c r="P23" s="78">
        <f t="shared" si="0"/>
        <v>151.49679999999998</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150.0401</v>
      </c>
    </row>
    <row r="25" spans="1:16" x14ac:dyDescent="0.25">
      <c r="B25" s="161">
        <v>43384</v>
      </c>
      <c r="C25" s="10">
        <v>25</v>
      </c>
      <c r="D25" s="39">
        <v>219</v>
      </c>
      <c r="E25" s="39">
        <v>217.42</v>
      </c>
      <c r="F25" s="39">
        <f>C25*(E25-D25)</f>
        <v>-39.500000000000313</v>
      </c>
      <c r="G25" s="39">
        <f>D25*C25</f>
        <v>5475</v>
      </c>
      <c r="H25" s="175">
        <f>(E25-D25)/D25</f>
        <v>-7.2146118721461757E-3</v>
      </c>
      <c r="I25" s="39"/>
      <c r="J25" s="39"/>
      <c r="K25" s="39"/>
      <c r="L25" s="39"/>
      <c r="O25" s="78">
        <v>1.02</v>
      </c>
      <c r="P25" s="78">
        <f t="shared" si="0"/>
        <v>148.58339999999998</v>
      </c>
    </row>
    <row r="26" spans="1:16" x14ac:dyDescent="0.25">
      <c r="B26" s="161">
        <v>43427</v>
      </c>
      <c r="C26" s="10">
        <v>0</v>
      </c>
      <c r="D26" s="39">
        <v>219</v>
      </c>
      <c r="E26" s="39">
        <v>225.6</v>
      </c>
      <c r="F26" s="39"/>
      <c r="G26" s="39"/>
      <c r="H26" s="175"/>
      <c r="I26" s="39"/>
      <c r="J26" s="39">
        <v>164.93</v>
      </c>
      <c r="K26" s="39"/>
      <c r="L26" s="39"/>
      <c r="O26" s="78">
        <v>1.01</v>
      </c>
      <c r="P26" s="78">
        <f t="shared" si="0"/>
        <v>147.1267</v>
      </c>
    </row>
    <row r="27" spans="1:16" x14ac:dyDescent="0.25">
      <c r="B27" s="161">
        <v>43441</v>
      </c>
      <c r="C27" s="10">
        <v>20</v>
      </c>
      <c r="D27" s="39">
        <v>200.2535</v>
      </c>
      <c r="E27" s="39">
        <v>201.39</v>
      </c>
      <c r="F27" s="39">
        <f t="shared" ref="F27:F32" si="1">C27*(E27-D27)</f>
        <v>22.729999999999677</v>
      </c>
      <c r="G27" s="39">
        <f t="shared" ref="G27:G32" si="2">D27*C27</f>
        <v>4005.07</v>
      </c>
      <c r="H27" s="175">
        <f t="shared" ref="H27:H32" si="3">(E27-D27)/D27</f>
        <v>5.6753065489491264E-3</v>
      </c>
      <c r="I27" s="39"/>
      <c r="J27" s="39"/>
      <c r="K27" s="39"/>
      <c r="L27" s="39"/>
      <c r="O27" s="78">
        <v>1</v>
      </c>
      <c r="P27" s="78">
        <f t="shared" si="0"/>
        <v>145.66999999999999</v>
      </c>
    </row>
    <row r="28" spans="1:16" x14ac:dyDescent="0.25">
      <c r="B28" s="161">
        <v>43447</v>
      </c>
      <c r="C28" s="10">
        <v>30</v>
      </c>
      <c r="D28" s="39">
        <v>193.31729999999999</v>
      </c>
      <c r="E28" s="39">
        <v>187.18</v>
      </c>
      <c r="F28" s="39">
        <f t="shared" si="1"/>
        <v>-184.11899999999946</v>
      </c>
      <c r="G28" s="39">
        <f t="shared" si="2"/>
        <v>5799.5189999999993</v>
      </c>
      <c r="H28" s="175">
        <f t="shared" si="3"/>
        <v>-3.1747288007850212E-2</v>
      </c>
      <c r="I28" s="39"/>
      <c r="J28" s="39"/>
      <c r="K28" s="39"/>
      <c r="L28" s="39"/>
      <c r="O28" s="78">
        <v>0.99</v>
      </c>
      <c r="P28" s="78">
        <f t="shared" si="0"/>
        <v>144.21329999999998</v>
      </c>
    </row>
    <row r="29" spans="1:16" x14ac:dyDescent="0.25">
      <c r="B29" s="161">
        <v>43535</v>
      </c>
      <c r="C29" s="10">
        <v>30</v>
      </c>
      <c r="D29" s="39">
        <v>193.31729999999999</v>
      </c>
      <c r="E29" s="39">
        <v>176.45</v>
      </c>
      <c r="F29" s="39">
        <f t="shared" si="1"/>
        <v>-506.01900000000001</v>
      </c>
      <c r="G29" s="39">
        <f t="shared" si="2"/>
        <v>5799.5189999999993</v>
      </c>
      <c r="H29" s="175">
        <f t="shared" si="3"/>
        <v>-8.7251891062000153E-2</v>
      </c>
      <c r="I29" s="39"/>
      <c r="J29" s="39"/>
      <c r="K29" s="39"/>
      <c r="L29" s="39"/>
      <c r="O29" s="78">
        <v>0.98</v>
      </c>
      <c r="P29" s="78">
        <f t="shared" si="0"/>
        <v>142.75659999999999</v>
      </c>
    </row>
    <row r="30" spans="1:16" x14ac:dyDescent="0.25">
      <c r="A30">
        <v>30</v>
      </c>
      <c r="B30" s="161">
        <v>43556</v>
      </c>
      <c r="C30" s="10">
        <v>30</v>
      </c>
      <c r="D30" s="39">
        <v>192.66730000000001</v>
      </c>
      <c r="E30" s="39">
        <v>186.45</v>
      </c>
      <c r="F30" s="39">
        <f t="shared" si="1"/>
        <v>-186.51900000000069</v>
      </c>
      <c r="G30" s="39">
        <f t="shared" si="2"/>
        <v>5780.0190000000002</v>
      </c>
      <c r="H30" s="175">
        <f t="shared" si="3"/>
        <v>-3.2269617106795094E-2</v>
      </c>
      <c r="I30" s="39"/>
      <c r="J30" s="39"/>
      <c r="K30" s="39"/>
      <c r="L30" s="39"/>
      <c r="O30" s="78">
        <v>0.97</v>
      </c>
      <c r="P30" s="78">
        <f t="shared" si="0"/>
        <v>141.29989999999998</v>
      </c>
    </row>
    <row r="31" spans="1:16" x14ac:dyDescent="0.25">
      <c r="B31" s="161">
        <v>43572</v>
      </c>
      <c r="C31" s="10">
        <v>30</v>
      </c>
      <c r="D31" s="39">
        <v>192.67</v>
      </c>
      <c r="E31" s="39">
        <v>197.23</v>
      </c>
      <c r="F31" s="39">
        <f t="shared" si="1"/>
        <v>136.80000000000007</v>
      </c>
      <c r="G31" s="39">
        <f t="shared" si="2"/>
        <v>5780.0999999999995</v>
      </c>
      <c r="H31" s="175">
        <f t="shared" si="3"/>
        <v>2.3667410598432567E-2</v>
      </c>
      <c r="I31" s="39"/>
      <c r="J31" s="39"/>
      <c r="K31" s="39"/>
      <c r="L31" s="39"/>
      <c r="O31" s="78">
        <v>0.96</v>
      </c>
      <c r="P31" s="78">
        <f t="shared" si="0"/>
        <v>139.8432</v>
      </c>
    </row>
    <row r="32" spans="1:16" x14ac:dyDescent="0.25">
      <c r="B32" s="161">
        <v>43572</v>
      </c>
      <c r="C32" s="10">
        <v>0</v>
      </c>
      <c r="D32" s="39">
        <v>192.6713</v>
      </c>
      <c r="E32" s="39">
        <v>198.06</v>
      </c>
      <c r="F32" s="39">
        <f t="shared" si="1"/>
        <v>0</v>
      </c>
      <c r="G32" s="39">
        <f t="shared" si="2"/>
        <v>0</v>
      </c>
      <c r="H32" s="175">
        <f t="shared" si="3"/>
        <v>2.7968358546394817E-2</v>
      </c>
      <c r="I32" s="39"/>
      <c r="J32" s="39">
        <v>173.36</v>
      </c>
      <c r="K32" s="39"/>
      <c r="L32" s="39"/>
      <c r="O32" s="78">
        <v>0.95</v>
      </c>
      <c r="P32" s="78">
        <f t="shared" si="0"/>
        <v>138.38649999999998</v>
      </c>
    </row>
    <row r="33" spans="2:17" x14ac:dyDescent="0.25">
      <c r="B33" s="161"/>
      <c r="C33" s="10"/>
      <c r="D33" s="39"/>
      <c r="E33" s="39"/>
      <c r="F33" s="39"/>
      <c r="G33" s="39"/>
      <c r="H33" s="175"/>
      <c r="I33" s="39"/>
      <c r="J33" s="39"/>
      <c r="K33" s="39"/>
      <c r="L33" s="39"/>
      <c r="O33" s="78">
        <v>0.94</v>
      </c>
      <c r="P33" s="78">
        <f t="shared" si="0"/>
        <v>136.92979999999997</v>
      </c>
    </row>
    <row r="34" spans="2:17" x14ac:dyDescent="0.25">
      <c r="B34" s="161"/>
      <c r="C34" s="10"/>
      <c r="D34" s="39"/>
      <c r="E34" s="39"/>
      <c r="F34" s="39"/>
      <c r="G34" s="39"/>
      <c r="H34" s="175"/>
      <c r="I34" s="39"/>
      <c r="J34" s="39"/>
      <c r="K34" s="39"/>
      <c r="L34" s="39"/>
      <c r="O34" s="78">
        <v>0.93</v>
      </c>
      <c r="P34" s="78">
        <f t="shared" si="0"/>
        <v>135.47309999999999</v>
      </c>
    </row>
    <row r="35" spans="2:17" x14ac:dyDescent="0.25">
      <c r="B35" s="161"/>
      <c r="C35" s="10"/>
      <c r="D35" s="39"/>
      <c r="E35" s="39"/>
      <c r="F35" s="39"/>
      <c r="G35" s="39"/>
      <c r="H35" s="175"/>
      <c r="I35" s="39"/>
      <c r="J35" s="39"/>
      <c r="K35" s="39"/>
      <c r="L35" s="39"/>
      <c r="O35" s="78">
        <v>0.92</v>
      </c>
      <c r="P35" s="78">
        <f t="shared" si="0"/>
        <v>134.0164</v>
      </c>
    </row>
    <row r="36" spans="2:17" x14ac:dyDescent="0.25">
      <c r="B36" s="161"/>
      <c r="C36" s="10"/>
      <c r="D36" s="39"/>
      <c r="E36" s="39"/>
      <c r="F36" s="39"/>
      <c r="G36" s="39"/>
      <c r="H36" s="175"/>
      <c r="I36" s="39"/>
      <c r="J36" s="39"/>
      <c r="K36" s="39"/>
      <c r="L36" s="39"/>
      <c r="O36" s="78">
        <v>0.91</v>
      </c>
      <c r="P36" s="78">
        <f t="shared" si="0"/>
        <v>132.55969999999999</v>
      </c>
    </row>
    <row r="37" spans="2:17" x14ac:dyDescent="0.25">
      <c r="B37" s="161"/>
      <c r="C37" s="10"/>
      <c r="D37" s="39"/>
      <c r="E37" s="39"/>
      <c r="F37" s="39"/>
      <c r="G37" s="39"/>
      <c r="H37" s="175"/>
      <c r="I37" s="39"/>
      <c r="J37" s="39"/>
      <c r="K37" s="39"/>
      <c r="L37" s="39"/>
      <c r="O37" s="78">
        <v>0.9</v>
      </c>
      <c r="P37" s="78">
        <f t="shared" si="0"/>
        <v>131.10299999999998</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3247" priority="39">
      <formula>F47&gt;0</formula>
    </cfRule>
    <cfRule type="expression" dxfId="3246" priority="40">
      <formula>F47&lt;0</formula>
    </cfRule>
  </conditionalFormatting>
  <conditionalFormatting sqref="Q7">
    <cfRule type="expression" dxfId="3245" priority="37">
      <formula>Q7&gt;0</formula>
    </cfRule>
    <cfRule type="expression" dxfId="3244" priority="38">
      <formula>Q7&lt;0</formula>
    </cfRule>
  </conditionalFormatting>
  <conditionalFormatting sqref="Q8">
    <cfRule type="expression" dxfId="3243" priority="35">
      <formula>Q8&gt;0</formula>
    </cfRule>
    <cfRule type="expression" dxfId="3242" priority="36">
      <formula>Q8&lt;0</formula>
    </cfRule>
  </conditionalFormatting>
  <conditionalFormatting sqref="F30:F46">
    <cfRule type="expression" dxfId="3241" priority="33">
      <formula>F30&gt;0</formula>
    </cfRule>
    <cfRule type="expression" dxfId="3240" priority="34">
      <formula>F30&lt;0</formula>
    </cfRule>
  </conditionalFormatting>
  <conditionalFormatting sqref="H30:H46">
    <cfRule type="expression" dxfId="3239" priority="31">
      <formula>H30&gt;0</formula>
    </cfRule>
    <cfRule type="expression" dxfId="3238" priority="32">
      <formula>H30&lt;0</formula>
    </cfRule>
  </conditionalFormatting>
  <conditionalFormatting sqref="Q10">
    <cfRule type="expression" dxfId="3237" priority="29">
      <formula>Q10&gt;0</formula>
    </cfRule>
    <cfRule type="expression" dxfId="3236" priority="30">
      <formula>Q10&lt;0</formula>
    </cfRule>
  </conditionalFormatting>
  <conditionalFormatting sqref="J25:J38">
    <cfRule type="expression" dxfId="3235" priority="27">
      <formula>J25&gt;0</formula>
    </cfRule>
    <cfRule type="expression" dxfId="3234" priority="28">
      <formula>J25&lt;0</formula>
    </cfRule>
  </conditionalFormatting>
  <conditionalFormatting sqref="K25:K38">
    <cfRule type="expression" dxfId="3233" priority="25">
      <formula>K25&gt;0</formula>
    </cfRule>
    <cfRule type="expression" dxfId="3232" priority="26">
      <formula>K25&lt;0</formula>
    </cfRule>
  </conditionalFormatting>
  <conditionalFormatting sqref="L25 L38">
    <cfRule type="expression" dxfId="3231" priority="23">
      <formula>L25&gt;0</formula>
    </cfRule>
    <cfRule type="expression" dxfId="3230" priority="24">
      <formula>L25&lt;0</formula>
    </cfRule>
  </conditionalFormatting>
  <conditionalFormatting sqref="F89:F110">
    <cfRule type="expression" dxfId="3229" priority="21">
      <formula>F89&gt;0</formula>
    </cfRule>
    <cfRule type="expression" dxfId="3228" priority="22">
      <formula>F89&lt;0</formula>
    </cfRule>
  </conditionalFormatting>
  <conditionalFormatting sqref="H89:H110">
    <cfRule type="expression" dxfId="3227" priority="19">
      <formula>H89&gt;0</formula>
    </cfRule>
    <cfRule type="expression" dxfId="3226" priority="20">
      <formula>H89&lt;0</formula>
    </cfRule>
  </conditionalFormatting>
  <conditionalFormatting sqref="J89:J102">
    <cfRule type="expression" dxfId="3225" priority="17">
      <formula>J89&gt;0</formula>
    </cfRule>
    <cfRule type="expression" dxfId="3224" priority="18">
      <formula>J89&lt;0</formula>
    </cfRule>
  </conditionalFormatting>
  <conditionalFormatting sqref="K89:K102">
    <cfRule type="expression" dxfId="3223" priority="15">
      <formula>K89&gt;0</formula>
    </cfRule>
    <cfRule type="expression" dxfId="3222" priority="16">
      <formula>K89&lt;0</formula>
    </cfRule>
  </conditionalFormatting>
  <conditionalFormatting sqref="L89:L102">
    <cfRule type="expression" dxfId="3221" priority="13">
      <formula>L89&gt;0</formula>
    </cfRule>
    <cfRule type="expression" dxfId="3220" priority="14">
      <formula>L89&lt;0</formula>
    </cfRule>
  </conditionalFormatting>
  <conditionalFormatting sqref="F25">
    <cfRule type="expression" dxfId="3219" priority="11">
      <formula>F25&gt;0</formula>
    </cfRule>
    <cfRule type="expression" dxfId="3218" priority="12">
      <formula>F25&lt;0</formula>
    </cfRule>
  </conditionalFormatting>
  <conditionalFormatting sqref="H25:H26">
    <cfRule type="expression" dxfId="3217" priority="9">
      <formula>H25&gt;0</formula>
    </cfRule>
    <cfRule type="expression" dxfId="3216" priority="10">
      <formula>H25&lt;0</formula>
    </cfRule>
  </conditionalFormatting>
  <conditionalFormatting sqref="F26">
    <cfRule type="expression" dxfId="3215" priority="7">
      <formula>F26&gt;0</formula>
    </cfRule>
    <cfRule type="expression" dxfId="3214" priority="8">
      <formula>F26&lt;0</formula>
    </cfRule>
  </conditionalFormatting>
  <conditionalFormatting sqref="F27:F29">
    <cfRule type="expression" dxfId="3213" priority="3">
      <formula>F27&gt;0</formula>
    </cfRule>
    <cfRule type="expression" dxfId="3212" priority="4">
      <formula>F27&lt;0</formula>
    </cfRule>
  </conditionalFormatting>
  <conditionalFormatting sqref="H27:H29">
    <cfRule type="expression" dxfId="3211" priority="1">
      <formula>H27&gt;0</formula>
    </cfRule>
    <cfRule type="expression" dxfId="3210" priority="2">
      <formula>H27&lt;0</formula>
    </cfRule>
  </conditionalFormatting>
  <hyperlinks>
    <hyperlink ref="A3" location="ACTIVE!A1" display="Back"/>
  </hyperlinks>
  <pageMargins left="0.7" right="0.7" top="0.75" bottom="0.75" header="0.3" footer="0.3"/>
  <pageSetup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1283</v>
      </c>
      <c r="B2" s="360" t="s">
        <v>1289</v>
      </c>
      <c r="C2" s="4">
        <v>60</v>
      </c>
      <c r="D2" s="3">
        <v>48.8</v>
      </c>
      <c r="E2" s="3">
        <v>0</v>
      </c>
      <c r="F2" s="3">
        <f>C2*D2+E2</f>
        <v>2928</v>
      </c>
      <c r="G2" s="360">
        <v>43462</v>
      </c>
      <c r="H2" s="4">
        <v>60</v>
      </c>
      <c r="I2" s="3">
        <v>48.79</v>
      </c>
      <c r="J2" s="3">
        <v>0.04</v>
      </c>
      <c r="K2" s="3">
        <f>H2*I2-J2</f>
        <v>2927.36</v>
      </c>
      <c r="L2" s="69"/>
      <c r="M2" s="3"/>
      <c r="O2" s="11" t="s">
        <v>57</v>
      </c>
      <c r="Q2">
        <f>C18-H18</f>
        <v>0</v>
      </c>
      <c r="T2" s="1"/>
    </row>
    <row r="3" spans="1:21" x14ac:dyDescent="0.25">
      <c r="A3" s="22" t="s">
        <v>71</v>
      </c>
      <c r="B3" s="114"/>
      <c r="C3" s="4"/>
      <c r="D3" s="3"/>
      <c r="E3" s="3"/>
      <c r="F3" s="3"/>
      <c r="G3" s="69"/>
      <c r="H3" s="158"/>
      <c r="I3" s="3"/>
      <c r="J3" s="3"/>
      <c r="K3" s="3"/>
      <c r="L3" s="4"/>
      <c r="M3" s="4"/>
      <c r="O3" s="11" t="s">
        <v>58</v>
      </c>
      <c r="Q3" s="174">
        <f>IF(Q2=0, Q4, (F18-K18-M18)/Q2)</f>
        <v>47.7</v>
      </c>
      <c r="T3" s="1"/>
    </row>
    <row r="4" spans="1:21" x14ac:dyDescent="0.25">
      <c r="B4" s="69"/>
      <c r="C4" s="4"/>
      <c r="D4" s="3"/>
      <c r="E4" s="3"/>
      <c r="F4" s="3"/>
      <c r="G4" s="69"/>
      <c r="H4" s="158"/>
      <c r="I4" s="3"/>
      <c r="J4" s="3"/>
      <c r="K4" s="3"/>
      <c r="L4" s="4"/>
      <c r="M4" s="4"/>
      <c r="O4" s="11" t="s">
        <v>66</v>
      </c>
      <c r="Q4" s="53">
        <v>47.7</v>
      </c>
      <c r="R4" s="416">
        <v>1.2699999999999999E-2</v>
      </c>
      <c r="T4" s="680"/>
      <c r="U4" s="30"/>
    </row>
    <row r="5" spans="1:21" x14ac:dyDescent="0.25">
      <c r="B5" s="69"/>
      <c r="C5" s="4"/>
      <c r="D5" s="3"/>
      <c r="E5" s="3"/>
      <c r="F5" s="3"/>
      <c r="G5" s="69"/>
      <c r="H5" s="158"/>
      <c r="I5" s="3"/>
      <c r="J5" s="3"/>
      <c r="K5" s="3"/>
      <c r="L5" s="4"/>
      <c r="M5" s="4"/>
      <c r="O5" s="11" t="s">
        <v>67</v>
      </c>
      <c r="Q5" s="3">
        <f>Q4*Q2</f>
        <v>0</v>
      </c>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69"/>
      <c r="H7" s="158"/>
      <c r="I7" s="3"/>
      <c r="J7" s="3"/>
      <c r="K7" s="3"/>
      <c r="L7" s="4"/>
      <c r="M7" s="4"/>
      <c r="O7" s="11" t="s">
        <v>175</v>
      </c>
      <c r="Q7" s="2">
        <f>Q10+Q8</f>
        <v>-0.63999999999987267</v>
      </c>
      <c r="R7">
        <v>0</v>
      </c>
      <c r="T7" s="1"/>
    </row>
    <row r="8" spans="1:21" x14ac:dyDescent="0.25">
      <c r="B8" s="69"/>
      <c r="C8" s="4"/>
      <c r="D8" s="3"/>
      <c r="E8" s="3"/>
      <c r="F8" s="3"/>
      <c r="G8" s="69"/>
      <c r="H8" s="158"/>
      <c r="I8" s="3"/>
      <c r="J8" s="3"/>
      <c r="K8" s="3"/>
      <c r="L8" s="4"/>
      <c r="M8" s="4"/>
      <c r="O8" s="11" t="s">
        <v>177</v>
      </c>
      <c r="P8" s="33"/>
      <c r="Q8" s="2">
        <f>K18+M18-F18+Q2*Q4</f>
        <v>-0.63999999999987267</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1.8448637316561843E-2</v>
      </c>
      <c r="R11">
        <f>0.88/4</f>
        <v>0.22</v>
      </c>
    </row>
    <row r="12" spans="1:21" x14ac:dyDescent="0.25">
      <c r="H12" s="67"/>
      <c r="O12" s="11" t="s">
        <v>875</v>
      </c>
      <c r="Q12" s="1"/>
    </row>
    <row r="13" spans="1:21" x14ac:dyDescent="0.25">
      <c r="H13" s="67"/>
      <c r="O13" s="11" t="s">
        <v>901</v>
      </c>
      <c r="Q13" s="2">
        <f>Q4/4.4</f>
        <v>10.84090909090909</v>
      </c>
      <c r="T13" s="1"/>
    </row>
    <row r="14" spans="1:21" x14ac:dyDescent="0.25">
      <c r="H14" s="67"/>
      <c r="O14" s="11" t="s">
        <v>988</v>
      </c>
      <c r="Q14" s="1"/>
    </row>
    <row r="15" spans="1:21" x14ac:dyDescent="0.25">
      <c r="H15" s="67"/>
    </row>
    <row r="16" spans="1:21" ht="20.25" thickBot="1" x14ac:dyDescent="0.35">
      <c r="H16" s="67"/>
      <c r="O16" s="886" t="s">
        <v>78</v>
      </c>
      <c r="P16" s="886"/>
    </row>
    <row r="17" spans="1:16" ht="15.75" thickTop="1" x14ac:dyDescent="0.25">
      <c r="O17" s="78">
        <v>1.1000000000000001</v>
      </c>
      <c r="P17" s="78">
        <f>O17*$Q$4</f>
        <v>52.470000000000006</v>
      </c>
    </row>
    <row r="18" spans="1:16" x14ac:dyDescent="0.25">
      <c r="A18" s="31" t="s">
        <v>81</v>
      </c>
      <c r="B18" s="14"/>
      <c r="C18" s="14">
        <f>SUM(C2:C9)</f>
        <v>60</v>
      </c>
      <c r="D18" s="18"/>
      <c r="E18" s="18"/>
      <c r="F18" s="18">
        <f>SUM(F2:F9)</f>
        <v>2928</v>
      </c>
      <c r="G18" s="14"/>
      <c r="H18" s="68">
        <f>SUM(H2:H8)</f>
        <v>60</v>
      </c>
      <c r="I18" s="18"/>
      <c r="J18" s="18"/>
      <c r="K18" s="18">
        <f>SUM(K2:K8)</f>
        <v>2927.36</v>
      </c>
      <c r="L18" s="14"/>
      <c r="M18" s="18">
        <f>SUM(M2:M10)</f>
        <v>0</v>
      </c>
      <c r="O18" s="78">
        <v>1.0900000000000001</v>
      </c>
      <c r="P18" s="78">
        <f t="shared" ref="P18:P37" si="0">O18*$Q$4</f>
        <v>51.993000000000009</v>
      </c>
    </row>
    <row r="19" spans="1:16"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O19" s="78">
        <v>1.08</v>
      </c>
      <c r="P19" s="78">
        <f t="shared" si="0"/>
        <v>51.516000000000005</v>
      </c>
    </row>
    <row r="20" spans="1:16" x14ac:dyDescent="0.25">
      <c r="O20" s="78">
        <v>1.07</v>
      </c>
      <c r="P20" s="78">
        <f t="shared" si="0"/>
        <v>51.039000000000009</v>
      </c>
    </row>
    <row r="21" spans="1:16" x14ac:dyDescent="0.25">
      <c r="O21" s="78">
        <v>1.06</v>
      </c>
      <c r="P21" s="78">
        <f t="shared" si="0"/>
        <v>50.562000000000005</v>
      </c>
    </row>
    <row r="22" spans="1:16" x14ac:dyDescent="0.25">
      <c r="O22" s="78">
        <v>1.05</v>
      </c>
      <c r="P22" s="78">
        <f t="shared" si="0"/>
        <v>50.085000000000008</v>
      </c>
    </row>
    <row r="23" spans="1:16" x14ac:dyDescent="0.25">
      <c r="O23" s="78">
        <v>1.04</v>
      </c>
      <c r="P23" s="78">
        <f t="shared" si="0"/>
        <v>49.608000000000004</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49.131000000000007</v>
      </c>
    </row>
    <row r="25" spans="1:16" x14ac:dyDescent="0.25">
      <c r="B25" s="161">
        <v>43464</v>
      </c>
      <c r="C25" s="10">
        <v>0</v>
      </c>
      <c r="D25" s="39">
        <v>48.68</v>
      </c>
      <c r="E25" s="39"/>
      <c r="F25" s="39">
        <v>-0.56000000000000005</v>
      </c>
      <c r="G25" s="39"/>
      <c r="H25" s="175"/>
      <c r="I25" s="39"/>
      <c r="J25" s="39"/>
      <c r="K25" s="39"/>
      <c r="L25" s="39"/>
      <c r="O25" s="78">
        <v>1.02</v>
      </c>
      <c r="P25" s="78">
        <f t="shared" si="0"/>
        <v>48.654000000000003</v>
      </c>
    </row>
    <row r="26" spans="1:16" x14ac:dyDescent="0.25">
      <c r="B26" s="161"/>
      <c r="C26" s="10"/>
      <c r="D26" s="39"/>
      <c r="E26" s="39"/>
      <c r="F26" s="39"/>
      <c r="G26" s="39"/>
      <c r="H26" s="175"/>
      <c r="I26" s="39"/>
      <c r="J26" s="39"/>
      <c r="K26" s="39"/>
      <c r="L26" s="39"/>
      <c r="O26" s="78">
        <v>1.01</v>
      </c>
      <c r="P26" s="78">
        <f t="shared" si="0"/>
        <v>48.177000000000007</v>
      </c>
    </row>
    <row r="27" spans="1:16" x14ac:dyDescent="0.25">
      <c r="B27" s="161"/>
      <c r="C27" s="10"/>
      <c r="D27" s="39"/>
      <c r="E27" s="39"/>
      <c r="F27" s="39"/>
      <c r="G27" s="39"/>
      <c r="H27" s="175"/>
      <c r="I27" s="39"/>
      <c r="J27" s="39"/>
      <c r="K27" s="39"/>
      <c r="L27" s="39"/>
      <c r="O27" s="78">
        <v>1</v>
      </c>
      <c r="P27" s="78">
        <f t="shared" si="0"/>
        <v>47.7</v>
      </c>
    </row>
    <row r="28" spans="1:16" x14ac:dyDescent="0.25">
      <c r="B28" s="161"/>
      <c r="C28" s="10"/>
      <c r="D28" s="39"/>
      <c r="E28" s="39"/>
      <c r="F28" s="39"/>
      <c r="G28" s="39"/>
      <c r="H28" s="175"/>
      <c r="I28" s="39"/>
      <c r="J28" s="39"/>
      <c r="K28" s="39"/>
      <c r="L28" s="39"/>
      <c r="O28" s="78">
        <v>0.99</v>
      </c>
      <c r="P28" s="78">
        <f t="shared" si="0"/>
        <v>47.222999999999999</v>
      </c>
    </row>
    <row r="29" spans="1:16" x14ac:dyDescent="0.25">
      <c r="B29" s="161"/>
      <c r="C29" s="10"/>
      <c r="D29" s="39"/>
      <c r="E29" s="39"/>
      <c r="F29" s="39"/>
      <c r="G29" s="39"/>
      <c r="H29" s="175"/>
      <c r="I29" s="39"/>
      <c r="J29" s="39"/>
      <c r="K29" s="39"/>
      <c r="L29" s="39"/>
      <c r="O29" s="78">
        <v>0.98</v>
      </c>
      <c r="P29" s="78">
        <f t="shared" si="0"/>
        <v>46.746000000000002</v>
      </c>
    </row>
    <row r="30" spans="1:16" x14ac:dyDescent="0.25">
      <c r="B30" s="161"/>
      <c r="C30" s="10"/>
      <c r="D30" s="39"/>
      <c r="E30" s="39"/>
      <c r="F30" s="39"/>
      <c r="G30" s="39"/>
      <c r="H30" s="175"/>
      <c r="I30" s="39"/>
      <c r="J30" s="39"/>
      <c r="K30" s="39"/>
      <c r="L30" s="39"/>
      <c r="O30" s="78">
        <v>0.97</v>
      </c>
      <c r="P30" s="78">
        <f t="shared" si="0"/>
        <v>46.268999999999998</v>
      </c>
    </row>
    <row r="31" spans="1:16" x14ac:dyDescent="0.25">
      <c r="B31" s="161"/>
      <c r="C31" s="10"/>
      <c r="D31" s="39"/>
      <c r="E31" s="39"/>
      <c r="F31" s="39"/>
      <c r="G31" s="39"/>
      <c r="H31" s="175"/>
      <c r="I31" s="39"/>
      <c r="J31" s="39"/>
      <c r="K31" s="39"/>
      <c r="L31" s="39"/>
      <c r="O31" s="78">
        <v>0.96</v>
      </c>
      <c r="P31" s="78">
        <f t="shared" si="0"/>
        <v>45.792000000000002</v>
      </c>
    </row>
    <row r="32" spans="1:16" x14ac:dyDescent="0.25">
      <c r="B32" s="161"/>
      <c r="C32" s="10"/>
      <c r="D32" s="39"/>
      <c r="E32" s="39"/>
      <c r="F32" s="39"/>
      <c r="G32" s="39"/>
      <c r="H32" s="175"/>
      <c r="I32" s="39"/>
      <c r="J32" s="39"/>
      <c r="K32" s="39"/>
      <c r="L32" s="39"/>
      <c r="O32" s="78">
        <v>0.95</v>
      </c>
      <c r="P32" s="78">
        <f t="shared" si="0"/>
        <v>45.314999999999998</v>
      </c>
    </row>
    <row r="33" spans="2:17" x14ac:dyDescent="0.25">
      <c r="B33" s="161"/>
      <c r="C33" s="10"/>
      <c r="D33" s="39"/>
      <c r="E33" s="39"/>
      <c r="F33" s="39"/>
      <c r="G33" s="39"/>
      <c r="H33" s="175"/>
      <c r="I33" s="39"/>
      <c r="J33" s="39"/>
      <c r="K33" s="39"/>
      <c r="L33" s="39"/>
      <c r="O33" s="78">
        <v>0.94</v>
      </c>
      <c r="P33" s="78">
        <f t="shared" si="0"/>
        <v>44.838000000000001</v>
      </c>
    </row>
    <row r="34" spans="2:17" x14ac:dyDescent="0.25">
      <c r="B34" s="161"/>
      <c r="C34" s="10"/>
      <c r="D34" s="39"/>
      <c r="E34" s="39"/>
      <c r="F34" s="39"/>
      <c r="G34" s="39"/>
      <c r="H34" s="175"/>
      <c r="I34" s="39"/>
      <c r="J34" s="39"/>
      <c r="K34" s="39"/>
      <c r="L34" s="39"/>
      <c r="O34" s="78">
        <v>0.93</v>
      </c>
      <c r="P34" s="78">
        <f t="shared" si="0"/>
        <v>44.361000000000004</v>
      </c>
    </row>
    <row r="35" spans="2:17" x14ac:dyDescent="0.25">
      <c r="B35" s="161"/>
      <c r="C35" s="10"/>
      <c r="D35" s="39"/>
      <c r="E35" s="39"/>
      <c r="F35" s="39"/>
      <c r="G35" s="39"/>
      <c r="H35" s="175"/>
      <c r="I35" s="39"/>
      <c r="J35" s="39"/>
      <c r="K35" s="39"/>
      <c r="L35" s="39"/>
      <c r="O35" s="78">
        <v>0.92</v>
      </c>
      <c r="P35" s="78">
        <f t="shared" si="0"/>
        <v>43.884000000000007</v>
      </c>
    </row>
    <row r="36" spans="2:17" x14ac:dyDescent="0.25">
      <c r="B36" s="161"/>
      <c r="C36" s="10"/>
      <c r="D36" s="39"/>
      <c r="E36" s="39"/>
      <c r="F36" s="39"/>
      <c r="G36" s="39"/>
      <c r="H36" s="175"/>
      <c r="I36" s="39"/>
      <c r="J36" s="39"/>
      <c r="K36" s="39"/>
      <c r="L36" s="39"/>
      <c r="O36" s="78">
        <v>0.91</v>
      </c>
      <c r="P36" s="78">
        <f t="shared" si="0"/>
        <v>43.407000000000004</v>
      </c>
    </row>
    <row r="37" spans="2:17" x14ac:dyDescent="0.25">
      <c r="B37" s="161"/>
      <c r="C37" s="10"/>
      <c r="D37" s="39"/>
      <c r="E37" s="39"/>
      <c r="F37" s="39"/>
      <c r="G37" s="39"/>
      <c r="H37" s="175"/>
      <c r="I37" s="39"/>
      <c r="J37" s="39"/>
      <c r="K37" s="39"/>
      <c r="L37" s="39"/>
      <c r="O37" s="78">
        <v>0.9</v>
      </c>
      <c r="P37" s="78">
        <f t="shared" si="0"/>
        <v>42.930000000000007</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760"/>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60"/>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209" priority="43">
      <formula>F54&gt;0</formula>
    </cfRule>
    <cfRule type="expression" dxfId="3208" priority="44">
      <formula>F54&lt;0</formula>
    </cfRule>
  </conditionalFormatting>
  <conditionalFormatting sqref="Q7">
    <cfRule type="expression" dxfId="3207" priority="41">
      <formula>Q7&gt;0</formula>
    </cfRule>
    <cfRule type="expression" dxfId="3206" priority="42">
      <formula>Q7&lt;0</formula>
    </cfRule>
  </conditionalFormatting>
  <conditionalFormatting sqref="Q8">
    <cfRule type="expression" dxfId="3205" priority="39">
      <formula>Q8&gt;0</formula>
    </cfRule>
    <cfRule type="expression" dxfId="3204" priority="40">
      <formula>Q8&lt;0</formula>
    </cfRule>
  </conditionalFormatting>
  <conditionalFormatting sqref="F33:F36 F38:F53">
    <cfRule type="expression" dxfId="3203" priority="37">
      <formula>F33&gt;0</formula>
    </cfRule>
    <cfRule type="expression" dxfId="3202" priority="38">
      <formula>F33&lt;0</formula>
    </cfRule>
  </conditionalFormatting>
  <conditionalFormatting sqref="H33:H36 H38:H53">
    <cfRule type="expression" dxfId="3201" priority="35">
      <formula>H33&gt;0</formula>
    </cfRule>
    <cfRule type="expression" dxfId="3200" priority="36">
      <formula>H33&lt;0</formula>
    </cfRule>
  </conditionalFormatting>
  <conditionalFormatting sqref="Q10">
    <cfRule type="expression" dxfId="3199" priority="33">
      <formula>Q10&gt;0</formula>
    </cfRule>
    <cfRule type="expression" dxfId="3198" priority="34">
      <formula>Q10&lt;0</formula>
    </cfRule>
  </conditionalFormatting>
  <conditionalFormatting sqref="J25:J37">
    <cfRule type="expression" dxfId="3197" priority="31">
      <formula>J25&gt;0</formula>
    </cfRule>
    <cfRule type="expression" dxfId="3196" priority="32">
      <formula>J25&lt;0</formula>
    </cfRule>
  </conditionalFormatting>
  <conditionalFormatting sqref="K25:K38">
    <cfRule type="expression" dxfId="3195" priority="29">
      <formula>K25&gt;0</formula>
    </cfRule>
    <cfRule type="expression" dxfId="3194" priority="30">
      <formula>K25&lt;0</formula>
    </cfRule>
  </conditionalFormatting>
  <conditionalFormatting sqref="L25">
    <cfRule type="expression" dxfId="3193" priority="27">
      <formula>L25&gt;0</formula>
    </cfRule>
    <cfRule type="expression" dxfId="3192" priority="28">
      <formula>L25&lt;0</formula>
    </cfRule>
  </conditionalFormatting>
  <conditionalFormatting sqref="F89:F110">
    <cfRule type="expression" dxfId="3191" priority="25">
      <formula>F89&gt;0</formula>
    </cfRule>
    <cfRule type="expression" dxfId="3190" priority="26">
      <formula>F89&lt;0</formula>
    </cfRule>
  </conditionalFormatting>
  <conditionalFormatting sqref="H89:H110">
    <cfRule type="expression" dxfId="3189" priority="23">
      <formula>H89&gt;0</formula>
    </cfRule>
    <cfRule type="expression" dxfId="3188" priority="24">
      <formula>H89&lt;0</formula>
    </cfRule>
  </conditionalFormatting>
  <conditionalFormatting sqref="J89:J102">
    <cfRule type="expression" dxfId="3187" priority="21">
      <formula>J89&gt;0</formula>
    </cfRule>
    <cfRule type="expression" dxfId="3186" priority="22">
      <formula>J89&lt;0</formula>
    </cfRule>
  </conditionalFormatting>
  <conditionalFormatting sqref="K89:K102">
    <cfRule type="expression" dxfId="3185" priority="19">
      <formula>K89&gt;0</formula>
    </cfRule>
    <cfRule type="expression" dxfId="3184" priority="20">
      <formula>K89&lt;0</formula>
    </cfRule>
  </conditionalFormatting>
  <conditionalFormatting sqref="L89:L102">
    <cfRule type="expression" dxfId="3183" priority="17">
      <formula>L89&gt;0</formula>
    </cfRule>
    <cfRule type="expression" dxfId="3182" priority="18">
      <formula>L89&lt;0</formula>
    </cfRule>
  </conditionalFormatting>
  <conditionalFormatting sqref="F29:F32">
    <cfRule type="expression" dxfId="3181" priority="15">
      <formula>F29&gt;0</formula>
    </cfRule>
    <cfRule type="expression" dxfId="3180" priority="16">
      <formula>F29&lt;0</formula>
    </cfRule>
  </conditionalFormatting>
  <conditionalFormatting sqref="H29:H32">
    <cfRule type="expression" dxfId="3179" priority="13">
      <formula>H29&gt;0</formula>
    </cfRule>
    <cfRule type="expression" dxfId="3178" priority="14">
      <formula>H29&lt;0</formula>
    </cfRule>
  </conditionalFormatting>
  <conditionalFormatting sqref="F25:F28">
    <cfRule type="expression" dxfId="3177" priority="11">
      <formula>F25&gt;0</formula>
    </cfRule>
    <cfRule type="expression" dxfId="3176" priority="12">
      <formula>F25&lt;0</formula>
    </cfRule>
  </conditionalFormatting>
  <conditionalFormatting sqref="H25:H28">
    <cfRule type="expression" dxfId="3175" priority="9">
      <formula>H25&gt;0</formula>
    </cfRule>
    <cfRule type="expression" dxfId="3174" priority="10">
      <formula>H25&lt;0</formula>
    </cfRule>
  </conditionalFormatting>
  <conditionalFormatting sqref="F37">
    <cfRule type="expression" dxfId="3173" priority="7">
      <formula>F37&gt;0</formula>
    </cfRule>
    <cfRule type="expression" dxfId="3172" priority="8">
      <formula>F37&lt;0</formula>
    </cfRule>
  </conditionalFormatting>
  <conditionalFormatting sqref="H37">
    <cfRule type="expression" dxfId="3171" priority="5">
      <formula>H37&gt;0</formula>
    </cfRule>
    <cfRule type="expression" dxfId="3170" priority="6">
      <formula>H37&lt;0</formula>
    </cfRule>
  </conditionalFormatting>
  <conditionalFormatting sqref="J49">
    <cfRule type="expression" dxfId="3169" priority="3">
      <formula>J49&gt;0</formula>
    </cfRule>
    <cfRule type="expression" dxfId="3168" priority="4">
      <formula>J49&lt;0</formula>
    </cfRule>
  </conditionalFormatting>
  <conditionalFormatting sqref="J38:J48">
    <cfRule type="expression" dxfId="3167" priority="1">
      <formula>J38&gt;0</formula>
    </cfRule>
    <cfRule type="expression" dxfId="3166" priority="2">
      <formula>J38&lt;0</formula>
    </cfRule>
  </conditionalFormatting>
  <hyperlinks>
    <hyperlink ref="A3" location="ACTIVE!A1" display="Back"/>
  </hyperlinks>
  <pageMargins left="0.7" right="0.7" top="0.75" bottom="0.75" header="0.3" footer="0.3"/>
  <pageSetup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10.7109375" bestFit="1" customWidth="1"/>
    <col min="9" max="11" width="9.140625" style="2"/>
    <col min="15" max="15" width="13.7109375" bestFit="1" customWidth="1"/>
    <col min="17" max="17" width="15.28515625"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1335</v>
      </c>
      <c r="B2" s="398">
        <v>43558</v>
      </c>
      <c r="C2" s="4">
        <v>50</v>
      </c>
      <c r="D2" s="3">
        <v>57.13</v>
      </c>
      <c r="E2" s="3">
        <v>0</v>
      </c>
      <c r="F2" s="3">
        <f>C2*D2+E2</f>
        <v>2856.5</v>
      </c>
      <c r="G2" s="397">
        <v>43718</v>
      </c>
      <c r="H2" s="77">
        <v>66</v>
      </c>
      <c r="I2" s="43">
        <v>45.1</v>
      </c>
      <c r="J2" s="43">
        <v>0.06</v>
      </c>
      <c r="K2" s="43">
        <f>H2*I2-J2</f>
        <v>2976.54</v>
      </c>
      <c r="L2" s="69">
        <v>43631</v>
      </c>
      <c r="M2" s="43">
        <v>46.2</v>
      </c>
      <c r="O2" s="11" t="s">
        <v>57</v>
      </c>
      <c r="Q2">
        <f>C18-H18</f>
        <v>50</v>
      </c>
      <c r="T2" s="1"/>
      <c r="U2" t="s">
        <v>1313</v>
      </c>
    </row>
    <row r="3" spans="1:21" x14ac:dyDescent="0.25">
      <c r="A3" s="22" t="s">
        <v>71</v>
      </c>
      <c r="B3" s="397">
        <v>43558</v>
      </c>
      <c r="C3" s="7">
        <v>16</v>
      </c>
      <c r="D3" s="43">
        <v>57.13</v>
      </c>
      <c r="E3" s="43">
        <v>0</v>
      </c>
      <c r="F3" s="43">
        <f>C3*D3+E3</f>
        <v>914.08</v>
      </c>
      <c r="G3" s="397">
        <v>43749</v>
      </c>
      <c r="H3" s="77">
        <v>18</v>
      </c>
      <c r="I3" s="43">
        <v>47.45</v>
      </c>
      <c r="J3" s="43">
        <v>0.02</v>
      </c>
      <c r="K3" s="43">
        <f>H3*I3-J3</f>
        <v>854.08</v>
      </c>
      <c r="L3" s="69">
        <v>43722</v>
      </c>
      <c r="M3" s="43">
        <v>105</v>
      </c>
      <c r="O3" s="11" t="s">
        <v>58</v>
      </c>
      <c r="Q3" s="174">
        <f>IF(Q2=0, Q4, (F18-K18-M18)/Q2)</f>
        <v>51.841400000000014</v>
      </c>
      <c r="T3" s="1"/>
    </row>
    <row r="4" spans="1:21" x14ac:dyDescent="0.25">
      <c r="B4" s="397">
        <v>43697</v>
      </c>
      <c r="C4" s="7">
        <v>66</v>
      </c>
      <c r="D4" s="43">
        <v>43.35</v>
      </c>
      <c r="E4" s="43">
        <v>0</v>
      </c>
      <c r="F4" s="43">
        <f>C4*D4+E4</f>
        <v>2861.1</v>
      </c>
      <c r="G4" s="397">
        <v>43771</v>
      </c>
      <c r="H4" s="77">
        <v>16</v>
      </c>
      <c r="I4" s="43">
        <v>52.38</v>
      </c>
      <c r="J4" s="43">
        <v>-0.01</v>
      </c>
      <c r="K4" s="43">
        <f>H4*I4-J4</f>
        <v>838.09</v>
      </c>
      <c r="L4" s="4"/>
      <c r="M4" s="4"/>
      <c r="O4" s="11" t="s">
        <v>66</v>
      </c>
      <c r="Q4" s="53">
        <v>53.13</v>
      </c>
      <c r="R4" s="416">
        <v>-1.06E-2</v>
      </c>
      <c r="T4" s="1"/>
    </row>
    <row r="5" spans="1:21" x14ac:dyDescent="0.25">
      <c r="B5" s="397">
        <v>43697</v>
      </c>
      <c r="C5" s="7">
        <v>18</v>
      </c>
      <c r="D5" s="43">
        <v>43.35</v>
      </c>
      <c r="E5" s="43">
        <v>0</v>
      </c>
      <c r="F5" s="43">
        <f>C5*D5+E5</f>
        <v>780.30000000000007</v>
      </c>
      <c r="G5" s="398"/>
      <c r="H5" s="158"/>
      <c r="I5" s="3"/>
      <c r="J5" s="3"/>
      <c r="K5" s="3"/>
      <c r="L5" s="4"/>
      <c r="M5" s="4"/>
      <c r="O5" s="11" t="s">
        <v>67</v>
      </c>
      <c r="Q5" s="3">
        <f>Q4*Q2</f>
        <v>2656.5</v>
      </c>
      <c r="T5" s="680"/>
      <c r="U5" s="30"/>
    </row>
    <row r="6" spans="1:21" x14ac:dyDescent="0.25">
      <c r="B6" s="398"/>
      <c r="C6" s="4"/>
      <c r="D6" s="3"/>
      <c r="E6" s="3"/>
      <c r="F6" s="3"/>
      <c r="G6" s="398"/>
      <c r="H6" s="158"/>
      <c r="I6" s="3"/>
      <c r="J6" s="3"/>
      <c r="K6" s="3"/>
      <c r="L6" s="4"/>
      <c r="M6" s="4"/>
      <c r="O6" s="11" t="s">
        <v>64</v>
      </c>
      <c r="Q6" s="2">
        <f>Q3*Q2</f>
        <v>2592.0700000000006</v>
      </c>
      <c r="U6" s="396"/>
    </row>
    <row r="7" spans="1:21" x14ac:dyDescent="0.25">
      <c r="B7" s="398"/>
      <c r="C7" s="4"/>
      <c r="D7" s="3"/>
      <c r="E7" s="3"/>
      <c r="F7" s="3"/>
      <c r="G7" s="398"/>
      <c r="H7" s="158"/>
      <c r="I7" s="3"/>
      <c r="J7" s="3"/>
      <c r="K7" s="3"/>
      <c r="L7" s="4"/>
      <c r="M7" s="4"/>
      <c r="O7" s="11" t="s">
        <v>175</v>
      </c>
      <c r="Q7" s="2">
        <f>Q10+Q8</f>
        <v>64.429999999999382</v>
      </c>
      <c r="R7">
        <v>50</v>
      </c>
    </row>
    <row r="8" spans="1:21" x14ac:dyDescent="0.25">
      <c r="B8" s="398"/>
      <c r="C8" s="4"/>
      <c r="D8" s="3"/>
      <c r="E8" s="3"/>
      <c r="F8" s="3"/>
      <c r="G8" s="398"/>
      <c r="H8" s="158"/>
      <c r="I8" s="3"/>
      <c r="J8" s="3"/>
      <c r="K8" s="3"/>
      <c r="L8" s="4"/>
      <c r="M8" s="4"/>
      <c r="O8" s="11" t="s">
        <v>177</v>
      </c>
      <c r="P8" s="33"/>
      <c r="Q8" s="2">
        <f>K18+M18-F18+Q2*Q4</f>
        <v>64.429999999999382</v>
      </c>
      <c r="T8" s="1"/>
      <c r="U8" s="728"/>
    </row>
    <row r="9" spans="1:21" x14ac:dyDescent="0.25">
      <c r="B9" s="398"/>
      <c r="C9" s="4"/>
      <c r="D9" s="3"/>
      <c r="E9" s="3"/>
      <c r="F9" s="3"/>
      <c r="G9" s="398"/>
      <c r="H9" s="158"/>
      <c r="I9" s="3"/>
      <c r="J9" s="3"/>
      <c r="K9" s="3"/>
      <c r="L9" s="4"/>
      <c r="M9" s="4"/>
      <c r="O9" s="11" t="s">
        <v>202</v>
      </c>
      <c r="Q9" s="175">
        <f>IF(Q2=0, 0, Q8/Q6)</f>
        <v>2.4856581805275075E-2</v>
      </c>
    </row>
    <row r="10" spans="1:21" x14ac:dyDescent="0.25">
      <c r="B10" s="398"/>
      <c r="C10" s="4"/>
      <c r="D10" s="3"/>
      <c r="E10" s="3"/>
      <c r="F10" s="3"/>
      <c r="G10" s="398"/>
      <c r="H10" s="158"/>
      <c r="I10" s="3"/>
      <c r="J10" s="3"/>
      <c r="K10" s="3"/>
      <c r="L10" s="4"/>
      <c r="M10" s="4"/>
      <c r="O10" s="11" t="s">
        <v>201</v>
      </c>
      <c r="P10" s="33"/>
      <c r="Q10" s="2">
        <f>M66</f>
        <v>0</v>
      </c>
      <c r="T10" s="153"/>
    </row>
    <row r="11" spans="1:21" x14ac:dyDescent="0.25">
      <c r="B11" s="398"/>
      <c r="C11" s="4"/>
      <c r="D11" s="3"/>
      <c r="E11" s="3"/>
      <c r="F11" s="3"/>
      <c r="G11" s="398"/>
      <c r="H11" s="158"/>
      <c r="I11" s="3"/>
      <c r="J11" s="3"/>
      <c r="K11" s="3"/>
      <c r="L11" s="4"/>
      <c r="M11" s="4"/>
      <c r="O11" s="11" t="s">
        <v>173</v>
      </c>
      <c r="P11" s="33"/>
      <c r="Q11" s="131"/>
      <c r="R11">
        <v>0.4</v>
      </c>
    </row>
    <row r="12" spans="1:21" x14ac:dyDescent="0.25">
      <c r="B12" s="398"/>
      <c r="C12" s="4"/>
      <c r="D12" s="3"/>
      <c r="E12" s="3"/>
      <c r="F12" s="3"/>
      <c r="G12" s="398"/>
      <c r="H12" s="158"/>
      <c r="I12" s="3"/>
      <c r="J12" s="3"/>
      <c r="K12" s="3"/>
      <c r="L12" s="4"/>
      <c r="M12" s="4"/>
      <c r="O12" s="11" t="s">
        <v>875</v>
      </c>
      <c r="Q12" s="1"/>
      <c r="T12" s="1"/>
    </row>
    <row r="13" spans="1:21" x14ac:dyDescent="0.25">
      <c r="B13" s="398"/>
      <c r="C13" s="4"/>
      <c r="D13" s="3"/>
      <c r="E13" s="3"/>
      <c r="F13" s="3"/>
      <c r="G13" s="398"/>
      <c r="H13" s="158"/>
      <c r="I13" s="3"/>
      <c r="J13" s="3"/>
      <c r="K13" s="3"/>
      <c r="L13" s="4"/>
      <c r="M13" s="4"/>
      <c r="O13" s="11" t="s">
        <v>901</v>
      </c>
      <c r="Q13" s="2"/>
    </row>
    <row r="14" spans="1:21" x14ac:dyDescent="0.25">
      <c r="B14" s="29"/>
      <c r="G14" s="29"/>
      <c r="H14" s="67"/>
      <c r="O14" s="11" t="s">
        <v>988</v>
      </c>
      <c r="Q14" s="1"/>
      <c r="T14" s="1"/>
    </row>
    <row r="15" spans="1:21" x14ac:dyDescent="0.25">
      <c r="B15" s="29"/>
      <c r="G15" s="29"/>
      <c r="H15" s="67"/>
    </row>
    <row r="16" spans="1:21" x14ac:dyDescent="0.25">
      <c r="B16" s="29"/>
      <c r="G16" s="29"/>
      <c r="H16" s="67"/>
      <c r="T16" s="1"/>
    </row>
    <row r="17" spans="1:20" x14ac:dyDescent="0.25">
      <c r="B17" s="29"/>
      <c r="G17" s="29"/>
    </row>
    <row r="18" spans="1:20" ht="20.25" thickBot="1" x14ac:dyDescent="0.35">
      <c r="A18" s="31" t="s">
        <v>81</v>
      </c>
      <c r="B18" s="14"/>
      <c r="C18" s="14">
        <f>SUM(C2:C12)</f>
        <v>150</v>
      </c>
      <c r="D18" s="18"/>
      <c r="E18" s="18"/>
      <c r="F18" s="18">
        <f>SUM(F2:F12)</f>
        <v>7411.9800000000005</v>
      </c>
      <c r="G18" s="14"/>
      <c r="H18" s="68">
        <f>SUM(H2:H8)</f>
        <v>100</v>
      </c>
      <c r="I18" s="18"/>
      <c r="J18" s="18"/>
      <c r="K18" s="18">
        <f>SUM(K2:K8)</f>
        <v>4668.71</v>
      </c>
      <c r="L18" s="14"/>
      <c r="M18" s="18">
        <f>SUM(M2:M10)</f>
        <v>151.19999999999999</v>
      </c>
      <c r="O18" s="855" t="s">
        <v>78</v>
      </c>
      <c r="P18" s="855"/>
      <c r="T18" s="1"/>
    </row>
    <row r="19" spans="1:20" ht="16.5" thickTop="1" thickBot="1" x14ac:dyDescent="0.3">
      <c r="A19" s="273" t="s">
        <v>189</v>
      </c>
      <c r="B19" s="274"/>
      <c r="C19" s="275">
        <f>SumByColor($A$19,C2:C17)</f>
        <v>100</v>
      </c>
      <c r="D19" s="275"/>
      <c r="E19" s="275"/>
      <c r="F19" s="276">
        <f>SumByColor($A$19,F2:F17)</f>
        <v>4555</v>
      </c>
      <c r="G19" s="275"/>
      <c r="H19" s="275">
        <f>SumByColor($A$19,H2:H17)</f>
        <v>100</v>
      </c>
      <c r="I19" s="275"/>
      <c r="J19" s="275"/>
      <c r="K19" s="276">
        <f>SumByColor($A$19,K2:K17)</f>
        <v>4669</v>
      </c>
      <c r="L19" s="275"/>
      <c r="M19" s="276">
        <f>SumByColor($A$19,M2:M17)</f>
        <v>151</v>
      </c>
      <c r="O19" s="78">
        <v>1.1000000000000001</v>
      </c>
      <c r="P19" s="78">
        <f>O19*$Q$4</f>
        <v>58.443000000000005</v>
      </c>
    </row>
    <row r="20" spans="1:20" x14ac:dyDescent="0.25">
      <c r="O20" s="78">
        <v>1.0900000000000001</v>
      </c>
      <c r="P20" s="78">
        <f t="shared" ref="P20:P39" si="0">O20*$Q$4</f>
        <v>57.91170000000001</v>
      </c>
    </row>
    <row r="21" spans="1:20" x14ac:dyDescent="0.25">
      <c r="O21" s="78">
        <v>1.08</v>
      </c>
      <c r="P21" s="78">
        <f t="shared" si="0"/>
        <v>57.380400000000009</v>
      </c>
      <c r="T21" s="1"/>
    </row>
    <row r="22" spans="1:20" x14ac:dyDescent="0.25">
      <c r="O22" s="78">
        <v>1.07</v>
      </c>
      <c r="P22" s="78">
        <f t="shared" si="0"/>
        <v>56.849100000000007</v>
      </c>
    </row>
    <row r="23" spans="1:20" x14ac:dyDescent="0.25">
      <c r="O23" s="78">
        <v>1.06</v>
      </c>
      <c r="P23" s="78">
        <f t="shared" si="0"/>
        <v>56.317800000000005</v>
      </c>
    </row>
    <row r="24" spans="1:20" x14ac:dyDescent="0.25">
      <c r="B24" s="159" t="s">
        <v>113</v>
      </c>
      <c r="C24" s="159" t="s">
        <v>143</v>
      </c>
      <c r="D24" s="160" t="s">
        <v>142</v>
      </c>
      <c r="E24" s="162" t="s">
        <v>144</v>
      </c>
      <c r="F24" s="162" t="s">
        <v>65</v>
      </c>
      <c r="G24" s="173" t="s">
        <v>148</v>
      </c>
      <c r="H24" s="173" t="s">
        <v>88</v>
      </c>
      <c r="I24" s="173" t="s">
        <v>151</v>
      </c>
      <c r="J24" s="173" t="s">
        <v>147</v>
      </c>
      <c r="K24" s="173" t="s">
        <v>452</v>
      </c>
      <c r="L24" s="173" t="s">
        <v>901</v>
      </c>
      <c r="O24" s="78">
        <v>1.05</v>
      </c>
      <c r="P24" s="78">
        <f t="shared" si="0"/>
        <v>55.786500000000004</v>
      </c>
    </row>
    <row r="25" spans="1:20" x14ac:dyDescent="0.25">
      <c r="B25" s="161">
        <v>43558</v>
      </c>
      <c r="C25" s="10">
        <v>66</v>
      </c>
      <c r="D25" s="39">
        <v>57.13</v>
      </c>
      <c r="E25" s="39">
        <v>56.88</v>
      </c>
      <c r="F25" s="39">
        <f t="shared" ref="F25:F32" si="1">C25*(E25-D25)</f>
        <v>-16.5</v>
      </c>
      <c r="G25" s="39">
        <f t="shared" ref="G25:G32" si="2">D25*C25</f>
        <v>3770.5800000000004</v>
      </c>
      <c r="H25" s="175">
        <f t="shared" ref="H25:H32" si="3">F25/G25</f>
        <v>-4.3759845965342199E-3</v>
      </c>
      <c r="I25" s="39"/>
      <c r="J25" s="39"/>
      <c r="K25" s="39"/>
      <c r="L25" s="39"/>
      <c r="O25" s="78">
        <v>1.04</v>
      </c>
      <c r="P25" s="78">
        <f t="shared" si="0"/>
        <v>55.255200000000002</v>
      </c>
    </row>
    <row r="26" spans="1:20" x14ac:dyDescent="0.25">
      <c r="B26" s="161">
        <v>43631</v>
      </c>
      <c r="C26" s="10">
        <v>66</v>
      </c>
      <c r="D26" s="39">
        <v>56.43</v>
      </c>
      <c r="E26" s="39">
        <v>51.15</v>
      </c>
      <c r="F26" s="39">
        <f t="shared" si="1"/>
        <v>-348.48000000000008</v>
      </c>
      <c r="G26" s="39">
        <f t="shared" si="2"/>
        <v>3724.38</v>
      </c>
      <c r="H26" s="175">
        <f t="shared" si="3"/>
        <v>-9.3567251461988327E-2</v>
      </c>
      <c r="I26" s="39"/>
      <c r="J26" s="39"/>
      <c r="K26" s="39"/>
      <c r="L26" s="39"/>
      <c r="O26" s="78">
        <v>1.03</v>
      </c>
      <c r="P26" s="78">
        <f t="shared" si="0"/>
        <v>54.723900000000008</v>
      </c>
      <c r="T26" s="153"/>
    </row>
    <row r="27" spans="1:20" x14ac:dyDescent="0.25">
      <c r="B27" s="161">
        <v>43697</v>
      </c>
      <c r="C27" s="10">
        <v>150</v>
      </c>
      <c r="D27" s="39">
        <v>49.105200000000004</v>
      </c>
      <c r="E27" s="39">
        <v>43.35</v>
      </c>
      <c r="F27" s="39">
        <f t="shared" si="1"/>
        <v>-863.28000000000031</v>
      </c>
      <c r="G27" s="39">
        <f t="shared" si="2"/>
        <v>7365.7800000000007</v>
      </c>
      <c r="H27" s="175">
        <f t="shared" si="3"/>
        <v>-0.11720143691503143</v>
      </c>
      <c r="I27" s="39"/>
      <c r="J27" s="39"/>
      <c r="K27" s="39"/>
      <c r="L27" s="39"/>
      <c r="O27" s="78">
        <v>1.02</v>
      </c>
      <c r="P27" s="78">
        <f t="shared" si="0"/>
        <v>54.192600000000006</v>
      </c>
      <c r="T27" s="64"/>
    </row>
    <row r="28" spans="1:20" x14ac:dyDescent="0.25">
      <c r="B28" s="161">
        <v>43718</v>
      </c>
      <c r="C28" s="10">
        <v>84</v>
      </c>
      <c r="D28" s="39">
        <v>52.252899999999997</v>
      </c>
      <c r="E28" s="39">
        <v>45.1</v>
      </c>
      <c r="F28" s="39">
        <f t="shared" si="1"/>
        <v>-600.84359999999958</v>
      </c>
      <c r="G28" s="39">
        <f t="shared" si="2"/>
        <v>4389.2435999999998</v>
      </c>
      <c r="H28" s="175">
        <f t="shared" si="3"/>
        <v>-0.136890009932463</v>
      </c>
      <c r="I28" s="39"/>
      <c r="J28" s="39"/>
      <c r="K28" s="39"/>
      <c r="L28" s="39"/>
      <c r="O28" s="78">
        <v>1.01</v>
      </c>
      <c r="P28" s="78">
        <f t="shared" si="0"/>
        <v>53.661300000000004</v>
      </c>
      <c r="T28" s="153"/>
    </row>
    <row r="29" spans="1:20" x14ac:dyDescent="0.25">
      <c r="B29" s="161">
        <v>43722</v>
      </c>
      <c r="C29" s="10">
        <v>84</v>
      </c>
      <c r="D29" s="39">
        <v>51.002899999999997</v>
      </c>
      <c r="E29" s="39">
        <v>46.97</v>
      </c>
      <c r="F29" s="39">
        <f t="shared" si="1"/>
        <v>-338.76359999999983</v>
      </c>
      <c r="G29" s="39">
        <f t="shared" si="2"/>
        <v>4284.2435999999998</v>
      </c>
      <c r="H29" s="175">
        <f t="shared" si="3"/>
        <v>-7.9071974338714032E-2</v>
      </c>
      <c r="I29" s="39"/>
      <c r="J29" s="39"/>
      <c r="K29" s="39"/>
      <c r="L29" s="39"/>
      <c r="O29" s="78">
        <v>1</v>
      </c>
      <c r="P29" s="78">
        <f t="shared" si="0"/>
        <v>53.13</v>
      </c>
      <c r="T29" s="153"/>
    </row>
    <row r="30" spans="1:20" x14ac:dyDescent="0.25">
      <c r="B30" s="161">
        <v>43749</v>
      </c>
      <c r="C30" s="10">
        <v>66</v>
      </c>
      <c r="D30" s="39">
        <v>51.97</v>
      </c>
      <c r="E30" s="39">
        <v>47.45</v>
      </c>
      <c r="F30" s="39">
        <f t="shared" si="1"/>
        <v>-298.31999999999971</v>
      </c>
      <c r="G30" s="39">
        <f t="shared" si="2"/>
        <v>3430.02</v>
      </c>
      <c r="H30" s="175">
        <f t="shared" si="3"/>
        <v>-8.6973253800269296E-2</v>
      </c>
      <c r="I30" s="39"/>
      <c r="J30" s="39"/>
      <c r="K30" s="39"/>
      <c r="L30" s="39"/>
      <c r="O30" s="78">
        <v>0.99</v>
      </c>
      <c r="P30" s="78">
        <f t="shared" si="0"/>
        <v>52.598700000000001</v>
      </c>
      <c r="T30" s="153"/>
    </row>
    <row r="31" spans="1:20" x14ac:dyDescent="0.25">
      <c r="B31" s="161">
        <v>43771</v>
      </c>
      <c r="C31" s="10">
        <v>50</v>
      </c>
      <c r="D31" s="39">
        <v>51.8414</v>
      </c>
      <c r="E31" s="39">
        <v>52.31</v>
      </c>
      <c r="F31" s="39">
        <f t="shared" si="1"/>
        <v>23.430000000000106</v>
      </c>
      <c r="G31" s="39">
        <f t="shared" si="2"/>
        <v>2592.0700000000002</v>
      </c>
      <c r="H31" s="175">
        <f t="shared" si="3"/>
        <v>9.0391077401459474E-3</v>
      </c>
      <c r="I31" s="39"/>
      <c r="J31" s="39"/>
      <c r="K31" s="39"/>
      <c r="L31" s="39"/>
      <c r="O31" s="78">
        <v>0.98</v>
      </c>
      <c r="P31" s="78">
        <f t="shared" si="0"/>
        <v>52.067399999999999</v>
      </c>
    </row>
    <row r="32" spans="1:20" x14ac:dyDescent="0.25">
      <c r="B32" s="161">
        <v>43797</v>
      </c>
      <c r="C32" s="10">
        <v>50</v>
      </c>
      <c r="D32" s="39">
        <v>51.8414</v>
      </c>
      <c r="E32" s="39">
        <v>54.28</v>
      </c>
      <c r="F32" s="39">
        <f t="shared" si="1"/>
        <v>121.93000000000005</v>
      </c>
      <c r="G32" s="39">
        <f t="shared" si="2"/>
        <v>2592.0700000000002</v>
      </c>
      <c r="H32" s="175">
        <f t="shared" si="3"/>
        <v>4.7039624701493414E-2</v>
      </c>
      <c r="I32" s="39"/>
      <c r="J32" s="39"/>
      <c r="K32" s="39"/>
      <c r="L32" s="39"/>
      <c r="O32" s="78">
        <v>0.97</v>
      </c>
      <c r="P32" s="78">
        <f t="shared" si="0"/>
        <v>51.536099999999998</v>
      </c>
    </row>
    <row r="33" spans="2:17" x14ac:dyDescent="0.25">
      <c r="B33" s="161"/>
      <c r="C33" s="10"/>
      <c r="D33" s="39"/>
      <c r="E33" s="39"/>
      <c r="F33" s="39"/>
      <c r="G33" s="39"/>
      <c r="H33" s="175"/>
      <c r="I33" s="39"/>
      <c r="J33" s="39"/>
      <c r="K33" s="39"/>
      <c r="L33" s="39"/>
      <c r="O33" s="78">
        <v>0.96</v>
      </c>
      <c r="P33" s="78">
        <f t="shared" si="0"/>
        <v>51.004800000000003</v>
      </c>
    </row>
    <row r="34" spans="2:17" x14ac:dyDescent="0.25">
      <c r="B34" s="161"/>
      <c r="C34" s="10"/>
      <c r="D34" s="39"/>
      <c r="E34" s="39"/>
      <c r="F34" s="39"/>
      <c r="G34" s="39"/>
      <c r="H34" s="175"/>
      <c r="I34" s="39"/>
      <c r="J34" s="39"/>
      <c r="K34" s="39"/>
      <c r="L34" s="39"/>
      <c r="O34" s="78">
        <v>0.95</v>
      </c>
      <c r="P34" s="78">
        <f t="shared" si="0"/>
        <v>50.473500000000001</v>
      </c>
    </row>
    <row r="35" spans="2:17" x14ac:dyDescent="0.25">
      <c r="B35" s="161"/>
      <c r="C35" s="10"/>
      <c r="D35" s="39"/>
      <c r="E35" s="39"/>
      <c r="F35" s="39"/>
      <c r="G35" s="39"/>
      <c r="H35" s="175"/>
      <c r="I35" s="39"/>
      <c r="J35" s="39"/>
      <c r="K35" s="39"/>
      <c r="L35" s="39"/>
      <c r="O35" s="78">
        <v>0.94</v>
      </c>
      <c r="P35" s="78">
        <f t="shared" si="0"/>
        <v>49.9422</v>
      </c>
    </row>
    <row r="36" spans="2:17" x14ac:dyDescent="0.25">
      <c r="B36" s="161"/>
      <c r="C36" s="10"/>
      <c r="D36" s="39"/>
      <c r="E36" s="39"/>
      <c r="F36" s="39"/>
      <c r="G36" s="39"/>
      <c r="H36" s="175"/>
      <c r="I36" s="39"/>
      <c r="J36" s="39"/>
      <c r="K36" s="39"/>
      <c r="L36" s="39"/>
      <c r="O36" s="78">
        <v>0.93</v>
      </c>
      <c r="P36" s="78">
        <f t="shared" si="0"/>
        <v>49.410900000000005</v>
      </c>
    </row>
    <row r="37" spans="2:17" x14ac:dyDescent="0.25">
      <c r="B37" s="161"/>
      <c r="C37" s="10"/>
      <c r="D37" s="39"/>
      <c r="E37" s="39"/>
      <c r="F37" s="39"/>
      <c r="G37" s="39"/>
      <c r="H37" s="175"/>
      <c r="I37" s="39"/>
      <c r="J37" s="39"/>
      <c r="K37" s="39"/>
      <c r="L37" s="39"/>
      <c r="O37" s="78">
        <v>0.92</v>
      </c>
      <c r="P37" s="78">
        <f t="shared" si="0"/>
        <v>48.879600000000003</v>
      </c>
    </row>
    <row r="38" spans="2:17" x14ac:dyDescent="0.25">
      <c r="B38" s="161"/>
      <c r="C38" s="10"/>
      <c r="D38" s="39"/>
      <c r="E38" s="39"/>
      <c r="F38" s="39"/>
      <c r="G38" s="39"/>
      <c r="H38" s="175"/>
      <c r="I38" s="39"/>
      <c r="J38" s="39"/>
      <c r="K38" s="39"/>
      <c r="L38" s="39"/>
      <c r="O38" s="78">
        <v>0.91</v>
      </c>
      <c r="P38" s="78">
        <f t="shared" si="0"/>
        <v>48.348300000000002</v>
      </c>
    </row>
    <row r="39" spans="2:17" x14ac:dyDescent="0.25">
      <c r="B39" s="161"/>
      <c r="C39" s="10"/>
      <c r="D39" s="39"/>
      <c r="E39" s="39"/>
      <c r="F39" s="39"/>
      <c r="G39" s="39"/>
      <c r="H39" s="175"/>
      <c r="I39" s="39"/>
      <c r="J39" s="39"/>
      <c r="K39" s="39"/>
      <c r="L39" s="39"/>
      <c r="O39" s="78">
        <v>0.9</v>
      </c>
      <c r="P39" s="78">
        <f t="shared" si="0"/>
        <v>47.817</v>
      </c>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3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161"/>
      <c r="C54" s="10"/>
      <c r="D54" s="39"/>
      <c r="E54" s="39"/>
      <c r="F54" s="39"/>
      <c r="G54" s="39"/>
      <c r="H54" s="175"/>
      <c r="I54" s="39"/>
      <c r="J54" s="760"/>
      <c r="K54" s="39"/>
      <c r="L54" s="39"/>
    </row>
    <row r="55" spans="1:17" x14ac:dyDescent="0.25">
      <c r="A55" s="4"/>
      <c r="B55" s="161"/>
      <c r="C55" s="10"/>
      <c r="D55" s="39"/>
      <c r="E55" s="39"/>
      <c r="F55" s="760"/>
      <c r="G55" s="39"/>
      <c r="H55" s="175"/>
      <c r="I55" s="39"/>
      <c r="J55" s="39"/>
      <c r="K55" s="39"/>
      <c r="L55" s="39"/>
    </row>
    <row r="56" spans="1:17" x14ac:dyDescent="0.25">
      <c r="A56" s="4"/>
      <c r="B56" s="161"/>
      <c r="C56" s="10"/>
      <c r="D56" s="39"/>
      <c r="E56" s="39"/>
      <c r="F56" s="760"/>
      <c r="G56" s="39"/>
      <c r="H56" s="175"/>
      <c r="I56" s="39"/>
      <c r="J56" s="39"/>
      <c r="K56" s="39"/>
      <c r="L56" s="39"/>
    </row>
    <row r="57" spans="1:17" x14ac:dyDescent="0.25">
      <c r="A57" s="4"/>
      <c r="B57" s="161"/>
      <c r="C57" s="10"/>
      <c r="D57" s="39"/>
      <c r="E57" s="39"/>
      <c r="F57" s="760"/>
      <c r="G57" s="39"/>
      <c r="H57" s="175"/>
      <c r="I57" s="39"/>
      <c r="J57" s="39"/>
      <c r="K57" s="39"/>
      <c r="L57" s="39"/>
    </row>
    <row r="58" spans="1:17" x14ac:dyDescent="0.25">
      <c r="A58" s="4"/>
      <c r="B58" s="161"/>
      <c r="C58" s="10"/>
      <c r="D58" s="39"/>
      <c r="E58" s="39"/>
      <c r="F58" s="39"/>
      <c r="G58" s="39"/>
      <c r="H58" s="175"/>
      <c r="I58" s="39"/>
      <c r="J58" s="39"/>
      <c r="K58" s="39"/>
      <c r="L58" s="39"/>
    </row>
    <row r="59" spans="1:17" x14ac:dyDescent="0.25">
      <c r="A59" s="4"/>
      <c r="B59" s="161"/>
      <c r="C59" s="10"/>
      <c r="D59" s="39"/>
      <c r="E59" s="39"/>
      <c r="F59" s="39"/>
      <c r="G59" s="39"/>
      <c r="H59" s="175"/>
      <c r="I59" s="39"/>
      <c r="J59" s="39"/>
      <c r="K59" s="39"/>
      <c r="L59" s="39"/>
    </row>
    <row r="60" spans="1:17" x14ac:dyDescent="0.25">
      <c r="A60" s="4"/>
      <c r="B60" s="161"/>
      <c r="C60" s="10"/>
      <c r="D60" s="39"/>
      <c r="E60" s="39"/>
      <c r="F60" s="39"/>
      <c r="G60" s="39"/>
      <c r="H60" s="175"/>
      <c r="I60" s="39"/>
      <c r="J60" s="39"/>
      <c r="K60" s="39"/>
      <c r="L60" s="39"/>
    </row>
    <row r="61" spans="1:17" x14ac:dyDescent="0.25">
      <c r="A61" s="4"/>
      <c r="B61" s="161"/>
      <c r="C61" s="10"/>
      <c r="D61" s="39"/>
      <c r="E61" s="39"/>
      <c r="F61" s="39"/>
      <c r="G61" s="39"/>
      <c r="H61" s="175"/>
      <c r="I61" s="39"/>
      <c r="J61" s="39"/>
      <c r="K61" s="39"/>
      <c r="L61" s="39"/>
    </row>
    <row r="62" spans="1:17" x14ac:dyDescent="0.25">
      <c r="A62" s="4"/>
      <c r="B62" s="161"/>
      <c r="C62" s="10"/>
      <c r="D62" s="39"/>
      <c r="E62" s="39"/>
      <c r="F62" s="39"/>
      <c r="G62" s="39"/>
      <c r="H62" s="175"/>
      <c r="I62" s="39"/>
      <c r="J62" s="39"/>
      <c r="K62" s="39"/>
      <c r="L62" s="39"/>
    </row>
    <row r="63" spans="1:17" x14ac:dyDescent="0.25">
      <c r="A63" s="4"/>
      <c r="B63" s="161"/>
      <c r="C63" s="10"/>
      <c r="D63" s="39"/>
      <c r="E63" s="39"/>
      <c r="F63" s="39"/>
      <c r="G63" s="39"/>
      <c r="H63" s="175"/>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1335</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19:O39">
    <cfRule type="colorScale" priority="38">
      <colorScale>
        <cfvo type="min"/>
        <cfvo type="percentile" val="50"/>
        <cfvo type="max"/>
        <color rgb="FFF8696B"/>
        <color rgb="FFFFEB84"/>
        <color rgb="FF63BE7B"/>
      </colorScale>
    </cfRule>
  </conditionalFormatting>
  <conditionalFormatting sqref="P19:P39">
    <cfRule type="colorScale" priority="37">
      <colorScale>
        <cfvo type="min"/>
        <cfvo type="percentile" val="50"/>
        <cfvo type="max"/>
        <color rgb="FFF8696B"/>
        <color rgb="FFFFEB84"/>
        <color rgb="FF63BE7B"/>
      </colorScale>
    </cfRule>
  </conditionalFormatting>
  <conditionalFormatting sqref="Q7">
    <cfRule type="expression" dxfId="3165" priority="35">
      <formula>Q7&gt;0</formula>
    </cfRule>
    <cfRule type="expression" dxfId="3164" priority="36">
      <formula>Q7&lt;0</formula>
    </cfRule>
  </conditionalFormatting>
  <conditionalFormatting sqref="Q8">
    <cfRule type="expression" dxfId="3163" priority="33">
      <formula>Q8&gt;0</formula>
    </cfRule>
    <cfRule type="expression" dxfId="3162" priority="34">
      <formula>Q8&lt;0</formula>
    </cfRule>
  </conditionalFormatting>
  <conditionalFormatting sqref="F34:F54 F58:F63">
    <cfRule type="expression" dxfId="3161" priority="31">
      <formula>F34&gt;0</formula>
    </cfRule>
    <cfRule type="expression" dxfId="3160" priority="32">
      <formula>F34&lt;0</formula>
    </cfRule>
  </conditionalFormatting>
  <conditionalFormatting sqref="H34:H54 H58:H63">
    <cfRule type="expression" dxfId="3159" priority="29">
      <formula>H34&gt;0</formula>
    </cfRule>
    <cfRule type="expression" dxfId="3158" priority="30">
      <formula>H34&lt;0</formula>
    </cfRule>
  </conditionalFormatting>
  <conditionalFormatting sqref="Q10">
    <cfRule type="expression" dxfId="3157" priority="27">
      <formula>Q10&gt;0</formula>
    </cfRule>
    <cfRule type="expression" dxfId="3156" priority="28">
      <formula>Q10&lt;0</formula>
    </cfRule>
  </conditionalFormatting>
  <conditionalFormatting sqref="J25:J38">
    <cfRule type="expression" dxfId="3155" priority="25">
      <formula>J25&gt;0</formula>
    </cfRule>
    <cfRule type="expression" dxfId="3154" priority="26">
      <formula>J25&lt;0</formula>
    </cfRule>
  </conditionalFormatting>
  <conditionalFormatting sqref="K25:K35 K37:K38">
    <cfRule type="expression" dxfId="3153" priority="23">
      <formula>K25&gt;0</formula>
    </cfRule>
    <cfRule type="expression" dxfId="3152" priority="24">
      <formula>K25&lt;0</formula>
    </cfRule>
  </conditionalFormatting>
  <conditionalFormatting sqref="F89:F110">
    <cfRule type="expression" dxfId="3151" priority="21">
      <formula>F89&gt;0</formula>
    </cfRule>
    <cfRule type="expression" dxfId="3150" priority="22">
      <formula>F89&lt;0</formula>
    </cfRule>
  </conditionalFormatting>
  <conditionalFormatting sqref="H89:H110">
    <cfRule type="expression" dxfId="3149" priority="19">
      <formula>H89&gt;0</formula>
    </cfRule>
    <cfRule type="expression" dxfId="3148" priority="20">
      <formula>H89&lt;0</formula>
    </cfRule>
  </conditionalFormatting>
  <conditionalFormatting sqref="J89:J102">
    <cfRule type="expression" dxfId="3147" priority="17">
      <formula>J89&gt;0</formula>
    </cfRule>
    <cfRule type="expression" dxfId="3146" priority="18">
      <formula>J89&lt;0</formula>
    </cfRule>
  </conditionalFormatting>
  <conditionalFormatting sqref="K89:K102">
    <cfRule type="expression" dxfId="3145" priority="15">
      <formula>K89&gt;0</formula>
    </cfRule>
    <cfRule type="expression" dxfId="3144" priority="16">
      <formula>K89&lt;0</formula>
    </cfRule>
  </conditionalFormatting>
  <conditionalFormatting sqref="L89:L102">
    <cfRule type="expression" dxfId="3143" priority="13">
      <formula>L89&gt;0</formula>
    </cfRule>
    <cfRule type="expression" dxfId="3142" priority="14">
      <formula>L89&lt;0</formula>
    </cfRule>
  </conditionalFormatting>
  <conditionalFormatting sqref="F25:F33">
    <cfRule type="expression" dxfId="3141" priority="11">
      <formula>F25&gt;0</formula>
    </cfRule>
    <cfRule type="expression" dxfId="3140" priority="12">
      <formula>F25&lt;0</formula>
    </cfRule>
  </conditionalFormatting>
  <conditionalFormatting sqref="H25:H33">
    <cfRule type="expression" dxfId="3139" priority="9">
      <formula>H25&gt;0</formula>
    </cfRule>
    <cfRule type="expression" dxfId="3138" priority="10">
      <formula>H25&lt;0</formula>
    </cfRule>
  </conditionalFormatting>
  <conditionalFormatting sqref="J54">
    <cfRule type="expression" dxfId="3137" priority="7">
      <formula>J54&gt;0</formula>
    </cfRule>
    <cfRule type="expression" dxfId="3136" priority="8">
      <formula>J54&lt;0</formula>
    </cfRule>
  </conditionalFormatting>
  <conditionalFormatting sqref="F55:F57">
    <cfRule type="expression" dxfId="3135" priority="5">
      <formula>F55&gt;0</formula>
    </cfRule>
    <cfRule type="expression" dxfId="3134" priority="6">
      <formula>F55&lt;0</formula>
    </cfRule>
  </conditionalFormatting>
  <conditionalFormatting sqref="H55:H57">
    <cfRule type="expression" dxfId="3133" priority="3">
      <formula>H55&gt;0</formula>
    </cfRule>
    <cfRule type="expression" dxfId="3132" priority="4">
      <formula>H55&lt;0</formula>
    </cfRule>
  </conditionalFormatting>
  <conditionalFormatting sqref="Q9">
    <cfRule type="expression" dxfId="3131" priority="1">
      <formula>Q9&gt;0</formula>
    </cfRule>
    <cfRule type="expression" dxfId="3130" priority="2">
      <formula>Q9&lt;0</formula>
    </cfRule>
  </conditionalFormatting>
  <hyperlinks>
    <hyperlink ref="A3" location="ACTIVE!A1" display="Back"/>
  </hyperlinks>
  <pageMargins left="0.7" right="0.7" top="0.75" bottom="0.75" header="0.3" footer="0.3"/>
  <pageSetup orientation="portrait" r:id="rId1"/>
  <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1268</v>
      </c>
      <c r="B2" s="360">
        <v>43427</v>
      </c>
      <c r="C2" s="7">
        <v>300</v>
      </c>
      <c r="D2" s="43">
        <v>26.8</v>
      </c>
      <c r="E2" s="43">
        <v>0</v>
      </c>
      <c r="F2" s="43">
        <f>C2*D2+E2</f>
        <v>8040</v>
      </c>
      <c r="G2" s="360">
        <v>43445</v>
      </c>
      <c r="H2" s="77">
        <v>300</v>
      </c>
      <c r="I2" s="43">
        <v>26.79</v>
      </c>
      <c r="J2" s="43">
        <v>0.1</v>
      </c>
      <c r="K2" s="43">
        <f>H2*I2-J2</f>
        <v>8036.9</v>
      </c>
      <c r="L2" s="69">
        <v>43553</v>
      </c>
      <c r="M2" s="43">
        <v>8</v>
      </c>
      <c r="O2" s="11" t="s">
        <v>57</v>
      </c>
      <c r="Q2">
        <f>C18-H18</f>
        <v>0</v>
      </c>
      <c r="T2" s="1"/>
    </row>
    <row r="3" spans="1:21" x14ac:dyDescent="0.25">
      <c r="A3" s="22" t="s">
        <v>71</v>
      </c>
      <c r="B3" s="485">
        <v>43448</v>
      </c>
      <c r="C3" s="7">
        <v>100</v>
      </c>
      <c r="D3" s="43">
        <v>26</v>
      </c>
      <c r="E3" s="43">
        <v>0</v>
      </c>
      <c r="F3" s="43">
        <f>C3*D3+E3</f>
        <v>2600</v>
      </c>
      <c r="G3" s="360">
        <v>43457</v>
      </c>
      <c r="H3" s="77">
        <v>100</v>
      </c>
      <c r="I3" s="43">
        <v>22.67</v>
      </c>
      <c r="J3" s="43">
        <v>0.03</v>
      </c>
      <c r="K3" s="43">
        <f>H3*I3-J3</f>
        <v>2266.9699999999998</v>
      </c>
      <c r="L3" s="4"/>
      <c r="M3" s="4"/>
      <c r="O3" s="11" t="s">
        <v>58</v>
      </c>
      <c r="Q3" s="174">
        <f>IF(Q2=0, Q4, (F18-K18-M18)/Q2)</f>
        <v>25.83</v>
      </c>
      <c r="T3" s="1"/>
    </row>
    <row r="4" spans="1:21" x14ac:dyDescent="0.25">
      <c r="B4" s="485">
        <v>43448</v>
      </c>
      <c r="C4" s="7">
        <v>100</v>
      </c>
      <c r="D4" s="43">
        <v>26</v>
      </c>
      <c r="E4" s="43">
        <v>0</v>
      </c>
      <c r="F4" s="43">
        <f>C4*D4+E4</f>
        <v>2600</v>
      </c>
      <c r="G4" s="360">
        <v>43483</v>
      </c>
      <c r="H4" s="77">
        <v>100</v>
      </c>
      <c r="I4" s="43">
        <v>27.02</v>
      </c>
      <c r="J4" s="43">
        <v>0.04</v>
      </c>
      <c r="K4" s="43">
        <f>H4*I4-J4</f>
        <v>2701.96</v>
      </c>
      <c r="L4" s="4"/>
      <c r="M4" s="4"/>
      <c r="O4" s="11" t="s">
        <v>66</v>
      </c>
      <c r="Q4" s="53">
        <v>25.83</v>
      </c>
      <c r="R4" s="416">
        <v>-8.8999999999999999E-3</v>
      </c>
      <c r="T4" s="680"/>
      <c r="U4" s="30"/>
    </row>
    <row r="5" spans="1:21" x14ac:dyDescent="0.25">
      <c r="B5" s="360">
        <v>43454</v>
      </c>
      <c r="C5" s="7">
        <v>100</v>
      </c>
      <c r="D5" s="43">
        <v>22.92</v>
      </c>
      <c r="E5" s="43">
        <v>0</v>
      </c>
      <c r="F5" s="43">
        <f>C5*D5+E5</f>
        <v>2292</v>
      </c>
      <c r="G5" s="360">
        <v>43509</v>
      </c>
      <c r="H5" s="77">
        <v>100</v>
      </c>
      <c r="I5" s="43">
        <v>26.88</v>
      </c>
      <c r="J5" s="43">
        <v>0.03</v>
      </c>
      <c r="K5" s="43">
        <f>H5*I5-J5</f>
        <v>2687.97</v>
      </c>
      <c r="L5" s="4"/>
      <c r="M5" s="4"/>
      <c r="O5" s="11" t="s">
        <v>67</v>
      </c>
      <c r="Q5" s="3">
        <f>Q4*Q2</f>
        <v>0</v>
      </c>
    </row>
    <row r="6" spans="1:21" x14ac:dyDescent="0.25">
      <c r="B6" s="360">
        <v>43503</v>
      </c>
      <c r="C6" s="7">
        <v>100</v>
      </c>
      <c r="D6" s="43">
        <v>25.5</v>
      </c>
      <c r="E6" s="43">
        <v>0</v>
      </c>
      <c r="F6" s="43">
        <f>C6*D6+E6</f>
        <v>2550</v>
      </c>
      <c r="G6" s="360">
        <v>43544</v>
      </c>
      <c r="H6" s="77">
        <v>100</v>
      </c>
      <c r="I6" s="43">
        <v>30.99</v>
      </c>
      <c r="J6" s="43">
        <v>0.04</v>
      </c>
      <c r="K6" s="43">
        <f>H6*I6-J6</f>
        <v>3098.96</v>
      </c>
      <c r="L6" s="4"/>
      <c r="M6" s="4"/>
      <c r="O6" s="11" t="s">
        <v>64</v>
      </c>
      <c r="Q6" s="2">
        <f>Q3*Q2</f>
        <v>0</v>
      </c>
    </row>
    <row r="7" spans="1:21" x14ac:dyDescent="0.25">
      <c r="B7" s="69"/>
      <c r="C7" s="4"/>
      <c r="D7" s="3"/>
      <c r="E7" s="3"/>
      <c r="F7" s="3"/>
      <c r="G7" s="69"/>
      <c r="H7" s="158"/>
      <c r="I7" s="3"/>
      <c r="J7" s="3"/>
      <c r="K7" s="3"/>
      <c r="L7" s="4"/>
      <c r="M7" s="4"/>
      <c r="O7" s="11" t="s">
        <v>175</v>
      </c>
      <c r="Q7" s="2">
        <f>Q10+Q8</f>
        <v>718.7599999999984</v>
      </c>
      <c r="R7">
        <v>0</v>
      </c>
      <c r="T7" s="1"/>
    </row>
    <row r="8" spans="1:21" x14ac:dyDescent="0.25">
      <c r="B8" s="69"/>
      <c r="C8" s="4"/>
      <c r="D8" s="3"/>
      <c r="E8" s="3"/>
      <c r="F8" s="3"/>
      <c r="G8" s="69"/>
      <c r="H8" s="158"/>
      <c r="I8" s="3"/>
      <c r="J8" s="3"/>
      <c r="K8" s="3"/>
      <c r="L8" s="4"/>
      <c r="M8" s="4"/>
      <c r="O8" s="11" t="s">
        <v>177</v>
      </c>
      <c r="P8" s="33"/>
      <c r="Q8" s="2">
        <f>K18+M18-F18+Q2*Q4</f>
        <v>718.7599999999984</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1.2388695315524586E-2</v>
      </c>
      <c r="R11">
        <f>0.32/4</f>
        <v>0.08</v>
      </c>
    </row>
    <row r="12" spans="1:21" x14ac:dyDescent="0.25">
      <c r="H12" s="67"/>
      <c r="O12" s="11" t="s">
        <v>875</v>
      </c>
      <c r="Q12" s="1" t="s">
        <v>1309</v>
      </c>
    </row>
    <row r="13" spans="1:21" x14ac:dyDescent="0.25">
      <c r="H13" s="67"/>
      <c r="O13" s="11" t="s">
        <v>901</v>
      </c>
      <c r="Q13" s="2"/>
      <c r="T13" s="1"/>
    </row>
    <row r="14" spans="1:21" x14ac:dyDescent="0.25">
      <c r="H14" s="67"/>
      <c r="O14" s="11" t="s">
        <v>988</v>
      </c>
      <c r="Q14" s="1"/>
    </row>
    <row r="15" spans="1:21" x14ac:dyDescent="0.25">
      <c r="H15" s="67"/>
    </row>
    <row r="16" spans="1:21" ht="20.25" thickBot="1" x14ac:dyDescent="0.35">
      <c r="H16" s="67"/>
      <c r="O16" s="886" t="s">
        <v>78</v>
      </c>
      <c r="P16" s="886"/>
    </row>
    <row r="17" spans="1:16" ht="15.75" thickTop="1" x14ac:dyDescent="0.25">
      <c r="O17" s="78">
        <v>1.1000000000000001</v>
      </c>
      <c r="P17" s="78">
        <f>O17*$Q$4</f>
        <v>28.413</v>
      </c>
    </row>
    <row r="18" spans="1:16" x14ac:dyDescent="0.25">
      <c r="A18" s="31" t="s">
        <v>81</v>
      </c>
      <c r="B18" s="14"/>
      <c r="C18" s="14">
        <f>SUM(C2:C9)</f>
        <v>700</v>
      </c>
      <c r="D18" s="18"/>
      <c r="E18" s="18"/>
      <c r="F18" s="18">
        <f>SUM(F2:F9)</f>
        <v>18082</v>
      </c>
      <c r="G18" s="14"/>
      <c r="H18" s="68">
        <f>SUM(H2:H8)</f>
        <v>700</v>
      </c>
      <c r="I18" s="18"/>
      <c r="J18" s="18"/>
      <c r="K18" s="18">
        <f>SUM(K2:K8)</f>
        <v>18792.759999999998</v>
      </c>
      <c r="L18" s="14"/>
      <c r="M18" s="18">
        <f>SUM(M2:M10)</f>
        <v>8</v>
      </c>
      <c r="O18" s="78">
        <v>1.0900000000000001</v>
      </c>
      <c r="P18" s="78">
        <f t="shared" ref="P18:P37" si="0">O18*$Q$4</f>
        <v>28.154700000000002</v>
      </c>
    </row>
    <row r="19" spans="1:16" ht="15.75" thickBot="1" x14ac:dyDescent="0.3">
      <c r="A19" s="273" t="s">
        <v>189</v>
      </c>
      <c r="B19" s="274"/>
      <c r="C19" s="275">
        <f>SumByColor($A$19,C2:C17)</f>
        <v>700</v>
      </c>
      <c r="D19" s="275"/>
      <c r="E19" s="275"/>
      <c r="F19" s="276">
        <f>SumByColor($A$19,F2:F17)</f>
        <v>18082</v>
      </c>
      <c r="G19" s="275"/>
      <c r="H19" s="275">
        <f>SumByColor($A$19,H2:H17)</f>
        <v>700</v>
      </c>
      <c r="I19" s="275"/>
      <c r="J19" s="275"/>
      <c r="K19" s="276">
        <f>SumByColor($A$19,K2:K17)</f>
        <v>18793</v>
      </c>
      <c r="L19" s="275"/>
      <c r="M19" s="276">
        <f>SumByColor($A$19,M2:M17)</f>
        <v>8</v>
      </c>
      <c r="O19" s="78">
        <v>1.08</v>
      </c>
      <c r="P19" s="78">
        <f t="shared" si="0"/>
        <v>27.8964</v>
      </c>
    </row>
    <row r="20" spans="1:16" x14ac:dyDescent="0.25">
      <c r="O20" s="78">
        <v>1.07</v>
      </c>
      <c r="P20" s="78">
        <f t="shared" si="0"/>
        <v>27.638100000000001</v>
      </c>
    </row>
    <row r="21" spans="1:16" x14ac:dyDescent="0.25">
      <c r="O21" s="78">
        <v>1.06</v>
      </c>
      <c r="P21" s="78">
        <f t="shared" si="0"/>
        <v>27.379799999999999</v>
      </c>
    </row>
    <row r="22" spans="1:16" x14ac:dyDescent="0.25">
      <c r="O22" s="78">
        <v>1.05</v>
      </c>
      <c r="P22" s="78">
        <f t="shared" si="0"/>
        <v>27.121500000000001</v>
      </c>
    </row>
    <row r="23" spans="1:16" x14ac:dyDescent="0.25">
      <c r="O23" s="78">
        <v>1.04</v>
      </c>
      <c r="P23" s="78">
        <f t="shared" si="0"/>
        <v>26.863199999999999</v>
      </c>
    </row>
    <row r="24" spans="1:16" x14ac:dyDescent="0.25">
      <c r="A24" s="159" t="s">
        <v>222</v>
      </c>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26.604900000000001</v>
      </c>
    </row>
    <row r="25" spans="1:16" x14ac:dyDescent="0.25">
      <c r="A25" s="854"/>
      <c r="B25" s="161">
        <v>43427</v>
      </c>
      <c r="C25" s="10">
        <v>300</v>
      </c>
      <c r="D25" s="39">
        <v>26.8</v>
      </c>
      <c r="E25" s="39">
        <v>26.91</v>
      </c>
      <c r="F25" s="39">
        <f>C25*(E25-D25)</f>
        <v>32.999999999999829</v>
      </c>
      <c r="G25" s="39">
        <f>D25*C25</f>
        <v>8040</v>
      </c>
      <c r="H25" s="175">
        <f>(E25-D25)/D25</f>
        <v>4.1044776119402776E-3</v>
      </c>
      <c r="I25" s="39"/>
      <c r="J25" s="39">
        <v>664</v>
      </c>
      <c r="K25" s="39"/>
      <c r="L25" s="39"/>
      <c r="O25" s="78">
        <v>1.02</v>
      </c>
      <c r="P25" s="78">
        <f t="shared" si="0"/>
        <v>26.346599999999999</v>
      </c>
    </row>
    <row r="26" spans="1:16" x14ac:dyDescent="0.25">
      <c r="A26" s="854"/>
      <c r="B26" s="161">
        <v>43445</v>
      </c>
      <c r="C26" s="10">
        <v>0</v>
      </c>
      <c r="D26" s="39">
        <v>26.8</v>
      </c>
      <c r="E26" s="39">
        <v>26.79</v>
      </c>
      <c r="F26" s="39"/>
      <c r="G26" s="39"/>
      <c r="H26" s="175"/>
      <c r="I26" s="39"/>
      <c r="J26" s="39">
        <v>-3.1</v>
      </c>
      <c r="K26" s="39"/>
      <c r="L26" s="39"/>
      <c r="O26" s="78">
        <v>1.01</v>
      </c>
      <c r="P26" s="78">
        <f t="shared" si="0"/>
        <v>26.0883</v>
      </c>
    </row>
    <row r="27" spans="1:16" x14ac:dyDescent="0.25">
      <c r="A27" s="854"/>
      <c r="B27" s="161">
        <v>43448</v>
      </c>
      <c r="C27" s="10">
        <v>200</v>
      </c>
      <c r="D27" s="39">
        <v>26.015499999999999</v>
      </c>
      <c r="E27" s="39">
        <v>25.84</v>
      </c>
      <c r="F27" s="39">
        <f t="shared" ref="F27:F33" si="1">C27*(E27-D27)</f>
        <v>-35.099999999999909</v>
      </c>
      <c r="G27" s="39">
        <f t="shared" ref="G27:G35" si="2">D27*C27</f>
        <v>5203.0999999999995</v>
      </c>
      <c r="H27" s="175">
        <f t="shared" ref="H27:H34" si="3">(E27-D27)/D27</f>
        <v>-6.7459783590551612E-3</v>
      </c>
      <c r="I27" s="39"/>
      <c r="J27" s="39">
        <v>-35.1</v>
      </c>
      <c r="K27" s="39"/>
      <c r="L27" s="39"/>
      <c r="O27" s="78">
        <v>1</v>
      </c>
      <c r="P27" s="78">
        <f t="shared" si="0"/>
        <v>25.83</v>
      </c>
    </row>
    <row r="28" spans="1:16" x14ac:dyDescent="0.25">
      <c r="A28" s="854"/>
      <c r="B28" s="161">
        <v>43454</v>
      </c>
      <c r="C28" s="10">
        <v>300</v>
      </c>
      <c r="D28" s="39">
        <v>24.983699999999999</v>
      </c>
      <c r="E28" s="39">
        <v>22.92</v>
      </c>
      <c r="F28" s="39">
        <f t="shared" si="1"/>
        <v>-619.10999999999922</v>
      </c>
      <c r="G28" s="39">
        <f t="shared" si="2"/>
        <v>7495.11</v>
      </c>
      <c r="H28" s="175">
        <f t="shared" si="3"/>
        <v>-8.2601856410379454E-2</v>
      </c>
      <c r="I28" s="39"/>
      <c r="J28" s="39">
        <v>-619.10999999999922</v>
      </c>
      <c r="K28" s="39"/>
      <c r="L28" s="39"/>
      <c r="O28" s="78">
        <v>0.99</v>
      </c>
      <c r="P28" s="78">
        <f t="shared" si="0"/>
        <v>25.571699999999996</v>
      </c>
    </row>
    <row r="29" spans="1:16" x14ac:dyDescent="0.25">
      <c r="A29" s="854"/>
      <c r="B29" s="161">
        <v>43457</v>
      </c>
      <c r="C29" s="7">
        <v>200</v>
      </c>
      <c r="D29" s="43">
        <v>26.140699999999999</v>
      </c>
      <c r="E29" s="39">
        <v>21.91</v>
      </c>
      <c r="F29" s="39">
        <f t="shared" si="1"/>
        <v>-846.13999999999976</v>
      </c>
      <c r="G29" s="39">
        <f t="shared" si="2"/>
        <v>5228.1399999999994</v>
      </c>
      <c r="H29" s="175">
        <f t="shared" si="3"/>
        <v>-0.16184340893702154</v>
      </c>
      <c r="I29" s="39"/>
      <c r="J29" s="39">
        <v>-846.13999999999976</v>
      </c>
      <c r="K29" s="39"/>
      <c r="L29" s="39"/>
      <c r="O29" s="78">
        <v>0.98</v>
      </c>
      <c r="P29" s="78">
        <f t="shared" si="0"/>
        <v>25.313399999999998</v>
      </c>
    </row>
    <row r="30" spans="1:16" x14ac:dyDescent="0.25">
      <c r="A30" s="854"/>
      <c r="B30" s="161">
        <v>43483</v>
      </c>
      <c r="C30" s="10">
        <v>100</v>
      </c>
      <c r="D30" s="39">
        <v>25.261700000000001</v>
      </c>
      <c r="E30" s="39">
        <v>27.02</v>
      </c>
      <c r="F30" s="39">
        <f t="shared" si="1"/>
        <v>175.82999999999984</v>
      </c>
      <c r="G30" s="39">
        <f t="shared" si="2"/>
        <v>2526.17</v>
      </c>
      <c r="H30" s="175">
        <f t="shared" si="3"/>
        <v>6.9603391695729044E-2</v>
      </c>
      <c r="I30" s="39"/>
      <c r="J30" s="39">
        <v>175.82999999999984</v>
      </c>
      <c r="K30" s="39"/>
      <c r="L30" s="39"/>
      <c r="O30" s="78">
        <v>0.97</v>
      </c>
      <c r="P30" s="78">
        <f t="shared" si="0"/>
        <v>25.055099999999996</v>
      </c>
    </row>
    <row r="31" spans="1:16" x14ac:dyDescent="0.25">
      <c r="A31" s="854"/>
      <c r="B31" s="161">
        <v>43503</v>
      </c>
      <c r="C31" s="7">
        <v>200</v>
      </c>
      <c r="D31" s="43">
        <v>25.3809</v>
      </c>
      <c r="E31" s="39">
        <v>25.3</v>
      </c>
      <c r="F31" s="39">
        <f t="shared" si="1"/>
        <v>-16.17999999999995</v>
      </c>
      <c r="G31" s="39">
        <f t="shared" si="2"/>
        <v>5076.18</v>
      </c>
      <c r="H31" s="175">
        <f t="shared" si="3"/>
        <v>-3.1874362217257758E-3</v>
      </c>
      <c r="I31" s="39"/>
      <c r="J31" s="39">
        <v>-16.17999999999995</v>
      </c>
      <c r="K31" s="39"/>
      <c r="L31" s="39"/>
      <c r="O31" s="78">
        <v>0.96</v>
      </c>
      <c r="P31" s="78">
        <f t="shared" si="0"/>
        <v>24.796799999999998</v>
      </c>
    </row>
    <row r="32" spans="1:16" x14ac:dyDescent="0.25">
      <c r="A32" s="854">
        <v>0</v>
      </c>
      <c r="B32" s="161">
        <v>43509</v>
      </c>
      <c r="C32" s="10">
        <v>100</v>
      </c>
      <c r="D32" s="39">
        <v>23.882000000000001</v>
      </c>
      <c r="E32" s="39">
        <v>26.91</v>
      </c>
      <c r="F32" s="39">
        <f t="shared" si="1"/>
        <v>302.79999999999984</v>
      </c>
      <c r="G32" s="39">
        <f t="shared" si="2"/>
        <v>2388.2000000000003</v>
      </c>
      <c r="H32" s="175">
        <f t="shared" si="3"/>
        <v>0.12679005108449873</v>
      </c>
      <c r="I32" s="39"/>
      <c r="J32" s="39">
        <v>302.79999999999984</v>
      </c>
      <c r="K32" s="39"/>
      <c r="L32" s="39"/>
      <c r="O32" s="78">
        <v>0.95</v>
      </c>
      <c r="P32" s="78">
        <f t="shared" si="0"/>
        <v>24.538499999999996</v>
      </c>
    </row>
    <row r="33" spans="1:17" x14ac:dyDescent="0.25">
      <c r="A33" s="854">
        <v>100</v>
      </c>
      <c r="B33" s="161">
        <v>43535</v>
      </c>
      <c r="C33" s="10">
        <v>100</v>
      </c>
      <c r="D33" s="39">
        <v>23.882000000000001</v>
      </c>
      <c r="E33" s="39">
        <v>27.8</v>
      </c>
      <c r="F33" s="39">
        <f t="shared" si="1"/>
        <v>391.79999999999995</v>
      </c>
      <c r="G33" s="39">
        <f t="shared" si="2"/>
        <v>2388.2000000000003</v>
      </c>
      <c r="H33" s="175">
        <f t="shared" si="3"/>
        <v>0.1640566116740641</v>
      </c>
      <c r="I33" s="39"/>
      <c r="J33" s="39">
        <v>391.79999999999995</v>
      </c>
      <c r="K33" s="39"/>
      <c r="L33" s="39"/>
      <c r="O33" s="78">
        <v>0.94</v>
      </c>
      <c r="P33" s="78">
        <f t="shared" si="0"/>
        <v>24.280199999999997</v>
      </c>
    </row>
    <row r="34" spans="1:17" x14ac:dyDescent="0.25">
      <c r="A34" s="854"/>
      <c r="B34" s="161">
        <v>43544</v>
      </c>
      <c r="C34" s="10">
        <v>0</v>
      </c>
      <c r="D34" s="39">
        <v>23.88</v>
      </c>
      <c r="E34" s="39">
        <v>30.99</v>
      </c>
      <c r="F34" s="39"/>
      <c r="G34" s="39">
        <f t="shared" si="2"/>
        <v>0</v>
      </c>
      <c r="H34" s="175">
        <f t="shared" si="3"/>
        <v>0.29773869346733667</v>
      </c>
      <c r="I34" s="39"/>
      <c r="J34" s="39">
        <v>710.76</v>
      </c>
      <c r="K34" s="39"/>
      <c r="L34" s="39"/>
      <c r="O34" s="78">
        <v>0.93</v>
      </c>
      <c r="P34" s="78">
        <f t="shared" si="0"/>
        <v>24.021899999999999</v>
      </c>
    </row>
    <row r="35" spans="1:17" x14ac:dyDescent="0.25">
      <c r="A35" s="854"/>
      <c r="B35" s="161">
        <v>43555</v>
      </c>
      <c r="C35" s="10">
        <v>0</v>
      </c>
      <c r="D35" s="39"/>
      <c r="E35" s="39"/>
      <c r="F35" s="39"/>
      <c r="G35" s="39">
        <f t="shared" si="2"/>
        <v>0</v>
      </c>
      <c r="H35" s="175"/>
      <c r="I35" s="39" t="s">
        <v>182</v>
      </c>
      <c r="J35" s="39">
        <v>718.76</v>
      </c>
      <c r="K35" s="39"/>
      <c r="L35" s="39"/>
      <c r="O35" s="78">
        <v>0.92</v>
      </c>
      <c r="P35" s="78">
        <f t="shared" si="0"/>
        <v>23.7636</v>
      </c>
    </row>
    <row r="36" spans="1:17" x14ac:dyDescent="0.25">
      <c r="A36" s="854"/>
      <c r="B36" s="161"/>
      <c r="C36" s="10"/>
      <c r="D36" s="39"/>
      <c r="E36" s="39"/>
      <c r="F36" s="39"/>
      <c r="G36" s="39"/>
      <c r="H36" s="175"/>
      <c r="I36" s="39"/>
      <c r="J36" s="39"/>
      <c r="K36" s="39"/>
      <c r="L36" s="39"/>
      <c r="O36" s="78">
        <v>0.91</v>
      </c>
      <c r="P36" s="78">
        <f t="shared" si="0"/>
        <v>23.505299999999998</v>
      </c>
    </row>
    <row r="37" spans="1:17" x14ac:dyDescent="0.25">
      <c r="A37" s="854"/>
      <c r="B37" s="161"/>
      <c r="C37" s="10"/>
      <c r="D37" s="39"/>
      <c r="E37" s="39"/>
      <c r="F37" s="39"/>
      <c r="G37" s="39"/>
      <c r="H37" s="175"/>
      <c r="I37" s="39"/>
      <c r="J37" s="39"/>
      <c r="K37" s="39"/>
      <c r="L37" s="39"/>
      <c r="O37" s="78">
        <v>0.9</v>
      </c>
      <c r="P37" s="78">
        <f t="shared" si="0"/>
        <v>23.247</v>
      </c>
    </row>
    <row r="38" spans="1:17" x14ac:dyDescent="0.25">
      <c r="A38" s="854"/>
      <c r="B38" s="161"/>
      <c r="C38" s="10"/>
      <c r="D38" s="39"/>
      <c r="E38" s="39"/>
      <c r="F38" s="39"/>
      <c r="G38" s="39"/>
      <c r="H38" s="175"/>
      <c r="I38" s="39"/>
      <c r="J38" s="39"/>
      <c r="K38" s="39"/>
      <c r="L38" s="39"/>
    </row>
    <row r="39" spans="1:17" x14ac:dyDescent="0.25">
      <c r="A39" s="854"/>
      <c r="B39" s="161"/>
      <c r="C39" s="10"/>
      <c r="D39" s="39"/>
      <c r="E39" s="39"/>
      <c r="F39" s="39"/>
      <c r="G39" s="39"/>
      <c r="H39" s="175"/>
      <c r="I39" s="39"/>
      <c r="J39" s="39"/>
      <c r="K39" s="39"/>
      <c r="L39" s="39"/>
    </row>
    <row r="40" spans="1:17" x14ac:dyDescent="0.25">
      <c r="A40" s="854"/>
      <c r="B40" s="161"/>
      <c r="C40" s="10"/>
      <c r="D40" s="39"/>
      <c r="E40" s="39"/>
      <c r="F40" s="39"/>
      <c r="G40" s="39"/>
      <c r="H40" s="175"/>
      <c r="I40" s="39"/>
      <c r="J40" s="39"/>
      <c r="K40" s="39"/>
      <c r="L40" s="39"/>
    </row>
    <row r="41" spans="1:17" x14ac:dyDescent="0.25">
      <c r="A41" s="854"/>
      <c r="B41" s="161"/>
      <c r="C41" s="10"/>
      <c r="D41" s="39"/>
      <c r="E41" s="39"/>
      <c r="F41" s="39"/>
      <c r="G41" s="39"/>
      <c r="H41" s="175"/>
      <c r="I41" s="39"/>
      <c r="J41" s="39"/>
      <c r="K41" s="39"/>
      <c r="L41" s="39"/>
      <c r="Q41" s="2"/>
    </row>
    <row r="42" spans="1:17" x14ac:dyDescent="0.25">
      <c r="A42" s="854"/>
      <c r="B42" s="161"/>
      <c r="C42" s="10"/>
      <c r="D42" s="39"/>
      <c r="E42" s="39"/>
      <c r="F42" s="39"/>
      <c r="G42" s="39"/>
      <c r="H42" s="175"/>
      <c r="I42" s="39"/>
      <c r="J42" s="39"/>
      <c r="K42" s="39"/>
      <c r="L42" s="39"/>
      <c r="Q42" s="2"/>
    </row>
    <row r="43" spans="1:17" x14ac:dyDescent="0.25">
      <c r="A43" s="854"/>
      <c r="B43" s="161"/>
      <c r="C43" s="10"/>
      <c r="D43" s="39"/>
      <c r="E43" s="39"/>
      <c r="F43" s="39"/>
      <c r="G43" s="39"/>
      <c r="H43" s="175"/>
      <c r="I43" s="39"/>
      <c r="J43" s="39"/>
      <c r="K43" s="39"/>
      <c r="L43" s="39"/>
      <c r="Q43" s="2"/>
    </row>
    <row r="44" spans="1:17" x14ac:dyDescent="0.25">
      <c r="A44" s="854"/>
      <c r="B44" s="161"/>
      <c r="C44" s="10"/>
      <c r="D44" s="39"/>
      <c r="E44" s="39"/>
      <c r="F44" s="39"/>
      <c r="G44" s="39"/>
      <c r="H44" s="175"/>
      <c r="I44" s="39"/>
      <c r="J44" s="39"/>
      <c r="K44" s="39"/>
      <c r="L44" s="39"/>
      <c r="Q44" s="2"/>
    </row>
    <row r="45" spans="1:17" x14ac:dyDescent="0.25">
      <c r="A45" s="854"/>
      <c r="B45" s="161"/>
      <c r="C45" s="10"/>
      <c r="D45" s="39"/>
      <c r="E45" s="39"/>
      <c r="F45" s="760"/>
      <c r="G45" s="39"/>
      <c r="H45" s="175"/>
      <c r="I45" s="39"/>
      <c r="J45" s="39"/>
      <c r="K45" s="39"/>
      <c r="L45" s="39"/>
      <c r="Q45" s="2"/>
    </row>
    <row r="46" spans="1:17" x14ac:dyDescent="0.25">
      <c r="A46" s="854"/>
      <c r="B46" s="161"/>
      <c r="C46" s="10"/>
      <c r="D46" s="39"/>
      <c r="E46" s="39"/>
      <c r="F46" s="39"/>
      <c r="G46" s="39"/>
      <c r="H46" s="175"/>
      <c r="I46" s="39"/>
      <c r="J46" s="39"/>
      <c r="K46" s="39"/>
      <c r="L46" s="39"/>
      <c r="Q46" s="2"/>
    </row>
    <row r="47" spans="1:17" x14ac:dyDescent="0.25">
      <c r="A47" s="854"/>
      <c r="B47" s="161"/>
      <c r="C47" s="10"/>
      <c r="D47" s="39"/>
      <c r="E47" s="39"/>
      <c r="F47" s="39"/>
      <c r="G47" s="39"/>
      <c r="H47" s="175"/>
      <c r="I47" s="39"/>
      <c r="J47" s="39"/>
      <c r="K47" s="39"/>
      <c r="L47" s="39"/>
      <c r="Q47" s="2"/>
    </row>
    <row r="48" spans="1:17" x14ac:dyDescent="0.25">
      <c r="A48" s="854"/>
      <c r="B48" s="161"/>
      <c r="C48" s="10"/>
      <c r="D48" s="39"/>
      <c r="E48" s="39"/>
      <c r="F48" s="39"/>
      <c r="G48" s="39"/>
      <c r="H48" s="175"/>
      <c r="I48" s="39"/>
      <c r="J48" s="39"/>
      <c r="K48" s="39"/>
      <c r="L48" s="39"/>
      <c r="Q48" s="2"/>
    </row>
    <row r="49" spans="1:17" x14ac:dyDescent="0.25">
      <c r="A49" s="854"/>
      <c r="B49" s="161"/>
      <c r="C49" s="10"/>
      <c r="D49" s="39"/>
      <c r="E49" s="39"/>
      <c r="F49" s="39"/>
      <c r="G49" s="39"/>
      <c r="H49" s="175"/>
      <c r="I49" s="39"/>
      <c r="J49" s="760"/>
      <c r="K49" s="39"/>
      <c r="L49" s="39"/>
      <c r="Q49" s="2"/>
    </row>
    <row r="50" spans="1:17" x14ac:dyDescent="0.25">
      <c r="A50" s="854"/>
      <c r="B50" s="161"/>
      <c r="C50" s="10"/>
      <c r="D50" s="39"/>
      <c r="E50" s="39"/>
      <c r="F50" s="39"/>
      <c r="G50" s="39"/>
      <c r="H50" s="175"/>
      <c r="I50" s="39"/>
      <c r="J50" s="39"/>
      <c r="K50" s="39"/>
      <c r="L50" s="39"/>
      <c r="Q50" s="2"/>
    </row>
    <row r="51" spans="1:17" x14ac:dyDescent="0.25">
      <c r="A51" s="854"/>
      <c r="B51" s="161"/>
      <c r="C51" s="10"/>
      <c r="D51" s="39"/>
      <c r="E51" s="39"/>
      <c r="F51" s="39"/>
      <c r="G51" s="39"/>
      <c r="H51" s="175"/>
      <c r="I51" s="39"/>
      <c r="J51" s="39"/>
      <c r="K51" s="39"/>
      <c r="L51" s="39"/>
      <c r="Q51" s="2"/>
    </row>
    <row r="52" spans="1:17" x14ac:dyDescent="0.25">
      <c r="A52" s="854"/>
      <c r="B52" s="161"/>
      <c r="C52" s="10"/>
      <c r="D52" s="39"/>
      <c r="E52" s="39"/>
      <c r="F52" s="39"/>
      <c r="G52" s="39"/>
      <c r="H52" s="175"/>
      <c r="I52" s="39"/>
      <c r="J52" s="39"/>
      <c r="K52" s="39"/>
      <c r="L52" s="39"/>
      <c r="Q52" s="2"/>
    </row>
    <row r="53" spans="1:17" x14ac:dyDescent="0.25">
      <c r="A53" s="854"/>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1268</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56">
      <colorScale>
        <cfvo type="min"/>
        <cfvo type="percentile" val="50"/>
        <cfvo type="max"/>
        <color rgb="FFF8696B"/>
        <color rgb="FFFFEB84"/>
        <color rgb="FF63BE7B"/>
      </colorScale>
    </cfRule>
  </conditionalFormatting>
  <conditionalFormatting sqref="P17:P37">
    <cfRule type="colorScale" priority="55">
      <colorScale>
        <cfvo type="min"/>
        <cfvo type="percentile" val="50"/>
        <cfvo type="max"/>
        <color rgb="FFF8696B"/>
        <color rgb="FFFFEB84"/>
        <color rgb="FF63BE7B"/>
      </colorScale>
    </cfRule>
  </conditionalFormatting>
  <conditionalFormatting sqref="F54:F63 H54:H63">
    <cfRule type="expression" dxfId="3129" priority="53">
      <formula>F54&gt;0</formula>
    </cfRule>
    <cfRule type="expression" dxfId="3128" priority="54">
      <formula>F54&lt;0</formula>
    </cfRule>
  </conditionalFormatting>
  <conditionalFormatting sqref="Q7">
    <cfRule type="expression" dxfId="3127" priority="51">
      <formula>Q7&gt;0</formula>
    </cfRule>
    <cfRule type="expression" dxfId="3126" priority="52">
      <formula>Q7&lt;0</formula>
    </cfRule>
  </conditionalFormatting>
  <conditionalFormatting sqref="Q8">
    <cfRule type="expression" dxfId="3125" priority="49">
      <formula>Q8&gt;0</formula>
    </cfRule>
    <cfRule type="expression" dxfId="3124" priority="50">
      <formula>Q8&lt;0</formula>
    </cfRule>
  </conditionalFormatting>
  <conditionalFormatting sqref="F33:F36 F38:F53">
    <cfRule type="expression" dxfId="3123" priority="47">
      <formula>F33&gt;0</formula>
    </cfRule>
    <cfRule type="expression" dxfId="3122" priority="48">
      <formula>F33&lt;0</formula>
    </cfRule>
  </conditionalFormatting>
  <conditionalFormatting sqref="H38:H53 H33:H36">
    <cfRule type="expression" dxfId="3121" priority="45">
      <formula>H33&gt;0</formula>
    </cfRule>
    <cfRule type="expression" dxfId="3120" priority="46">
      <formula>H33&lt;0</formula>
    </cfRule>
  </conditionalFormatting>
  <conditionalFormatting sqref="Q10">
    <cfRule type="expression" dxfId="3119" priority="43">
      <formula>Q10&gt;0</formula>
    </cfRule>
    <cfRule type="expression" dxfId="3118" priority="44">
      <formula>Q10&lt;0</formula>
    </cfRule>
  </conditionalFormatting>
  <conditionalFormatting sqref="J25:J27 J34:J37">
    <cfRule type="expression" dxfId="3117" priority="41">
      <formula>J25&gt;0</formula>
    </cfRule>
    <cfRule type="expression" dxfId="3116" priority="42">
      <formula>J25&lt;0</formula>
    </cfRule>
  </conditionalFormatting>
  <conditionalFormatting sqref="K25:K38">
    <cfRule type="expression" dxfId="3115" priority="39">
      <formula>K25&gt;0</formula>
    </cfRule>
    <cfRule type="expression" dxfId="3114" priority="40">
      <formula>K25&lt;0</formula>
    </cfRule>
  </conditionalFormatting>
  <conditionalFormatting sqref="L25">
    <cfRule type="expression" dxfId="3113" priority="37">
      <formula>L25&gt;0</formula>
    </cfRule>
    <cfRule type="expression" dxfId="3112" priority="38">
      <formula>L25&lt;0</formula>
    </cfRule>
  </conditionalFormatting>
  <conditionalFormatting sqref="F89:F110">
    <cfRule type="expression" dxfId="3111" priority="35">
      <formula>F89&gt;0</formula>
    </cfRule>
    <cfRule type="expression" dxfId="3110" priority="36">
      <formula>F89&lt;0</formula>
    </cfRule>
  </conditionalFormatting>
  <conditionalFormatting sqref="H89:H110">
    <cfRule type="expression" dxfId="3109" priority="33">
      <formula>H89&gt;0</formula>
    </cfRule>
    <cfRule type="expression" dxfId="3108" priority="34">
      <formula>H89&lt;0</formula>
    </cfRule>
  </conditionalFormatting>
  <conditionalFormatting sqref="J89:J102">
    <cfRule type="expression" dxfId="3107" priority="31">
      <formula>J89&gt;0</formula>
    </cfRule>
    <cfRule type="expression" dxfId="3106" priority="32">
      <formula>J89&lt;0</formula>
    </cfRule>
  </conditionalFormatting>
  <conditionalFormatting sqref="K89:K102">
    <cfRule type="expression" dxfId="3105" priority="29">
      <formula>K89&gt;0</formula>
    </cfRule>
    <cfRule type="expression" dxfId="3104" priority="30">
      <formula>K89&lt;0</formula>
    </cfRule>
  </conditionalFormatting>
  <conditionalFormatting sqref="L89:L102">
    <cfRule type="expression" dxfId="3103" priority="27">
      <formula>L89&gt;0</formula>
    </cfRule>
    <cfRule type="expression" dxfId="3102" priority="28">
      <formula>L89&lt;0</formula>
    </cfRule>
  </conditionalFormatting>
  <conditionalFormatting sqref="F31:F32">
    <cfRule type="expression" dxfId="3101" priority="25">
      <formula>F31&gt;0</formula>
    </cfRule>
    <cfRule type="expression" dxfId="3100" priority="26">
      <formula>F31&lt;0</formula>
    </cfRule>
  </conditionalFormatting>
  <conditionalFormatting sqref="H31:H32">
    <cfRule type="expression" dxfId="3099" priority="23">
      <formula>H31&gt;0</formula>
    </cfRule>
    <cfRule type="expression" dxfId="3098" priority="24">
      <formula>H31&lt;0</formula>
    </cfRule>
  </conditionalFormatting>
  <conditionalFormatting sqref="F25:F26">
    <cfRule type="expression" dxfId="3097" priority="21">
      <formula>F25&gt;0</formula>
    </cfRule>
    <cfRule type="expression" dxfId="3096" priority="22">
      <formula>F25&lt;0</formula>
    </cfRule>
  </conditionalFormatting>
  <conditionalFormatting sqref="H25:H26">
    <cfRule type="expression" dxfId="3095" priority="19">
      <formula>H25&gt;0</formula>
    </cfRule>
    <cfRule type="expression" dxfId="3094" priority="20">
      <formula>H25&lt;0</formula>
    </cfRule>
  </conditionalFormatting>
  <conditionalFormatting sqref="F37">
    <cfRule type="expression" dxfId="3093" priority="17">
      <formula>F37&gt;0</formula>
    </cfRule>
    <cfRule type="expression" dxfId="3092" priority="18">
      <formula>F37&lt;0</formula>
    </cfRule>
  </conditionalFormatting>
  <conditionalFormatting sqref="H37">
    <cfRule type="expression" dxfId="3091" priority="15">
      <formula>H37&gt;0</formula>
    </cfRule>
    <cfRule type="expression" dxfId="3090" priority="16">
      <formula>H37&lt;0</formula>
    </cfRule>
  </conditionalFormatting>
  <conditionalFormatting sqref="J49">
    <cfRule type="expression" dxfId="3089" priority="13">
      <formula>J49&gt;0</formula>
    </cfRule>
    <cfRule type="expression" dxfId="3088" priority="14">
      <formula>J49&lt;0</formula>
    </cfRule>
  </conditionalFormatting>
  <conditionalFormatting sqref="J38:J48">
    <cfRule type="expression" dxfId="3087" priority="11">
      <formula>J38&gt;0</formula>
    </cfRule>
    <cfRule type="expression" dxfId="3086" priority="12">
      <formula>J38&lt;0</formula>
    </cfRule>
  </conditionalFormatting>
  <conditionalFormatting sqref="F27:F30">
    <cfRule type="expression" dxfId="3085" priority="9">
      <formula>F27&gt;0</formula>
    </cfRule>
    <cfRule type="expression" dxfId="3084" priority="10">
      <formula>F27&lt;0</formula>
    </cfRule>
  </conditionalFormatting>
  <conditionalFormatting sqref="H27:H30">
    <cfRule type="expression" dxfId="3083" priority="7">
      <formula>H27&gt;0</formula>
    </cfRule>
    <cfRule type="expression" dxfId="3082" priority="8">
      <formula>H27&lt;0</formula>
    </cfRule>
  </conditionalFormatting>
  <conditionalFormatting sqref="J33">
    <cfRule type="expression" dxfId="3081" priority="5">
      <formula>J33&gt;0</formula>
    </cfRule>
    <cfRule type="expression" dxfId="3080" priority="6">
      <formula>J33&lt;0</formula>
    </cfRule>
  </conditionalFormatting>
  <conditionalFormatting sqref="J31:J32">
    <cfRule type="expression" dxfId="3079" priority="3">
      <formula>J31&gt;0</formula>
    </cfRule>
    <cfRule type="expression" dxfId="3078" priority="4">
      <formula>J31&lt;0</formula>
    </cfRule>
  </conditionalFormatting>
  <conditionalFormatting sqref="J28:J30">
    <cfRule type="expression" dxfId="3077" priority="1">
      <formula>J28&gt;0</formula>
    </cfRule>
    <cfRule type="expression" dxfId="3076" priority="2">
      <formula>J28&lt;0</formula>
    </cfRule>
  </conditionalFormatting>
  <hyperlinks>
    <hyperlink ref="A3" location="ACTIVE!A1" display="Back"/>
  </hyperlinks>
  <pageMargins left="0.7" right="0.7" top="0.75" bottom="0.75" header="0.3" footer="0.3"/>
  <pageSetup orientation="portrait"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1281</v>
      </c>
      <c r="B2" s="360">
        <v>43451</v>
      </c>
      <c r="C2" s="7">
        <v>200</v>
      </c>
      <c r="D2" s="43">
        <v>13.68</v>
      </c>
      <c r="E2" s="43">
        <v>0</v>
      </c>
      <c r="F2" s="43">
        <f>C2*D2+E2</f>
        <v>2736</v>
      </c>
      <c r="G2" s="360">
        <v>43515</v>
      </c>
      <c r="H2" s="77">
        <v>200</v>
      </c>
      <c r="I2" s="43">
        <v>15.63</v>
      </c>
      <c r="J2" s="43">
        <v>0.04</v>
      </c>
      <c r="K2" s="43">
        <f>H2*I2-J2</f>
        <v>3125.96</v>
      </c>
      <c r="L2" s="69">
        <v>43515</v>
      </c>
      <c r="M2" s="43">
        <v>61</v>
      </c>
      <c r="O2" s="11" t="s">
        <v>57</v>
      </c>
      <c r="Q2">
        <f>C18-H18</f>
        <v>0</v>
      </c>
      <c r="T2" s="1"/>
    </row>
    <row r="3" spans="1:21" x14ac:dyDescent="0.25">
      <c r="A3" s="22" t="s">
        <v>71</v>
      </c>
      <c r="B3" s="69"/>
      <c r="C3" s="4"/>
      <c r="D3" s="3"/>
      <c r="E3" s="3"/>
      <c r="F3" s="3"/>
      <c r="G3" s="69"/>
      <c r="H3" s="158"/>
      <c r="I3" s="3"/>
      <c r="J3" s="3"/>
      <c r="K3" s="3"/>
      <c r="L3" s="4"/>
      <c r="M3" s="4"/>
      <c r="O3" s="11" t="s">
        <v>58</v>
      </c>
      <c r="Q3" s="174">
        <f>IF(Q2=0, Q4, (F18-K18-M18)/Q2)</f>
        <v>13.55</v>
      </c>
      <c r="T3" s="1"/>
      <c r="U3" s="22"/>
    </row>
    <row r="4" spans="1:21" x14ac:dyDescent="0.25">
      <c r="B4" s="69"/>
      <c r="C4" s="4"/>
      <c r="D4" s="3"/>
      <c r="E4" s="3"/>
      <c r="F4" s="3"/>
      <c r="G4" s="69"/>
      <c r="H4" s="158"/>
      <c r="I4" s="3"/>
      <c r="J4" s="3"/>
      <c r="K4" s="3"/>
      <c r="L4" s="4"/>
      <c r="M4" s="4"/>
      <c r="O4" s="11" t="s">
        <v>66</v>
      </c>
      <c r="Q4" s="53">
        <v>13.55</v>
      </c>
      <c r="R4" s="416">
        <v>3.7900000000000003E-2</v>
      </c>
      <c r="T4" s="680"/>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450.96000000000004</v>
      </c>
      <c r="R7">
        <v>0</v>
      </c>
    </row>
    <row r="8" spans="1:21" x14ac:dyDescent="0.25">
      <c r="B8" s="69"/>
      <c r="C8" s="4"/>
      <c r="D8" s="3"/>
      <c r="E8" s="3"/>
      <c r="F8" s="3"/>
      <c r="G8" s="4"/>
      <c r="H8" s="158"/>
      <c r="I8" s="3"/>
      <c r="J8" s="3"/>
      <c r="K8" s="3"/>
      <c r="L8" s="4"/>
      <c r="M8" s="4"/>
      <c r="O8" s="11" t="s">
        <v>177</v>
      </c>
      <c r="P8" s="33"/>
      <c r="Q8" s="2">
        <f>K18+M18-F18+Q2*Q4</f>
        <v>450.96000000000004</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8.5254612546125458E-2</v>
      </c>
      <c r="R11">
        <f>0.2888*4</f>
        <v>1.1552</v>
      </c>
    </row>
    <row r="12" spans="1:21" x14ac:dyDescent="0.25">
      <c r="H12" s="67"/>
      <c r="O12" s="11" t="s">
        <v>875</v>
      </c>
      <c r="Q12" s="1" t="s">
        <v>1327</v>
      </c>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14.905000000000001</v>
      </c>
    </row>
    <row r="18" spans="1:16" x14ac:dyDescent="0.25">
      <c r="A18" s="31" t="s">
        <v>81</v>
      </c>
      <c r="B18" s="14"/>
      <c r="C18" s="14">
        <f>SUM(C2:C8)</f>
        <v>200</v>
      </c>
      <c r="D18" s="18"/>
      <c r="E18" s="18"/>
      <c r="F18" s="18">
        <f>SUM(F2:F8)</f>
        <v>2736</v>
      </c>
      <c r="G18" s="14"/>
      <c r="H18" s="68">
        <f>SUM(H2:H5)</f>
        <v>200</v>
      </c>
      <c r="I18" s="18"/>
      <c r="J18" s="18"/>
      <c r="K18" s="18">
        <f>SUM(K2:K5)</f>
        <v>3125.96</v>
      </c>
      <c r="L18" s="14"/>
      <c r="M18" s="18">
        <f>SUM(M2:M10)</f>
        <v>61</v>
      </c>
      <c r="O18" s="78">
        <v>1.0900000000000001</v>
      </c>
      <c r="P18" s="78">
        <f t="shared" ref="P18:P37" si="0">O18*$Q$4</f>
        <v>14.769500000000003</v>
      </c>
    </row>
    <row r="19" spans="1:16" ht="15.75" thickBot="1" x14ac:dyDescent="0.3">
      <c r="A19" s="273" t="s">
        <v>189</v>
      </c>
      <c r="B19" s="274"/>
      <c r="C19" s="275">
        <f>SumByColor($A$19,C2:C17)</f>
        <v>200</v>
      </c>
      <c r="D19" s="275"/>
      <c r="E19" s="275"/>
      <c r="F19" s="276">
        <f>SumByColor($A$19,F2:F17)</f>
        <v>2736</v>
      </c>
      <c r="G19" s="275"/>
      <c r="H19" s="275">
        <f>SumByColor($A$19,H2:H17)</f>
        <v>200</v>
      </c>
      <c r="I19" s="275"/>
      <c r="J19" s="275"/>
      <c r="K19" s="276">
        <f>SumByColor($A$19,K2:K17)</f>
        <v>3126</v>
      </c>
      <c r="L19" s="275"/>
      <c r="M19" s="276">
        <f>SumByColor($A$19,M2:M17)</f>
        <v>61</v>
      </c>
      <c r="O19" s="78">
        <v>1.08</v>
      </c>
      <c r="P19" s="78">
        <f t="shared" si="0"/>
        <v>14.634000000000002</v>
      </c>
    </row>
    <row r="20" spans="1:16" x14ac:dyDescent="0.25">
      <c r="O20" s="78">
        <v>1.07</v>
      </c>
      <c r="P20" s="78">
        <f t="shared" si="0"/>
        <v>14.498500000000002</v>
      </c>
    </row>
    <row r="21" spans="1:16" x14ac:dyDescent="0.25">
      <c r="O21" s="78">
        <v>1.06</v>
      </c>
      <c r="P21" s="78">
        <f t="shared" si="0"/>
        <v>14.363000000000001</v>
      </c>
    </row>
    <row r="22" spans="1:16" x14ac:dyDescent="0.25">
      <c r="O22" s="78">
        <v>1.05</v>
      </c>
      <c r="P22" s="78">
        <f t="shared" si="0"/>
        <v>14.227500000000001</v>
      </c>
    </row>
    <row r="23" spans="1:16" x14ac:dyDescent="0.25">
      <c r="O23" s="78">
        <v>1.04</v>
      </c>
      <c r="P23" s="78">
        <f t="shared" si="0"/>
        <v>14.092000000000001</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13.956500000000002</v>
      </c>
    </row>
    <row r="25" spans="1:16" x14ac:dyDescent="0.25">
      <c r="B25" s="161">
        <v>43508</v>
      </c>
      <c r="C25" s="10">
        <v>200</v>
      </c>
      <c r="D25" s="39">
        <v>13.68</v>
      </c>
      <c r="E25" s="39">
        <v>14.54</v>
      </c>
      <c r="F25" s="39">
        <f>(E25-D25)*C25</f>
        <v>171.99999999999989</v>
      </c>
      <c r="G25" s="39"/>
      <c r="H25" s="175"/>
      <c r="I25" s="39"/>
      <c r="J25" s="39"/>
      <c r="K25" s="39"/>
      <c r="L25" s="39"/>
      <c r="O25" s="78">
        <v>1.02</v>
      </c>
      <c r="P25" s="78">
        <f t="shared" si="0"/>
        <v>13.821000000000002</v>
      </c>
    </row>
    <row r="26" spans="1:16" x14ac:dyDescent="0.25">
      <c r="B26" s="161">
        <v>43515</v>
      </c>
      <c r="C26" s="10">
        <v>0</v>
      </c>
      <c r="D26" s="39">
        <v>13.375</v>
      </c>
      <c r="E26" s="39">
        <v>15.62</v>
      </c>
      <c r="F26" s="760">
        <v>450.96</v>
      </c>
      <c r="G26" s="39"/>
      <c r="H26" s="175"/>
      <c r="I26" s="39"/>
      <c r="J26" s="39"/>
      <c r="K26" s="39"/>
      <c r="L26" s="39"/>
      <c r="O26" s="78">
        <v>1.01</v>
      </c>
      <c r="P26" s="78">
        <f t="shared" si="0"/>
        <v>13.685500000000001</v>
      </c>
    </row>
    <row r="27" spans="1:16" x14ac:dyDescent="0.25">
      <c r="B27" s="161"/>
      <c r="C27" s="10"/>
      <c r="D27" s="39"/>
      <c r="E27" s="39"/>
      <c r="F27" s="39"/>
      <c r="G27" s="39"/>
      <c r="H27" s="175"/>
      <c r="I27" s="39"/>
      <c r="J27" s="39"/>
      <c r="K27" s="39"/>
      <c r="L27" s="39"/>
      <c r="O27" s="78">
        <v>1</v>
      </c>
      <c r="P27" s="78">
        <f t="shared" si="0"/>
        <v>13.55</v>
      </c>
    </row>
    <row r="28" spans="1:16" x14ac:dyDescent="0.25">
      <c r="B28" s="161"/>
      <c r="C28" s="10"/>
      <c r="D28" s="39"/>
      <c r="E28" s="39"/>
      <c r="F28" s="39"/>
      <c r="G28" s="39"/>
      <c r="H28" s="175"/>
      <c r="I28" s="39"/>
      <c r="J28" s="39"/>
      <c r="K28" s="39"/>
      <c r="L28" s="39"/>
      <c r="O28" s="78">
        <v>0.99</v>
      </c>
      <c r="P28" s="78">
        <f t="shared" si="0"/>
        <v>13.4145</v>
      </c>
    </row>
    <row r="29" spans="1:16" x14ac:dyDescent="0.25">
      <c r="B29" s="161"/>
      <c r="C29" s="10"/>
      <c r="D29" s="39"/>
      <c r="E29" s="39"/>
      <c r="F29" s="39"/>
      <c r="G29" s="39"/>
      <c r="H29" s="175"/>
      <c r="I29" s="39"/>
      <c r="J29" s="39"/>
      <c r="K29" s="39"/>
      <c r="L29" s="39"/>
      <c r="O29" s="78">
        <v>0.98</v>
      </c>
      <c r="P29" s="78">
        <f t="shared" si="0"/>
        <v>13.279</v>
      </c>
    </row>
    <row r="30" spans="1:16" x14ac:dyDescent="0.25">
      <c r="B30" s="161"/>
      <c r="C30" s="10"/>
      <c r="D30" s="39"/>
      <c r="E30" s="39"/>
      <c r="F30" s="39"/>
      <c r="G30" s="39"/>
      <c r="H30" s="175"/>
      <c r="I30" s="39"/>
      <c r="J30" s="39"/>
      <c r="K30" s="39"/>
      <c r="L30" s="39"/>
      <c r="O30" s="78">
        <v>0.97</v>
      </c>
      <c r="P30" s="78">
        <f t="shared" si="0"/>
        <v>13.1435</v>
      </c>
    </row>
    <row r="31" spans="1:16" x14ac:dyDescent="0.25">
      <c r="B31" s="161"/>
      <c r="C31" s="10"/>
      <c r="D31" s="39"/>
      <c r="E31" s="39"/>
      <c r="F31" s="39"/>
      <c r="G31" s="39"/>
      <c r="H31" s="175"/>
      <c r="I31" s="39"/>
      <c r="J31" s="39"/>
      <c r="K31" s="39"/>
      <c r="L31" s="39"/>
      <c r="O31" s="78">
        <v>0.96</v>
      </c>
      <c r="P31" s="78">
        <f t="shared" si="0"/>
        <v>13.008000000000001</v>
      </c>
    </row>
    <row r="32" spans="1:16" x14ac:dyDescent="0.25">
      <c r="B32" s="161"/>
      <c r="C32" s="10"/>
      <c r="D32" s="39"/>
      <c r="E32" s="39"/>
      <c r="F32" s="39"/>
      <c r="G32" s="39"/>
      <c r="H32" s="175"/>
      <c r="I32" s="39"/>
      <c r="J32" s="39"/>
      <c r="K32" s="39"/>
      <c r="L32" s="39"/>
      <c r="O32" s="78">
        <v>0.95</v>
      </c>
      <c r="P32" s="78">
        <f t="shared" si="0"/>
        <v>12.8725</v>
      </c>
    </row>
    <row r="33" spans="2:17" x14ac:dyDescent="0.25">
      <c r="B33" s="161"/>
      <c r="C33" s="10"/>
      <c r="D33" s="39"/>
      <c r="E33" s="39"/>
      <c r="F33" s="39"/>
      <c r="G33" s="39"/>
      <c r="H33" s="175"/>
      <c r="I33" s="39"/>
      <c r="J33" s="39"/>
      <c r="K33" s="39"/>
      <c r="L33" s="39"/>
      <c r="O33" s="78">
        <v>0.94</v>
      </c>
      <c r="P33" s="78">
        <f t="shared" si="0"/>
        <v>12.737</v>
      </c>
    </row>
    <row r="34" spans="2:17" x14ac:dyDescent="0.25">
      <c r="B34" s="161"/>
      <c r="C34" s="10"/>
      <c r="D34" s="39"/>
      <c r="E34" s="39"/>
      <c r="F34" s="39"/>
      <c r="G34" s="39"/>
      <c r="H34" s="175"/>
      <c r="I34" s="39"/>
      <c r="J34" s="39"/>
      <c r="K34" s="39"/>
      <c r="L34" s="39"/>
      <c r="O34" s="78">
        <v>0.93</v>
      </c>
      <c r="P34" s="78">
        <f t="shared" si="0"/>
        <v>12.601500000000001</v>
      </c>
    </row>
    <row r="35" spans="2:17" x14ac:dyDescent="0.25">
      <c r="B35" s="161"/>
      <c r="C35" s="10"/>
      <c r="D35" s="39"/>
      <c r="E35" s="39"/>
      <c r="F35" s="39"/>
      <c r="G35" s="39"/>
      <c r="H35" s="175"/>
      <c r="I35" s="39"/>
      <c r="J35" s="39"/>
      <c r="K35" s="39"/>
      <c r="L35" s="39"/>
      <c r="O35" s="78">
        <v>0.92</v>
      </c>
      <c r="P35" s="78">
        <f t="shared" si="0"/>
        <v>12.466000000000001</v>
      </c>
    </row>
    <row r="36" spans="2:17" x14ac:dyDescent="0.25">
      <c r="B36" s="161"/>
      <c r="C36" s="10"/>
      <c r="D36" s="39"/>
      <c r="E36" s="39"/>
      <c r="F36" s="39"/>
      <c r="G36" s="39"/>
      <c r="H36" s="175"/>
      <c r="I36" s="39"/>
      <c r="J36" s="39"/>
      <c r="K36" s="39"/>
      <c r="L36" s="39"/>
      <c r="O36" s="78">
        <v>0.91</v>
      </c>
      <c r="P36" s="78">
        <f t="shared" si="0"/>
        <v>12.330500000000001</v>
      </c>
    </row>
    <row r="37" spans="2:17" x14ac:dyDescent="0.25">
      <c r="B37" s="161"/>
      <c r="C37" s="10"/>
      <c r="D37" s="39"/>
      <c r="E37" s="39"/>
      <c r="F37" s="39"/>
      <c r="G37" s="39"/>
      <c r="H37" s="175"/>
      <c r="I37" s="39"/>
      <c r="J37" s="39"/>
      <c r="K37" s="39"/>
      <c r="L37" s="39"/>
      <c r="O37" s="78">
        <v>0.9</v>
      </c>
      <c r="P37" s="78">
        <f t="shared" si="0"/>
        <v>12.195</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075" priority="35">
      <formula>F47&gt;0</formula>
    </cfRule>
    <cfRule type="expression" dxfId="3074" priority="36">
      <formula>F47&lt;0</formula>
    </cfRule>
  </conditionalFormatting>
  <conditionalFormatting sqref="Q7">
    <cfRule type="expression" dxfId="3073" priority="33">
      <formula>Q7&gt;0</formula>
    </cfRule>
    <cfRule type="expression" dxfId="3072" priority="34">
      <formula>Q7&lt;0</formula>
    </cfRule>
  </conditionalFormatting>
  <conditionalFormatting sqref="Q8">
    <cfRule type="expression" dxfId="3071" priority="31">
      <formula>Q8&gt;0</formula>
    </cfRule>
    <cfRule type="expression" dxfId="3070" priority="32">
      <formula>Q8&lt;0</formula>
    </cfRule>
  </conditionalFormatting>
  <conditionalFormatting sqref="F30:F46">
    <cfRule type="expression" dxfId="3069" priority="29">
      <formula>F30&gt;0</formula>
    </cfRule>
    <cfRule type="expression" dxfId="3068" priority="30">
      <formula>F30&lt;0</formula>
    </cfRule>
  </conditionalFormatting>
  <conditionalFormatting sqref="H30:H46">
    <cfRule type="expression" dxfId="3067" priority="27">
      <formula>H30&gt;0</formula>
    </cfRule>
    <cfRule type="expression" dxfId="3066" priority="28">
      <formula>H30&lt;0</formula>
    </cfRule>
  </conditionalFormatting>
  <conditionalFormatting sqref="Q10">
    <cfRule type="expression" dxfId="3065" priority="25">
      <formula>Q10&gt;0</formula>
    </cfRule>
    <cfRule type="expression" dxfId="3064" priority="26">
      <formula>Q10&lt;0</formula>
    </cfRule>
  </conditionalFormatting>
  <conditionalFormatting sqref="J25:J38">
    <cfRule type="expression" dxfId="3063" priority="23">
      <formula>J25&gt;0</formula>
    </cfRule>
    <cfRule type="expression" dxfId="3062" priority="24">
      <formula>J25&lt;0</formula>
    </cfRule>
  </conditionalFormatting>
  <conditionalFormatting sqref="K25:K38">
    <cfRule type="expression" dxfId="3061" priority="21">
      <formula>K25&gt;0</formula>
    </cfRule>
    <cfRule type="expression" dxfId="3060" priority="22">
      <formula>K25&lt;0</formula>
    </cfRule>
  </conditionalFormatting>
  <conditionalFormatting sqref="L25 L38">
    <cfRule type="expression" dxfId="3059" priority="19">
      <formula>L25&gt;0</formula>
    </cfRule>
    <cfRule type="expression" dxfId="3058" priority="20">
      <formula>L25&lt;0</formula>
    </cfRule>
  </conditionalFormatting>
  <conditionalFormatting sqref="F89:F110">
    <cfRule type="expression" dxfId="3057" priority="17">
      <formula>F89&gt;0</formula>
    </cfRule>
    <cfRule type="expression" dxfId="3056" priority="18">
      <formula>F89&lt;0</formula>
    </cfRule>
  </conditionalFormatting>
  <conditionalFormatting sqref="H89:H110">
    <cfRule type="expression" dxfId="3055" priority="15">
      <formula>H89&gt;0</formula>
    </cfRule>
    <cfRule type="expression" dxfId="3054" priority="16">
      <formula>H89&lt;0</formula>
    </cfRule>
  </conditionalFormatting>
  <conditionalFormatting sqref="J89:J102">
    <cfRule type="expression" dxfId="3053" priority="13">
      <formula>J89&gt;0</formula>
    </cfRule>
    <cfRule type="expression" dxfId="3052" priority="14">
      <formula>J89&lt;0</formula>
    </cfRule>
  </conditionalFormatting>
  <conditionalFormatting sqref="K89:K102">
    <cfRule type="expression" dxfId="3051" priority="11">
      <formula>K89&gt;0</formula>
    </cfRule>
    <cfRule type="expression" dxfId="3050" priority="12">
      <formula>K89&lt;0</formula>
    </cfRule>
  </conditionalFormatting>
  <conditionalFormatting sqref="L89:L102">
    <cfRule type="expression" dxfId="3049" priority="9">
      <formula>L89&gt;0</formula>
    </cfRule>
    <cfRule type="expression" dxfId="3048" priority="10">
      <formula>L89&lt;0</formula>
    </cfRule>
  </conditionalFormatting>
  <conditionalFormatting sqref="F29 F25:F26">
    <cfRule type="expression" dxfId="3047" priority="7">
      <formula>F25&gt;0</formula>
    </cfRule>
    <cfRule type="expression" dxfId="3046" priority="8">
      <formula>F25&lt;0</formula>
    </cfRule>
  </conditionalFormatting>
  <conditionalFormatting sqref="H29 H25:H27">
    <cfRule type="expression" dxfId="3045" priority="5">
      <formula>H25&gt;0</formula>
    </cfRule>
    <cfRule type="expression" dxfId="3044" priority="6">
      <formula>H25&lt;0</formula>
    </cfRule>
  </conditionalFormatting>
  <conditionalFormatting sqref="F27:F28">
    <cfRule type="expression" dxfId="3043" priority="3">
      <formula>F27&gt;0</formula>
    </cfRule>
    <cfRule type="expression" dxfId="3042" priority="4">
      <formula>F27&lt;0</formula>
    </cfRule>
  </conditionalFormatting>
  <conditionalFormatting sqref="H28">
    <cfRule type="expression" dxfId="3041" priority="1">
      <formula>H28&gt;0</formula>
    </cfRule>
    <cfRule type="expression" dxfId="3040" priority="2">
      <formula>H28&lt;0</formula>
    </cfRule>
  </conditionalFormatting>
  <hyperlinks>
    <hyperlink ref="A3" location="ACTIVE!A1" display="Back"/>
  </hyperlinks>
  <pageMargins left="0.7" right="0.7" top="0.75" bottom="0.75" header="0.3" footer="0.3"/>
  <pageSetup orientation="portrait"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9"/>
  <dimension ref="A1:U116"/>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19" max="19" width="19.28515625" customWidth="1"/>
    <col min="20" max="20" width="13.7109375" customWidth="1"/>
    <col min="21" max="21" width="8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892</v>
      </c>
      <c r="B2" s="360">
        <v>43181</v>
      </c>
      <c r="C2" s="7">
        <v>50</v>
      </c>
      <c r="D2" s="43">
        <v>52.8</v>
      </c>
      <c r="E2" s="43">
        <v>0</v>
      </c>
      <c r="F2" s="43">
        <f t="shared" ref="F2:F7" si="0">C2*D2+E2</f>
        <v>2640</v>
      </c>
      <c r="G2" s="360">
        <v>43300</v>
      </c>
      <c r="H2" s="7">
        <v>50</v>
      </c>
      <c r="I2" s="43">
        <v>45.6</v>
      </c>
      <c r="J2" s="43">
        <v>0.03</v>
      </c>
      <c r="K2" s="43">
        <f>H2*I2-J2</f>
        <v>2279.9699999999998</v>
      </c>
      <c r="L2" s="69">
        <v>43203</v>
      </c>
      <c r="M2" s="43">
        <v>8.75</v>
      </c>
      <c r="O2" s="11" t="s">
        <v>57</v>
      </c>
      <c r="Q2">
        <f>C18-H18</f>
        <v>0</v>
      </c>
      <c r="T2" s="1" t="s">
        <v>1066</v>
      </c>
      <c r="U2" t="s">
        <v>1196</v>
      </c>
    </row>
    <row r="3" spans="1:21" x14ac:dyDescent="0.25">
      <c r="A3" s="22" t="s">
        <v>71</v>
      </c>
      <c r="B3" s="360">
        <v>43181</v>
      </c>
      <c r="C3" s="7">
        <v>50</v>
      </c>
      <c r="D3" s="43">
        <v>52.8</v>
      </c>
      <c r="E3" s="43">
        <v>0</v>
      </c>
      <c r="F3" s="43">
        <f t="shared" si="0"/>
        <v>2640</v>
      </c>
      <c r="G3" s="360">
        <v>43318</v>
      </c>
      <c r="H3" s="77">
        <v>50</v>
      </c>
      <c r="I3" s="43">
        <v>48.88</v>
      </c>
      <c r="J3" s="43">
        <v>0.03</v>
      </c>
      <c r="K3" s="43">
        <f>H3*I3-J3</f>
        <v>2443.9699999999998</v>
      </c>
      <c r="L3" s="69">
        <v>43294</v>
      </c>
      <c r="M3" s="43">
        <v>17.5</v>
      </c>
      <c r="O3" s="11" t="s">
        <v>58</v>
      </c>
      <c r="Q3" s="174">
        <f>IF(Q2=0, Q4, (F18-K18-M18)/Q2)</f>
        <v>52.28</v>
      </c>
      <c r="T3" s="1"/>
      <c r="U3" t="s">
        <v>1225</v>
      </c>
    </row>
    <row r="4" spans="1:21" x14ac:dyDescent="0.25">
      <c r="B4" s="360">
        <v>43228</v>
      </c>
      <c r="C4" s="7">
        <v>100</v>
      </c>
      <c r="D4" s="43">
        <v>46.08</v>
      </c>
      <c r="E4" s="43">
        <v>0</v>
      </c>
      <c r="F4" s="43">
        <f t="shared" si="0"/>
        <v>4608</v>
      </c>
      <c r="G4" s="360">
        <v>43469</v>
      </c>
      <c r="H4" s="77">
        <v>150</v>
      </c>
      <c r="I4" s="43">
        <v>39.28</v>
      </c>
      <c r="J4" s="43">
        <v>0.08</v>
      </c>
      <c r="K4" s="43">
        <f>H4*I4-J4</f>
        <v>5891.92</v>
      </c>
      <c r="L4" s="69">
        <v>43385</v>
      </c>
      <c r="M4" s="7">
        <v>30.63</v>
      </c>
      <c r="O4" s="11" t="s">
        <v>66</v>
      </c>
      <c r="Q4" s="53">
        <v>52.28</v>
      </c>
      <c r="R4" s="416">
        <v>0</v>
      </c>
    </row>
    <row r="5" spans="1:21" x14ac:dyDescent="0.25">
      <c r="B5" s="360">
        <v>43299</v>
      </c>
      <c r="C5" s="7">
        <v>50</v>
      </c>
      <c r="D5" s="43">
        <v>43.98</v>
      </c>
      <c r="E5" s="43">
        <v>0</v>
      </c>
      <c r="F5" s="43">
        <f t="shared" si="0"/>
        <v>2199</v>
      </c>
      <c r="G5" s="360">
        <v>43488</v>
      </c>
      <c r="H5" s="77">
        <v>50</v>
      </c>
      <c r="I5" s="43">
        <v>41.2</v>
      </c>
      <c r="J5" s="43">
        <v>0.03</v>
      </c>
      <c r="K5" s="43">
        <f>H5*I5-J5</f>
        <v>2059.9699999999998</v>
      </c>
      <c r="L5" s="69">
        <v>43476</v>
      </c>
      <c r="M5" s="7">
        <v>30.63</v>
      </c>
      <c r="O5" s="11" t="s">
        <v>67</v>
      </c>
      <c r="Q5" s="3">
        <f>Q4*Q2</f>
        <v>0</v>
      </c>
      <c r="T5" s="1">
        <v>43160</v>
      </c>
      <c r="U5" t="s">
        <v>922</v>
      </c>
    </row>
    <row r="6" spans="1:21" x14ac:dyDescent="0.25">
      <c r="B6" s="360">
        <v>43319</v>
      </c>
      <c r="C6" s="7">
        <v>50</v>
      </c>
      <c r="D6" s="43">
        <v>39.4</v>
      </c>
      <c r="E6" s="43">
        <v>0</v>
      </c>
      <c r="F6" s="43">
        <f t="shared" si="0"/>
        <v>1970</v>
      </c>
      <c r="G6" s="360">
        <v>43525</v>
      </c>
      <c r="H6" s="77">
        <v>150</v>
      </c>
      <c r="I6" s="43">
        <v>47</v>
      </c>
      <c r="J6" s="43">
        <v>0.09</v>
      </c>
      <c r="K6" s="43">
        <f>H6*I6-J6</f>
        <v>7049.91</v>
      </c>
      <c r="L6" s="4"/>
      <c r="M6" s="4"/>
      <c r="O6" s="11" t="s">
        <v>64</v>
      </c>
      <c r="Q6" s="2">
        <f>Q3*Q2</f>
        <v>0</v>
      </c>
    </row>
    <row r="7" spans="1:21" x14ac:dyDescent="0.25">
      <c r="B7" s="360">
        <v>43327</v>
      </c>
      <c r="C7" s="7">
        <v>150</v>
      </c>
      <c r="D7" s="43">
        <v>37.799999999999997</v>
      </c>
      <c r="E7" s="43">
        <v>0</v>
      </c>
      <c r="F7" s="43">
        <f t="shared" si="0"/>
        <v>5670</v>
      </c>
      <c r="G7" s="4"/>
      <c r="H7" s="158"/>
      <c r="I7" s="3"/>
      <c r="J7" s="3"/>
      <c r="K7" s="3"/>
      <c r="L7" s="4"/>
      <c r="M7" s="4"/>
      <c r="O7" s="11" t="s">
        <v>175</v>
      </c>
      <c r="Q7" s="2">
        <f>Q10+Q8</f>
        <v>86.249999999996362</v>
      </c>
      <c r="R7">
        <v>0</v>
      </c>
      <c r="T7" s="1">
        <v>43227</v>
      </c>
      <c r="U7" t="s">
        <v>990</v>
      </c>
    </row>
    <row r="8" spans="1:21" x14ac:dyDescent="0.25">
      <c r="B8" s="69"/>
      <c r="C8" s="4"/>
      <c r="D8" s="3"/>
      <c r="E8" s="3"/>
      <c r="F8" s="3"/>
      <c r="G8" s="4"/>
      <c r="H8" s="158"/>
      <c r="I8" s="3"/>
      <c r="J8" s="3"/>
      <c r="K8" s="3"/>
      <c r="L8" s="4"/>
      <c r="M8" s="4"/>
      <c r="O8" s="11" t="s">
        <v>177</v>
      </c>
      <c r="P8" s="33"/>
      <c r="Q8" s="2">
        <f>K18+M18-F18+Q2*Q4</f>
        <v>86.249999999996362</v>
      </c>
      <c r="U8" t="s">
        <v>996</v>
      </c>
    </row>
    <row r="9" spans="1:21" x14ac:dyDescent="0.25">
      <c r="B9" s="4"/>
      <c r="C9" s="4"/>
      <c r="D9" s="3"/>
      <c r="E9" s="3"/>
      <c r="F9" s="3"/>
      <c r="G9" s="4"/>
      <c r="H9" s="158"/>
      <c r="I9" s="3"/>
      <c r="J9" s="3"/>
      <c r="K9" s="3"/>
      <c r="L9" s="4"/>
      <c r="M9" s="4"/>
      <c r="O9" s="11" t="s">
        <v>202</v>
      </c>
      <c r="Q9" s="131">
        <f>IF(Q2=0, 0, Q8/Q6)</f>
        <v>0</v>
      </c>
    </row>
    <row r="10" spans="1:21" x14ac:dyDescent="0.25">
      <c r="B10" s="4"/>
      <c r="C10" s="4"/>
      <c r="D10" s="3"/>
      <c r="E10" s="3"/>
      <c r="F10" s="3"/>
      <c r="G10" s="4"/>
      <c r="H10" s="158"/>
      <c r="I10" s="3"/>
      <c r="J10" s="3"/>
      <c r="K10" s="3"/>
      <c r="L10" s="4"/>
      <c r="M10" s="4"/>
      <c r="O10" s="11" t="s">
        <v>201</v>
      </c>
      <c r="P10" s="33"/>
      <c r="Q10" s="2">
        <f>M72</f>
        <v>0</v>
      </c>
      <c r="T10" s="680">
        <v>43285</v>
      </c>
      <c r="U10" t="s">
        <v>1088</v>
      </c>
    </row>
    <row r="11" spans="1:21" x14ac:dyDescent="0.25">
      <c r="B11" s="4"/>
      <c r="C11" s="4"/>
      <c r="D11" s="3"/>
      <c r="E11" s="3"/>
      <c r="F11" s="3"/>
      <c r="G11" s="4"/>
      <c r="H11" s="158"/>
      <c r="I11" s="3"/>
      <c r="J11" s="3"/>
      <c r="K11" s="3"/>
      <c r="L11" s="4"/>
      <c r="M11" s="4"/>
      <c r="O11" s="11" t="s">
        <v>173</v>
      </c>
      <c r="P11" s="33"/>
      <c r="Q11" s="131">
        <f>R11*4/Q4</f>
        <v>6.6947207345065029E-3</v>
      </c>
      <c r="R11">
        <v>8.7499999999999994E-2</v>
      </c>
    </row>
    <row r="12" spans="1:21" x14ac:dyDescent="0.25">
      <c r="H12" s="67"/>
      <c r="O12" s="11" t="s">
        <v>82</v>
      </c>
      <c r="Q12" s="1" t="s">
        <v>1311</v>
      </c>
    </row>
    <row r="13" spans="1:21" x14ac:dyDescent="0.25">
      <c r="H13" s="67"/>
      <c r="O13" s="11" t="s">
        <v>901</v>
      </c>
      <c r="Q13" s="2">
        <f>Q4/2.075</f>
        <v>25.195180722891564</v>
      </c>
      <c r="T13" s="1">
        <v>43319</v>
      </c>
      <c r="U13" t="s">
        <v>1164</v>
      </c>
    </row>
    <row r="14" spans="1:21" x14ac:dyDescent="0.25">
      <c r="H14" s="67"/>
      <c r="O14" s="11" t="s">
        <v>988</v>
      </c>
      <c r="Q14" s="1">
        <v>43425</v>
      </c>
      <c r="U14" t="s">
        <v>1165</v>
      </c>
    </row>
    <row r="15" spans="1:21" x14ac:dyDescent="0.25">
      <c r="H15" s="67"/>
      <c r="U15" t="s">
        <v>1166</v>
      </c>
    </row>
    <row r="16" spans="1:21" x14ac:dyDescent="0.25">
      <c r="H16" s="67"/>
    </row>
    <row r="17" spans="1:21" x14ac:dyDescent="0.25">
      <c r="T17" s="1">
        <v>43348</v>
      </c>
      <c r="U17" t="s">
        <v>1213</v>
      </c>
    </row>
    <row r="18" spans="1:21" x14ac:dyDescent="0.25">
      <c r="A18" s="31" t="s">
        <v>81</v>
      </c>
      <c r="B18" s="14"/>
      <c r="C18" s="14">
        <f>SUM(C2:C8)</f>
        <v>450</v>
      </c>
      <c r="D18" s="18"/>
      <c r="E18" s="18"/>
      <c r="F18" s="18">
        <f>SUM(F2:F8)</f>
        <v>19727</v>
      </c>
      <c r="G18" s="14"/>
      <c r="H18" s="68">
        <f>SUM(H2:H6)</f>
        <v>450</v>
      </c>
      <c r="I18" s="18"/>
      <c r="J18" s="18"/>
      <c r="K18" s="18">
        <f>SUM(K2:K6)</f>
        <v>19725.739999999998</v>
      </c>
      <c r="L18" s="14"/>
      <c r="M18" s="18">
        <f>SUM(M2:M10)</f>
        <v>87.509999999999991</v>
      </c>
    </row>
    <row r="19" spans="1:21" ht="15.75" thickBot="1" x14ac:dyDescent="0.3">
      <c r="A19" s="273" t="s">
        <v>189</v>
      </c>
      <c r="B19" s="274"/>
      <c r="C19" s="275">
        <f>SumByColor($A$19,C2:C17)</f>
        <v>450</v>
      </c>
      <c r="D19" s="275"/>
      <c r="E19" s="275"/>
      <c r="F19" s="276">
        <f>SumByColor($A$19,F2:F17)</f>
        <v>19727</v>
      </c>
      <c r="G19" s="275"/>
      <c r="H19" s="275">
        <f>SumByColor($A$19,H2:H17)</f>
        <v>450</v>
      </c>
      <c r="I19" s="275"/>
      <c r="J19" s="275"/>
      <c r="K19" s="276">
        <f>SumByColor($A$19,K2:K17)</f>
        <v>19726</v>
      </c>
      <c r="L19" s="275"/>
      <c r="M19" s="276">
        <f>SumByColor($A$19,M2:M17)</f>
        <v>88</v>
      </c>
    </row>
    <row r="22" spans="1:21" ht="20.25" thickBot="1" x14ac:dyDescent="0.35">
      <c r="O22" s="706" t="s">
        <v>78</v>
      </c>
      <c r="P22" s="706"/>
    </row>
    <row r="23" spans="1:21" ht="15.75" thickTop="1" x14ac:dyDescent="0.25">
      <c r="O23" s="78">
        <v>1.1000000000000001</v>
      </c>
      <c r="P23" s="78">
        <f>O23*$Q$4</f>
        <v>57.508000000000003</v>
      </c>
      <c r="Q23" s="2"/>
    </row>
    <row r="24" spans="1:21" x14ac:dyDescent="0.25">
      <c r="B24" s="159" t="s">
        <v>113</v>
      </c>
      <c r="C24" s="159" t="s">
        <v>143</v>
      </c>
      <c r="D24" s="160" t="s">
        <v>142</v>
      </c>
      <c r="E24" s="162" t="s">
        <v>144</v>
      </c>
      <c r="F24" s="162" t="s">
        <v>65</v>
      </c>
      <c r="G24" s="173" t="s">
        <v>148</v>
      </c>
      <c r="H24" s="173" t="s">
        <v>88</v>
      </c>
      <c r="I24" s="173" t="s">
        <v>151</v>
      </c>
      <c r="J24" s="173" t="s">
        <v>147</v>
      </c>
      <c r="K24" s="173" t="s">
        <v>901</v>
      </c>
      <c r="L24" s="173"/>
      <c r="O24" s="78">
        <v>1.0900000000000001</v>
      </c>
      <c r="P24" s="78">
        <f t="shared" ref="P24:P43" si="1">O24*$Q$4</f>
        <v>56.985200000000006</v>
      </c>
      <c r="Q24" s="2"/>
    </row>
    <row r="25" spans="1:21" x14ac:dyDescent="0.25">
      <c r="B25" s="161">
        <v>43181</v>
      </c>
      <c r="C25" s="10">
        <v>100</v>
      </c>
      <c r="D25" s="39">
        <v>52.8</v>
      </c>
      <c r="E25" s="39">
        <v>52.66</v>
      </c>
      <c r="F25" s="39">
        <f>C25*(E25-D25)</f>
        <v>-14.000000000000057</v>
      </c>
      <c r="G25" s="39">
        <f>D25*C25</f>
        <v>5280</v>
      </c>
      <c r="H25" s="175">
        <f>(E25-D25)/D25</f>
        <v>-2.6515151515151625E-3</v>
      </c>
      <c r="I25" s="39"/>
      <c r="J25" s="39"/>
      <c r="K25" s="39"/>
      <c r="L25" s="39"/>
      <c r="O25" s="78">
        <v>1.08</v>
      </c>
      <c r="P25" s="78">
        <f t="shared" si="1"/>
        <v>56.462400000000002</v>
      </c>
      <c r="Q25" s="2"/>
    </row>
    <row r="26" spans="1:21" x14ac:dyDescent="0.25">
      <c r="B26" s="161">
        <v>43185</v>
      </c>
      <c r="C26" s="10">
        <v>100</v>
      </c>
      <c r="D26" s="39">
        <v>52.8</v>
      </c>
      <c r="E26" s="39">
        <v>51.1</v>
      </c>
      <c r="F26" s="39">
        <f>C26*(E26-D26)</f>
        <v>-169.99999999999957</v>
      </c>
      <c r="G26" s="39">
        <f>D26*C26</f>
        <v>5280</v>
      </c>
      <c r="H26" s="175">
        <f>(E26-D26)/D26</f>
        <v>-3.219696969696962E-2</v>
      </c>
      <c r="I26" s="39"/>
      <c r="J26" s="39"/>
      <c r="K26" s="39"/>
      <c r="L26" s="39"/>
      <c r="O26" s="78">
        <v>1.07</v>
      </c>
      <c r="P26" s="78">
        <f t="shared" si="1"/>
        <v>55.939600000000006</v>
      </c>
      <c r="Q26" s="2"/>
    </row>
    <row r="27" spans="1:21" x14ac:dyDescent="0.25">
      <c r="B27" s="161">
        <v>43186</v>
      </c>
      <c r="C27" s="10">
        <v>100</v>
      </c>
      <c r="D27" s="39">
        <v>52.8</v>
      </c>
      <c r="E27" s="39">
        <v>50.03</v>
      </c>
      <c r="F27" s="39">
        <f>C27*(E27-D27)</f>
        <v>-276.9999999999996</v>
      </c>
      <c r="G27" s="39">
        <f>D27*C27</f>
        <v>5280</v>
      </c>
      <c r="H27" s="175">
        <f>(E27-D27)/D27</f>
        <v>-5.2462121212121141E-2</v>
      </c>
      <c r="I27" s="39"/>
      <c r="J27" s="39"/>
      <c r="K27" s="39"/>
      <c r="L27" s="152"/>
      <c r="O27" s="78">
        <v>1.06</v>
      </c>
      <c r="P27" s="78">
        <f t="shared" si="1"/>
        <v>55.416800000000002</v>
      </c>
      <c r="Q27" s="2"/>
    </row>
    <row r="28" spans="1:21" x14ac:dyDescent="0.25">
      <c r="B28" s="161">
        <v>43198</v>
      </c>
      <c r="C28" s="10">
        <v>100</v>
      </c>
      <c r="D28" s="39">
        <v>52.8</v>
      </c>
      <c r="E28" s="39">
        <v>49.02</v>
      </c>
      <c r="F28" s="39">
        <f>C28*(E28-D28)</f>
        <v>-377.99999999999943</v>
      </c>
      <c r="G28" s="39">
        <f>D28*C28</f>
        <v>5280</v>
      </c>
      <c r="H28" s="175">
        <f>(E28-D28)/D28</f>
        <v>-7.1590909090908983E-2</v>
      </c>
      <c r="I28" s="39"/>
      <c r="J28" s="39"/>
      <c r="K28" s="39">
        <v>17.82</v>
      </c>
      <c r="L28" s="152"/>
      <c r="O28" s="78">
        <v>1.05</v>
      </c>
      <c r="P28" s="78">
        <f t="shared" si="1"/>
        <v>54.894000000000005</v>
      </c>
      <c r="Q28" s="2"/>
    </row>
    <row r="29" spans="1:21" x14ac:dyDescent="0.25">
      <c r="A29">
        <v>0</v>
      </c>
      <c r="B29" s="161">
        <v>43204</v>
      </c>
      <c r="C29" s="10">
        <v>100</v>
      </c>
      <c r="D29" s="39">
        <v>52.712499999999999</v>
      </c>
      <c r="E29" s="39">
        <v>49</v>
      </c>
      <c r="F29" s="39">
        <f>C29*(E29-D29)</f>
        <v>-371.24999999999989</v>
      </c>
      <c r="G29" s="39">
        <f>D29*C29</f>
        <v>5271.25</v>
      </c>
      <c r="H29" s="175">
        <f>(E29-D29)/D29</f>
        <v>-7.0429215081811686E-2</v>
      </c>
      <c r="I29" s="39"/>
      <c r="J29" s="39"/>
      <c r="K29" s="39">
        <v>17.82</v>
      </c>
      <c r="L29" s="152"/>
      <c r="O29" s="78">
        <v>1.04</v>
      </c>
      <c r="P29" s="78">
        <f t="shared" si="1"/>
        <v>54.371200000000002</v>
      </c>
      <c r="Q29" s="2"/>
    </row>
    <row r="30" spans="1:21" x14ac:dyDescent="0.25">
      <c r="A30">
        <v>100</v>
      </c>
      <c r="B30" s="161">
        <v>43223</v>
      </c>
      <c r="C30" s="10">
        <v>100</v>
      </c>
      <c r="D30" s="39">
        <v>52.712499999999999</v>
      </c>
      <c r="E30" s="39">
        <v>49.24</v>
      </c>
      <c r="F30" s="39">
        <f t="shared" ref="F30:F40" si="2">C30*(E30-D30)</f>
        <v>-347.24999999999966</v>
      </c>
      <c r="G30" s="39">
        <f t="shared" ref="G30:G40" si="3">D30*C30</f>
        <v>5271.25</v>
      </c>
      <c r="H30" s="175">
        <f t="shared" ref="H30:H40" si="4">(E30-D30)/D30</f>
        <v>-6.5876215318947051E-2</v>
      </c>
      <c r="I30" s="39"/>
      <c r="J30" s="39"/>
      <c r="K30" s="39">
        <v>17.91</v>
      </c>
      <c r="L30" s="152"/>
      <c r="O30" s="78">
        <v>1.03</v>
      </c>
      <c r="P30" s="78">
        <f t="shared" si="1"/>
        <v>53.848400000000005</v>
      </c>
      <c r="Q30" s="2"/>
    </row>
    <row r="31" spans="1:21" x14ac:dyDescent="0.25">
      <c r="B31" s="161">
        <v>43227</v>
      </c>
      <c r="C31" s="10">
        <v>100</v>
      </c>
      <c r="D31" s="39">
        <v>52.712499999999999</v>
      </c>
      <c r="E31" s="39">
        <v>46.92</v>
      </c>
      <c r="F31" s="39">
        <f t="shared" si="2"/>
        <v>-579.24999999999966</v>
      </c>
      <c r="G31" s="39">
        <f t="shared" si="3"/>
        <v>5271.25</v>
      </c>
      <c r="H31" s="175">
        <f t="shared" si="4"/>
        <v>-0.10988854635997149</v>
      </c>
      <c r="I31" s="39"/>
      <c r="J31" s="39"/>
      <c r="K31" s="39">
        <v>18.046199999999999</v>
      </c>
      <c r="L31" s="152"/>
      <c r="O31" s="78">
        <v>1.02</v>
      </c>
      <c r="P31" s="78">
        <f t="shared" si="1"/>
        <v>53.325600000000001</v>
      </c>
      <c r="Q31" s="2"/>
    </row>
    <row r="32" spans="1:21" x14ac:dyDescent="0.25">
      <c r="A32">
        <v>100</v>
      </c>
      <c r="B32" s="161">
        <v>43228</v>
      </c>
      <c r="C32" s="7">
        <v>200</v>
      </c>
      <c r="D32" s="43">
        <v>49.396299999999997</v>
      </c>
      <c r="E32" s="39">
        <v>44.47</v>
      </c>
      <c r="F32" s="39">
        <f t="shared" si="2"/>
        <v>-985.25999999999954</v>
      </c>
      <c r="G32" s="39">
        <f t="shared" si="3"/>
        <v>9879.2599999999984</v>
      </c>
      <c r="H32" s="175">
        <f t="shared" si="4"/>
        <v>-9.9730141731263239E-2</v>
      </c>
      <c r="I32" s="39"/>
      <c r="J32" s="39"/>
      <c r="K32" s="39">
        <v>17.100000000000001</v>
      </c>
      <c r="L32" s="152"/>
      <c r="O32" s="78">
        <v>1.01</v>
      </c>
      <c r="P32" s="78">
        <f t="shared" si="1"/>
        <v>52.802800000000005</v>
      </c>
      <c r="Q32" s="2"/>
    </row>
    <row r="33" spans="1:17" x14ac:dyDescent="0.25">
      <c r="A33">
        <v>100</v>
      </c>
      <c r="B33" s="161">
        <v>43234</v>
      </c>
      <c r="C33" s="10">
        <v>200</v>
      </c>
      <c r="D33" s="39">
        <v>49.4</v>
      </c>
      <c r="E33" s="39">
        <v>47.51</v>
      </c>
      <c r="F33" s="39">
        <f t="shared" si="2"/>
        <v>-378.00000000000011</v>
      </c>
      <c r="G33" s="39">
        <f t="shared" si="3"/>
        <v>9880</v>
      </c>
      <c r="H33" s="175">
        <f t="shared" si="4"/>
        <v>-3.8259109311740903E-2</v>
      </c>
      <c r="I33" s="39"/>
      <c r="J33" s="39"/>
      <c r="K33" s="39">
        <v>18.27</v>
      </c>
      <c r="L33" s="152"/>
      <c r="O33" s="78">
        <v>1</v>
      </c>
      <c r="P33" s="78">
        <f t="shared" si="1"/>
        <v>52.28</v>
      </c>
      <c r="Q33" s="2"/>
    </row>
    <row r="34" spans="1:17" x14ac:dyDescent="0.25">
      <c r="B34" s="161">
        <v>43272</v>
      </c>
      <c r="C34" s="10">
        <v>200</v>
      </c>
      <c r="D34" s="39">
        <v>49.396299999999997</v>
      </c>
      <c r="E34" s="39">
        <v>44.57</v>
      </c>
      <c r="F34" s="39">
        <f t="shared" si="2"/>
        <v>-965.25999999999931</v>
      </c>
      <c r="G34" s="39">
        <f t="shared" si="3"/>
        <v>9879.2599999999984</v>
      </c>
      <c r="H34" s="175">
        <f t="shared" si="4"/>
        <v>-9.7705698604956176E-2</v>
      </c>
      <c r="I34" s="39"/>
      <c r="J34" s="39"/>
      <c r="K34" s="39"/>
      <c r="L34" s="152"/>
      <c r="O34" s="78">
        <v>0.99</v>
      </c>
      <c r="P34" s="78">
        <f t="shared" si="1"/>
        <v>51.757199999999997</v>
      </c>
      <c r="Q34" s="2"/>
    </row>
    <row r="35" spans="1:17" x14ac:dyDescent="0.25">
      <c r="A35">
        <v>200</v>
      </c>
      <c r="B35" s="161">
        <v>43278</v>
      </c>
      <c r="C35" s="10">
        <v>200</v>
      </c>
      <c r="D35" s="39">
        <v>49.396299999999997</v>
      </c>
      <c r="E35" s="39">
        <v>43.96</v>
      </c>
      <c r="F35" s="39">
        <f t="shared" si="2"/>
        <v>-1087.2599999999991</v>
      </c>
      <c r="G35" s="39">
        <f t="shared" si="3"/>
        <v>9879.2599999999984</v>
      </c>
      <c r="H35" s="175">
        <f t="shared" si="4"/>
        <v>-0.11005480167542905</v>
      </c>
      <c r="I35" s="39"/>
      <c r="J35" s="39"/>
      <c r="K35" s="39">
        <v>16.91</v>
      </c>
      <c r="L35" s="152"/>
      <c r="O35" s="78">
        <v>0.98</v>
      </c>
      <c r="P35" s="78">
        <f t="shared" si="1"/>
        <v>51.234400000000001</v>
      </c>
      <c r="Q35" s="2"/>
    </row>
    <row r="36" spans="1:17" x14ac:dyDescent="0.25">
      <c r="A36">
        <v>200</v>
      </c>
      <c r="B36" s="161">
        <v>43288</v>
      </c>
      <c r="C36" s="10">
        <v>200</v>
      </c>
      <c r="D36" s="39">
        <v>49.396299999999997</v>
      </c>
      <c r="E36" s="39">
        <v>45.38</v>
      </c>
      <c r="F36" s="39">
        <f t="shared" si="2"/>
        <v>-803.25999999999885</v>
      </c>
      <c r="G36" s="39">
        <f t="shared" si="3"/>
        <v>9879.2599999999984</v>
      </c>
      <c r="H36" s="175">
        <f t="shared" si="4"/>
        <v>-8.1307709281869173E-2</v>
      </c>
      <c r="I36" s="39"/>
      <c r="J36" s="39"/>
      <c r="K36" s="39">
        <v>17.45</v>
      </c>
      <c r="L36" s="39"/>
      <c r="O36" s="78">
        <v>0.97</v>
      </c>
      <c r="P36" s="78">
        <f t="shared" si="1"/>
        <v>50.711599999999997</v>
      </c>
    </row>
    <row r="37" spans="1:17" x14ac:dyDescent="0.25">
      <c r="A37" s="33" t="s">
        <v>1122</v>
      </c>
      <c r="B37" s="161">
        <v>43294</v>
      </c>
      <c r="C37" s="7">
        <v>200</v>
      </c>
      <c r="D37" s="43">
        <v>49.308799999999998</v>
      </c>
      <c r="E37" s="39">
        <v>45.41</v>
      </c>
      <c r="F37" s="39">
        <f t="shared" si="2"/>
        <v>-779.76000000000022</v>
      </c>
      <c r="G37" s="39">
        <f t="shared" si="3"/>
        <v>9861.76</v>
      </c>
      <c r="H37" s="175">
        <f t="shared" si="4"/>
        <v>-7.9069050554870568E-2</v>
      </c>
      <c r="I37" s="39"/>
      <c r="J37" s="39"/>
      <c r="K37" s="39">
        <v>17.465399999999999</v>
      </c>
      <c r="L37" s="39"/>
      <c r="O37" s="78">
        <v>0.96</v>
      </c>
      <c r="P37" s="78">
        <f t="shared" si="1"/>
        <v>50.188800000000001</v>
      </c>
    </row>
    <row r="38" spans="1:17" x14ac:dyDescent="0.25">
      <c r="A38">
        <v>200</v>
      </c>
      <c r="B38" s="161">
        <v>43299</v>
      </c>
      <c r="C38" s="10">
        <v>250</v>
      </c>
      <c r="D38" s="39">
        <v>48.243000000000002</v>
      </c>
      <c r="E38" s="39">
        <v>44.24</v>
      </c>
      <c r="F38" s="39">
        <f t="shared" si="2"/>
        <v>-1000.75</v>
      </c>
      <c r="G38" s="39">
        <f t="shared" si="3"/>
        <v>12060.75</v>
      </c>
      <c r="H38" s="175">
        <f t="shared" si="4"/>
        <v>-8.2975768505275382E-2</v>
      </c>
      <c r="I38" s="39"/>
      <c r="J38" s="39"/>
      <c r="K38" s="39"/>
      <c r="L38" s="39"/>
      <c r="O38" s="78">
        <v>0.95</v>
      </c>
      <c r="P38" s="78">
        <f t="shared" si="1"/>
        <v>49.665999999999997</v>
      </c>
    </row>
    <row r="39" spans="1:17" x14ac:dyDescent="0.25">
      <c r="A39">
        <v>150</v>
      </c>
      <c r="B39" s="161">
        <v>43300</v>
      </c>
      <c r="C39" s="7">
        <v>200</v>
      </c>
      <c r="D39" s="43">
        <v>48.9039</v>
      </c>
      <c r="E39" s="39">
        <v>45.6</v>
      </c>
      <c r="F39" s="39">
        <f t="shared" si="2"/>
        <v>-660.77999999999975</v>
      </c>
      <c r="G39" s="39">
        <f t="shared" si="3"/>
        <v>9780.7800000000007</v>
      </c>
      <c r="H39" s="175">
        <f t="shared" si="4"/>
        <v>-6.755902903449415E-2</v>
      </c>
      <c r="I39" s="39"/>
      <c r="J39" s="39"/>
      <c r="K39" s="39">
        <v>17.54</v>
      </c>
      <c r="L39" s="39"/>
      <c r="O39" s="78">
        <v>0.94</v>
      </c>
      <c r="P39" s="78">
        <f t="shared" si="1"/>
        <v>49.1432</v>
      </c>
    </row>
    <row r="40" spans="1:17" x14ac:dyDescent="0.25">
      <c r="B40" s="161">
        <v>43308</v>
      </c>
      <c r="C40" s="10">
        <v>200</v>
      </c>
      <c r="D40" s="39">
        <v>48.9</v>
      </c>
      <c r="E40" s="39">
        <v>46.99</v>
      </c>
      <c r="F40" s="39">
        <f t="shared" si="2"/>
        <v>-381.99999999999932</v>
      </c>
      <c r="G40" s="39">
        <f t="shared" si="3"/>
        <v>9780</v>
      </c>
      <c r="H40" s="175">
        <f t="shared" si="4"/>
        <v>-3.9059304703476412E-2</v>
      </c>
      <c r="I40" s="39"/>
      <c r="J40" s="39"/>
      <c r="K40" s="39">
        <v>18.07</v>
      </c>
      <c r="L40" s="39"/>
      <c r="O40" s="78">
        <v>0.93</v>
      </c>
      <c r="P40" s="78">
        <f t="shared" si="1"/>
        <v>48.620400000000004</v>
      </c>
    </row>
    <row r="41" spans="1:17" x14ac:dyDescent="0.25">
      <c r="B41" s="161">
        <v>43312</v>
      </c>
      <c r="C41" s="10">
        <v>200</v>
      </c>
      <c r="D41" s="39">
        <v>48.9</v>
      </c>
      <c r="E41" s="39">
        <v>48.11</v>
      </c>
      <c r="F41" s="39">
        <f t="shared" ref="F41:F47" si="5">C41*(E41-D41)</f>
        <v>-157.99999999999983</v>
      </c>
      <c r="G41" s="39">
        <f t="shared" ref="G41:G47" si="6">D41*C41</f>
        <v>9780</v>
      </c>
      <c r="H41" s="175">
        <f t="shared" ref="H41:H47" si="7">(E41-D41)/D41</f>
        <v>-1.615541922290387E-2</v>
      </c>
      <c r="I41" s="39"/>
      <c r="J41" s="39"/>
      <c r="K41" s="39"/>
      <c r="L41" s="39"/>
      <c r="O41" s="78">
        <v>0.92</v>
      </c>
      <c r="P41" s="78">
        <f t="shared" si="1"/>
        <v>48.0976</v>
      </c>
    </row>
    <row r="42" spans="1:17" x14ac:dyDescent="0.25">
      <c r="A42">
        <v>150</v>
      </c>
      <c r="B42" s="161">
        <v>43316</v>
      </c>
      <c r="C42" s="10">
        <v>200</v>
      </c>
      <c r="D42" s="39">
        <v>48.9</v>
      </c>
      <c r="E42" s="39">
        <v>47.73</v>
      </c>
      <c r="F42" s="39">
        <f t="shared" si="5"/>
        <v>-234.00000000000034</v>
      </c>
      <c r="G42" s="39">
        <f t="shared" si="6"/>
        <v>9780</v>
      </c>
      <c r="H42" s="175">
        <f t="shared" si="7"/>
        <v>-2.3926380368098195E-2</v>
      </c>
      <c r="I42" s="39"/>
      <c r="J42" s="39"/>
      <c r="K42" s="39">
        <v>18.36</v>
      </c>
      <c r="L42" s="39"/>
      <c r="O42" s="78">
        <v>0.91</v>
      </c>
      <c r="P42" s="78">
        <f t="shared" si="1"/>
        <v>47.574800000000003</v>
      </c>
    </row>
    <row r="43" spans="1:17" x14ac:dyDescent="0.25">
      <c r="A43">
        <v>100</v>
      </c>
      <c r="B43" s="161">
        <v>43318</v>
      </c>
      <c r="C43" s="10">
        <v>150</v>
      </c>
      <c r="D43" s="39">
        <v>48.912100000000002</v>
      </c>
      <c r="E43" s="39">
        <v>48.88</v>
      </c>
      <c r="F43" s="39">
        <f t="shared" si="5"/>
        <v>-4.8149999999999693</v>
      </c>
      <c r="G43" s="39">
        <f t="shared" si="6"/>
        <v>7336.8150000000005</v>
      </c>
      <c r="H43" s="175">
        <f t="shared" si="7"/>
        <v>-6.5627932556565338E-4</v>
      </c>
      <c r="I43" s="39"/>
      <c r="J43" s="39"/>
      <c r="K43" s="39">
        <v>18.77</v>
      </c>
      <c r="L43" s="39"/>
      <c r="O43" s="78">
        <v>0.9</v>
      </c>
      <c r="P43" s="78">
        <f t="shared" si="1"/>
        <v>47.052</v>
      </c>
    </row>
    <row r="44" spans="1:17" x14ac:dyDescent="0.25">
      <c r="A44">
        <v>100</v>
      </c>
      <c r="B44" s="161">
        <v>43319</v>
      </c>
      <c r="C44" s="10">
        <v>150</v>
      </c>
      <c r="D44" s="39">
        <v>48.912100000000002</v>
      </c>
      <c r="E44" s="39">
        <v>39.450000000000003</v>
      </c>
      <c r="F44" s="39">
        <f t="shared" si="5"/>
        <v>-1419.3149999999998</v>
      </c>
      <c r="G44" s="39">
        <f t="shared" si="6"/>
        <v>7336.8150000000005</v>
      </c>
      <c r="H44" s="175">
        <f t="shared" si="7"/>
        <v>-0.19345110923472922</v>
      </c>
      <c r="I44" s="39"/>
      <c r="J44" s="39"/>
      <c r="K44" s="39">
        <v>19.010000000000002</v>
      </c>
      <c r="L44" s="39"/>
    </row>
    <row r="45" spans="1:17" x14ac:dyDescent="0.25">
      <c r="A45">
        <v>100</v>
      </c>
      <c r="B45" s="161">
        <v>43319</v>
      </c>
      <c r="C45" s="7">
        <v>200</v>
      </c>
      <c r="D45" s="43">
        <v>46.534100000000002</v>
      </c>
      <c r="E45" s="39">
        <v>39.4</v>
      </c>
      <c r="F45" s="39">
        <f t="shared" si="5"/>
        <v>-1426.8200000000006</v>
      </c>
      <c r="G45" s="39">
        <f t="shared" si="6"/>
        <v>9306.82</v>
      </c>
      <c r="H45" s="175">
        <f t="shared" si="7"/>
        <v>-0.15330907871861718</v>
      </c>
      <c r="I45" s="39"/>
      <c r="J45" s="39"/>
      <c r="K45" s="39">
        <v>18.989999999999998</v>
      </c>
      <c r="L45" s="39"/>
    </row>
    <row r="46" spans="1:17" x14ac:dyDescent="0.25">
      <c r="A46">
        <v>100</v>
      </c>
      <c r="B46" s="161">
        <v>43325</v>
      </c>
      <c r="C46" s="10">
        <v>200</v>
      </c>
      <c r="D46" s="39">
        <v>46.53</v>
      </c>
      <c r="E46" s="39">
        <v>39.57</v>
      </c>
      <c r="F46" s="39">
        <f t="shared" si="5"/>
        <v>-1392.0000000000002</v>
      </c>
      <c r="G46" s="39">
        <f t="shared" si="6"/>
        <v>9306</v>
      </c>
      <c r="H46" s="175">
        <f t="shared" si="7"/>
        <v>-0.14958091553836236</v>
      </c>
      <c r="I46" s="39"/>
      <c r="J46" s="39"/>
      <c r="K46" s="39">
        <v>19.07</v>
      </c>
      <c r="L46" s="39"/>
    </row>
    <row r="47" spans="1:17" x14ac:dyDescent="0.25">
      <c r="B47" s="161">
        <v>43327</v>
      </c>
      <c r="C47" s="352">
        <v>350</v>
      </c>
      <c r="D47" s="353">
        <v>42.79</v>
      </c>
      <c r="E47" s="39">
        <v>37.97</v>
      </c>
      <c r="F47" s="39">
        <f t="shared" si="5"/>
        <v>-1687</v>
      </c>
      <c r="G47" s="39">
        <f t="shared" si="6"/>
        <v>14976.5</v>
      </c>
      <c r="H47" s="175">
        <f t="shared" si="7"/>
        <v>-0.11264314092077589</v>
      </c>
      <c r="I47" s="39"/>
      <c r="J47" s="39"/>
      <c r="K47" s="39">
        <v>18.3</v>
      </c>
      <c r="L47" s="39"/>
    </row>
    <row r="48" spans="1:17" x14ac:dyDescent="0.25">
      <c r="B48" s="161">
        <v>43329</v>
      </c>
      <c r="C48" s="10">
        <v>350</v>
      </c>
      <c r="D48" s="39">
        <v>42.79</v>
      </c>
      <c r="E48" s="39">
        <v>38.67</v>
      </c>
      <c r="F48" s="39">
        <f t="shared" ref="F48:F60" si="8">C48*(E48-D48)</f>
        <v>-1441.9999999999991</v>
      </c>
      <c r="G48" s="39">
        <f t="shared" ref="G48:G60" si="9">D48*C48</f>
        <v>14976.5</v>
      </c>
      <c r="H48" s="175">
        <f t="shared" ref="H48:H60" si="10">(E48-D48)/D48</f>
        <v>-9.6284178546389279E-2</v>
      </c>
      <c r="I48" s="39"/>
      <c r="J48" s="39"/>
      <c r="K48" s="39">
        <v>18.64</v>
      </c>
      <c r="L48" s="39"/>
    </row>
    <row r="49" spans="1:12" x14ac:dyDescent="0.25">
      <c r="A49">
        <v>150</v>
      </c>
      <c r="B49" s="161">
        <v>43332</v>
      </c>
      <c r="C49" s="10">
        <v>350</v>
      </c>
      <c r="D49" s="39">
        <v>42.79</v>
      </c>
      <c r="E49" s="39">
        <v>38.86</v>
      </c>
      <c r="F49" s="39">
        <f t="shared" si="8"/>
        <v>-1375.5</v>
      </c>
      <c r="G49" s="39">
        <f t="shared" si="9"/>
        <v>14976.5</v>
      </c>
      <c r="H49" s="175">
        <f t="shared" si="10"/>
        <v>-9.1843888759055844E-2</v>
      </c>
      <c r="I49" s="39"/>
      <c r="J49" s="39"/>
      <c r="K49" s="39">
        <v>18.73</v>
      </c>
      <c r="L49" s="39"/>
    </row>
    <row r="50" spans="1:12" x14ac:dyDescent="0.25">
      <c r="A50">
        <v>150</v>
      </c>
      <c r="B50" s="161">
        <v>43340</v>
      </c>
      <c r="C50" s="10">
        <v>350</v>
      </c>
      <c r="D50" s="39">
        <v>42.79</v>
      </c>
      <c r="E50" s="39">
        <v>39.18</v>
      </c>
      <c r="F50" s="39">
        <f t="shared" si="8"/>
        <v>-1263.4999999999998</v>
      </c>
      <c r="G50" s="39">
        <f t="shared" si="9"/>
        <v>14976.5</v>
      </c>
      <c r="H50" s="175">
        <f t="shared" si="10"/>
        <v>-8.4365505959336284E-2</v>
      </c>
      <c r="I50" s="39"/>
      <c r="J50" s="39"/>
      <c r="K50" s="39">
        <v>18.88</v>
      </c>
      <c r="L50" s="39"/>
    </row>
    <row r="51" spans="1:12" x14ac:dyDescent="0.25">
      <c r="A51">
        <v>150</v>
      </c>
      <c r="B51" s="161">
        <v>43342</v>
      </c>
      <c r="C51" s="10">
        <v>350</v>
      </c>
      <c r="D51" s="39">
        <v>42.790900000000001</v>
      </c>
      <c r="E51" s="39">
        <v>39.659999999999997</v>
      </c>
      <c r="F51" s="39">
        <f t="shared" si="8"/>
        <v>-1095.8150000000014</v>
      </c>
      <c r="G51" s="39">
        <f t="shared" si="9"/>
        <v>14976.815000000001</v>
      </c>
      <c r="H51" s="175">
        <f t="shared" si="10"/>
        <v>-7.316742578445426E-2</v>
      </c>
      <c r="I51" s="39"/>
      <c r="J51" s="39"/>
      <c r="K51" s="39">
        <v>19.11</v>
      </c>
      <c r="L51" s="39"/>
    </row>
    <row r="52" spans="1:12" x14ac:dyDescent="0.25">
      <c r="A52">
        <v>150</v>
      </c>
      <c r="B52" s="161">
        <v>43343</v>
      </c>
      <c r="C52" s="10">
        <v>350</v>
      </c>
      <c r="D52" s="39">
        <v>42.790900000000001</v>
      </c>
      <c r="E52" s="39">
        <v>38.19</v>
      </c>
      <c r="F52" s="39">
        <f t="shared" si="8"/>
        <v>-1610.315000000001</v>
      </c>
      <c r="G52" s="39">
        <f t="shared" si="9"/>
        <v>14976.815000000001</v>
      </c>
      <c r="H52" s="175">
        <f t="shared" si="10"/>
        <v>-0.10752052422360836</v>
      </c>
      <c r="I52" s="39"/>
      <c r="J52" s="39"/>
      <c r="K52" s="39"/>
      <c r="L52" s="39"/>
    </row>
    <row r="53" spans="1:12" x14ac:dyDescent="0.25">
      <c r="A53">
        <v>200</v>
      </c>
      <c r="B53" s="161">
        <v>43355</v>
      </c>
      <c r="C53" s="10">
        <v>350</v>
      </c>
      <c r="D53" s="39">
        <v>42.790900000000001</v>
      </c>
      <c r="E53" s="39">
        <v>38.75</v>
      </c>
      <c r="F53" s="39">
        <f t="shared" si="8"/>
        <v>-1414.3150000000003</v>
      </c>
      <c r="G53" s="39">
        <f t="shared" si="9"/>
        <v>14976.815000000001</v>
      </c>
      <c r="H53" s="175">
        <f t="shared" si="10"/>
        <v>-9.4433629580121026E-2</v>
      </c>
      <c r="I53" s="39"/>
      <c r="J53" s="39"/>
      <c r="K53" s="39">
        <v>18.670000000000002</v>
      </c>
      <c r="L53" s="39"/>
    </row>
    <row r="54" spans="1:12" x14ac:dyDescent="0.25">
      <c r="A54">
        <v>350</v>
      </c>
      <c r="B54" s="161">
        <v>43383</v>
      </c>
      <c r="C54" s="10">
        <v>350</v>
      </c>
      <c r="D54" s="39">
        <v>42.79</v>
      </c>
      <c r="E54" s="39">
        <v>35.9</v>
      </c>
      <c r="F54" s="39">
        <f t="shared" si="8"/>
        <v>-2411.5</v>
      </c>
      <c r="G54" s="39">
        <f t="shared" si="9"/>
        <v>14976.5</v>
      </c>
      <c r="H54" s="175">
        <f t="shared" si="10"/>
        <v>-0.16101892965646181</v>
      </c>
      <c r="I54" s="39"/>
      <c r="J54" s="39"/>
      <c r="K54" s="39"/>
      <c r="L54" s="39"/>
    </row>
    <row r="55" spans="1:12" x14ac:dyDescent="0.25">
      <c r="A55">
        <v>350</v>
      </c>
      <c r="B55" s="161">
        <v>43385</v>
      </c>
      <c r="C55" s="352">
        <v>350</v>
      </c>
      <c r="D55" s="353">
        <v>42.703400000000002</v>
      </c>
      <c r="E55" s="39">
        <v>35.869999999999997</v>
      </c>
      <c r="F55" s="39">
        <f t="shared" si="8"/>
        <v>-2391.6900000000014</v>
      </c>
      <c r="G55" s="39">
        <f t="shared" si="9"/>
        <v>14946.19</v>
      </c>
      <c r="H55" s="175">
        <f t="shared" si="10"/>
        <v>-0.16002004524229932</v>
      </c>
      <c r="I55" s="39"/>
      <c r="J55" s="39"/>
      <c r="K55" s="39">
        <v>17.29</v>
      </c>
      <c r="L55" s="39"/>
    </row>
    <row r="56" spans="1:12" x14ac:dyDescent="0.25">
      <c r="A56">
        <v>350</v>
      </c>
      <c r="B56" s="161">
        <v>43442</v>
      </c>
      <c r="C56" s="10">
        <v>350</v>
      </c>
      <c r="D56" s="39">
        <v>42.7</v>
      </c>
      <c r="E56" s="39">
        <v>36.31</v>
      </c>
      <c r="F56" s="39">
        <f t="shared" si="8"/>
        <v>-2236.5</v>
      </c>
      <c r="G56" s="39">
        <f t="shared" si="9"/>
        <v>14945.000000000002</v>
      </c>
      <c r="H56" s="175">
        <f t="shared" si="10"/>
        <v>-0.14964871194379392</v>
      </c>
      <c r="I56" s="39"/>
      <c r="J56" s="39"/>
      <c r="K56" s="39">
        <v>17.5</v>
      </c>
      <c r="L56" s="39"/>
    </row>
    <row r="57" spans="1:12" x14ac:dyDescent="0.25">
      <c r="A57">
        <v>200</v>
      </c>
      <c r="B57" s="161">
        <v>43469</v>
      </c>
      <c r="C57" s="7">
        <v>200</v>
      </c>
      <c r="D57" s="43">
        <v>45.271299999999997</v>
      </c>
      <c r="E57" s="39">
        <v>39.01</v>
      </c>
      <c r="F57" s="39">
        <f t="shared" si="8"/>
        <v>-1252.2599999999998</v>
      </c>
      <c r="G57" s="39">
        <f t="shared" si="9"/>
        <v>9054.2599999999984</v>
      </c>
      <c r="H57" s="175">
        <f t="shared" si="10"/>
        <v>-0.13830616748359334</v>
      </c>
      <c r="I57" s="39"/>
      <c r="J57" s="39"/>
      <c r="K57" s="39">
        <v>18.27</v>
      </c>
      <c r="L57" s="39"/>
    </row>
    <row r="58" spans="1:12" x14ac:dyDescent="0.25">
      <c r="A58">
        <v>200</v>
      </c>
      <c r="B58" s="161">
        <v>43476</v>
      </c>
      <c r="C58" s="7">
        <v>200</v>
      </c>
      <c r="D58" s="43">
        <v>45.118000000000002</v>
      </c>
      <c r="E58" s="39">
        <v>40.71</v>
      </c>
      <c r="F58" s="39">
        <f t="shared" si="8"/>
        <v>-881.60000000000025</v>
      </c>
      <c r="G58" s="39">
        <f t="shared" si="9"/>
        <v>9023.6</v>
      </c>
      <c r="H58" s="175">
        <f t="shared" si="10"/>
        <v>-9.7699366106653682E-2</v>
      </c>
      <c r="I58" s="39"/>
      <c r="J58" s="39"/>
      <c r="K58" s="39">
        <v>19.62</v>
      </c>
      <c r="L58" s="39"/>
    </row>
    <row r="59" spans="1:12" x14ac:dyDescent="0.25">
      <c r="A59">
        <v>150</v>
      </c>
      <c r="B59" s="161">
        <v>43488</v>
      </c>
      <c r="C59" s="10">
        <v>150</v>
      </c>
      <c r="D59" s="39">
        <v>46.424399999999999</v>
      </c>
      <c r="E59" s="39">
        <v>41.02</v>
      </c>
      <c r="F59" s="39">
        <f t="shared" si="8"/>
        <v>-810.65999999999929</v>
      </c>
      <c r="G59" s="39">
        <f t="shared" si="9"/>
        <v>6963.66</v>
      </c>
      <c r="H59" s="175">
        <f t="shared" si="10"/>
        <v>-0.11641292079165257</v>
      </c>
      <c r="I59" s="39"/>
      <c r="J59" s="39"/>
      <c r="K59" s="39">
        <v>19.77</v>
      </c>
      <c r="L59" s="39"/>
    </row>
    <row r="60" spans="1:12" x14ac:dyDescent="0.25">
      <c r="A60">
        <v>0</v>
      </c>
      <c r="B60" s="161">
        <v>43525</v>
      </c>
      <c r="C60" s="10">
        <v>0</v>
      </c>
      <c r="D60" s="39">
        <v>46.42</v>
      </c>
      <c r="E60" s="39">
        <v>49.13</v>
      </c>
      <c r="F60" s="39">
        <f t="shared" si="8"/>
        <v>0</v>
      </c>
      <c r="G60" s="39">
        <f t="shared" si="9"/>
        <v>0</v>
      </c>
      <c r="H60" s="175">
        <f t="shared" si="10"/>
        <v>5.8380008616975461E-2</v>
      </c>
      <c r="I60" s="39"/>
      <c r="J60" s="39">
        <v>86.25</v>
      </c>
      <c r="K60" s="39">
        <v>23.68</v>
      </c>
      <c r="L60" s="39"/>
    </row>
    <row r="61" spans="1:12" x14ac:dyDescent="0.25">
      <c r="B61" s="161"/>
      <c r="C61" s="10"/>
      <c r="D61" s="39"/>
      <c r="E61" s="39"/>
      <c r="F61" s="39"/>
      <c r="G61" s="39"/>
      <c r="H61" s="175"/>
      <c r="I61" s="39"/>
      <c r="J61" s="39"/>
      <c r="K61" s="39"/>
      <c r="L61" s="39"/>
    </row>
    <row r="62" spans="1:12" x14ac:dyDescent="0.25">
      <c r="B62" s="161"/>
      <c r="C62" s="10"/>
      <c r="D62" s="39"/>
      <c r="E62" s="39"/>
      <c r="F62" s="39"/>
      <c r="G62" s="39"/>
      <c r="H62" s="175"/>
      <c r="I62" s="39"/>
      <c r="J62" s="39"/>
      <c r="K62" s="39"/>
      <c r="L62" s="39"/>
    </row>
    <row r="63" spans="1:12" x14ac:dyDescent="0.25">
      <c r="B63" s="161"/>
      <c r="C63" s="10"/>
      <c r="D63" s="39"/>
      <c r="E63" s="39"/>
      <c r="F63" s="39"/>
      <c r="G63" s="39"/>
      <c r="H63" s="175"/>
      <c r="I63" s="39"/>
      <c r="J63" s="39"/>
      <c r="K63" s="39"/>
      <c r="L63" s="39"/>
    </row>
    <row r="64" spans="1:12" x14ac:dyDescent="0.25">
      <c r="B64" s="161"/>
      <c r="C64" s="10"/>
      <c r="D64" s="39"/>
      <c r="E64" s="39"/>
      <c r="F64" s="39"/>
      <c r="G64" s="39"/>
      <c r="H64" s="175"/>
      <c r="I64" s="39"/>
      <c r="J64" s="39"/>
      <c r="K64" s="39"/>
      <c r="L64" s="39"/>
    </row>
    <row r="65" spans="1:13" x14ac:dyDescent="0.25">
      <c r="B65" s="161"/>
      <c r="C65" s="10"/>
      <c r="D65" s="39"/>
      <c r="E65" s="39"/>
      <c r="F65" s="39"/>
      <c r="G65" s="39"/>
      <c r="H65" s="175"/>
      <c r="I65" s="39"/>
      <c r="J65" s="39"/>
      <c r="K65" s="39"/>
      <c r="L65" s="39"/>
    </row>
    <row r="66" spans="1:13" x14ac:dyDescent="0.25">
      <c r="A66" s="4"/>
      <c r="B66" s="69"/>
      <c r="C66" s="4"/>
      <c r="D66" s="3"/>
      <c r="E66" s="3"/>
      <c r="F66" s="3"/>
      <c r="G66" s="3"/>
      <c r="H66" s="212"/>
      <c r="I66" s="3"/>
      <c r="J66" s="3"/>
      <c r="K66" s="3"/>
      <c r="L66" s="4"/>
    </row>
    <row r="67" spans="1:13" x14ac:dyDescent="0.25">
      <c r="A67" s="4"/>
      <c r="B67" s="69"/>
      <c r="C67" s="4"/>
      <c r="D67" s="3"/>
      <c r="E67" s="3"/>
      <c r="F67" s="3"/>
      <c r="G67" s="3"/>
      <c r="H67" s="212"/>
      <c r="I67" s="3"/>
      <c r="J67" s="3"/>
      <c r="K67" s="3"/>
      <c r="L67" s="4"/>
    </row>
    <row r="68" spans="1:13" x14ac:dyDescent="0.25">
      <c r="A68" s="4"/>
      <c r="B68" s="69"/>
      <c r="C68" s="4"/>
      <c r="D68" s="3"/>
      <c r="E68" s="3"/>
      <c r="F68" s="3"/>
      <c r="G68" s="3"/>
      <c r="H68" s="212"/>
      <c r="I68" s="3"/>
      <c r="J68" s="3"/>
      <c r="K68" s="3"/>
      <c r="L68" s="4"/>
    </row>
    <row r="69" spans="1:13" x14ac:dyDescent="0.25">
      <c r="A69" s="4"/>
      <c r="B69" s="69"/>
      <c r="C69" s="4"/>
      <c r="D69" s="3"/>
      <c r="E69" s="3"/>
      <c r="F69" s="3"/>
      <c r="G69" s="3"/>
      <c r="H69" s="212"/>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2" spans="1:13" x14ac:dyDescent="0.25">
      <c r="A72" s="478"/>
      <c r="B72" s="478"/>
      <c r="C72" s="478"/>
      <c r="D72" s="479"/>
      <c r="E72" s="479"/>
      <c r="F72" s="479"/>
      <c r="G72" s="478"/>
      <c r="H72" s="478"/>
      <c r="I72" s="479"/>
      <c r="J72" s="479"/>
      <c r="K72" s="479"/>
      <c r="L72" s="478" t="s">
        <v>65</v>
      </c>
      <c r="M72" s="479">
        <f>M90+K90-F90</f>
        <v>0</v>
      </c>
    </row>
    <row r="73" spans="1:13" x14ac:dyDescent="0.25">
      <c r="A73" s="597" t="s">
        <v>1</v>
      </c>
      <c r="B73" s="597" t="s">
        <v>2</v>
      </c>
      <c r="C73" s="597" t="s">
        <v>4</v>
      </c>
      <c r="D73" s="598" t="s">
        <v>5</v>
      </c>
      <c r="E73" s="598" t="s">
        <v>94</v>
      </c>
      <c r="F73" s="598" t="s">
        <v>60</v>
      </c>
      <c r="G73" s="597" t="s">
        <v>3</v>
      </c>
      <c r="H73" s="597" t="s">
        <v>6</v>
      </c>
      <c r="I73" s="598" t="s">
        <v>7</v>
      </c>
      <c r="J73" s="598" t="s">
        <v>95</v>
      </c>
      <c r="K73" s="598" t="s">
        <v>61</v>
      </c>
      <c r="L73" s="597" t="s">
        <v>37</v>
      </c>
      <c r="M73" s="597" t="s">
        <v>38</v>
      </c>
    </row>
    <row r="74" spans="1:13" x14ac:dyDescent="0.25">
      <c r="A74" s="599" t="s">
        <v>892</v>
      </c>
      <c r="B74" s="481"/>
      <c r="C74" s="478"/>
      <c r="D74" s="479"/>
      <c r="E74" s="479"/>
      <c r="F74" s="479"/>
      <c r="G74" s="481"/>
      <c r="H74" s="478"/>
      <c r="I74" s="479"/>
      <c r="J74" s="479"/>
      <c r="K74" s="479"/>
      <c r="L74" s="481"/>
      <c r="M74" s="479"/>
    </row>
    <row r="75" spans="1:13" x14ac:dyDescent="0.25">
      <c r="A75" s="600"/>
      <c r="B75" s="481"/>
      <c r="C75" s="478"/>
      <c r="D75" s="479"/>
      <c r="E75" s="479"/>
      <c r="F75" s="479"/>
      <c r="G75" s="481"/>
      <c r="H75" s="480"/>
      <c r="I75" s="479"/>
      <c r="J75" s="479"/>
      <c r="K75" s="479"/>
      <c r="L75" s="478"/>
      <c r="M75" s="478"/>
    </row>
    <row r="76" spans="1:13" x14ac:dyDescent="0.25">
      <c r="A76" s="478"/>
      <c r="B76" s="481"/>
      <c r="C76" s="478"/>
      <c r="D76" s="479"/>
      <c r="E76" s="479"/>
      <c r="F76" s="479"/>
      <c r="G76" s="481"/>
      <c r="H76" s="480"/>
      <c r="I76" s="479"/>
      <c r="J76" s="479"/>
      <c r="K76" s="479"/>
      <c r="L76" s="478"/>
      <c r="M76" s="478"/>
    </row>
    <row r="77" spans="1:13" x14ac:dyDescent="0.25">
      <c r="A77" s="478"/>
      <c r="B77" s="481"/>
      <c r="C77" s="478"/>
      <c r="D77" s="479"/>
      <c r="E77" s="479"/>
      <c r="F77" s="479"/>
      <c r="G77" s="478"/>
      <c r="H77" s="480"/>
      <c r="I77" s="479"/>
      <c r="J77" s="479"/>
      <c r="K77" s="479"/>
      <c r="L77" s="478"/>
      <c r="M77" s="478"/>
    </row>
    <row r="78" spans="1:13" x14ac:dyDescent="0.25">
      <c r="A78" s="478"/>
      <c r="B78" s="481"/>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80"/>
      <c r="I83" s="479"/>
      <c r="J83" s="479"/>
      <c r="K83" s="479"/>
      <c r="L83" s="478"/>
      <c r="M83" s="478"/>
    </row>
    <row r="84" spans="1:13" x14ac:dyDescent="0.25">
      <c r="A84" s="478"/>
      <c r="B84" s="478"/>
      <c r="C84" s="478"/>
      <c r="D84" s="479"/>
      <c r="E84" s="479"/>
      <c r="F84" s="479"/>
      <c r="G84" s="478"/>
      <c r="H84" s="480"/>
      <c r="I84" s="479"/>
      <c r="J84" s="479"/>
      <c r="K84" s="479"/>
      <c r="L84" s="478"/>
      <c r="M84" s="478"/>
    </row>
    <row r="85" spans="1:13" x14ac:dyDescent="0.25">
      <c r="A85" s="478"/>
      <c r="B85" s="478"/>
      <c r="C85" s="478"/>
      <c r="D85" s="479"/>
      <c r="E85" s="479"/>
      <c r="F85" s="479"/>
      <c r="G85" s="478"/>
      <c r="H85" s="480"/>
      <c r="I85" s="479"/>
      <c r="J85" s="479"/>
      <c r="K85" s="479"/>
      <c r="L85" s="478"/>
      <c r="M85" s="478"/>
    </row>
    <row r="86" spans="1:13" x14ac:dyDescent="0.25">
      <c r="A86" s="478"/>
      <c r="B86" s="478"/>
      <c r="C86" s="478"/>
      <c r="D86" s="479"/>
      <c r="E86" s="479"/>
      <c r="F86" s="479"/>
      <c r="G86" s="478"/>
      <c r="H86" s="480"/>
      <c r="I86" s="479"/>
      <c r="J86" s="479"/>
      <c r="K86" s="479"/>
      <c r="L86" s="478"/>
      <c r="M86" s="478"/>
    </row>
    <row r="87" spans="1:13" x14ac:dyDescent="0.25">
      <c r="A87" s="478"/>
      <c r="B87" s="478"/>
      <c r="C87" s="478"/>
      <c r="D87" s="479"/>
      <c r="E87" s="479"/>
      <c r="F87" s="479"/>
      <c r="G87" s="478"/>
      <c r="H87" s="480"/>
      <c r="I87" s="479"/>
      <c r="J87" s="479"/>
      <c r="K87" s="479"/>
      <c r="L87" s="478"/>
      <c r="M87" s="478"/>
    </row>
    <row r="88" spans="1:13" x14ac:dyDescent="0.25">
      <c r="A88" s="478"/>
      <c r="B88" s="478"/>
      <c r="C88" s="478"/>
      <c r="D88" s="479"/>
      <c r="E88" s="479"/>
      <c r="F88" s="479"/>
      <c r="G88" s="478"/>
      <c r="H88" s="480"/>
      <c r="I88" s="479"/>
      <c r="J88" s="479"/>
      <c r="K88" s="479"/>
      <c r="L88" s="478"/>
      <c r="M88" s="478"/>
    </row>
    <row r="89" spans="1:13" x14ac:dyDescent="0.25">
      <c r="A89" s="478"/>
      <c r="B89" s="478"/>
      <c r="C89" s="478"/>
      <c r="D89" s="479"/>
      <c r="E89" s="479"/>
      <c r="F89" s="479"/>
      <c r="G89" s="478"/>
      <c r="H89" s="478"/>
      <c r="I89" s="479"/>
      <c r="J89" s="479"/>
      <c r="K89" s="479"/>
      <c r="L89" s="478"/>
      <c r="M89" s="478"/>
    </row>
    <row r="90" spans="1:13" x14ac:dyDescent="0.25">
      <c r="A90" s="601" t="s">
        <v>81</v>
      </c>
      <c r="B90" s="602"/>
      <c r="C90" s="602">
        <f>SUM(C74:C78)</f>
        <v>0</v>
      </c>
      <c r="D90" s="603"/>
      <c r="E90" s="603"/>
      <c r="F90" s="603">
        <f>SUM(F74:F78)</f>
        <v>0</v>
      </c>
      <c r="G90" s="602"/>
      <c r="H90" s="604">
        <f>SUM(H74:H77)</f>
        <v>0</v>
      </c>
      <c r="I90" s="603"/>
      <c r="J90" s="603"/>
      <c r="K90" s="603">
        <f>SUM(K74:K77)</f>
        <v>0</v>
      </c>
      <c r="L90" s="602"/>
      <c r="M90" s="603">
        <f>SUM(M74:M82)</f>
        <v>0</v>
      </c>
    </row>
    <row r="91" spans="1:13" ht="15.75" thickBot="1" x14ac:dyDescent="0.3">
      <c r="A91" s="605" t="s">
        <v>189</v>
      </c>
      <c r="B91" s="637"/>
      <c r="C91" s="606">
        <f>SumByColor($A$19,C74:C89)</f>
        <v>0</v>
      </c>
      <c r="D91" s="606"/>
      <c r="E91" s="606"/>
      <c r="F91" s="607">
        <f>SumByColor($A$19,F74:F89)</f>
        <v>0</v>
      </c>
      <c r="G91" s="606"/>
      <c r="H91" s="606">
        <f>SumByColor($A$19,H74:H89)</f>
        <v>0</v>
      </c>
      <c r="I91" s="606"/>
      <c r="J91" s="606"/>
      <c r="K91" s="607">
        <f>SumByColor($A$19,K75:K89)</f>
        <v>0</v>
      </c>
      <c r="L91" s="606"/>
      <c r="M91" s="607">
        <f>SumByColor($A$19,M74:M89)</f>
        <v>0</v>
      </c>
    </row>
    <row r="94" spans="1:13" x14ac:dyDescent="0.25">
      <c r="B94" s="159" t="s">
        <v>113</v>
      </c>
      <c r="C94" s="159" t="s">
        <v>143</v>
      </c>
      <c r="D94" s="160" t="s">
        <v>142</v>
      </c>
      <c r="E94" s="162" t="s">
        <v>144</v>
      </c>
      <c r="F94" s="162" t="s">
        <v>65</v>
      </c>
      <c r="G94" s="173" t="s">
        <v>148</v>
      </c>
      <c r="H94" s="173" t="s">
        <v>88</v>
      </c>
      <c r="I94" s="173" t="s">
        <v>151</v>
      </c>
      <c r="J94" s="173" t="s">
        <v>147</v>
      </c>
      <c r="K94" s="173" t="s">
        <v>601</v>
      </c>
      <c r="L94" s="173" t="s">
        <v>607</v>
      </c>
    </row>
    <row r="95" spans="1:13" x14ac:dyDescent="0.25">
      <c r="B95" s="161"/>
      <c r="C95" s="10"/>
      <c r="D95" s="39"/>
      <c r="E95" s="39"/>
      <c r="F95" s="39"/>
      <c r="G95" s="39"/>
      <c r="H95" s="175"/>
      <c r="I95" s="39"/>
      <c r="J95" s="39"/>
      <c r="K95" s="39"/>
      <c r="L95" s="39"/>
    </row>
    <row r="96" spans="1:13" x14ac:dyDescent="0.25">
      <c r="B96" s="161"/>
      <c r="C96" s="10"/>
      <c r="D96" s="39"/>
      <c r="E96" s="39"/>
      <c r="F96" s="39"/>
      <c r="G96" s="39"/>
      <c r="H96" s="175"/>
      <c r="I96" s="39"/>
      <c r="J96" s="39"/>
      <c r="K96" s="39"/>
      <c r="L96" s="39"/>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152"/>
    </row>
    <row r="101" spans="2:12" x14ac:dyDescent="0.25">
      <c r="B101" s="161"/>
      <c r="C101" s="10"/>
      <c r="D101" s="39"/>
      <c r="E101" s="39"/>
      <c r="F101" s="39"/>
      <c r="G101" s="39"/>
      <c r="H101" s="175"/>
      <c r="I101" s="39"/>
      <c r="J101" s="39"/>
      <c r="K101" s="39"/>
      <c r="L101" s="152"/>
    </row>
    <row r="102" spans="2:12" x14ac:dyDescent="0.25">
      <c r="B102" s="161"/>
      <c r="C102" s="10"/>
      <c r="D102" s="39"/>
      <c r="E102" s="39"/>
      <c r="F102" s="39"/>
      <c r="G102" s="39"/>
      <c r="H102" s="175"/>
      <c r="I102" s="39"/>
      <c r="J102" s="39"/>
      <c r="K102" s="39"/>
      <c r="L102" s="152"/>
    </row>
    <row r="103" spans="2:12" x14ac:dyDescent="0.25">
      <c r="B103" s="161"/>
      <c r="C103" s="10"/>
      <c r="D103" s="39"/>
      <c r="E103" s="39"/>
      <c r="F103" s="39"/>
      <c r="G103" s="39"/>
      <c r="H103" s="175"/>
      <c r="I103" s="39"/>
      <c r="J103" s="39"/>
      <c r="K103" s="39"/>
      <c r="L103" s="152"/>
    </row>
    <row r="104" spans="2:12" x14ac:dyDescent="0.25">
      <c r="B104" s="161"/>
      <c r="C104" s="10"/>
      <c r="D104" s="39"/>
      <c r="E104" s="39"/>
      <c r="F104" s="39"/>
      <c r="G104" s="39"/>
      <c r="H104" s="175"/>
      <c r="I104" s="39"/>
      <c r="J104" s="39"/>
      <c r="K104" s="39"/>
      <c r="L104" s="152"/>
    </row>
    <row r="105" spans="2:12" x14ac:dyDescent="0.25">
      <c r="B105" s="161"/>
      <c r="C105" s="10"/>
      <c r="D105" s="39"/>
      <c r="E105" s="39"/>
      <c r="F105" s="39"/>
      <c r="G105" s="39"/>
      <c r="H105" s="175"/>
      <c r="I105" s="39"/>
      <c r="J105" s="39"/>
      <c r="K105" s="39"/>
      <c r="L105" s="152"/>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row r="111" spans="2:12" x14ac:dyDescent="0.25">
      <c r="B111" s="161"/>
      <c r="C111" s="10"/>
      <c r="D111" s="39"/>
      <c r="E111" s="39"/>
      <c r="F111" s="39"/>
      <c r="G111" s="39"/>
      <c r="H111" s="175"/>
      <c r="I111" s="39"/>
      <c r="J111" s="39"/>
      <c r="K111" s="39"/>
      <c r="L111" s="39"/>
    </row>
    <row r="112" spans="2:12" x14ac:dyDescent="0.25">
      <c r="B112" s="161"/>
      <c r="C112" s="10"/>
      <c r="D112" s="39"/>
      <c r="E112" s="39"/>
      <c r="F112" s="39"/>
      <c r="G112" s="39"/>
      <c r="H112" s="175"/>
      <c r="I112" s="39"/>
      <c r="J112" s="39"/>
      <c r="K112" s="39"/>
      <c r="L112" s="39"/>
    </row>
    <row r="113" spans="2:12" x14ac:dyDescent="0.25">
      <c r="B113" s="161"/>
      <c r="C113" s="10"/>
      <c r="D113" s="39"/>
      <c r="E113" s="39"/>
      <c r="F113" s="39"/>
      <c r="G113" s="39"/>
      <c r="H113" s="175"/>
      <c r="I113" s="39"/>
      <c r="J113" s="39"/>
      <c r="K113" s="39"/>
      <c r="L113" s="39"/>
    </row>
    <row r="114" spans="2:12" x14ac:dyDescent="0.25">
      <c r="B114" s="161"/>
      <c r="C114" s="10"/>
      <c r="D114" s="39"/>
      <c r="E114" s="39"/>
      <c r="F114" s="39"/>
      <c r="G114" s="39"/>
      <c r="H114" s="175"/>
      <c r="I114" s="39"/>
      <c r="J114" s="39"/>
      <c r="K114" s="39"/>
      <c r="L114" s="39"/>
    </row>
    <row r="115" spans="2:12" x14ac:dyDescent="0.25">
      <c r="B115" s="161"/>
      <c r="C115" s="10"/>
      <c r="D115" s="39"/>
      <c r="E115" s="39"/>
      <c r="F115" s="39"/>
      <c r="G115" s="39"/>
      <c r="H115" s="175"/>
      <c r="I115" s="39"/>
      <c r="J115" s="39"/>
      <c r="K115" s="39"/>
      <c r="L115" s="39"/>
    </row>
    <row r="116" spans="2:12" x14ac:dyDescent="0.25">
      <c r="B116" s="161"/>
      <c r="C116" s="10"/>
      <c r="D116" s="39"/>
      <c r="E116" s="39"/>
      <c r="F116" s="39"/>
      <c r="G116" s="39"/>
      <c r="H116" s="175"/>
      <c r="I116" s="39"/>
      <c r="J116" s="39"/>
      <c r="K116" s="39"/>
      <c r="L116"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H64:H69 F64:F69 F51:F61 H51:H61">
    <cfRule type="expression" dxfId="3039" priority="39">
      <formula>F51&gt;0</formula>
    </cfRule>
    <cfRule type="expression" dxfId="3038" priority="40">
      <formula>F51&lt;0</formula>
    </cfRule>
  </conditionalFormatting>
  <conditionalFormatting sqref="Q7">
    <cfRule type="expression" dxfId="3037" priority="37">
      <formula>Q7&gt;0</formula>
    </cfRule>
    <cfRule type="expression" dxfId="3036" priority="38">
      <formula>Q7&lt;0</formula>
    </cfRule>
  </conditionalFormatting>
  <conditionalFormatting sqref="Q8">
    <cfRule type="expression" dxfId="3035" priority="35">
      <formula>Q8&gt;0</formula>
    </cfRule>
    <cfRule type="expression" dxfId="3034" priority="36">
      <formula>Q8&lt;0</formula>
    </cfRule>
  </conditionalFormatting>
  <conditionalFormatting sqref="F31:F49">
    <cfRule type="expression" dxfId="3033" priority="33">
      <formula>F31&gt;0</formula>
    </cfRule>
    <cfRule type="expression" dxfId="3032" priority="34">
      <formula>F31&lt;0</formula>
    </cfRule>
  </conditionalFormatting>
  <conditionalFormatting sqref="H31:H49">
    <cfRule type="expression" dxfId="3031" priority="31">
      <formula>H31&gt;0</formula>
    </cfRule>
    <cfRule type="expression" dxfId="3030" priority="32">
      <formula>H31&lt;0</formula>
    </cfRule>
  </conditionalFormatting>
  <conditionalFormatting sqref="Q10">
    <cfRule type="expression" dxfId="3029" priority="29">
      <formula>Q10&gt;0</formula>
    </cfRule>
    <cfRule type="expression" dxfId="3028" priority="30">
      <formula>Q10&lt;0</formula>
    </cfRule>
  </conditionalFormatting>
  <conditionalFormatting sqref="J25:J38">
    <cfRule type="expression" dxfId="3027" priority="27">
      <formula>J25&gt;0</formula>
    </cfRule>
    <cfRule type="expression" dxfId="3026" priority="28">
      <formula>J25&lt;0</formula>
    </cfRule>
  </conditionalFormatting>
  <conditionalFormatting sqref="K38">
    <cfRule type="expression" dxfId="3025" priority="25">
      <formula>K38&gt;0</formula>
    </cfRule>
    <cfRule type="expression" dxfId="3024" priority="26">
      <formula>K38&lt;0</formula>
    </cfRule>
  </conditionalFormatting>
  <conditionalFormatting sqref="L25:L38">
    <cfRule type="expression" dxfId="3023" priority="23">
      <formula>L25&gt;0</formula>
    </cfRule>
    <cfRule type="expression" dxfId="3022" priority="24">
      <formula>L25&lt;0</formula>
    </cfRule>
  </conditionalFormatting>
  <conditionalFormatting sqref="F95:F116">
    <cfRule type="expression" dxfId="3021" priority="21">
      <formula>F95&gt;0</formula>
    </cfRule>
    <cfRule type="expression" dxfId="3020" priority="22">
      <formula>F95&lt;0</formula>
    </cfRule>
  </conditionalFormatting>
  <conditionalFormatting sqref="H95:H116">
    <cfRule type="expression" dxfId="3019" priority="19">
      <formula>H95&gt;0</formula>
    </cfRule>
    <cfRule type="expression" dxfId="3018" priority="20">
      <formula>H95&lt;0</formula>
    </cfRule>
  </conditionalFormatting>
  <conditionalFormatting sqref="J95:J108">
    <cfRule type="expression" dxfId="3017" priority="17">
      <formula>J95&gt;0</formula>
    </cfRule>
    <cfRule type="expression" dxfId="3016" priority="18">
      <formula>J95&lt;0</formula>
    </cfRule>
  </conditionalFormatting>
  <conditionalFormatting sqref="K95:K108">
    <cfRule type="expression" dxfId="3015" priority="15">
      <formula>K95&gt;0</formula>
    </cfRule>
    <cfRule type="expression" dxfId="3014" priority="16">
      <formula>K95&lt;0</formula>
    </cfRule>
  </conditionalFormatting>
  <conditionalFormatting sqref="L95:L108">
    <cfRule type="expression" dxfId="3013" priority="13">
      <formula>L95&gt;0</formula>
    </cfRule>
    <cfRule type="expression" dxfId="3012" priority="14">
      <formula>L95&lt;0</formula>
    </cfRule>
  </conditionalFormatting>
  <conditionalFormatting sqref="F25:F30">
    <cfRule type="expression" dxfId="3011" priority="11">
      <formula>F25&gt;0</formula>
    </cfRule>
    <cfRule type="expression" dxfId="3010" priority="12">
      <formula>F25&lt;0</formula>
    </cfRule>
  </conditionalFormatting>
  <conditionalFormatting sqref="H25:H30">
    <cfRule type="expression" dxfId="3009" priority="9">
      <formula>H25&gt;0</formula>
    </cfRule>
    <cfRule type="expression" dxfId="3008" priority="10">
      <formula>H25&lt;0</formula>
    </cfRule>
  </conditionalFormatting>
  <conditionalFormatting sqref="F50">
    <cfRule type="expression" dxfId="3007" priority="7">
      <formula>F50&gt;0</formula>
    </cfRule>
    <cfRule type="expression" dxfId="3006" priority="8">
      <formula>F50&lt;0</formula>
    </cfRule>
  </conditionalFormatting>
  <conditionalFormatting sqref="H50">
    <cfRule type="expression" dxfId="3005" priority="5">
      <formula>H50&gt;0</formula>
    </cfRule>
    <cfRule type="expression" dxfId="3004" priority="6">
      <formula>H50&lt;0</formula>
    </cfRule>
  </conditionalFormatting>
  <conditionalFormatting sqref="H62:H63 F62:F63">
    <cfRule type="expression" dxfId="3003" priority="3">
      <formula>F62&gt;0</formula>
    </cfRule>
    <cfRule type="expression" dxfId="3002" priority="4">
      <formula>F62&lt;0</formula>
    </cfRule>
  </conditionalFormatting>
  <conditionalFormatting sqref="J60">
    <cfRule type="expression" dxfId="3001" priority="1">
      <formula>J60&gt;0</formula>
    </cfRule>
    <cfRule type="expression" dxfId="3000" priority="2">
      <formula>J60&lt;0</formula>
    </cfRule>
  </conditionalFormatting>
  <hyperlinks>
    <hyperlink ref="A3" location="ACTIVE!A1" display="Back"/>
  </hyperlinks>
  <pageMargins left="0.7" right="0.7" top="0.75" bottom="0.75" header="0.3" footer="0.3"/>
  <pageSetup orientation="portrait" r:id="rId1"/>
  <drawing r:id="rId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1320</v>
      </c>
      <c r="B2" s="360">
        <v>43507</v>
      </c>
      <c r="C2" s="7">
        <v>100</v>
      </c>
      <c r="D2" s="43">
        <v>40.28</v>
      </c>
      <c r="E2" s="43">
        <v>0</v>
      </c>
      <c r="F2" s="43">
        <f>C2*D2+E2</f>
        <v>4028</v>
      </c>
      <c r="G2" s="360">
        <v>43539</v>
      </c>
      <c r="H2" s="7">
        <v>100</v>
      </c>
      <c r="I2" s="43">
        <v>44.98</v>
      </c>
      <c r="J2" s="43">
        <v>0.06</v>
      </c>
      <c r="K2" s="43">
        <f>H2*I2-J2</f>
        <v>4497.9399999999996</v>
      </c>
      <c r="L2" s="69">
        <v>43448</v>
      </c>
      <c r="M2" s="3"/>
      <c r="O2" s="11" t="s">
        <v>57</v>
      </c>
      <c r="Q2">
        <f>C18-H18</f>
        <v>0</v>
      </c>
      <c r="T2" s="1"/>
    </row>
    <row r="3" spans="1:21" x14ac:dyDescent="0.25">
      <c r="A3" s="22" t="s">
        <v>71</v>
      </c>
      <c r="B3" s="69"/>
      <c r="C3" s="4"/>
      <c r="D3" s="3"/>
      <c r="E3" s="3"/>
      <c r="F3" s="3"/>
      <c r="G3" s="69"/>
      <c r="H3" s="158"/>
      <c r="I3" s="3"/>
      <c r="J3" s="3"/>
      <c r="K3" s="3"/>
      <c r="L3" s="4"/>
      <c r="M3" s="4"/>
      <c r="O3" s="11" t="s">
        <v>58</v>
      </c>
      <c r="Q3" s="174">
        <f>IF(Q2=0, Q4, (F18-K18-M18)/Q2)</f>
        <v>54.18</v>
      </c>
      <c r="T3" s="1"/>
      <c r="U3" s="22"/>
    </row>
    <row r="4" spans="1:21" x14ac:dyDescent="0.25">
      <c r="B4" s="69"/>
      <c r="C4" s="4"/>
      <c r="D4" s="3"/>
      <c r="E4" s="3"/>
      <c r="F4" s="3"/>
      <c r="G4" s="69"/>
      <c r="H4" s="158"/>
      <c r="I4" s="3"/>
      <c r="J4" s="3"/>
      <c r="K4" s="3"/>
      <c r="L4" s="4"/>
      <c r="M4" s="4"/>
      <c r="O4" s="11" t="s">
        <v>66</v>
      </c>
      <c r="Q4" s="53">
        <v>54.18</v>
      </c>
      <c r="R4" s="416">
        <v>-8.6999999999999994E-3</v>
      </c>
      <c r="T4" s="680"/>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469.9399999999996</v>
      </c>
      <c r="R7">
        <v>0</v>
      </c>
    </row>
    <row r="8" spans="1:21" x14ac:dyDescent="0.25">
      <c r="B8" s="69"/>
      <c r="C8" s="4"/>
      <c r="D8" s="3"/>
      <c r="E8" s="3"/>
      <c r="F8" s="3"/>
      <c r="G8" s="4"/>
      <c r="H8" s="158"/>
      <c r="I8" s="3"/>
      <c r="J8" s="3"/>
      <c r="K8" s="3"/>
      <c r="L8" s="4"/>
      <c r="M8" s="4"/>
      <c r="O8" s="11" t="s">
        <v>177</v>
      </c>
      <c r="P8" s="33"/>
      <c r="Q8" s="2">
        <f>K18+M18-F18+Q2*Q4</f>
        <v>469.9399999999996</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6.275378368401625E-3</v>
      </c>
      <c r="R11">
        <f>0.34</f>
        <v>0.34</v>
      </c>
    </row>
    <row r="12" spans="1:21" x14ac:dyDescent="0.25">
      <c r="H12" s="67"/>
      <c r="O12" s="11" t="s">
        <v>875</v>
      </c>
      <c r="Q12" s="1"/>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59.598000000000006</v>
      </c>
    </row>
    <row r="18" spans="1:16" x14ac:dyDescent="0.25">
      <c r="A18" s="31" t="s">
        <v>81</v>
      </c>
      <c r="B18" s="14"/>
      <c r="C18" s="14">
        <f>SUM(C2:C8)</f>
        <v>100</v>
      </c>
      <c r="D18" s="18"/>
      <c r="E18" s="18"/>
      <c r="F18" s="18">
        <f>SUM(F2:F8)</f>
        <v>4028</v>
      </c>
      <c r="G18" s="14"/>
      <c r="H18" s="68">
        <f>SUM(H2:H5)</f>
        <v>100</v>
      </c>
      <c r="I18" s="18"/>
      <c r="J18" s="18"/>
      <c r="K18" s="18">
        <f>SUM(K2:K5)</f>
        <v>4497.9399999999996</v>
      </c>
      <c r="L18" s="14"/>
      <c r="M18" s="18">
        <f>SUM(M2:M10)</f>
        <v>0</v>
      </c>
      <c r="O18" s="78">
        <v>1.0900000000000001</v>
      </c>
      <c r="P18" s="78">
        <f t="shared" ref="P18:P37" si="0">O18*$Q$4</f>
        <v>59.056200000000004</v>
      </c>
    </row>
    <row r="19" spans="1:16" ht="15.75" thickBot="1" x14ac:dyDescent="0.3">
      <c r="A19" s="273" t="s">
        <v>189</v>
      </c>
      <c r="B19" s="274"/>
      <c r="C19" s="275">
        <f>SumByColor($A$19,C2:C17)</f>
        <v>100</v>
      </c>
      <c r="D19" s="275"/>
      <c r="E19" s="275"/>
      <c r="F19" s="276">
        <f>SumByColor($A$19,F2:F17)</f>
        <v>4028</v>
      </c>
      <c r="G19" s="275"/>
      <c r="H19" s="275">
        <f>SumByColor($A$19,H2:H17)</f>
        <v>100</v>
      </c>
      <c r="I19" s="275"/>
      <c r="J19" s="275"/>
      <c r="K19" s="276">
        <f>SumByColor($A$19,K2:K17)</f>
        <v>4498</v>
      </c>
      <c r="L19" s="275"/>
      <c r="M19" s="276">
        <f>SumByColor($A$19,M2:M17)</f>
        <v>0</v>
      </c>
      <c r="O19" s="78">
        <v>1.08</v>
      </c>
      <c r="P19" s="78">
        <f t="shared" si="0"/>
        <v>58.514400000000002</v>
      </c>
    </row>
    <row r="20" spans="1:16" x14ac:dyDescent="0.25">
      <c r="O20" s="78">
        <v>1.07</v>
      </c>
      <c r="P20" s="78">
        <f t="shared" si="0"/>
        <v>57.9726</v>
      </c>
    </row>
    <row r="21" spans="1:16" x14ac:dyDescent="0.25">
      <c r="O21" s="78">
        <v>1.06</v>
      </c>
      <c r="P21" s="78">
        <f t="shared" si="0"/>
        <v>57.430800000000005</v>
      </c>
    </row>
    <row r="22" spans="1:16" x14ac:dyDescent="0.25">
      <c r="O22" s="78">
        <v>1.05</v>
      </c>
      <c r="P22" s="78">
        <f t="shared" si="0"/>
        <v>56.889000000000003</v>
      </c>
    </row>
    <row r="23" spans="1:16" x14ac:dyDescent="0.25">
      <c r="O23" s="78">
        <v>1.04</v>
      </c>
      <c r="P23" s="78">
        <f t="shared" si="0"/>
        <v>56.347200000000001</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55.805399999999999</v>
      </c>
    </row>
    <row r="25" spans="1:16" x14ac:dyDescent="0.25">
      <c r="B25" s="161">
        <v>43507</v>
      </c>
      <c r="C25" s="10">
        <v>100</v>
      </c>
      <c r="D25" s="39">
        <v>40.28</v>
      </c>
      <c r="E25" s="39">
        <v>40.11</v>
      </c>
      <c r="F25" s="39">
        <f>C25*(E25-D25)</f>
        <v>-17.000000000000171</v>
      </c>
      <c r="G25" s="39">
        <f>D25*C25</f>
        <v>4028</v>
      </c>
      <c r="H25" s="175">
        <f>(E25-D25)/D25</f>
        <v>-4.2204568023833586E-3</v>
      </c>
      <c r="I25" s="39"/>
      <c r="J25" s="39"/>
      <c r="K25" s="39"/>
      <c r="L25" s="39"/>
      <c r="O25" s="78">
        <v>1.02</v>
      </c>
      <c r="P25" s="78">
        <f t="shared" si="0"/>
        <v>55.263600000000004</v>
      </c>
    </row>
    <row r="26" spans="1:16" x14ac:dyDescent="0.25">
      <c r="B26" s="161">
        <v>43508</v>
      </c>
      <c r="C26" s="10">
        <v>100</v>
      </c>
      <c r="D26" s="39">
        <v>40.28</v>
      </c>
      <c r="E26" s="39">
        <v>41.67</v>
      </c>
      <c r="F26" s="39">
        <f>C26*(E26-D26)</f>
        <v>139.00000000000006</v>
      </c>
      <c r="G26" s="39">
        <f>D26*C26</f>
        <v>4028</v>
      </c>
      <c r="H26" s="175">
        <f>(E26-D26)/D26</f>
        <v>3.4508440913604777E-2</v>
      </c>
      <c r="I26" s="39"/>
      <c r="J26" s="39"/>
      <c r="K26" s="39"/>
      <c r="L26" s="39"/>
      <c r="O26" s="78">
        <v>1.01</v>
      </c>
      <c r="P26" s="78">
        <f t="shared" si="0"/>
        <v>54.721800000000002</v>
      </c>
    </row>
    <row r="27" spans="1:16" x14ac:dyDescent="0.25">
      <c r="B27" s="161">
        <v>43513</v>
      </c>
      <c r="C27" s="10">
        <v>100</v>
      </c>
      <c r="D27" s="39">
        <v>40.28</v>
      </c>
      <c r="E27" s="39">
        <v>44.6</v>
      </c>
      <c r="F27" s="39">
        <f>C27*(E27-D27)</f>
        <v>432</v>
      </c>
      <c r="G27" s="39">
        <f>D27*C27</f>
        <v>4028</v>
      </c>
      <c r="H27" s="175">
        <f>(E27-D27)/D27</f>
        <v>0.10724925521350546</v>
      </c>
      <c r="I27" s="39"/>
      <c r="J27" s="39"/>
      <c r="K27" s="39"/>
      <c r="L27" s="39"/>
      <c r="O27" s="78">
        <v>1</v>
      </c>
      <c r="P27" s="78">
        <f t="shared" si="0"/>
        <v>54.18</v>
      </c>
    </row>
    <row r="28" spans="1:16" x14ac:dyDescent="0.25">
      <c r="B28" s="161">
        <v>43535</v>
      </c>
      <c r="C28" s="10">
        <v>100</v>
      </c>
      <c r="D28" s="39">
        <v>40.28</v>
      </c>
      <c r="E28" s="39">
        <v>42.92</v>
      </c>
      <c r="F28" s="39">
        <f>C28*(E28-D28)</f>
        <v>264.00000000000006</v>
      </c>
      <c r="G28" s="39">
        <f>D28*C28</f>
        <v>4028</v>
      </c>
      <c r="H28" s="175">
        <f>(E28-D28)/D28</f>
        <v>6.5541211519364456E-2</v>
      </c>
      <c r="I28" s="39"/>
      <c r="J28" s="39"/>
      <c r="K28" s="39"/>
      <c r="L28" s="39"/>
      <c r="O28" s="78">
        <v>0.99</v>
      </c>
      <c r="P28" s="78">
        <f t="shared" si="0"/>
        <v>53.638199999999998</v>
      </c>
    </row>
    <row r="29" spans="1:16" x14ac:dyDescent="0.25">
      <c r="B29" s="161">
        <v>43539</v>
      </c>
      <c r="C29" s="10">
        <v>0</v>
      </c>
      <c r="D29" s="39">
        <v>40.28</v>
      </c>
      <c r="E29" s="39">
        <v>44.98</v>
      </c>
      <c r="F29" s="39">
        <f>C29*(E29-D29)</f>
        <v>0</v>
      </c>
      <c r="G29" s="39">
        <f>D29*C29</f>
        <v>0</v>
      </c>
      <c r="H29" s="175">
        <f>(E29-D29)/D29</f>
        <v>0.1166832174776563</v>
      </c>
      <c r="I29" s="39"/>
      <c r="J29" s="39">
        <v>469.94</v>
      </c>
      <c r="K29" s="39"/>
      <c r="L29" s="39"/>
      <c r="O29" s="78">
        <v>0.98</v>
      </c>
      <c r="P29" s="78">
        <f t="shared" si="0"/>
        <v>53.096399999999996</v>
      </c>
    </row>
    <row r="30" spans="1:16" x14ac:dyDescent="0.25">
      <c r="B30" s="161"/>
      <c r="C30" s="10"/>
      <c r="D30" s="39"/>
      <c r="E30" s="39"/>
      <c r="F30" s="39"/>
      <c r="G30" s="39"/>
      <c r="H30" s="175"/>
      <c r="I30" s="39"/>
      <c r="J30" s="39"/>
      <c r="K30" s="39"/>
      <c r="L30" s="39"/>
      <c r="O30" s="78">
        <v>0.97</v>
      </c>
      <c r="P30" s="78">
        <f t="shared" si="0"/>
        <v>52.554600000000001</v>
      </c>
    </row>
    <row r="31" spans="1:16" x14ac:dyDescent="0.25">
      <c r="B31" s="161"/>
      <c r="C31" s="10"/>
      <c r="D31" s="39"/>
      <c r="E31" s="39"/>
      <c r="F31" s="39"/>
      <c r="G31" s="39"/>
      <c r="H31" s="175"/>
      <c r="I31" s="39"/>
      <c r="J31" s="39"/>
      <c r="K31" s="39"/>
      <c r="L31" s="39"/>
      <c r="O31" s="78">
        <v>0.96</v>
      </c>
      <c r="P31" s="78">
        <f t="shared" si="0"/>
        <v>52.012799999999999</v>
      </c>
    </row>
    <row r="32" spans="1:16" x14ac:dyDescent="0.25">
      <c r="B32" s="161"/>
      <c r="C32" s="10"/>
      <c r="D32" s="39"/>
      <c r="E32" s="39"/>
      <c r="F32" s="39"/>
      <c r="G32" s="39"/>
      <c r="H32" s="175"/>
      <c r="I32" s="39"/>
      <c r="J32" s="39"/>
      <c r="K32" s="39"/>
      <c r="L32" s="39"/>
      <c r="O32" s="78">
        <v>0.95</v>
      </c>
      <c r="P32" s="78">
        <f t="shared" si="0"/>
        <v>51.470999999999997</v>
      </c>
    </row>
    <row r="33" spans="2:17" x14ac:dyDescent="0.25">
      <c r="B33" s="161"/>
      <c r="C33" s="10"/>
      <c r="D33" s="39"/>
      <c r="E33" s="39"/>
      <c r="F33" s="39"/>
      <c r="G33" s="39"/>
      <c r="H33" s="175"/>
      <c r="I33" s="39"/>
      <c r="J33" s="39"/>
      <c r="K33" s="39"/>
      <c r="L33" s="39"/>
      <c r="O33" s="78">
        <v>0.94</v>
      </c>
      <c r="P33" s="78">
        <f t="shared" si="0"/>
        <v>50.929199999999994</v>
      </c>
    </row>
    <row r="34" spans="2:17" x14ac:dyDescent="0.25">
      <c r="B34" s="161"/>
      <c r="C34" s="10"/>
      <c r="D34" s="39"/>
      <c r="E34" s="39"/>
      <c r="F34" s="39"/>
      <c r="G34" s="39"/>
      <c r="H34" s="175"/>
      <c r="I34" s="39"/>
      <c r="J34" s="39"/>
      <c r="K34" s="39"/>
      <c r="L34" s="39"/>
      <c r="O34" s="78">
        <v>0.93</v>
      </c>
      <c r="P34" s="78">
        <f t="shared" si="0"/>
        <v>50.3874</v>
      </c>
    </row>
    <row r="35" spans="2:17" x14ac:dyDescent="0.25">
      <c r="B35" s="161"/>
      <c r="C35" s="10"/>
      <c r="D35" s="39"/>
      <c r="E35" s="39"/>
      <c r="F35" s="39"/>
      <c r="G35" s="39"/>
      <c r="H35" s="175"/>
      <c r="I35" s="39"/>
      <c r="J35" s="39"/>
      <c r="K35" s="39"/>
      <c r="L35" s="39"/>
      <c r="O35" s="78">
        <v>0.92</v>
      </c>
      <c r="P35" s="78">
        <f t="shared" si="0"/>
        <v>49.845600000000005</v>
      </c>
    </row>
    <row r="36" spans="2:17" x14ac:dyDescent="0.25">
      <c r="B36" s="161"/>
      <c r="C36" s="10"/>
      <c r="D36" s="39"/>
      <c r="E36" s="39"/>
      <c r="F36" s="39"/>
      <c r="G36" s="39"/>
      <c r="H36" s="175"/>
      <c r="I36" s="39"/>
      <c r="J36" s="39"/>
      <c r="K36" s="39"/>
      <c r="L36" s="39"/>
      <c r="O36" s="78">
        <v>0.91</v>
      </c>
      <c r="P36" s="78">
        <f t="shared" si="0"/>
        <v>49.303800000000003</v>
      </c>
    </row>
    <row r="37" spans="2:17" x14ac:dyDescent="0.25">
      <c r="B37" s="161"/>
      <c r="C37" s="10"/>
      <c r="D37" s="39"/>
      <c r="E37" s="39"/>
      <c r="F37" s="39"/>
      <c r="G37" s="39"/>
      <c r="H37" s="175"/>
      <c r="I37" s="39"/>
      <c r="J37" s="39"/>
      <c r="K37" s="39"/>
      <c r="L37" s="39"/>
      <c r="O37" s="78">
        <v>0.9</v>
      </c>
      <c r="P37" s="78">
        <f t="shared" si="0"/>
        <v>48.762</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999" priority="35">
      <formula>F47&gt;0</formula>
    </cfRule>
    <cfRule type="expression" dxfId="2998" priority="36">
      <formula>F47&lt;0</formula>
    </cfRule>
  </conditionalFormatting>
  <conditionalFormatting sqref="Q7">
    <cfRule type="expression" dxfId="2997" priority="33">
      <formula>Q7&gt;0</formula>
    </cfRule>
    <cfRule type="expression" dxfId="2996" priority="34">
      <formula>Q7&lt;0</formula>
    </cfRule>
  </conditionalFormatting>
  <conditionalFormatting sqref="Q8">
    <cfRule type="expression" dxfId="2995" priority="31">
      <formula>Q8&gt;0</formula>
    </cfRule>
    <cfRule type="expression" dxfId="2994" priority="32">
      <formula>Q8&lt;0</formula>
    </cfRule>
  </conditionalFormatting>
  <conditionalFormatting sqref="F30:F46">
    <cfRule type="expression" dxfId="2993" priority="29">
      <formula>F30&gt;0</formula>
    </cfRule>
    <cfRule type="expression" dxfId="2992" priority="30">
      <formula>F30&lt;0</formula>
    </cfRule>
  </conditionalFormatting>
  <conditionalFormatting sqref="H30:H46">
    <cfRule type="expression" dxfId="2991" priority="27">
      <formula>H30&gt;0</formula>
    </cfRule>
    <cfRule type="expression" dxfId="2990" priority="28">
      <formula>H30&lt;0</formula>
    </cfRule>
  </conditionalFormatting>
  <conditionalFormatting sqref="Q10">
    <cfRule type="expression" dxfId="2989" priority="25">
      <formula>Q10&gt;0</formula>
    </cfRule>
    <cfRule type="expression" dxfId="2988" priority="26">
      <formula>Q10&lt;0</formula>
    </cfRule>
  </conditionalFormatting>
  <conditionalFormatting sqref="J25:J38">
    <cfRule type="expression" dxfId="2987" priority="23">
      <formula>J25&gt;0</formula>
    </cfRule>
    <cfRule type="expression" dxfId="2986" priority="24">
      <formula>J25&lt;0</formula>
    </cfRule>
  </conditionalFormatting>
  <conditionalFormatting sqref="K25:K38">
    <cfRule type="expression" dxfId="2985" priority="21">
      <formula>K25&gt;0</formula>
    </cfRule>
    <cfRule type="expression" dxfId="2984" priority="22">
      <formula>K25&lt;0</formula>
    </cfRule>
  </conditionalFormatting>
  <conditionalFormatting sqref="L25 L38">
    <cfRule type="expression" dxfId="2983" priority="19">
      <formula>L25&gt;0</formula>
    </cfRule>
    <cfRule type="expression" dxfId="2982" priority="20">
      <formula>L25&lt;0</formula>
    </cfRule>
  </conditionalFormatting>
  <conditionalFormatting sqref="F89:F110">
    <cfRule type="expression" dxfId="2981" priority="17">
      <formula>F89&gt;0</formula>
    </cfRule>
    <cfRule type="expression" dxfId="2980" priority="18">
      <formula>F89&lt;0</formula>
    </cfRule>
  </conditionalFormatting>
  <conditionalFormatting sqref="H89:H110">
    <cfRule type="expression" dxfId="2979" priority="15">
      <formula>H89&gt;0</formula>
    </cfRule>
    <cfRule type="expression" dxfId="2978" priority="16">
      <formula>H89&lt;0</formula>
    </cfRule>
  </conditionalFormatting>
  <conditionalFormatting sqref="J89:J102">
    <cfRule type="expression" dxfId="2977" priority="13">
      <formula>J89&gt;0</formula>
    </cfRule>
    <cfRule type="expression" dxfId="2976" priority="14">
      <formula>J89&lt;0</formula>
    </cfRule>
  </conditionalFormatting>
  <conditionalFormatting sqref="K89:K102">
    <cfRule type="expression" dxfId="2975" priority="11">
      <formula>K89&gt;0</formula>
    </cfRule>
    <cfRule type="expression" dxfId="2974" priority="12">
      <formula>K89&lt;0</formula>
    </cfRule>
  </conditionalFormatting>
  <conditionalFormatting sqref="L89:L102">
    <cfRule type="expression" dxfId="2973" priority="9">
      <formula>L89&gt;0</formula>
    </cfRule>
    <cfRule type="expression" dxfId="2972" priority="10">
      <formula>L89&lt;0</formula>
    </cfRule>
  </conditionalFormatting>
  <conditionalFormatting sqref="F25:F29">
    <cfRule type="expression" dxfId="2971" priority="7">
      <formula>F25&gt;0</formula>
    </cfRule>
    <cfRule type="expression" dxfId="2970" priority="8">
      <formula>F25&lt;0</formula>
    </cfRule>
  </conditionalFormatting>
  <conditionalFormatting sqref="H25:H29">
    <cfRule type="expression" dxfId="2969" priority="5">
      <formula>H25&gt;0</formula>
    </cfRule>
    <cfRule type="expression" dxfId="2968" priority="6">
      <formula>H25&lt;0</formula>
    </cfRule>
  </conditionalFormatting>
  <hyperlinks>
    <hyperlink ref="A3" location="ACTIVE!A1" display="Back"/>
  </hyperlinks>
  <pageMargins left="0.7" right="0.7" top="0.75" bottom="0.75" header="0.3" footer="0.3"/>
  <pageSetup orientation="portrait"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1249</v>
      </c>
      <c r="B2" s="360">
        <v>43416</v>
      </c>
      <c r="C2" s="7">
        <v>60</v>
      </c>
      <c r="D2" s="43">
        <v>91.8</v>
      </c>
      <c r="E2" s="43">
        <v>0</v>
      </c>
      <c r="F2" s="43">
        <f>C2*D2+E2</f>
        <v>5508</v>
      </c>
      <c r="G2" s="360">
        <v>43518</v>
      </c>
      <c r="H2" s="7">
        <v>60</v>
      </c>
      <c r="I2" s="43">
        <v>92.6</v>
      </c>
      <c r="J2" s="43">
        <v>7.0000000000000007E-2</v>
      </c>
      <c r="K2" s="43">
        <f>H2*I2-J2</f>
        <v>5555.93</v>
      </c>
      <c r="L2" s="69">
        <v>43448</v>
      </c>
      <c r="M2" s="3">
        <v>27</v>
      </c>
      <c r="O2" s="11" t="s">
        <v>57</v>
      </c>
      <c r="Q2">
        <f>C18-H18</f>
        <v>0</v>
      </c>
      <c r="T2" s="1"/>
    </row>
    <row r="3" spans="1:21" x14ac:dyDescent="0.25">
      <c r="A3" s="22" t="s">
        <v>71</v>
      </c>
      <c r="B3" s="69"/>
      <c r="C3" s="4"/>
      <c r="D3" s="3"/>
      <c r="E3" s="3"/>
      <c r="F3" s="3"/>
      <c r="G3" s="69"/>
      <c r="H3" s="158"/>
      <c r="I3" s="3"/>
      <c r="J3" s="3"/>
      <c r="K3" s="3"/>
      <c r="L3" s="4"/>
      <c r="M3" s="4"/>
      <c r="O3" s="11" t="s">
        <v>58</v>
      </c>
      <c r="Q3" s="174">
        <f>IF(Q2=0, Q4, (F18-K18-M18)/Q2)</f>
        <v>89.35</v>
      </c>
      <c r="T3" s="1"/>
      <c r="U3" s="22"/>
    </row>
    <row r="4" spans="1:21" x14ac:dyDescent="0.25">
      <c r="B4" s="69"/>
      <c r="C4" s="4"/>
      <c r="D4" s="3"/>
      <c r="E4" s="3"/>
      <c r="F4" s="3"/>
      <c r="G4" s="69"/>
      <c r="H4" s="158"/>
      <c r="I4" s="3"/>
      <c r="J4" s="3"/>
      <c r="K4" s="3"/>
      <c r="L4" s="4"/>
      <c r="M4" s="4"/>
      <c r="O4" s="11" t="s">
        <v>66</v>
      </c>
      <c r="Q4" s="53">
        <v>89.35</v>
      </c>
      <c r="R4" s="416">
        <v>-6.9999999999999999E-4</v>
      </c>
      <c r="T4" s="680"/>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74.930000000000291</v>
      </c>
      <c r="R7">
        <v>0</v>
      </c>
    </row>
    <row r="8" spans="1:21" x14ac:dyDescent="0.25">
      <c r="B8" s="69"/>
      <c r="C8" s="4"/>
      <c r="D8" s="3"/>
      <c r="E8" s="3"/>
      <c r="F8" s="3"/>
      <c r="G8" s="4"/>
      <c r="H8" s="158"/>
      <c r="I8" s="3"/>
      <c r="J8" s="3"/>
      <c r="K8" s="3"/>
      <c r="L8" s="4"/>
      <c r="M8" s="4"/>
      <c r="O8" s="11" t="s">
        <v>177</v>
      </c>
      <c r="P8" s="33"/>
      <c r="Q8" s="2">
        <f>K18+M18-F18+Q2*Q4</f>
        <v>74.930000000000291</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2.0145495243424735E-2</v>
      </c>
      <c r="R11">
        <v>1.8</v>
      </c>
    </row>
    <row r="12" spans="1:21" x14ac:dyDescent="0.25">
      <c r="H12" s="67"/>
      <c r="O12" s="11" t="s">
        <v>875</v>
      </c>
      <c r="Q12" s="1" t="s">
        <v>1308</v>
      </c>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98.284999999999997</v>
      </c>
    </row>
    <row r="18" spans="1:16" x14ac:dyDescent="0.25">
      <c r="A18" s="31" t="s">
        <v>81</v>
      </c>
      <c r="B18" s="14"/>
      <c r="C18" s="14">
        <f>SUM(C2:C8)</f>
        <v>60</v>
      </c>
      <c r="D18" s="18"/>
      <c r="E18" s="18"/>
      <c r="F18" s="18">
        <f>SUM(F2:F8)</f>
        <v>5508</v>
      </c>
      <c r="G18" s="14"/>
      <c r="H18" s="68">
        <f>SUM(H2:H5)</f>
        <v>60</v>
      </c>
      <c r="I18" s="18"/>
      <c r="J18" s="18"/>
      <c r="K18" s="18">
        <f>SUM(K2:K5)</f>
        <v>5555.93</v>
      </c>
      <c r="L18" s="14"/>
      <c r="M18" s="18">
        <f>SUM(M2:M10)</f>
        <v>27</v>
      </c>
      <c r="O18" s="78">
        <v>1.0900000000000001</v>
      </c>
      <c r="P18" s="78">
        <f t="shared" ref="P18:P37" si="0">O18*$Q$4</f>
        <v>97.391500000000008</v>
      </c>
    </row>
    <row r="19" spans="1:16" ht="15.75" thickBot="1" x14ac:dyDescent="0.3">
      <c r="A19" s="273" t="s">
        <v>189</v>
      </c>
      <c r="B19" s="274"/>
      <c r="C19" s="275">
        <f>SumByColor($A$19,C2:C17)</f>
        <v>60</v>
      </c>
      <c r="D19" s="275"/>
      <c r="E19" s="275"/>
      <c r="F19" s="276">
        <f>SumByColor($A$19,F2:F17)</f>
        <v>5508</v>
      </c>
      <c r="G19" s="275"/>
      <c r="H19" s="275">
        <f>SumByColor($A$19,H2:H17)</f>
        <v>60</v>
      </c>
      <c r="I19" s="275"/>
      <c r="J19" s="275"/>
      <c r="K19" s="276">
        <f>SumByColor($A$19,K2:K17)</f>
        <v>5556</v>
      </c>
      <c r="L19" s="275"/>
      <c r="M19" s="276">
        <f>SumByColor($A$19,M2:M17)</f>
        <v>0</v>
      </c>
      <c r="O19" s="78">
        <v>1.08</v>
      </c>
      <c r="P19" s="78">
        <f t="shared" si="0"/>
        <v>96.498000000000005</v>
      </c>
    </row>
    <row r="20" spans="1:16" x14ac:dyDescent="0.25">
      <c r="O20" s="78">
        <v>1.07</v>
      </c>
      <c r="P20" s="78">
        <f t="shared" si="0"/>
        <v>95.604500000000002</v>
      </c>
    </row>
    <row r="21" spans="1:16" x14ac:dyDescent="0.25">
      <c r="O21" s="78">
        <v>1.06</v>
      </c>
      <c r="P21" s="78">
        <f t="shared" si="0"/>
        <v>94.710999999999999</v>
      </c>
    </row>
    <row r="22" spans="1:16" x14ac:dyDescent="0.25">
      <c r="O22" s="78">
        <v>1.05</v>
      </c>
      <c r="P22" s="78">
        <f t="shared" si="0"/>
        <v>93.817499999999995</v>
      </c>
    </row>
    <row r="23" spans="1:16" x14ac:dyDescent="0.25">
      <c r="O23" s="78">
        <v>1.04</v>
      </c>
      <c r="P23" s="78">
        <f t="shared" si="0"/>
        <v>92.923999999999992</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92.030500000000004</v>
      </c>
    </row>
    <row r="25" spans="1:16" x14ac:dyDescent="0.25">
      <c r="B25" s="161">
        <v>43416</v>
      </c>
      <c r="C25" s="10">
        <v>60</v>
      </c>
      <c r="D25" s="39">
        <v>91.8</v>
      </c>
      <c r="E25" s="39">
        <v>89.52</v>
      </c>
      <c r="F25" s="39">
        <f>C25*(E25-D25)</f>
        <v>-136.80000000000007</v>
      </c>
      <c r="G25" s="39">
        <f>D25*C25</f>
        <v>5508</v>
      </c>
      <c r="H25" s="175">
        <f>(E25-D25)/D25</f>
        <v>-2.4836601307189555E-2</v>
      </c>
      <c r="I25" s="39"/>
      <c r="J25" s="39"/>
      <c r="K25" s="39"/>
      <c r="L25" s="39"/>
      <c r="O25" s="78">
        <v>1.02</v>
      </c>
      <c r="P25" s="78">
        <f t="shared" si="0"/>
        <v>91.137</v>
      </c>
    </row>
    <row r="26" spans="1:16" x14ac:dyDescent="0.25">
      <c r="B26" s="161">
        <v>43448</v>
      </c>
      <c r="C26" s="10">
        <v>60</v>
      </c>
      <c r="D26" s="39">
        <v>91.35</v>
      </c>
      <c r="E26" s="39">
        <v>82.22</v>
      </c>
      <c r="F26" s="39">
        <f>C26*(E26-D26)</f>
        <v>-547.79999999999973</v>
      </c>
      <c r="G26" s="39">
        <f>D26*C26</f>
        <v>5481</v>
      </c>
      <c r="H26" s="175">
        <f>(E26-D26)/D26</f>
        <v>-9.9945265462506802E-2</v>
      </c>
      <c r="I26" s="39"/>
      <c r="J26" s="39"/>
      <c r="K26" s="39"/>
      <c r="L26" s="39"/>
      <c r="O26" s="78">
        <v>1.01</v>
      </c>
      <c r="P26" s="78">
        <f t="shared" si="0"/>
        <v>90.243499999999997</v>
      </c>
    </row>
    <row r="27" spans="1:16" x14ac:dyDescent="0.25">
      <c r="B27" s="161">
        <v>43486</v>
      </c>
      <c r="C27" s="10">
        <v>60</v>
      </c>
      <c r="D27" s="39">
        <v>91.35</v>
      </c>
      <c r="E27" s="39">
        <v>82.21</v>
      </c>
      <c r="F27" s="39">
        <f>C27*(E27-D27)</f>
        <v>-548.40000000000009</v>
      </c>
      <c r="G27" s="39">
        <f>D27*C27</f>
        <v>5481</v>
      </c>
      <c r="H27" s="175">
        <f>(E27-D27)/D27</f>
        <v>-0.10005473453749317</v>
      </c>
      <c r="I27" s="39"/>
      <c r="J27" s="39"/>
      <c r="K27" s="39"/>
      <c r="L27" s="39"/>
      <c r="O27" s="78">
        <v>1</v>
      </c>
      <c r="P27" s="78">
        <f t="shared" si="0"/>
        <v>89.35</v>
      </c>
    </row>
    <row r="28" spans="1:16" x14ac:dyDescent="0.25">
      <c r="B28" s="161">
        <v>43520</v>
      </c>
      <c r="C28" s="10">
        <v>0</v>
      </c>
      <c r="D28" s="39">
        <v>91.35</v>
      </c>
      <c r="E28" s="39">
        <v>92.52</v>
      </c>
      <c r="F28" s="39"/>
      <c r="G28" s="39"/>
      <c r="H28" s="175">
        <f>(E28-D28)/D28</f>
        <v>1.2807881773399034E-2</v>
      </c>
      <c r="I28" s="39"/>
      <c r="J28" s="39">
        <v>74.930000000000007</v>
      </c>
      <c r="K28" s="39"/>
      <c r="L28" s="39"/>
      <c r="O28" s="78">
        <v>0.99</v>
      </c>
      <c r="P28" s="78">
        <f t="shared" si="0"/>
        <v>88.456499999999991</v>
      </c>
    </row>
    <row r="29" spans="1:16" x14ac:dyDescent="0.25">
      <c r="B29" s="161"/>
      <c r="C29" s="10"/>
      <c r="D29" s="39"/>
      <c r="E29" s="39"/>
      <c r="F29" s="39"/>
      <c r="G29" s="39"/>
      <c r="H29" s="175"/>
      <c r="I29" s="39"/>
      <c r="J29" s="39"/>
      <c r="K29" s="39"/>
      <c r="L29" s="39"/>
      <c r="O29" s="78">
        <v>0.98</v>
      </c>
      <c r="P29" s="78">
        <f t="shared" si="0"/>
        <v>87.562999999999988</v>
      </c>
    </row>
    <row r="30" spans="1:16" x14ac:dyDescent="0.25">
      <c r="B30" s="161"/>
      <c r="C30" s="10"/>
      <c r="D30" s="39"/>
      <c r="E30" s="39"/>
      <c r="F30" s="39"/>
      <c r="G30" s="39"/>
      <c r="H30" s="175"/>
      <c r="I30" s="39"/>
      <c r="J30" s="39"/>
      <c r="K30" s="39"/>
      <c r="L30" s="39"/>
      <c r="O30" s="78">
        <v>0.97</v>
      </c>
      <c r="P30" s="78">
        <f t="shared" si="0"/>
        <v>86.669499999999985</v>
      </c>
    </row>
    <row r="31" spans="1:16" x14ac:dyDescent="0.25">
      <c r="B31" s="161"/>
      <c r="C31" s="10"/>
      <c r="D31" s="39"/>
      <c r="E31" s="39"/>
      <c r="F31" s="39"/>
      <c r="G31" s="39"/>
      <c r="H31" s="175"/>
      <c r="I31" s="39"/>
      <c r="J31" s="39"/>
      <c r="K31" s="39"/>
      <c r="L31" s="39"/>
      <c r="O31" s="78">
        <v>0.96</v>
      </c>
      <c r="P31" s="78">
        <f t="shared" si="0"/>
        <v>85.775999999999996</v>
      </c>
    </row>
    <row r="32" spans="1:16" x14ac:dyDescent="0.25">
      <c r="B32" s="161"/>
      <c r="C32" s="10"/>
      <c r="D32" s="39"/>
      <c r="E32" s="39"/>
      <c r="F32" s="39"/>
      <c r="G32" s="39"/>
      <c r="H32" s="175"/>
      <c r="I32" s="39"/>
      <c r="J32" s="39"/>
      <c r="K32" s="39"/>
      <c r="L32" s="39"/>
      <c r="O32" s="78">
        <v>0.95</v>
      </c>
      <c r="P32" s="78">
        <f t="shared" si="0"/>
        <v>84.882499999999993</v>
      </c>
    </row>
    <row r="33" spans="2:17" x14ac:dyDescent="0.25">
      <c r="B33" s="161"/>
      <c r="C33" s="10"/>
      <c r="D33" s="39"/>
      <c r="E33" s="39"/>
      <c r="F33" s="39"/>
      <c r="G33" s="39"/>
      <c r="H33" s="175"/>
      <c r="I33" s="39"/>
      <c r="J33" s="39"/>
      <c r="K33" s="39"/>
      <c r="L33" s="39"/>
      <c r="O33" s="78">
        <v>0.94</v>
      </c>
      <c r="P33" s="78">
        <f t="shared" si="0"/>
        <v>83.98899999999999</v>
      </c>
    </row>
    <row r="34" spans="2:17" x14ac:dyDescent="0.25">
      <c r="B34" s="161"/>
      <c r="C34" s="10"/>
      <c r="D34" s="39"/>
      <c r="E34" s="39"/>
      <c r="F34" s="39"/>
      <c r="G34" s="39"/>
      <c r="H34" s="175"/>
      <c r="I34" s="39"/>
      <c r="J34" s="39"/>
      <c r="K34" s="39"/>
      <c r="L34" s="39"/>
      <c r="O34" s="78">
        <v>0.93</v>
      </c>
      <c r="P34" s="78">
        <f t="shared" si="0"/>
        <v>83.095500000000001</v>
      </c>
    </row>
    <row r="35" spans="2:17" x14ac:dyDescent="0.25">
      <c r="B35" s="161"/>
      <c r="C35" s="10"/>
      <c r="D35" s="39"/>
      <c r="E35" s="39"/>
      <c r="F35" s="39"/>
      <c r="G35" s="39"/>
      <c r="H35" s="175"/>
      <c r="I35" s="39"/>
      <c r="J35" s="39"/>
      <c r="K35" s="39"/>
      <c r="L35" s="39"/>
      <c r="O35" s="78">
        <v>0.92</v>
      </c>
      <c r="P35" s="78">
        <f t="shared" si="0"/>
        <v>82.201999999999998</v>
      </c>
    </row>
    <row r="36" spans="2:17" x14ac:dyDescent="0.25">
      <c r="B36" s="161"/>
      <c r="C36" s="10"/>
      <c r="D36" s="39"/>
      <c r="E36" s="39"/>
      <c r="F36" s="39"/>
      <c r="G36" s="39"/>
      <c r="H36" s="175"/>
      <c r="I36" s="39"/>
      <c r="J36" s="39"/>
      <c r="K36" s="39"/>
      <c r="L36" s="39"/>
      <c r="O36" s="78">
        <v>0.91</v>
      </c>
      <c r="P36" s="78">
        <f t="shared" si="0"/>
        <v>81.308499999999995</v>
      </c>
    </row>
    <row r="37" spans="2:17" x14ac:dyDescent="0.25">
      <c r="B37" s="161"/>
      <c r="C37" s="10"/>
      <c r="D37" s="39"/>
      <c r="E37" s="39"/>
      <c r="F37" s="39"/>
      <c r="G37" s="39"/>
      <c r="H37" s="175"/>
      <c r="I37" s="39"/>
      <c r="J37" s="39"/>
      <c r="K37" s="39"/>
      <c r="L37" s="39"/>
      <c r="O37" s="78">
        <v>0.9</v>
      </c>
      <c r="P37" s="78">
        <f t="shared" si="0"/>
        <v>80.414999999999992</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967" priority="35">
      <formula>F47&gt;0</formula>
    </cfRule>
    <cfRule type="expression" dxfId="2966" priority="36">
      <formula>F47&lt;0</formula>
    </cfRule>
  </conditionalFormatting>
  <conditionalFormatting sqref="Q7">
    <cfRule type="expression" dxfId="2965" priority="33">
      <formula>Q7&gt;0</formula>
    </cfRule>
    <cfRule type="expression" dxfId="2964" priority="34">
      <formula>Q7&lt;0</formula>
    </cfRule>
  </conditionalFormatting>
  <conditionalFormatting sqref="Q8">
    <cfRule type="expression" dxfId="2963" priority="31">
      <formula>Q8&gt;0</formula>
    </cfRule>
    <cfRule type="expression" dxfId="2962" priority="32">
      <formula>Q8&lt;0</formula>
    </cfRule>
  </conditionalFormatting>
  <conditionalFormatting sqref="F30:F46">
    <cfRule type="expression" dxfId="2961" priority="29">
      <formula>F30&gt;0</formula>
    </cfRule>
    <cfRule type="expression" dxfId="2960" priority="30">
      <formula>F30&lt;0</formula>
    </cfRule>
  </conditionalFormatting>
  <conditionalFormatting sqref="H30:H46">
    <cfRule type="expression" dxfId="2959" priority="27">
      <formula>H30&gt;0</formula>
    </cfRule>
    <cfRule type="expression" dxfId="2958" priority="28">
      <formula>H30&lt;0</formula>
    </cfRule>
  </conditionalFormatting>
  <conditionalFormatting sqref="Q10">
    <cfRule type="expression" dxfId="2957" priority="25">
      <formula>Q10&gt;0</formula>
    </cfRule>
    <cfRule type="expression" dxfId="2956" priority="26">
      <formula>Q10&lt;0</formula>
    </cfRule>
  </conditionalFormatting>
  <conditionalFormatting sqref="J25:J38">
    <cfRule type="expression" dxfId="2955" priority="23">
      <formula>J25&gt;0</formula>
    </cfRule>
    <cfRule type="expression" dxfId="2954" priority="24">
      <formula>J25&lt;0</formula>
    </cfRule>
  </conditionalFormatting>
  <conditionalFormatting sqref="K25:K38">
    <cfRule type="expression" dxfId="2953" priority="21">
      <formula>K25&gt;0</formula>
    </cfRule>
    <cfRule type="expression" dxfId="2952" priority="22">
      <formula>K25&lt;0</formula>
    </cfRule>
  </conditionalFormatting>
  <conditionalFormatting sqref="L25 L38">
    <cfRule type="expression" dxfId="2951" priority="19">
      <formula>L25&gt;0</formula>
    </cfRule>
    <cfRule type="expression" dxfId="2950" priority="20">
      <formula>L25&lt;0</formula>
    </cfRule>
  </conditionalFormatting>
  <conditionalFormatting sqref="F89:F110">
    <cfRule type="expression" dxfId="2949" priority="17">
      <formula>F89&gt;0</formula>
    </cfRule>
    <cfRule type="expression" dxfId="2948" priority="18">
      <formula>F89&lt;0</formula>
    </cfRule>
  </conditionalFormatting>
  <conditionalFormatting sqref="H89:H110">
    <cfRule type="expression" dxfId="2947" priority="15">
      <formula>H89&gt;0</formula>
    </cfRule>
    <cfRule type="expression" dxfId="2946" priority="16">
      <formula>H89&lt;0</formula>
    </cfRule>
  </conditionalFormatting>
  <conditionalFormatting sqref="J89:J102">
    <cfRule type="expression" dxfId="2945" priority="13">
      <formula>J89&gt;0</formula>
    </cfRule>
    <cfRule type="expression" dxfId="2944" priority="14">
      <formula>J89&lt;0</formula>
    </cfRule>
  </conditionalFormatting>
  <conditionalFormatting sqref="K89:K102">
    <cfRule type="expression" dxfId="2943" priority="11">
      <formula>K89&gt;0</formula>
    </cfRule>
    <cfRule type="expression" dxfId="2942" priority="12">
      <formula>K89&lt;0</formula>
    </cfRule>
  </conditionalFormatting>
  <conditionalFormatting sqref="L89:L102">
    <cfRule type="expression" dxfId="2941" priority="9">
      <formula>L89&gt;0</formula>
    </cfRule>
    <cfRule type="expression" dxfId="2940" priority="10">
      <formula>L89&lt;0</formula>
    </cfRule>
  </conditionalFormatting>
  <conditionalFormatting sqref="F29 F25:F27">
    <cfRule type="expression" dxfId="2939" priority="7">
      <formula>F25&gt;0</formula>
    </cfRule>
    <cfRule type="expression" dxfId="2938" priority="8">
      <formula>F25&lt;0</formula>
    </cfRule>
  </conditionalFormatting>
  <conditionalFormatting sqref="H25:H29">
    <cfRule type="expression" dxfId="2937" priority="5">
      <formula>H25&gt;0</formula>
    </cfRule>
    <cfRule type="expression" dxfId="2936" priority="6">
      <formula>H25&lt;0</formula>
    </cfRule>
  </conditionalFormatting>
  <conditionalFormatting sqref="F28">
    <cfRule type="expression" dxfId="2935" priority="3">
      <formula>F28&gt;0</formula>
    </cfRule>
    <cfRule type="expression" dxfId="2934" priority="4">
      <formula>F28&lt;0</formula>
    </cfRule>
  </conditionalFormatting>
  <hyperlinks>
    <hyperlink ref="A3" location="ACTIVE!A1" display="Back"/>
  </hyperlinks>
  <pageMargins left="0.7" right="0.7" top="0.75" bottom="0.75" header="0.3" footer="0.3"/>
  <pageSetup orientation="portrait"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1275</v>
      </c>
      <c r="B2" s="360">
        <v>43434</v>
      </c>
      <c r="C2" s="7">
        <v>25</v>
      </c>
      <c r="D2" s="43">
        <v>146.65</v>
      </c>
      <c r="E2" s="43">
        <v>0</v>
      </c>
      <c r="F2" s="43">
        <f>C2*D2+E2</f>
        <v>3666.25</v>
      </c>
      <c r="G2" s="360">
        <v>43552</v>
      </c>
      <c r="H2" s="7">
        <v>25</v>
      </c>
      <c r="I2" s="43">
        <v>150.1</v>
      </c>
      <c r="J2" s="43">
        <v>0.05</v>
      </c>
      <c r="K2" s="43">
        <f>H2*I2-J2</f>
        <v>3752.45</v>
      </c>
      <c r="L2" s="69">
        <v>43567</v>
      </c>
      <c r="M2" s="43">
        <v>8</v>
      </c>
      <c r="O2" s="11" t="s">
        <v>57</v>
      </c>
      <c r="Q2">
        <f>C18-H18</f>
        <v>0</v>
      </c>
      <c r="T2" s="1"/>
    </row>
    <row r="3" spans="1:21" x14ac:dyDescent="0.25">
      <c r="A3" s="22" t="s">
        <v>71</v>
      </c>
      <c r="B3" s="114"/>
      <c r="C3" s="4"/>
      <c r="D3" s="3"/>
      <c r="E3" s="3"/>
      <c r="F3" s="3"/>
      <c r="G3" s="69"/>
      <c r="H3" s="158"/>
      <c r="I3" s="3"/>
      <c r="J3" s="3"/>
      <c r="K3" s="3"/>
      <c r="L3" s="4"/>
      <c r="M3" s="4"/>
      <c r="O3" s="11" t="s">
        <v>58</v>
      </c>
      <c r="Q3" s="174">
        <f>IF(Q2=0, Q4, (F18-K18-M18)/Q2)</f>
        <v>133.75</v>
      </c>
      <c r="T3" s="1"/>
    </row>
    <row r="4" spans="1:21" x14ac:dyDescent="0.25">
      <c r="B4" s="69"/>
      <c r="C4" s="4"/>
      <c r="D4" s="3"/>
      <c r="E4" s="3"/>
      <c r="F4" s="3"/>
      <c r="G4" s="69"/>
      <c r="H4" s="158"/>
      <c r="I4" s="3"/>
      <c r="J4" s="3"/>
      <c r="K4" s="3"/>
      <c r="L4" s="4"/>
      <c r="M4" s="4"/>
      <c r="O4" s="11" t="s">
        <v>66</v>
      </c>
      <c r="Q4" s="53">
        <v>133.75</v>
      </c>
      <c r="R4" s="416">
        <v>3.9100000000000003E-2</v>
      </c>
      <c r="T4" s="680"/>
      <c r="U4" s="30"/>
    </row>
    <row r="5" spans="1:21" x14ac:dyDescent="0.25">
      <c r="B5" s="69"/>
      <c r="C5" s="4"/>
      <c r="D5" s="3"/>
      <c r="E5" s="3"/>
      <c r="F5" s="3"/>
      <c r="G5" s="69"/>
      <c r="H5" s="158"/>
      <c r="I5" s="3"/>
      <c r="J5" s="3"/>
      <c r="K5" s="3"/>
      <c r="L5" s="4"/>
      <c r="M5" s="4"/>
      <c r="O5" s="11" t="s">
        <v>67</v>
      </c>
      <c r="Q5" s="3">
        <f>Q4*Q2</f>
        <v>0</v>
      </c>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69"/>
      <c r="H7" s="158"/>
      <c r="I7" s="3"/>
      <c r="J7" s="3"/>
      <c r="K7" s="3"/>
      <c r="L7" s="4"/>
      <c r="M7" s="4"/>
      <c r="O7" s="11" t="s">
        <v>175</v>
      </c>
      <c r="Q7" s="2">
        <f>Q10+Q8</f>
        <v>94.199999999999818</v>
      </c>
      <c r="R7">
        <v>0</v>
      </c>
      <c r="T7" s="1"/>
    </row>
    <row r="8" spans="1:21" x14ac:dyDescent="0.25">
      <c r="B8" s="69"/>
      <c r="C8" s="4"/>
      <c r="D8" s="3"/>
      <c r="E8" s="3"/>
      <c r="F8" s="3"/>
      <c r="G8" s="69"/>
      <c r="H8" s="158"/>
      <c r="I8" s="3"/>
      <c r="J8" s="3"/>
      <c r="K8" s="3"/>
      <c r="L8" s="4"/>
      <c r="M8" s="4"/>
      <c r="O8" s="11" t="s">
        <v>177</v>
      </c>
      <c r="P8" s="33"/>
      <c r="Q8" s="2">
        <f>K18+M18-F18+Q2*Q4</f>
        <v>94.199999999999818</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6.5794392523364489E-3</v>
      </c>
      <c r="R11">
        <f>0.88/4</f>
        <v>0.22</v>
      </c>
    </row>
    <row r="12" spans="1:21" x14ac:dyDescent="0.25">
      <c r="H12" s="67"/>
      <c r="O12" s="11" t="s">
        <v>875</v>
      </c>
      <c r="Q12" s="1" t="s">
        <v>1293</v>
      </c>
    </row>
    <row r="13" spans="1:21" x14ac:dyDescent="0.25">
      <c r="H13" s="67"/>
      <c r="O13" s="11" t="s">
        <v>901</v>
      </c>
      <c r="Q13" s="2">
        <f>Q4/4.4</f>
        <v>30.39772727272727</v>
      </c>
      <c r="T13" s="1"/>
    </row>
    <row r="14" spans="1:21" x14ac:dyDescent="0.25">
      <c r="H14" s="67"/>
      <c r="O14" s="11" t="s">
        <v>988</v>
      </c>
      <c r="Q14" s="1"/>
    </row>
    <row r="15" spans="1:21" x14ac:dyDescent="0.25">
      <c r="H15" s="67"/>
    </row>
    <row r="16" spans="1:21" ht="20.25" thickBot="1" x14ac:dyDescent="0.35">
      <c r="H16" s="67"/>
      <c r="O16" s="886" t="s">
        <v>78</v>
      </c>
      <c r="P16" s="886"/>
    </row>
    <row r="17" spans="1:16" ht="15.75" thickTop="1" x14ac:dyDescent="0.25">
      <c r="O17" s="78">
        <v>1.1000000000000001</v>
      </c>
      <c r="P17" s="78">
        <f>O17*$Q$4</f>
        <v>147.125</v>
      </c>
    </row>
    <row r="18" spans="1:16" x14ac:dyDescent="0.25">
      <c r="A18" s="31" t="s">
        <v>81</v>
      </c>
      <c r="B18" s="14"/>
      <c r="C18" s="14">
        <f>SUM(C2:C9)</f>
        <v>25</v>
      </c>
      <c r="D18" s="18"/>
      <c r="E18" s="18"/>
      <c r="F18" s="18">
        <f>SUM(F2:F9)</f>
        <v>3666.25</v>
      </c>
      <c r="G18" s="14"/>
      <c r="H18" s="68">
        <f>SUM(H2:H8)</f>
        <v>25</v>
      </c>
      <c r="I18" s="18"/>
      <c r="J18" s="18"/>
      <c r="K18" s="18">
        <f>SUM(K2:K8)</f>
        <v>3752.45</v>
      </c>
      <c r="L18" s="14"/>
      <c r="M18" s="18">
        <f>SUM(M2:M10)</f>
        <v>8</v>
      </c>
      <c r="O18" s="78">
        <v>1.0900000000000001</v>
      </c>
      <c r="P18" s="78">
        <f t="shared" ref="P18:P37" si="0">O18*$Q$4</f>
        <v>145.78750000000002</v>
      </c>
    </row>
    <row r="19" spans="1:16" ht="15.75" thickBot="1" x14ac:dyDescent="0.3">
      <c r="A19" s="273" t="s">
        <v>189</v>
      </c>
      <c r="B19" s="274"/>
      <c r="C19" s="275">
        <f>SumByColor($A$19,C2:C17)</f>
        <v>25</v>
      </c>
      <c r="D19" s="275"/>
      <c r="E19" s="275"/>
      <c r="F19" s="276">
        <f>SumByColor($A$19,F2:F17)</f>
        <v>3666</v>
      </c>
      <c r="G19" s="275"/>
      <c r="H19" s="275">
        <f>SumByColor($A$19,H2:H17)</f>
        <v>25</v>
      </c>
      <c r="I19" s="275"/>
      <c r="J19" s="275"/>
      <c r="K19" s="276">
        <f>SumByColor($A$19,K2:K17)</f>
        <v>3752</v>
      </c>
      <c r="L19" s="275"/>
      <c r="M19" s="276">
        <f>SumByColor($A$19,M2:M17)</f>
        <v>8</v>
      </c>
      <c r="O19" s="78">
        <v>1.08</v>
      </c>
      <c r="P19" s="78">
        <f t="shared" si="0"/>
        <v>144.45000000000002</v>
      </c>
    </row>
    <row r="20" spans="1:16" x14ac:dyDescent="0.25">
      <c r="O20" s="78">
        <v>1.07</v>
      </c>
      <c r="P20" s="78">
        <f t="shared" si="0"/>
        <v>143.11250000000001</v>
      </c>
    </row>
    <row r="21" spans="1:16" x14ac:dyDescent="0.25">
      <c r="O21" s="78">
        <v>1.06</v>
      </c>
      <c r="P21" s="78">
        <f t="shared" si="0"/>
        <v>141.77500000000001</v>
      </c>
    </row>
    <row r="22" spans="1:16" x14ac:dyDescent="0.25">
      <c r="O22" s="78">
        <v>1.05</v>
      </c>
      <c r="P22" s="78">
        <f t="shared" si="0"/>
        <v>140.4375</v>
      </c>
    </row>
    <row r="23" spans="1:16" x14ac:dyDescent="0.25">
      <c r="O23" s="78">
        <v>1.04</v>
      </c>
      <c r="P23" s="78">
        <f t="shared" si="0"/>
        <v>139.1</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137.76250000000002</v>
      </c>
    </row>
    <row r="25" spans="1:16" x14ac:dyDescent="0.25">
      <c r="B25" s="161">
        <v>43434</v>
      </c>
      <c r="C25" s="10">
        <v>25</v>
      </c>
      <c r="D25" s="39">
        <v>146.65</v>
      </c>
      <c r="E25" s="39">
        <v>147.75</v>
      </c>
      <c r="F25" s="39">
        <f>C25*(E25-D25)</f>
        <v>27.499999999999858</v>
      </c>
      <c r="G25" s="39">
        <f>D25*C25</f>
        <v>3666.25</v>
      </c>
      <c r="H25" s="175">
        <f>(E25-D25)/D25</f>
        <v>7.5008523695874142E-3</v>
      </c>
      <c r="I25" s="39"/>
      <c r="J25" s="39"/>
      <c r="K25" s="39"/>
      <c r="L25" s="39"/>
      <c r="O25" s="78">
        <v>1.02</v>
      </c>
      <c r="P25" s="78">
        <f t="shared" si="0"/>
        <v>136.42500000000001</v>
      </c>
    </row>
    <row r="26" spans="1:16" x14ac:dyDescent="0.25">
      <c r="B26" s="161">
        <v>43508</v>
      </c>
      <c r="C26" s="10">
        <v>25</v>
      </c>
      <c r="D26" s="39">
        <v>146.65</v>
      </c>
      <c r="E26" s="39">
        <v>141.38999999999999</v>
      </c>
      <c r="F26" s="39">
        <f>C26*(E26-D26)</f>
        <v>-131.50000000000048</v>
      </c>
      <c r="G26" s="39">
        <f>D26*C26</f>
        <v>3666.25</v>
      </c>
      <c r="H26" s="175">
        <f>(E26-D26)/D26</f>
        <v>-3.5867712240027404E-2</v>
      </c>
      <c r="I26" s="39"/>
      <c r="J26" s="39"/>
      <c r="K26" s="39"/>
      <c r="L26" s="39"/>
      <c r="O26" s="78">
        <v>1.01</v>
      </c>
      <c r="P26" s="78">
        <f t="shared" si="0"/>
        <v>135.08750000000001</v>
      </c>
    </row>
    <row r="27" spans="1:16" x14ac:dyDescent="0.25">
      <c r="B27" s="161">
        <v>43535</v>
      </c>
      <c r="C27" s="10">
        <v>25</v>
      </c>
      <c r="D27" s="39">
        <v>146.65</v>
      </c>
      <c r="E27" s="39">
        <v>132.44</v>
      </c>
      <c r="F27" s="39">
        <f>C27*(E27-D27)</f>
        <v>-355.25000000000023</v>
      </c>
      <c r="G27" s="39">
        <f>D27*C27</f>
        <v>3666.25</v>
      </c>
      <c r="H27" s="175">
        <f>(E27-D27)/D27</f>
        <v>-9.6897374701670688E-2</v>
      </c>
      <c r="I27" s="39"/>
      <c r="J27" s="39"/>
      <c r="K27" s="39"/>
      <c r="L27" s="39"/>
      <c r="O27" s="78">
        <v>1</v>
      </c>
      <c r="P27" s="78">
        <f t="shared" si="0"/>
        <v>133.75</v>
      </c>
    </row>
    <row r="28" spans="1:16" x14ac:dyDescent="0.25">
      <c r="B28" s="161">
        <v>43552</v>
      </c>
      <c r="C28" s="10">
        <v>0</v>
      </c>
      <c r="D28" s="39">
        <v>146.65</v>
      </c>
      <c r="E28" s="39">
        <v>150.1</v>
      </c>
      <c r="F28" s="39"/>
      <c r="G28" s="39">
        <f>D28*C28</f>
        <v>0</v>
      </c>
      <c r="H28" s="175">
        <f>(E28-D28)/D28</f>
        <v>2.3525400613706025E-2</v>
      </c>
      <c r="I28" s="39"/>
      <c r="J28" s="39">
        <v>86.2</v>
      </c>
      <c r="K28" s="39"/>
      <c r="L28" s="39"/>
      <c r="O28" s="78">
        <v>0.99</v>
      </c>
      <c r="P28" s="78">
        <f t="shared" si="0"/>
        <v>132.41249999999999</v>
      </c>
    </row>
    <row r="29" spans="1:16" x14ac:dyDescent="0.25">
      <c r="B29" s="161">
        <v>43569</v>
      </c>
      <c r="C29" s="10">
        <v>0</v>
      </c>
      <c r="D29" s="39"/>
      <c r="E29" s="39"/>
      <c r="F29" s="39"/>
      <c r="G29" s="39"/>
      <c r="H29" s="175"/>
      <c r="I29" s="39"/>
      <c r="J29" s="39">
        <v>94.2</v>
      </c>
      <c r="K29" s="39"/>
      <c r="L29" s="39"/>
      <c r="O29" s="78">
        <v>0.98</v>
      </c>
      <c r="P29" s="78">
        <f t="shared" si="0"/>
        <v>131.07499999999999</v>
      </c>
    </row>
    <row r="30" spans="1:16" x14ac:dyDescent="0.25">
      <c r="B30" s="161"/>
      <c r="C30" s="10"/>
      <c r="D30" s="39"/>
      <c r="E30" s="39"/>
      <c r="F30" s="39"/>
      <c r="G30" s="39"/>
      <c r="H30" s="175"/>
      <c r="I30" s="39"/>
      <c r="J30" s="39"/>
      <c r="K30" s="39"/>
      <c r="L30" s="39"/>
      <c r="O30" s="78">
        <v>0.97</v>
      </c>
      <c r="P30" s="78">
        <f t="shared" si="0"/>
        <v>129.73749999999998</v>
      </c>
    </row>
    <row r="31" spans="1:16" x14ac:dyDescent="0.25">
      <c r="B31" s="161"/>
      <c r="C31" s="10"/>
      <c r="D31" s="39"/>
      <c r="E31" s="39"/>
      <c r="F31" s="39"/>
      <c r="G31" s="39"/>
      <c r="H31" s="175"/>
      <c r="I31" s="39"/>
      <c r="J31" s="39"/>
      <c r="K31" s="39"/>
      <c r="L31" s="39"/>
      <c r="O31" s="78">
        <v>0.96</v>
      </c>
      <c r="P31" s="78">
        <f t="shared" si="0"/>
        <v>128.4</v>
      </c>
    </row>
    <row r="32" spans="1:16" x14ac:dyDescent="0.25">
      <c r="B32" s="161"/>
      <c r="C32" s="10"/>
      <c r="D32" s="39"/>
      <c r="E32" s="39"/>
      <c r="F32" s="39"/>
      <c r="G32" s="39"/>
      <c r="H32" s="175"/>
      <c r="I32" s="39"/>
      <c r="J32" s="39"/>
      <c r="K32" s="39"/>
      <c r="L32" s="39"/>
      <c r="O32" s="78">
        <v>0.95</v>
      </c>
      <c r="P32" s="78">
        <f t="shared" si="0"/>
        <v>127.0625</v>
      </c>
    </row>
    <row r="33" spans="2:17" x14ac:dyDescent="0.25">
      <c r="B33" s="161"/>
      <c r="C33" s="10"/>
      <c r="D33" s="39"/>
      <c r="E33" s="39"/>
      <c r="F33" s="39"/>
      <c r="G33" s="39"/>
      <c r="H33" s="175"/>
      <c r="I33" s="39"/>
      <c r="J33" s="39"/>
      <c r="K33" s="39"/>
      <c r="L33" s="39"/>
      <c r="O33" s="78">
        <v>0.94</v>
      </c>
      <c r="P33" s="78">
        <f t="shared" si="0"/>
        <v>125.72499999999999</v>
      </c>
    </row>
    <row r="34" spans="2:17" x14ac:dyDescent="0.25">
      <c r="B34" s="161"/>
      <c r="C34" s="10"/>
      <c r="D34" s="39"/>
      <c r="E34" s="39"/>
      <c r="F34" s="39"/>
      <c r="G34" s="39"/>
      <c r="H34" s="175"/>
      <c r="I34" s="39"/>
      <c r="J34" s="39"/>
      <c r="K34" s="39"/>
      <c r="L34" s="39"/>
      <c r="O34" s="78">
        <v>0.93</v>
      </c>
      <c r="P34" s="78">
        <f t="shared" si="0"/>
        <v>124.3875</v>
      </c>
    </row>
    <row r="35" spans="2:17" x14ac:dyDescent="0.25">
      <c r="B35" s="161"/>
      <c r="C35" s="10"/>
      <c r="D35" s="39"/>
      <c r="E35" s="39"/>
      <c r="F35" s="39"/>
      <c r="G35" s="39"/>
      <c r="H35" s="175"/>
      <c r="I35" s="39"/>
      <c r="J35" s="39"/>
      <c r="K35" s="39"/>
      <c r="L35" s="39"/>
      <c r="O35" s="78">
        <v>0.92</v>
      </c>
      <c r="P35" s="78">
        <f t="shared" si="0"/>
        <v>123.05000000000001</v>
      </c>
    </row>
    <row r="36" spans="2:17" x14ac:dyDescent="0.25">
      <c r="B36" s="161"/>
      <c r="C36" s="10"/>
      <c r="D36" s="39"/>
      <c r="E36" s="39"/>
      <c r="F36" s="39"/>
      <c r="G36" s="39"/>
      <c r="H36" s="175"/>
      <c r="I36" s="39"/>
      <c r="J36" s="39"/>
      <c r="K36" s="39"/>
      <c r="L36" s="39"/>
      <c r="O36" s="78">
        <v>0.91</v>
      </c>
      <c r="P36" s="78">
        <f t="shared" si="0"/>
        <v>121.71250000000001</v>
      </c>
    </row>
    <row r="37" spans="2:17" x14ac:dyDescent="0.25">
      <c r="B37" s="161"/>
      <c r="C37" s="10"/>
      <c r="D37" s="39"/>
      <c r="E37" s="39"/>
      <c r="F37" s="39"/>
      <c r="G37" s="39"/>
      <c r="H37" s="175"/>
      <c r="I37" s="39"/>
      <c r="J37" s="39"/>
      <c r="K37" s="39"/>
      <c r="L37" s="39"/>
      <c r="O37" s="78">
        <v>0.9</v>
      </c>
      <c r="P37" s="78">
        <f t="shared" si="0"/>
        <v>120.375</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760"/>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60"/>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933" priority="43">
      <formula>F54&gt;0</formula>
    </cfRule>
    <cfRule type="expression" dxfId="2932" priority="44">
      <formula>F54&lt;0</formula>
    </cfRule>
  </conditionalFormatting>
  <conditionalFormatting sqref="Q7">
    <cfRule type="expression" dxfId="2931" priority="41">
      <formula>Q7&gt;0</formula>
    </cfRule>
    <cfRule type="expression" dxfId="2930" priority="42">
      <formula>Q7&lt;0</formula>
    </cfRule>
  </conditionalFormatting>
  <conditionalFormatting sqref="Q8">
    <cfRule type="expression" dxfId="2929" priority="39">
      <formula>Q8&gt;0</formula>
    </cfRule>
    <cfRule type="expression" dxfId="2928" priority="40">
      <formula>Q8&lt;0</formula>
    </cfRule>
  </conditionalFormatting>
  <conditionalFormatting sqref="F33:F36 F38:F53">
    <cfRule type="expression" dxfId="2927" priority="37">
      <formula>F33&gt;0</formula>
    </cfRule>
    <cfRule type="expression" dxfId="2926" priority="38">
      <formula>F33&lt;0</formula>
    </cfRule>
  </conditionalFormatting>
  <conditionalFormatting sqref="H33:H36 H38:H53">
    <cfRule type="expression" dxfId="2925" priority="35">
      <formula>H33&gt;0</formula>
    </cfRule>
    <cfRule type="expression" dxfId="2924" priority="36">
      <formula>H33&lt;0</formula>
    </cfRule>
  </conditionalFormatting>
  <conditionalFormatting sqref="Q10">
    <cfRule type="expression" dxfId="2923" priority="33">
      <formula>Q10&gt;0</formula>
    </cfRule>
    <cfRule type="expression" dxfId="2922" priority="34">
      <formula>Q10&lt;0</formula>
    </cfRule>
  </conditionalFormatting>
  <conditionalFormatting sqref="J25:J37">
    <cfRule type="expression" dxfId="2921" priority="31">
      <formula>J25&gt;0</formula>
    </cfRule>
    <cfRule type="expression" dxfId="2920" priority="32">
      <formula>J25&lt;0</formula>
    </cfRule>
  </conditionalFormatting>
  <conditionalFormatting sqref="K25:K38">
    <cfRule type="expression" dxfId="2919" priority="29">
      <formula>K25&gt;0</formula>
    </cfRule>
    <cfRule type="expression" dxfId="2918" priority="30">
      <formula>K25&lt;0</formula>
    </cfRule>
  </conditionalFormatting>
  <conditionalFormatting sqref="L25">
    <cfRule type="expression" dxfId="2917" priority="27">
      <formula>L25&gt;0</formula>
    </cfRule>
    <cfRule type="expression" dxfId="2916" priority="28">
      <formula>L25&lt;0</formula>
    </cfRule>
  </conditionalFormatting>
  <conditionalFormatting sqref="F89:F110">
    <cfRule type="expression" dxfId="2915" priority="25">
      <formula>F89&gt;0</formula>
    </cfRule>
    <cfRule type="expression" dxfId="2914" priority="26">
      <formula>F89&lt;0</formula>
    </cfRule>
  </conditionalFormatting>
  <conditionalFormatting sqref="H89:H110">
    <cfRule type="expression" dxfId="2913" priority="23">
      <formula>H89&gt;0</formula>
    </cfRule>
    <cfRule type="expression" dxfId="2912" priority="24">
      <formula>H89&lt;0</formula>
    </cfRule>
  </conditionalFormatting>
  <conditionalFormatting sqref="J89:J102">
    <cfRule type="expression" dxfId="2911" priority="21">
      <formula>J89&gt;0</formula>
    </cfRule>
    <cfRule type="expression" dxfId="2910" priority="22">
      <formula>J89&lt;0</formula>
    </cfRule>
  </conditionalFormatting>
  <conditionalFormatting sqref="K89:K102">
    <cfRule type="expression" dxfId="2909" priority="19">
      <formula>K89&gt;0</formula>
    </cfRule>
    <cfRule type="expression" dxfId="2908" priority="20">
      <formula>K89&lt;0</formula>
    </cfRule>
  </conditionalFormatting>
  <conditionalFormatting sqref="L89:L102">
    <cfRule type="expression" dxfId="2907" priority="17">
      <formula>L89&gt;0</formula>
    </cfRule>
    <cfRule type="expression" dxfId="2906" priority="18">
      <formula>L89&lt;0</formula>
    </cfRule>
  </conditionalFormatting>
  <conditionalFormatting sqref="F29:F32">
    <cfRule type="expression" dxfId="2905" priority="15">
      <formula>F29&gt;0</formula>
    </cfRule>
    <cfRule type="expression" dxfId="2904" priority="16">
      <formula>F29&lt;0</formula>
    </cfRule>
  </conditionalFormatting>
  <conditionalFormatting sqref="H29:H32">
    <cfRule type="expression" dxfId="2903" priority="13">
      <formula>H29&gt;0</formula>
    </cfRule>
    <cfRule type="expression" dxfId="2902" priority="14">
      <formula>H29&lt;0</formula>
    </cfRule>
  </conditionalFormatting>
  <conditionalFormatting sqref="F25:F28">
    <cfRule type="expression" dxfId="2901" priority="11">
      <formula>F25&gt;0</formula>
    </cfRule>
    <cfRule type="expression" dxfId="2900" priority="12">
      <formula>F25&lt;0</formula>
    </cfRule>
  </conditionalFormatting>
  <conditionalFormatting sqref="H25:H28">
    <cfRule type="expression" dxfId="2899" priority="9">
      <formula>H25&gt;0</formula>
    </cfRule>
    <cfRule type="expression" dxfId="2898" priority="10">
      <formula>H25&lt;0</formula>
    </cfRule>
  </conditionalFormatting>
  <conditionalFormatting sqref="F37">
    <cfRule type="expression" dxfId="2897" priority="7">
      <formula>F37&gt;0</formula>
    </cfRule>
    <cfRule type="expression" dxfId="2896" priority="8">
      <formula>F37&lt;0</formula>
    </cfRule>
  </conditionalFormatting>
  <conditionalFormatting sqref="H37">
    <cfRule type="expression" dxfId="2895" priority="5">
      <formula>H37&gt;0</formula>
    </cfRule>
    <cfRule type="expression" dxfId="2894" priority="6">
      <formula>H37&lt;0</formula>
    </cfRule>
  </conditionalFormatting>
  <conditionalFormatting sqref="J49">
    <cfRule type="expression" dxfId="2893" priority="3">
      <formula>J49&gt;0</formula>
    </cfRule>
    <cfRule type="expression" dxfId="2892" priority="4">
      <formula>J49&lt;0</formula>
    </cfRule>
  </conditionalFormatting>
  <conditionalFormatting sqref="J38:J48">
    <cfRule type="expression" dxfId="2891" priority="1">
      <formula>J38&gt;0</formula>
    </cfRule>
    <cfRule type="expression" dxfId="2890" priority="2">
      <formula>J38&lt;0</formula>
    </cfRule>
  </conditionalFormatting>
  <hyperlinks>
    <hyperlink ref="A3" location="ACTIVE!A1" display="Back"/>
  </hyperlinks>
  <pageMargins left="0.7" right="0.7" top="0.75" bottom="0.75" header="0.3" footer="0.3"/>
  <pageSetup orientation="portrait"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46</v>
      </c>
      <c r="B2" s="360" t="s">
        <v>1279</v>
      </c>
      <c r="C2" s="7">
        <v>200</v>
      </c>
      <c r="D2" s="43">
        <v>12.68</v>
      </c>
      <c r="E2" s="43">
        <v>0</v>
      </c>
      <c r="F2" s="43">
        <f>C2*D2+E2</f>
        <v>2536</v>
      </c>
      <c r="G2" s="360">
        <v>43447</v>
      </c>
      <c r="H2" s="77">
        <v>200</v>
      </c>
      <c r="I2" s="43">
        <v>11.48</v>
      </c>
      <c r="J2" s="43">
        <v>0.03</v>
      </c>
      <c r="K2" s="43">
        <f>H2*I2-J2</f>
        <v>2295.9699999999998</v>
      </c>
      <c r="L2" s="69">
        <v>43469</v>
      </c>
      <c r="M2" s="43">
        <v>12.5</v>
      </c>
      <c r="O2" s="11" t="s">
        <v>57</v>
      </c>
      <c r="Q2">
        <f>C18-H18</f>
        <v>0</v>
      </c>
      <c r="T2" s="1"/>
      <c r="U2" t="s">
        <v>1285</v>
      </c>
    </row>
    <row r="3" spans="1:21" x14ac:dyDescent="0.25">
      <c r="A3" s="22" t="s">
        <v>71</v>
      </c>
      <c r="B3" s="485" t="s">
        <v>1284</v>
      </c>
      <c r="C3" s="7">
        <v>200</v>
      </c>
      <c r="D3" s="43">
        <v>11.18</v>
      </c>
      <c r="E3" s="43">
        <v>0</v>
      </c>
      <c r="F3" s="43">
        <f>C3*D3+E3</f>
        <v>2236</v>
      </c>
      <c r="G3" s="360">
        <v>43454</v>
      </c>
      <c r="H3" s="77">
        <v>200</v>
      </c>
      <c r="I3" s="43">
        <v>10.92</v>
      </c>
      <c r="J3" s="43">
        <v>0.03</v>
      </c>
      <c r="K3" s="43">
        <f>H3*I3-J3</f>
        <v>2183.9699999999998</v>
      </c>
      <c r="L3" s="4"/>
      <c r="M3" s="4"/>
      <c r="O3" s="11" t="s">
        <v>58</v>
      </c>
      <c r="Q3" s="174">
        <f>IF(Q2=0, Q4, (F18-K18-M18)/Q2)</f>
        <v>11.51</v>
      </c>
      <c r="T3" s="1"/>
      <c r="U3" t="s">
        <v>1286</v>
      </c>
    </row>
    <row r="4" spans="1:21" x14ac:dyDescent="0.25">
      <c r="B4" s="360">
        <v>43457</v>
      </c>
      <c r="C4" s="7">
        <v>200</v>
      </c>
      <c r="D4" s="43">
        <v>10.53</v>
      </c>
      <c r="E4" s="43">
        <v>0</v>
      </c>
      <c r="F4" s="43">
        <f>C4*D4+E4</f>
        <v>2106</v>
      </c>
      <c r="G4" s="360">
        <v>43490</v>
      </c>
      <c r="H4" s="77">
        <v>200</v>
      </c>
      <c r="I4" s="43">
        <v>14.28</v>
      </c>
      <c r="J4" s="43">
        <v>0.04</v>
      </c>
      <c r="K4" s="43">
        <f>H4*I4-J4</f>
        <v>2855.96</v>
      </c>
      <c r="L4" s="4"/>
      <c r="M4" s="4"/>
      <c r="O4" s="11" t="s">
        <v>66</v>
      </c>
      <c r="Q4" s="53">
        <v>11.51</v>
      </c>
      <c r="R4" s="416">
        <v>4.7E-2</v>
      </c>
      <c r="T4" s="680"/>
      <c r="U4" s="30" t="s">
        <v>1288</v>
      </c>
    </row>
    <row r="5" spans="1:21" x14ac:dyDescent="0.25">
      <c r="B5" s="69"/>
      <c r="C5" s="4"/>
      <c r="D5" s="3"/>
      <c r="E5" s="3"/>
      <c r="F5" s="3"/>
      <c r="G5" s="69"/>
      <c r="H5" s="158"/>
      <c r="I5" s="3"/>
      <c r="J5" s="3"/>
      <c r="K5" s="3"/>
      <c r="L5" s="4"/>
      <c r="M5" s="4"/>
      <c r="O5" s="11" t="s">
        <v>67</v>
      </c>
      <c r="Q5" s="3">
        <f>Q4*Q2</f>
        <v>0</v>
      </c>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69"/>
      <c r="H7" s="158"/>
      <c r="I7" s="3"/>
      <c r="J7" s="3"/>
      <c r="K7" s="3"/>
      <c r="L7" s="4"/>
      <c r="M7" s="4"/>
      <c r="O7" s="11" t="s">
        <v>175</v>
      </c>
      <c r="Q7" s="2">
        <f>Q10+Q8</f>
        <v>470.39999999999964</v>
      </c>
      <c r="R7">
        <v>0</v>
      </c>
      <c r="T7" s="1"/>
    </row>
    <row r="8" spans="1:21" x14ac:dyDescent="0.25">
      <c r="B8" s="69"/>
      <c r="C8" s="4"/>
      <c r="D8" s="3"/>
      <c r="E8" s="3"/>
      <c r="F8" s="3"/>
      <c r="G8" s="69"/>
      <c r="H8" s="158"/>
      <c r="I8" s="3"/>
      <c r="J8" s="3"/>
      <c r="K8" s="3"/>
      <c r="L8" s="4"/>
      <c r="M8" s="4"/>
      <c r="O8" s="11" t="s">
        <v>177</v>
      </c>
      <c r="P8" s="33"/>
      <c r="Q8" s="2">
        <f>K18+M18-F18+Q2*Q4</f>
        <v>470.39999999999964</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R11/Q4*4</f>
        <v>2.1720243266724587E-2</v>
      </c>
      <c r="R11">
        <f>0.25/4</f>
        <v>6.25E-2</v>
      </c>
    </row>
    <row r="12" spans="1:21" x14ac:dyDescent="0.25">
      <c r="H12" s="67"/>
      <c r="O12" s="11" t="s">
        <v>875</v>
      </c>
      <c r="Q12" s="1" t="s">
        <v>1326</v>
      </c>
    </row>
    <row r="13" spans="1:21" x14ac:dyDescent="0.25">
      <c r="H13" s="67"/>
      <c r="O13" s="11" t="s">
        <v>901</v>
      </c>
      <c r="Q13" s="2">
        <f>Q4/R13</f>
        <v>8.5259259259259252</v>
      </c>
      <c r="R13">
        <v>1.35</v>
      </c>
      <c r="T13" s="1"/>
    </row>
    <row r="14" spans="1:21" x14ac:dyDescent="0.25">
      <c r="H14" s="67"/>
      <c r="O14" s="11" t="s">
        <v>988</v>
      </c>
      <c r="Q14" s="1">
        <v>43461</v>
      </c>
    </row>
    <row r="15" spans="1:21" x14ac:dyDescent="0.25">
      <c r="H15" s="67"/>
    </row>
    <row r="16" spans="1:21" ht="20.25" thickBot="1" x14ac:dyDescent="0.35">
      <c r="H16" s="67"/>
      <c r="O16" s="886" t="s">
        <v>78</v>
      </c>
      <c r="P16" s="886"/>
    </row>
    <row r="17" spans="1:16" ht="15.75" thickTop="1" x14ac:dyDescent="0.25">
      <c r="O17" s="78">
        <v>1.1000000000000001</v>
      </c>
      <c r="P17" s="78">
        <f>O17*$Q$4</f>
        <v>12.661000000000001</v>
      </c>
    </row>
    <row r="18" spans="1:16" x14ac:dyDescent="0.25">
      <c r="A18" s="31" t="s">
        <v>81</v>
      </c>
      <c r="B18" s="14"/>
      <c r="C18" s="14">
        <f>SUM(C2:C9)</f>
        <v>600</v>
      </c>
      <c r="D18" s="18"/>
      <c r="E18" s="18"/>
      <c r="F18" s="18">
        <f>SUM(F2:F9)</f>
        <v>6878</v>
      </c>
      <c r="G18" s="14"/>
      <c r="H18" s="68">
        <f>SUM(H2:H8)</f>
        <v>600</v>
      </c>
      <c r="I18" s="18"/>
      <c r="J18" s="18"/>
      <c r="K18" s="18">
        <f>SUM(K2:K8)</f>
        <v>7335.9</v>
      </c>
      <c r="L18" s="14"/>
      <c r="M18" s="18">
        <f>SUM(M2:M10)</f>
        <v>12.5</v>
      </c>
      <c r="O18" s="78">
        <v>1.0900000000000001</v>
      </c>
      <c r="P18" s="78">
        <f t="shared" ref="P18:P37" si="0">O18*$Q$4</f>
        <v>12.545900000000001</v>
      </c>
    </row>
    <row r="19" spans="1:16" ht="15.75" thickBot="1" x14ac:dyDescent="0.3">
      <c r="A19" s="273" t="s">
        <v>189</v>
      </c>
      <c r="B19" s="274"/>
      <c r="C19" s="275">
        <f>SumByColor($A$19,C2:C17)</f>
        <v>600</v>
      </c>
      <c r="D19" s="275"/>
      <c r="E19" s="275"/>
      <c r="F19" s="276">
        <f>SumByColor($A$19,F2:F17)</f>
        <v>6878</v>
      </c>
      <c r="G19" s="275"/>
      <c r="H19" s="275">
        <f>SumByColor($A$19,H2:H17)</f>
        <v>600</v>
      </c>
      <c r="I19" s="275"/>
      <c r="J19" s="275"/>
      <c r="K19" s="276">
        <f>SumByColor($A$19,K2:K17)</f>
        <v>7336</v>
      </c>
      <c r="L19" s="275"/>
      <c r="M19" s="276">
        <f>SumByColor($A$19,M2:M17)</f>
        <v>12</v>
      </c>
      <c r="O19" s="78">
        <v>1.08</v>
      </c>
      <c r="P19" s="78">
        <f t="shared" si="0"/>
        <v>12.430800000000001</v>
      </c>
    </row>
    <row r="20" spans="1:16" x14ac:dyDescent="0.25">
      <c r="O20" s="78">
        <v>1.07</v>
      </c>
      <c r="P20" s="78">
        <f t="shared" si="0"/>
        <v>12.3157</v>
      </c>
    </row>
    <row r="21" spans="1:16" x14ac:dyDescent="0.25">
      <c r="O21" s="78">
        <v>1.06</v>
      </c>
      <c r="P21" s="78">
        <f t="shared" si="0"/>
        <v>12.2006</v>
      </c>
    </row>
    <row r="22" spans="1:16" x14ac:dyDescent="0.25">
      <c r="O22" s="78">
        <v>1.05</v>
      </c>
      <c r="P22" s="78">
        <f t="shared" si="0"/>
        <v>12.0855</v>
      </c>
    </row>
    <row r="23" spans="1:16" x14ac:dyDescent="0.25">
      <c r="O23" s="78">
        <v>1.04</v>
      </c>
      <c r="P23" s="78">
        <f t="shared" si="0"/>
        <v>11.9704</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11.8553</v>
      </c>
    </row>
    <row r="25" spans="1:16" x14ac:dyDescent="0.25">
      <c r="B25" s="161">
        <v>43444</v>
      </c>
      <c r="C25" s="10">
        <v>200</v>
      </c>
      <c r="D25" s="39">
        <v>12.68</v>
      </c>
      <c r="E25" s="39">
        <v>12.1</v>
      </c>
      <c r="F25" s="39">
        <f>C25*(E25-D25)</f>
        <v>-116.00000000000001</v>
      </c>
      <c r="G25" s="39">
        <f>D25*C25</f>
        <v>2536</v>
      </c>
      <c r="H25" s="175">
        <f>(E25-D25)/D25</f>
        <v>-4.5741324921135654E-2</v>
      </c>
      <c r="I25" s="39"/>
      <c r="J25" s="39"/>
      <c r="K25" s="39"/>
      <c r="L25" s="39"/>
      <c r="O25" s="78">
        <v>1.02</v>
      </c>
      <c r="P25" s="78">
        <f t="shared" si="0"/>
        <v>11.7402</v>
      </c>
    </row>
    <row r="26" spans="1:16" x14ac:dyDescent="0.25">
      <c r="B26" s="161">
        <v>43447</v>
      </c>
      <c r="C26" s="10">
        <v>200</v>
      </c>
      <c r="D26" s="39">
        <v>12.3802</v>
      </c>
      <c r="E26" s="39">
        <v>11.44</v>
      </c>
      <c r="F26" s="39">
        <f>C26*(E26-D26)</f>
        <v>-188.04000000000016</v>
      </c>
      <c r="G26" s="39">
        <f>D26*C26</f>
        <v>2476.04</v>
      </c>
      <c r="H26" s="175">
        <f>(E26-D26)/D26</f>
        <v>-7.5943845818322864E-2</v>
      </c>
      <c r="I26" s="39"/>
      <c r="J26" s="39"/>
      <c r="K26" s="39"/>
      <c r="L26" s="39"/>
      <c r="O26" s="78">
        <v>1.01</v>
      </c>
      <c r="P26" s="78">
        <f t="shared" si="0"/>
        <v>11.6251</v>
      </c>
    </row>
    <row r="27" spans="1:16" x14ac:dyDescent="0.25">
      <c r="B27" s="161">
        <v>43454</v>
      </c>
      <c r="C27" s="10">
        <v>0</v>
      </c>
      <c r="D27" s="39">
        <v>12.38</v>
      </c>
      <c r="E27" s="39">
        <v>10.92</v>
      </c>
      <c r="F27" s="39"/>
      <c r="G27" s="39"/>
      <c r="H27" s="175"/>
      <c r="I27" s="39"/>
      <c r="J27" s="39">
        <v>-292.06</v>
      </c>
      <c r="K27" s="39"/>
      <c r="L27" s="39"/>
      <c r="O27" s="78">
        <v>1</v>
      </c>
      <c r="P27" s="78">
        <f t="shared" si="0"/>
        <v>11.51</v>
      </c>
    </row>
    <row r="28" spans="1:16" x14ac:dyDescent="0.25">
      <c r="B28" s="161">
        <v>43457</v>
      </c>
      <c r="C28" s="10">
        <v>200</v>
      </c>
      <c r="D28" s="39">
        <v>11.9903</v>
      </c>
      <c r="E28" s="39">
        <v>10.24</v>
      </c>
      <c r="F28" s="39">
        <f>C28*(E28-D28)</f>
        <v>-350.05999999999983</v>
      </c>
      <c r="G28" s="39">
        <f>D28*C28</f>
        <v>2398.06</v>
      </c>
      <c r="H28" s="175">
        <f>(E28-D28)/D28</f>
        <v>-0.14597633086745113</v>
      </c>
      <c r="I28" s="39"/>
      <c r="J28" s="39"/>
      <c r="K28" s="39"/>
      <c r="L28" s="39"/>
      <c r="O28" s="78">
        <v>0.99</v>
      </c>
      <c r="P28" s="78">
        <f t="shared" si="0"/>
        <v>11.3949</v>
      </c>
    </row>
    <row r="29" spans="1:16" x14ac:dyDescent="0.25">
      <c r="B29" s="161">
        <v>43467</v>
      </c>
      <c r="C29" s="10">
        <v>200</v>
      </c>
      <c r="D29" s="39">
        <v>11.99</v>
      </c>
      <c r="E29" s="39">
        <v>11.25</v>
      </c>
      <c r="F29" s="39">
        <f>C29*(E29-D29)</f>
        <v>-148.00000000000006</v>
      </c>
      <c r="G29" s="39">
        <f>D29*C29</f>
        <v>2398</v>
      </c>
      <c r="H29" s="175">
        <f>(E29-D29)/D29</f>
        <v>-6.1718098415346138E-2</v>
      </c>
      <c r="I29" s="39"/>
      <c r="J29" s="39"/>
      <c r="K29" s="39"/>
      <c r="L29" s="39"/>
      <c r="O29" s="78">
        <v>0.98</v>
      </c>
      <c r="P29" s="78">
        <f t="shared" si="0"/>
        <v>11.2798</v>
      </c>
    </row>
    <row r="30" spans="1:16" x14ac:dyDescent="0.25">
      <c r="B30" s="161">
        <v>43469</v>
      </c>
      <c r="C30" s="10">
        <v>200</v>
      </c>
      <c r="D30" s="39">
        <v>11.9278</v>
      </c>
      <c r="E30" s="39">
        <v>11.78</v>
      </c>
      <c r="F30" s="98">
        <f>C30*(E30-D30)</f>
        <v>-29.560000000000031</v>
      </c>
      <c r="G30" s="39">
        <f>D30*C30</f>
        <v>2385.56</v>
      </c>
      <c r="H30" s="175">
        <f>(E30-D30)/D30</f>
        <v>-1.2391220510068928E-2</v>
      </c>
      <c r="I30" s="39"/>
      <c r="J30" s="39"/>
      <c r="K30" s="39"/>
      <c r="L30" s="39"/>
      <c r="O30" s="78">
        <v>0.97</v>
      </c>
      <c r="P30" s="78">
        <f t="shared" si="0"/>
        <v>11.1647</v>
      </c>
    </row>
    <row r="31" spans="1:16" x14ac:dyDescent="0.25">
      <c r="B31" s="161">
        <v>43490</v>
      </c>
      <c r="C31" s="10">
        <v>0</v>
      </c>
      <c r="D31" s="39">
        <v>11.93</v>
      </c>
      <c r="E31" s="39">
        <v>14.04</v>
      </c>
      <c r="F31" s="39"/>
      <c r="G31" s="39">
        <f>D31*C31</f>
        <v>0</v>
      </c>
      <c r="H31" s="175"/>
      <c r="I31" s="39"/>
      <c r="J31" s="39">
        <v>470.4</v>
      </c>
      <c r="K31" s="39"/>
      <c r="L31" s="39"/>
      <c r="O31" s="78">
        <v>0.96</v>
      </c>
      <c r="P31" s="78">
        <f t="shared" si="0"/>
        <v>11.0496</v>
      </c>
    </row>
    <row r="32" spans="1:16" x14ac:dyDescent="0.25">
      <c r="B32" s="161"/>
      <c r="C32" s="10"/>
      <c r="D32" s="39"/>
      <c r="E32" s="39"/>
      <c r="F32" s="39"/>
      <c r="G32" s="39"/>
      <c r="H32" s="175"/>
      <c r="I32" s="39"/>
      <c r="J32" s="39"/>
      <c r="K32" s="39"/>
      <c r="L32" s="39"/>
      <c r="O32" s="78">
        <v>0.95</v>
      </c>
      <c r="P32" s="78">
        <f t="shared" si="0"/>
        <v>10.9345</v>
      </c>
    </row>
    <row r="33" spans="2:21" x14ac:dyDescent="0.25">
      <c r="B33" s="161"/>
      <c r="C33" s="10"/>
      <c r="D33" s="39"/>
      <c r="E33" s="39"/>
      <c r="F33" s="39"/>
      <c r="G33" s="39"/>
      <c r="H33" s="175"/>
      <c r="I33" s="39"/>
      <c r="J33" s="39"/>
      <c r="K33" s="39"/>
      <c r="L33" s="39"/>
      <c r="O33" s="78">
        <v>0.94</v>
      </c>
      <c r="P33" s="78">
        <f t="shared" si="0"/>
        <v>10.8194</v>
      </c>
    </row>
    <row r="34" spans="2:21" x14ac:dyDescent="0.25">
      <c r="B34" s="161"/>
      <c r="C34" s="10"/>
      <c r="D34" s="39"/>
      <c r="E34" s="39"/>
      <c r="F34" s="39"/>
      <c r="G34" s="39"/>
      <c r="H34" s="175"/>
      <c r="I34" s="39"/>
      <c r="J34" s="39"/>
      <c r="K34" s="39"/>
      <c r="L34" s="39"/>
      <c r="O34" s="78">
        <v>0.93</v>
      </c>
      <c r="P34" s="78">
        <f t="shared" si="0"/>
        <v>10.7043</v>
      </c>
    </row>
    <row r="35" spans="2:21" x14ac:dyDescent="0.25">
      <c r="B35" s="161"/>
      <c r="C35" s="10"/>
      <c r="D35" s="39"/>
      <c r="E35" s="39"/>
      <c r="F35" s="39"/>
      <c r="G35" s="39"/>
      <c r="H35" s="175"/>
      <c r="I35" s="39"/>
      <c r="J35" s="39"/>
      <c r="K35" s="39"/>
      <c r="L35" s="39"/>
      <c r="O35" s="78">
        <v>0.92</v>
      </c>
      <c r="P35" s="78">
        <f t="shared" si="0"/>
        <v>10.5892</v>
      </c>
    </row>
    <row r="36" spans="2:21" x14ac:dyDescent="0.25">
      <c r="B36" s="161"/>
      <c r="C36" s="10"/>
      <c r="D36" s="39"/>
      <c r="E36" s="39"/>
      <c r="F36" s="39"/>
      <c r="G36" s="39"/>
      <c r="H36" s="175"/>
      <c r="I36" s="39"/>
      <c r="J36" s="39"/>
      <c r="K36" s="39"/>
      <c r="L36" s="39"/>
      <c r="O36" s="78">
        <v>0.91</v>
      </c>
      <c r="P36" s="78">
        <f t="shared" si="0"/>
        <v>10.4741</v>
      </c>
    </row>
    <row r="37" spans="2:21" x14ac:dyDescent="0.25">
      <c r="B37" s="161"/>
      <c r="C37" s="10"/>
      <c r="D37" s="39"/>
      <c r="E37" s="39"/>
      <c r="F37" s="39"/>
      <c r="G37" s="39"/>
      <c r="H37" s="175"/>
      <c r="I37" s="39"/>
      <c r="J37" s="39"/>
      <c r="K37" s="39"/>
      <c r="L37" s="39"/>
      <c r="O37" s="78">
        <v>0.9</v>
      </c>
      <c r="P37" s="78">
        <f t="shared" si="0"/>
        <v>10.359</v>
      </c>
    </row>
    <row r="38" spans="2:21" x14ac:dyDescent="0.25">
      <c r="B38" s="161"/>
      <c r="C38" s="10"/>
      <c r="D38" s="39"/>
      <c r="E38" s="39"/>
      <c r="F38" s="39"/>
      <c r="G38" s="39"/>
      <c r="H38" s="175"/>
      <c r="I38" s="39"/>
      <c r="J38" s="39"/>
      <c r="K38" s="39"/>
      <c r="L38" s="39"/>
    </row>
    <row r="39" spans="2:21" x14ac:dyDescent="0.25">
      <c r="B39" s="161"/>
      <c r="C39" s="10"/>
      <c r="D39" s="39"/>
      <c r="E39" s="39"/>
      <c r="F39" s="39"/>
      <c r="G39" s="39"/>
      <c r="H39" s="175"/>
      <c r="I39" s="39"/>
      <c r="J39" s="39"/>
      <c r="K39" s="39"/>
      <c r="L39" s="39"/>
      <c r="T39" s="1">
        <v>43447</v>
      </c>
      <c r="U39" t="s">
        <v>1287</v>
      </c>
    </row>
    <row r="40" spans="2:21" x14ac:dyDescent="0.25">
      <c r="B40" s="161"/>
      <c r="C40" s="10"/>
      <c r="D40" s="39"/>
      <c r="E40" s="39"/>
      <c r="F40" s="39"/>
      <c r="G40" s="39"/>
      <c r="H40" s="175"/>
      <c r="I40" s="39"/>
      <c r="J40" s="39"/>
      <c r="K40" s="39"/>
      <c r="L40" s="39"/>
    </row>
    <row r="41" spans="2:21" x14ac:dyDescent="0.25">
      <c r="B41" s="161"/>
      <c r="C41" s="10"/>
      <c r="D41" s="39"/>
      <c r="E41" s="39"/>
      <c r="F41" s="39"/>
      <c r="G41" s="39"/>
      <c r="H41" s="175"/>
      <c r="I41" s="39"/>
      <c r="J41" s="39"/>
      <c r="K41" s="39"/>
      <c r="L41" s="39"/>
      <c r="Q41" s="2"/>
    </row>
    <row r="42" spans="2:21" x14ac:dyDescent="0.25">
      <c r="B42" s="161"/>
      <c r="C42" s="10"/>
      <c r="D42" s="39"/>
      <c r="E42" s="39"/>
      <c r="F42" s="39"/>
      <c r="G42" s="39"/>
      <c r="H42" s="175"/>
      <c r="I42" s="39"/>
      <c r="J42" s="39"/>
      <c r="K42" s="39"/>
      <c r="L42" s="39"/>
      <c r="Q42" s="2"/>
    </row>
    <row r="43" spans="2:21" x14ac:dyDescent="0.25">
      <c r="B43" s="161"/>
      <c r="C43" s="10"/>
      <c r="D43" s="39"/>
      <c r="E43" s="39"/>
      <c r="F43" s="39"/>
      <c r="G43" s="39"/>
      <c r="H43" s="175"/>
      <c r="I43" s="39"/>
      <c r="J43" s="39"/>
      <c r="K43" s="39"/>
      <c r="L43" s="39"/>
      <c r="Q43" s="2"/>
    </row>
    <row r="44" spans="2:21" x14ac:dyDescent="0.25">
      <c r="B44" s="161"/>
      <c r="C44" s="10"/>
      <c r="D44" s="39"/>
      <c r="E44" s="39"/>
      <c r="F44" s="39"/>
      <c r="G44" s="39"/>
      <c r="H44" s="175"/>
      <c r="I44" s="39"/>
      <c r="J44" s="39"/>
      <c r="K44" s="39"/>
      <c r="L44" s="39"/>
      <c r="Q44" s="2"/>
    </row>
    <row r="45" spans="2:21" x14ac:dyDescent="0.25">
      <c r="B45" s="161"/>
      <c r="C45" s="10"/>
      <c r="D45" s="39"/>
      <c r="E45" s="39"/>
      <c r="F45" s="760"/>
      <c r="G45" s="39"/>
      <c r="H45" s="175"/>
      <c r="I45" s="39"/>
      <c r="J45" s="39"/>
      <c r="K45" s="39"/>
      <c r="L45" s="39"/>
      <c r="Q45" s="2"/>
    </row>
    <row r="46" spans="2:21" x14ac:dyDescent="0.25">
      <c r="B46" s="161"/>
      <c r="C46" s="10"/>
      <c r="D46" s="39"/>
      <c r="E46" s="39"/>
      <c r="F46" s="39"/>
      <c r="G46" s="39"/>
      <c r="H46" s="175"/>
      <c r="I46" s="39"/>
      <c r="J46" s="39"/>
      <c r="K46" s="39"/>
      <c r="L46" s="39"/>
      <c r="Q46" s="2"/>
    </row>
    <row r="47" spans="2:21" x14ac:dyDescent="0.25">
      <c r="B47" s="161"/>
      <c r="C47" s="10"/>
      <c r="D47" s="39"/>
      <c r="E47" s="39"/>
      <c r="F47" s="39"/>
      <c r="G47" s="39"/>
      <c r="H47" s="175"/>
      <c r="I47" s="39"/>
      <c r="J47" s="39"/>
      <c r="K47" s="39"/>
      <c r="L47" s="39"/>
      <c r="Q47" s="2"/>
    </row>
    <row r="48" spans="2:21"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60"/>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2889" priority="47">
      <formula>F54&gt;0</formula>
    </cfRule>
    <cfRule type="expression" dxfId="2888" priority="48">
      <formula>F54&lt;0</formula>
    </cfRule>
  </conditionalFormatting>
  <conditionalFormatting sqref="Q7">
    <cfRule type="expression" dxfId="2887" priority="45">
      <formula>Q7&gt;0</formula>
    </cfRule>
    <cfRule type="expression" dxfId="2886" priority="46">
      <formula>Q7&lt;0</formula>
    </cfRule>
  </conditionalFormatting>
  <conditionalFormatting sqref="Q8">
    <cfRule type="expression" dxfId="2885" priority="43">
      <formula>Q8&gt;0</formula>
    </cfRule>
    <cfRule type="expression" dxfId="2884" priority="44">
      <formula>Q8&lt;0</formula>
    </cfRule>
  </conditionalFormatting>
  <conditionalFormatting sqref="F33:F36 F38:F53">
    <cfRule type="expression" dxfId="2883" priority="41">
      <formula>F33&gt;0</formula>
    </cfRule>
    <cfRule type="expression" dxfId="2882" priority="42">
      <formula>F33&lt;0</formula>
    </cfRule>
  </conditionalFormatting>
  <conditionalFormatting sqref="H33:H36 H38:H53">
    <cfRule type="expression" dxfId="2881" priority="39">
      <formula>H33&gt;0</formula>
    </cfRule>
    <cfRule type="expression" dxfId="2880" priority="40">
      <formula>H33&lt;0</formula>
    </cfRule>
  </conditionalFormatting>
  <conditionalFormatting sqref="Q10">
    <cfRule type="expression" dxfId="2879" priority="37">
      <formula>Q10&gt;0</formula>
    </cfRule>
    <cfRule type="expression" dxfId="2878" priority="38">
      <formula>Q10&lt;0</formula>
    </cfRule>
  </conditionalFormatting>
  <conditionalFormatting sqref="J25:J37">
    <cfRule type="expression" dxfId="2877" priority="35">
      <formula>J25&gt;0</formula>
    </cfRule>
    <cfRule type="expression" dxfId="2876" priority="36">
      <formula>J25&lt;0</formula>
    </cfRule>
  </conditionalFormatting>
  <conditionalFormatting sqref="K25:K38">
    <cfRule type="expression" dxfId="2875" priority="33">
      <formula>K25&gt;0</formula>
    </cfRule>
    <cfRule type="expression" dxfId="2874" priority="34">
      <formula>K25&lt;0</formula>
    </cfRule>
  </conditionalFormatting>
  <conditionalFormatting sqref="L25">
    <cfRule type="expression" dxfId="2873" priority="31">
      <formula>L25&gt;0</formula>
    </cfRule>
    <cfRule type="expression" dxfId="2872" priority="32">
      <formula>L25&lt;0</formula>
    </cfRule>
  </conditionalFormatting>
  <conditionalFormatting sqref="F89:F110">
    <cfRule type="expression" dxfId="2871" priority="29">
      <formula>F89&gt;0</formula>
    </cfRule>
    <cfRule type="expression" dxfId="2870" priority="30">
      <formula>F89&lt;0</formula>
    </cfRule>
  </conditionalFormatting>
  <conditionalFormatting sqref="H89:H110">
    <cfRule type="expression" dxfId="2869" priority="27">
      <formula>H89&gt;0</formula>
    </cfRule>
    <cfRule type="expression" dxfId="2868" priority="28">
      <formula>H89&lt;0</formula>
    </cfRule>
  </conditionalFormatting>
  <conditionalFormatting sqref="J89:J102">
    <cfRule type="expression" dxfId="2867" priority="25">
      <formula>J89&gt;0</formula>
    </cfRule>
    <cfRule type="expression" dxfId="2866" priority="26">
      <formula>J89&lt;0</formula>
    </cfRule>
  </conditionalFormatting>
  <conditionalFormatting sqref="K89:K102">
    <cfRule type="expression" dxfId="2865" priority="23">
      <formula>K89&gt;0</formula>
    </cfRule>
    <cfRule type="expression" dxfId="2864" priority="24">
      <formula>K89&lt;0</formula>
    </cfRule>
  </conditionalFormatting>
  <conditionalFormatting sqref="L89:L102">
    <cfRule type="expression" dxfId="2863" priority="21">
      <formula>L89&gt;0</formula>
    </cfRule>
    <cfRule type="expression" dxfId="2862" priority="22">
      <formula>L89&lt;0</formula>
    </cfRule>
  </conditionalFormatting>
  <conditionalFormatting sqref="F30:F32">
    <cfRule type="expression" dxfId="2861" priority="19">
      <formula>F30&gt;0</formula>
    </cfRule>
    <cfRule type="expression" dxfId="2860" priority="20">
      <formula>F30&lt;0</formula>
    </cfRule>
  </conditionalFormatting>
  <conditionalFormatting sqref="H30:H32">
    <cfRule type="expression" dxfId="2859" priority="17">
      <formula>H30&gt;0</formula>
    </cfRule>
    <cfRule type="expression" dxfId="2858" priority="18">
      <formula>H30&lt;0</formula>
    </cfRule>
  </conditionalFormatting>
  <conditionalFormatting sqref="F25:F27">
    <cfRule type="expression" dxfId="2857" priority="15">
      <formula>F25&gt;0</formula>
    </cfRule>
    <cfRule type="expression" dxfId="2856" priority="16">
      <formula>F25&lt;0</formula>
    </cfRule>
  </conditionalFormatting>
  <conditionalFormatting sqref="H25:H27">
    <cfRule type="expression" dxfId="2855" priority="13">
      <formula>H25&gt;0</formula>
    </cfRule>
    <cfRule type="expression" dxfId="2854" priority="14">
      <formula>H25&lt;0</formula>
    </cfRule>
  </conditionalFormatting>
  <conditionalFormatting sqref="F37">
    <cfRule type="expression" dxfId="2853" priority="11">
      <formula>F37&gt;0</formula>
    </cfRule>
    <cfRule type="expression" dxfId="2852" priority="12">
      <formula>F37&lt;0</formula>
    </cfRule>
  </conditionalFormatting>
  <conditionalFormatting sqref="H37">
    <cfRule type="expression" dxfId="2851" priority="9">
      <formula>H37&gt;0</formula>
    </cfRule>
    <cfRule type="expression" dxfId="2850" priority="10">
      <formula>H37&lt;0</formula>
    </cfRule>
  </conditionalFormatting>
  <conditionalFormatting sqref="J49">
    <cfRule type="expression" dxfId="2849" priority="7">
      <formula>J49&gt;0</formula>
    </cfRule>
    <cfRule type="expression" dxfId="2848" priority="8">
      <formula>J49&lt;0</formula>
    </cfRule>
  </conditionalFormatting>
  <conditionalFormatting sqref="J38:J48">
    <cfRule type="expression" dxfId="2847" priority="5">
      <formula>J38&gt;0</formula>
    </cfRule>
    <cfRule type="expression" dxfId="2846" priority="6">
      <formula>J38&lt;0</formula>
    </cfRule>
  </conditionalFormatting>
  <conditionalFormatting sqref="F28:F29">
    <cfRule type="expression" dxfId="2845" priority="3">
      <formula>F28&gt;0</formula>
    </cfRule>
    <cfRule type="expression" dxfId="2844" priority="4">
      <formula>F28&lt;0</formula>
    </cfRule>
  </conditionalFormatting>
  <conditionalFormatting sqref="H28:H29">
    <cfRule type="expression" dxfId="2843" priority="1">
      <formula>H28&gt;0</formula>
    </cfRule>
    <cfRule type="expression" dxfId="2842" priority="2">
      <formula>H28&lt;0</formula>
    </cfRule>
  </conditionalFormatting>
  <hyperlinks>
    <hyperlink ref="A3" location="ACTIVE!A1" display="Back"/>
  </hyperlinks>
  <pageMargins left="0.7" right="0.7" top="0.75" bottom="0.75" header="0.3" footer="0.3"/>
  <pageSetup orientation="portrait" r:id="rId1"/>
  <drawing r:id="rId2"/>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970</v>
      </c>
      <c r="B2" s="360">
        <v>43222</v>
      </c>
      <c r="C2" s="7">
        <v>50</v>
      </c>
      <c r="D2" s="43">
        <v>49.18</v>
      </c>
      <c r="E2" s="43">
        <v>0</v>
      </c>
      <c r="F2" s="43">
        <f>C2*D2+E2</f>
        <v>2459</v>
      </c>
      <c r="G2" s="360">
        <v>43259</v>
      </c>
      <c r="H2" s="7">
        <v>50</v>
      </c>
      <c r="I2" s="43">
        <v>50.66</v>
      </c>
      <c r="J2" s="43">
        <v>-0.13</v>
      </c>
      <c r="K2" s="43">
        <f>H2*I2-J2</f>
        <v>2533.13</v>
      </c>
      <c r="L2" s="69">
        <v>43271</v>
      </c>
      <c r="M2" s="43">
        <v>39.380000000000003</v>
      </c>
      <c r="O2" s="11" t="s">
        <v>57</v>
      </c>
      <c r="Q2">
        <f>C18-H18</f>
        <v>0</v>
      </c>
      <c r="T2" s="1"/>
      <c r="U2" t="s">
        <v>971</v>
      </c>
    </row>
    <row r="3" spans="1:21" x14ac:dyDescent="0.25">
      <c r="A3" s="22" t="s">
        <v>71</v>
      </c>
      <c r="B3" s="360">
        <v>43222</v>
      </c>
      <c r="C3" s="7">
        <v>100</v>
      </c>
      <c r="D3" s="43">
        <v>49.18</v>
      </c>
      <c r="E3" s="43">
        <v>0</v>
      </c>
      <c r="F3" s="43">
        <f>C3*D3+E3</f>
        <v>4918</v>
      </c>
      <c r="G3" s="360">
        <v>43291</v>
      </c>
      <c r="H3" s="77">
        <v>100</v>
      </c>
      <c r="I3" s="43">
        <v>52.63</v>
      </c>
      <c r="J3" s="43">
        <v>7.0000000000000007E-2</v>
      </c>
      <c r="K3" s="43">
        <f>H3*I3-J3</f>
        <v>5262.93</v>
      </c>
      <c r="L3" s="4"/>
      <c r="M3" s="4"/>
      <c r="O3" s="11" t="s">
        <v>58</v>
      </c>
      <c r="Q3" s="174">
        <f>IF(Q2=0, Q4, (F18-K18-M18)/Q2)</f>
        <v>60.56</v>
      </c>
      <c r="T3" s="1"/>
      <c r="U3" s="22" t="s">
        <v>1004</v>
      </c>
    </row>
    <row r="4" spans="1:21" x14ac:dyDescent="0.25">
      <c r="B4" s="69"/>
      <c r="C4" s="4"/>
      <c r="D4" s="3"/>
      <c r="E4" s="3"/>
      <c r="F4" s="3"/>
      <c r="G4" s="69"/>
      <c r="H4" s="158"/>
      <c r="I4" s="3"/>
      <c r="J4" s="3"/>
      <c r="K4" s="3"/>
      <c r="L4" s="4"/>
      <c r="M4" s="4"/>
      <c r="O4" s="11" t="s">
        <v>66</v>
      </c>
      <c r="Q4" s="53">
        <v>60.56</v>
      </c>
      <c r="R4" s="416">
        <v>4.1999999999999997E-3</v>
      </c>
      <c r="T4" s="680"/>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458.44000000000051</v>
      </c>
      <c r="R7">
        <v>0</v>
      </c>
    </row>
    <row r="8" spans="1:21" x14ac:dyDescent="0.25">
      <c r="B8" s="69"/>
      <c r="C8" s="4"/>
      <c r="D8" s="3"/>
      <c r="E8" s="3"/>
      <c r="F8" s="3"/>
      <c r="G8" s="4"/>
      <c r="H8" s="158"/>
      <c r="I8" s="3"/>
      <c r="J8" s="3"/>
      <c r="K8" s="3"/>
      <c r="L8" s="4"/>
      <c r="M8" s="4"/>
      <c r="O8" s="11" t="s">
        <v>177</v>
      </c>
      <c r="P8" s="33"/>
      <c r="Q8" s="2">
        <f>K18+M18-F18+Q2*Q4</f>
        <v>458.44000000000051</v>
      </c>
      <c r="T8" s="1"/>
    </row>
    <row r="9" spans="1:21" x14ac:dyDescent="0.25">
      <c r="B9" s="4"/>
      <c r="C9" s="4"/>
      <c r="D9" s="3"/>
      <c r="E9" s="3"/>
      <c r="F9" s="3"/>
      <c r="G9" s="4"/>
      <c r="H9" s="158"/>
      <c r="I9" s="3"/>
      <c r="J9" s="3"/>
      <c r="K9" s="3"/>
      <c r="L9" s="4"/>
      <c r="M9" s="4"/>
      <c r="O9" s="11" t="s">
        <v>202</v>
      </c>
      <c r="Q9" s="131">
        <f>IF(Q2=0, 0, Q8/Q6)</f>
        <v>0</v>
      </c>
      <c r="T9" s="153"/>
      <c r="U9" t="s">
        <v>1003</v>
      </c>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2.4768824306472918E-2</v>
      </c>
      <c r="R11">
        <v>1.5</v>
      </c>
    </row>
    <row r="12" spans="1:21" x14ac:dyDescent="0.25">
      <c r="H12" s="67"/>
      <c r="O12" s="11" t="s">
        <v>875</v>
      </c>
      <c r="Q12" s="1"/>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21" ht="15.75" thickTop="1" x14ac:dyDescent="0.25">
      <c r="O17" s="78">
        <v>1.1000000000000001</v>
      </c>
      <c r="P17" s="78">
        <f>O17*$Q$4</f>
        <v>66.616000000000014</v>
      </c>
    </row>
    <row r="18" spans="1:21" x14ac:dyDescent="0.25">
      <c r="A18" s="31" t="s">
        <v>81</v>
      </c>
      <c r="B18" s="14"/>
      <c r="C18" s="14">
        <f>SUM(C2:C8)</f>
        <v>150</v>
      </c>
      <c r="D18" s="18"/>
      <c r="E18" s="18"/>
      <c r="F18" s="18">
        <f>SUM(F2:F8)</f>
        <v>7377</v>
      </c>
      <c r="G18" s="14"/>
      <c r="H18" s="68">
        <f>SUM(H2:H5)</f>
        <v>150</v>
      </c>
      <c r="I18" s="18"/>
      <c r="J18" s="18"/>
      <c r="K18" s="18">
        <f>SUM(K2:K5)</f>
        <v>7796.06</v>
      </c>
      <c r="L18" s="14"/>
      <c r="M18" s="18">
        <f>SUM(M2:M10)</f>
        <v>39.380000000000003</v>
      </c>
      <c r="O18" s="78">
        <v>1.0900000000000001</v>
      </c>
      <c r="P18" s="78">
        <f t="shared" ref="P18:P37" si="0">O18*$Q$4</f>
        <v>66.010400000000004</v>
      </c>
    </row>
    <row r="19" spans="1:21" ht="15.75" thickBot="1" x14ac:dyDescent="0.3">
      <c r="A19" s="273" t="s">
        <v>189</v>
      </c>
      <c r="B19" s="274"/>
      <c r="C19" s="275">
        <f>SumByColor($A$19,C2:C17)</f>
        <v>150</v>
      </c>
      <c r="D19" s="275"/>
      <c r="E19" s="275"/>
      <c r="F19" s="276">
        <f>SumByColor($A$19,F2:F17)</f>
        <v>7377</v>
      </c>
      <c r="G19" s="275"/>
      <c r="H19" s="275">
        <f>SumByColor($A$19,H2:H17)</f>
        <v>150</v>
      </c>
      <c r="I19" s="275"/>
      <c r="J19" s="275"/>
      <c r="K19" s="276">
        <f>SumByColor($A$19,K2:K17)</f>
        <v>7796</v>
      </c>
      <c r="L19" s="275"/>
      <c r="M19" s="276">
        <f>SumByColor($A$19,M2:M17)</f>
        <v>39</v>
      </c>
      <c r="O19" s="78">
        <v>1.08</v>
      </c>
      <c r="P19" s="78">
        <f t="shared" si="0"/>
        <v>65.404800000000009</v>
      </c>
    </row>
    <row r="20" spans="1:21" x14ac:dyDescent="0.25">
      <c r="O20" s="78">
        <v>1.07</v>
      </c>
      <c r="P20" s="78">
        <f t="shared" si="0"/>
        <v>64.799200000000013</v>
      </c>
    </row>
    <row r="21" spans="1:21" x14ac:dyDescent="0.25">
      <c r="O21" s="78">
        <v>1.06</v>
      </c>
      <c r="P21" s="78">
        <f t="shared" si="0"/>
        <v>64.193600000000004</v>
      </c>
    </row>
    <row r="22" spans="1:21" x14ac:dyDescent="0.25">
      <c r="O22" s="78">
        <v>1.05</v>
      </c>
      <c r="P22" s="78">
        <f t="shared" si="0"/>
        <v>63.588000000000008</v>
      </c>
    </row>
    <row r="23" spans="1:21" x14ac:dyDescent="0.25">
      <c r="O23" s="78">
        <v>1.04</v>
      </c>
      <c r="P23" s="78">
        <f t="shared" si="0"/>
        <v>62.982400000000005</v>
      </c>
    </row>
    <row r="24" spans="1:21"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62.376800000000003</v>
      </c>
    </row>
    <row r="25" spans="1:21" x14ac:dyDescent="0.25">
      <c r="B25" s="161">
        <v>43222</v>
      </c>
      <c r="C25" s="10">
        <v>150</v>
      </c>
      <c r="D25" s="39">
        <v>49.18</v>
      </c>
      <c r="E25" s="39">
        <v>49.03</v>
      </c>
      <c r="F25" s="39">
        <f>C25*(E25-D25)</f>
        <v>-22.499999999999787</v>
      </c>
      <c r="G25" s="39">
        <f>D25*C25</f>
        <v>7377</v>
      </c>
      <c r="H25" s="175">
        <f>(E25-D25)/D25</f>
        <v>-3.0500203334688611E-3</v>
      </c>
      <c r="I25" s="39"/>
      <c r="J25" s="39"/>
      <c r="K25" s="39"/>
      <c r="L25" s="39"/>
      <c r="O25" s="78">
        <v>1.02</v>
      </c>
      <c r="P25" s="78">
        <f t="shared" si="0"/>
        <v>61.7712</v>
      </c>
    </row>
    <row r="26" spans="1:21" x14ac:dyDescent="0.25">
      <c r="B26" s="161">
        <v>43259</v>
      </c>
      <c r="C26" s="10">
        <v>100</v>
      </c>
      <c r="D26" s="39">
        <v>48.438699999999997</v>
      </c>
      <c r="E26" s="39">
        <v>50.83</v>
      </c>
      <c r="F26" s="39">
        <v>239.13</v>
      </c>
      <c r="G26" s="39">
        <f>D26*C26</f>
        <v>4843.87</v>
      </c>
      <c r="H26" s="175">
        <f>(E26-D26)/D26</f>
        <v>4.9367551152281156E-2</v>
      </c>
      <c r="I26" s="39"/>
      <c r="J26" s="39"/>
      <c r="K26" s="39"/>
      <c r="L26" s="39"/>
      <c r="O26" s="78">
        <v>1.01</v>
      </c>
      <c r="P26" s="78">
        <f t="shared" si="0"/>
        <v>61.165600000000005</v>
      </c>
    </row>
    <row r="27" spans="1:21" x14ac:dyDescent="0.25">
      <c r="B27" s="161">
        <v>43271</v>
      </c>
      <c r="C27" s="10">
        <v>100</v>
      </c>
      <c r="D27" s="39">
        <v>48.044899999999998</v>
      </c>
      <c r="E27" s="39">
        <v>51.11</v>
      </c>
      <c r="F27" s="39">
        <v>240.13</v>
      </c>
      <c r="G27" s="39">
        <f>D27*C27</f>
        <v>4804.49</v>
      </c>
      <c r="H27" s="175">
        <f>(E27-D27)/D27</f>
        <v>6.3796573621758002E-2</v>
      </c>
      <c r="I27" s="39"/>
      <c r="J27" s="39"/>
      <c r="K27" s="39"/>
      <c r="L27" s="39"/>
      <c r="O27" s="78">
        <v>1</v>
      </c>
      <c r="P27" s="78">
        <f t="shared" si="0"/>
        <v>60.56</v>
      </c>
    </row>
    <row r="28" spans="1:21" x14ac:dyDescent="0.25">
      <c r="B28" s="161">
        <v>43291</v>
      </c>
      <c r="C28" s="10">
        <v>0</v>
      </c>
      <c r="D28" s="39"/>
      <c r="E28" s="39">
        <v>52.63</v>
      </c>
      <c r="F28" s="39">
        <v>458.44</v>
      </c>
      <c r="G28" s="39"/>
      <c r="H28" s="175"/>
      <c r="I28" s="39"/>
      <c r="J28" s="39"/>
      <c r="K28" s="39"/>
      <c r="L28" s="39"/>
      <c r="O28" s="78">
        <v>0.99</v>
      </c>
      <c r="P28" s="78">
        <f t="shared" si="0"/>
        <v>59.9544</v>
      </c>
      <c r="U28" t="s">
        <v>1002</v>
      </c>
    </row>
    <row r="29" spans="1:21" x14ac:dyDescent="0.25">
      <c r="B29" s="161"/>
      <c r="C29" s="10"/>
      <c r="D29" s="39"/>
      <c r="E29" s="39"/>
      <c r="F29" s="39"/>
      <c r="G29" s="39"/>
      <c r="H29" s="175"/>
      <c r="I29" s="39"/>
      <c r="J29" s="39"/>
      <c r="K29" s="39"/>
      <c r="L29" s="39"/>
      <c r="O29" s="78">
        <v>0.98</v>
      </c>
      <c r="P29" s="78">
        <f t="shared" si="0"/>
        <v>59.348800000000004</v>
      </c>
    </row>
    <row r="30" spans="1:21" x14ac:dyDescent="0.25">
      <c r="B30" s="161"/>
      <c r="C30" s="10"/>
      <c r="D30" s="39"/>
      <c r="E30" s="39"/>
      <c r="F30" s="39"/>
      <c r="G30" s="39"/>
      <c r="H30" s="175"/>
      <c r="I30" s="39"/>
      <c r="J30" s="39"/>
      <c r="K30" s="39"/>
      <c r="L30" s="39"/>
      <c r="O30" s="78">
        <v>0.97</v>
      </c>
      <c r="P30" s="78">
        <f t="shared" si="0"/>
        <v>58.743200000000002</v>
      </c>
    </row>
    <row r="31" spans="1:21" x14ac:dyDescent="0.25">
      <c r="B31" s="161"/>
      <c r="C31" s="10"/>
      <c r="D31" s="39"/>
      <c r="E31" s="39"/>
      <c r="F31" s="39"/>
      <c r="G31" s="39"/>
      <c r="H31" s="175"/>
      <c r="I31" s="39"/>
      <c r="J31" s="39"/>
      <c r="K31" s="39"/>
      <c r="L31" s="39"/>
      <c r="O31" s="78">
        <v>0.96</v>
      </c>
      <c r="P31" s="78">
        <f t="shared" si="0"/>
        <v>58.137599999999999</v>
      </c>
    </row>
    <row r="32" spans="1:21" x14ac:dyDescent="0.25">
      <c r="B32" s="161"/>
      <c r="C32" s="10"/>
      <c r="D32" s="39"/>
      <c r="E32" s="39"/>
      <c r="F32" s="39"/>
      <c r="G32" s="39"/>
      <c r="H32" s="175"/>
      <c r="I32" s="39"/>
      <c r="J32" s="39"/>
      <c r="K32" s="39"/>
      <c r="L32" s="39"/>
      <c r="O32" s="78">
        <v>0.95</v>
      </c>
      <c r="P32" s="78">
        <f t="shared" si="0"/>
        <v>57.531999999999996</v>
      </c>
    </row>
    <row r="33" spans="2:17" x14ac:dyDescent="0.25">
      <c r="B33" s="161"/>
      <c r="C33" s="10"/>
      <c r="D33" s="39"/>
      <c r="E33" s="39"/>
      <c r="F33" s="39"/>
      <c r="G33" s="39"/>
      <c r="H33" s="175"/>
      <c r="I33" s="39"/>
      <c r="J33" s="39"/>
      <c r="K33" s="39"/>
      <c r="L33" s="39"/>
      <c r="O33" s="78">
        <v>0.94</v>
      </c>
      <c r="P33" s="78">
        <f t="shared" si="0"/>
        <v>56.926400000000001</v>
      </c>
    </row>
    <row r="34" spans="2:17" x14ac:dyDescent="0.25">
      <c r="B34" s="161"/>
      <c r="C34" s="10"/>
      <c r="D34" s="39"/>
      <c r="E34" s="39"/>
      <c r="F34" s="39"/>
      <c r="G34" s="39"/>
      <c r="H34" s="175"/>
      <c r="I34" s="39"/>
      <c r="J34" s="39"/>
      <c r="K34" s="39"/>
      <c r="L34" s="39"/>
      <c r="O34" s="78">
        <v>0.93</v>
      </c>
      <c r="P34" s="78">
        <f t="shared" si="0"/>
        <v>56.320800000000006</v>
      </c>
    </row>
    <row r="35" spans="2:17" x14ac:dyDescent="0.25">
      <c r="B35" s="161"/>
      <c r="C35" s="10"/>
      <c r="D35" s="39"/>
      <c r="E35" s="39"/>
      <c r="F35" s="39"/>
      <c r="G35" s="39"/>
      <c r="H35" s="175"/>
      <c r="I35" s="39"/>
      <c r="J35" s="39"/>
      <c r="K35" s="39"/>
      <c r="L35" s="39"/>
      <c r="O35" s="78">
        <v>0.92</v>
      </c>
      <c r="P35" s="78">
        <f t="shared" si="0"/>
        <v>55.715200000000003</v>
      </c>
    </row>
    <row r="36" spans="2:17" x14ac:dyDescent="0.25">
      <c r="B36" s="161"/>
      <c r="C36" s="10"/>
      <c r="D36" s="39"/>
      <c r="E36" s="39"/>
      <c r="F36" s="39"/>
      <c r="G36" s="39"/>
      <c r="H36" s="175"/>
      <c r="I36" s="39"/>
      <c r="J36" s="39"/>
      <c r="K36" s="39"/>
      <c r="L36" s="39"/>
      <c r="O36" s="78">
        <v>0.91</v>
      </c>
      <c r="P36" s="78">
        <f t="shared" si="0"/>
        <v>55.109600000000007</v>
      </c>
    </row>
    <row r="37" spans="2:17" x14ac:dyDescent="0.25">
      <c r="B37" s="161"/>
      <c r="C37" s="10"/>
      <c r="D37" s="39"/>
      <c r="E37" s="39"/>
      <c r="F37" s="39"/>
      <c r="G37" s="39"/>
      <c r="H37" s="175"/>
      <c r="I37" s="39"/>
      <c r="J37" s="39"/>
      <c r="K37" s="39"/>
      <c r="L37" s="39"/>
      <c r="O37" s="78">
        <v>0.9</v>
      </c>
      <c r="P37" s="78">
        <f t="shared" si="0"/>
        <v>54.504000000000005</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850</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841" priority="35">
      <formula>F47&gt;0</formula>
    </cfRule>
    <cfRule type="expression" dxfId="2840" priority="36">
      <formula>F47&lt;0</formula>
    </cfRule>
  </conditionalFormatting>
  <conditionalFormatting sqref="Q7">
    <cfRule type="expression" dxfId="2839" priority="33">
      <formula>Q7&gt;0</formula>
    </cfRule>
    <cfRule type="expression" dxfId="2838" priority="34">
      <formula>Q7&lt;0</formula>
    </cfRule>
  </conditionalFormatting>
  <conditionalFormatting sqref="Q8">
    <cfRule type="expression" dxfId="2837" priority="31">
      <formula>Q8&gt;0</formula>
    </cfRule>
    <cfRule type="expression" dxfId="2836" priority="32">
      <formula>Q8&lt;0</formula>
    </cfRule>
  </conditionalFormatting>
  <conditionalFormatting sqref="F30:F46">
    <cfRule type="expression" dxfId="2835" priority="29">
      <formula>F30&gt;0</formula>
    </cfRule>
    <cfRule type="expression" dxfId="2834" priority="30">
      <formula>F30&lt;0</formula>
    </cfRule>
  </conditionalFormatting>
  <conditionalFormatting sqref="H30:H46">
    <cfRule type="expression" dxfId="2833" priority="27">
      <formula>H30&gt;0</formula>
    </cfRule>
    <cfRule type="expression" dxfId="2832" priority="28">
      <formula>H30&lt;0</formula>
    </cfRule>
  </conditionalFormatting>
  <conditionalFormatting sqref="Q10">
    <cfRule type="expression" dxfId="2831" priority="25">
      <formula>Q10&gt;0</formula>
    </cfRule>
    <cfRule type="expression" dxfId="2830" priority="26">
      <formula>Q10&lt;0</formula>
    </cfRule>
  </conditionalFormatting>
  <conditionalFormatting sqref="J25:J38">
    <cfRule type="expression" dxfId="2829" priority="23">
      <formula>J25&gt;0</formula>
    </cfRule>
    <cfRule type="expression" dxfId="2828" priority="24">
      <formula>J25&lt;0</formula>
    </cfRule>
  </conditionalFormatting>
  <conditionalFormatting sqref="K25:K38">
    <cfRule type="expression" dxfId="2827" priority="21">
      <formula>K25&gt;0</formula>
    </cfRule>
    <cfRule type="expression" dxfId="2826" priority="22">
      <formula>K25&lt;0</formula>
    </cfRule>
  </conditionalFormatting>
  <conditionalFormatting sqref="L25 L38">
    <cfRule type="expression" dxfId="2825" priority="19">
      <formula>L25&gt;0</formula>
    </cfRule>
    <cfRule type="expression" dxfId="2824" priority="20">
      <formula>L25&lt;0</formula>
    </cfRule>
  </conditionalFormatting>
  <conditionalFormatting sqref="F89:F110">
    <cfRule type="expression" dxfId="2823" priority="17">
      <formula>F89&gt;0</formula>
    </cfRule>
    <cfRule type="expression" dxfId="2822" priority="18">
      <formula>F89&lt;0</formula>
    </cfRule>
  </conditionalFormatting>
  <conditionalFormatting sqref="H89:H110">
    <cfRule type="expression" dxfId="2821" priority="15">
      <formula>H89&gt;0</formula>
    </cfRule>
    <cfRule type="expression" dxfId="2820" priority="16">
      <formula>H89&lt;0</formula>
    </cfRule>
  </conditionalFormatting>
  <conditionalFormatting sqref="J89:J102">
    <cfRule type="expression" dxfId="2819" priority="13">
      <formula>J89&gt;0</formula>
    </cfRule>
    <cfRule type="expression" dxfId="2818" priority="14">
      <formula>J89&lt;0</formula>
    </cfRule>
  </conditionalFormatting>
  <conditionalFormatting sqref="K89:K102">
    <cfRule type="expression" dxfId="2817" priority="11">
      <formula>K89&gt;0</formula>
    </cfRule>
    <cfRule type="expression" dxfId="2816" priority="12">
      <formula>K89&lt;0</formula>
    </cfRule>
  </conditionalFormatting>
  <conditionalFormatting sqref="L89:L102">
    <cfRule type="expression" dxfId="2815" priority="9">
      <formula>L89&gt;0</formula>
    </cfRule>
    <cfRule type="expression" dxfId="2814" priority="10">
      <formula>L89&lt;0</formula>
    </cfRule>
  </conditionalFormatting>
  <conditionalFormatting sqref="F25 F29">
    <cfRule type="expression" dxfId="2813" priority="7">
      <formula>F25&gt;0</formula>
    </cfRule>
    <cfRule type="expression" dxfId="2812" priority="8">
      <formula>F25&lt;0</formula>
    </cfRule>
  </conditionalFormatting>
  <conditionalFormatting sqref="H29 H25:H27">
    <cfRule type="expression" dxfId="2811" priority="5">
      <formula>H25&gt;0</formula>
    </cfRule>
    <cfRule type="expression" dxfId="2810" priority="6">
      <formula>H25&lt;0</formula>
    </cfRule>
  </conditionalFormatting>
  <conditionalFormatting sqref="F26:F28">
    <cfRule type="expression" dxfId="2809" priority="3">
      <formula>F26&gt;0</formula>
    </cfRule>
    <cfRule type="expression" dxfId="2808" priority="4">
      <formula>F26&lt;0</formula>
    </cfRule>
  </conditionalFormatting>
  <conditionalFormatting sqref="H28">
    <cfRule type="expression" dxfId="2807" priority="1">
      <formula>H28&gt;0</formula>
    </cfRule>
    <cfRule type="expression" dxfId="2806" priority="2">
      <formula>H28&lt;0</formula>
    </cfRule>
  </conditionalFormatting>
  <hyperlinks>
    <hyperlink ref="A3" location="ACTIVE!A1" display="Back"/>
    <hyperlink ref="U3" r:id="rId1"/>
  </hyperlinks>
  <pageMargins left="0.7" right="0.7" top="0.75" bottom="0.75" header="0.3" footer="0.3"/>
  <pageSetup orientation="portrait" r:id="rId2"/>
  <drawing r:id="rId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dimension ref="A1:AE10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8" max="8" width="9.5703125" bestFit="1" customWidth="1"/>
    <col min="9" max="9" width="15" style="2" customWidth="1"/>
    <col min="10" max="11" width="9.140625" style="2"/>
    <col min="18" max="18" width="9.7109375" bestFit="1" customWidth="1"/>
    <col min="20" max="20" width="18.5703125" customWidth="1"/>
    <col min="21" max="21" width="22.42578125" customWidth="1"/>
    <col min="23" max="23" width="10.7109375" customWidth="1"/>
    <col min="24" max="24" width="8.42578125" customWidth="1"/>
    <col min="25" max="27" width="6" bestFit="1" customWidth="1"/>
    <col min="28" max="28" width="11.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c r="X1" s="88"/>
      <c r="Y1" s="88"/>
      <c r="Z1" s="88"/>
      <c r="AA1" s="88"/>
      <c r="AB1" s="88"/>
      <c r="AC1" s="88"/>
      <c r="AD1" s="11" t="s">
        <v>125</v>
      </c>
      <c r="AE1" s="11" t="s">
        <v>127</v>
      </c>
    </row>
    <row r="2" spans="1:31" x14ac:dyDescent="0.25">
      <c r="A2" s="6" t="s">
        <v>192</v>
      </c>
      <c r="B2" s="69"/>
      <c r="C2" s="4"/>
      <c r="D2" s="3"/>
      <c r="E2" s="3"/>
      <c r="F2" s="3"/>
      <c r="G2" s="69"/>
      <c r="H2" s="4"/>
      <c r="I2" s="3"/>
      <c r="J2" s="3"/>
      <c r="K2" s="3"/>
      <c r="L2" s="69"/>
      <c r="M2" s="3"/>
      <c r="O2" s="11" t="s">
        <v>57</v>
      </c>
      <c r="Q2">
        <f>C18-H18</f>
        <v>0</v>
      </c>
      <c r="T2" s="1">
        <v>42627</v>
      </c>
      <c r="U2" t="s">
        <v>257</v>
      </c>
      <c r="W2" s="127"/>
      <c r="X2" s="10"/>
      <c r="Y2" s="10"/>
      <c r="Z2" s="10"/>
      <c r="AA2" s="10"/>
      <c r="AB2" s="90"/>
      <c r="AC2" s="10"/>
      <c r="AD2" s="2">
        <f>Y2-Z2</f>
        <v>0</v>
      </c>
      <c r="AE2" s="131" t="e">
        <f>AC2/AC3-1</f>
        <v>#DIV/0!</v>
      </c>
    </row>
    <row r="3" spans="1:31" x14ac:dyDescent="0.25">
      <c r="A3" s="22" t="s">
        <v>71</v>
      </c>
      <c r="B3" s="69"/>
      <c r="C3" s="4"/>
      <c r="D3" s="3"/>
      <c r="E3" s="3"/>
      <c r="F3" s="3"/>
      <c r="G3" s="69"/>
      <c r="H3" s="158"/>
      <c r="I3" s="3"/>
      <c r="J3" s="3"/>
      <c r="K3" s="3"/>
      <c r="L3" s="69"/>
      <c r="M3" s="3"/>
      <c r="O3" s="11" t="s">
        <v>58</v>
      </c>
      <c r="Q3" s="174">
        <f>IF(Q2=0, Q4, (F18-K18-M18)/Q2)</f>
        <v>9.16</v>
      </c>
      <c r="T3" s="1"/>
      <c r="W3" s="127"/>
      <c r="X3" s="10"/>
      <c r="Y3" s="10"/>
      <c r="Z3" s="10"/>
      <c r="AA3" s="10"/>
      <c r="AB3" s="90"/>
      <c r="AC3" s="10"/>
      <c r="AD3" s="2">
        <f t="shared" ref="AD3:AD66" si="0">Y3-Z3</f>
        <v>0</v>
      </c>
      <c r="AE3" s="131" t="e">
        <f t="shared" ref="AE3:AE66" si="1">AC3/AC4-1</f>
        <v>#DIV/0!</v>
      </c>
    </row>
    <row r="4" spans="1:31" x14ac:dyDescent="0.25">
      <c r="B4" s="69"/>
      <c r="C4" s="4"/>
      <c r="D4" s="3"/>
      <c r="E4" s="3"/>
      <c r="F4" s="3"/>
      <c r="G4" s="69"/>
      <c r="H4" s="158"/>
      <c r="I4" s="3"/>
      <c r="J4" s="3"/>
      <c r="K4" s="3"/>
      <c r="L4" s="4"/>
      <c r="M4" s="4"/>
      <c r="O4" s="11" t="s">
        <v>66</v>
      </c>
      <c r="Q4" s="53">
        <v>9.16</v>
      </c>
      <c r="R4" s="396">
        <v>-2.0500000000000001E-2</v>
      </c>
      <c r="T4" s="153"/>
      <c r="W4" s="127"/>
      <c r="X4" s="10"/>
      <c r="Y4" s="10"/>
      <c r="Z4" s="10"/>
      <c r="AA4" s="10"/>
      <c r="AB4" s="90"/>
      <c r="AC4" s="10"/>
      <c r="AD4" s="2">
        <f t="shared" si="0"/>
        <v>0</v>
      </c>
      <c r="AE4" s="131" t="e">
        <f t="shared" si="1"/>
        <v>#DIV/0!</v>
      </c>
    </row>
    <row r="5" spans="1:31" x14ac:dyDescent="0.25">
      <c r="B5" s="69"/>
      <c r="C5" s="4"/>
      <c r="D5" s="3"/>
      <c r="E5" s="3"/>
      <c r="F5" s="3"/>
      <c r="G5" s="69"/>
      <c r="H5" s="158"/>
      <c r="I5" s="3"/>
      <c r="J5" s="3"/>
      <c r="K5" s="3"/>
      <c r="L5" s="4"/>
      <c r="M5" s="4"/>
      <c r="O5" s="11" t="s">
        <v>67</v>
      </c>
      <c r="Q5" s="3">
        <f>Q4*Q2</f>
        <v>0</v>
      </c>
      <c r="W5" s="127"/>
      <c r="X5" s="10"/>
      <c r="Y5" s="10"/>
      <c r="Z5" s="10"/>
      <c r="AA5" s="10"/>
      <c r="AB5" s="90"/>
      <c r="AC5" s="10"/>
      <c r="AD5" s="2">
        <f t="shared" si="0"/>
        <v>0</v>
      </c>
      <c r="AE5" s="131" t="e">
        <f t="shared" si="1"/>
        <v>#DIV/0!</v>
      </c>
    </row>
    <row r="6" spans="1:31" x14ac:dyDescent="0.25">
      <c r="B6" s="69"/>
      <c r="C6" s="4"/>
      <c r="D6" s="3"/>
      <c r="E6" s="3"/>
      <c r="F6" s="3"/>
      <c r="G6" s="69"/>
      <c r="H6" s="158"/>
      <c r="I6" s="3"/>
      <c r="J6" s="3"/>
      <c r="K6" s="3"/>
      <c r="L6" s="4"/>
      <c r="M6" s="4"/>
      <c r="O6" s="11" t="s">
        <v>64</v>
      </c>
      <c r="Q6" s="2">
        <f>Q3*Q2</f>
        <v>0</v>
      </c>
      <c r="W6" s="127"/>
      <c r="X6" s="10"/>
      <c r="Y6" s="10"/>
      <c r="Z6" s="10"/>
      <c r="AA6" s="10"/>
      <c r="AB6" s="90"/>
      <c r="AC6" s="10"/>
      <c r="AD6" s="2">
        <f t="shared" si="0"/>
        <v>0</v>
      </c>
      <c r="AE6" s="131" t="e">
        <f t="shared" si="1"/>
        <v>#DIV/0!</v>
      </c>
    </row>
    <row r="7" spans="1:31" x14ac:dyDescent="0.25">
      <c r="B7" s="69"/>
      <c r="C7" s="4"/>
      <c r="D7" s="3"/>
      <c r="E7" s="3"/>
      <c r="F7" s="3"/>
      <c r="G7" s="69"/>
      <c r="H7" s="158"/>
      <c r="I7" s="3"/>
      <c r="J7" s="3"/>
      <c r="K7" s="3"/>
      <c r="L7" s="4"/>
      <c r="M7" s="4"/>
      <c r="O7" s="11" t="s">
        <v>175</v>
      </c>
      <c r="Q7" s="2">
        <f>Q10+Q8</f>
        <v>495.20999999999913</v>
      </c>
      <c r="R7">
        <v>0</v>
      </c>
      <c r="W7" s="127"/>
      <c r="X7" s="10"/>
      <c r="Y7" s="10"/>
      <c r="Z7" s="10"/>
      <c r="AA7" s="10"/>
      <c r="AB7" s="90"/>
      <c r="AC7" s="10"/>
      <c r="AD7" s="2">
        <f t="shared" si="0"/>
        <v>0</v>
      </c>
      <c r="AE7" s="131" t="e">
        <f t="shared" si="1"/>
        <v>#DIV/0!</v>
      </c>
    </row>
    <row r="8" spans="1:31" x14ac:dyDescent="0.25">
      <c r="B8" s="69"/>
      <c r="C8" s="4"/>
      <c r="D8" s="3"/>
      <c r="E8" s="3"/>
      <c r="F8" s="3"/>
      <c r="G8" s="4"/>
      <c r="H8" s="158"/>
      <c r="I8" s="3"/>
      <c r="J8" s="3"/>
      <c r="K8" s="3"/>
      <c r="L8" s="4"/>
      <c r="M8" s="4"/>
      <c r="O8" s="11" t="s">
        <v>177</v>
      </c>
      <c r="P8" s="33"/>
      <c r="Q8" s="2">
        <f>K18+M18-F18+Q2*Q4</f>
        <v>0</v>
      </c>
      <c r="W8" s="127"/>
      <c r="X8" s="10"/>
      <c r="Y8" s="10"/>
      <c r="Z8" s="10"/>
      <c r="AA8" s="10"/>
      <c r="AB8" s="90"/>
      <c r="AC8" s="10"/>
      <c r="AD8" s="2">
        <f t="shared" si="0"/>
        <v>0</v>
      </c>
      <c r="AE8" s="131" t="e">
        <f t="shared" si="1"/>
        <v>#DIV/0!</v>
      </c>
    </row>
    <row r="9" spans="1:31" x14ac:dyDescent="0.25">
      <c r="B9" s="4"/>
      <c r="C9" s="4"/>
      <c r="D9" s="3"/>
      <c r="E9" s="3"/>
      <c r="F9" s="3"/>
      <c r="G9" s="4"/>
      <c r="H9" s="158"/>
      <c r="I9" s="3"/>
      <c r="J9" s="3"/>
      <c r="K9" s="3"/>
      <c r="L9" s="4"/>
      <c r="M9" s="4"/>
      <c r="O9" s="11" t="s">
        <v>202</v>
      </c>
      <c r="Q9" s="131">
        <f>IF(Q2=0, 0, Q8/Q6)</f>
        <v>0</v>
      </c>
      <c r="W9" s="127"/>
      <c r="X9" s="10"/>
      <c r="Y9" s="10"/>
      <c r="Z9" s="10"/>
      <c r="AA9" s="10"/>
      <c r="AB9" s="90"/>
      <c r="AC9" s="10"/>
      <c r="AD9" s="2">
        <f t="shared" si="0"/>
        <v>0</v>
      </c>
      <c r="AE9" s="131" t="e">
        <f t="shared" si="1"/>
        <v>#DIV/0!</v>
      </c>
    </row>
    <row r="10" spans="1:31" x14ac:dyDescent="0.25">
      <c r="B10" s="4"/>
      <c r="C10" s="4"/>
      <c r="D10" s="3"/>
      <c r="E10" s="3"/>
      <c r="F10" s="3"/>
      <c r="G10" s="4"/>
      <c r="H10" s="158"/>
      <c r="I10" s="3"/>
      <c r="J10" s="3"/>
      <c r="K10" s="3"/>
      <c r="L10" s="4"/>
      <c r="M10" s="4"/>
      <c r="O10" s="11" t="s">
        <v>201</v>
      </c>
      <c r="P10" s="33"/>
      <c r="Q10" s="2">
        <f>M32</f>
        <v>495.20999999999913</v>
      </c>
      <c r="W10" s="127"/>
      <c r="X10" s="10"/>
      <c r="Y10" s="10"/>
      <c r="Z10" s="10"/>
      <c r="AA10" s="10"/>
      <c r="AB10" s="90"/>
      <c r="AC10" s="10"/>
      <c r="AD10" s="2">
        <f t="shared" si="0"/>
        <v>0</v>
      </c>
      <c r="AE10" s="131" t="e">
        <f t="shared" si="1"/>
        <v>#DIV/0!</v>
      </c>
    </row>
    <row r="11" spans="1:31" x14ac:dyDescent="0.25">
      <c r="B11" s="4"/>
      <c r="C11" s="4"/>
      <c r="D11" s="3"/>
      <c r="E11" s="3"/>
      <c r="F11" s="3"/>
      <c r="G11" s="4"/>
      <c r="H11" s="158"/>
      <c r="I11" s="3"/>
      <c r="J11" s="3"/>
      <c r="K11" s="3"/>
      <c r="L11" s="4"/>
      <c r="M11" s="4"/>
      <c r="O11" s="11" t="s">
        <v>173</v>
      </c>
      <c r="P11" s="33"/>
      <c r="Q11" s="131">
        <f>VALUE(TRIM(CLEAN(MID(U58, FIND("(", U58)+1, 5))))</f>
        <v>5.1499999999999997E-2</v>
      </c>
      <c r="W11" s="127"/>
      <c r="X11" s="10"/>
      <c r="Y11" s="10"/>
      <c r="Z11" s="10"/>
      <c r="AA11" s="10"/>
      <c r="AB11" s="90"/>
      <c r="AC11" s="10"/>
      <c r="AD11" s="2">
        <f t="shared" si="0"/>
        <v>0</v>
      </c>
      <c r="AE11" s="131" t="e">
        <f t="shared" si="1"/>
        <v>#DIV/0!</v>
      </c>
    </row>
    <row r="12" spans="1:31" x14ac:dyDescent="0.25">
      <c r="B12" s="4"/>
      <c r="C12" s="4"/>
      <c r="D12" s="3"/>
      <c r="E12" s="3"/>
      <c r="F12" s="3"/>
      <c r="G12" s="4"/>
      <c r="H12" s="158"/>
      <c r="I12" s="3"/>
      <c r="J12" s="3"/>
      <c r="K12" s="3"/>
      <c r="L12" s="4"/>
      <c r="M12" s="4"/>
      <c r="W12" s="127"/>
      <c r="X12" s="10"/>
      <c r="Y12" s="10"/>
      <c r="Z12" s="10"/>
      <c r="AA12" s="10"/>
      <c r="AB12" s="90"/>
      <c r="AC12" s="10"/>
      <c r="AD12" s="2">
        <f t="shared" si="0"/>
        <v>0</v>
      </c>
      <c r="AE12" s="131" t="e">
        <f t="shared" si="1"/>
        <v>#DIV/0!</v>
      </c>
    </row>
    <row r="13" spans="1:31" x14ac:dyDescent="0.25">
      <c r="H13" s="67"/>
      <c r="W13" s="127"/>
      <c r="X13" s="10"/>
      <c r="Y13" s="10"/>
      <c r="Z13" s="10"/>
      <c r="AA13" s="10"/>
      <c r="AB13" s="90"/>
      <c r="AC13" s="10"/>
      <c r="AD13" s="2">
        <f t="shared" si="0"/>
        <v>0</v>
      </c>
      <c r="AE13" s="131" t="e">
        <f t="shared" si="1"/>
        <v>#DIV/0!</v>
      </c>
    </row>
    <row r="14" spans="1:31" x14ac:dyDescent="0.25">
      <c r="H14" s="67"/>
      <c r="W14" s="127"/>
      <c r="X14" s="10"/>
      <c r="Y14" s="10"/>
      <c r="Z14" s="10"/>
      <c r="AA14" s="10"/>
      <c r="AB14" s="90"/>
      <c r="AC14" s="10"/>
      <c r="AD14" s="2">
        <f t="shared" si="0"/>
        <v>0</v>
      </c>
      <c r="AE14" s="131" t="e">
        <f t="shared" si="1"/>
        <v>#DIV/0!</v>
      </c>
    </row>
    <row r="15" spans="1:31" x14ac:dyDescent="0.25">
      <c r="H15" s="67"/>
      <c r="W15" s="127"/>
      <c r="X15" s="10"/>
      <c r="Y15" s="10"/>
      <c r="Z15" s="10"/>
      <c r="AA15" s="10"/>
      <c r="AB15" s="90"/>
      <c r="AC15" s="10"/>
      <c r="AD15" s="2">
        <f t="shared" si="0"/>
        <v>0</v>
      </c>
      <c r="AE15" s="131" t="e">
        <f t="shared" si="1"/>
        <v>#DIV/0!</v>
      </c>
    </row>
    <row r="16" spans="1:31" x14ac:dyDescent="0.25">
      <c r="H16" s="67"/>
      <c r="W16" s="127"/>
      <c r="X16" s="10"/>
      <c r="Y16" s="10"/>
      <c r="Z16" s="10"/>
      <c r="AA16" s="10"/>
      <c r="AB16" s="90"/>
      <c r="AC16" s="10"/>
      <c r="AD16" s="2">
        <f t="shared" si="0"/>
        <v>0</v>
      </c>
      <c r="AE16" s="131" t="e">
        <f t="shared" si="1"/>
        <v>#DIV/0!</v>
      </c>
    </row>
    <row r="17" spans="1:31" x14ac:dyDescent="0.25">
      <c r="H17" s="67"/>
      <c r="W17" s="127"/>
      <c r="X17" s="10"/>
      <c r="Y17" s="10"/>
      <c r="Z17" s="10"/>
      <c r="AA17" s="10"/>
      <c r="AB17" s="90"/>
      <c r="AC17" s="10"/>
      <c r="AD17" s="2">
        <f t="shared" si="0"/>
        <v>0</v>
      </c>
      <c r="AE17" s="131" t="e">
        <f t="shared" si="1"/>
        <v>#DIV/0!</v>
      </c>
    </row>
    <row r="18" spans="1:31" x14ac:dyDescent="0.25">
      <c r="A18" s="31" t="s">
        <v>81</v>
      </c>
      <c r="B18" s="14"/>
      <c r="C18" s="14">
        <f>SUM(C2:C8)</f>
        <v>0</v>
      </c>
      <c r="D18" s="18"/>
      <c r="E18" s="18"/>
      <c r="F18" s="18">
        <f>SUM(F2:F8)</f>
        <v>0</v>
      </c>
      <c r="G18" s="14"/>
      <c r="H18" s="14">
        <f>SUM(H2:H17)</f>
        <v>0</v>
      </c>
      <c r="I18" s="18"/>
      <c r="J18" s="18"/>
      <c r="K18" s="18">
        <f>SUM(K2:K17)</f>
        <v>0</v>
      </c>
      <c r="L18" s="14"/>
      <c r="M18" s="18">
        <f>SUM(M2:M17)</f>
        <v>0</v>
      </c>
      <c r="W18" s="127"/>
      <c r="X18" s="10"/>
      <c r="Y18" s="10"/>
      <c r="Z18" s="10"/>
      <c r="AA18" s="10"/>
      <c r="AB18" s="90"/>
      <c r="AC18" s="10"/>
      <c r="AD18" s="2">
        <f t="shared" si="0"/>
        <v>0</v>
      </c>
      <c r="AE18" s="131" t="e">
        <f t="shared" si="1"/>
        <v>#DIV/0!</v>
      </c>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c r="X19" s="10"/>
      <c r="Y19" s="10"/>
      <c r="Z19" s="10"/>
      <c r="AA19" s="10"/>
      <c r="AB19" s="90"/>
      <c r="AC19" s="10"/>
      <c r="AD19" s="2">
        <f t="shared" si="0"/>
        <v>0</v>
      </c>
      <c r="AE19" s="131" t="e">
        <f t="shared" si="1"/>
        <v>#DIV/0!</v>
      </c>
    </row>
    <row r="20" spans="1:31" x14ac:dyDescent="0.25">
      <c r="W20" s="127"/>
      <c r="X20" s="10"/>
      <c r="Y20" s="10"/>
      <c r="Z20" s="10"/>
      <c r="AA20" s="10"/>
      <c r="AB20" s="90"/>
      <c r="AC20" s="10"/>
      <c r="AD20" s="2">
        <f t="shared" si="0"/>
        <v>0</v>
      </c>
      <c r="AE20" s="131" t="e">
        <f t="shared" si="1"/>
        <v>#DIV/0!</v>
      </c>
    </row>
    <row r="21" spans="1:31" x14ac:dyDescent="0.25">
      <c r="B21" s="159" t="s">
        <v>113</v>
      </c>
      <c r="C21" s="159" t="s">
        <v>143</v>
      </c>
      <c r="D21" s="160" t="s">
        <v>142</v>
      </c>
      <c r="E21" s="162" t="s">
        <v>144</v>
      </c>
      <c r="F21" s="162" t="s">
        <v>65</v>
      </c>
      <c r="G21" s="173" t="s">
        <v>148</v>
      </c>
      <c r="H21" s="173" t="s">
        <v>88</v>
      </c>
      <c r="I21" s="173" t="s">
        <v>151</v>
      </c>
      <c r="W21" s="127"/>
      <c r="X21" s="10"/>
      <c r="Y21" s="10"/>
      <c r="Z21" s="10"/>
      <c r="AA21" s="10"/>
      <c r="AB21" s="90"/>
      <c r="AC21" s="10"/>
      <c r="AD21" s="2">
        <f t="shared" si="0"/>
        <v>0</v>
      </c>
      <c r="AE21" s="131" t="e">
        <f t="shared" si="1"/>
        <v>#DIV/0!</v>
      </c>
    </row>
    <row r="22" spans="1:31" x14ac:dyDescent="0.25">
      <c r="B22" s="161"/>
      <c r="C22" s="10"/>
      <c r="D22" s="39"/>
      <c r="E22" s="39"/>
      <c r="F22" s="39"/>
      <c r="G22" s="10"/>
      <c r="H22" s="152"/>
      <c r="I22" s="39"/>
      <c r="W22" s="127"/>
      <c r="X22" s="10"/>
      <c r="Y22" s="10"/>
      <c r="Z22" s="10"/>
      <c r="AA22" s="10"/>
      <c r="AB22" s="90"/>
      <c r="AC22" s="10"/>
      <c r="AD22" s="2">
        <f t="shared" si="0"/>
        <v>0</v>
      </c>
      <c r="AE22" s="131" t="e">
        <f t="shared" si="1"/>
        <v>#DIV/0!</v>
      </c>
    </row>
    <row r="23" spans="1:31" x14ac:dyDescent="0.25">
      <c r="B23" s="161"/>
      <c r="C23" s="10"/>
      <c r="D23" s="39"/>
      <c r="E23" s="39"/>
      <c r="F23" s="39"/>
      <c r="G23" s="10"/>
      <c r="H23" s="152"/>
      <c r="I23" s="39"/>
      <c r="W23" s="127"/>
      <c r="X23" s="10"/>
      <c r="Y23" s="10"/>
      <c r="Z23" s="10"/>
      <c r="AA23" s="10"/>
      <c r="AB23" s="90"/>
      <c r="AC23" s="10"/>
      <c r="AD23" s="2">
        <f t="shared" si="0"/>
        <v>0</v>
      </c>
      <c r="AE23" s="131" t="e">
        <f t="shared" si="1"/>
        <v>#DIV/0!</v>
      </c>
    </row>
    <row r="24" spans="1:31" x14ac:dyDescent="0.25">
      <c r="B24" s="161"/>
      <c r="C24" s="10"/>
      <c r="D24" s="39"/>
      <c r="E24" s="39"/>
      <c r="F24" s="39"/>
      <c r="G24" s="10"/>
      <c r="H24" s="10"/>
      <c r="I24" s="39"/>
      <c r="W24" s="127"/>
      <c r="X24" s="10"/>
      <c r="Y24" s="10"/>
      <c r="Z24" s="10"/>
      <c r="AA24" s="10"/>
      <c r="AB24" s="90"/>
      <c r="AC24" s="10"/>
      <c r="AD24" s="2">
        <f t="shared" si="0"/>
        <v>0</v>
      </c>
      <c r="AE24" s="131" t="e">
        <f t="shared" si="1"/>
        <v>#DIV/0!</v>
      </c>
    </row>
    <row r="25" spans="1:31" x14ac:dyDescent="0.25">
      <c r="B25" s="10"/>
      <c r="C25" s="10"/>
      <c r="D25" s="39"/>
      <c r="E25" s="39"/>
      <c r="F25" s="39"/>
      <c r="G25" s="10"/>
      <c r="H25" s="10"/>
      <c r="I25" s="39"/>
      <c r="W25" s="127"/>
      <c r="X25" s="10"/>
      <c r="Y25" s="10"/>
      <c r="Z25" s="10"/>
      <c r="AA25" s="10"/>
      <c r="AB25" s="90"/>
      <c r="AC25" s="10"/>
      <c r="AD25" s="2">
        <f t="shared" si="0"/>
        <v>0</v>
      </c>
      <c r="AE25" s="131" t="e">
        <f t="shared" si="1"/>
        <v>#DIV/0!</v>
      </c>
    </row>
    <row r="26" spans="1:31" x14ac:dyDescent="0.25">
      <c r="B26" s="10"/>
      <c r="C26" s="10"/>
      <c r="D26" s="39"/>
      <c r="E26" s="39"/>
      <c r="F26" s="39"/>
      <c r="G26" s="10"/>
      <c r="H26" s="10"/>
      <c r="I26" s="39"/>
      <c r="W26" s="127"/>
      <c r="X26" s="10"/>
      <c r="Y26" s="10"/>
      <c r="Z26" s="10"/>
      <c r="AA26" s="10"/>
      <c r="AB26" s="90"/>
      <c r="AC26" s="10"/>
      <c r="AD26" s="2">
        <f t="shared" si="0"/>
        <v>0</v>
      </c>
      <c r="AE26" s="131" t="e">
        <f t="shared" si="1"/>
        <v>#DIV/0!</v>
      </c>
    </row>
    <row r="27" spans="1:31" x14ac:dyDescent="0.25">
      <c r="B27" s="10"/>
      <c r="C27" s="10"/>
      <c r="D27" s="39"/>
      <c r="E27" s="39"/>
      <c r="F27" s="39"/>
      <c r="G27" s="10"/>
      <c r="H27" s="10"/>
      <c r="I27" s="39"/>
      <c r="W27" s="127"/>
      <c r="X27" s="10"/>
      <c r="Y27" s="10"/>
      <c r="Z27" s="10"/>
      <c r="AA27" s="10"/>
      <c r="AB27" s="90"/>
      <c r="AC27" s="10"/>
      <c r="AD27" s="2">
        <f t="shared" si="0"/>
        <v>0</v>
      </c>
      <c r="AE27" s="131" t="e">
        <f t="shared" si="1"/>
        <v>#DIV/0!</v>
      </c>
    </row>
    <row r="28" spans="1:31" x14ac:dyDescent="0.25">
      <c r="B28" s="10"/>
      <c r="C28" s="10"/>
      <c r="D28" s="39"/>
      <c r="E28" s="39"/>
      <c r="F28" s="39"/>
      <c r="G28" s="10"/>
      <c r="H28" s="10"/>
      <c r="I28" s="39"/>
      <c r="W28" s="127"/>
      <c r="X28" s="10"/>
      <c r="Y28" s="10"/>
      <c r="Z28" s="10"/>
      <c r="AA28" s="10"/>
      <c r="AB28" s="90"/>
      <c r="AC28" s="10"/>
      <c r="AD28" s="2">
        <f t="shared" si="0"/>
        <v>0</v>
      </c>
      <c r="AE28" s="131" t="e">
        <f t="shared" si="1"/>
        <v>#DIV/0!</v>
      </c>
    </row>
    <row r="29" spans="1:31" x14ac:dyDescent="0.25">
      <c r="B29" s="10"/>
      <c r="C29" s="10"/>
      <c r="D29" s="39"/>
      <c r="E29" s="39"/>
      <c r="F29" s="39"/>
      <c r="G29" s="10"/>
      <c r="H29" s="10"/>
      <c r="I29" s="39"/>
      <c r="W29" s="127"/>
      <c r="X29" s="10"/>
      <c r="Y29" s="10"/>
      <c r="Z29" s="10"/>
      <c r="AA29" s="10"/>
      <c r="AB29" s="90"/>
      <c r="AC29" s="10"/>
      <c r="AD29" s="2">
        <f t="shared" si="0"/>
        <v>0</v>
      </c>
      <c r="AE29" s="131" t="e">
        <f t="shared" si="1"/>
        <v>#DIV/0!</v>
      </c>
    </row>
    <row r="30" spans="1:31" x14ac:dyDescent="0.25">
      <c r="B30" s="10"/>
      <c r="C30" s="10"/>
      <c r="D30" s="39"/>
      <c r="E30" s="39"/>
      <c r="F30" s="39"/>
      <c r="G30" s="10"/>
      <c r="H30" s="10"/>
      <c r="I30" s="39"/>
      <c r="W30" s="127"/>
      <c r="X30" s="10"/>
      <c r="Y30" s="10"/>
      <c r="Z30" s="10"/>
      <c r="AA30" s="10"/>
      <c r="AB30" s="90"/>
      <c r="AC30" s="10"/>
      <c r="AD30" s="2">
        <f t="shared" si="0"/>
        <v>0</v>
      </c>
      <c r="AE30" s="131" t="e">
        <f t="shared" si="1"/>
        <v>#DIV/0!</v>
      </c>
    </row>
    <row r="31" spans="1:31" x14ac:dyDescent="0.25">
      <c r="W31" s="127"/>
      <c r="X31" s="10"/>
      <c r="Y31" s="10"/>
      <c r="Z31" s="10"/>
      <c r="AA31" s="10"/>
      <c r="AB31" s="90"/>
      <c r="AC31" s="10"/>
      <c r="AD31" s="2">
        <f t="shared" si="0"/>
        <v>0</v>
      </c>
      <c r="AE31" s="131" t="e">
        <f t="shared" si="1"/>
        <v>#DIV/0!</v>
      </c>
    </row>
    <row r="32" spans="1:31" x14ac:dyDescent="0.25">
      <c r="L32" t="s">
        <v>65</v>
      </c>
      <c r="M32" s="2">
        <f>M50+K50-F50</f>
        <v>495.20999999999913</v>
      </c>
      <c r="W32" s="127"/>
      <c r="X32" s="10"/>
      <c r="Y32" s="10"/>
      <c r="Z32" s="10"/>
      <c r="AA32" s="10"/>
      <c r="AB32" s="90"/>
      <c r="AC32" s="10"/>
      <c r="AD32" s="2">
        <f t="shared" si="0"/>
        <v>0</v>
      </c>
      <c r="AE32" s="131" t="e">
        <f t="shared" si="1"/>
        <v>#DIV/0!</v>
      </c>
    </row>
    <row r="33" spans="1:31" x14ac:dyDescent="0.25">
      <c r="A33" s="431" t="s">
        <v>1</v>
      </c>
      <c r="B33" s="431" t="s">
        <v>2</v>
      </c>
      <c r="C33" s="431" t="s">
        <v>4</v>
      </c>
      <c r="D33" s="432" t="s">
        <v>5</v>
      </c>
      <c r="E33" s="432" t="s">
        <v>94</v>
      </c>
      <c r="F33" s="432" t="s">
        <v>60</v>
      </c>
      <c r="G33" s="431" t="s">
        <v>3</v>
      </c>
      <c r="H33" s="431" t="s">
        <v>6</v>
      </c>
      <c r="I33" s="432" t="s">
        <v>7</v>
      </c>
      <c r="J33" s="432" t="s">
        <v>95</v>
      </c>
      <c r="K33" s="432" t="s">
        <v>61</v>
      </c>
      <c r="L33" s="431" t="s">
        <v>37</v>
      </c>
      <c r="M33" s="431" t="s">
        <v>38</v>
      </c>
      <c r="W33" s="127"/>
      <c r="X33" s="10"/>
      <c r="Y33" s="10"/>
      <c r="Z33" s="10"/>
      <c r="AA33" s="10"/>
      <c r="AB33" s="90"/>
      <c r="AC33" s="10"/>
      <c r="AD33" s="2">
        <f t="shared" si="0"/>
        <v>0</v>
      </c>
      <c r="AE33" s="131" t="e">
        <f t="shared" si="1"/>
        <v>#DIV/0!</v>
      </c>
    </row>
    <row r="34" spans="1:31" x14ac:dyDescent="0.25">
      <c r="A34" s="433" t="s">
        <v>192</v>
      </c>
      <c r="B34" s="417">
        <v>42488</v>
      </c>
      <c r="C34" s="418">
        <v>100</v>
      </c>
      <c r="D34" s="420">
        <v>13.8</v>
      </c>
      <c r="E34" s="420">
        <v>0</v>
      </c>
      <c r="F34" s="420">
        <f t="shared" ref="F34:F40" si="2">D34*C34+E34</f>
        <v>1380</v>
      </c>
      <c r="G34" s="417">
        <v>42515</v>
      </c>
      <c r="H34" s="418">
        <v>100</v>
      </c>
      <c r="I34" s="420">
        <v>13.59</v>
      </c>
      <c r="J34" s="420">
        <v>0.03</v>
      </c>
      <c r="K34" s="420">
        <f t="shared" ref="K34:K39" si="3">I34*H34-J34</f>
        <v>1358.97</v>
      </c>
      <c r="L34" s="417">
        <v>42614</v>
      </c>
      <c r="M34" s="420">
        <v>45</v>
      </c>
      <c r="W34" s="127"/>
      <c r="X34" s="10"/>
      <c r="Y34" s="10"/>
      <c r="Z34" s="10"/>
      <c r="AA34" s="10"/>
      <c r="AB34" s="90"/>
      <c r="AC34" s="10"/>
      <c r="AD34" s="2">
        <f t="shared" si="0"/>
        <v>0</v>
      </c>
      <c r="AE34" s="131" t="e">
        <f t="shared" si="1"/>
        <v>#DIV/0!</v>
      </c>
    </row>
    <row r="35" spans="1:31" x14ac:dyDescent="0.25">
      <c r="A35" s="435" t="s">
        <v>71</v>
      </c>
      <c r="B35" s="417">
        <v>42507</v>
      </c>
      <c r="C35" s="418">
        <v>100</v>
      </c>
      <c r="D35" s="420">
        <v>13.08</v>
      </c>
      <c r="E35" s="420">
        <v>0</v>
      </c>
      <c r="F35" s="420">
        <f t="shared" si="2"/>
        <v>1308</v>
      </c>
      <c r="G35" s="417">
        <v>42559</v>
      </c>
      <c r="H35" s="434">
        <v>100</v>
      </c>
      <c r="I35" s="420">
        <v>13.08</v>
      </c>
      <c r="J35" s="420">
        <v>0.03</v>
      </c>
      <c r="K35" s="420">
        <f t="shared" si="3"/>
        <v>1307.97</v>
      </c>
      <c r="L35" s="417">
        <v>42705</v>
      </c>
      <c r="M35" s="420">
        <v>37.5</v>
      </c>
      <c r="W35" s="127"/>
      <c r="X35" s="10"/>
      <c r="Y35" s="10"/>
      <c r="Z35" s="10"/>
      <c r="AA35" s="10"/>
      <c r="AB35" s="90"/>
      <c r="AC35" s="10"/>
      <c r="AD35" s="2">
        <f t="shared" si="0"/>
        <v>0</v>
      </c>
      <c r="AE35" s="131" t="e">
        <f t="shared" si="1"/>
        <v>#DIV/0!</v>
      </c>
    </row>
    <row r="36" spans="1:31" x14ac:dyDescent="0.25">
      <c r="A36" s="418"/>
      <c r="B36" s="417">
        <v>42545</v>
      </c>
      <c r="C36" s="418">
        <v>50</v>
      </c>
      <c r="D36" s="420">
        <v>12.75</v>
      </c>
      <c r="E36" s="420">
        <v>0</v>
      </c>
      <c r="F36" s="420">
        <f t="shared" si="2"/>
        <v>637.5</v>
      </c>
      <c r="G36" s="417">
        <v>42577</v>
      </c>
      <c r="H36" s="434">
        <v>50</v>
      </c>
      <c r="I36" s="420">
        <v>13.78</v>
      </c>
      <c r="J36" s="420">
        <v>0.02</v>
      </c>
      <c r="K36" s="420">
        <f t="shared" si="3"/>
        <v>688.98</v>
      </c>
      <c r="L36" s="418"/>
      <c r="M36" s="418"/>
      <c r="W36" s="127"/>
      <c r="X36" s="10"/>
      <c r="Y36" s="10"/>
      <c r="Z36" s="10"/>
      <c r="AA36" s="10"/>
      <c r="AB36" s="90"/>
      <c r="AC36" s="10"/>
      <c r="AD36" s="2">
        <f t="shared" si="0"/>
        <v>0</v>
      </c>
      <c r="AE36" s="131" t="e">
        <f t="shared" si="1"/>
        <v>#DIV/0!</v>
      </c>
    </row>
    <row r="37" spans="1:31" x14ac:dyDescent="0.25">
      <c r="A37" s="418"/>
      <c r="B37" s="417">
        <v>42545</v>
      </c>
      <c r="C37" s="418">
        <v>100</v>
      </c>
      <c r="D37" s="420">
        <v>12.75</v>
      </c>
      <c r="E37" s="420">
        <v>0</v>
      </c>
      <c r="F37" s="420">
        <f t="shared" si="2"/>
        <v>1275</v>
      </c>
      <c r="G37" s="417">
        <v>42620</v>
      </c>
      <c r="H37" s="434">
        <v>100</v>
      </c>
      <c r="I37" s="420">
        <v>12.7</v>
      </c>
      <c r="J37" s="420">
        <v>0.53</v>
      </c>
      <c r="K37" s="420">
        <f t="shared" si="3"/>
        <v>1269.47</v>
      </c>
      <c r="L37" s="418"/>
      <c r="M37" s="418"/>
      <c r="W37" s="127"/>
      <c r="X37" s="10"/>
      <c r="Y37" s="10"/>
      <c r="Z37" s="10"/>
      <c r="AA37" s="10"/>
      <c r="AB37" s="90"/>
      <c r="AC37" s="10"/>
      <c r="AD37" s="2">
        <f t="shared" si="0"/>
        <v>0</v>
      </c>
      <c r="AE37" s="131" t="e">
        <f t="shared" si="1"/>
        <v>#DIV/0!</v>
      </c>
    </row>
    <row r="38" spans="1:31" x14ac:dyDescent="0.25">
      <c r="A38" s="418"/>
      <c r="B38" s="417">
        <v>42548</v>
      </c>
      <c r="C38" s="418">
        <v>150</v>
      </c>
      <c r="D38" s="420">
        <v>12.18</v>
      </c>
      <c r="E38" s="420">
        <v>0</v>
      </c>
      <c r="F38" s="420">
        <f t="shared" si="2"/>
        <v>1827</v>
      </c>
      <c r="G38" s="417">
        <v>42684</v>
      </c>
      <c r="H38" s="434">
        <v>250</v>
      </c>
      <c r="I38" s="420">
        <v>11.94</v>
      </c>
      <c r="J38" s="420">
        <v>7.0000000000000007E-2</v>
      </c>
      <c r="K38" s="420">
        <f t="shared" si="3"/>
        <v>2984.93</v>
      </c>
      <c r="L38" s="418"/>
      <c r="M38" s="418"/>
      <c r="W38" s="127"/>
      <c r="X38" s="10"/>
      <c r="Y38" s="10"/>
      <c r="Z38" s="10"/>
      <c r="AA38" s="10"/>
      <c r="AB38" s="90"/>
      <c r="AC38" s="10"/>
      <c r="AD38" s="2">
        <f t="shared" si="0"/>
        <v>0</v>
      </c>
      <c r="AE38" s="131" t="e">
        <f t="shared" si="1"/>
        <v>#DIV/0!</v>
      </c>
    </row>
    <row r="39" spans="1:31" x14ac:dyDescent="0.25">
      <c r="A39" s="418"/>
      <c r="B39" s="417">
        <v>42627</v>
      </c>
      <c r="C39" s="418">
        <v>100</v>
      </c>
      <c r="D39" s="420">
        <v>12.14</v>
      </c>
      <c r="E39" s="420">
        <v>0</v>
      </c>
      <c r="F39" s="420">
        <f t="shared" si="2"/>
        <v>1214</v>
      </c>
      <c r="G39" s="417">
        <v>42711</v>
      </c>
      <c r="H39" s="434">
        <v>200</v>
      </c>
      <c r="I39" s="420">
        <v>12.68</v>
      </c>
      <c r="J39" s="420">
        <v>0.06</v>
      </c>
      <c r="K39" s="420">
        <f t="shared" si="3"/>
        <v>2535.94</v>
      </c>
      <c r="L39" s="418"/>
      <c r="M39" s="418"/>
      <c r="W39" s="127"/>
      <c r="X39" s="10"/>
      <c r="Y39" s="10"/>
      <c r="Z39" s="10"/>
      <c r="AA39" s="10"/>
      <c r="AB39" s="90"/>
      <c r="AC39" s="10"/>
      <c r="AD39" s="2">
        <f t="shared" si="0"/>
        <v>0</v>
      </c>
      <c r="AE39" s="131" t="e">
        <f t="shared" si="1"/>
        <v>#DIV/0!</v>
      </c>
    </row>
    <row r="40" spans="1:31" ht="20.25" thickBot="1" x14ac:dyDescent="0.35">
      <c r="A40" s="418"/>
      <c r="B40" s="417">
        <v>42670</v>
      </c>
      <c r="C40" s="418">
        <v>200</v>
      </c>
      <c r="D40" s="420">
        <v>11.68</v>
      </c>
      <c r="E40" s="420">
        <v>0</v>
      </c>
      <c r="F40" s="420">
        <f t="shared" si="2"/>
        <v>2336</v>
      </c>
      <c r="G40" s="418"/>
      <c r="H40" s="434"/>
      <c r="I40" s="420"/>
      <c r="J40" s="420"/>
      <c r="K40" s="420"/>
      <c r="L40" s="418"/>
      <c r="M40" s="418"/>
      <c r="O40" s="886" t="s">
        <v>78</v>
      </c>
      <c r="P40" s="886"/>
      <c r="W40" s="127"/>
      <c r="X40" s="10"/>
      <c r="Y40" s="10"/>
      <c r="Z40" s="10"/>
      <c r="AA40" s="10"/>
      <c r="AB40" s="90"/>
      <c r="AC40" s="10"/>
      <c r="AD40" s="2">
        <f t="shared" si="0"/>
        <v>0</v>
      </c>
      <c r="AE40" s="131" t="e">
        <f t="shared" si="1"/>
        <v>#DIV/0!</v>
      </c>
    </row>
    <row r="41" spans="1:31" ht="15.75" thickTop="1" x14ac:dyDescent="0.25">
      <c r="A41" s="418"/>
      <c r="B41" s="418"/>
      <c r="C41" s="418"/>
      <c r="D41" s="420"/>
      <c r="E41" s="420"/>
      <c r="F41" s="420"/>
      <c r="G41" s="418"/>
      <c r="H41" s="434"/>
      <c r="I41" s="420"/>
      <c r="J41" s="420"/>
      <c r="K41" s="420"/>
      <c r="L41" s="418"/>
      <c r="M41" s="418"/>
      <c r="O41" s="78">
        <v>1.1000000000000001</v>
      </c>
      <c r="P41" s="78">
        <f>O41*$Q$4</f>
        <v>10.076000000000001</v>
      </c>
      <c r="Q41" s="2"/>
      <c r="W41" s="127"/>
      <c r="X41" s="10"/>
      <c r="Y41" s="10"/>
      <c r="Z41" s="10"/>
      <c r="AA41" s="10"/>
      <c r="AB41" s="90"/>
      <c r="AC41" s="10"/>
      <c r="AD41" s="2">
        <f t="shared" si="0"/>
        <v>0</v>
      </c>
      <c r="AE41" s="131" t="e">
        <f t="shared" si="1"/>
        <v>#DIV/0!</v>
      </c>
    </row>
    <row r="42" spans="1:31" ht="20.25" thickBot="1" x14ac:dyDescent="0.35">
      <c r="A42" s="418"/>
      <c r="B42" s="69">
        <v>42965</v>
      </c>
      <c r="C42" s="4">
        <v>200</v>
      </c>
      <c r="D42" s="3">
        <v>10.48</v>
      </c>
      <c r="E42" s="3">
        <v>0</v>
      </c>
      <c r="F42" s="3">
        <f>D42*C42+E42</f>
        <v>2096</v>
      </c>
      <c r="G42" s="69">
        <v>42996</v>
      </c>
      <c r="H42" s="4">
        <v>200</v>
      </c>
      <c r="I42" s="3">
        <v>11.7</v>
      </c>
      <c r="J42" s="3">
        <v>0.05</v>
      </c>
      <c r="K42" s="3">
        <f>I42*H42-J42</f>
        <v>2339.9499999999998</v>
      </c>
      <c r="L42" s="418"/>
      <c r="M42" s="418"/>
      <c r="O42" s="78">
        <v>1.0900000000000001</v>
      </c>
      <c r="P42" s="78">
        <f t="shared" ref="P42:P61" si="4">O42*$Q$4</f>
        <v>9.9844000000000008</v>
      </c>
      <c r="Q42" s="2"/>
      <c r="T42" s="86" t="s">
        <v>112</v>
      </c>
      <c r="W42" s="127"/>
      <c r="X42" s="10"/>
      <c r="Y42" s="10"/>
      <c r="Z42" s="10"/>
      <c r="AA42" s="10"/>
      <c r="AB42" s="90"/>
      <c r="AC42" s="10"/>
      <c r="AD42" s="2">
        <f t="shared" si="0"/>
        <v>0</v>
      </c>
      <c r="AE42" s="131" t="e">
        <f t="shared" si="1"/>
        <v>#DIV/0!</v>
      </c>
    </row>
    <row r="43" spans="1:31" ht="15.75" thickTop="1" x14ac:dyDescent="0.25">
      <c r="A43" s="418"/>
      <c r="B43" s="418"/>
      <c r="C43" s="418"/>
      <c r="D43" s="420"/>
      <c r="E43" s="420"/>
      <c r="F43" s="420"/>
      <c r="G43" s="418"/>
      <c r="H43" s="434"/>
      <c r="I43" s="420"/>
      <c r="J43" s="420"/>
      <c r="K43" s="420"/>
      <c r="L43" s="418"/>
      <c r="M43" s="418"/>
      <c r="O43" s="78">
        <v>1.08</v>
      </c>
      <c r="P43" s="78">
        <f t="shared" si="4"/>
        <v>9.8928000000000011</v>
      </c>
      <c r="Q43" s="2"/>
      <c r="T43" s="122" t="s">
        <v>97</v>
      </c>
      <c r="U43" s="93">
        <v>11.37</v>
      </c>
      <c r="W43" s="127"/>
      <c r="X43" s="10"/>
      <c r="Y43" s="10"/>
      <c r="Z43" s="10"/>
      <c r="AA43" s="10"/>
      <c r="AB43" s="90"/>
      <c r="AC43" s="10"/>
      <c r="AD43" s="2">
        <f t="shared" si="0"/>
        <v>0</v>
      </c>
      <c r="AE43" s="131" t="e">
        <f t="shared" si="1"/>
        <v>#DIV/0!</v>
      </c>
    </row>
    <row r="44" spans="1:31" x14ac:dyDescent="0.25">
      <c r="A44" s="418"/>
      <c r="B44" s="418"/>
      <c r="C44" s="418"/>
      <c r="D44" s="420"/>
      <c r="E44" s="420"/>
      <c r="F44" s="420"/>
      <c r="G44" s="418"/>
      <c r="H44" s="434"/>
      <c r="I44" s="420"/>
      <c r="J44" s="420"/>
      <c r="K44" s="420"/>
      <c r="L44" s="418"/>
      <c r="M44" s="418"/>
      <c r="O44" s="78">
        <v>1.07</v>
      </c>
      <c r="P44" s="78">
        <f t="shared" si="4"/>
        <v>9.8012000000000015</v>
      </c>
      <c r="Q44" s="2"/>
      <c r="T44" s="88" t="s">
        <v>98</v>
      </c>
      <c r="U44" s="83">
        <v>11.48</v>
      </c>
      <c r="W44" s="127"/>
      <c r="X44" s="10"/>
      <c r="Y44" s="10"/>
      <c r="Z44" s="10"/>
      <c r="AA44" s="10"/>
      <c r="AB44" s="90"/>
      <c r="AC44" s="10"/>
      <c r="AD44" s="2">
        <f t="shared" si="0"/>
        <v>0</v>
      </c>
      <c r="AE44" s="131" t="e">
        <f t="shared" si="1"/>
        <v>#DIV/0!</v>
      </c>
    </row>
    <row r="45" spans="1:31" x14ac:dyDescent="0.25">
      <c r="A45" s="418"/>
      <c r="B45" s="418"/>
      <c r="C45" s="418"/>
      <c r="D45" s="420"/>
      <c r="E45" s="420"/>
      <c r="F45" s="420"/>
      <c r="G45" s="418"/>
      <c r="H45" s="434"/>
      <c r="I45" s="420"/>
      <c r="J45" s="420"/>
      <c r="K45" s="420"/>
      <c r="L45" s="418"/>
      <c r="M45" s="418"/>
      <c r="O45" s="78">
        <v>1.06</v>
      </c>
      <c r="P45" s="78">
        <f t="shared" si="4"/>
        <v>9.7096</v>
      </c>
      <c r="Q45" s="2"/>
      <c r="T45" s="88" t="s">
        <v>99</v>
      </c>
      <c r="U45" s="83" t="s">
        <v>128</v>
      </c>
      <c r="W45" s="127"/>
      <c r="X45" s="10"/>
      <c r="Y45" s="10"/>
      <c r="Z45" s="10"/>
      <c r="AA45" s="10"/>
      <c r="AB45" s="90"/>
      <c r="AC45" s="10"/>
      <c r="AD45" s="2">
        <f t="shared" si="0"/>
        <v>0</v>
      </c>
      <c r="AE45" s="131" t="e">
        <f t="shared" si="1"/>
        <v>#DIV/0!</v>
      </c>
    </row>
    <row r="46" spans="1:31" x14ac:dyDescent="0.25">
      <c r="A46" s="418"/>
      <c r="B46" s="418"/>
      <c r="C46" s="418"/>
      <c r="D46" s="420"/>
      <c r="E46" s="420"/>
      <c r="F46" s="420"/>
      <c r="G46" s="418"/>
      <c r="H46" s="434"/>
      <c r="I46" s="420"/>
      <c r="J46" s="420"/>
      <c r="K46" s="420"/>
      <c r="L46" s="418"/>
      <c r="M46" s="418"/>
      <c r="O46" s="78">
        <v>1.05</v>
      </c>
      <c r="P46" s="78">
        <f t="shared" si="4"/>
        <v>9.6180000000000003</v>
      </c>
      <c r="Q46" s="2"/>
      <c r="T46" s="88" t="s">
        <v>100</v>
      </c>
      <c r="U46" s="83" t="s">
        <v>128</v>
      </c>
      <c r="W46" s="127"/>
      <c r="X46" s="10"/>
      <c r="Y46" s="10"/>
      <c r="Z46" s="10"/>
      <c r="AA46" s="10"/>
      <c r="AB46" s="90"/>
      <c r="AC46" s="10"/>
      <c r="AD46" s="2">
        <f t="shared" si="0"/>
        <v>0</v>
      </c>
      <c r="AE46" s="131" t="e">
        <f t="shared" si="1"/>
        <v>#DIV/0!</v>
      </c>
    </row>
    <row r="47" spans="1:31" x14ac:dyDescent="0.25">
      <c r="A47" s="418"/>
      <c r="B47" s="418"/>
      <c r="C47" s="418"/>
      <c r="D47" s="420"/>
      <c r="E47" s="420"/>
      <c r="F47" s="420"/>
      <c r="G47" s="418"/>
      <c r="H47" s="434"/>
      <c r="I47" s="420"/>
      <c r="J47" s="420"/>
      <c r="K47" s="420"/>
      <c r="L47" s="418"/>
      <c r="M47" s="418"/>
      <c r="O47" s="78">
        <v>1.04</v>
      </c>
      <c r="P47" s="78">
        <f t="shared" si="4"/>
        <v>9.5264000000000006</v>
      </c>
      <c r="Q47" s="2"/>
      <c r="T47" s="88" t="s">
        <v>101</v>
      </c>
      <c r="U47" s="83">
        <v>13.18</v>
      </c>
      <c r="W47" s="127"/>
      <c r="X47" s="10"/>
      <c r="Y47" s="10"/>
      <c r="Z47" s="10"/>
      <c r="AA47" s="10"/>
      <c r="AB47" s="90"/>
      <c r="AC47" s="10"/>
      <c r="AD47" s="2">
        <f t="shared" si="0"/>
        <v>0</v>
      </c>
      <c r="AE47" s="131" t="e">
        <f t="shared" si="1"/>
        <v>#DIV/0!</v>
      </c>
    </row>
    <row r="48" spans="1:31" x14ac:dyDescent="0.25">
      <c r="A48" s="418"/>
      <c r="B48" s="418"/>
      <c r="C48" s="418"/>
      <c r="D48" s="420"/>
      <c r="E48" s="420"/>
      <c r="F48" s="420"/>
      <c r="G48" s="418"/>
      <c r="H48" s="434"/>
      <c r="I48" s="420"/>
      <c r="J48" s="420"/>
      <c r="K48" s="420"/>
      <c r="L48" s="418"/>
      <c r="M48" s="418"/>
      <c r="O48" s="78">
        <v>1.03</v>
      </c>
      <c r="P48" s="78">
        <f t="shared" si="4"/>
        <v>9.434800000000001</v>
      </c>
      <c r="Q48" s="2"/>
      <c r="T48" s="88" t="s">
        <v>102</v>
      </c>
      <c r="U48" s="83">
        <v>1.34107</v>
      </c>
      <c r="W48" s="127"/>
      <c r="X48" s="10"/>
      <c r="Y48" s="10"/>
      <c r="Z48" s="10"/>
      <c r="AA48" s="10"/>
      <c r="AB48" s="90"/>
      <c r="AC48" s="10"/>
      <c r="AD48" s="2">
        <f t="shared" si="0"/>
        <v>0</v>
      </c>
      <c r="AE48" s="131" t="e">
        <f t="shared" si="1"/>
        <v>#DIV/0!</v>
      </c>
    </row>
    <row r="49" spans="1:31" x14ac:dyDescent="0.25">
      <c r="A49" s="418"/>
      <c r="B49" s="418"/>
      <c r="C49" s="418"/>
      <c r="D49" s="420"/>
      <c r="E49" s="420"/>
      <c r="F49" s="420"/>
      <c r="G49" s="418"/>
      <c r="H49" s="434"/>
      <c r="I49" s="420"/>
      <c r="J49" s="420"/>
      <c r="K49" s="420"/>
      <c r="L49" s="418"/>
      <c r="M49" s="418"/>
      <c r="O49" s="78">
        <v>1.02</v>
      </c>
      <c r="P49" s="78">
        <f t="shared" si="4"/>
        <v>9.3431999999999995</v>
      </c>
      <c r="Q49" s="2"/>
      <c r="T49" s="88" t="s">
        <v>103</v>
      </c>
      <c r="U49" s="83" t="s">
        <v>347</v>
      </c>
      <c r="W49" s="127"/>
      <c r="X49" s="10"/>
      <c r="Y49" s="10"/>
      <c r="Z49" s="10"/>
      <c r="AA49" s="10"/>
      <c r="AB49" s="90"/>
      <c r="AC49" s="10"/>
      <c r="AD49" s="2">
        <f t="shared" si="0"/>
        <v>0</v>
      </c>
      <c r="AE49" s="131" t="e">
        <f t="shared" si="1"/>
        <v>#DIV/0!</v>
      </c>
    </row>
    <row r="50" spans="1:31" x14ac:dyDescent="0.25">
      <c r="A50" s="436" t="s">
        <v>81</v>
      </c>
      <c r="B50" s="437"/>
      <c r="C50" s="437">
        <f>SUM(C34:C40)</f>
        <v>800</v>
      </c>
      <c r="D50" s="438"/>
      <c r="E50" s="438"/>
      <c r="F50" s="438">
        <f>SUM(F34:F49)</f>
        <v>12073.5</v>
      </c>
      <c r="G50" s="437"/>
      <c r="H50" s="437">
        <f>SUM(H34:H49)</f>
        <v>1000</v>
      </c>
      <c r="I50" s="438"/>
      <c r="J50" s="438"/>
      <c r="K50" s="438">
        <f>SUM(K34:K49)</f>
        <v>12486.21</v>
      </c>
      <c r="L50" s="437"/>
      <c r="M50" s="438">
        <f>SUM(M34:M49)</f>
        <v>82.5</v>
      </c>
      <c r="O50" s="78">
        <v>1.01</v>
      </c>
      <c r="P50" s="78">
        <f t="shared" si="4"/>
        <v>9.2515999999999998</v>
      </c>
      <c r="Q50" s="2"/>
      <c r="T50" s="88"/>
      <c r="U50" s="83"/>
      <c r="W50" s="127"/>
      <c r="X50" s="10"/>
      <c r="Y50" s="10"/>
      <c r="Z50" s="10"/>
      <c r="AA50" s="10"/>
      <c r="AB50" s="90"/>
      <c r="AC50" s="10"/>
      <c r="AD50" s="2">
        <f t="shared" si="0"/>
        <v>0</v>
      </c>
      <c r="AE50" s="131" t="e">
        <f t="shared" si="1"/>
        <v>#DIV/0!</v>
      </c>
    </row>
    <row r="51" spans="1:31" ht="15.75" thickBot="1" x14ac:dyDescent="0.3">
      <c r="A51" s="439" t="s">
        <v>189</v>
      </c>
      <c r="B51" s="440"/>
      <c r="C51" s="441">
        <f>SumByColor($A$19,C34:C49)</f>
        <v>0</v>
      </c>
      <c r="D51" s="441"/>
      <c r="E51" s="441"/>
      <c r="F51" s="442">
        <f>SumByColor($A$19,F34:F49)</f>
        <v>0</v>
      </c>
      <c r="G51" s="441"/>
      <c r="H51" s="441">
        <f>SumByColor($A$19,H34:H49)</f>
        <v>0</v>
      </c>
      <c r="I51" s="441"/>
      <c r="J51" s="441"/>
      <c r="K51" s="442">
        <f>SumByColor($A$19,K34:K49)</f>
        <v>0</v>
      </c>
      <c r="L51" s="441"/>
      <c r="M51" s="442">
        <f>SumByColor($A$19,M34:M49)</f>
        <v>0</v>
      </c>
      <c r="O51" s="78">
        <v>1</v>
      </c>
      <c r="P51" s="78">
        <f t="shared" si="4"/>
        <v>9.16</v>
      </c>
      <c r="Q51" s="2"/>
      <c r="T51" s="88" t="s">
        <v>104</v>
      </c>
      <c r="U51" s="83" t="s">
        <v>529</v>
      </c>
      <c r="W51" s="127"/>
      <c r="X51" s="10"/>
      <c r="Y51" s="10"/>
      <c r="Z51" s="10"/>
      <c r="AA51" s="10"/>
      <c r="AB51" s="90"/>
      <c r="AC51" s="10"/>
      <c r="AD51" s="2">
        <f t="shared" si="0"/>
        <v>0</v>
      </c>
      <c r="AE51" s="131" t="e">
        <f t="shared" si="1"/>
        <v>#DIV/0!</v>
      </c>
    </row>
    <row r="52" spans="1:31" x14ac:dyDescent="0.25">
      <c r="O52" s="78">
        <v>0.99</v>
      </c>
      <c r="P52" s="78">
        <f t="shared" si="4"/>
        <v>9.0684000000000005</v>
      </c>
      <c r="Q52" s="2"/>
      <c r="T52" s="88" t="s">
        <v>105</v>
      </c>
      <c r="U52" s="83" t="s">
        <v>362</v>
      </c>
      <c r="W52" s="127"/>
      <c r="X52" s="10"/>
      <c r="Y52" s="10"/>
      <c r="Z52" s="10"/>
      <c r="AA52" s="10"/>
      <c r="AB52" s="90"/>
      <c r="AC52" s="10"/>
      <c r="AD52" s="2">
        <f t="shared" si="0"/>
        <v>0</v>
      </c>
      <c r="AE52" s="131" t="e">
        <f t="shared" si="1"/>
        <v>#DIV/0!</v>
      </c>
    </row>
    <row r="53" spans="1:31" x14ac:dyDescent="0.25">
      <c r="O53" s="78">
        <v>0.98</v>
      </c>
      <c r="P53" s="78">
        <f t="shared" si="4"/>
        <v>8.9768000000000008</v>
      </c>
      <c r="Q53" s="2"/>
      <c r="T53" s="88" t="s">
        <v>106</v>
      </c>
      <c r="U53" s="85">
        <v>43316140</v>
      </c>
      <c r="W53" s="127"/>
      <c r="X53" s="10"/>
      <c r="Y53" s="10"/>
      <c r="Z53" s="10"/>
      <c r="AA53" s="10"/>
      <c r="AB53" s="90"/>
      <c r="AC53" s="10"/>
      <c r="AD53" s="2">
        <f t="shared" si="0"/>
        <v>0</v>
      </c>
      <c r="AE53" s="131" t="e">
        <f t="shared" si="1"/>
        <v>#DIV/0!</v>
      </c>
    </row>
    <row r="54" spans="1:31" x14ac:dyDescent="0.25">
      <c r="O54" s="78">
        <v>0.97</v>
      </c>
      <c r="P54" s="78">
        <f t="shared" si="4"/>
        <v>8.8851999999999993</v>
      </c>
      <c r="T54" s="88" t="s">
        <v>109</v>
      </c>
      <c r="U54" s="85">
        <v>38267500</v>
      </c>
      <c r="W54" s="127"/>
      <c r="X54" s="10"/>
      <c r="Y54" s="10"/>
      <c r="Z54" s="10"/>
      <c r="AA54" s="10"/>
      <c r="AB54" s="90"/>
      <c r="AC54" s="10"/>
      <c r="AD54" s="2">
        <f t="shared" si="0"/>
        <v>0</v>
      </c>
      <c r="AE54" s="131" t="e">
        <f t="shared" si="1"/>
        <v>#DIV/0!</v>
      </c>
    </row>
    <row r="55" spans="1:31" x14ac:dyDescent="0.25">
      <c r="O55" s="78">
        <v>0.96</v>
      </c>
      <c r="P55" s="78">
        <f t="shared" si="4"/>
        <v>8.7935999999999996</v>
      </c>
      <c r="T55" s="88" t="s">
        <v>107</v>
      </c>
      <c r="U55" s="83" t="s">
        <v>530</v>
      </c>
      <c r="W55" s="127"/>
      <c r="X55" s="10"/>
      <c r="Y55" s="10"/>
      <c r="Z55" s="10"/>
      <c r="AA55" s="10"/>
      <c r="AB55" s="90"/>
      <c r="AC55" s="10"/>
      <c r="AD55" s="2">
        <f t="shared" si="0"/>
        <v>0</v>
      </c>
      <c r="AE55" s="131" t="e">
        <f t="shared" si="1"/>
        <v>#DIV/0!</v>
      </c>
    </row>
    <row r="56" spans="1:31" x14ac:dyDescent="0.25">
      <c r="B56" s="159" t="s">
        <v>113</v>
      </c>
      <c r="C56" s="159" t="s">
        <v>143</v>
      </c>
      <c r="D56" s="160" t="s">
        <v>142</v>
      </c>
      <c r="E56" s="162" t="s">
        <v>144</v>
      </c>
      <c r="F56" s="162" t="s">
        <v>65</v>
      </c>
      <c r="G56" s="173" t="s">
        <v>148</v>
      </c>
      <c r="H56" s="173" t="s">
        <v>88</v>
      </c>
      <c r="I56" s="173" t="s">
        <v>151</v>
      </c>
      <c r="O56" s="78">
        <v>0.95</v>
      </c>
      <c r="P56" s="78">
        <f t="shared" si="4"/>
        <v>8.702</v>
      </c>
      <c r="T56" s="88" t="s">
        <v>110</v>
      </c>
      <c r="U56" s="83">
        <v>9.7899999999999991</v>
      </c>
      <c r="W56" s="127"/>
      <c r="X56" s="10"/>
      <c r="Y56" s="10"/>
      <c r="Z56" s="10"/>
      <c r="AA56" s="10"/>
      <c r="AB56" s="90"/>
      <c r="AC56" s="10"/>
      <c r="AD56" s="2">
        <f t="shared" si="0"/>
        <v>0</v>
      </c>
      <c r="AE56" s="131" t="e">
        <f t="shared" si="1"/>
        <v>#DIV/0!</v>
      </c>
    </row>
    <row r="57" spans="1:31" x14ac:dyDescent="0.25">
      <c r="B57" s="198">
        <v>42488</v>
      </c>
      <c r="C57" s="193">
        <v>100</v>
      </c>
      <c r="D57" s="194">
        <v>13.8</v>
      </c>
      <c r="E57" s="194">
        <v>13.56</v>
      </c>
      <c r="F57" s="194">
        <f>C57*(E57-D57)</f>
        <v>-24.000000000000021</v>
      </c>
      <c r="G57" s="194">
        <f>D57*C57</f>
        <v>1380</v>
      </c>
      <c r="H57" s="208">
        <f>(E57-D57)/D57</f>
        <v>-1.7391304347826101E-2</v>
      </c>
      <c r="I57" s="194"/>
      <c r="O57" s="78">
        <v>0.94</v>
      </c>
      <c r="P57" s="78">
        <f t="shared" si="4"/>
        <v>8.6104000000000003</v>
      </c>
      <c r="T57" s="88" t="s">
        <v>111</v>
      </c>
      <c r="U57" s="83">
        <v>1.1499999999999999</v>
      </c>
      <c r="W57" s="127"/>
      <c r="X57" s="10"/>
      <c r="Y57" s="10"/>
      <c r="Z57" s="10"/>
      <c r="AA57" s="10"/>
      <c r="AB57" s="90"/>
      <c r="AC57" s="10"/>
      <c r="AD57" s="2">
        <f t="shared" si="0"/>
        <v>0</v>
      </c>
      <c r="AE57" s="131" t="e">
        <f t="shared" si="1"/>
        <v>#DIV/0!</v>
      </c>
    </row>
    <row r="58" spans="1:31" x14ac:dyDescent="0.25">
      <c r="B58" s="198">
        <v>42494</v>
      </c>
      <c r="C58" s="193">
        <v>100</v>
      </c>
      <c r="D58" s="194">
        <v>13.8</v>
      </c>
      <c r="E58" s="194">
        <v>13.31</v>
      </c>
      <c r="F58" s="194">
        <f>C58*(E58-D58)</f>
        <v>-49.000000000000021</v>
      </c>
      <c r="G58" s="194">
        <f>D58*C58</f>
        <v>1380</v>
      </c>
      <c r="H58" s="208">
        <f>(E58-D58)/D58</f>
        <v>-3.5507246376811609E-2</v>
      </c>
      <c r="I58" s="194"/>
      <c r="O58" s="78">
        <v>0.93</v>
      </c>
      <c r="P58" s="78">
        <f t="shared" si="4"/>
        <v>8.5188000000000006</v>
      </c>
      <c r="T58" s="88" t="s">
        <v>108</v>
      </c>
      <c r="U58" s="83" t="s">
        <v>482</v>
      </c>
      <c r="W58" s="127"/>
      <c r="X58" s="10"/>
      <c r="Y58" s="10"/>
      <c r="Z58" s="10"/>
      <c r="AA58" s="10"/>
      <c r="AB58" s="90"/>
      <c r="AC58" s="10"/>
      <c r="AD58" s="2">
        <f t="shared" si="0"/>
        <v>0</v>
      </c>
      <c r="AE58" s="131" t="e">
        <f t="shared" si="1"/>
        <v>#DIV/0!</v>
      </c>
    </row>
    <row r="59" spans="1:31" x14ac:dyDescent="0.25">
      <c r="B59" s="198">
        <v>42507</v>
      </c>
      <c r="C59" s="193">
        <v>200</v>
      </c>
      <c r="D59" s="194">
        <v>13.44</v>
      </c>
      <c r="E59" s="194">
        <v>13.14</v>
      </c>
      <c r="F59" s="194">
        <f>C59*(E59-D59)</f>
        <v>-59.999999999999787</v>
      </c>
      <c r="G59" s="194">
        <f>D59*C59</f>
        <v>2688</v>
      </c>
      <c r="H59" s="208">
        <f>(E59-D59)/D59</f>
        <v>-2.2321428571428492E-2</v>
      </c>
      <c r="I59" s="194"/>
      <c r="O59" s="78">
        <v>0.92</v>
      </c>
      <c r="P59" s="78">
        <f t="shared" si="4"/>
        <v>8.4272000000000009</v>
      </c>
      <c r="W59" s="127"/>
      <c r="X59" s="10"/>
      <c r="Y59" s="10"/>
      <c r="Z59" s="10"/>
      <c r="AA59" s="10"/>
      <c r="AB59" s="90"/>
      <c r="AC59" s="10"/>
      <c r="AD59" s="2">
        <f t="shared" si="0"/>
        <v>0</v>
      </c>
      <c r="AE59" s="131" t="e">
        <f t="shared" si="1"/>
        <v>#DIV/0!</v>
      </c>
    </row>
    <row r="60" spans="1:31" x14ac:dyDescent="0.25">
      <c r="B60" s="198">
        <v>42515</v>
      </c>
      <c r="C60" s="193">
        <v>100</v>
      </c>
      <c r="D60" s="194">
        <v>13.2903</v>
      </c>
      <c r="E60" s="194">
        <v>13.52</v>
      </c>
      <c r="F60" s="194">
        <f t="shared" ref="F60:F95" si="5">C60*(E60-D60)</f>
        <v>22.969999999999935</v>
      </c>
      <c r="G60" s="194">
        <f t="shared" ref="G60:G95" si="6">D60*C60</f>
        <v>1329.03</v>
      </c>
      <c r="H60" s="208">
        <f t="shared" ref="H60:H95" si="7">(E60-D60)/D60</f>
        <v>1.7283281791983577E-2</v>
      </c>
      <c r="I60" s="194"/>
      <c r="O60" s="78">
        <v>0.91</v>
      </c>
      <c r="P60" s="78">
        <f t="shared" si="4"/>
        <v>8.3356000000000012</v>
      </c>
      <c r="W60" s="127"/>
      <c r="X60" s="10"/>
      <c r="Y60" s="10"/>
      <c r="Z60" s="10"/>
      <c r="AA60" s="10"/>
      <c r="AB60" s="90"/>
      <c r="AC60" s="10"/>
      <c r="AD60" s="2">
        <f t="shared" si="0"/>
        <v>0</v>
      </c>
      <c r="AE60" s="131" t="e">
        <f t="shared" si="1"/>
        <v>#DIV/0!</v>
      </c>
    </row>
    <row r="61" spans="1:31" x14ac:dyDescent="0.25">
      <c r="B61" s="198">
        <v>42527</v>
      </c>
      <c r="C61" s="193">
        <v>100</v>
      </c>
      <c r="D61" s="194">
        <v>13.2903</v>
      </c>
      <c r="E61" s="194">
        <v>13.18</v>
      </c>
      <c r="F61" s="194">
        <f t="shared" si="5"/>
        <v>-11.030000000000051</v>
      </c>
      <c r="G61" s="194">
        <f t="shared" si="6"/>
        <v>1329.03</v>
      </c>
      <c r="H61" s="208">
        <f t="shared" si="7"/>
        <v>-8.2992859453887811E-3</v>
      </c>
      <c r="I61" s="194"/>
      <c r="O61" s="78">
        <v>0.9</v>
      </c>
      <c r="P61" s="78">
        <f t="shared" si="4"/>
        <v>8.2439999999999998</v>
      </c>
      <c r="W61" s="127"/>
      <c r="X61" s="10"/>
      <c r="Y61" s="10"/>
      <c r="Z61" s="10"/>
      <c r="AA61" s="10"/>
      <c r="AB61" s="90"/>
      <c r="AC61" s="10"/>
      <c r="AD61" s="2">
        <f t="shared" si="0"/>
        <v>0</v>
      </c>
      <c r="AE61" s="131" t="e">
        <f t="shared" si="1"/>
        <v>#DIV/0!</v>
      </c>
    </row>
    <row r="62" spans="1:31" x14ac:dyDescent="0.25">
      <c r="B62" s="198">
        <v>42528</v>
      </c>
      <c r="C62" s="193">
        <v>100</v>
      </c>
      <c r="D62" s="194">
        <v>13.2903</v>
      </c>
      <c r="E62" s="194">
        <v>13.38</v>
      </c>
      <c r="F62" s="194">
        <f t="shared" si="5"/>
        <v>8.9700000000000557</v>
      </c>
      <c r="G62" s="194">
        <f t="shared" si="6"/>
        <v>1329.03</v>
      </c>
      <c r="H62" s="208">
        <f t="shared" si="7"/>
        <v>6.7492833118891638E-3</v>
      </c>
      <c r="I62" s="194"/>
      <c r="W62" s="127"/>
      <c r="X62" s="10"/>
      <c r="Y62" s="10"/>
      <c r="Z62" s="10"/>
      <c r="AA62" s="10"/>
      <c r="AB62" s="90"/>
      <c r="AC62" s="10"/>
      <c r="AD62" s="2">
        <f t="shared" si="0"/>
        <v>0</v>
      </c>
      <c r="AE62" s="131" t="e">
        <f t="shared" si="1"/>
        <v>#DIV/0!</v>
      </c>
    </row>
    <row r="63" spans="1:31" x14ac:dyDescent="0.25">
      <c r="B63" s="198">
        <v>42535</v>
      </c>
      <c r="C63" s="193">
        <v>100</v>
      </c>
      <c r="D63" s="194">
        <v>13.29</v>
      </c>
      <c r="E63" s="194">
        <v>12.84</v>
      </c>
      <c r="F63" s="194">
        <f t="shared" si="5"/>
        <v>-44.999999999999929</v>
      </c>
      <c r="G63" s="194">
        <f t="shared" si="6"/>
        <v>1329</v>
      </c>
      <c r="H63" s="208">
        <f t="shared" si="7"/>
        <v>-3.386004514672681E-2</v>
      </c>
      <c r="I63" s="194"/>
      <c r="W63" s="127"/>
      <c r="X63" s="10"/>
      <c r="Y63" s="10"/>
      <c r="Z63" s="10"/>
      <c r="AA63" s="10"/>
      <c r="AB63" s="90"/>
      <c r="AC63" s="10"/>
      <c r="AD63" s="2">
        <f t="shared" si="0"/>
        <v>0</v>
      </c>
      <c r="AE63" s="131" t="e">
        <f t="shared" si="1"/>
        <v>#DIV/0!</v>
      </c>
    </row>
    <row r="64" spans="1:31" x14ac:dyDescent="0.25">
      <c r="B64" s="198">
        <v>42542</v>
      </c>
      <c r="C64" s="193">
        <v>100</v>
      </c>
      <c r="D64" s="194">
        <v>13.2903</v>
      </c>
      <c r="E64" s="194">
        <v>13.42</v>
      </c>
      <c r="F64" s="194">
        <f t="shared" si="5"/>
        <v>12.96999999999997</v>
      </c>
      <c r="G64" s="194">
        <f t="shared" si="6"/>
        <v>1329.03</v>
      </c>
      <c r="H64" s="208">
        <f t="shared" si="7"/>
        <v>9.758997163344673E-3</v>
      </c>
      <c r="I64" s="194"/>
      <c r="W64" s="127"/>
      <c r="X64" s="10"/>
      <c r="Y64" s="10"/>
      <c r="Z64" s="10"/>
      <c r="AA64" s="10"/>
      <c r="AB64" s="90"/>
      <c r="AC64" s="10"/>
      <c r="AD64" s="2">
        <f t="shared" si="0"/>
        <v>0</v>
      </c>
      <c r="AE64" s="131" t="e">
        <f t="shared" si="1"/>
        <v>#DIV/0!</v>
      </c>
    </row>
    <row r="65" spans="2:31" x14ac:dyDescent="0.25">
      <c r="B65" s="198">
        <v>42545</v>
      </c>
      <c r="C65" s="193">
        <v>250</v>
      </c>
      <c r="D65" s="194">
        <v>12.966100000000001</v>
      </c>
      <c r="E65" s="194">
        <v>12.52</v>
      </c>
      <c r="F65" s="194">
        <f t="shared" si="5"/>
        <v>-111.52500000000032</v>
      </c>
      <c r="G65" s="194">
        <f t="shared" si="6"/>
        <v>3241.5250000000001</v>
      </c>
      <c r="H65" s="208">
        <f t="shared" si="7"/>
        <v>-3.4405102536614808E-2</v>
      </c>
      <c r="I65" s="194"/>
      <c r="W65" s="127"/>
      <c r="X65" s="10"/>
      <c r="Y65" s="10"/>
      <c r="Z65" s="10"/>
      <c r="AA65" s="10"/>
      <c r="AB65" s="90"/>
      <c r="AC65" s="10"/>
      <c r="AD65" s="2">
        <f t="shared" si="0"/>
        <v>0</v>
      </c>
      <c r="AE65" s="131" t="e">
        <f t="shared" si="1"/>
        <v>#DIV/0!</v>
      </c>
    </row>
    <row r="66" spans="2:31" x14ac:dyDescent="0.25">
      <c r="B66" s="198">
        <v>42548</v>
      </c>
      <c r="C66" s="193">
        <v>400</v>
      </c>
      <c r="D66" s="194">
        <v>12.6713</v>
      </c>
      <c r="E66" s="194">
        <v>12.16</v>
      </c>
      <c r="F66" s="194">
        <f t="shared" si="5"/>
        <v>-204.52000000000012</v>
      </c>
      <c r="G66" s="194">
        <f t="shared" si="6"/>
        <v>5068.5200000000004</v>
      </c>
      <c r="H66" s="208">
        <f t="shared" si="7"/>
        <v>-4.0351029491843798E-2</v>
      </c>
      <c r="I66" s="194"/>
      <c r="W66" s="127"/>
      <c r="X66" s="10"/>
      <c r="Y66" s="10"/>
      <c r="Z66" s="10"/>
      <c r="AA66" s="10"/>
      <c r="AB66" s="90"/>
      <c r="AC66" s="10"/>
      <c r="AD66" s="2">
        <f t="shared" si="0"/>
        <v>0</v>
      </c>
      <c r="AE66" s="131" t="e">
        <f t="shared" si="1"/>
        <v>#DIV/0!</v>
      </c>
    </row>
    <row r="67" spans="2:31" x14ac:dyDescent="0.25">
      <c r="B67" s="198">
        <v>42552</v>
      </c>
      <c r="C67" s="193">
        <v>400</v>
      </c>
      <c r="D67" s="194">
        <v>12.6713</v>
      </c>
      <c r="E67" s="194">
        <v>12.72</v>
      </c>
      <c r="F67" s="194">
        <f t="shared" si="5"/>
        <v>19.480000000000075</v>
      </c>
      <c r="G67" s="194">
        <f t="shared" si="6"/>
        <v>5068.5200000000004</v>
      </c>
      <c r="H67" s="208">
        <f t="shared" si="7"/>
        <v>3.843330992084489E-3</v>
      </c>
      <c r="I67" s="194"/>
      <c r="W67" s="127"/>
      <c r="X67" s="10"/>
      <c r="Y67" s="10"/>
      <c r="Z67" s="10"/>
      <c r="AA67" s="10"/>
      <c r="AB67" s="90"/>
      <c r="AC67" s="10"/>
      <c r="AD67" s="2">
        <f>Y67-Z67</f>
        <v>0</v>
      </c>
      <c r="AE67" s="131" t="e">
        <f>AC67/#REF!-1</f>
        <v>#REF!</v>
      </c>
    </row>
    <row r="68" spans="2:31" x14ac:dyDescent="0.25">
      <c r="B68" s="198">
        <v>42556</v>
      </c>
      <c r="C68" s="193">
        <v>400</v>
      </c>
      <c r="D68" s="194">
        <v>12.6713</v>
      </c>
      <c r="E68" s="194">
        <v>12.4</v>
      </c>
      <c r="F68" s="194">
        <f t="shared" si="5"/>
        <v>-108.52000000000004</v>
      </c>
      <c r="G68" s="194">
        <f t="shared" si="6"/>
        <v>5068.5200000000004</v>
      </c>
      <c r="H68" s="208">
        <f t="shared" si="7"/>
        <v>-2.1410589284445961E-2</v>
      </c>
      <c r="I68" s="467">
        <v>11.5</v>
      </c>
      <c r="W68" s="127"/>
      <c r="X68" s="10"/>
      <c r="Y68" s="10"/>
      <c r="Z68" s="10"/>
      <c r="AA68" s="10"/>
      <c r="AB68" s="90"/>
      <c r="AC68" s="10"/>
      <c r="AD68" s="2" t="e">
        <f>#REF!-#REF!</f>
        <v>#REF!</v>
      </c>
      <c r="AE68" s="131" t="e">
        <f>#REF!/#REF!-1</f>
        <v>#REF!</v>
      </c>
    </row>
    <row r="69" spans="2:31" x14ac:dyDescent="0.25">
      <c r="B69" s="198">
        <v>42566</v>
      </c>
      <c r="C69" s="193">
        <v>300</v>
      </c>
      <c r="D69" s="194">
        <v>12.5352</v>
      </c>
      <c r="E69" s="194">
        <v>13.57</v>
      </c>
      <c r="F69" s="194">
        <f t="shared" si="5"/>
        <v>310.44000000000017</v>
      </c>
      <c r="G69" s="194">
        <f t="shared" si="6"/>
        <v>3760.56</v>
      </c>
      <c r="H69" s="208">
        <f t="shared" si="7"/>
        <v>8.2551534877784216E-2</v>
      </c>
      <c r="I69" s="467"/>
      <c r="W69" s="127"/>
      <c r="X69" s="10"/>
      <c r="Y69" s="10"/>
      <c r="Z69" s="10"/>
      <c r="AA69" s="10"/>
      <c r="AB69" s="90"/>
      <c r="AC69" s="10"/>
      <c r="AD69" s="2" t="e">
        <f>#REF!-#REF!</f>
        <v>#REF!</v>
      </c>
      <c r="AE69" s="131" t="e">
        <f>#REF!/AC69-1</f>
        <v>#REF!</v>
      </c>
    </row>
    <row r="70" spans="2:31" x14ac:dyDescent="0.25">
      <c r="B70" s="198">
        <v>42570</v>
      </c>
      <c r="C70" s="193">
        <v>300</v>
      </c>
      <c r="D70" s="194">
        <v>12.5352</v>
      </c>
      <c r="E70" s="194">
        <v>13.65</v>
      </c>
      <c r="F70" s="194">
        <f t="shared" si="5"/>
        <v>334.44000000000023</v>
      </c>
      <c r="G70" s="194">
        <f t="shared" si="6"/>
        <v>3760.56</v>
      </c>
      <c r="H70" s="208">
        <f t="shared" si="7"/>
        <v>8.8933563086348894E-2</v>
      </c>
      <c r="I70" s="194"/>
    </row>
    <row r="71" spans="2:31" x14ac:dyDescent="0.25">
      <c r="B71" s="198">
        <v>42571</v>
      </c>
      <c r="C71" s="193">
        <v>300</v>
      </c>
      <c r="D71" s="194">
        <v>12.5352</v>
      </c>
      <c r="E71" s="194">
        <v>13.74</v>
      </c>
      <c r="F71" s="194">
        <f t="shared" si="5"/>
        <v>361.44000000000017</v>
      </c>
      <c r="G71" s="194">
        <f t="shared" si="6"/>
        <v>3760.56</v>
      </c>
      <c r="H71" s="208">
        <f t="shared" si="7"/>
        <v>9.6113344820984159E-2</v>
      </c>
      <c r="I71" s="194"/>
    </row>
    <row r="72" spans="2:31" x14ac:dyDescent="0.25">
      <c r="B72" s="198">
        <v>42572</v>
      </c>
      <c r="C72" s="193">
        <v>300</v>
      </c>
      <c r="D72" s="194">
        <v>12.5352</v>
      </c>
      <c r="E72" s="194">
        <v>13.92</v>
      </c>
      <c r="F72" s="194">
        <f t="shared" si="5"/>
        <v>415.44000000000005</v>
      </c>
      <c r="G72" s="194">
        <f t="shared" si="6"/>
        <v>3760.56</v>
      </c>
      <c r="H72" s="208">
        <f t="shared" si="7"/>
        <v>0.11047290829025466</v>
      </c>
      <c r="I72" s="194"/>
    </row>
    <row r="73" spans="2:31" x14ac:dyDescent="0.25">
      <c r="B73" s="198">
        <v>42575</v>
      </c>
      <c r="C73" s="193">
        <v>300</v>
      </c>
      <c r="D73" s="194">
        <v>12.5352</v>
      </c>
      <c r="E73" s="194">
        <v>13.82</v>
      </c>
      <c r="F73" s="194">
        <f t="shared" si="5"/>
        <v>385.44000000000017</v>
      </c>
      <c r="G73" s="194">
        <f t="shared" si="6"/>
        <v>3760.56</v>
      </c>
      <c r="H73" s="208">
        <f t="shared" si="7"/>
        <v>0.10249537302954884</v>
      </c>
      <c r="I73" s="194"/>
    </row>
    <row r="74" spans="2:31" x14ac:dyDescent="0.25">
      <c r="B74" s="198">
        <v>42577</v>
      </c>
      <c r="C74" s="193">
        <v>250</v>
      </c>
      <c r="D74" s="194">
        <v>12.286300000000001</v>
      </c>
      <c r="E74" s="194">
        <v>13.86</v>
      </c>
      <c r="F74" s="194">
        <f t="shared" si="5"/>
        <v>393.42499999999967</v>
      </c>
      <c r="G74" s="194">
        <f t="shared" si="6"/>
        <v>3071.5750000000003</v>
      </c>
      <c r="H74" s="208">
        <f t="shared" si="7"/>
        <v>0.12808575405126024</v>
      </c>
      <c r="I74" s="468" t="s">
        <v>245</v>
      </c>
    </row>
    <row r="75" spans="2:31" x14ac:dyDescent="0.25">
      <c r="B75" s="198">
        <v>42579</v>
      </c>
      <c r="C75" s="193">
        <v>250</v>
      </c>
      <c r="D75" s="194">
        <v>12.286300000000001</v>
      </c>
      <c r="E75" s="194">
        <v>12.71</v>
      </c>
      <c r="F75" s="194">
        <f t="shared" si="5"/>
        <v>105.92500000000004</v>
      </c>
      <c r="G75" s="194">
        <f t="shared" si="6"/>
        <v>3071.5750000000003</v>
      </c>
      <c r="H75" s="208">
        <f t="shared" si="7"/>
        <v>3.4485565223053335E-2</v>
      </c>
      <c r="I75" s="194"/>
    </row>
    <row r="76" spans="2:31" x14ac:dyDescent="0.25">
      <c r="B76" s="198">
        <v>42585</v>
      </c>
      <c r="C76" s="193">
        <v>250</v>
      </c>
      <c r="D76" s="194">
        <v>12.286300000000001</v>
      </c>
      <c r="E76" s="194">
        <v>11.94</v>
      </c>
      <c r="F76" s="194">
        <f t="shared" si="5"/>
        <v>-86.575000000000287</v>
      </c>
      <c r="G76" s="194">
        <f t="shared" si="6"/>
        <v>3071.5750000000003</v>
      </c>
      <c r="H76" s="208">
        <f t="shared" si="7"/>
        <v>-2.8185865557572347E-2</v>
      </c>
      <c r="I76" s="194"/>
    </row>
    <row r="77" spans="2:31" x14ac:dyDescent="0.25">
      <c r="B77" s="198">
        <v>42593</v>
      </c>
      <c r="C77" s="193">
        <v>250</v>
      </c>
      <c r="D77" s="194">
        <v>12.286300000000001</v>
      </c>
      <c r="E77" s="194">
        <v>12.25</v>
      </c>
      <c r="F77" s="194">
        <f t="shared" si="5"/>
        <v>-9.0750000000001663</v>
      </c>
      <c r="G77" s="194">
        <f t="shared" si="6"/>
        <v>3071.5750000000003</v>
      </c>
      <c r="H77" s="208">
        <f t="shared" si="7"/>
        <v>-2.9545103082295452E-3</v>
      </c>
      <c r="I77" s="194"/>
    </row>
    <row r="78" spans="2:31" x14ac:dyDescent="0.25">
      <c r="B78" s="198">
        <v>42597</v>
      </c>
      <c r="C78" s="193">
        <v>250</v>
      </c>
      <c r="D78" s="194">
        <v>12.286300000000001</v>
      </c>
      <c r="E78" s="194">
        <v>12.43</v>
      </c>
      <c r="F78" s="194">
        <f t="shared" si="5"/>
        <v>35.924999999999763</v>
      </c>
      <c r="G78" s="194">
        <f t="shared" si="6"/>
        <v>3071.5750000000003</v>
      </c>
      <c r="H78" s="208">
        <f t="shared" si="7"/>
        <v>1.1695954030098488E-2</v>
      </c>
      <c r="I78" s="194"/>
    </row>
    <row r="79" spans="2:31" x14ac:dyDescent="0.25">
      <c r="B79" s="198">
        <v>42600</v>
      </c>
      <c r="C79" s="193">
        <v>250</v>
      </c>
      <c r="D79" s="194">
        <v>12.286300000000001</v>
      </c>
      <c r="E79" s="194">
        <v>12.33</v>
      </c>
      <c r="F79" s="194">
        <f t="shared" si="5"/>
        <v>10.924999999999851</v>
      </c>
      <c r="G79" s="194">
        <f t="shared" si="6"/>
        <v>3071.5750000000003</v>
      </c>
      <c r="H79" s="208">
        <f t="shared" si="7"/>
        <v>3.5568071754718184E-3</v>
      </c>
      <c r="I79" s="194"/>
    </row>
    <row r="80" spans="2:31" x14ac:dyDescent="0.25">
      <c r="B80" s="198">
        <v>42601</v>
      </c>
      <c r="C80" s="193">
        <v>250</v>
      </c>
      <c r="D80" s="194">
        <v>12.286300000000001</v>
      </c>
      <c r="E80" s="194">
        <v>12.39</v>
      </c>
      <c r="F80" s="194">
        <f t="shared" si="5"/>
        <v>25.924999999999976</v>
      </c>
      <c r="G80" s="194">
        <f t="shared" si="6"/>
        <v>3071.5750000000003</v>
      </c>
      <c r="H80" s="208">
        <f t="shared" si="7"/>
        <v>8.4402952882478774E-3</v>
      </c>
      <c r="I80" s="194"/>
    </row>
    <row r="81" spans="2:9" x14ac:dyDescent="0.25">
      <c r="B81" s="198">
        <v>42604</v>
      </c>
      <c r="C81" s="193">
        <v>250</v>
      </c>
      <c r="D81" s="194">
        <v>12.286300000000001</v>
      </c>
      <c r="E81" s="194">
        <v>12.36</v>
      </c>
      <c r="F81" s="194">
        <f t="shared" si="5"/>
        <v>18.424999999999692</v>
      </c>
      <c r="G81" s="194">
        <f t="shared" si="6"/>
        <v>3071.5750000000003</v>
      </c>
      <c r="H81" s="208">
        <f t="shared" si="7"/>
        <v>5.9985512318597757E-3</v>
      </c>
      <c r="I81" s="194"/>
    </row>
    <row r="82" spans="2:9" x14ac:dyDescent="0.25">
      <c r="B82" s="198">
        <v>42607</v>
      </c>
      <c r="C82" s="193">
        <v>250</v>
      </c>
      <c r="D82" s="194">
        <v>12.286300000000001</v>
      </c>
      <c r="E82" s="194">
        <v>12.47</v>
      </c>
      <c r="F82" s="194">
        <f t="shared" si="5"/>
        <v>45.924999999999997</v>
      </c>
      <c r="G82" s="194">
        <f t="shared" si="6"/>
        <v>3071.5750000000003</v>
      </c>
      <c r="H82" s="208">
        <f t="shared" si="7"/>
        <v>1.4951612771949242E-2</v>
      </c>
      <c r="I82" s="194"/>
    </row>
    <row r="83" spans="2:9" x14ac:dyDescent="0.25">
      <c r="B83" s="198">
        <v>42615</v>
      </c>
      <c r="C83" s="193">
        <v>250</v>
      </c>
      <c r="D83" s="194">
        <v>12.106299999999999</v>
      </c>
      <c r="E83" s="194">
        <v>12.5</v>
      </c>
      <c r="F83" s="194">
        <f t="shared" si="5"/>
        <v>98.42500000000021</v>
      </c>
      <c r="G83" s="194">
        <f t="shared" si="6"/>
        <v>3026.5749999999998</v>
      </c>
      <c r="H83" s="208">
        <f t="shared" si="7"/>
        <v>3.252025804746296E-2</v>
      </c>
      <c r="I83" s="333" t="s">
        <v>255</v>
      </c>
    </row>
    <row r="84" spans="2:9" x14ac:dyDescent="0.25">
      <c r="B84" s="198">
        <v>42620</v>
      </c>
      <c r="C84" s="193">
        <v>150</v>
      </c>
      <c r="D84" s="194">
        <v>11.7141</v>
      </c>
      <c r="E84" s="194">
        <v>12.7</v>
      </c>
      <c r="F84" s="194">
        <f t="shared" si="5"/>
        <v>147.88499999999988</v>
      </c>
      <c r="G84" s="194">
        <f t="shared" si="6"/>
        <v>1757.115</v>
      </c>
      <c r="H84" s="208">
        <f t="shared" si="7"/>
        <v>8.4163529421807826E-2</v>
      </c>
      <c r="I84" s="194"/>
    </row>
    <row r="85" spans="2:9" x14ac:dyDescent="0.25">
      <c r="B85" s="198">
        <v>42621</v>
      </c>
      <c r="C85" s="193">
        <v>150</v>
      </c>
      <c r="D85" s="194">
        <v>11.7141</v>
      </c>
      <c r="E85" s="194">
        <v>12.73</v>
      </c>
      <c r="F85" s="194">
        <f t="shared" si="5"/>
        <v>152.38500000000005</v>
      </c>
      <c r="G85" s="194">
        <f t="shared" si="6"/>
        <v>1757.115</v>
      </c>
      <c r="H85" s="208">
        <f t="shared" si="7"/>
        <v>8.6724545633040537E-2</v>
      </c>
      <c r="I85" s="194"/>
    </row>
    <row r="86" spans="2:9" x14ac:dyDescent="0.25">
      <c r="B86" s="198">
        <v>42622</v>
      </c>
      <c r="C86" s="193">
        <v>150</v>
      </c>
      <c r="D86" s="194">
        <v>11.7141</v>
      </c>
      <c r="E86" s="194">
        <v>12.38</v>
      </c>
      <c r="F86" s="194">
        <f t="shared" si="5"/>
        <v>99.88500000000009</v>
      </c>
      <c r="G86" s="194">
        <f t="shared" si="6"/>
        <v>1757.115</v>
      </c>
      <c r="H86" s="208">
        <f t="shared" si="7"/>
        <v>5.684602316866004E-2</v>
      </c>
      <c r="I86" s="194"/>
    </row>
    <row r="87" spans="2:9" x14ac:dyDescent="0.25">
      <c r="B87" s="198">
        <v>42625</v>
      </c>
      <c r="C87" s="193">
        <v>150</v>
      </c>
      <c r="D87" s="194">
        <v>11.7141</v>
      </c>
      <c r="E87" s="194">
        <v>12.7</v>
      </c>
      <c r="F87" s="194">
        <f t="shared" si="5"/>
        <v>147.88499999999988</v>
      </c>
      <c r="G87" s="194">
        <f t="shared" si="6"/>
        <v>1757.115</v>
      </c>
      <c r="H87" s="208">
        <f t="shared" si="7"/>
        <v>8.4163529421807826E-2</v>
      </c>
      <c r="I87" s="194"/>
    </row>
    <row r="88" spans="2:9" x14ac:dyDescent="0.25">
      <c r="B88" s="198">
        <v>42627</v>
      </c>
      <c r="C88" s="193">
        <v>250</v>
      </c>
      <c r="D88" s="194">
        <v>11.884399999999999</v>
      </c>
      <c r="E88" s="194">
        <v>12.14</v>
      </c>
      <c r="F88" s="194">
        <f t="shared" si="5"/>
        <v>63.90000000000029</v>
      </c>
      <c r="G88" s="194">
        <f t="shared" si="6"/>
        <v>2971.1</v>
      </c>
      <c r="H88" s="208">
        <f t="shared" si="7"/>
        <v>2.1507185890747633E-2</v>
      </c>
      <c r="I88" s="333" t="s">
        <v>268</v>
      </c>
    </row>
    <row r="89" spans="2:9" x14ac:dyDescent="0.25">
      <c r="B89" s="198">
        <v>42648</v>
      </c>
      <c r="C89" s="193">
        <v>250</v>
      </c>
      <c r="D89" s="194">
        <v>11.884399999999999</v>
      </c>
      <c r="E89" s="194">
        <v>12.48</v>
      </c>
      <c r="F89" s="194">
        <f t="shared" si="5"/>
        <v>148.90000000000026</v>
      </c>
      <c r="G89" s="194">
        <f t="shared" si="6"/>
        <v>2971.1</v>
      </c>
      <c r="H89" s="208">
        <f t="shared" si="7"/>
        <v>5.0116118609269379E-2</v>
      </c>
      <c r="I89" s="194"/>
    </row>
    <row r="90" spans="2:9" x14ac:dyDescent="0.25">
      <c r="B90" s="198">
        <v>42649</v>
      </c>
      <c r="C90" s="193">
        <v>250</v>
      </c>
      <c r="D90" s="194">
        <v>11.884399999999999</v>
      </c>
      <c r="E90" s="194">
        <v>12.39</v>
      </c>
      <c r="F90" s="194">
        <f t="shared" si="5"/>
        <v>126.40000000000029</v>
      </c>
      <c r="G90" s="194">
        <f t="shared" si="6"/>
        <v>2971.1</v>
      </c>
      <c r="H90" s="208">
        <f t="shared" si="7"/>
        <v>4.2543165830837164E-2</v>
      </c>
      <c r="I90" s="194"/>
    </row>
    <row r="91" spans="2:9" x14ac:dyDescent="0.25">
      <c r="B91" s="198">
        <v>42668</v>
      </c>
      <c r="C91" s="193">
        <v>250</v>
      </c>
      <c r="D91" s="194">
        <v>11.884399999999999</v>
      </c>
      <c r="E91" s="194">
        <v>11.85</v>
      </c>
      <c r="F91" s="194">
        <f t="shared" si="5"/>
        <v>-8.599999999999941</v>
      </c>
      <c r="G91" s="194">
        <f t="shared" si="6"/>
        <v>2971.1</v>
      </c>
      <c r="H91" s="208">
        <f t="shared" si="7"/>
        <v>-2.8945508397562993E-3</v>
      </c>
      <c r="I91" s="194"/>
    </row>
    <row r="92" spans="2:9" x14ac:dyDescent="0.25">
      <c r="B92" s="198">
        <v>42670</v>
      </c>
      <c r="C92" s="193">
        <v>450</v>
      </c>
      <c r="D92" s="194">
        <v>11.7936</v>
      </c>
      <c r="E92" s="194">
        <v>11.74</v>
      </c>
      <c r="F92" s="194">
        <f t="shared" si="5"/>
        <v>-24.119999999999742</v>
      </c>
      <c r="G92" s="194">
        <f t="shared" si="6"/>
        <v>5307.12</v>
      </c>
      <c r="H92" s="208">
        <f t="shared" si="7"/>
        <v>-4.5448378781711629E-3</v>
      </c>
      <c r="I92" s="194"/>
    </row>
    <row r="93" spans="2:9" x14ac:dyDescent="0.25">
      <c r="B93" s="198">
        <v>42676</v>
      </c>
      <c r="C93" s="193">
        <v>450</v>
      </c>
      <c r="D93" s="194">
        <v>11.7936</v>
      </c>
      <c r="E93" s="194">
        <v>11.4</v>
      </c>
      <c r="F93" s="194">
        <f t="shared" si="5"/>
        <v>-177.11999999999966</v>
      </c>
      <c r="G93" s="194">
        <f t="shared" si="6"/>
        <v>5307.12</v>
      </c>
      <c r="H93" s="208">
        <f t="shared" si="7"/>
        <v>-3.3374033374033316E-2</v>
      </c>
      <c r="I93" s="194"/>
    </row>
    <row r="94" spans="2:9" x14ac:dyDescent="0.25">
      <c r="B94" s="198">
        <v>42701</v>
      </c>
      <c r="C94" s="193">
        <v>200</v>
      </c>
      <c r="D94" s="194">
        <v>11.610900000000001</v>
      </c>
      <c r="E94" s="194">
        <v>12.04</v>
      </c>
      <c r="F94" s="194">
        <f t="shared" si="5"/>
        <v>85.819999999999652</v>
      </c>
      <c r="G94" s="194">
        <f t="shared" si="6"/>
        <v>2322.1800000000003</v>
      </c>
      <c r="H94" s="208">
        <f t="shared" si="7"/>
        <v>3.6956652800385695E-2</v>
      </c>
      <c r="I94" s="194"/>
    </row>
    <row r="95" spans="2:9" x14ac:dyDescent="0.25">
      <c r="B95" s="198">
        <v>42706</v>
      </c>
      <c r="C95" s="193">
        <v>200</v>
      </c>
      <c r="D95" s="194">
        <v>11.423400000000001</v>
      </c>
      <c r="E95" s="194">
        <v>12.24</v>
      </c>
      <c r="F95" s="194">
        <f t="shared" si="5"/>
        <v>163.31999999999988</v>
      </c>
      <c r="G95" s="194">
        <f t="shared" si="6"/>
        <v>2284.6800000000003</v>
      </c>
      <c r="H95" s="208">
        <f t="shared" si="7"/>
        <v>7.1484846893219114E-2</v>
      </c>
      <c r="I95" s="194"/>
    </row>
    <row r="96" spans="2:9" x14ac:dyDescent="0.25">
      <c r="B96" s="198">
        <v>42711</v>
      </c>
      <c r="C96" s="193">
        <v>0</v>
      </c>
      <c r="D96" s="194"/>
      <c r="E96" s="194"/>
      <c r="F96" s="194">
        <v>251.26</v>
      </c>
      <c r="G96" s="194"/>
      <c r="H96" s="208"/>
      <c r="I96" s="194"/>
    </row>
    <row r="97" spans="2:9" x14ac:dyDescent="0.25">
      <c r="B97" s="161"/>
      <c r="C97" s="10"/>
      <c r="D97" s="39"/>
      <c r="E97" s="39"/>
      <c r="F97" s="39"/>
      <c r="G97" s="39"/>
      <c r="H97" s="175"/>
      <c r="I97" s="39"/>
    </row>
    <row r="98" spans="2:9" x14ac:dyDescent="0.25">
      <c r="B98" s="161"/>
      <c r="C98" s="10"/>
      <c r="D98" s="39"/>
      <c r="E98" s="39"/>
      <c r="F98" s="39"/>
      <c r="G98" s="39"/>
      <c r="H98" s="175"/>
      <c r="I98" s="39"/>
    </row>
    <row r="99" spans="2:9" x14ac:dyDescent="0.25">
      <c r="B99" s="161">
        <v>42967</v>
      </c>
      <c r="C99" s="10">
        <v>200</v>
      </c>
      <c r="D99" s="39">
        <v>10.48</v>
      </c>
      <c r="E99" s="39">
        <v>10.56</v>
      </c>
      <c r="F99" s="39">
        <f>(E99-D99)*C99</f>
        <v>16.000000000000014</v>
      </c>
      <c r="G99" s="10">
        <f>D99*C99</f>
        <v>2096</v>
      </c>
      <c r="H99" s="152">
        <f>(E99-D99)/D99</f>
        <v>7.6335877862595486E-3</v>
      </c>
      <c r="I99" s="39"/>
    </row>
    <row r="100" spans="2:9" x14ac:dyDescent="0.25">
      <c r="B100" s="161">
        <v>42983</v>
      </c>
      <c r="C100" s="10">
        <v>200</v>
      </c>
      <c r="D100" s="39">
        <v>10.48</v>
      </c>
      <c r="E100" s="39">
        <v>11.36</v>
      </c>
      <c r="F100" s="39">
        <f>(E100-D100)*C100</f>
        <v>175.9999999999998</v>
      </c>
      <c r="G100" s="10">
        <f>D100*C100</f>
        <v>2096</v>
      </c>
      <c r="H100" s="152">
        <f>(E100-D100)/D100</f>
        <v>8.3969465648854866E-2</v>
      </c>
      <c r="I100" s="39">
        <v>10</v>
      </c>
    </row>
    <row r="101" spans="2:9" x14ac:dyDescent="0.25">
      <c r="B101" s="161">
        <v>42996</v>
      </c>
      <c r="C101" s="10"/>
      <c r="D101" s="39"/>
      <c r="E101" s="39">
        <v>11.63</v>
      </c>
      <c r="F101" s="39">
        <v>243.95</v>
      </c>
      <c r="G101" s="10"/>
      <c r="H101" s="10"/>
      <c r="I101" s="39"/>
    </row>
    <row r="102" spans="2:9" x14ac:dyDescent="0.25">
      <c r="B102" s="161"/>
      <c r="C102" s="10"/>
      <c r="D102" s="39"/>
      <c r="E102" s="39"/>
      <c r="F102" s="39"/>
      <c r="G102" s="39"/>
      <c r="H102" s="175"/>
      <c r="I102" s="39"/>
    </row>
    <row r="103" spans="2:9" x14ac:dyDescent="0.25">
      <c r="B103" s="161"/>
      <c r="C103" s="10"/>
      <c r="D103" s="39"/>
      <c r="E103" s="39"/>
      <c r="F103" s="39"/>
      <c r="G103" s="39"/>
      <c r="H103" s="175"/>
      <c r="I103" s="39"/>
    </row>
    <row r="104" spans="2:9" x14ac:dyDescent="0.25">
      <c r="B104" s="161"/>
      <c r="C104" s="10"/>
      <c r="D104" s="39"/>
      <c r="E104" s="39"/>
      <c r="F104" s="39"/>
      <c r="G104" s="39"/>
      <c r="H104" s="175"/>
      <c r="I104" s="39"/>
    </row>
    <row r="105" spans="2:9" x14ac:dyDescent="0.25">
      <c r="B105" s="161"/>
      <c r="C105" s="10"/>
      <c r="D105" s="39"/>
      <c r="E105" s="39"/>
      <c r="F105" s="39"/>
      <c r="G105" s="39"/>
      <c r="H105" s="175"/>
      <c r="I105" s="39"/>
    </row>
    <row r="106" spans="2:9" x14ac:dyDescent="0.25">
      <c r="B106" s="161"/>
      <c r="C106" s="10"/>
      <c r="D106" s="39"/>
      <c r="E106" s="39"/>
      <c r="F106" s="39"/>
      <c r="G106" s="39"/>
      <c r="H106" s="175"/>
      <c r="I106" s="39"/>
    </row>
  </sheetData>
  <mergeCells count="1">
    <mergeCell ref="O40:P40"/>
  </mergeCells>
  <conditionalFormatting sqref="O41:O61">
    <cfRule type="colorScale" priority="52">
      <colorScale>
        <cfvo type="min"/>
        <cfvo type="percentile" val="50"/>
        <cfvo type="max"/>
        <color rgb="FFF8696B"/>
        <color rgb="FFFFEB84"/>
        <color rgb="FF63BE7B"/>
      </colorScale>
    </cfRule>
  </conditionalFormatting>
  <conditionalFormatting sqref="P41:P61">
    <cfRule type="colorScale" priority="51">
      <colorScale>
        <cfvo type="min"/>
        <cfvo type="percentile" val="50"/>
        <cfvo type="max"/>
        <color rgb="FFF8696B"/>
        <color rgb="FFFFEB84"/>
        <color rgb="FF63BE7B"/>
      </colorScale>
    </cfRule>
  </conditionalFormatting>
  <conditionalFormatting sqref="AD1:AD69">
    <cfRule type="dataBar" priority="50">
      <dataBar>
        <cfvo type="min"/>
        <cfvo type="max"/>
        <color rgb="FFFF555A"/>
      </dataBar>
      <extLst>
        <ext xmlns:x14="http://schemas.microsoft.com/office/spreadsheetml/2009/9/main" uri="{B025F937-C7B1-47D3-B67F-A62EFF666E3E}">
          <x14:id>{71106295-7D18-46FF-ABEA-4FA18E72569D}</x14:id>
        </ext>
      </extLst>
    </cfRule>
  </conditionalFormatting>
  <conditionalFormatting sqref="AE1:AE69">
    <cfRule type="iconSet" priority="49">
      <iconSet iconSet="3Arrows">
        <cfvo type="percent" val="0"/>
        <cfvo type="num" val="0"/>
        <cfvo type="num" val="0"/>
      </iconSet>
    </cfRule>
  </conditionalFormatting>
  <conditionalFormatting sqref="Q7">
    <cfRule type="expression" dxfId="2805" priority="31">
      <formula>Q7&gt;0</formula>
    </cfRule>
    <cfRule type="expression" dxfId="2804" priority="32">
      <formula>Q7&lt;0</formula>
    </cfRule>
  </conditionalFormatting>
  <conditionalFormatting sqref="Q8">
    <cfRule type="expression" dxfId="2803" priority="29">
      <formula>Q8&gt;0</formula>
    </cfRule>
    <cfRule type="expression" dxfId="2802" priority="30">
      <formula>Q8&lt;0</formula>
    </cfRule>
  </conditionalFormatting>
  <conditionalFormatting sqref="F62:F65">
    <cfRule type="expression" dxfId="2801" priority="21">
      <formula>F62&gt;0</formula>
    </cfRule>
    <cfRule type="expression" dxfId="2800" priority="22">
      <formula>F62&lt;0</formula>
    </cfRule>
  </conditionalFormatting>
  <conditionalFormatting sqref="F66:F74 F78:F98 F102:F106">
    <cfRule type="expression" dxfId="2799" priority="17">
      <formula>F66&gt;0</formula>
    </cfRule>
    <cfRule type="expression" dxfId="2798" priority="18">
      <formula>F66&lt;0</formula>
    </cfRule>
  </conditionalFormatting>
  <conditionalFormatting sqref="F66:F74 F78:F98 F102:F106">
    <cfRule type="expression" dxfId="2797" priority="19">
      <formula>F66&gt;0</formula>
    </cfRule>
    <cfRule type="expression" dxfId="2796" priority="20">
      <formula>F66&lt;0</formula>
    </cfRule>
  </conditionalFormatting>
  <conditionalFormatting sqref="H62:H74 H78:H98 H102:H106">
    <cfRule type="expression" dxfId="2795" priority="15">
      <formula>H62&gt;0</formula>
    </cfRule>
    <cfRule type="expression" dxfId="2794" priority="16">
      <formula>H62&lt;0</formula>
    </cfRule>
  </conditionalFormatting>
  <conditionalFormatting sqref="F57:F61">
    <cfRule type="expression" dxfId="2793" priority="13">
      <formula>F57&gt;0</formula>
    </cfRule>
    <cfRule type="expression" dxfId="2792" priority="14">
      <formula>F57&lt;0</formula>
    </cfRule>
  </conditionalFormatting>
  <conditionalFormatting sqref="H57:H61">
    <cfRule type="expression" dxfId="2791" priority="11">
      <formula>H57&gt;0</formula>
    </cfRule>
    <cfRule type="expression" dxfId="2790" priority="12">
      <formula>H57&lt;0</formula>
    </cfRule>
  </conditionalFormatting>
  <conditionalFormatting sqref="F75:F77">
    <cfRule type="expression" dxfId="2789" priority="7">
      <formula>F75&gt;0</formula>
    </cfRule>
    <cfRule type="expression" dxfId="2788" priority="8">
      <formula>F75&lt;0</formula>
    </cfRule>
  </conditionalFormatting>
  <conditionalFormatting sqref="F75:F77">
    <cfRule type="expression" dxfId="2787" priority="9">
      <formula>F75&gt;0</formula>
    </cfRule>
    <cfRule type="expression" dxfId="2786" priority="10">
      <formula>F75&lt;0</formula>
    </cfRule>
  </conditionalFormatting>
  <conditionalFormatting sqref="H75:H77">
    <cfRule type="expression" dxfId="2785" priority="5">
      <formula>H75&gt;0</formula>
    </cfRule>
    <cfRule type="expression" dxfId="2784" priority="6">
      <formula>H75&lt;0</formula>
    </cfRule>
  </conditionalFormatting>
  <conditionalFormatting sqref="F22:F30">
    <cfRule type="expression" dxfId="2783" priority="3">
      <formula>F22&gt;0</formula>
    </cfRule>
    <cfRule type="expression" dxfId="2782" priority="4">
      <formula>F22&lt;0</formula>
    </cfRule>
  </conditionalFormatting>
  <conditionalFormatting sqref="F99:F101">
    <cfRule type="expression" dxfId="2781" priority="1">
      <formula>F99&gt;0</formula>
    </cfRule>
    <cfRule type="expression" dxfId="2780" priority="2">
      <formula>F99&lt;0</formula>
    </cfRule>
  </conditionalFormatting>
  <hyperlinks>
    <hyperlink ref="A3" location="ACTIVE!A1" display="Back"/>
    <hyperlink ref="A35"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71106295-7D18-46FF-ABEA-4FA18E72569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4"/>
  <dimension ref="A1:U151"/>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7" max="17" width="13.140625" bestFit="1" customWidth="1"/>
    <col min="18" max="18" width="10.7109375" bestFit="1" customWidth="1"/>
    <col min="20" max="20" width="18.5703125" customWidth="1"/>
    <col min="21" max="21" width="35" customWidth="1"/>
    <col min="23" max="23" width="12.7109375" customWidth="1"/>
    <col min="24" max="24" width="8.42578125"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262</v>
      </c>
      <c r="B2" s="397">
        <v>43249</v>
      </c>
      <c r="C2" s="7">
        <v>50</v>
      </c>
      <c r="D2" s="43">
        <v>119.88</v>
      </c>
      <c r="E2" s="43">
        <v>0</v>
      </c>
      <c r="F2" s="43">
        <f>C2*D2+E2</f>
        <v>5994</v>
      </c>
      <c r="G2" s="397">
        <v>43291</v>
      </c>
      <c r="H2" s="7">
        <v>50</v>
      </c>
      <c r="I2" s="43">
        <v>127.38</v>
      </c>
      <c r="J2" s="43">
        <v>0.08</v>
      </c>
      <c r="K2" s="43">
        <f>H2*I2-J2</f>
        <v>6368.92</v>
      </c>
      <c r="L2" s="69"/>
      <c r="M2" s="3"/>
      <c r="O2" s="11" t="s">
        <v>57</v>
      </c>
      <c r="Q2">
        <f>C18-H18</f>
        <v>0</v>
      </c>
      <c r="T2" s="1"/>
    </row>
    <row r="3" spans="1:21" x14ac:dyDescent="0.25">
      <c r="A3" s="22" t="s">
        <v>71</v>
      </c>
      <c r="B3" s="397">
        <v>43292</v>
      </c>
      <c r="C3" s="7">
        <v>50</v>
      </c>
      <c r="D3" s="43">
        <v>126.18</v>
      </c>
      <c r="E3" s="43">
        <v>0</v>
      </c>
      <c r="F3" s="43">
        <f>C3*D3+E3</f>
        <v>6309</v>
      </c>
      <c r="G3" s="397">
        <v>43329</v>
      </c>
      <c r="H3" s="77">
        <v>50</v>
      </c>
      <c r="I3" s="43">
        <v>134</v>
      </c>
      <c r="J3" s="43">
        <v>0.09</v>
      </c>
      <c r="K3" s="43">
        <f>H3*I3-J3</f>
        <v>6699.91</v>
      </c>
      <c r="L3" s="4"/>
      <c r="M3" s="4"/>
      <c r="O3" s="11" t="s">
        <v>58</v>
      </c>
      <c r="Q3" s="174">
        <f>IF(Q2=0, Q4, (F18-K18-M18)/Q2)</f>
        <v>131.74</v>
      </c>
      <c r="T3" s="1"/>
    </row>
    <row r="4" spans="1:21" x14ac:dyDescent="0.25">
      <c r="B4" s="398"/>
      <c r="C4" s="4"/>
      <c r="D4" s="3"/>
      <c r="E4" s="3"/>
      <c r="F4" s="3"/>
      <c r="G4" s="398"/>
      <c r="H4" s="158"/>
      <c r="I4" s="3"/>
      <c r="J4" s="3"/>
      <c r="K4" s="3"/>
      <c r="L4" s="4"/>
      <c r="M4" s="4"/>
      <c r="O4" s="11" t="s">
        <v>66</v>
      </c>
      <c r="Q4" s="53">
        <v>131.74</v>
      </c>
      <c r="R4" s="396">
        <v>1.49E-2</v>
      </c>
      <c r="T4" s="724">
        <v>43288</v>
      </c>
      <c r="U4" s="1" t="s">
        <v>1116</v>
      </c>
    </row>
    <row r="5" spans="1:21" x14ac:dyDescent="0.25">
      <c r="B5" s="398"/>
      <c r="C5" s="4"/>
      <c r="D5" s="3"/>
      <c r="E5" s="3"/>
      <c r="F5" s="3"/>
      <c r="G5" s="398"/>
      <c r="H5" s="158"/>
      <c r="I5" s="3"/>
      <c r="J5" s="3"/>
      <c r="K5" s="3"/>
      <c r="L5" s="4"/>
      <c r="M5" s="4"/>
      <c r="O5" s="11" t="s">
        <v>67</v>
      </c>
      <c r="Q5" s="3">
        <f>Q4*Q2</f>
        <v>0</v>
      </c>
    </row>
    <row r="6" spans="1:21" x14ac:dyDescent="0.25">
      <c r="B6" s="398"/>
      <c r="C6" s="4"/>
      <c r="D6" s="3"/>
      <c r="E6" s="3"/>
      <c r="F6" s="3"/>
      <c r="G6" s="398"/>
      <c r="H6" s="158"/>
      <c r="I6" s="3"/>
      <c r="J6" s="3"/>
      <c r="K6" s="3"/>
      <c r="L6" s="4"/>
      <c r="M6" s="4"/>
      <c r="O6" s="11" t="s">
        <v>64</v>
      </c>
      <c r="Q6" s="2">
        <f>Q3*Q2</f>
        <v>0</v>
      </c>
      <c r="T6" s="1">
        <v>43298</v>
      </c>
      <c r="U6" t="s">
        <v>1134</v>
      </c>
    </row>
    <row r="7" spans="1:21" x14ac:dyDescent="0.25">
      <c r="B7" s="398"/>
      <c r="C7" s="4"/>
      <c r="D7" s="3"/>
      <c r="E7" s="3"/>
      <c r="F7" s="3"/>
      <c r="G7" s="398"/>
      <c r="H7" s="158"/>
      <c r="I7" s="3"/>
      <c r="J7" s="3"/>
      <c r="K7" s="3"/>
      <c r="L7" s="4"/>
      <c r="M7" s="4"/>
      <c r="O7" s="11" t="s">
        <v>175</v>
      </c>
      <c r="Q7" s="2">
        <f>Q10+Q8</f>
        <v>920.60999999999967</v>
      </c>
      <c r="R7">
        <v>0</v>
      </c>
    </row>
    <row r="8" spans="1:21" x14ac:dyDescent="0.25">
      <c r="B8" s="398"/>
      <c r="C8" s="4"/>
      <c r="D8" s="3"/>
      <c r="E8" s="3"/>
      <c r="F8" s="3"/>
      <c r="G8" s="398"/>
      <c r="H8" s="158"/>
      <c r="I8" s="3"/>
      <c r="J8" s="3"/>
      <c r="K8" s="3"/>
      <c r="L8" s="4"/>
      <c r="M8" s="4"/>
      <c r="O8" s="11" t="s">
        <v>177</v>
      </c>
      <c r="P8" s="33"/>
      <c r="Q8" s="2">
        <f>K18+M18-F18+Q2*Q4</f>
        <v>765.82999999999993</v>
      </c>
    </row>
    <row r="9" spans="1:21" x14ac:dyDescent="0.25">
      <c r="B9" s="398"/>
      <c r="C9" s="4"/>
      <c r="D9" s="3"/>
      <c r="E9" s="3"/>
      <c r="F9" s="3"/>
      <c r="G9" s="398"/>
      <c r="H9" s="158"/>
      <c r="I9" s="3"/>
      <c r="J9" s="3"/>
      <c r="K9" s="3"/>
      <c r="L9" s="4"/>
      <c r="M9" s="4"/>
      <c r="O9" s="11" t="s">
        <v>202</v>
      </c>
      <c r="Q9" s="131">
        <f>IF(Q2=0, 0, Q8/Q6)</f>
        <v>0</v>
      </c>
    </row>
    <row r="10" spans="1:21" x14ac:dyDescent="0.25">
      <c r="G10" s="29"/>
      <c r="H10" s="67"/>
      <c r="O10" s="11" t="s">
        <v>201</v>
      </c>
      <c r="P10" s="33"/>
      <c r="Q10" s="2">
        <f>M74</f>
        <v>154.77999999999975</v>
      </c>
    </row>
    <row r="11" spans="1:21" x14ac:dyDescent="0.25">
      <c r="G11" s="29"/>
      <c r="H11" s="67"/>
      <c r="O11" s="11" t="s">
        <v>173</v>
      </c>
      <c r="P11" s="33"/>
      <c r="Q11" s="131">
        <f>IF(U58="N/A (N/A)", 0, VALUE(TRIM(CLEAN(MID(U58, FIND("(", U58)+1, 5)))))</f>
        <v>2.5700000000000001E-2</v>
      </c>
    </row>
    <row r="12" spans="1:21" x14ac:dyDescent="0.25">
      <c r="G12" s="29"/>
      <c r="H12" s="67"/>
      <c r="O12" s="11" t="s">
        <v>938</v>
      </c>
      <c r="Q12" s="1"/>
    </row>
    <row r="13" spans="1:21" x14ac:dyDescent="0.25">
      <c r="G13" s="29"/>
      <c r="H13" s="67"/>
      <c r="O13" s="11" t="s">
        <v>901</v>
      </c>
      <c r="Q13" s="2">
        <f>Q4/8.12</f>
        <v>16.224137931034484</v>
      </c>
    </row>
    <row r="14" spans="1:21" x14ac:dyDescent="0.25">
      <c r="G14" s="29"/>
      <c r="H14" s="67"/>
    </row>
    <row r="15" spans="1:21" x14ac:dyDescent="0.25">
      <c r="G15" s="29"/>
      <c r="H15" s="67"/>
    </row>
    <row r="16" spans="1:21" x14ac:dyDescent="0.25">
      <c r="G16" s="29"/>
      <c r="H16" s="67"/>
    </row>
    <row r="17" spans="1:13" x14ac:dyDescent="0.25">
      <c r="G17" s="29"/>
    </row>
    <row r="18" spans="1:13" x14ac:dyDescent="0.25">
      <c r="A18" s="31" t="s">
        <v>81</v>
      </c>
      <c r="B18" s="399"/>
      <c r="C18" s="14">
        <f>SUM(C2:C6)</f>
        <v>100</v>
      </c>
      <c r="D18" s="18"/>
      <c r="E18" s="18"/>
      <c r="F18" s="18">
        <f>SUM(F2:F6)</f>
        <v>12303</v>
      </c>
      <c r="G18" s="14"/>
      <c r="H18" s="14">
        <f>SUM(H2:H5)</f>
        <v>100</v>
      </c>
      <c r="I18" s="18"/>
      <c r="J18" s="18"/>
      <c r="K18" s="18">
        <f>SUM(K2:K5)</f>
        <v>13068.83</v>
      </c>
      <c r="L18" s="14"/>
      <c r="M18" s="18">
        <f>SUM(M2:M10)</f>
        <v>0</v>
      </c>
    </row>
    <row r="19" spans="1:13" ht="15.75" thickBot="1" x14ac:dyDescent="0.3">
      <c r="A19" s="273" t="s">
        <v>189</v>
      </c>
      <c r="B19" s="400"/>
      <c r="C19" s="275">
        <f>SumByColor($A$19,C2:C17)</f>
        <v>100</v>
      </c>
      <c r="D19" s="275"/>
      <c r="E19" s="275"/>
      <c r="F19" s="276">
        <f>SumByColor($A$19,F2:F17)</f>
        <v>12303</v>
      </c>
      <c r="G19" s="275"/>
      <c r="H19" s="275">
        <f>SumByColor($A$19,H2:H17)</f>
        <v>100</v>
      </c>
      <c r="I19" s="275"/>
      <c r="J19" s="275"/>
      <c r="K19" s="276">
        <f>SumByColor($A$19,K2:K17)</f>
        <v>13069</v>
      </c>
      <c r="L19" s="275"/>
      <c r="M19" s="276">
        <f>SumByColor($A$19,M2:M17)</f>
        <v>0</v>
      </c>
    </row>
    <row r="24" spans="1:13" x14ac:dyDescent="0.25">
      <c r="B24" s="401" t="s">
        <v>113</v>
      </c>
      <c r="C24" s="159" t="s">
        <v>143</v>
      </c>
      <c r="D24" s="160" t="s">
        <v>142</v>
      </c>
      <c r="E24" s="162" t="s">
        <v>144</v>
      </c>
      <c r="F24" s="162" t="s">
        <v>65</v>
      </c>
      <c r="G24" s="173" t="s">
        <v>148</v>
      </c>
      <c r="H24" s="173" t="s">
        <v>88</v>
      </c>
      <c r="I24" s="173" t="s">
        <v>151</v>
      </c>
      <c r="J24" s="173" t="s">
        <v>147</v>
      </c>
    </row>
    <row r="25" spans="1:13" x14ac:dyDescent="0.25">
      <c r="A25" s="4"/>
      <c r="B25" s="147">
        <v>43249</v>
      </c>
      <c r="C25" s="10">
        <v>50</v>
      </c>
      <c r="D25" s="39">
        <v>119.88</v>
      </c>
      <c r="E25" s="39">
        <v>119.4</v>
      </c>
      <c r="F25" s="39">
        <f>C25*(E25-D25)</f>
        <v>-23.999999999999488</v>
      </c>
      <c r="G25" s="39">
        <f>D25*C25</f>
        <v>5994</v>
      </c>
      <c r="H25" s="175">
        <f>(E25-D25)/D25</f>
        <v>-4.004004004003919E-3</v>
      </c>
      <c r="I25" s="39"/>
      <c r="J25" s="39"/>
    </row>
    <row r="26" spans="1:13" x14ac:dyDescent="0.25">
      <c r="A26" s="4"/>
      <c r="B26" s="147">
        <v>43291</v>
      </c>
      <c r="C26" s="10">
        <v>0</v>
      </c>
      <c r="D26" s="39"/>
      <c r="E26" s="39">
        <v>127.38</v>
      </c>
      <c r="F26" s="39">
        <v>374.92</v>
      </c>
      <c r="G26" s="39"/>
      <c r="H26" s="175"/>
      <c r="I26" s="39"/>
      <c r="J26" s="39">
        <v>529.70000000000005</v>
      </c>
    </row>
    <row r="27" spans="1:13" x14ac:dyDescent="0.25">
      <c r="A27" s="4">
        <v>0</v>
      </c>
      <c r="B27" s="147">
        <v>43292</v>
      </c>
      <c r="C27" s="10">
        <v>50</v>
      </c>
      <c r="D27" s="39">
        <v>118.6816</v>
      </c>
      <c r="E27" s="39">
        <v>126.18</v>
      </c>
      <c r="F27" s="39">
        <f>C27*(E27-D27)</f>
        <v>374.92000000000019</v>
      </c>
      <c r="G27" s="39">
        <f>D27*C27</f>
        <v>5934.08</v>
      </c>
      <c r="H27" s="175">
        <f>(E27-D27)/D27</f>
        <v>6.3180813201035399E-2</v>
      </c>
      <c r="I27" s="39"/>
      <c r="J27" s="39">
        <v>589.70000000000005</v>
      </c>
    </row>
    <row r="28" spans="1:13" x14ac:dyDescent="0.25">
      <c r="A28" s="4"/>
      <c r="B28" s="147">
        <v>43299</v>
      </c>
      <c r="C28" s="10">
        <v>50</v>
      </c>
      <c r="D28" s="39">
        <v>118.6816</v>
      </c>
      <c r="E28" s="39">
        <v>127.8</v>
      </c>
      <c r="F28" s="39">
        <f>C28*(E28-D28)</f>
        <v>455.91999999999973</v>
      </c>
      <c r="G28" s="39">
        <f>D28*C28</f>
        <v>5934.08</v>
      </c>
      <c r="H28" s="175">
        <f>(E28-D28)/D28</f>
        <v>7.6830780845556459E-2</v>
      </c>
      <c r="I28" s="39"/>
      <c r="J28" s="39">
        <v>610.70000000000005</v>
      </c>
    </row>
    <row r="29" spans="1:13" x14ac:dyDescent="0.25">
      <c r="A29" s="4"/>
      <c r="B29" s="147">
        <v>43316</v>
      </c>
      <c r="C29" s="10">
        <v>50</v>
      </c>
      <c r="D29" s="39">
        <v>118.6816</v>
      </c>
      <c r="E29" s="39">
        <v>131.94999999999999</v>
      </c>
      <c r="F29" s="39">
        <f>C29*(E29-D29)</f>
        <v>663.41999999999928</v>
      </c>
      <c r="G29" s="39">
        <f>D29*C29</f>
        <v>5934.08</v>
      </c>
      <c r="H29" s="175">
        <f>(E29-D29)/D29</f>
        <v>0.11179829055220004</v>
      </c>
      <c r="I29" s="39"/>
      <c r="J29" s="39">
        <v>818</v>
      </c>
    </row>
    <row r="30" spans="1:13" x14ac:dyDescent="0.25">
      <c r="A30" s="4"/>
      <c r="B30" s="147">
        <v>43325</v>
      </c>
      <c r="C30" s="10">
        <v>50</v>
      </c>
      <c r="D30" s="39">
        <v>118.68</v>
      </c>
      <c r="E30" s="39">
        <v>130.22</v>
      </c>
      <c r="F30" s="39">
        <f>C30*(E30-D30)</f>
        <v>576.99999999999955</v>
      </c>
      <c r="G30" s="39">
        <f>D30*C30</f>
        <v>5934</v>
      </c>
      <c r="H30" s="175">
        <f>(E30-D30)/D30</f>
        <v>9.7236265588136098E-2</v>
      </c>
      <c r="I30" s="39"/>
      <c r="J30" s="39">
        <v>732</v>
      </c>
    </row>
    <row r="31" spans="1:13" x14ac:dyDescent="0.25">
      <c r="A31" s="4"/>
      <c r="B31" s="147">
        <v>43329</v>
      </c>
      <c r="C31" s="10">
        <v>0</v>
      </c>
      <c r="D31" s="39">
        <v>118.68340000000001</v>
      </c>
      <c r="E31" s="39">
        <v>132.47999999999999</v>
      </c>
      <c r="F31" s="39">
        <f>C31*(E31-D31)</f>
        <v>0</v>
      </c>
      <c r="G31" s="39">
        <f>D31*C31</f>
        <v>0</v>
      </c>
      <c r="H31" s="175">
        <f>(E31-D31)/D31</f>
        <v>0.11624709100008918</v>
      </c>
      <c r="I31" s="39"/>
      <c r="J31" s="39">
        <v>920.61</v>
      </c>
    </row>
    <row r="32" spans="1:13" x14ac:dyDescent="0.25">
      <c r="A32" s="4"/>
      <c r="B32" s="147"/>
      <c r="C32" s="10"/>
      <c r="D32" s="39"/>
      <c r="E32" s="39"/>
      <c r="F32" s="39"/>
      <c r="G32" s="39"/>
      <c r="H32" s="175"/>
      <c r="I32" s="39"/>
      <c r="J32" s="39"/>
    </row>
    <row r="33" spans="1:21" x14ac:dyDescent="0.25">
      <c r="A33" s="4"/>
      <c r="B33" s="147"/>
      <c r="C33" s="10"/>
      <c r="D33" s="39"/>
      <c r="E33" s="39"/>
      <c r="F33" s="39"/>
      <c r="G33" s="39"/>
      <c r="H33" s="175"/>
      <c r="I33" s="39"/>
      <c r="J33" s="39"/>
    </row>
    <row r="34" spans="1:21" x14ac:dyDescent="0.25">
      <c r="A34" s="4"/>
      <c r="B34" s="147"/>
      <c r="C34" s="10"/>
      <c r="D34" s="39"/>
      <c r="E34" s="39"/>
      <c r="F34" s="39"/>
      <c r="G34" s="39"/>
      <c r="H34" s="175"/>
      <c r="I34" s="39"/>
      <c r="J34" s="39"/>
    </row>
    <row r="35" spans="1:21" x14ac:dyDescent="0.25">
      <c r="A35" s="4"/>
      <c r="B35" s="147"/>
      <c r="C35" s="10"/>
      <c r="D35" s="39"/>
      <c r="E35" s="39"/>
      <c r="F35" s="39"/>
      <c r="G35" s="39"/>
      <c r="H35" s="175"/>
      <c r="I35" s="39"/>
      <c r="J35" s="39"/>
    </row>
    <row r="36" spans="1:21" x14ac:dyDescent="0.25">
      <c r="A36" s="4"/>
      <c r="B36" s="147"/>
      <c r="C36" s="10"/>
      <c r="D36" s="39"/>
      <c r="E36" s="39"/>
      <c r="F36" s="39"/>
      <c r="G36" s="39"/>
      <c r="H36" s="175"/>
      <c r="I36" s="39"/>
      <c r="J36" s="39"/>
    </row>
    <row r="37" spans="1:21" x14ac:dyDescent="0.25">
      <c r="B37" s="147"/>
      <c r="C37" s="10"/>
      <c r="D37" s="39"/>
      <c r="E37" s="39"/>
      <c r="F37" s="39"/>
      <c r="G37" s="39"/>
      <c r="H37" s="175"/>
      <c r="I37" s="39"/>
      <c r="J37" s="39"/>
    </row>
    <row r="38" spans="1:21" x14ac:dyDescent="0.25">
      <c r="B38" s="147"/>
      <c r="C38" s="10"/>
      <c r="D38" s="39"/>
      <c r="E38" s="39"/>
      <c r="F38" s="39"/>
      <c r="G38" s="39"/>
      <c r="H38" s="175"/>
      <c r="I38" s="39"/>
      <c r="J38" s="39"/>
    </row>
    <row r="39" spans="1:21" x14ac:dyDescent="0.25">
      <c r="B39" s="147"/>
      <c r="C39" s="10"/>
      <c r="D39" s="39"/>
      <c r="E39" s="39"/>
      <c r="F39" s="39"/>
      <c r="G39" s="39"/>
      <c r="H39" s="175"/>
      <c r="I39" s="39"/>
      <c r="J39" s="39"/>
    </row>
    <row r="40" spans="1:21" ht="20.25" thickBot="1" x14ac:dyDescent="0.35">
      <c r="B40" s="147"/>
      <c r="C40" s="10"/>
      <c r="D40" s="39"/>
      <c r="E40" s="39"/>
      <c r="F40" s="39"/>
      <c r="G40" s="39"/>
      <c r="H40" s="175"/>
      <c r="I40" s="39"/>
      <c r="J40" s="39"/>
      <c r="O40" s="886" t="s">
        <v>78</v>
      </c>
      <c r="P40" s="886"/>
    </row>
    <row r="41" spans="1:21" ht="15.75" thickTop="1" x14ac:dyDescent="0.25">
      <c r="B41" s="147"/>
      <c r="C41" s="10"/>
      <c r="D41" s="39"/>
      <c r="E41" s="39"/>
      <c r="F41" s="39"/>
      <c r="G41" s="39"/>
      <c r="H41" s="175"/>
      <c r="I41" s="39"/>
      <c r="J41" s="39"/>
      <c r="O41" s="78">
        <v>1.1000000000000001</v>
      </c>
      <c r="P41" s="78">
        <f>O41*$Q$4</f>
        <v>144.91400000000002</v>
      </c>
      <c r="Q41" s="2"/>
    </row>
    <row r="42" spans="1:21" ht="20.25" thickBot="1" x14ac:dyDescent="0.35">
      <c r="B42" s="147"/>
      <c r="C42" s="10"/>
      <c r="D42" s="39"/>
      <c r="E42" s="39"/>
      <c r="F42" s="39"/>
      <c r="G42" s="39"/>
      <c r="H42" s="175"/>
      <c r="I42" s="39"/>
      <c r="J42" s="39"/>
      <c r="O42" s="78">
        <v>1.0900000000000001</v>
      </c>
      <c r="P42" s="78">
        <f t="shared" ref="P42:P61" si="0">O42*$Q$4</f>
        <v>143.59660000000002</v>
      </c>
      <c r="Q42" s="2"/>
      <c r="T42" s="86" t="s">
        <v>112</v>
      </c>
    </row>
    <row r="43" spans="1:21" ht="15.75" thickTop="1" x14ac:dyDescent="0.25">
      <c r="B43" s="147"/>
      <c r="C43" s="10"/>
      <c r="D43" s="39"/>
      <c r="E43" s="39"/>
      <c r="F43" s="39"/>
      <c r="G43" s="39"/>
      <c r="H43" s="175"/>
      <c r="I43" s="39"/>
      <c r="J43" s="39"/>
      <c r="O43" s="78">
        <v>1.08</v>
      </c>
      <c r="P43" s="78">
        <f t="shared" si="0"/>
        <v>142.27920000000003</v>
      </c>
      <c r="Q43" s="2"/>
      <c r="T43" s="122" t="s">
        <v>97</v>
      </c>
      <c r="U43" s="123">
        <v>124.68</v>
      </c>
    </row>
    <row r="44" spans="1:21" x14ac:dyDescent="0.25">
      <c r="B44" s="147"/>
      <c r="C44" s="10"/>
      <c r="D44" s="39"/>
      <c r="E44" s="39"/>
      <c r="F44" s="39"/>
      <c r="G44" s="39"/>
      <c r="H44" s="175"/>
      <c r="I44" s="39"/>
      <c r="J44" s="39"/>
      <c r="O44" s="78">
        <v>1.07</v>
      </c>
      <c r="P44" s="78">
        <f t="shared" si="0"/>
        <v>140.96180000000001</v>
      </c>
      <c r="Q44" s="2"/>
      <c r="T44" s="88" t="s">
        <v>98</v>
      </c>
      <c r="U44" s="124">
        <v>124.72</v>
      </c>
    </row>
    <row r="45" spans="1:21" x14ac:dyDescent="0.25">
      <c r="B45" s="147"/>
      <c r="C45" s="10"/>
      <c r="D45" s="39"/>
      <c r="E45" s="39"/>
      <c r="F45" s="39"/>
      <c r="G45" s="39"/>
      <c r="H45" s="175"/>
      <c r="I45" s="39"/>
      <c r="J45" s="39"/>
      <c r="O45" s="78">
        <v>1.06</v>
      </c>
      <c r="P45" s="78">
        <f t="shared" si="0"/>
        <v>139.64440000000002</v>
      </c>
      <c r="Q45" s="2"/>
      <c r="T45" s="88" t="s">
        <v>99</v>
      </c>
      <c r="U45" s="124" t="s">
        <v>128</v>
      </c>
    </row>
    <row r="46" spans="1:21" x14ac:dyDescent="0.25">
      <c r="B46" s="147"/>
      <c r="C46" s="10"/>
      <c r="D46" s="39"/>
      <c r="E46" s="39"/>
      <c r="F46" s="39"/>
      <c r="G46" s="39"/>
      <c r="H46" s="175"/>
      <c r="I46" s="39"/>
      <c r="J46" s="39"/>
      <c r="O46" s="78">
        <v>1.05</v>
      </c>
      <c r="P46" s="78">
        <f t="shared" si="0"/>
        <v>138.32700000000003</v>
      </c>
      <c r="Q46" s="2"/>
      <c r="T46" s="88" t="s">
        <v>100</v>
      </c>
      <c r="U46" s="124" t="s">
        <v>128</v>
      </c>
    </row>
    <row r="47" spans="1:21" x14ac:dyDescent="0.25">
      <c r="B47" s="147"/>
      <c r="C47" s="10"/>
      <c r="D47" s="39"/>
      <c r="E47" s="39"/>
      <c r="F47" s="39"/>
      <c r="G47" s="39"/>
      <c r="H47" s="175"/>
      <c r="I47" s="180"/>
      <c r="J47" s="180"/>
      <c r="O47" s="78">
        <v>1.04</v>
      </c>
      <c r="P47" s="78">
        <f t="shared" si="0"/>
        <v>137.00960000000001</v>
      </c>
      <c r="Q47" s="2"/>
      <c r="T47" s="88" t="s">
        <v>101</v>
      </c>
      <c r="U47" s="124">
        <v>127.47</v>
      </c>
    </row>
    <row r="48" spans="1:21" x14ac:dyDescent="0.25">
      <c r="B48" s="147"/>
      <c r="C48" s="10"/>
      <c r="D48" s="39"/>
      <c r="E48" s="39"/>
      <c r="F48" s="39"/>
      <c r="G48" s="39"/>
      <c r="H48" s="175"/>
      <c r="I48" s="39"/>
      <c r="J48" s="39"/>
      <c r="O48" s="78">
        <v>1.03</v>
      </c>
      <c r="P48" s="78">
        <f t="shared" si="0"/>
        <v>135.69220000000001</v>
      </c>
      <c r="Q48" s="2"/>
      <c r="T48" s="88" t="s">
        <v>102</v>
      </c>
      <c r="U48" s="124">
        <v>0.67624099999999998</v>
      </c>
    </row>
    <row r="49" spans="2:21" x14ac:dyDescent="0.25">
      <c r="B49" s="147"/>
      <c r="C49" s="10"/>
      <c r="D49" s="39"/>
      <c r="E49" s="39"/>
      <c r="F49" s="39"/>
      <c r="G49" s="39"/>
      <c r="H49" s="175"/>
      <c r="I49" s="39"/>
      <c r="J49" s="39"/>
      <c r="O49" s="78">
        <v>1.02</v>
      </c>
      <c r="P49" s="78">
        <f t="shared" si="0"/>
        <v>134.37480000000002</v>
      </c>
      <c r="Q49" s="2"/>
      <c r="T49" s="88" t="s">
        <v>103</v>
      </c>
      <c r="U49" s="124" t="s">
        <v>333</v>
      </c>
    </row>
    <row r="50" spans="2:21" x14ac:dyDescent="0.25">
      <c r="B50" s="147"/>
      <c r="C50" s="10"/>
      <c r="D50" s="39"/>
      <c r="E50" s="39"/>
      <c r="F50" s="39"/>
      <c r="G50" s="39"/>
      <c r="H50" s="175"/>
      <c r="I50" s="39"/>
      <c r="J50" s="39"/>
      <c r="O50" s="78">
        <v>1.01</v>
      </c>
      <c r="P50" s="78">
        <f t="shared" si="0"/>
        <v>133.0574</v>
      </c>
      <c r="Q50" s="2"/>
      <c r="T50" s="88"/>
      <c r="U50" s="124"/>
    </row>
    <row r="51" spans="2:21" x14ac:dyDescent="0.25">
      <c r="B51" s="147"/>
      <c r="C51" s="10"/>
      <c r="D51" s="39"/>
      <c r="E51" s="39"/>
      <c r="F51" s="39"/>
      <c r="G51" s="39"/>
      <c r="H51" s="175"/>
      <c r="I51" s="39"/>
      <c r="J51" s="39"/>
      <c r="O51" s="78">
        <v>1</v>
      </c>
      <c r="P51" s="78">
        <f t="shared" si="0"/>
        <v>131.74</v>
      </c>
      <c r="Q51" s="2"/>
      <c r="T51" s="88" t="s">
        <v>104</v>
      </c>
      <c r="U51" s="124" t="s">
        <v>531</v>
      </c>
    </row>
    <row r="52" spans="2:21" x14ac:dyDescent="0.25">
      <c r="B52" s="147"/>
      <c r="C52" s="10"/>
      <c r="D52" s="39"/>
      <c r="E52" s="39"/>
      <c r="F52" s="39"/>
      <c r="G52" s="39"/>
      <c r="H52" s="175"/>
      <c r="I52" s="39"/>
      <c r="J52" s="39"/>
      <c r="O52" s="78">
        <v>0.99</v>
      </c>
      <c r="P52" s="78">
        <f t="shared" si="0"/>
        <v>130.42260000000002</v>
      </c>
      <c r="Q52" s="2"/>
      <c r="T52" s="88" t="s">
        <v>105</v>
      </c>
      <c r="U52" s="124" t="s">
        <v>532</v>
      </c>
    </row>
    <row r="53" spans="2:21" x14ac:dyDescent="0.25">
      <c r="B53" s="147"/>
      <c r="C53" s="10"/>
      <c r="D53" s="39"/>
      <c r="E53" s="39"/>
      <c r="F53" s="39"/>
      <c r="G53" s="39"/>
      <c r="H53" s="175"/>
      <c r="I53" s="39"/>
      <c r="J53" s="39"/>
      <c r="O53" s="78">
        <v>0.98</v>
      </c>
      <c r="P53" s="78">
        <f t="shared" si="0"/>
        <v>129.1052</v>
      </c>
      <c r="Q53" s="2"/>
      <c r="T53" s="88" t="s">
        <v>106</v>
      </c>
      <c r="U53" s="125">
        <v>5646251</v>
      </c>
    </row>
    <row r="54" spans="2:21" x14ac:dyDescent="0.25">
      <c r="B54" s="147"/>
      <c r="C54" s="10"/>
      <c r="D54" s="39"/>
      <c r="E54" s="39"/>
      <c r="F54" s="39"/>
      <c r="G54" s="39"/>
      <c r="H54" s="175"/>
      <c r="I54" s="39"/>
      <c r="J54" s="39"/>
      <c r="O54" s="78">
        <v>0.97</v>
      </c>
      <c r="P54" s="78">
        <f t="shared" si="0"/>
        <v>127.7878</v>
      </c>
      <c r="T54" s="88" t="s">
        <v>109</v>
      </c>
      <c r="U54" s="125">
        <v>7120690</v>
      </c>
    </row>
    <row r="55" spans="2:21" x14ac:dyDescent="0.25">
      <c r="B55" s="147"/>
      <c r="C55" s="10"/>
      <c r="D55" s="39"/>
      <c r="E55" s="39"/>
      <c r="F55" s="39"/>
      <c r="G55" s="39"/>
      <c r="H55" s="175"/>
      <c r="I55" s="39"/>
      <c r="J55" s="39"/>
      <c r="O55" s="78">
        <v>0.96</v>
      </c>
      <c r="P55" s="78">
        <f t="shared" si="0"/>
        <v>126.4704</v>
      </c>
      <c r="T55" s="88" t="s">
        <v>107</v>
      </c>
      <c r="U55" s="124" t="s">
        <v>533</v>
      </c>
    </row>
    <row r="56" spans="2:21" x14ac:dyDescent="0.25">
      <c r="B56" s="147"/>
      <c r="C56" s="10"/>
      <c r="D56" s="39"/>
      <c r="E56" s="39"/>
      <c r="F56" s="39"/>
      <c r="G56" s="39"/>
      <c r="H56" s="175"/>
      <c r="I56" s="39"/>
      <c r="J56" s="39"/>
      <c r="O56" s="78">
        <v>0.95</v>
      </c>
      <c r="P56" s="78">
        <f t="shared" si="0"/>
        <v>125.15300000000001</v>
      </c>
      <c r="T56" s="88" t="s">
        <v>110</v>
      </c>
      <c r="U56" s="124">
        <v>21.04</v>
      </c>
    </row>
    <row r="57" spans="2:21" x14ac:dyDescent="0.25">
      <c r="B57" s="147"/>
      <c r="C57" s="10"/>
      <c r="D57" s="39"/>
      <c r="E57" s="39"/>
      <c r="F57" s="39"/>
      <c r="G57" s="39"/>
      <c r="H57" s="175"/>
      <c r="I57" s="39"/>
      <c r="J57" s="39"/>
      <c r="O57" s="78">
        <v>0.94</v>
      </c>
      <c r="P57" s="78">
        <f t="shared" si="0"/>
        <v>123.8356</v>
      </c>
      <c r="T57" s="88" t="s">
        <v>111</v>
      </c>
      <c r="U57" s="124">
        <v>5.93</v>
      </c>
    </row>
    <row r="58" spans="2:21" x14ac:dyDescent="0.25">
      <c r="B58" s="147"/>
      <c r="C58" s="10"/>
      <c r="D58" s="39"/>
      <c r="E58" s="39"/>
      <c r="F58" s="39"/>
      <c r="G58" s="39"/>
      <c r="H58" s="175"/>
      <c r="I58" s="39"/>
      <c r="J58" s="39"/>
      <c r="O58" s="78">
        <v>0.93</v>
      </c>
      <c r="P58" s="78">
        <f t="shared" si="0"/>
        <v>122.51820000000002</v>
      </c>
      <c r="T58" s="88" t="s">
        <v>108</v>
      </c>
      <c r="U58" s="124" t="s">
        <v>489</v>
      </c>
    </row>
    <row r="59" spans="2:21" x14ac:dyDescent="0.25">
      <c r="B59" s="147"/>
      <c r="C59" s="10"/>
      <c r="D59" s="39"/>
      <c r="E59" s="39"/>
      <c r="F59" s="39"/>
      <c r="G59" s="39"/>
      <c r="H59" s="175"/>
      <c r="I59" s="39"/>
      <c r="J59" s="39"/>
      <c r="O59" s="78">
        <v>0.92</v>
      </c>
      <c r="P59" s="78">
        <f t="shared" si="0"/>
        <v>121.20080000000002</v>
      </c>
    </row>
    <row r="60" spans="2:21" x14ac:dyDescent="0.25">
      <c r="B60" s="147"/>
      <c r="C60" s="10"/>
      <c r="D60" s="39"/>
      <c r="E60" s="39"/>
      <c r="F60" s="39"/>
      <c r="G60" s="39"/>
      <c r="H60" s="175"/>
      <c r="I60" s="39"/>
      <c r="J60" s="39"/>
      <c r="O60" s="78">
        <v>0.91</v>
      </c>
      <c r="P60" s="78">
        <f t="shared" si="0"/>
        <v>119.88340000000001</v>
      </c>
    </row>
    <row r="61" spans="2:21" x14ac:dyDescent="0.25">
      <c r="B61" s="147"/>
      <c r="C61" s="10"/>
      <c r="D61" s="39"/>
      <c r="E61" s="39"/>
      <c r="F61" s="39"/>
      <c r="G61" s="39"/>
      <c r="H61" s="175"/>
      <c r="I61" s="39"/>
      <c r="J61" s="39"/>
      <c r="O61" s="78">
        <v>0.9</v>
      </c>
      <c r="P61" s="78">
        <f t="shared" si="0"/>
        <v>118.56600000000002</v>
      </c>
    </row>
    <row r="62" spans="2:21" x14ac:dyDescent="0.25">
      <c r="B62" s="147"/>
      <c r="C62" s="10"/>
      <c r="D62" s="39"/>
      <c r="E62" s="39"/>
      <c r="F62" s="39"/>
      <c r="G62" s="39"/>
      <c r="H62" s="175"/>
      <c r="I62" s="39"/>
      <c r="J62" s="39"/>
    </row>
    <row r="63" spans="2:21" x14ac:dyDescent="0.25">
      <c r="B63" s="147"/>
      <c r="C63" s="10"/>
      <c r="D63" s="39"/>
      <c r="E63" s="39"/>
      <c r="F63" s="39"/>
      <c r="G63" s="39"/>
      <c r="H63" s="175"/>
      <c r="I63" s="39"/>
      <c r="J63" s="39"/>
    </row>
    <row r="64" spans="2:21" x14ac:dyDescent="0.25">
      <c r="B64" s="147"/>
      <c r="C64" s="10"/>
      <c r="D64" s="39"/>
      <c r="E64" s="39"/>
      <c r="F64" s="39"/>
      <c r="G64" s="39"/>
      <c r="H64" s="175"/>
      <c r="I64" s="39"/>
      <c r="J64" s="39"/>
    </row>
    <row r="65" spans="1:13" x14ac:dyDescent="0.25">
      <c r="B65" s="147"/>
      <c r="C65" s="10"/>
      <c r="D65" s="39"/>
      <c r="E65" s="39"/>
      <c r="F65" s="39"/>
      <c r="G65" s="39"/>
      <c r="H65" s="175"/>
      <c r="I65" s="39"/>
      <c r="J65" s="39"/>
    </row>
    <row r="66" spans="1:13" x14ac:dyDescent="0.25">
      <c r="B66" s="147"/>
      <c r="C66" s="10"/>
      <c r="D66" s="39"/>
      <c r="E66" s="39"/>
      <c r="F66" s="39"/>
      <c r="G66" s="39"/>
      <c r="H66" s="175"/>
      <c r="I66" s="39"/>
      <c r="J66" s="39"/>
    </row>
    <row r="67" spans="1:13" x14ac:dyDescent="0.25">
      <c r="B67" s="147"/>
      <c r="C67" s="10"/>
      <c r="D67" s="39"/>
      <c r="E67" s="39"/>
      <c r="F67" s="39"/>
      <c r="G67" s="39"/>
      <c r="H67" s="175"/>
      <c r="I67" s="39"/>
      <c r="J67" s="39"/>
    </row>
    <row r="68" spans="1:13" x14ac:dyDescent="0.25">
      <c r="B68" s="147"/>
      <c r="C68" s="10"/>
      <c r="D68" s="39"/>
      <c r="E68" s="39"/>
      <c r="F68" s="39"/>
      <c r="G68" s="39"/>
      <c r="H68" s="175"/>
      <c r="I68" s="39"/>
      <c r="J68" s="39"/>
    </row>
    <row r="69" spans="1:13" x14ac:dyDescent="0.25">
      <c r="B69" s="147"/>
      <c r="C69" s="10"/>
      <c r="D69" s="39"/>
      <c r="E69" s="39"/>
      <c r="F69" s="39"/>
      <c r="G69" s="39"/>
      <c r="H69" s="175"/>
      <c r="I69" s="39"/>
      <c r="J69" s="39"/>
    </row>
    <row r="74" spans="1:13" x14ac:dyDescent="0.25">
      <c r="L74" t="s">
        <v>65</v>
      </c>
      <c r="M74" s="2">
        <f>M92+K92-F92</f>
        <v>154.77999999999975</v>
      </c>
    </row>
    <row r="75" spans="1:13" x14ac:dyDescent="0.25">
      <c r="A75" s="297" t="s">
        <v>1</v>
      </c>
      <c r="B75" s="538" t="s">
        <v>2</v>
      </c>
      <c r="C75" s="297" t="s">
        <v>4</v>
      </c>
      <c r="D75" s="299" t="s">
        <v>5</v>
      </c>
      <c r="E75" s="299" t="s">
        <v>94</v>
      </c>
      <c r="F75" s="299" t="s">
        <v>60</v>
      </c>
      <c r="G75" s="297" t="s">
        <v>3</v>
      </c>
      <c r="H75" s="297" t="s">
        <v>6</v>
      </c>
      <c r="I75" s="299" t="s">
        <v>7</v>
      </c>
      <c r="J75" s="299" t="s">
        <v>95</v>
      </c>
      <c r="K75" s="299" t="s">
        <v>61</v>
      </c>
      <c r="L75" s="297" t="s">
        <v>37</v>
      </c>
      <c r="M75" s="297" t="s">
        <v>38</v>
      </c>
    </row>
    <row r="76" spans="1:13" x14ac:dyDescent="0.25">
      <c r="A76" s="300" t="s">
        <v>262</v>
      </c>
      <c r="B76" s="533">
        <v>42622</v>
      </c>
      <c r="C76" s="291">
        <v>15</v>
      </c>
      <c r="D76" s="292">
        <v>118.5</v>
      </c>
      <c r="E76" s="292">
        <v>0</v>
      </c>
      <c r="F76" s="292">
        <f>C76*D76+E76</f>
        <v>1777.5</v>
      </c>
      <c r="G76" s="533">
        <v>42760</v>
      </c>
      <c r="H76" s="295">
        <v>15</v>
      </c>
      <c r="I76" s="292">
        <v>112.7</v>
      </c>
      <c r="J76" s="292">
        <v>0.04</v>
      </c>
      <c r="K76" s="292">
        <f>H76*I76-J76</f>
        <v>1690.46</v>
      </c>
      <c r="L76" s="290">
        <v>42710</v>
      </c>
      <c r="M76" s="292">
        <v>16</v>
      </c>
    </row>
    <row r="77" spans="1:13" x14ac:dyDescent="0.25">
      <c r="A77" s="301" t="s">
        <v>71</v>
      </c>
      <c r="B77" s="533">
        <v>42622</v>
      </c>
      <c r="C77" s="291">
        <v>5</v>
      </c>
      <c r="D77" s="292">
        <v>118.5</v>
      </c>
      <c r="E77" s="292">
        <v>0</v>
      </c>
      <c r="F77" s="292">
        <f>C77*D77+E77</f>
        <v>592.5</v>
      </c>
      <c r="G77" s="533">
        <v>42776</v>
      </c>
      <c r="H77" s="295">
        <v>15</v>
      </c>
      <c r="I77" s="292">
        <v>115.18</v>
      </c>
      <c r="J77" s="292">
        <v>0.04</v>
      </c>
      <c r="K77" s="292">
        <f>H77*I77-J77</f>
        <v>1727.66</v>
      </c>
      <c r="L77" s="291"/>
      <c r="M77" s="291"/>
    </row>
    <row r="78" spans="1:13" x14ac:dyDescent="0.25">
      <c r="A78" s="291"/>
      <c r="B78" s="533">
        <v>42704</v>
      </c>
      <c r="C78" s="291">
        <v>10</v>
      </c>
      <c r="D78" s="292">
        <v>111.48</v>
      </c>
      <c r="E78" s="292">
        <v>0</v>
      </c>
      <c r="F78" s="292">
        <f>C78*D78+E78</f>
        <v>1114.8</v>
      </c>
      <c r="G78" s="533">
        <v>42796</v>
      </c>
      <c r="H78" s="295">
        <v>15</v>
      </c>
      <c r="I78" s="292">
        <v>124.08</v>
      </c>
      <c r="J78" s="292">
        <v>0.04</v>
      </c>
      <c r="K78" s="292">
        <f>H78*I78-J78</f>
        <v>1861.16</v>
      </c>
      <c r="L78" s="291"/>
      <c r="M78" s="291"/>
    </row>
    <row r="79" spans="1:13" x14ac:dyDescent="0.25">
      <c r="A79" s="291"/>
      <c r="B79" s="533">
        <v>42759</v>
      </c>
      <c r="C79" s="291">
        <v>15</v>
      </c>
      <c r="D79" s="292">
        <v>111.18</v>
      </c>
      <c r="E79" s="292">
        <v>0</v>
      </c>
      <c r="F79" s="292">
        <f>C79*D79+E79</f>
        <v>1667.7</v>
      </c>
      <c r="G79" s="533"/>
      <c r="H79" s="295"/>
      <c r="I79" s="292"/>
      <c r="J79" s="292"/>
      <c r="K79" s="292"/>
      <c r="L79" s="290">
        <v>42808</v>
      </c>
      <c r="M79" s="291">
        <v>12</v>
      </c>
    </row>
    <row r="80" spans="1:13" x14ac:dyDescent="0.25">
      <c r="A80" s="291"/>
      <c r="B80" s="533"/>
      <c r="C80" s="291"/>
      <c r="D80" s="292"/>
      <c r="E80" s="292"/>
      <c r="F80" s="292"/>
      <c r="G80" s="533"/>
      <c r="H80" s="295"/>
      <c r="I80" s="292"/>
      <c r="J80" s="292"/>
      <c r="K80" s="292"/>
      <c r="L80" s="291"/>
      <c r="M80" s="291"/>
    </row>
    <row r="81" spans="1:13" x14ac:dyDescent="0.25">
      <c r="A81" s="291"/>
      <c r="B81" s="533"/>
      <c r="C81" s="291"/>
      <c r="D81" s="292"/>
      <c r="E81" s="292"/>
      <c r="F81" s="292"/>
      <c r="G81" s="533"/>
      <c r="H81" s="295"/>
      <c r="I81" s="292"/>
      <c r="J81" s="292"/>
      <c r="K81" s="292"/>
      <c r="L81" s="291"/>
      <c r="M81" s="291"/>
    </row>
    <row r="82" spans="1:13" x14ac:dyDescent="0.25">
      <c r="A82" s="291"/>
      <c r="B82" s="533"/>
      <c r="C82" s="291"/>
      <c r="D82" s="292"/>
      <c r="E82" s="292"/>
      <c r="F82" s="292"/>
      <c r="G82" s="533"/>
      <c r="H82" s="295"/>
      <c r="I82" s="292"/>
      <c r="J82" s="292"/>
      <c r="K82" s="292"/>
      <c r="L82" s="291"/>
      <c r="M82" s="291"/>
    </row>
    <row r="83" spans="1:13" x14ac:dyDescent="0.25">
      <c r="A83" s="291"/>
      <c r="B83" s="533"/>
      <c r="C83" s="291"/>
      <c r="D83" s="292"/>
      <c r="E83" s="292"/>
      <c r="F83" s="292"/>
      <c r="G83" s="533"/>
      <c r="H83" s="295"/>
      <c r="I83" s="292"/>
      <c r="J83" s="292"/>
      <c r="K83" s="292"/>
      <c r="L83" s="291"/>
      <c r="M83" s="291"/>
    </row>
    <row r="84" spans="1:13" x14ac:dyDescent="0.25">
      <c r="A84" s="291"/>
      <c r="B84" s="533"/>
      <c r="C84" s="291"/>
      <c r="D84" s="292"/>
      <c r="E84" s="292"/>
      <c r="F84" s="292"/>
      <c r="G84" s="533"/>
      <c r="H84" s="295"/>
      <c r="I84" s="292"/>
      <c r="J84" s="292"/>
      <c r="K84" s="292"/>
      <c r="L84" s="291"/>
      <c r="M84" s="291"/>
    </row>
    <row r="85" spans="1:13" x14ac:dyDescent="0.25">
      <c r="A85" s="291"/>
      <c r="B85" s="533"/>
      <c r="C85" s="291"/>
      <c r="D85" s="292"/>
      <c r="E85" s="292"/>
      <c r="F85" s="292"/>
      <c r="G85" s="533"/>
      <c r="H85" s="295"/>
      <c r="I85" s="292"/>
      <c r="J85" s="292"/>
      <c r="K85" s="292"/>
      <c r="L85" s="291"/>
      <c r="M85" s="291"/>
    </row>
    <row r="86" spans="1:13" x14ac:dyDescent="0.25">
      <c r="A86" s="291"/>
      <c r="B86" s="533"/>
      <c r="C86" s="291"/>
      <c r="D86" s="292"/>
      <c r="E86" s="292"/>
      <c r="F86" s="292"/>
      <c r="G86" s="533"/>
      <c r="H86" s="295"/>
      <c r="I86" s="292"/>
      <c r="J86" s="292"/>
      <c r="K86" s="292"/>
      <c r="L86" s="291"/>
      <c r="M86" s="291"/>
    </row>
    <row r="87" spans="1:13" x14ac:dyDescent="0.25">
      <c r="A87" s="291"/>
      <c r="B87" s="533"/>
      <c r="C87" s="291"/>
      <c r="D87" s="292"/>
      <c r="E87" s="292"/>
      <c r="F87" s="292"/>
      <c r="G87" s="533"/>
      <c r="H87" s="295"/>
      <c r="I87" s="292"/>
      <c r="J87" s="292"/>
      <c r="K87" s="292"/>
      <c r="L87" s="291"/>
      <c r="M87" s="291"/>
    </row>
    <row r="88" spans="1:13" x14ac:dyDescent="0.25">
      <c r="A88" s="291"/>
      <c r="B88" s="533"/>
      <c r="C88" s="291"/>
      <c r="D88" s="292"/>
      <c r="E88" s="292"/>
      <c r="F88" s="292"/>
      <c r="G88" s="533"/>
      <c r="H88" s="295"/>
      <c r="I88" s="292"/>
      <c r="J88" s="292"/>
      <c r="K88" s="292"/>
      <c r="L88" s="291"/>
      <c r="M88" s="291"/>
    </row>
    <row r="89" spans="1:13" x14ac:dyDescent="0.25">
      <c r="A89" s="291"/>
      <c r="B89" s="533"/>
      <c r="C89" s="291"/>
      <c r="D89" s="292"/>
      <c r="E89" s="292"/>
      <c r="F89" s="292"/>
      <c r="G89" s="533"/>
      <c r="H89" s="295"/>
      <c r="I89" s="292"/>
      <c r="J89" s="292"/>
      <c r="K89" s="292"/>
      <c r="L89" s="291"/>
      <c r="M89" s="291"/>
    </row>
    <row r="90" spans="1:13" x14ac:dyDescent="0.25">
      <c r="A90" s="291"/>
      <c r="B90" s="533"/>
      <c r="C90" s="291"/>
      <c r="D90" s="292"/>
      <c r="E90" s="292"/>
      <c r="F90" s="292"/>
      <c r="G90" s="533"/>
      <c r="H90" s="295"/>
      <c r="I90" s="292"/>
      <c r="J90" s="292"/>
      <c r="K90" s="292"/>
      <c r="L90" s="291"/>
      <c r="M90" s="291"/>
    </row>
    <row r="91" spans="1:13" x14ac:dyDescent="0.25">
      <c r="A91" s="291"/>
      <c r="B91" s="533"/>
      <c r="C91" s="291"/>
      <c r="D91" s="292"/>
      <c r="E91" s="292"/>
      <c r="F91" s="292"/>
      <c r="G91" s="533"/>
      <c r="H91" s="291"/>
      <c r="I91" s="292"/>
      <c r="J91" s="292"/>
      <c r="K91" s="292"/>
      <c r="L91" s="291"/>
      <c r="M91" s="291"/>
    </row>
    <row r="92" spans="1:13" x14ac:dyDescent="0.25">
      <c r="A92" s="21" t="s">
        <v>81</v>
      </c>
      <c r="B92" s="539"/>
      <c r="C92" s="12">
        <f>SUM(C76:C80)</f>
        <v>45</v>
      </c>
      <c r="D92" s="13"/>
      <c r="E92" s="13"/>
      <c r="F92" s="13">
        <f>SUM(F76:F80)</f>
        <v>5152.5</v>
      </c>
      <c r="G92" s="12"/>
      <c r="H92" s="12">
        <f>SUM(H76:H79)</f>
        <v>45</v>
      </c>
      <c r="I92" s="13"/>
      <c r="J92" s="13"/>
      <c r="K92" s="13">
        <f>SUM(K76:K79)</f>
        <v>5279.28</v>
      </c>
      <c r="L92" s="12"/>
      <c r="M92" s="13">
        <f>SUM(M76:M84)</f>
        <v>28</v>
      </c>
    </row>
    <row r="93" spans="1:13" ht="15.75" thickBot="1" x14ac:dyDescent="0.3">
      <c r="A93" s="370" t="s">
        <v>189</v>
      </c>
      <c r="B93" s="540"/>
      <c r="C93" s="372">
        <f>SumByColor($A$19,C76:C91)</f>
        <v>0</v>
      </c>
      <c r="D93" s="372"/>
      <c r="E93" s="372"/>
      <c r="F93" s="373">
        <f>SumByColor($A$19,F76:F91)</f>
        <v>0</v>
      </c>
      <c r="G93" s="372"/>
      <c r="H93" s="372">
        <f>SumByColor($A$19,H76:H91)</f>
        <v>0</v>
      </c>
      <c r="I93" s="372"/>
      <c r="J93" s="372"/>
      <c r="K93" s="373">
        <f>SumByColor($A$19,K76:K91)</f>
        <v>0</v>
      </c>
      <c r="L93" s="372"/>
      <c r="M93" s="373">
        <f>SumByColor($A$19,M76:M91)</f>
        <v>0</v>
      </c>
    </row>
    <row r="102" spans="1:12" x14ac:dyDescent="0.25">
      <c r="A102" s="291"/>
      <c r="B102" s="533"/>
      <c r="C102" s="291"/>
      <c r="D102" s="292"/>
      <c r="E102" s="292"/>
      <c r="F102" s="292"/>
      <c r="G102" s="291"/>
      <c r="H102" s="291"/>
      <c r="I102" s="292"/>
      <c r="J102" s="292"/>
      <c r="K102" s="292"/>
      <c r="L102" s="291"/>
    </row>
    <row r="103" spans="1:12" x14ac:dyDescent="0.25">
      <c r="A103" s="291"/>
      <c r="B103" s="533"/>
      <c r="C103" s="291"/>
      <c r="D103" s="292"/>
      <c r="E103" s="292"/>
      <c r="F103" s="292"/>
      <c r="G103" s="291"/>
      <c r="H103" s="291"/>
      <c r="I103" s="292"/>
      <c r="J103" s="292"/>
      <c r="K103" s="292"/>
      <c r="L103" s="291"/>
    </row>
    <row r="104" spans="1:12" x14ac:dyDescent="0.25">
      <c r="A104" s="291"/>
      <c r="B104" s="531" t="s">
        <v>113</v>
      </c>
      <c r="C104" s="405" t="s">
        <v>143</v>
      </c>
      <c r="D104" s="406" t="s">
        <v>142</v>
      </c>
      <c r="E104" s="407" t="s">
        <v>144</v>
      </c>
      <c r="F104" s="407" t="s">
        <v>65</v>
      </c>
      <c r="G104" s="409" t="s">
        <v>148</v>
      </c>
      <c r="H104" s="409" t="s">
        <v>88</v>
      </c>
      <c r="I104" s="409" t="s">
        <v>151</v>
      </c>
      <c r="J104" s="292"/>
      <c r="K104" s="292"/>
      <c r="L104" s="291"/>
    </row>
    <row r="105" spans="1:12" x14ac:dyDescent="0.25">
      <c r="A105" s="291"/>
      <c r="B105" s="533">
        <v>42622</v>
      </c>
      <c r="C105" s="291">
        <v>20</v>
      </c>
      <c r="D105" s="292">
        <v>118.5</v>
      </c>
      <c r="E105" s="292">
        <v>118.23</v>
      </c>
      <c r="F105" s="292">
        <f t="shared" ref="F105:F117" si="1">C105*(E105-D105)</f>
        <v>-5.3999999999999204</v>
      </c>
      <c r="G105" s="292">
        <f t="shared" ref="G105:G117" si="2">D105*C105</f>
        <v>2370</v>
      </c>
      <c r="H105" s="293">
        <f t="shared" ref="H105:H117" si="3">(E105-D105)/D105</f>
        <v>-2.2784810126581941E-3</v>
      </c>
      <c r="I105" s="292"/>
      <c r="J105" s="292"/>
      <c r="K105" s="292"/>
      <c r="L105" s="291"/>
    </row>
    <row r="106" spans="1:12" x14ac:dyDescent="0.25">
      <c r="A106" s="291"/>
      <c r="B106" s="533">
        <v>42627</v>
      </c>
      <c r="C106" s="291">
        <v>20</v>
      </c>
      <c r="D106" s="292">
        <v>118.5</v>
      </c>
      <c r="E106" s="292">
        <v>117.86</v>
      </c>
      <c r="F106" s="292">
        <f t="shared" si="1"/>
        <v>-12.800000000000011</v>
      </c>
      <c r="G106" s="292">
        <f t="shared" si="2"/>
        <v>2370</v>
      </c>
      <c r="H106" s="293">
        <f t="shared" si="3"/>
        <v>-5.400843881856545E-3</v>
      </c>
      <c r="I106" s="292"/>
      <c r="J106" s="292"/>
      <c r="K106" s="292"/>
      <c r="L106" s="291"/>
    </row>
    <row r="107" spans="1:12" x14ac:dyDescent="0.25">
      <c r="A107" s="291"/>
      <c r="B107" s="533">
        <v>42634</v>
      </c>
      <c r="C107" s="291">
        <v>20</v>
      </c>
      <c r="D107" s="292">
        <v>118.5</v>
      </c>
      <c r="E107" s="292">
        <v>118.91</v>
      </c>
      <c r="F107" s="292">
        <f t="shared" si="1"/>
        <v>8.1999999999999318</v>
      </c>
      <c r="G107" s="292">
        <f t="shared" si="2"/>
        <v>2370</v>
      </c>
      <c r="H107" s="293">
        <f t="shared" si="3"/>
        <v>3.4599156118143171E-3</v>
      </c>
      <c r="I107" s="292"/>
      <c r="J107" s="292"/>
      <c r="K107" s="292"/>
      <c r="L107" s="291"/>
    </row>
    <row r="108" spans="1:12" x14ac:dyDescent="0.25">
      <c r="A108" s="291"/>
      <c r="B108" s="533">
        <v>42651</v>
      </c>
      <c r="C108" s="291">
        <v>20</v>
      </c>
      <c r="D108" s="292">
        <v>118.5</v>
      </c>
      <c r="E108" s="292">
        <v>119.24</v>
      </c>
      <c r="F108" s="292">
        <f t="shared" si="1"/>
        <v>14.799999999999898</v>
      </c>
      <c r="G108" s="292">
        <f t="shared" si="2"/>
        <v>2370</v>
      </c>
      <c r="H108" s="293">
        <f t="shared" si="3"/>
        <v>6.2447257383965813E-3</v>
      </c>
      <c r="I108" s="292"/>
      <c r="J108" s="292"/>
      <c r="K108" s="292"/>
      <c r="L108" s="291"/>
    </row>
    <row r="109" spans="1:12" x14ac:dyDescent="0.25">
      <c r="A109" s="291"/>
      <c r="B109" s="533">
        <v>42664</v>
      </c>
      <c r="C109" s="291">
        <v>20</v>
      </c>
      <c r="D109" s="292">
        <v>118.5</v>
      </c>
      <c r="E109" s="292">
        <v>113.44</v>
      </c>
      <c r="F109" s="292">
        <f t="shared" si="1"/>
        <v>-101.20000000000005</v>
      </c>
      <c r="G109" s="292">
        <f t="shared" si="2"/>
        <v>2370</v>
      </c>
      <c r="H109" s="293">
        <f t="shared" si="3"/>
        <v>-4.2700421940928289E-2</v>
      </c>
      <c r="I109" s="292"/>
      <c r="J109" s="292"/>
      <c r="K109" s="292"/>
      <c r="L109" s="291"/>
    </row>
    <row r="110" spans="1:12" x14ac:dyDescent="0.25">
      <c r="A110" s="291"/>
      <c r="B110" s="533">
        <v>42674</v>
      </c>
      <c r="C110" s="291">
        <v>20</v>
      </c>
      <c r="D110" s="292">
        <v>118.5</v>
      </c>
      <c r="E110" s="292">
        <v>115.99</v>
      </c>
      <c r="F110" s="292">
        <f t="shared" si="1"/>
        <v>-50.200000000000102</v>
      </c>
      <c r="G110" s="292">
        <f t="shared" si="2"/>
        <v>2370</v>
      </c>
      <c r="H110" s="293">
        <f t="shared" si="3"/>
        <v>-2.1181434599156161E-2</v>
      </c>
      <c r="I110" s="292"/>
      <c r="J110" s="292"/>
      <c r="K110" s="292"/>
      <c r="L110" s="291"/>
    </row>
    <row r="111" spans="1:12" x14ac:dyDescent="0.25">
      <c r="A111" s="291"/>
      <c r="B111" s="533">
        <v>42702</v>
      </c>
      <c r="C111" s="291">
        <v>20</v>
      </c>
      <c r="D111" s="292">
        <v>118.5</v>
      </c>
      <c r="E111" s="292">
        <v>114.13</v>
      </c>
      <c r="F111" s="292">
        <f t="shared" si="1"/>
        <v>-87.400000000000091</v>
      </c>
      <c r="G111" s="292">
        <f t="shared" si="2"/>
        <v>2370</v>
      </c>
      <c r="H111" s="293">
        <f t="shared" si="3"/>
        <v>-3.6877637130801728E-2</v>
      </c>
      <c r="I111" s="292"/>
      <c r="J111" s="292"/>
      <c r="K111" s="292"/>
      <c r="L111" s="291"/>
    </row>
    <row r="112" spans="1:12" x14ac:dyDescent="0.25">
      <c r="A112" s="291"/>
      <c r="B112" s="533">
        <v>42704</v>
      </c>
      <c r="C112" s="291">
        <v>30</v>
      </c>
      <c r="D112" s="292">
        <v>116.16</v>
      </c>
      <c r="E112" s="292">
        <v>111.3</v>
      </c>
      <c r="F112" s="292">
        <f t="shared" si="1"/>
        <v>-145.79999999999998</v>
      </c>
      <c r="G112" s="292">
        <f t="shared" si="2"/>
        <v>3484.7999999999997</v>
      </c>
      <c r="H112" s="293">
        <f t="shared" si="3"/>
        <v>-4.1838842975206611E-2</v>
      </c>
      <c r="I112" s="292"/>
      <c r="J112" s="292"/>
      <c r="K112" s="292"/>
      <c r="L112" s="291"/>
    </row>
    <row r="113" spans="1:12" x14ac:dyDescent="0.25">
      <c r="A113" s="291"/>
      <c r="B113" s="533">
        <v>42711</v>
      </c>
      <c r="C113" s="291">
        <v>30</v>
      </c>
      <c r="D113" s="292">
        <v>115.6267</v>
      </c>
      <c r="E113" s="292">
        <v>111.1</v>
      </c>
      <c r="F113" s="292">
        <f t="shared" si="1"/>
        <v>-135.80100000000016</v>
      </c>
      <c r="G113" s="292">
        <f t="shared" si="2"/>
        <v>3468.8009999999999</v>
      </c>
      <c r="H113" s="293">
        <f t="shared" si="3"/>
        <v>-3.9149262237874169E-2</v>
      </c>
      <c r="I113" s="369"/>
      <c r="J113" s="292"/>
      <c r="K113" s="292"/>
      <c r="L113" s="291"/>
    </row>
    <row r="114" spans="1:12" x14ac:dyDescent="0.25">
      <c r="A114" s="291"/>
      <c r="B114" s="533">
        <v>42759</v>
      </c>
      <c r="C114" s="291">
        <v>45</v>
      </c>
      <c r="D114" s="292">
        <v>114.14530000000001</v>
      </c>
      <c r="E114" s="292">
        <v>111.89</v>
      </c>
      <c r="F114" s="292">
        <f t="shared" si="1"/>
        <v>-101.48850000000024</v>
      </c>
      <c r="G114" s="292">
        <f t="shared" si="2"/>
        <v>5136.5385000000006</v>
      </c>
      <c r="H114" s="293">
        <f t="shared" si="3"/>
        <v>-1.9758150357483011E-2</v>
      </c>
      <c r="I114" s="292">
        <v>110</v>
      </c>
      <c r="J114" s="292"/>
      <c r="K114" s="292"/>
      <c r="L114" s="291"/>
    </row>
    <row r="115" spans="1:12" x14ac:dyDescent="0.25">
      <c r="A115" s="291" t="s">
        <v>336</v>
      </c>
      <c r="B115" s="533">
        <v>42760</v>
      </c>
      <c r="C115" s="291">
        <v>30</v>
      </c>
      <c r="D115" s="292">
        <v>114.86799999999999</v>
      </c>
      <c r="E115" s="292">
        <v>112.8</v>
      </c>
      <c r="F115" s="292">
        <f t="shared" si="1"/>
        <v>-62.039999999999935</v>
      </c>
      <c r="G115" s="292">
        <f t="shared" si="2"/>
        <v>3446.04</v>
      </c>
      <c r="H115" s="293">
        <f t="shared" si="3"/>
        <v>-1.8003273322422242E-2</v>
      </c>
      <c r="I115" s="292"/>
      <c r="J115" s="292"/>
      <c r="K115" s="292"/>
      <c r="L115" s="291"/>
    </row>
    <row r="116" spans="1:12" x14ac:dyDescent="0.25">
      <c r="A116" s="291" t="s">
        <v>370</v>
      </c>
      <c r="B116" s="533">
        <v>42761</v>
      </c>
      <c r="C116" s="291">
        <v>30</v>
      </c>
      <c r="D116" s="292">
        <v>114.86799999999999</v>
      </c>
      <c r="E116" s="292">
        <v>113.64</v>
      </c>
      <c r="F116" s="292">
        <f t="shared" si="1"/>
        <v>-36.839999999999833</v>
      </c>
      <c r="G116" s="292">
        <f t="shared" si="2"/>
        <v>3446.04</v>
      </c>
      <c r="H116" s="293">
        <f t="shared" si="3"/>
        <v>-1.0690531740780674E-2</v>
      </c>
      <c r="I116" s="292"/>
      <c r="J116" s="292"/>
      <c r="K116" s="292"/>
      <c r="L116" s="291"/>
    </row>
    <row r="117" spans="1:12" x14ac:dyDescent="0.25">
      <c r="A117" s="291" t="s">
        <v>381</v>
      </c>
      <c r="B117" s="533">
        <v>42776</v>
      </c>
      <c r="C117" s="291">
        <v>15</v>
      </c>
      <c r="D117" s="292">
        <v>114.5587</v>
      </c>
      <c r="E117" s="292">
        <v>115.24</v>
      </c>
      <c r="F117" s="292">
        <f t="shared" si="1"/>
        <v>10.219499999999897</v>
      </c>
      <c r="G117" s="292">
        <f t="shared" si="2"/>
        <v>1718.3805</v>
      </c>
      <c r="H117" s="293">
        <f t="shared" si="3"/>
        <v>5.9471694423906098E-3</v>
      </c>
      <c r="I117" s="292"/>
      <c r="J117" s="292"/>
      <c r="K117" s="292"/>
      <c r="L117" s="291"/>
    </row>
    <row r="118" spans="1:12" x14ac:dyDescent="0.25">
      <c r="A118" s="291"/>
      <c r="B118" s="533">
        <v>42796</v>
      </c>
      <c r="C118" s="291">
        <v>0</v>
      </c>
      <c r="D118" s="292"/>
      <c r="E118" s="292"/>
      <c r="F118" s="292">
        <v>142.78</v>
      </c>
      <c r="G118" s="292"/>
      <c r="H118" s="293"/>
      <c r="I118" s="292"/>
      <c r="J118" s="292"/>
      <c r="K118" s="292"/>
      <c r="L118" s="291"/>
    </row>
    <row r="119" spans="1:12" x14ac:dyDescent="0.25">
      <c r="A119" s="291"/>
      <c r="B119" s="533"/>
      <c r="C119" s="291"/>
      <c r="D119" s="292"/>
      <c r="E119" s="292"/>
      <c r="F119" s="292"/>
      <c r="G119" s="292"/>
      <c r="H119" s="293"/>
      <c r="I119" s="292"/>
      <c r="J119" s="292"/>
      <c r="K119" s="292"/>
      <c r="L119" s="291"/>
    </row>
    <row r="120" spans="1:12" x14ac:dyDescent="0.25">
      <c r="A120" s="291"/>
      <c r="B120" s="533"/>
      <c r="C120" s="291"/>
      <c r="D120" s="292"/>
      <c r="E120" s="292"/>
      <c r="F120" s="292"/>
      <c r="G120" s="292"/>
      <c r="H120" s="293"/>
      <c r="I120" s="292"/>
      <c r="J120" s="292"/>
      <c r="K120" s="292"/>
      <c r="L120" s="291"/>
    </row>
    <row r="121" spans="1:12" x14ac:dyDescent="0.25">
      <c r="A121" s="291"/>
      <c r="B121" s="533"/>
      <c r="C121" s="291"/>
      <c r="D121" s="292"/>
      <c r="E121" s="292"/>
      <c r="F121" s="292"/>
      <c r="G121" s="292"/>
      <c r="H121" s="293"/>
      <c r="I121" s="292"/>
      <c r="J121" s="292"/>
      <c r="K121" s="292"/>
      <c r="L121" s="291"/>
    </row>
    <row r="122" spans="1:12" x14ac:dyDescent="0.25">
      <c r="A122" s="291"/>
      <c r="B122" s="533"/>
      <c r="C122" s="291"/>
      <c r="D122" s="292"/>
      <c r="E122" s="292"/>
      <c r="F122" s="292"/>
      <c r="G122" s="292"/>
      <c r="H122" s="293"/>
      <c r="I122" s="292"/>
      <c r="J122" s="292"/>
      <c r="K122" s="292"/>
      <c r="L122" s="291"/>
    </row>
    <row r="123" spans="1:12" x14ac:dyDescent="0.25">
      <c r="A123" s="291"/>
      <c r="B123" s="533"/>
      <c r="C123" s="291"/>
      <c r="D123" s="292"/>
      <c r="E123" s="292"/>
      <c r="F123" s="292"/>
      <c r="G123" s="292"/>
      <c r="H123" s="293"/>
      <c r="I123" s="292"/>
      <c r="J123" s="292"/>
      <c r="K123" s="292"/>
      <c r="L123" s="291"/>
    </row>
    <row r="124" spans="1:12" x14ac:dyDescent="0.25">
      <c r="A124" s="291"/>
      <c r="B124" s="533"/>
      <c r="C124" s="291"/>
      <c r="D124" s="292"/>
      <c r="E124" s="292"/>
      <c r="F124" s="292"/>
      <c r="G124" s="292"/>
      <c r="H124" s="293"/>
      <c r="I124" s="292"/>
      <c r="J124" s="292"/>
      <c r="K124" s="292"/>
      <c r="L124" s="291"/>
    </row>
    <row r="125" spans="1:12" x14ac:dyDescent="0.25">
      <c r="A125" s="291"/>
      <c r="B125" s="533"/>
      <c r="C125" s="291"/>
      <c r="D125" s="292"/>
      <c r="E125" s="292"/>
      <c r="F125" s="292"/>
      <c r="G125" s="292"/>
      <c r="H125" s="293"/>
      <c r="I125" s="292"/>
      <c r="J125" s="292"/>
      <c r="K125" s="292"/>
      <c r="L125" s="291"/>
    </row>
    <row r="126" spans="1:12" x14ac:dyDescent="0.25">
      <c r="A126" s="291"/>
      <c r="B126" s="533"/>
      <c r="C126" s="291"/>
      <c r="D126" s="292"/>
      <c r="E126" s="292"/>
      <c r="F126" s="292"/>
      <c r="G126" s="292"/>
      <c r="H126" s="293"/>
      <c r="I126" s="292"/>
      <c r="J126" s="292"/>
      <c r="K126" s="292"/>
      <c r="L126" s="291"/>
    </row>
    <row r="127" spans="1:12" x14ac:dyDescent="0.25">
      <c r="A127" s="291"/>
      <c r="B127" s="533"/>
      <c r="C127" s="291"/>
      <c r="D127" s="292"/>
      <c r="E127" s="292"/>
      <c r="F127" s="292"/>
      <c r="G127" s="292"/>
      <c r="H127" s="293"/>
      <c r="I127" s="369"/>
      <c r="J127" s="292"/>
      <c r="K127" s="292"/>
      <c r="L127" s="291"/>
    </row>
    <row r="128" spans="1:12" x14ac:dyDescent="0.25">
      <c r="A128" s="291"/>
      <c r="B128" s="533"/>
      <c r="C128" s="291"/>
      <c r="D128" s="292"/>
      <c r="E128" s="292"/>
      <c r="F128" s="292"/>
      <c r="G128" s="292"/>
      <c r="H128" s="293"/>
      <c r="I128" s="292"/>
      <c r="J128" s="292"/>
      <c r="K128" s="292"/>
      <c r="L128" s="291"/>
    </row>
    <row r="129" spans="1:12" x14ac:dyDescent="0.25">
      <c r="A129" s="291"/>
      <c r="B129" s="533"/>
      <c r="C129" s="291"/>
      <c r="D129" s="292"/>
      <c r="E129" s="292"/>
      <c r="F129" s="292"/>
      <c r="G129" s="292"/>
      <c r="H129" s="293"/>
      <c r="I129" s="292"/>
      <c r="J129" s="292"/>
      <c r="K129" s="292"/>
      <c r="L129" s="291"/>
    </row>
    <row r="130" spans="1:12" x14ac:dyDescent="0.25">
      <c r="A130" s="291"/>
      <c r="B130" s="533"/>
      <c r="C130" s="291"/>
      <c r="D130" s="292"/>
      <c r="E130" s="292"/>
      <c r="F130" s="292"/>
      <c r="G130" s="292"/>
      <c r="H130" s="293"/>
      <c r="I130" s="292"/>
      <c r="J130" s="292"/>
      <c r="K130" s="292"/>
      <c r="L130" s="291"/>
    </row>
    <row r="131" spans="1:12" x14ac:dyDescent="0.25">
      <c r="A131" s="291"/>
      <c r="B131" s="533"/>
      <c r="C131" s="291"/>
      <c r="D131" s="292"/>
      <c r="E131" s="292"/>
      <c r="F131" s="292"/>
      <c r="G131" s="292"/>
      <c r="H131" s="293"/>
      <c r="I131" s="292"/>
      <c r="J131" s="292"/>
      <c r="K131" s="292"/>
      <c r="L131" s="291"/>
    </row>
    <row r="132" spans="1:12" x14ac:dyDescent="0.25">
      <c r="A132" s="291"/>
      <c r="B132" s="533"/>
      <c r="C132" s="291"/>
      <c r="D132" s="292"/>
      <c r="E132" s="292"/>
      <c r="F132" s="292"/>
      <c r="G132" s="292"/>
      <c r="H132" s="293"/>
      <c r="I132" s="292"/>
      <c r="J132" s="292"/>
      <c r="K132" s="292"/>
      <c r="L132" s="291"/>
    </row>
    <row r="133" spans="1:12" x14ac:dyDescent="0.25">
      <c r="A133" s="291"/>
      <c r="B133" s="533"/>
      <c r="C133" s="291"/>
      <c r="D133" s="292"/>
      <c r="E133" s="292"/>
      <c r="F133" s="292"/>
      <c r="G133" s="292"/>
      <c r="H133" s="293"/>
      <c r="I133" s="292"/>
      <c r="J133" s="292"/>
      <c r="K133" s="292"/>
      <c r="L133" s="291"/>
    </row>
    <row r="134" spans="1:12" x14ac:dyDescent="0.25">
      <c r="A134" s="291"/>
      <c r="B134" s="533"/>
      <c r="C134" s="291"/>
      <c r="D134" s="292"/>
      <c r="E134" s="292"/>
      <c r="F134" s="292"/>
      <c r="G134" s="292"/>
      <c r="H134" s="293"/>
      <c r="I134" s="292"/>
      <c r="J134" s="292"/>
      <c r="K134" s="292"/>
      <c r="L134" s="291"/>
    </row>
    <row r="135" spans="1:12" x14ac:dyDescent="0.25">
      <c r="A135" s="291"/>
      <c r="B135" s="533"/>
      <c r="C135" s="291"/>
      <c r="D135" s="292"/>
      <c r="E135" s="292"/>
      <c r="F135" s="292"/>
      <c r="G135" s="292"/>
      <c r="H135" s="293"/>
      <c r="I135" s="292"/>
      <c r="J135" s="292"/>
      <c r="K135" s="292"/>
      <c r="L135" s="291"/>
    </row>
    <row r="136" spans="1:12" x14ac:dyDescent="0.25">
      <c r="A136" s="291"/>
      <c r="B136" s="533"/>
      <c r="C136" s="291"/>
      <c r="D136" s="292"/>
      <c r="E136" s="292"/>
      <c r="F136" s="292"/>
      <c r="G136" s="292"/>
      <c r="H136" s="293"/>
      <c r="I136" s="292"/>
      <c r="J136" s="292"/>
      <c r="K136" s="292"/>
      <c r="L136" s="291"/>
    </row>
    <row r="137" spans="1:12" x14ac:dyDescent="0.25">
      <c r="A137" s="291"/>
      <c r="B137" s="533"/>
      <c r="C137" s="291"/>
      <c r="D137" s="292"/>
      <c r="E137" s="292"/>
      <c r="F137" s="292"/>
      <c r="G137" s="292"/>
      <c r="H137" s="293"/>
      <c r="I137" s="292"/>
      <c r="J137" s="292"/>
      <c r="K137" s="292"/>
      <c r="L137" s="291"/>
    </row>
    <row r="138" spans="1:12" x14ac:dyDescent="0.25">
      <c r="A138" s="291"/>
      <c r="B138" s="533"/>
      <c r="C138" s="291"/>
      <c r="D138" s="292"/>
      <c r="E138" s="292"/>
      <c r="F138" s="292"/>
      <c r="G138" s="292"/>
      <c r="H138" s="293"/>
      <c r="I138" s="292"/>
      <c r="J138" s="292"/>
      <c r="K138" s="292"/>
      <c r="L138" s="291"/>
    </row>
    <row r="139" spans="1:12" x14ac:dyDescent="0.25">
      <c r="A139" s="291"/>
      <c r="B139" s="533"/>
      <c r="C139" s="291"/>
      <c r="D139" s="292"/>
      <c r="E139" s="292"/>
      <c r="F139" s="292"/>
      <c r="G139" s="292"/>
      <c r="H139" s="293"/>
      <c r="I139" s="292"/>
      <c r="J139" s="292"/>
      <c r="K139" s="292"/>
      <c r="L139" s="291"/>
    </row>
    <row r="140" spans="1:12" x14ac:dyDescent="0.25">
      <c r="A140" s="291"/>
      <c r="B140" s="533"/>
      <c r="C140" s="291"/>
      <c r="D140" s="292"/>
      <c r="E140" s="292"/>
      <c r="F140" s="292"/>
      <c r="G140" s="292"/>
      <c r="H140" s="293"/>
      <c r="I140" s="292"/>
      <c r="J140" s="292"/>
      <c r="K140" s="292"/>
      <c r="L140" s="291"/>
    </row>
    <row r="141" spans="1:12" x14ac:dyDescent="0.25">
      <c r="A141" s="291"/>
      <c r="B141" s="533"/>
      <c r="C141" s="291"/>
      <c r="D141" s="292"/>
      <c r="E141" s="292"/>
      <c r="F141" s="292"/>
      <c r="G141" s="292"/>
      <c r="H141" s="293"/>
      <c r="I141" s="292"/>
      <c r="J141" s="292"/>
      <c r="K141" s="292"/>
      <c r="L141" s="291"/>
    </row>
    <row r="142" spans="1:12" x14ac:dyDescent="0.25">
      <c r="A142" s="291"/>
      <c r="B142" s="533"/>
      <c r="C142" s="291"/>
      <c r="D142" s="292"/>
      <c r="E142" s="292"/>
      <c r="F142" s="292"/>
      <c r="G142" s="292"/>
      <c r="H142" s="293"/>
      <c r="I142" s="292"/>
      <c r="J142" s="292"/>
      <c r="K142" s="292"/>
      <c r="L142" s="291"/>
    </row>
    <row r="143" spans="1:12" x14ac:dyDescent="0.25">
      <c r="A143" s="291"/>
      <c r="B143" s="533"/>
      <c r="C143" s="291"/>
      <c r="D143" s="292"/>
      <c r="E143" s="292"/>
      <c r="F143" s="292"/>
      <c r="G143" s="292"/>
      <c r="H143" s="293"/>
      <c r="I143" s="292"/>
      <c r="J143" s="292"/>
      <c r="K143" s="292"/>
      <c r="L143" s="291"/>
    </row>
    <row r="144" spans="1:12" x14ac:dyDescent="0.25">
      <c r="A144" s="291"/>
      <c r="B144" s="533"/>
      <c r="C144" s="291"/>
      <c r="D144" s="292"/>
      <c r="E144" s="292"/>
      <c r="F144" s="292"/>
      <c r="G144" s="292"/>
      <c r="H144" s="293"/>
      <c r="I144" s="292"/>
      <c r="J144" s="292"/>
      <c r="K144" s="292"/>
      <c r="L144" s="291"/>
    </row>
    <row r="145" spans="1:12" x14ac:dyDescent="0.25">
      <c r="A145" s="291"/>
      <c r="B145" s="533"/>
      <c r="C145" s="291"/>
      <c r="D145" s="292"/>
      <c r="E145" s="292"/>
      <c r="F145" s="292"/>
      <c r="G145" s="292"/>
      <c r="H145" s="293"/>
      <c r="I145" s="292"/>
      <c r="J145" s="292"/>
      <c r="K145" s="292"/>
      <c r="L145" s="291"/>
    </row>
    <row r="146" spans="1:12" x14ac:dyDescent="0.25">
      <c r="A146" s="291"/>
      <c r="B146" s="533"/>
      <c r="C146" s="291"/>
      <c r="D146" s="292"/>
      <c r="E146" s="292"/>
      <c r="F146" s="292"/>
      <c r="G146" s="292"/>
      <c r="H146" s="293"/>
      <c r="I146" s="292"/>
      <c r="J146" s="292"/>
      <c r="K146" s="292"/>
      <c r="L146" s="291"/>
    </row>
    <row r="147" spans="1:12" x14ac:dyDescent="0.25">
      <c r="A147" s="291"/>
      <c r="B147" s="533"/>
      <c r="C147" s="291"/>
      <c r="D147" s="292"/>
      <c r="E147" s="292"/>
      <c r="F147" s="292"/>
      <c r="G147" s="292"/>
      <c r="H147" s="293"/>
      <c r="I147" s="292"/>
      <c r="J147" s="292"/>
      <c r="K147" s="292"/>
      <c r="L147" s="291"/>
    </row>
    <row r="148" spans="1:12" x14ac:dyDescent="0.25">
      <c r="A148" s="291"/>
      <c r="B148" s="533"/>
      <c r="C148" s="291"/>
      <c r="D148" s="292"/>
      <c r="E148" s="292"/>
      <c r="F148" s="292"/>
      <c r="G148" s="292"/>
      <c r="H148" s="293"/>
      <c r="I148" s="292"/>
      <c r="J148" s="292"/>
      <c r="K148" s="292"/>
      <c r="L148" s="291"/>
    </row>
    <row r="149" spans="1:12" x14ac:dyDescent="0.25">
      <c r="A149" s="291"/>
      <c r="B149" s="533"/>
      <c r="C149" s="291"/>
      <c r="D149" s="292"/>
      <c r="E149" s="292"/>
      <c r="F149" s="292"/>
      <c r="G149" s="292"/>
      <c r="H149" s="293"/>
      <c r="I149" s="292"/>
      <c r="J149" s="292"/>
      <c r="K149" s="292"/>
      <c r="L149" s="291"/>
    </row>
    <row r="150" spans="1:12" x14ac:dyDescent="0.25">
      <c r="A150" s="291"/>
      <c r="B150" s="533"/>
      <c r="C150" s="291"/>
      <c r="D150" s="292"/>
      <c r="E150" s="292"/>
      <c r="F150" s="292"/>
      <c r="G150" s="291"/>
      <c r="H150" s="291"/>
      <c r="I150" s="292"/>
      <c r="J150" s="292"/>
      <c r="K150" s="292"/>
      <c r="L150" s="291"/>
    </row>
    <row r="151" spans="1:12" x14ac:dyDescent="0.25">
      <c r="A151" s="291"/>
      <c r="B151" s="533"/>
      <c r="C151" s="291"/>
      <c r="D151" s="292"/>
      <c r="E151" s="292"/>
      <c r="F151" s="292"/>
      <c r="G151" s="291"/>
      <c r="H151" s="291"/>
      <c r="I151" s="292"/>
      <c r="J151" s="292"/>
      <c r="K151" s="292"/>
      <c r="L151" s="291"/>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H30:H69 F30:F69">
    <cfRule type="expression" dxfId="2779" priority="25">
      <formula>F30&gt;0</formula>
    </cfRule>
    <cfRule type="expression" dxfId="2778" priority="26">
      <formula>F30&lt;0</formula>
    </cfRule>
  </conditionalFormatting>
  <conditionalFormatting sqref="Q7">
    <cfRule type="expression" dxfId="2777" priority="23">
      <formula>Q7&gt;0</formula>
    </cfRule>
    <cfRule type="expression" dxfId="2776" priority="24">
      <formula>Q7&lt;0</formula>
    </cfRule>
  </conditionalFormatting>
  <conditionalFormatting sqref="Q8">
    <cfRule type="expression" dxfId="2775" priority="21">
      <formula>Q8&gt;0</formula>
    </cfRule>
    <cfRule type="expression" dxfId="2774" priority="22">
      <formula>Q8&lt;0</formula>
    </cfRule>
  </conditionalFormatting>
  <conditionalFormatting sqref="M74">
    <cfRule type="expression" dxfId="2773" priority="15">
      <formula>M74&gt;0</formula>
    </cfRule>
    <cfRule type="expression" dxfId="2772" priority="16">
      <formula>M74&lt;0</formula>
    </cfRule>
  </conditionalFormatting>
  <conditionalFormatting sqref="F113:F149 H113:H149">
    <cfRule type="expression" dxfId="2771" priority="13">
      <formula>F113&gt;0</formula>
    </cfRule>
    <cfRule type="expression" dxfId="2770" priority="14">
      <formula>F113&lt;0</formula>
    </cfRule>
  </conditionalFormatting>
  <conditionalFormatting sqref="F105:F112">
    <cfRule type="expression" dxfId="2769" priority="11">
      <formula>F105&gt;0</formula>
    </cfRule>
    <cfRule type="expression" dxfId="2768" priority="12">
      <formula>F105&lt;0</formula>
    </cfRule>
  </conditionalFormatting>
  <conditionalFormatting sqref="H105:H112">
    <cfRule type="expression" dxfId="2767" priority="9">
      <formula>H105&gt;0</formula>
    </cfRule>
    <cfRule type="expression" dxfId="2766" priority="10">
      <formula>H105&lt;0</formula>
    </cfRule>
  </conditionalFormatting>
  <conditionalFormatting sqref="Q10">
    <cfRule type="expression" dxfId="2765" priority="7">
      <formula>Q10&gt;0</formula>
    </cfRule>
    <cfRule type="expression" dxfId="2764" priority="8">
      <formula>Q10&lt;0</formula>
    </cfRule>
  </conditionalFormatting>
  <conditionalFormatting sqref="F25:F29">
    <cfRule type="expression" dxfId="2763" priority="5">
      <formula>F25&gt;0</formula>
    </cfRule>
    <cfRule type="expression" dxfId="2762" priority="6">
      <formula>F25&lt;0</formula>
    </cfRule>
  </conditionalFormatting>
  <conditionalFormatting sqref="H25:H29">
    <cfRule type="expression" dxfId="2761" priority="3">
      <formula>H25&gt;0</formula>
    </cfRule>
    <cfRule type="expression" dxfId="2760" priority="4">
      <formula>H25&lt;0</formula>
    </cfRule>
  </conditionalFormatting>
  <conditionalFormatting sqref="J26:J35">
    <cfRule type="expression" dxfId="2759" priority="1">
      <formula>J26&gt;0</formula>
    </cfRule>
    <cfRule type="expression" dxfId="2758" priority="2">
      <formula>J26&lt;0</formula>
    </cfRule>
  </conditionalFormatting>
  <hyperlinks>
    <hyperlink ref="A3" location="ACTIVE!A1" display="Back"/>
    <hyperlink ref="A77" location="ACTIVE!A1" display="Back"/>
  </hyperlinks>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5"/>
  <dimension ref="A1:W115"/>
  <sheetViews>
    <sheetView workbookViewId="0">
      <pane ySplit="1" topLeftCell="A2" activePane="bottomLeft" state="frozen"/>
      <selection activeCell="M34" sqref="M34"/>
      <selection pane="bottomLeft" activeCell="A3" sqref="A3"/>
    </sheetView>
  </sheetViews>
  <sheetFormatPr defaultRowHeight="15" x14ac:dyDescent="0.25"/>
  <cols>
    <col min="1" max="2" width="9.7109375" bestFit="1" customWidth="1"/>
    <col min="4" max="5" width="9.140625" style="2"/>
    <col min="6" max="6" width="9.85546875" style="2" bestFit="1" customWidth="1"/>
    <col min="7" max="7" width="10.7109375" bestFit="1" customWidth="1"/>
    <col min="9" max="11" width="9.140625" style="2"/>
    <col min="12" max="12" width="17.28515625" bestFit="1" customWidth="1"/>
    <col min="17" max="17" width="12" bestFit="1" customWidth="1"/>
    <col min="18" max="18" width="10.7109375" bestFit="1" customWidth="1"/>
    <col min="20" max="20" width="13.7109375" customWidth="1"/>
    <col min="21" max="21" width="128.855468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757</v>
      </c>
      <c r="B2" s="397">
        <v>43697</v>
      </c>
      <c r="C2" s="7">
        <v>50</v>
      </c>
      <c r="D2" s="43">
        <v>90.08</v>
      </c>
      <c r="E2" s="43">
        <v>0</v>
      </c>
      <c r="F2" s="43">
        <f>C2*D2+E2</f>
        <v>4504</v>
      </c>
      <c r="G2" s="397">
        <v>43753</v>
      </c>
      <c r="H2" s="7">
        <v>50</v>
      </c>
      <c r="I2" s="43">
        <v>104</v>
      </c>
      <c r="J2" s="43">
        <v>0.11</v>
      </c>
      <c r="K2" s="43">
        <f>H2*I2-J2</f>
        <v>5199.8900000000003</v>
      </c>
      <c r="L2" s="69"/>
      <c r="M2" s="3"/>
      <c r="O2" s="11" t="s">
        <v>57</v>
      </c>
      <c r="Q2">
        <f>C18-H18</f>
        <v>0</v>
      </c>
      <c r="T2" s="1">
        <v>43119</v>
      </c>
      <c r="U2" t="s">
        <v>832</v>
      </c>
      <c r="W2" s="131"/>
    </row>
    <row r="3" spans="1:23" x14ac:dyDescent="0.25">
      <c r="A3" s="22" t="s">
        <v>71</v>
      </c>
      <c r="B3" s="398"/>
      <c r="C3" s="4"/>
      <c r="D3" s="3"/>
      <c r="E3" s="3"/>
      <c r="F3" s="3"/>
      <c r="G3" s="398"/>
      <c r="H3" s="158"/>
      <c r="I3" s="3"/>
      <c r="J3" s="3"/>
      <c r="K3" s="3"/>
      <c r="L3" s="69"/>
      <c r="M3" s="3"/>
      <c r="O3" s="11" t="s">
        <v>58</v>
      </c>
      <c r="Q3" s="174">
        <f>IF(Q2=0, Q4, (F18-K18-M18)/Q2)</f>
        <v>103.62</v>
      </c>
      <c r="T3" s="1"/>
      <c r="U3" t="s">
        <v>833</v>
      </c>
      <c r="W3" s="131"/>
    </row>
    <row r="4" spans="1:23" x14ac:dyDescent="0.25">
      <c r="B4" s="398"/>
      <c r="C4" s="4"/>
      <c r="D4" s="3"/>
      <c r="E4" s="3"/>
      <c r="F4" s="3"/>
      <c r="G4" s="398"/>
      <c r="H4" s="158"/>
      <c r="I4" s="3"/>
      <c r="J4" s="3"/>
      <c r="K4" s="3"/>
      <c r="L4" s="69"/>
      <c r="M4" s="3"/>
      <c r="O4" s="11" t="s">
        <v>66</v>
      </c>
      <c r="Q4" s="53">
        <v>103.62</v>
      </c>
      <c r="R4" s="416">
        <v>2.1000000000000001E-2</v>
      </c>
      <c r="T4" s="1"/>
      <c r="U4" t="s">
        <v>834</v>
      </c>
      <c r="W4" s="131"/>
    </row>
    <row r="5" spans="1:23" x14ac:dyDescent="0.25">
      <c r="B5" s="398"/>
      <c r="C5" s="4"/>
      <c r="D5" s="3"/>
      <c r="E5" s="3"/>
      <c r="F5" s="3"/>
      <c r="G5" s="398"/>
      <c r="H5" s="158"/>
      <c r="I5" s="3"/>
      <c r="J5" s="3"/>
      <c r="K5" s="3"/>
      <c r="L5" s="69"/>
      <c r="M5" s="3"/>
      <c r="O5" s="11" t="s">
        <v>67</v>
      </c>
      <c r="Q5" s="3">
        <f>Q4*Q2</f>
        <v>0</v>
      </c>
      <c r="W5" s="131"/>
    </row>
    <row r="6" spans="1:23" x14ac:dyDescent="0.25">
      <c r="B6" s="398"/>
      <c r="C6" s="4"/>
      <c r="D6" s="3"/>
      <c r="E6" s="3"/>
      <c r="F6" s="3"/>
      <c r="G6" s="398"/>
      <c r="H6" s="158"/>
      <c r="I6" s="3"/>
      <c r="J6" s="3"/>
      <c r="K6" s="3"/>
      <c r="L6" s="4"/>
      <c r="M6" s="4"/>
      <c r="O6" s="11" t="s">
        <v>64</v>
      </c>
      <c r="Q6" s="2">
        <f>Q3*Q2</f>
        <v>0</v>
      </c>
      <c r="U6" t="s">
        <v>835</v>
      </c>
      <c r="W6" s="131"/>
    </row>
    <row r="7" spans="1:23" x14ac:dyDescent="0.25">
      <c r="B7" s="398"/>
      <c r="C7" s="4"/>
      <c r="D7" s="3"/>
      <c r="E7" s="3"/>
      <c r="F7" s="3"/>
      <c r="G7" s="398"/>
      <c r="H7" s="158"/>
      <c r="I7" s="3"/>
      <c r="J7" s="3"/>
      <c r="K7" s="3"/>
      <c r="L7" s="4"/>
      <c r="M7" s="4"/>
      <c r="O7" s="11" t="s">
        <v>175</v>
      </c>
      <c r="Q7" s="2">
        <f>Q10+Q8</f>
        <v>1673.0599999999986</v>
      </c>
      <c r="R7">
        <v>0</v>
      </c>
      <c r="W7" s="131"/>
    </row>
    <row r="8" spans="1:23" x14ac:dyDescent="0.25">
      <c r="B8" s="398"/>
      <c r="C8" s="4"/>
      <c r="D8" s="3"/>
      <c r="E8" s="3"/>
      <c r="F8" s="3"/>
      <c r="G8" s="398"/>
      <c r="H8" s="158"/>
      <c r="I8" s="3"/>
      <c r="J8" s="3"/>
      <c r="K8" s="3"/>
      <c r="L8" s="4"/>
      <c r="M8" s="4"/>
      <c r="O8" s="11" t="s">
        <v>177</v>
      </c>
      <c r="P8" s="33"/>
      <c r="Q8" s="2">
        <f>K18+M18-F18+Q2*Q4</f>
        <v>695.89000000000033</v>
      </c>
      <c r="W8" s="131"/>
    </row>
    <row r="9" spans="1:23" x14ac:dyDescent="0.25">
      <c r="B9" s="398"/>
      <c r="C9" s="4"/>
      <c r="D9" s="3"/>
      <c r="E9" s="3"/>
      <c r="F9" s="3"/>
      <c r="G9" s="398"/>
      <c r="H9" s="158"/>
      <c r="I9" s="3"/>
      <c r="J9" s="3"/>
      <c r="K9" s="3"/>
      <c r="L9" s="4"/>
      <c r="M9" s="4"/>
      <c r="O9" s="11" t="s">
        <v>202</v>
      </c>
      <c r="Q9" s="131">
        <f>IF(Q2=0, 0, Q8/Q6)</f>
        <v>0</v>
      </c>
      <c r="T9" s="1">
        <v>43203</v>
      </c>
      <c r="U9" t="s">
        <v>932</v>
      </c>
      <c r="W9" s="131"/>
    </row>
    <row r="10" spans="1:23" x14ac:dyDescent="0.25">
      <c r="B10" s="29"/>
      <c r="G10" s="29"/>
      <c r="H10" s="67"/>
      <c r="O10" s="11" t="s">
        <v>201</v>
      </c>
      <c r="P10" s="33"/>
      <c r="Q10" s="2">
        <f>M66</f>
        <v>977.16999999999825</v>
      </c>
      <c r="U10" t="s">
        <v>931</v>
      </c>
      <c r="W10" s="131"/>
    </row>
    <row r="11" spans="1:23" x14ac:dyDescent="0.25">
      <c r="B11" s="29"/>
      <c r="G11" s="29"/>
      <c r="H11" s="67"/>
      <c r="O11" s="11" t="s">
        <v>173</v>
      </c>
      <c r="P11" s="33"/>
      <c r="Q11" s="131">
        <f>R11*4/Q4</f>
        <v>6.5624396834587919E-3</v>
      </c>
      <c r="R11">
        <v>0.17</v>
      </c>
      <c r="W11" s="131"/>
    </row>
    <row r="12" spans="1:23" x14ac:dyDescent="0.25">
      <c r="B12" s="29"/>
      <c r="G12" s="29"/>
      <c r="H12" s="67"/>
      <c r="O12" s="11" t="s">
        <v>923</v>
      </c>
      <c r="Q12" s="1" t="s">
        <v>1306</v>
      </c>
      <c r="W12" s="131"/>
    </row>
    <row r="13" spans="1:23" x14ac:dyDescent="0.25">
      <c r="B13" s="29"/>
      <c r="G13" s="29"/>
      <c r="H13" s="67"/>
      <c r="O13" s="11" t="s">
        <v>901</v>
      </c>
      <c r="Q13" s="2">
        <f>Q4/4.75</f>
        <v>21.814736842105265</v>
      </c>
      <c r="W13" s="131"/>
    </row>
    <row r="14" spans="1:23" x14ac:dyDescent="0.25">
      <c r="B14" s="29"/>
      <c r="G14" s="29"/>
      <c r="H14" s="67"/>
      <c r="O14" s="11" t="s">
        <v>988</v>
      </c>
      <c r="T14" s="1">
        <v>43294</v>
      </c>
      <c r="U14" t="s">
        <v>1119</v>
      </c>
      <c r="W14" s="131"/>
    </row>
    <row r="15" spans="1:23" x14ac:dyDescent="0.25">
      <c r="B15" s="29"/>
      <c r="G15" s="29"/>
      <c r="H15" s="67"/>
      <c r="W15" s="131"/>
    </row>
    <row r="16" spans="1:23" x14ac:dyDescent="0.25">
      <c r="B16" s="29"/>
      <c r="G16" s="29"/>
      <c r="H16" s="67"/>
      <c r="W16" s="131"/>
    </row>
    <row r="17" spans="1:23" x14ac:dyDescent="0.25">
      <c r="B17" s="29"/>
      <c r="G17" s="29"/>
      <c r="W17" s="131"/>
    </row>
    <row r="18" spans="1:23" ht="20.25" thickBot="1" x14ac:dyDescent="0.35">
      <c r="A18" s="31" t="s">
        <v>81</v>
      </c>
      <c r="B18" s="14"/>
      <c r="C18" s="14">
        <f>SUM(C2:C17)</f>
        <v>50</v>
      </c>
      <c r="D18" s="18"/>
      <c r="E18" s="18"/>
      <c r="F18" s="18">
        <f>SUM(F2:F6)</f>
        <v>4504</v>
      </c>
      <c r="G18" s="14"/>
      <c r="H18" s="68">
        <f>SUM(H2:H5)</f>
        <v>50</v>
      </c>
      <c r="I18" s="18"/>
      <c r="J18" s="18"/>
      <c r="K18" s="18">
        <f>SUM(K2:K5)</f>
        <v>5199.8900000000003</v>
      </c>
      <c r="L18" s="14"/>
      <c r="M18" s="18">
        <f>SUM(M2:M10)</f>
        <v>0</v>
      </c>
      <c r="O18" s="886" t="s">
        <v>78</v>
      </c>
      <c r="P18" s="886"/>
      <c r="W18" s="131"/>
    </row>
    <row r="19" spans="1:23" ht="16.5" thickTop="1" thickBot="1" x14ac:dyDescent="0.3">
      <c r="A19" s="273" t="s">
        <v>189</v>
      </c>
      <c r="B19" s="274"/>
      <c r="C19" s="275">
        <f>SumByColor($A$19,C2:C17)</f>
        <v>50</v>
      </c>
      <c r="D19" s="275"/>
      <c r="E19" s="275"/>
      <c r="F19" s="276">
        <f>SumByColor($A$19,F2:F17)</f>
        <v>4504</v>
      </c>
      <c r="G19" s="275"/>
      <c r="H19" s="275">
        <f>SumByColor($A$19,H2:H17)</f>
        <v>50</v>
      </c>
      <c r="I19" s="275"/>
      <c r="J19" s="275"/>
      <c r="K19" s="276">
        <f>SumByColor($A$19,K2:K17)</f>
        <v>5200</v>
      </c>
      <c r="L19" s="275"/>
      <c r="M19" s="276">
        <f>SumByColor($A$19,M2:M17)</f>
        <v>0</v>
      </c>
      <c r="O19" s="78">
        <v>1.1000000000000001</v>
      </c>
      <c r="P19" s="78">
        <f>O19*$Q$4</f>
        <v>113.98200000000001</v>
      </c>
      <c r="W19" s="131"/>
    </row>
    <row r="20" spans="1:23" x14ac:dyDescent="0.25">
      <c r="O20" s="78">
        <v>1.0900000000000001</v>
      </c>
      <c r="P20" s="78">
        <f t="shared" ref="P20:P39" si="0">O20*$Q$4</f>
        <v>112.94580000000002</v>
      </c>
      <c r="W20" s="131"/>
    </row>
    <row r="21" spans="1:23" x14ac:dyDescent="0.25">
      <c r="O21" s="78">
        <v>1.08</v>
      </c>
      <c r="P21" s="78">
        <f t="shared" si="0"/>
        <v>111.90960000000001</v>
      </c>
      <c r="W21" s="131"/>
    </row>
    <row r="22" spans="1:23" x14ac:dyDescent="0.25">
      <c r="O22" s="78">
        <v>1.07</v>
      </c>
      <c r="P22" s="78">
        <f t="shared" si="0"/>
        <v>110.87340000000002</v>
      </c>
      <c r="W22" s="131"/>
    </row>
    <row r="23" spans="1:23" x14ac:dyDescent="0.25">
      <c r="O23" s="78">
        <v>1.06</v>
      </c>
      <c r="P23" s="78">
        <f t="shared" si="0"/>
        <v>109.83720000000001</v>
      </c>
      <c r="W23" s="131"/>
    </row>
    <row r="24" spans="1:23" x14ac:dyDescent="0.25">
      <c r="B24" s="159" t="s">
        <v>113</v>
      </c>
      <c r="C24" s="159" t="s">
        <v>143</v>
      </c>
      <c r="D24" s="160" t="s">
        <v>142</v>
      </c>
      <c r="E24" s="162" t="s">
        <v>144</v>
      </c>
      <c r="F24" s="162" t="s">
        <v>65</v>
      </c>
      <c r="G24" s="173" t="s">
        <v>148</v>
      </c>
      <c r="H24" s="173" t="s">
        <v>88</v>
      </c>
      <c r="I24" s="173" t="s">
        <v>151</v>
      </c>
      <c r="J24" s="173" t="s">
        <v>452</v>
      </c>
      <c r="K24" s="173" t="s">
        <v>147</v>
      </c>
      <c r="L24" s="173" t="s">
        <v>901</v>
      </c>
      <c r="O24" s="78">
        <v>1.05</v>
      </c>
      <c r="P24" s="78">
        <f t="shared" si="0"/>
        <v>108.80100000000002</v>
      </c>
      <c r="W24" s="131"/>
    </row>
    <row r="25" spans="1:23" x14ac:dyDescent="0.25">
      <c r="B25" s="161">
        <v>43697</v>
      </c>
      <c r="C25" s="10">
        <v>50</v>
      </c>
      <c r="D25" s="39">
        <v>90.08</v>
      </c>
      <c r="E25" s="39">
        <v>90</v>
      </c>
      <c r="F25" s="39">
        <f t="shared" ref="F25" si="1">C25*(E25-D25)</f>
        <v>-3.9999999999999147</v>
      </c>
      <c r="G25" s="39">
        <f t="shared" ref="G25" si="2">D25*C25</f>
        <v>4504</v>
      </c>
      <c r="H25" s="175">
        <f t="shared" ref="H25" si="3">(E25-D25)/D25</f>
        <v>-8.8809946714030078E-4</v>
      </c>
      <c r="I25" s="39"/>
      <c r="J25" s="39"/>
      <c r="K25" s="39">
        <f>F25+$M$66</f>
        <v>973.16999999999837</v>
      </c>
      <c r="L25" s="39"/>
      <c r="O25" s="78">
        <v>1.04</v>
      </c>
      <c r="P25" s="78">
        <f t="shared" si="0"/>
        <v>107.76480000000001</v>
      </c>
      <c r="W25" s="131"/>
    </row>
    <row r="26" spans="1:23" x14ac:dyDescent="0.25">
      <c r="B26" s="161">
        <v>43753</v>
      </c>
      <c r="C26" s="10">
        <v>0</v>
      </c>
      <c r="D26" s="39">
        <v>90.08</v>
      </c>
      <c r="E26" s="39">
        <v>104</v>
      </c>
      <c r="F26" s="39">
        <v>695.89</v>
      </c>
      <c r="G26" s="39"/>
      <c r="H26" s="175"/>
      <c r="I26" s="39"/>
      <c r="J26" s="39"/>
      <c r="K26" s="39">
        <f>F26+$M$66</f>
        <v>1673.0599999999981</v>
      </c>
      <c r="L26" s="39"/>
      <c r="O26" s="78">
        <v>1.03</v>
      </c>
      <c r="P26" s="78">
        <f t="shared" si="0"/>
        <v>106.72860000000001</v>
      </c>
      <c r="W26" s="131"/>
    </row>
    <row r="27" spans="1:23" x14ac:dyDescent="0.25">
      <c r="B27" s="161"/>
      <c r="C27" s="10"/>
      <c r="D27" s="39"/>
      <c r="E27" s="39"/>
      <c r="F27" s="39"/>
      <c r="G27" s="39"/>
      <c r="H27" s="175"/>
      <c r="I27" s="39"/>
      <c r="J27" s="39"/>
      <c r="K27" s="39"/>
      <c r="L27" s="39"/>
      <c r="O27" s="78">
        <v>1.02</v>
      </c>
      <c r="P27" s="78">
        <f t="shared" si="0"/>
        <v>105.69240000000001</v>
      </c>
      <c r="W27" s="131"/>
    </row>
    <row r="28" spans="1:23" x14ac:dyDescent="0.25">
      <c r="B28" s="161"/>
      <c r="C28" s="10"/>
      <c r="D28" s="39"/>
      <c r="E28" s="39"/>
      <c r="F28" s="39"/>
      <c r="G28" s="39"/>
      <c r="H28" s="175"/>
      <c r="I28" s="39"/>
      <c r="J28" s="39"/>
      <c r="K28" s="39"/>
      <c r="L28" s="39"/>
      <c r="O28" s="78">
        <v>1.01</v>
      </c>
      <c r="P28" s="78">
        <f t="shared" si="0"/>
        <v>104.65620000000001</v>
      </c>
      <c r="W28" s="131"/>
    </row>
    <row r="29" spans="1:23" x14ac:dyDescent="0.25">
      <c r="B29" s="161"/>
      <c r="C29" s="10"/>
      <c r="D29" s="39"/>
      <c r="E29" s="39"/>
      <c r="F29" s="39"/>
      <c r="G29" s="39"/>
      <c r="H29" s="175"/>
      <c r="I29" s="39"/>
      <c r="J29" s="39"/>
      <c r="K29" s="39"/>
      <c r="L29" s="39"/>
      <c r="O29" s="78">
        <v>1</v>
      </c>
      <c r="P29" s="78">
        <f t="shared" si="0"/>
        <v>103.62</v>
      </c>
      <c r="W29" s="131"/>
    </row>
    <row r="30" spans="1:23" x14ac:dyDescent="0.25">
      <c r="B30" s="161"/>
      <c r="C30" s="10"/>
      <c r="D30" s="39"/>
      <c r="E30" s="39"/>
      <c r="F30" s="39"/>
      <c r="G30" s="39"/>
      <c r="H30" s="175"/>
      <c r="I30" s="39"/>
      <c r="J30" s="39"/>
      <c r="K30" s="39"/>
      <c r="L30" s="39"/>
      <c r="O30" s="78">
        <v>0.99</v>
      </c>
      <c r="P30" s="78">
        <f t="shared" si="0"/>
        <v>102.5838</v>
      </c>
      <c r="W30" s="131"/>
    </row>
    <row r="31" spans="1:23" x14ac:dyDescent="0.25">
      <c r="B31" s="161"/>
      <c r="C31" s="10"/>
      <c r="D31" s="39"/>
      <c r="E31" s="39"/>
      <c r="F31" s="39"/>
      <c r="G31" s="39"/>
      <c r="H31" s="175"/>
      <c r="I31" s="39"/>
      <c r="J31" s="39"/>
      <c r="K31" s="39"/>
      <c r="L31" s="39"/>
      <c r="O31" s="78">
        <v>0.98</v>
      </c>
      <c r="P31" s="78">
        <f t="shared" si="0"/>
        <v>101.5476</v>
      </c>
      <c r="W31" s="131"/>
    </row>
    <row r="32" spans="1:23" x14ac:dyDescent="0.25">
      <c r="B32" s="161"/>
      <c r="C32" s="10"/>
      <c r="D32" s="39"/>
      <c r="E32" s="39"/>
      <c r="F32" s="39"/>
      <c r="G32" s="39"/>
      <c r="H32" s="175"/>
      <c r="I32" s="39"/>
      <c r="J32" s="39"/>
      <c r="K32" s="39"/>
      <c r="L32" s="39"/>
      <c r="O32" s="78">
        <v>0.97</v>
      </c>
      <c r="P32" s="78">
        <f t="shared" si="0"/>
        <v>100.51139999999999</v>
      </c>
      <c r="W32" s="131"/>
    </row>
    <row r="33" spans="1:23" x14ac:dyDescent="0.25">
      <c r="A33" s="29"/>
      <c r="B33" s="161"/>
      <c r="C33" s="10"/>
      <c r="D33" s="39"/>
      <c r="E33" s="39"/>
      <c r="F33" s="39"/>
      <c r="G33" s="39"/>
      <c r="H33" s="175"/>
      <c r="I33" s="39"/>
      <c r="J33" s="39"/>
      <c r="K33" s="39"/>
      <c r="L33" s="39"/>
      <c r="O33" s="78">
        <v>0.96</v>
      </c>
      <c r="P33" s="78">
        <f t="shared" si="0"/>
        <v>99.475200000000001</v>
      </c>
      <c r="W33" s="131"/>
    </row>
    <row r="34" spans="1:23" x14ac:dyDescent="0.25">
      <c r="B34" s="161"/>
      <c r="C34" s="10"/>
      <c r="D34" s="39"/>
      <c r="E34" s="39"/>
      <c r="F34" s="39"/>
      <c r="G34" s="39"/>
      <c r="H34" s="175"/>
      <c r="I34" s="39"/>
      <c r="J34" s="39"/>
      <c r="K34" s="39"/>
      <c r="L34" s="39"/>
      <c r="O34" s="78">
        <v>0.95</v>
      </c>
      <c r="P34" s="78">
        <f t="shared" si="0"/>
        <v>98.438999999999993</v>
      </c>
      <c r="W34" s="131"/>
    </row>
    <row r="35" spans="1:23" x14ac:dyDescent="0.25">
      <c r="B35" s="161"/>
      <c r="C35" s="10"/>
      <c r="D35" s="39"/>
      <c r="E35" s="39"/>
      <c r="F35" s="39"/>
      <c r="G35" s="39"/>
      <c r="H35" s="175"/>
      <c r="I35" s="39"/>
      <c r="J35" s="39"/>
      <c r="K35" s="39"/>
      <c r="L35" s="39"/>
      <c r="O35" s="78">
        <v>0.94</v>
      </c>
      <c r="P35" s="78">
        <f t="shared" si="0"/>
        <v>97.402799999999999</v>
      </c>
      <c r="W35" s="131"/>
    </row>
    <row r="36" spans="1:23" x14ac:dyDescent="0.25">
      <c r="B36" s="161"/>
      <c r="C36" s="10"/>
      <c r="D36" s="39"/>
      <c r="E36" s="39"/>
      <c r="F36" s="39"/>
      <c r="G36" s="39"/>
      <c r="H36" s="175"/>
      <c r="I36" s="39"/>
      <c r="J36" s="39"/>
      <c r="K36" s="39"/>
      <c r="L36" s="39"/>
      <c r="O36" s="78">
        <v>0.93</v>
      </c>
      <c r="P36" s="78">
        <f t="shared" si="0"/>
        <v>96.366600000000005</v>
      </c>
      <c r="W36" s="131"/>
    </row>
    <row r="37" spans="1:23" x14ac:dyDescent="0.25">
      <c r="B37" s="161"/>
      <c r="C37" s="10"/>
      <c r="D37" s="39"/>
      <c r="E37" s="39"/>
      <c r="F37" s="39"/>
      <c r="G37" s="39"/>
      <c r="H37" s="175"/>
      <c r="I37" s="39"/>
      <c r="J37" s="39"/>
      <c r="K37" s="39"/>
      <c r="L37" s="39"/>
      <c r="O37" s="78">
        <v>0.92</v>
      </c>
      <c r="P37" s="78">
        <f t="shared" si="0"/>
        <v>95.330400000000012</v>
      </c>
      <c r="W37" s="131"/>
    </row>
    <row r="38" spans="1:23" x14ac:dyDescent="0.25">
      <c r="B38" s="161"/>
      <c r="C38" s="10"/>
      <c r="D38" s="39"/>
      <c r="E38" s="39"/>
      <c r="F38" s="39"/>
      <c r="G38" s="39"/>
      <c r="H38" s="175"/>
      <c r="I38" s="39"/>
      <c r="J38" s="39"/>
      <c r="K38" s="39"/>
      <c r="L38" s="39"/>
      <c r="O38" s="78">
        <v>0.91</v>
      </c>
      <c r="P38" s="78">
        <f t="shared" si="0"/>
        <v>94.294200000000004</v>
      </c>
      <c r="W38" s="131"/>
    </row>
    <row r="39" spans="1:23" x14ac:dyDescent="0.25">
      <c r="B39" s="161"/>
      <c r="C39" s="10"/>
      <c r="D39" s="39"/>
      <c r="E39" s="39"/>
      <c r="F39" s="760"/>
      <c r="G39" s="39"/>
      <c r="H39" s="175"/>
      <c r="I39" s="39"/>
      <c r="J39" s="39"/>
      <c r="K39" s="39"/>
      <c r="L39" s="39"/>
      <c r="O39" s="78">
        <v>0.9</v>
      </c>
      <c r="P39" s="78">
        <f t="shared" si="0"/>
        <v>93.25800000000001</v>
      </c>
      <c r="T39" s="131"/>
    </row>
    <row r="40" spans="1:23" x14ac:dyDescent="0.25">
      <c r="B40" s="161"/>
      <c r="C40" s="10"/>
      <c r="D40" s="39"/>
      <c r="E40" s="39"/>
      <c r="F40" s="760"/>
      <c r="G40" s="39"/>
      <c r="H40" s="175"/>
      <c r="I40" s="39"/>
      <c r="J40" s="39"/>
      <c r="K40" s="39"/>
      <c r="L40" s="39"/>
      <c r="T40" s="131"/>
    </row>
    <row r="41" spans="1:23" x14ac:dyDescent="0.25">
      <c r="B41" s="161"/>
      <c r="C41" s="10"/>
      <c r="D41" s="39"/>
      <c r="E41" s="39"/>
      <c r="F41" s="98"/>
      <c r="G41" s="39"/>
      <c r="H41" s="175"/>
      <c r="I41" s="39"/>
      <c r="J41" s="39"/>
      <c r="K41" s="39"/>
      <c r="L41" s="39"/>
      <c r="Q41" s="2"/>
      <c r="T41" s="131"/>
    </row>
    <row r="42" spans="1:23" x14ac:dyDescent="0.25">
      <c r="B42" s="161"/>
      <c r="C42" s="10"/>
      <c r="D42" s="39"/>
      <c r="E42" s="39"/>
      <c r="F42" s="98"/>
      <c r="G42" s="39"/>
      <c r="H42" s="175"/>
      <c r="I42" s="39"/>
      <c r="J42" s="39"/>
      <c r="K42" s="39"/>
      <c r="L42" s="39"/>
      <c r="Q42" s="2"/>
      <c r="T42" s="131"/>
    </row>
    <row r="43" spans="1:23" x14ac:dyDescent="0.25">
      <c r="B43" s="161"/>
      <c r="C43" s="10"/>
      <c r="D43" s="39"/>
      <c r="E43" s="39"/>
      <c r="F43" s="39"/>
      <c r="G43" s="39"/>
      <c r="H43" s="175"/>
      <c r="I43" s="39"/>
      <c r="J43" s="39"/>
      <c r="K43" s="39"/>
      <c r="L43" s="39"/>
      <c r="Q43" s="2"/>
      <c r="T43" s="131"/>
    </row>
    <row r="44" spans="1:23" x14ac:dyDescent="0.25">
      <c r="B44" s="161"/>
      <c r="C44" s="10"/>
      <c r="D44" s="39"/>
      <c r="E44" s="39"/>
      <c r="F44" s="39"/>
      <c r="G44" s="39"/>
      <c r="H44" s="175"/>
      <c r="I44" s="39"/>
      <c r="J44" s="39"/>
      <c r="K44" s="39"/>
      <c r="L44" s="39"/>
      <c r="Q44" s="2"/>
      <c r="T44" s="131"/>
    </row>
    <row r="45" spans="1:23" x14ac:dyDescent="0.25">
      <c r="B45" s="161"/>
      <c r="C45" s="10"/>
      <c r="D45" s="39"/>
      <c r="E45" s="39"/>
      <c r="F45" s="39"/>
      <c r="G45" s="39"/>
      <c r="H45" s="175"/>
      <c r="I45" s="39"/>
      <c r="J45" s="39"/>
      <c r="K45" s="39"/>
      <c r="L45" s="39"/>
      <c r="Q45" s="2"/>
      <c r="T45" s="131"/>
    </row>
    <row r="46" spans="1:23" x14ac:dyDescent="0.25">
      <c r="B46" s="161"/>
      <c r="C46" s="10"/>
      <c r="D46" s="39"/>
      <c r="E46" s="39"/>
      <c r="F46" s="760"/>
      <c r="G46" s="39"/>
      <c r="H46" s="175"/>
      <c r="I46" s="39"/>
      <c r="J46" s="39"/>
      <c r="K46" s="39"/>
      <c r="L46" s="39"/>
      <c r="Q46" s="2"/>
      <c r="T46" s="131"/>
    </row>
    <row r="47" spans="1:23" x14ac:dyDescent="0.25">
      <c r="B47" s="161"/>
      <c r="C47" s="10"/>
      <c r="D47" s="39"/>
      <c r="E47" s="39"/>
      <c r="F47" s="39"/>
      <c r="G47" s="39"/>
      <c r="H47" s="175"/>
      <c r="I47" s="39"/>
      <c r="J47" s="39"/>
      <c r="K47" s="39"/>
      <c r="L47" s="39"/>
      <c r="Q47" s="2"/>
      <c r="T47" s="131"/>
    </row>
    <row r="48" spans="1:23" x14ac:dyDescent="0.25">
      <c r="B48" s="161"/>
      <c r="C48" s="10"/>
      <c r="D48" s="39"/>
      <c r="E48" s="39"/>
      <c r="F48" s="39"/>
      <c r="G48" s="39"/>
      <c r="H48" s="175"/>
      <c r="I48" s="39"/>
      <c r="J48" s="39"/>
      <c r="K48" s="39"/>
      <c r="L48" s="39"/>
      <c r="Q48" s="2"/>
      <c r="T48" s="131"/>
    </row>
    <row r="49" spans="1:23" x14ac:dyDescent="0.25">
      <c r="B49" s="161"/>
      <c r="C49" s="10"/>
      <c r="D49" s="39"/>
      <c r="E49" s="39"/>
      <c r="F49" s="39"/>
      <c r="G49" s="39"/>
      <c r="H49" s="175"/>
      <c r="I49" s="39"/>
      <c r="J49" s="39"/>
      <c r="K49" s="39"/>
      <c r="L49" s="39"/>
      <c r="Q49" s="2"/>
      <c r="T49" s="131"/>
    </row>
    <row r="50" spans="1:23" x14ac:dyDescent="0.25">
      <c r="B50" s="161"/>
      <c r="C50" s="10"/>
      <c r="D50" s="39"/>
      <c r="E50" s="39"/>
      <c r="F50" s="39"/>
      <c r="G50" s="39"/>
      <c r="H50" s="175"/>
      <c r="I50" s="39"/>
      <c r="J50" s="39"/>
      <c r="K50" s="39"/>
      <c r="L50" s="39"/>
      <c r="Q50" s="2"/>
      <c r="T50" s="131"/>
    </row>
    <row r="51" spans="1:23" x14ac:dyDescent="0.25">
      <c r="B51" s="161"/>
      <c r="C51" s="10"/>
      <c r="D51" s="39"/>
      <c r="E51" s="39"/>
      <c r="F51" s="39"/>
      <c r="G51" s="39"/>
      <c r="H51" s="175"/>
      <c r="I51" s="39"/>
      <c r="J51" s="39"/>
      <c r="K51" s="39"/>
      <c r="L51" s="39"/>
      <c r="Q51" s="2"/>
      <c r="T51" s="131"/>
    </row>
    <row r="52" spans="1:23" x14ac:dyDescent="0.25">
      <c r="B52" s="69"/>
      <c r="C52" s="4"/>
      <c r="D52" s="3"/>
      <c r="E52" s="3"/>
      <c r="F52" s="3"/>
      <c r="G52" s="3"/>
      <c r="H52" s="212"/>
      <c r="I52" s="3"/>
      <c r="Q52" s="2"/>
      <c r="T52" s="131"/>
    </row>
    <row r="53" spans="1:23" x14ac:dyDescent="0.25">
      <c r="B53" s="69"/>
      <c r="C53" s="4"/>
      <c r="D53" s="3"/>
      <c r="E53" s="3"/>
      <c r="F53" s="3"/>
      <c r="G53" s="3"/>
      <c r="H53" s="212"/>
      <c r="I53" s="3"/>
      <c r="Q53" s="2"/>
      <c r="T53" s="131"/>
    </row>
    <row r="54" spans="1:23" x14ac:dyDescent="0.25">
      <c r="A54" s="4"/>
      <c r="B54" s="69"/>
      <c r="C54" s="4"/>
      <c r="D54" s="3"/>
      <c r="E54" s="3"/>
      <c r="F54" s="3"/>
      <c r="G54" s="3"/>
      <c r="H54" s="212"/>
      <c r="I54" s="3"/>
      <c r="J54" s="3"/>
      <c r="K54" s="3"/>
      <c r="L54" s="4"/>
      <c r="T54" s="131"/>
    </row>
    <row r="55" spans="1:23" x14ac:dyDescent="0.25">
      <c r="A55" s="4"/>
      <c r="B55" s="69"/>
      <c r="C55" s="4"/>
      <c r="D55" s="3"/>
      <c r="E55" s="3"/>
      <c r="F55" s="3"/>
      <c r="G55" s="3"/>
      <c r="H55" s="212"/>
      <c r="I55" s="3"/>
      <c r="J55" s="3"/>
      <c r="K55" s="3"/>
      <c r="L55" s="4"/>
      <c r="T55" s="131"/>
    </row>
    <row r="56" spans="1:23" x14ac:dyDescent="0.25">
      <c r="A56" s="4"/>
      <c r="B56" s="69"/>
      <c r="C56" s="4"/>
      <c r="D56" s="3"/>
      <c r="E56" s="3"/>
      <c r="F56" s="3"/>
      <c r="G56" s="3"/>
      <c r="H56" s="212"/>
      <c r="I56" s="3"/>
      <c r="J56" s="3"/>
      <c r="K56" s="3"/>
      <c r="L56" s="4"/>
      <c r="T56" s="131"/>
    </row>
    <row r="57" spans="1:23" x14ac:dyDescent="0.25">
      <c r="A57" s="4"/>
      <c r="B57" s="69"/>
      <c r="C57" s="4"/>
      <c r="D57" s="3"/>
      <c r="E57" s="3"/>
      <c r="F57" s="3"/>
      <c r="G57" s="3"/>
      <c r="H57" s="212"/>
      <c r="I57" s="3"/>
      <c r="J57" s="3"/>
      <c r="K57" s="3"/>
      <c r="L57" s="4"/>
      <c r="T57" s="131"/>
    </row>
    <row r="58" spans="1:23" x14ac:dyDescent="0.25">
      <c r="A58" s="4"/>
      <c r="B58" s="69"/>
      <c r="C58" s="4"/>
      <c r="D58" s="3"/>
      <c r="E58" s="3"/>
      <c r="F58" s="3"/>
      <c r="G58" s="3"/>
      <c r="H58" s="212"/>
      <c r="I58" s="3"/>
      <c r="J58" s="3"/>
      <c r="K58" s="3"/>
      <c r="L58" s="4"/>
      <c r="T58" s="131"/>
    </row>
    <row r="59" spans="1:23" x14ac:dyDescent="0.25">
      <c r="A59" s="4"/>
      <c r="B59" s="69"/>
      <c r="C59" s="4"/>
      <c r="D59" s="3"/>
      <c r="E59" s="3"/>
      <c r="F59" s="3"/>
      <c r="G59" s="3"/>
      <c r="H59" s="212"/>
      <c r="I59" s="3"/>
      <c r="J59" s="3"/>
      <c r="K59" s="3"/>
      <c r="L59" s="4"/>
      <c r="T59" s="131"/>
    </row>
    <row r="60" spans="1:23" x14ac:dyDescent="0.25">
      <c r="A60" s="4"/>
      <c r="B60" s="69"/>
      <c r="C60" s="4"/>
      <c r="D60" s="3"/>
      <c r="E60" s="3"/>
      <c r="F60" s="3"/>
      <c r="G60" s="3"/>
      <c r="H60" s="212"/>
      <c r="I60" s="3"/>
      <c r="J60" s="3"/>
      <c r="K60" s="3"/>
      <c r="L60" s="4"/>
      <c r="W60" s="131"/>
    </row>
    <row r="61" spans="1:23" x14ac:dyDescent="0.25">
      <c r="A61" s="4"/>
      <c r="B61" s="69"/>
      <c r="C61" s="4"/>
      <c r="D61" s="3"/>
      <c r="E61" s="3"/>
      <c r="F61" s="3"/>
      <c r="G61" s="3"/>
      <c r="H61" s="212"/>
      <c r="I61" s="3"/>
      <c r="J61" s="3"/>
      <c r="K61" s="3"/>
      <c r="L61" s="4"/>
      <c r="W61" s="131"/>
    </row>
    <row r="62" spans="1:23" x14ac:dyDescent="0.25">
      <c r="A62" s="4"/>
      <c r="B62" s="69"/>
      <c r="C62" s="4"/>
      <c r="D62" s="3"/>
      <c r="E62" s="3"/>
      <c r="F62" s="3"/>
      <c r="G62" s="3"/>
      <c r="H62" s="212"/>
      <c r="I62" s="3"/>
      <c r="J62" s="3"/>
      <c r="K62" s="3"/>
      <c r="L62" s="4"/>
      <c r="W62" s="131"/>
    </row>
    <row r="63" spans="1:23" x14ac:dyDescent="0.25">
      <c r="A63" s="4"/>
      <c r="B63" s="69"/>
      <c r="C63" s="4"/>
      <c r="D63" s="3"/>
      <c r="E63" s="3"/>
      <c r="F63" s="3"/>
      <c r="G63" s="3"/>
      <c r="H63" s="212"/>
      <c r="I63" s="3"/>
      <c r="J63" s="3"/>
      <c r="K63" s="3"/>
      <c r="L63" s="4"/>
      <c r="W63" s="131"/>
    </row>
    <row r="64" spans="1:23" x14ac:dyDescent="0.25">
      <c r="A64" s="4"/>
      <c r="B64" s="4"/>
      <c r="C64" s="4"/>
      <c r="D64" s="3"/>
      <c r="E64" s="3"/>
      <c r="F64" s="3"/>
      <c r="G64" s="4"/>
      <c r="H64" s="4"/>
      <c r="I64" s="3"/>
      <c r="J64" s="3"/>
      <c r="K64" s="3"/>
      <c r="L64" s="4"/>
      <c r="W64" s="131"/>
    </row>
    <row r="65" spans="1:23" x14ac:dyDescent="0.25">
      <c r="A65" s="4"/>
      <c r="B65" s="4"/>
      <c r="C65" s="4"/>
      <c r="D65" s="3"/>
      <c r="E65" s="3"/>
      <c r="F65" s="3"/>
      <c r="G65" s="4"/>
      <c r="H65" s="4"/>
      <c r="I65" s="3"/>
      <c r="J65" s="3"/>
      <c r="K65" s="3"/>
      <c r="L65" s="4"/>
      <c r="W65" s="131"/>
    </row>
    <row r="66" spans="1:23" x14ac:dyDescent="0.25">
      <c r="A66" s="4"/>
      <c r="B66" s="4"/>
      <c r="C66" s="4"/>
      <c r="D66" s="3"/>
      <c r="E66" s="3"/>
      <c r="F66" s="3"/>
      <c r="G66" s="4"/>
      <c r="H66" s="4"/>
      <c r="I66" s="3"/>
      <c r="J66" s="3"/>
      <c r="K66" s="3"/>
      <c r="L66" s="4" t="s">
        <v>65</v>
      </c>
      <c r="M66" s="2">
        <f>M84+K84-F84</f>
        <v>977.16999999999825</v>
      </c>
      <c r="W66" s="131"/>
    </row>
    <row r="67" spans="1:23"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c r="W67" s="131"/>
    </row>
    <row r="68" spans="1:23" x14ac:dyDescent="0.25">
      <c r="A68" s="433" t="s">
        <v>757</v>
      </c>
      <c r="B68" s="397">
        <v>43102</v>
      </c>
      <c r="C68" s="7">
        <v>30</v>
      </c>
      <c r="D68" s="43">
        <v>85.18</v>
      </c>
      <c r="E68" s="43">
        <v>0</v>
      </c>
      <c r="F68" s="43">
        <f>C68*D68+E68</f>
        <v>2555.4</v>
      </c>
      <c r="G68" s="397">
        <v>43143</v>
      </c>
      <c r="H68" s="7">
        <v>30</v>
      </c>
      <c r="I68" s="43">
        <v>90.8</v>
      </c>
      <c r="J68" s="43">
        <v>0.06</v>
      </c>
      <c r="K68" s="43">
        <f>H68*I68-J68</f>
        <v>2723.94</v>
      </c>
      <c r="L68" s="69">
        <v>43139</v>
      </c>
      <c r="M68" s="43">
        <v>10.199999999999999</v>
      </c>
      <c r="W68" s="131"/>
    </row>
    <row r="69" spans="1:23" x14ac:dyDescent="0.25">
      <c r="A69" s="435" t="s">
        <v>71</v>
      </c>
      <c r="B69" s="397">
        <v>43116</v>
      </c>
      <c r="C69" s="7">
        <v>30</v>
      </c>
      <c r="D69" s="43">
        <v>87.4</v>
      </c>
      <c r="E69" s="43">
        <v>0</v>
      </c>
      <c r="F69" s="43">
        <f>C69*D69+E69</f>
        <v>2622</v>
      </c>
      <c r="G69" s="397">
        <v>43168</v>
      </c>
      <c r="H69" s="77">
        <v>30</v>
      </c>
      <c r="I69" s="43">
        <v>99.03</v>
      </c>
      <c r="J69" s="43">
        <v>7.0000000000000007E-2</v>
      </c>
      <c r="K69" s="43">
        <f>H69*I69-J69</f>
        <v>2970.83</v>
      </c>
      <c r="L69" s="69">
        <v>43231</v>
      </c>
      <c r="M69" s="43">
        <v>5.4</v>
      </c>
      <c r="W69" s="131"/>
    </row>
    <row r="70" spans="1:23" x14ac:dyDescent="0.25">
      <c r="A70" s="418"/>
      <c r="B70" s="397">
        <v>43172</v>
      </c>
      <c r="C70" s="7">
        <v>30</v>
      </c>
      <c r="D70" s="43">
        <v>96.8</v>
      </c>
      <c r="E70" s="43">
        <v>0</v>
      </c>
      <c r="F70" s="43">
        <f>C70*D70+E70</f>
        <v>2904</v>
      </c>
      <c r="G70" s="397">
        <v>43236</v>
      </c>
      <c r="H70" s="77">
        <v>30</v>
      </c>
      <c r="I70" s="43">
        <v>99.18</v>
      </c>
      <c r="J70" s="43">
        <v>7.0000000000000007E-2</v>
      </c>
      <c r="K70" s="43">
        <f>H70*I70-J70</f>
        <v>2975.33</v>
      </c>
      <c r="L70" s="69">
        <v>43412</v>
      </c>
      <c r="M70" s="43">
        <v>18</v>
      </c>
    </row>
    <row r="71" spans="1:23" x14ac:dyDescent="0.25">
      <c r="A71" s="418"/>
      <c r="B71" s="397">
        <v>43360</v>
      </c>
      <c r="C71" s="7">
        <v>100</v>
      </c>
      <c r="D71" s="43">
        <v>98.28</v>
      </c>
      <c r="E71" s="43">
        <v>0</v>
      </c>
      <c r="F71" s="43">
        <f>C71*D71+E71</f>
        <v>9828</v>
      </c>
      <c r="G71" s="397">
        <v>43511</v>
      </c>
      <c r="H71" s="77">
        <v>100</v>
      </c>
      <c r="I71" s="43">
        <v>101.65</v>
      </c>
      <c r="J71" s="43">
        <v>0.13</v>
      </c>
      <c r="K71" s="43">
        <f>H71*I71-J71</f>
        <v>10164.870000000001</v>
      </c>
      <c r="L71" s="69">
        <v>43510</v>
      </c>
      <c r="M71" s="43">
        <v>18</v>
      </c>
    </row>
    <row r="72" spans="1:23" x14ac:dyDescent="0.25">
      <c r="A72" s="418"/>
      <c r="G72" s="398"/>
      <c r="H72" s="158"/>
      <c r="I72" s="3"/>
      <c r="J72" s="3"/>
      <c r="K72" s="3"/>
      <c r="L72" s="4"/>
      <c r="M72" s="4"/>
    </row>
    <row r="73" spans="1:23" x14ac:dyDescent="0.25">
      <c r="A73" s="418"/>
      <c r="B73" s="398"/>
      <c r="C73" s="4"/>
      <c r="D73" s="3"/>
      <c r="E73" s="3"/>
      <c r="F73" s="3"/>
      <c r="G73" s="398"/>
      <c r="H73" s="158"/>
      <c r="I73" s="3"/>
      <c r="J73" s="3"/>
      <c r="K73" s="3"/>
      <c r="L73" s="4"/>
      <c r="M73" s="4"/>
    </row>
    <row r="74" spans="1:23" x14ac:dyDescent="0.25">
      <c r="A74" s="418"/>
      <c r="B74" s="398"/>
      <c r="C74" s="4"/>
      <c r="D74" s="3"/>
      <c r="E74" s="3"/>
      <c r="F74" s="3"/>
      <c r="G74" s="398"/>
      <c r="H74" s="158"/>
      <c r="I74" s="3"/>
      <c r="J74" s="3"/>
      <c r="K74" s="3"/>
      <c r="L74" s="4"/>
      <c r="M74" s="4"/>
    </row>
    <row r="75" spans="1:23" x14ac:dyDescent="0.25">
      <c r="A75" s="418"/>
      <c r="B75" s="418"/>
      <c r="C75" s="418"/>
      <c r="D75" s="420"/>
      <c r="E75" s="420"/>
      <c r="F75" s="420"/>
      <c r="G75" s="418"/>
      <c r="H75" s="434"/>
      <c r="I75" s="420"/>
      <c r="J75" s="420"/>
      <c r="K75" s="420"/>
      <c r="L75" s="418"/>
      <c r="M75" s="418"/>
    </row>
    <row r="76" spans="1:23" x14ac:dyDescent="0.25">
      <c r="A76" s="418"/>
      <c r="B76" s="418"/>
      <c r="C76" s="418"/>
      <c r="D76" s="420"/>
      <c r="E76" s="420"/>
      <c r="F76" s="420"/>
      <c r="G76" s="418"/>
      <c r="H76" s="434"/>
      <c r="I76" s="420"/>
      <c r="J76" s="420"/>
      <c r="K76" s="420"/>
      <c r="L76" s="418"/>
      <c r="M76" s="418"/>
    </row>
    <row r="77" spans="1:23" x14ac:dyDescent="0.25">
      <c r="A77" s="418"/>
      <c r="B77" s="418"/>
      <c r="C77" s="418"/>
      <c r="D77" s="420"/>
      <c r="E77" s="420"/>
      <c r="F77" s="420"/>
      <c r="G77" s="418"/>
      <c r="H77" s="434"/>
      <c r="I77" s="420"/>
      <c r="J77" s="420"/>
      <c r="K77" s="420"/>
      <c r="L77" s="418"/>
      <c r="M77" s="418"/>
    </row>
    <row r="78" spans="1:23" x14ac:dyDescent="0.25">
      <c r="A78" s="418"/>
      <c r="B78" s="418"/>
      <c r="C78" s="418"/>
      <c r="D78" s="420"/>
      <c r="E78" s="420"/>
      <c r="F78" s="420"/>
      <c r="G78" s="418"/>
      <c r="H78" s="434"/>
      <c r="I78" s="420"/>
      <c r="J78" s="420"/>
      <c r="K78" s="420"/>
      <c r="L78" s="418"/>
      <c r="M78" s="418"/>
    </row>
    <row r="79" spans="1:23" x14ac:dyDescent="0.25">
      <c r="A79" s="418"/>
      <c r="B79" s="418"/>
      <c r="C79" s="418"/>
      <c r="D79" s="420"/>
      <c r="E79" s="420"/>
      <c r="F79" s="420"/>
      <c r="G79" s="418"/>
      <c r="H79" s="434"/>
      <c r="I79" s="420"/>
      <c r="J79" s="420"/>
      <c r="K79" s="420"/>
      <c r="L79" s="418"/>
      <c r="M79" s="418"/>
    </row>
    <row r="80" spans="1:23"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SUM(C68:C83)</f>
        <v>190</v>
      </c>
      <c r="D84" s="438"/>
      <c r="E84" s="438"/>
      <c r="F84" s="438">
        <f>SUM(F68:F83)</f>
        <v>17909.400000000001</v>
      </c>
      <c r="G84" s="437"/>
      <c r="H84" s="459">
        <f>SUM(H68:H83)</f>
        <v>190</v>
      </c>
      <c r="I84" s="438"/>
      <c r="J84" s="438"/>
      <c r="K84" s="438">
        <f>SUM(K68:K83)</f>
        <v>18834.97</v>
      </c>
      <c r="L84" s="437"/>
      <c r="M84" s="438">
        <f>SUM(M68:M83)</f>
        <v>51.6</v>
      </c>
    </row>
    <row r="85" spans="1:13" ht="15.75" thickBot="1" x14ac:dyDescent="0.3">
      <c r="A85" s="439" t="s">
        <v>189</v>
      </c>
      <c r="B85" s="440"/>
      <c r="C85" s="441">
        <f>SumByColor($A$19,C68:C83)</f>
        <v>190</v>
      </c>
      <c r="D85" s="441"/>
      <c r="E85" s="441"/>
      <c r="F85" s="442">
        <f>SumByColor($A$19,F68:F83)</f>
        <v>17909</v>
      </c>
      <c r="G85" s="441"/>
      <c r="H85" s="441">
        <f>SumByColor($A$19,H68:H83)</f>
        <v>190</v>
      </c>
      <c r="I85" s="441"/>
      <c r="J85" s="441"/>
      <c r="K85" s="442">
        <f>SumByColor($A$19,K69:K83)</f>
        <v>16111</v>
      </c>
      <c r="L85" s="441"/>
      <c r="M85" s="442">
        <f>SumByColor($A$19,M68:M83)</f>
        <v>51</v>
      </c>
    </row>
    <row r="88" spans="1:13" x14ac:dyDescent="0.25">
      <c r="B88" s="159" t="s">
        <v>113</v>
      </c>
      <c r="C88" s="159" t="s">
        <v>143</v>
      </c>
      <c r="D88" s="160" t="s">
        <v>142</v>
      </c>
      <c r="E88" s="162" t="s">
        <v>144</v>
      </c>
      <c r="F88" s="162" t="s">
        <v>65</v>
      </c>
      <c r="G88" s="173" t="s">
        <v>148</v>
      </c>
      <c r="H88" s="173" t="s">
        <v>88</v>
      </c>
      <c r="I88" s="173" t="s">
        <v>151</v>
      </c>
      <c r="J88" s="173" t="s">
        <v>452</v>
      </c>
      <c r="K88" s="173"/>
      <c r="L88" s="173" t="s">
        <v>901</v>
      </c>
    </row>
    <row r="89" spans="1:13" x14ac:dyDescent="0.25">
      <c r="B89" s="161">
        <v>43102</v>
      </c>
      <c r="C89" s="10">
        <v>30</v>
      </c>
      <c r="D89" s="39">
        <v>85.18</v>
      </c>
      <c r="E89" s="39">
        <v>84.96</v>
      </c>
      <c r="F89" s="39">
        <f t="shared" ref="F89:F100" si="4">C89*(E89-D89)</f>
        <v>-6.6000000000003922</v>
      </c>
      <c r="G89" s="39">
        <f t="shared" ref="G89:G110" si="5">D89*C89</f>
        <v>2555.4</v>
      </c>
      <c r="H89" s="175">
        <f t="shared" ref="H89:H110" si="6">(E89-D89)/D89</f>
        <v>-2.5827659074901745E-3</v>
      </c>
      <c r="I89" s="39"/>
      <c r="J89" s="39"/>
      <c r="K89" s="39"/>
      <c r="L89" s="39"/>
    </row>
    <row r="90" spans="1:13" x14ac:dyDescent="0.25">
      <c r="B90" s="161">
        <v>43105</v>
      </c>
      <c r="C90" s="10">
        <v>30</v>
      </c>
      <c r="D90" s="39">
        <v>85.18</v>
      </c>
      <c r="E90" s="39">
        <v>88.14</v>
      </c>
      <c r="F90" s="39">
        <f t="shared" si="4"/>
        <v>88.799999999999812</v>
      </c>
      <c r="G90" s="39">
        <f t="shared" si="5"/>
        <v>2555.4</v>
      </c>
      <c r="H90" s="175">
        <f t="shared" si="6"/>
        <v>3.4749941300774752E-2</v>
      </c>
      <c r="I90" s="39"/>
      <c r="J90" s="39"/>
      <c r="K90" s="39"/>
      <c r="L90" s="39"/>
    </row>
    <row r="91" spans="1:13" x14ac:dyDescent="0.25">
      <c r="B91" s="161">
        <v>43116</v>
      </c>
      <c r="C91" s="10">
        <v>60</v>
      </c>
      <c r="D91" s="39">
        <v>86.29</v>
      </c>
      <c r="E91" s="39">
        <v>87.3</v>
      </c>
      <c r="F91" s="39">
        <f t="shared" si="4"/>
        <v>60.599999999999454</v>
      </c>
      <c r="G91" s="39">
        <f t="shared" si="5"/>
        <v>5177.4000000000005</v>
      </c>
      <c r="H91" s="175">
        <f t="shared" si="6"/>
        <v>1.1704716653146261E-2</v>
      </c>
      <c r="I91" s="39">
        <v>85.5</v>
      </c>
      <c r="J91" s="39"/>
      <c r="K91" s="39"/>
      <c r="L91" s="39"/>
    </row>
    <row r="92" spans="1:13" x14ac:dyDescent="0.25">
      <c r="B92" s="161">
        <v>43117</v>
      </c>
      <c r="C92" s="10">
        <v>60</v>
      </c>
      <c r="D92" s="39">
        <v>86.29</v>
      </c>
      <c r="E92" s="39">
        <v>88.4</v>
      </c>
      <c r="F92" s="39">
        <f t="shared" si="4"/>
        <v>126.59999999999997</v>
      </c>
      <c r="G92" s="39">
        <f t="shared" si="5"/>
        <v>5177.4000000000005</v>
      </c>
      <c r="H92" s="175">
        <f t="shared" si="6"/>
        <v>2.445242785954339E-2</v>
      </c>
      <c r="I92" s="39"/>
      <c r="J92" s="39"/>
      <c r="K92" s="39"/>
      <c r="L92" s="39"/>
    </row>
    <row r="93" spans="1:13" x14ac:dyDescent="0.25">
      <c r="B93" s="161">
        <v>43140</v>
      </c>
      <c r="C93" s="10">
        <v>60</v>
      </c>
      <c r="D93" s="39">
        <v>86.12</v>
      </c>
      <c r="E93" s="39">
        <v>89.58</v>
      </c>
      <c r="F93" s="39">
        <f t="shared" si="4"/>
        <v>207.59999999999962</v>
      </c>
      <c r="G93" s="39">
        <f t="shared" si="5"/>
        <v>5167.2000000000007</v>
      </c>
      <c r="H93" s="175">
        <f t="shared" si="6"/>
        <v>4.0176497909893097E-2</v>
      </c>
      <c r="I93" s="39"/>
      <c r="J93" s="39"/>
      <c r="K93" s="39" t="s">
        <v>182</v>
      </c>
      <c r="L93" s="39"/>
    </row>
    <row r="94" spans="1:13" x14ac:dyDescent="0.25">
      <c r="B94" s="161">
        <v>43143</v>
      </c>
      <c r="C94" s="10">
        <v>30</v>
      </c>
      <c r="D94" s="39">
        <v>79.214299999999994</v>
      </c>
      <c r="E94" s="39">
        <v>90.57</v>
      </c>
      <c r="F94" s="39">
        <f t="shared" si="4"/>
        <v>340.67099999999994</v>
      </c>
      <c r="G94" s="39">
        <f t="shared" si="5"/>
        <v>2376.4289999999996</v>
      </c>
      <c r="H94" s="175">
        <f t="shared" si="6"/>
        <v>0.14335416711376606</v>
      </c>
      <c r="I94" s="39"/>
      <c r="J94" s="39"/>
      <c r="K94" s="39"/>
      <c r="L94" s="39"/>
    </row>
    <row r="95" spans="1:13" x14ac:dyDescent="0.25">
      <c r="B95" s="161">
        <v>43168</v>
      </c>
      <c r="C95" s="10">
        <v>30</v>
      </c>
      <c r="D95" s="39">
        <v>79.214299999999994</v>
      </c>
      <c r="E95" s="39">
        <v>96.9</v>
      </c>
      <c r="F95" s="39">
        <f t="shared" si="4"/>
        <v>530.57100000000037</v>
      </c>
      <c r="G95" s="39">
        <f t="shared" si="5"/>
        <v>2376.4289999999996</v>
      </c>
      <c r="H95" s="175">
        <f t="shared" si="6"/>
        <v>0.22326398137709999</v>
      </c>
      <c r="I95" s="39"/>
      <c r="J95" s="39"/>
      <c r="K95" s="39"/>
      <c r="L95" s="39"/>
    </row>
    <row r="96" spans="1:13" x14ac:dyDescent="0.25">
      <c r="B96" s="161">
        <v>43185</v>
      </c>
      <c r="C96" s="10">
        <v>30</v>
      </c>
      <c r="D96" s="39">
        <v>79.214299999999994</v>
      </c>
      <c r="E96" s="39">
        <v>91.84</v>
      </c>
      <c r="F96" s="39">
        <f t="shared" si="4"/>
        <v>378.7710000000003</v>
      </c>
      <c r="G96" s="39">
        <f t="shared" si="5"/>
        <v>2376.4289999999996</v>
      </c>
      <c r="H96" s="175">
        <f t="shared" si="6"/>
        <v>0.15938662589961675</v>
      </c>
      <c r="I96" s="39"/>
      <c r="J96" s="39"/>
      <c r="K96" s="39"/>
      <c r="L96" s="39"/>
    </row>
    <row r="97" spans="2:12" x14ac:dyDescent="0.25">
      <c r="B97" s="161">
        <v>43186</v>
      </c>
      <c r="C97" s="10">
        <v>30</v>
      </c>
      <c r="D97" s="39">
        <v>79.214299999999994</v>
      </c>
      <c r="E97" s="39">
        <v>90.4</v>
      </c>
      <c r="F97" s="39">
        <f t="shared" si="4"/>
        <v>335.57100000000037</v>
      </c>
      <c r="G97" s="39">
        <f t="shared" si="5"/>
        <v>2376.4289999999996</v>
      </c>
      <c r="H97" s="175">
        <f t="shared" si="6"/>
        <v>0.14120808995345552</v>
      </c>
      <c r="I97" s="39"/>
      <c r="J97" s="39"/>
      <c r="K97" s="39"/>
      <c r="L97" s="39"/>
    </row>
    <row r="98" spans="2:12" x14ac:dyDescent="0.25">
      <c r="B98" s="161">
        <v>43226</v>
      </c>
      <c r="C98" s="10">
        <v>30</v>
      </c>
      <c r="D98" s="39">
        <v>79.214299999999994</v>
      </c>
      <c r="E98" s="39">
        <v>94.89</v>
      </c>
      <c r="F98" s="39">
        <f t="shared" si="4"/>
        <v>470.27100000000019</v>
      </c>
      <c r="G98" s="39">
        <f t="shared" si="5"/>
        <v>2376.4289999999996</v>
      </c>
      <c r="H98" s="175">
        <f t="shared" si="6"/>
        <v>0.19788977495224988</v>
      </c>
      <c r="I98" s="39"/>
      <c r="J98" s="39"/>
      <c r="K98" s="39"/>
      <c r="L98" s="39">
        <v>19.98</v>
      </c>
    </row>
    <row r="99" spans="2:12" x14ac:dyDescent="0.25">
      <c r="B99" s="161">
        <v>43230</v>
      </c>
      <c r="C99" s="10">
        <v>30</v>
      </c>
      <c r="D99" s="39">
        <v>79.214299999999994</v>
      </c>
      <c r="E99" s="39">
        <v>97.55</v>
      </c>
      <c r="F99" s="39">
        <f t="shared" si="4"/>
        <v>550.07100000000014</v>
      </c>
      <c r="G99" s="39">
        <f t="shared" si="5"/>
        <v>2376.4289999999996</v>
      </c>
      <c r="H99" s="175">
        <f t="shared" si="6"/>
        <v>0.23146957051946435</v>
      </c>
      <c r="I99" s="39"/>
      <c r="J99" s="39"/>
      <c r="K99" s="39"/>
      <c r="L99" s="39">
        <v>20.54</v>
      </c>
    </row>
    <row r="100" spans="2:12" x14ac:dyDescent="0.25">
      <c r="B100" s="161">
        <v>43231</v>
      </c>
      <c r="C100" s="10">
        <v>30</v>
      </c>
      <c r="D100" s="39">
        <v>79.034300000000002</v>
      </c>
      <c r="E100" s="39">
        <v>97.42</v>
      </c>
      <c r="F100" s="39">
        <f t="shared" si="4"/>
        <v>551.57100000000003</v>
      </c>
      <c r="G100" s="39">
        <f t="shared" si="5"/>
        <v>2371.029</v>
      </c>
      <c r="H100" s="175">
        <f t="shared" si="6"/>
        <v>0.23262937737159689</v>
      </c>
      <c r="I100" s="39"/>
      <c r="J100" s="39"/>
      <c r="K100" s="39"/>
      <c r="L100" s="39">
        <v>20.51</v>
      </c>
    </row>
    <row r="101" spans="2:12" x14ac:dyDescent="0.25">
      <c r="B101" s="161">
        <v>43236</v>
      </c>
      <c r="C101" s="10">
        <v>0</v>
      </c>
      <c r="D101" s="39">
        <v>79.03</v>
      </c>
      <c r="E101" s="39">
        <v>99.12</v>
      </c>
      <c r="F101" s="39">
        <v>604.29999999999995</v>
      </c>
      <c r="G101" s="39">
        <f t="shared" si="5"/>
        <v>0</v>
      </c>
      <c r="H101" s="175">
        <f t="shared" si="6"/>
        <v>0.25420726306465902</v>
      </c>
      <c r="I101" s="39"/>
      <c r="J101" s="39"/>
      <c r="K101" s="39"/>
      <c r="L101" s="39">
        <v>20.87</v>
      </c>
    </row>
    <row r="102" spans="2:12" x14ac:dyDescent="0.25">
      <c r="B102" s="161">
        <v>43360</v>
      </c>
      <c r="C102" s="7">
        <v>100</v>
      </c>
      <c r="D102" s="43">
        <v>92.236999999999995</v>
      </c>
      <c r="E102" s="39">
        <v>98.55</v>
      </c>
      <c r="F102" s="39">
        <f t="shared" ref="F102:F109" si="7">C102*(E102-D102)</f>
        <v>631.30000000000018</v>
      </c>
      <c r="G102" s="39">
        <f t="shared" si="5"/>
        <v>9223.6999999999989</v>
      </c>
      <c r="H102" s="175">
        <f t="shared" si="6"/>
        <v>6.8443249455207814E-2</v>
      </c>
      <c r="I102" s="39"/>
      <c r="J102" s="39"/>
      <c r="K102" s="39"/>
      <c r="L102" s="39">
        <v>20.75</v>
      </c>
    </row>
    <row r="103" spans="2:12" x14ac:dyDescent="0.25">
      <c r="B103" s="161">
        <v>43362</v>
      </c>
      <c r="C103" s="10">
        <v>100</v>
      </c>
      <c r="D103" s="39">
        <v>92.236999999999995</v>
      </c>
      <c r="E103" s="39">
        <v>100.33</v>
      </c>
      <c r="F103" s="760">
        <f t="shared" si="7"/>
        <v>809.30000000000041</v>
      </c>
      <c r="G103" s="39">
        <f t="shared" si="5"/>
        <v>9223.6999999999989</v>
      </c>
      <c r="H103" s="175">
        <f t="shared" si="6"/>
        <v>8.7741361926341965E-2</v>
      </c>
      <c r="I103" s="39"/>
      <c r="J103" s="39"/>
      <c r="K103" s="39"/>
      <c r="L103" s="39">
        <v>21.12</v>
      </c>
    </row>
    <row r="104" spans="2:12" x14ac:dyDescent="0.25">
      <c r="B104" s="161">
        <v>43365</v>
      </c>
      <c r="C104" s="10">
        <v>100</v>
      </c>
      <c r="D104" s="39">
        <v>92.236999999999995</v>
      </c>
      <c r="E104" s="39">
        <v>100.98</v>
      </c>
      <c r="F104" s="760">
        <f t="shared" si="7"/>
        <v>874.30000000000086</v>
      </c>
      <c r="G104" s="39">
        <f t="shared" si="5"/>
        <v>9223.6999999999989</v>
      </c>
      <c r="H104" s="175">
        <f t="shared" si="6"/>
        <v>9.4788425469171919E-2</v>
      </c>
      <c r="I104" s="39"/>
      <c r="J104" s="39"/>
      <c r="K104" s="39"/>
      <c r="L104" s="39"/>
    </row>
    <row r="105" spans="2:12" x14ac:dyDescent="0.25">
      <c r="B105" s="161">
        <v>43383</v>
      </c>
      <c r="C105" s="10">
        <v>100</v>
      </c>
      <c r="D105" s="39">
        <v>92.24</v>
      </c>
      <c r="E105" s="39">
        <v>92.88</v>
      </c>
      <c r="F105" s="98">
        <f t="shared" si="7"/>
        <v>64.000000000000057</v>
      </c>
      <c r="G105" s="39">
        <f t="shared" si="5"/>
        <v>9224</v>
      </c>
      <c r="H105" s="175">
        <f t="shared" si="6"/>
        <v>6.9384215091066849E-3</v>
      </c>
      <c r="I105" s="39"/>
      <c r="J105" s="39"/>
      <c r="K105" s="39"/>
      <c r="L105" s="39">
        <v>19.55</v>
      </c>
    </row>
    <row r="106" spans="2:12" x14ac:dyDescent="0.25">
      <c r="B106" s="161">
        <v>43394</v>
      </c>
      <c r="C106" s="10">
        <v>100</v>
      </c>
      <c r="D106" s="39">
        <v>92.24</v>
      </c>
      <c r="E106" s="39">
        <v>89.88</v>
      </c>
      <c r="F106" s="98">
        <f t="shared" si="7"/>
        <v>-235.99999999999994</v>
      </c>
      <c r="G106" s="39">
        <f t="shared" si="5"/>
        <v>9224</v>
      </c>
      <c r="H106" s="175">
        <f t="shared" si="6"/>
        <v>-2.558542931483087E-2</v>
      </c>
      <c r="I106" s="39"/>
      <c r="J106" s="39"/>
      <c r="K106" s="39"/>
      <c r="L106" s="39">
        <v>18.920000000000002</v>
      </c>
    </row>
    <row r="107" spans="2:12" x14ac:dyDescent="0.25">
      <c r="B107" s="161">
        <v>43415</v>
      </c>
      <c r="C107" s="7">
        <v>100</v>
      </c>
      <c r="D107" s="43">
        <v>92.057000000000002</v>
      </c>
      <c r="E107" s="39">
        <v>92.9</v>
      </c>
      <c r="F107" s="39">
        <f t="shared" si="7"/>
        <v>84.300000000000352</v>
      </c>
      <c r="G107" s="39">
        <f t="shared" si="5"/>
        <v>9205.7000000000007</v>
      </c>
      <c r="H107" s="175">
        <f t="shared" si="6"/>
        <v>9.1573698903940331E-3</v>
      </c>
      <c r="I107" s="39"/>
      <c r="J107" s="39"/>
      <c r="K107" s="39"/>
      <c r="L107" s="39">
        <v>19.559999999999999</v>
      </c>
    </row>
    <row r="108" spans="2:12" x14ac:dyDescent="0.25">
      <c r="B108" s="161">
        <v>43442</v>
      </c>
      <c r="C108" s="10">
        <v>100</v>
      </c>
      <c r="D108" s="39">
        <v>92.057000000000002</v>
      </c>
      <c r="E108" s="39">
        <v>94.47</v>
      </c>
      <c r="F108" s="39">
        <f t="shared" si="7"/>
        <v>241.29999999999967</v>
      </c>
      <c r="G108" s="39">
        <f t="shared" si="5"/>
        <v>9205.7000000000007</v>
      </c>
      <c r="H108" s="175">
        <f t="shared" si="6"/>
        <v>2.6212020813191791E-2</v>
      </c>
      <c r="I108" s="39"/>
      <c r="J108" s="39"/>
      <c r="K108" s="39"/>
      <c r="L108" s="39">
        <v>19.89</v>
      </c>
    </row>
    <row r="109" spans="2:12" x14ac:dyDescent="0.25">
      <c r="B109" s="161">
        <v>43510</v>
      </c>
      <c r="C109" s="7">
        <v>100</v>
      </c>
      <c r="D109" s="43">
        <v>91.876999999999995</v>
      </c>
      <c r="E109" s="39">
        <v>99.54</v>
      </c>
      <c r="F109" s="39">
        <f t="shared" si="7"/>
        <v>766.30000000000109</v>
      </c>
      <c r="G109" s="39">
        <f t="shared" si="5"/>
        <v>9187.6999999999989</v>
      </c>
      <c r="H109" s="175">
        <f t="shared" si="6"/>
        <v>8.3404987102321707E-2</v>
      </c>
      <c r="I109" s="39"/>
      <c r="J109" s="39"/>
      <c r="K109" s="39"/>
      <c r="L109" s="39">
        <v>20.96</v>
      </c>
    </row>
    <row r="110" spans="2:12" x14ac:dyDescent="0.25">
      <c r="B110" s="161">
        <v>43511</v>
      </c>
      <c r="C110" s="10">
        <v>0</v>
      </c>
      <c r="D110" s="39">
        <v>91.88</v>
      </c>
      <c r="E110" s="39">
        <v>101.63</v>
      </c>
      <c r="F110" s="760">
        <v>977.17</v>
      </c>
      <c r="G110" s="39">
        <f t="shared" si="5"/>
        <v>0</v>
      </c>
      <c r="H110" s="175">
        <f t="shared" si="6"/>
        <v>0.10611667392250762</v>
      </c>
      <c r="I110" s="39"/>
      <c r="J110" s="39"/>
      <c r="K110" s="39"/>
      <c r="L110" s="39"/>
    </row>
    <row r="111" spans="2:12" x14ac:dyDescent="0.25">
      <c r="B111" s="161"/>
      <c r="C111" s="10"/>
      <c r="D111" s="39"/>
      <c r="E111" s="39"/>
      <c r="F111" s="39"/>
      <c r="G111" s="39"/>
      <c r="H111" s="175"/>
      <c r="I111" s="39"/>
      <c r="J111" s="39"/>
      <c r="K111" s="39"/>
      <c r="L111" s="39"/>
    </row>
    <row r="112" spans="2:12" x14ac:dyDescent="0.25">
      <c r="B112" s="161"/>
      <c r="C112" s="10"/>
      <c r="D112" s="39"/>
      <c r="E112" s="39"/>
      <c r="F112" s="39"/>
      <c r="G112" s="39"/>
      <c r="H112" s="175"/>
      <c r="I112" s="39"/>
      <c r="J112" s="39"/>
      <c r="K112" s="39"/>
      <c r="L112" s="39"/>
    </row>
    <row r="113" spans="2:12" x14ac:dyDescent="0.25">
      <c r="B113" s="161"/>
      <c r="C113" s="10"/>
      <c r="D113" s="39"/>
      <c r="E113" s="39"/>
      <c r="F113" s="39"/>
      <c r="G113" s="39"/>
      <c r="H113" s="175"/>
      <c r="I113" s="39"/>
      <c r="J113" s="39"/>
      <c r="K113" s="39"/>
      <c r="L113" s="39"/>
    </row>
    <row r="114" spans="2:12" x14ac:dyDescent="0.25">
      <c r="B114" s="161"/>
      <c r="C114" s="10"/>
      <c r="D114" s="39"/>
      <c r="E114" s="39"/>
      <c r="F114" s="39"/>
      <c r="G114" s="39"/>
      <c r="H114" s="175"/>
      <c r="I114" s="39"/>
      <c r="J114" s="39"/>
      <c r="K114" s="39"/>
      <c r="L114" s="39"/>
    </row>
    <row r="115" spans="2:12" x14ac:dyDescent="0.25">
      <c r="B115" s="161"/>
      <c r="C115" s="10"/>
      <c r="D115" s="39"/>
      <c r="E115" s="39"/>
      <c r="F115" s="39"/>
      <c r="G115" s="39"/>
      <c r="H115" s="175"/>
      <c r="I115" s="39"/>
      <c r="J115" s="39"/>
      <c r="K115" s="39"/>
      <c r="L115" s="39"/>
    </row>
  </sheetData>
  <mergeCells count="1">
    <mergeCell ref="O18:P18"/>
  </mergeCells>
  <conditionalFormatting sqref="O19:O39">
    <cfRule type="colorScale" priority="41">
      <colorScale>
        <cfvo type="min"/>
        <cfvo type="percentile" val="50"/>
        <cfvo type="max"/>
        <color rgb="FFF8696B"/>
        <color rgb="FFFFEB84"/>
        <color rgb="FF63BE7B"/>
      </colorScale>
    </cfRule>
  </conditionalFormatting>
  <conditionalFormatting sqref="P19:P39">
    <cfRule type="colorScale" priority="40">
      <colorScale>
        <cfvo type="min"/>
        <cfvo type="percentile" val="50"/>
        <cfvo type="max"/>
        <color rgb="FFF8696B"/>
        <color rgb="FFFFEB84"/>
        <color rgb="FF63BE7B"/>
      </colorScale>
    </cfRule>
  </conditionalFormatting>
  <conditionalFormatting sqref="W1:W38 W60:W69 T39:T59">
    <cfRule type="iconSet" priority="39">
      <iconSet iconSet="3Arrows">
        <cfvo type="percent" val="0"/>
        <cfvo type="num" val="0"/>
        <cfvo type="num" val="0"/>
      </iconSet>
    </cfRule>
  </conditionalFormatting>
  <conditionalFormatting sqref="F52:F63 H52:H63">
    <cfRule type="expression" dxfId="2757" priority="37">
      <formula>F52&gt;0</formula>
    </cfRule>
    <cfRule type="expression" dxfId="2756" priority="38">
      <formula>F52&lt;0</formula>
    </cfRule>
  </conditionalFormatting>
  <conditionalFormatting sqref="Q7">
    <cfRule type="expression" dxfId="2755" priority="35">
      <formula>Q7&gt;0</formula>
    </cfRule>
    <cfRule type="expression" dxfId="2754" priority="36">
      <formula>Q7&lt;0</formula>
    </cfRule>
  </conditionalFormatting>
  <conditionalFormatting sqref="Q8">
    <cfRule type="expression" dxfId="2753" priority="33">
      <formula>Q8&gt;0</formula>
    </cfRule>
    <cfRule type="expression" dxfId="2752" priority="34">
      <formula>Q8&lt;0</formula>
    </cfRule>
  </conditionalFormatting>
  <conditionalFormatting sqref="F25:F37 F43:F51">
    <cfRule type="expression" dxfId="2751" priority="31">
      <formula>F25&gt;0</formula>
    </cfRule>
    <cfRule type="expression" dxfId="2750" priority="32">
      <formula>F25&lt;0</formula>
    </cfRule>
  </conditionalFormatting>
  <conditionalFormatting sqref="H25:H37 H41:H51">
    <cfRule type="expression" dxfId="2749" priority="29">
      <formula>H25&gt;0</formula>
    </cfRule>
    <cfRule type="expression" dxfId="2748" priority="30">
      <formula>H25&lt;0</formula>
    </cfRule>
  </conditionalFormatting>
  <conditionalFormatting sqref="F38:F42">
    <cfRule type="expression" dxfId="2747" priority="15">
      <formula>F38&gt;0</formula>
    </cfRule>
    <cfRule type="expression" dxfId="2746" priority="16">
      <formula>F38&lt;0</formula>
    </cfRule>
  </conditionalFormatting>
  <conditionalFormatting sqref="H38:H40">
    <cfRule type="expression" dxfId="2745" priority="13">
      <formula>H38&gt;0</formula>
    </cfRule>
    <cfRule type="expression" dxfId="2744" priority="14">
      <formula>H38&lt;0</formula>
    </cfRule>
  </conditionalFormatting>
  <conditionalFormatting sqref="Q10">
    <cfRule type="expression" dxfId="2743" priority="23">
      <formula>Q10&gt;0</formula>
    </cfRule>
    <cfRule type="expression" dxfId="2742" priority="24">
      <formula>Q10&lt;0</formula>
    </cfRule>
  </conditionalFormatting>
  <conditionalFormatting sqref="J25:J38">
    <cfRule type="expression" dxfId="2741" priority="21">
      <formula>J25&gt;0</formula>
    </cfRule>
    <cfRule type="expression" dxfId="2740" priority="22">
      <formula>J25&lt;0</formula>
    </cfRule>
  </conditionalFormatting>
  <conditionalFormatting sqref="K25:K38">
    <cfRule type="expression" dxfId="2739" priority="19">
      <formula>K25&gt;0</formula>
    </cfRule>
    <cfRule type="expression" dxfId="2738" priority="20">
      <formula>K25&lt;0</formula>
    </cfRule>
  </conditionalFormatting>
  <conditionalFormatting sqref="F89:F101 F107:F115">
    <cfRule type="expression" dxfId="2737" priority="11">
      <formula>F89&gt;0</formula>
    </cfRule>
    <cfRule type="expression" dxfId="2736" priority="12">
      <formula>F89&lt;0</formula>
    </cfRule>
  </conditionalFormatting>
  <conditionalFormatting sqref="H89:H101 H105:H115">
    <cfRule type="expression" dxfId="2735" priority="9">
      <formula>H89&gt;0</formula>
    </cfRule>
    <cfRule type="expression" dxfId="2734" priority="10">
      <formula>H89&lt;0</formula>
    </cfRule>
  </conditionalFormatting>
  <conditionalFormatting sqref="J89:J102">
    <cfRule type="expression" dxfId="2733" priority="7">
      <formula>J89&gt;0</formula>
    </cfRule>
    <cfRule type="expression" dxfId="2732" priority="8">
      <formula>J89&lt;0</formula>
    </cfRule>
  </conditionalFormatting>
  <conditionalFormatting sqref="K89:K102">
    <cfRule type="expression" dxfId="2731" priority="5">
      <formula>K89&gt;0</formula>
    </cfRule>
    <cfRule type="expression" dxfId="2730" priority="6">
      <formula>K89&lt;0</formula>
    </cfRule>
  </conditionalFormatting>
  <conditionalFormatting sqref="F102:F106">
    <cfRule type="expression" dxfId="2729" priority="3">
      <formula>F102&gt;0</formula>
    </cfRule>
    <cfRule type="expression" dxfId="2728" priority="4">
      <formula>F102&lt;0</formula>
    </cfRule>
  </conditionalFormatting>
  <conditionalFormatting sqref="H102:H104">
    <cfRule type="expression" dxfId="2727" priority="1">
      <formula>H102&gt;0</formula>
    </cfRule>
    <cfRule type="expression" dxfId="2726" priority="2">
      <formula>H102&lt;0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5" width="9.140625" style="2"/>
    <col min="6" max="6" width="9.85546875" style="2" bestFit="1" customWidth="1"/>
    <col min="9" max="9" width="9.85546875" style="2" bestFit="1" customWidth="1"/>
    <col min="10" max="11" width="9.140625" style="2"/>
    <col min="17" max="17" width="13.140625" bestFit="1" customWidth="1"/>
    <col min="18" max="18" width="10.7109375" bestFit="1" customWidth="1"/>
    <col min="19" max="19" width="23.42578125"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886</v>
      </c>
      <c r="B2" s="360">
        <v>43178</v>
      </c>
      <c r="C2" s="7">
        <v>100</v>
      </c>
      <c r="D2" s="43">
        <v>35.380000000000003</v>
      </c>
      <c r="E2" s="43">
        <v>0</v>
      </c>
      <c r="F2" s="43">
        <f t="shared" ref="F2:F10" si="0">C2*D2+E2</f>
        <v>3538.0000000000005</v>
      </c>
      <c r="G2" s="360">
        <v>43245</v>
      </c>
      <c r="H2" s="7">
        <v>100</v>
      </c>
      <c r="I2" s="43">
        <v>31.8</v>
      </c>
      <c r="J2" s="43">
        <v>0.04</v>
      </c>
      <c r="K2" s="43">
        <f t="shared" ref="K2:K11" si="1">H2*I2-J2</f>
        <v>3179.96</v>
      </c>
      <c r="L2" s="69">
        <v>43216</v>
      </c>
      <c r="M2" s="43">
        <v>28.5</v>
      </c>
      <c r="O2" s="11" t="s">
        <v>57</v>
      </c>
      <c r="Q2">
        <f>C18-H18</f>
        <v>0</v>
      </c>
      <c r="T2" s="1"/>
      <c r="U2" t="s">
        <v>1215</v>
      </c>
    </row>
    <row r="3" spans="1:21" x14ac:dyDescent="0.25">
      <c r="A3" s="22" t="s">
        <v>71</v>
      </c>
      <c r="B3" s="360">
        <v>43178</v>
      </c>
      <c r="C3" s="7">
        <v>50</v>
      </c>
      <c r="D3" s="43">
        <v>35.380000000000003</v>
      </c>
      <c r="E3" s="43">
        <v>0</v>
      </c>
      <c r="F3" s="43">
        <f t="shared" si="0"/>
        <v>1769.0000000000002</v>
      </c>
      <c r="G3" s="360">
        <v>43265</v>
      </c>
      <c r="H3" s="77">
        <v>150</v>
      </c>
      <c r="I3" s="43">
        <v>33.58</v>
      </c>
      <c r="J3" s="43">
        <v>7.0000000000000007E-2</v>
      </c>
      <c r="K3" s="43">
        <f t="shared" si="1"/>
        <v>5036.93</v>
      </c>
      <c r="L3" s="69">
        <v>43306</v>
      </c>
      <c r="M3" s="43">
        <v>47.5</v>
      </c>
      <c r="O3" s="11" t="s">
        <v>58</v>
      </c>
      <c r="Q3" s="174">
        <f>IF(Q2=0, Q4, (F18-K18-M18)/Q2)</f>
        <v>46.22</v>
      </c>
    </row>
    <row r="4" spans="1:21" x14ac:dyDescent="0.25">
      <c r="B4" s="360">
        <v>43217</v>
      </c>
      <c r="C4" s="7">
        <v>150</v>
      </c>
      <c r="D4" s="43">
        <v>31.87</v>
      </c>
      <c r="E4" s="43">
        <v>0</v>
      </c>
      <c r="F4" s="43">
        <f t="shared" si="0"/>
        <v>4780.5</v>
      </c>
      <c r="G4" s="360">
        <v>43271</v>
      </c>
      <c r="H4" s="77">
        <v>50</v>
      </c>
      <c r="I4" s="43">
        <v>33.68</v>
      </c>
      <c r="J4" s="43">
        <v>0.02</v>
      </c>
      <c r="K4" s="43">
        <f t="shared" si="1"/>
        <v>1683.98</v>
      </c>
      <c r="L4" s="69">
        <v>43397</v>
      </c>
      <c r="M4" s="43">
        <v>19</v>
      </c>
      <c r="O4" s="11" t="s">
        <v>66</v>
      </c>
      <c r="Q4" s="53">
        <v>46.22</v>
      </c>
      <c r="R4" s="416">
        <v>1.11E-2</v>
      </c>
    </row>
    <row r="5" spans="1:21" x14ac:dyDescent="0.25">
      <c r="B5" s="360">
        <v>43228</v>
      </c>
      <c r="C5" s="7">
        <v>100</v>
      </c>
      <c r="D5" s="43">
        <v>30.6</v>
      </c>
      <c r="E5" s="43">
        <v>0</v>
      </c>
      <c r="F5" s="43">
        <f t="shared" si="0"/>
        <v>3060</v>
      </c>
      <c r="G5" s="360">
        <v>43292</v>
      </c>
      <c r="H5" s="77">
        <v>100</v>
      </c>
      <c r="I5" s="43">
        <v>34</v>
      </c>
      <c r="J5" s="43">
        <v>0.54</v>
      </c>
      <c r="K5" s="43">
        <f t="shared" si="1"/>
        <v>3399.46</v>
      </c>
      <c r="L5" s="69">
        <v>43488</v>
      </c>
      <c r="M5" s="43">
        <v>19</v>
      </c>
      <c r="O5" s="11" t="s">
        <v>67</v>
      </c>
      <c r="Q5" s="3">
        <f>Q4*Q2</f>
        <v>0</v>
      </c>
    </row>
    <row r="6" spans="1:21" x14ac:dyDescent="0.25">
      <c r="B6" s="360">
        <v>43269</v>
      </c>
      <c r="C6" s="7">
        <v>150</v>
      </c>
      <c r="D6" s="43">
        <v>32.68</v>
      </c>
      <c r="E6" s="43">
        <v>0</v>
      </c>
      <c r="F6" s="43">
        <f t="shared" si="0"/>
        <v>4902</v>
      </c>
      <c r="G6" s="360">
        <v>43307</v>
      </c>
      <c r="H6" s="77">
        <v>100</v>
      </c>
      <c r="I6" s="43">
        <v>34.78</v>
      </c>
      <c r="J6" s="43">
        <v>0.05</v>
      </c>
      <c r="K6" s="43">
        <f t="shared" si="1"/>
        <v>3477.95</v>
      </c>
      <c r="L6" s="4"/>
      <c r="M6" s="4"/>
      <c r="O6" s="11" t="s">
        <v>64</v>
      </c>
      <c r="Q6" s="2">
        <f>Q3*Q2</f>
        <v>0</v>
      </c>
    </row>
    <row r="7" spans="1:21" x14ac:dyDescent="0.25">
      <c r="B7" s="360">
        <v>43306</v>
      </c>
      <c r="C7" s="7">
        <v>100</v>
      </c>
      <c r="D7" s="43">
        <v>32.979999999999997</v>
      </c>
      <c r="E7" s="43">
        <v>0</v>
      </c>
      <c r="F7" s="43">
        <f t="shared" si="0"/>
        <v>3297.9999999999995</v>
      </c>
      <c r="G7" s="360">
        <v>43336</v>
      </c>
      <c r="H7" s="77">
        <v>50</v>
      </c>
      <c r="I7" s="43">
        <v>36.28</v>
      </c>
      <c r="J7" s="43">
        <v>0.02</v>
      </c>
      <c r="K7" s="43">
        <f t="shared" si="1"/>
        <v>1813.98</v>
      </c>
      <c r="L7" s="4"/>
      <c r="M7" s="4"/>
      <c r="O7" s="11" t="s">
        <v>175</v>
      </c>
      <c r="Q7" s="2">
        <f>Q10+Q8</f>
        <v>1966.5599999999977</v>
      </c>
      <c r="R7">
        <v>0</v>
      </c>
    </row>
    <row r="8" spans="1:21" x14ac:dyDescent="0.25">
      <c r="B8" s="360">
        <v>43378</v>
      </c>
      <c r="C8" s="7">
        <v>100</v>
      </c>
      <c r="D8" s="43">
        <v>34.479999999999997</v>
      </c>
      <c r="E8" s="43">
        <v>0</v>
      </c>
      <c r="F8" s="43">
        <f t="shared" si="0"/>
        <v>3447.9999999999995</v>
      </c>
      <c r="G8" s="360">
        <v>43388</v>
      </c>
      <c r="H8" s="77">
        <v>100</v>
      </c>
      <c r="I8" s="43">
        <v>35.6</v>
      </c>
      <c r="J8" s="43">
        <v>0.05</v>
      </c>
      <c r="K8" s="43">
        <f t="shared" si="1"/>
        <v>3559.95</v>
      </c>
      <c r="L8" s="4"/>
      <c r="M8" s="4"/>
      <c r="O8" s="11" t="s">
        <v>177</v>
      </c>
      <c r="P8" s="33"/>
      <c r="Q8" s="2">
        <f>K18+M18-F18+Q2*Q4</f>
        <v>1966.5599999999977</v>
      </c>
    </row>
    <row r="9" spans="1:21" x14ac:dyDescent="0.25">
      <c r="B9" s="360">
        <v>43397</v>
      </c>
      <c r="C9" s="7">
        <v>100</v>
      </c>
      <c r="D9" s="43">
        <v>34.6</v>
      </c>
      <c r="E9" s="43">
        <v>0</v>
      </c>
      <c r="F9" s="43">
        <f t="shared" si="0"/>
        <v>3460</v>
      </c>
      <c r="G9" s="360">
        <v>43413</v>
      </c>
      <c r="H9" s="77">
        <v>100</v>
      </c>
      <c r="I9" s="43">
        <v>38.68</v>
      </c>
      <c r="J9" s="43">
        <v>0.05</v>
      </c>
      <c r="K9" s="43">
        <f t="shared" si="1"/>
        <v>3867.95</v>
      </c>
      <c r="L9" s="4"/>
      <c r="M9" s="4"/>
      <c r="O9" s="11" t="s">
        <v>202</v>
      </c>
      <c r="Q9" s="131">
        <f>IF(Q2=0, 0, Q8/Q6)</f>
        <v>0</v>
      </c>
    </row>
    <row r="10" spans="1:21" x14ac:dyDescent="0.25">
      <c r="B10" s="360">
        <v>43493</v>
      </c>
      <c r="C10" s="7">
        <v>100</v>
      </c>
      <c r="D10" s="43">
        <v>34.68</v>
      </c>
      <c r="E10" s="43">
        <v>0</v>
      </c>
      <c r="F10" s="43">
        <f t="shared" si="0"/>
        <v>3468</v>
      </c>
      <c r="G10" s="360">
        <v>43494</v>
      </c>
      <c r="H10" s="77">
        <v>100</v>
      </c>
      <c r="I10" s="43">
        <v>36.18</v>
      </c>
      <c r="J10" s="43">
        <v>0.05</v>
      </c>
      <c r="K10" s="43">
        <f t="shared" si="1"/>
        <v>3617.95</v>
      </c>
      <c r="L10" s="4"/>
      <c r="M10" s="4"/>
      <c r="O10" s="11" t="s">
        <v>201</v>
      </c>
      <c r="P10" s="33"/>
      <c r="Q10" s="2">
        <f>M66</f>
        <v>0</v>
      </c>
    </row>
    <row r="11" spans="1:21" x14ac:dyDescent="0.25">
      <c r="B11" s="4"/>
      <c r="C11" s="4"/>
      <c r="D11" s="3"/>
      <c r="E11" s="3"/>
      <c r="F11" s="3"/>
      <c r="G11" s="360">
        <v>43525</v>
      </c>
      <c r="H11" s="77">
        <v>100</v>
      </c>
      <c r="I11" s="43">
        <v>39.380000000000003</v>
      </c>
      <c r="J11" s="43">
        <v>0.05</v>
      </c>
      <c r="K11" s="43">
        <f t="shared" si="1"/>
        <v>3937.9500000000003</v>
      </c>
      <c r="L11" s="4"/>
      <c r="M11" s="4"/>
      <c r="O11" s="11" t="s">
        <v>173</v>
      </c>
      <c r="P11" s="33"/>
      <c r="Q11" s="131">
        <f>R11*4/Q4</f>
        <v>1.6443098225876245E-2</v>
      </c>
      <c r="R11">
        <v>0.19</v>
      </c>
    </row>
    <row r="12" spans="1:21" x14ac:dyDescent="0.25">
      <c r="H12" s="67"/>
      <c r="O12" s="11" t="s">
        <v>923</v>
      </c>
      <c r="Q12" s="1" t="s">
        <v>1315</v>
      </c>
    </row>
    <row r="13" spans="1:21" x14ac:dyDescent="0.25">
      <c r="H13" s="67"/>
      <c r="O13" s="11" t="s">
        <v>901</v>
      </c>
      <c r="Q13" s="2">
        <f>Q4/2.5</f>
        <v>18.488</v>
      </c>
      <c r="T13" s="1">
        <v>43215</v>
      </c>
      <c r="U13" t="s">
        <v>954</v>
      </c>
    </row>
    <row r="14" spans="1:21" x14ac:dyDescent="0.25">
      <c r="H14" s="67"/>
      <c r="O14" s="11" t="s">
        <v>966</v>
      </c>
      <c r="Q14" s="1">
        <v>43366</v>
      </c>
      <c r="T14" s="680"/>
      <c r="U14" s="30" t="s">
        <v>955</v>
      </c>
    </row>
    <row r="15" spans="1:21" x14ac:dyDescent="0.25">
      <c r="H15" s="67"/>
    </row>
    <row r="16" spans="1:21" x14ac:dyDescent="0.25">
      <c r="H16" s="67"/>
      <c r="T16" s="1">
        <v>43217</v>
      </c>
      <c r="U16" t="s">
        <v>962</v>
      </c>
    </row>
    <row r="18" spans="1:21" x14ac:dyDescent="0.25">
      <c r="A18" s="31" t="s">
        <v>81</v>
      </c>
      <c r="B18" s="14"/>
      <c r="C18" s="14">
        <f>SUM(C2:C10)</f>
        <v>950</v>
      </c>
      <c r="D18" s="18"/>
      <c r="E18" s="18"/>
      <c r="F18" s="18">
        <f>SUM(F2:F10)</f>
        <v>31723.5</v>
      </c>
      <c r="G18" s="14"/>
      <c r="H18" s="68">
        <f>SUM(H2:H11)</f>
        <v>950</v>
      </c>
      <c r="I18" s="18"/>
      <c r="J18" s="18"/>
      <c r="K18" s="18">
        <f>SUM(K2:K11)</f>
        <v>33576.06</v>
      </c>
      <c r="L18" s="14"/>
      <c r="M18" s="18">
        <f>SUM(M2:M17)</f>
        <v>114</v>
      </c>
      <c r="T18" s="1">
        <v>43228</v>
      </c>
      <c r="U18" t="s">
        <v>997</v>
      </c>
    </row>
    <row r="19" spans="1:21" ht="15.75" thickBot="1" x14ac:dyDescent="0.3">
      <c r="A19" s="273" t="s">
        <v>189</v>
      </c>
      <c r="B19" s="274"/>
      <c r="C19" s="275">
        <f>SumByColor($A$19,C2:C17)</f>
        <v>950</v>
      </c>
      <c r="D19" s="275"/>
      <c r="E19" s="275"/>
      <c r="F19" s="276">
        <f>SumByColor($A$19,F2:F17)</f>
        <v>31724</v>
      </c>
      <c r="G19" s="275"/>
      <c r="H19" s="275">
        <f>SumByColor($A$19,H2:H17)</f>
        <v>950</v>
      </c>
      <c r="I19" s="275"/>
      <c r="J19" s="275"/>
      <c r="K19" s="276">
        <f>SumByColor($A$19,K2:K17)</f>
        <v>33576</v>
      </c>
      <c r="L19" s="275"/>
      <c r="M19" s="276">
        <f>SumByColor($A$19,M2:M17)</f>
        <v>114</v>
      </c>
      <c r="T19" s="153"/>
    </row>
    <row r="21" spans="1:21" x14ac:dyDescent="0.25">
      <c r="T21" s="153">
        <v>43262</v>
      </c>
      <c r="U21" t="s">
        <v>963</v>
      </c>
    </row>
    <row r="22" spans="1:21" ht="20.25" thickBot="1" x14ac:dyDescent="0.35">
      <c r="O22" s="704" t="s">
        <v>78</v>
      </c>
      <c r="P22" s="704"/>
      <c r="T22" s="64"/>
    </row>
    <row r="23" spans="1:21" ht="15.75" thickTop="1" x14ac:dyDescent="0.25">
      <c r="O23" s="78">
        <v>1.1000000000000001</v>
      </c>
      <c r="P23" s="78">
        <f>O23*$Q$4</f>
        <v>50.842000000000006</v>
      </c>
      <c r="Q23" s="2"/>
      <c r="T23" s="153">
        <v>43263</v>
      </c>
      <c r="U23" t="s">
        <v>1040</v>
      </c>
    </row>
    <row r="24" spans="1:21" x14ac:dyDescent="0.25">
      <c r="B24" s="159" t="s">
        <v>113</v>
      </c>
      <c r="C24" s="159" t="s">
        <v>143</v>
      </c>
      <c r="D24" s="160" t="s">
        <v>142</v>
      </c>
      <c r="E24" s="162" t="s">
        <v>144</v>
      </c>
      <c r="F24" s="162" t="s">
        <v>65</v>
      </c>
      <c r="G24" s="173" t="s">
        <v>148</v>
      </c>
      <c r="H24" s="173" t="s">
        <v>88</v>
      </c>
      <c r="I24" s="173" t="s">
        <v>151</v>
      </c>
      <c r="J24" s="173" t="s">
        <v>147</v>
      </c>
      <c r="K24" s="173" t="s">
        <v>901</v>
      </c>
      <c r="L24" s="173"/>
      <c r="O24" s="78">
        <v>1.0900000000000001</v>
      </c>
      <c r="P24" s="78">
        <f t="shared" ref="P24:P43" si="2">O24*$Q$4</f>
        <v>50.379800000000003</v>
      </c>
      <c r="Q24" s="2"/>
    </row>
    <row r="25" spans="1:21" x14ac:dyDescent="0.25">
      <c r="B25" s="161">
        <v>43178</v>
      </c>
      <c r="C25" s="10">
        <v>150</v>
      </c>
      <c r="D25" s="39">
        <v>35.380000000000003</v>
      </c>
      <c r="E25" s="39">
        <v>35.35</v>
      </c>
      <c r="F25" s="39">
        <f>C25*(E25-D25)</f>
        <v>-4.5000000000001705</v>
      </c>
      <c r="G25" s="39">
        <f>D25*C25</f>
        <v>5307</v>
      </c>
      <c r="H25" s="175">
        <f>(E25-D25)/D25</f>
        <v>-8.4793668739404E-4</v>
      </c>
      <c r="I25" s="39"/>
      <c r="J25" s="39">
        <v>-4.5000000000001705</v>
      </c>
      <c r="K25" s="39"/>
      <c r="L25" s="39"/>
      <c r="O25" s="78">
        <v>1.08</v>
      </c>
      <c r="P25" s="78">
        <f t="shared" si="2"/>
        <v>49.9176</v>
      </c>
      <c r="Q25" s="2"/>
      <c r="T25" s="1">
        <v>43271</v>
      </c>
      <c r="U25" t="s">
        <v>1058</v>
      </c>
    </row>
    <row r="26" spans="1:21" x14ac:dyDescent="0.25">
      <c r="B26" s="161">
        <v>43184</v>
      </c>
      <c r="C26" s="10">
        <v>150</v>
      </c>
      <c r="D26" s="39">
        <v>35.380000000000003</v>
      </c>
      <c r="E26" s="39">
        <v>33.17</v>
      </c>
      <c r="F26" s="39">
        <f>C26*(E26-D26)</f>
        <v>-331.50000000000011</v>
      </c>
      <c r="G26" s="39">
        <f>D26*C26</f>
        <v>5307</v>
      </c>
      <c r="H26" s="175">
        <f>(E26-D26)/D26</f>
        <v>-6.2464669304691939E-2</v>
      </c>
      <c r="I26" s="39">
        <v>35</v>
      </c>
      <c r="J26" s="39">
        <v>-331.50000000000011</v>
      </c>
      <c r="K26" s="39"/>
      <c r="L26" s="39"/>
      <c r="O26" s="78">
        <v>1.07</v>
      </c>
      <c r="P26" s="78">
        <f t="shared" si="2"/>
        <v>49.455400000000004</v>
      </c>
      <c r="Q26" s="2"/>
      <c r="T26" s="1">
        <v>43300</v>
      </c>
      <c r="U26" t="s">
        <v>1135</v>
      </c>
    </row>
    <row r="27" spans="1:21" x14ac:dyDescent="0.25">
      <c r="B27" s="161">
        <v>43186</v>
      </c>
      <c r="C27" s="10">
        <v>150</v>
      </c>
      <c r="D27" s="39">
        <v>35.380000000000003</v>
      </c>
      <c r="E27" s="39">
        <v>32.99</v>
      </c>
      <c r="F27" s="39">
        <f>C27*(E27-D27)</f>
        <v>-358.50000000000011</v>
      </c>
      <c r="G27" s="39">
        <f>D27*C27</f>
        <v>5307</v>
      </c>
      <c r="H27" s="175">
        <f>(E27-D27)/D27</f>
        <v>-6.7552289429055973E-2</v>
      </c>
      <c r="I27" s="39"/>
      <c r="J27" s="39">
        <v>-358.50000000000011</v>
      </c>
      <c r="K27" s="39"/>
      <c r="L27" s="152"/>
      <c r="O27" s="78">
        <v>1.06</v>
      </c>
      <c r="P27" s="78">
        <f t="shared" si="2"/>
        <v>48.993200000000002</v>
      </c>
      <c r="Q27" s="2"/>
      <c r="T27" s="153">
        <v>43308</v>
      </c>
      <c r="U27" t="s">
        <v>1089</v>
      </c>
    </row>
    <row r="28" spans="1:21" x14ac:dyDescent="0.25">
      <c r="B28" s="161">
        <v>43200</v>
      </c>
      <c r="C28" s="10">
        <v>150</v>
      </c>
      <c r="D28" s="39">
        <v>35.380000000000003</v>
      </c>
      <c r="E28" s="39">
        <v>33.86</v>
      </c>
      <c r="F28" s="39">
        <f t="shared" ref="F28:F33" si="3">C28*(E28-D28)</f>
        <v>-228.00000000000045</v>
      </c>
      <c r="G28" s="39">
        <f t="shared" ref="G28:G33" si="4">D28*C28</f>
        <v>5307</v>
      </c>
      <c r="H28" s="175">
        <f t="shared" ref="H28:H33" si="5">(E28-D28)/D28</f>
        <v>-4.296212549462982E-2</v>
      </c>
      <c r="I28" s="39"/>
      <c r="J28" s="39">
        <v>-228.00000000000045</v>
      </c>
      <c r="K28" s="39"/>
      <c r="L28" s="152"/>
      <c r="O28" s="78">
        <v>1.05</v>
      </c>
      <c r="P28" s="78">
        <f t="shared" si="2"/>
        <v>48.530999999999999</v>
      </c>
      <c r="Q28" s="2"/>
    </row>
    <row r="29" spans="1:21" x14ac:dyDescent="0.25">
      <c r="B29" s="161">
        <v>43215</v>
      </c>
      <c r="C29" s="10">
        <v>150</v>
      </c>
      <c r="D29" s="39">
        <v>35.380000000000003</v>
      </c>
      <c r="E29" s="39">
        <v>34.26</v>
      </c>
      <c r="F29" s="39">
        <f t="shared" si="3"/>
        <v>-168.00000000000068</v>
      </c>
      <c r="G29" s="39">
        <f t="shared" si="4"/>
        <v>5307</v>
      </c>
      <c r="H29" s="175">
        <f t="shared" si="5"/>
        <v>-3.1656302996043086E-2</v>
      </c>
      <c r="I29" s="39">
        <v>35</v>
      </c>
      <c r="J29" s="39">
        <v>-168.00000000000068</v>
      </c>
      <c r="K29" s="39"/>
      <c r="L29" s="152"/>
      <c r="O29" s="78">
        <v>1.04</v>
      </c>
      <c r="P29" s="78">
        <f t="shared" si="2"/>
        <v>48.068800000000003</v>
      </c>
      <c r="Q29" s="2"/>
    </row>
    <row r="30" spans="1:21" x14ac:dyDescent="0.25">
      <c r="B30" s="161">
        <v>43217</v>
      </c>
      <c r="C30" s="7">
        <v>300</v>
      </c>
      <c r="D30" s="43">
        <v>33.53</v>
      </c>
      <c r="E30" s="39">
        <v>31.81</v>
      </c>
      <c r="F30" s="39">
        <f t="shared" si="3"/>
        <v>-516.00000000000068</v>
      </c>
      <c r="G30" s="39">
        <f t="shared" si="4"/>
        <v>10059</v>
      </c>
      <c r="H30" s="175">
        <f t="shared" si="5"/>
        <v>-5.1297345660602518E-2</v>
      </c>
      <c r="I30" s="39">
        <v>33</v>
      </c>
      <c r="J30" s="39">
        <v>-516.00000000000068</v>
      </c>
      <c r="K30" s="39"/>
      <c r="L30" s="152"/>
      <c r="O30" s="78">
        <v>1.03</v>
      </c>
      <c r="P30" s="78">
        <f t="shared" si="2"/>
        <v>47.6066</v>
      </c>
      <c r="Q30" s="2"/>
    </row>
    <row r="31" spans="1:21" x14ac:dyDescent="0.25">
      <c r="A31">
        <v>150</v>
      </c>
      <c r="B31" s="161">
        <v>43228</v>
      </c>
      <c r="C31" s="10">
        <v>400</v>
      </c>
      <c r="D31" s="39">
        <v>32.798000000000002</v>
      </c>
      <c r="E31" s="39">
        <v>30.59</v>
      </c>
      <c r="F31" s="39">
        <f t="shared" si="3"/>
        <v>-883.20000000000073</v>
      </c>
      <c r="G31" s="39">
        <f t="shared" si="4"/>
        <v>13119.2</v>
      </c>
      <c r="H31" s="175">
        <f t="shared" si="5"/>
        <v>-6.7321178120617164E-2</v>
      </c>
      <c r="I31" s="39"/>
      <c r="J31" s="39">
        <v>-883.20000000000073</v>
      </c>
      <c r="K31" s="39"/>
      <c r="L31" s="152"/>
      <c r="O31" s="78">
        <v>1.02</v>
      </c>
      <c r="P31" s="78">
        <f t="shared" si="2"/>
        <v>47.144399999999997</v>
      </c>
      <c r="Q31" s="2"/>
    </row>
    <row r="32" spans="1:21" x14ac:dyDescent="0.25">
      <c r="A32">
        <v>150</v>
      </c>
      <c r="B32" s="161">
        <v>43236</v>
      </c>
      <c r="C32" s="10">
        <v>400</v>
      </c>
      <c r="D32" s="39">
        <v>32.797499999999999</v>
      </c>
      <c r="E32" s="39">
        <v>32.549999999999997</v>
      </c>
      <c r="F32" s="39">
        <f t="shared" si="3"/>
        <v>-99.000000000000909</v>
      </c>
      <c r="G32" s="39">
        <f t="shared" si="4"/>
        <v>13119</v>
      </c>
      <c r="H32" s="175">
        <f t="shared" si="5"/>
        <v>-7.5463068831466504E-3</v>
      </c>
      <c r="I32" s="39"/>
      <c r="J32" s="39">
        <v>-99.000000000000909</v>
      </c>
      <c r="K32" s="39"/>
      <c r="L32" s="152"/>
      <c r="O32" s="78">
        <v>1.01</v>
      </c>
      <c r="P32" s="78">
        <f t="shared" si="2"/>
        <v>46.682200000000002</v>
      </c>
      <c r="Q32" s="2"/>
    </row>
    <row r="33" spans="1:17" x14ac:dyDescent="0.25">
      <c r="A33">
        <v>50</v>
      </c>
      <c r="B33" s="161">
        <v>43245</v>
      </c>
      <c r="C33" s="10">
        <v>300</v>
      </c>
      <c r="D33" s="39">
        <v>33.130000000000003</v>
      </c>
      <c r="E33" s="39">
        <v>31.75</v>
      </c>
      <c r="F33" s="39">
        <f t="shared" si="3"/>
        <v>-414.0000000000008</v>
      </c>
      <c r="G33" s="39">
        <f t="shared" si="4"/>
        <v>9939</v>
      </c>
      <c r="H33" s="175">
        <f t="shared" si="5"/>
        <v>-4.1654089948687065E-2</v>
      </c>
      <c r="I33" s="39">
        <v>33</v>
      </c>
      <c r="J33" s="39">
        <v>-414.0000000000008</v>
      </c>
      <c r="K33" s="39"/>
      <c r="L33" s="152"/>
      <c r="O33" s="78">
        <v>1</v>
      </c>
      <c r="P33" s="78">
        <f t="shared" si="2"/>
        <v>46.22</v>
      </c>
      <c r="Q33" s="2"/>
    </row>
    <row r="34" spans="1:17" x14ac:dyDescent="0.25">
      <c r="A34">
        <v>300</v>
      </c>
      <c r="B34" s="161">
        <v>43261</v>
      </c>
      <c r="C34" s="7">
        <v>300</v>
      </c>
      <c r="D34" s="43">
        <v>33.130000000000003</v>
      </c>
      <c r="E34" s="39">
        <v>32.08</v>
      </c>
      <c r="F34" s="39">
        <f t="shared" ref="F34:F43" si="6">C34*(E34-D34)</f>
        <v>-315.00000000000125</v>
      </c>
      <c r="G34" s="39">
        <f t="shared" ref="G34:G43" si="7">D34*C34</f>
        <v>9939</v>
      </c>
      <c r="H34" s="175">
        <f t="shared" ref="H34:H43" si="8">(E34-D34)/D34</f>
        <v>-3.1693329308783706E-2</v>
      </c>
      <c r="I34" s="39">
        <v>33</v>
      </c>
      <c r="J34" s="39">
        <v>-315.00000000000125</v>
      </c>
      <c r="K34" s="39">
        <v>12.83</v>
      </c>
      <c r="L34" s="152"/>
      <c r="O34" s="78">
        <v>0.99</v>
      </c>
      <c r="P34" s="78">
        <f t="shared" si="2"/>
        <v>45.757799999999996</v>
      </c>
      <c r="Q34" s="2"/>
    </row>
    <row r="35" spans="1:17" x14ac:dyDescent="0.25">
      <c r="B35" s="161">
        <v>43265</v>
      </c>
      <c r="C35" s="10">
        <v>150</v>
      </c>
      <c r="D35" s="39">
        <v>32.680700000000002</v>
      </c>
      <c r="E35" s="39">
        <v>33.82</v>
      </c>
      <c r="F35" s="39">
        <f t="shared" si="6"/>
        <v>170.89499999999981</v>
      </c>
      <c r="G35" s="39">
        <f t="shared" si="7"/>
        <v>4902.1050000000005</v>
      </c>
      <c r="H35" s="175">
        <f t="shared" si="8"/>
        <v>3.48615543730703E-2</v>
      </c>
      <c r="I35" s="39" t="s">
        <v>1055</v>
      </c>
      <c r="J35" s="39">
        <v>170.89499999999981</v>
      </c>
      <c r="K35" s="39">
        <v>13.53</v>
      </c>
      <c r="L35" s="152"/>
      <c r="O35" s="78">
        <v>0.98</v>
      </c>
      <c r="P35" s="78">
        <f t="shared" si="2"/>
        <v>45.2956</v>
      </c>
      <c r="Q35" s="2"/>
    </row>
    <row r="36" spans="1:17" x14ac:dyDescent="0.25">
      <c r="A36">
        <v>150</v>
      </c>
      <c r="B36" s="161">
        <v>43269</v>
      </c>
      <c r="C36" s="7">
        <v>300</v>
      </c>
      <c r="D36" s="43">
        <v>32.680399999999999</v>
      </c>
      <c r="E36" s="39">
        <v>32.58</v>
      </c>
      <c r="F36" s="39">
        <f t="shared" si="6"/>
        <v>-30.120000000000147</v>
      </c>
      <c r="G36" s="39">
        <f t="shared" si="7"/>
        <v>9804.119999999999</v>
      </c>
      <c r="H36" s="175">
        <f t="shared" si="8"/>
        <v>-3.0721778191209561E-3</v>
      </c>
      <c r="I36" s="39" t="s">
        <v>1055</v>
      </c>
      <c r="J36" s="39">
        <v>-30.120000000000147</v>
      </c>
      <c r="K36" s="39">
        <v>13.03</v>
      </c>
      <c r="L36" s="39"/>
      <c r="O36" s="78">
        <v>0.97</v>
      </c>
      <c r="P36" s="78">
        <f t="shared" si="2"/>
        <v>44.833399999999997</v>
      </c>
    </row>
    <row r="37" spans="1:17" x14ac:dyDescent="0.25">
      <c r="A37">
        <v>100</v>
      </c>
      <c r="B37" s="161">
        <v>43271</v>
      </c>
      <c r="C37" s="10">
        <v>250</v>
      </c>
      <c r="D37" s="39">
        <v>32.480499999999999</v>
      </c>
      <c r="E37" s="39">
        <v>33.39</v>
      </c>
      <c r="F37" s="39">
        <f t="shared" si="6"/>
        <v>227.37500000000034</v>
      </c>
      <c r="G37" s="39">
        <f t="shared" si="7"/>
        <v>8120.125</v>
      </c>
      <c r="H37" s="175">
        <f t="shared" si="8"/>
        <v>2.8001416234356039E-2</v>
      </c>
      <c r="I37" s="39"/>
      <c r="J37" s="39">
        <v>227.37500000000034</v>
      </c>
      <c r="K37" s="39">
        <v>13.36</v>
      </c>
      <c r="L37" s="39"/>
      <c r="O37" s="78">
        <v>0.96</v>
      </c>
      <c r="P37" s="78">
        <f t="shared" si="2"/>
        <v>44.371199999999995</v>
      </c>
    </row>
    <row r="38" spans="1:17" x14ac:dyDescent="0.25">
      <c r="A38">
        <v>100</v>
      </c>
      <c r="B38" s="161">
        <v>43278</v>
      </c>
      <c r="C38" s="10">
        <v>250</v>
      </c>
      <c r="D38" s="39">
        <v>32.480499999999999</v>
      </c>
      <c r="E38" s="39">
        <v>32.29</v>
      </c>
      <c r="F38" s="39">
        <f t="shared" si="6"/>
        <v>-47.625000000000028</v>
      </c>
      <c r="G38" s="39">
        <f t="shared" si="7"/>
        <v>8120.125</v>
      </c>
      <c r="H38" s="175">
        <f t="shared" si="8"/>
        <v>-5.8650574960360871E-3</v>
      </c>
      <c r="I38" s="39"/>
      <c r="J38" s="39">
        <v>-47.625000000000028</v>
      </c>
      <c r="K38" s="39">
        <v>12.92</v>
      </c>
      <c r="L38" s="39"/>
      <c r="O38" s="78">
        <v>0.95</v>
      </c>
      <c r="P38" s="78">
        <f t="shared" si="2"/>
        <v>43.908999999999999</v>
      </c>
    </row>
    <row r="39" spans="1:17" x14ac:dyDescent="0.25">
      <c r="A39">
        <v>100</v>
      </c>
      <c r="B39" s="161">
        <v>43288</v>
      </c>
      <c r="C39" s="10">
        <v>250</v>
      </c>
      <c r="D39" s="39">
        <v>32.480499999999999</v>
      </c>
      <c r="E39" s="39">
        <v>33.58</v>
      </c>
      <c r="F39" s="39">
        <f t="shared" si="6"/>
        <v>274.87499999999977</v>
      </c>
      <c r="G39" s="39">
        <f t="shared" si="7"/>
        <v>8120.125</v>
      </c>
      <c r="H39" s="175">
        <f t="shared" si="8"/>
        <v>3.385107987869642E-2</v>
      </c>
      <c r="I39" s="39"/>
      <c r="J39" s="39">
        <v>274.87499999999977</v>
      </c>
      <c r="K39" s="39">
        <v>13.432</v>
      </c>
      <c r="L39" s="39"/>
      <c r="O39" s="78">
        <v>0.94</v>
      </c>
      <c r="P39" s="78">
        <f t="shared" si="2"/>
        <v>43.446799999999996</v>
      </c>
    </row>
    <row r="40" spans="1:17" x14ac:dyDescent="0.25">
      <c r="A40">
        <v>0</v>
      </c>
      <c r="B40" s="161">
        <v>43292</v>
      </c>
      <c r="C40" s="10">
        <v>150</v>
      </c>
      <c r="D40" s="39">
        <v>31.4711</v>
      </c>
      <c r="E40" s="39">
        <v>34</v>
      </c>
      <c r="F40" s="39">
        <f t="shared" si="6"/>
        <v>379.33500000000004</v>
      </c>
      <c r="G40" s="39">
        <f t="shared" si="7"/>
        <v>4720.665</v>
      </c>
      <c r="H40" s="175">
        <f t="shared" si="8"/>
        <v>8.0356263365436872E-2</v>
      </c>
      <c r="I40" s="39"/>
      <c r="J40" s="39">
        <v>379.33500000000004</v>
      </c>
      <c r="K40" s="39">
        <v>13.6</v>
      </c>
      <c r="L40" s="39"/>
      <c r="O40" s="78">
        <v>0.93</v>
      </c>
      <c r="P40" s="78">
        <f t="shared" si="2"/>
        <v>42.9846</v>
      </c>
    </row>
    <row r="41" spans="1:17" x14ac:dyDescent="0.25">
      <c r="A41">
        <v>150</v>
      </c>
      <c r="B41" s="161">
        <v>43305</v>
      </c>
      <c r="C41" s="10">
        <v>150</v>
      </c>
      <c r="D41" s="39">
        <v>31.154499999999999</v>
      </c>
      <c r="E41" s="39">
        <v>33.39</v>
      </c>
      <c r="F41" s="39">
        <f t="shared" si="6"/>
        <v>335.32500000000027</v>
      </c>
      <c r="G41" s="39">
        <f t="shared" si="7"/>
        <v>4673.1750000000002</v>
      </c>
      <c r="H41" s="175">
        <f t="shared" si="8"/>
        <v>7.175528414835744E-2</v>
      </c>
      <c r="I41" s="39" t="s">
        <v>1143</v>
      </c>
      <c r="J41" s="39">
        <v>335.32500000000027</v>
      </c>
      <c r="K41" s="39">
        <v>13.356</v>
      </c>
      <c r="L41" s="39" t="s">
        <v>182</v>
      </c>
      <c r="O41" s="78">
        <v>0.92</v>
      </c>
      <c r="P41" s="78">
        <f t="shared" si="2"/>
        <v>42.522399999999998</v>
      </c>
    </row>
    <row r="42" spans="1:17" x14ac:dyDescent="0.25">
      <c r="B42" s="161">
        <v>43306</v>
      </c>
      <c r="C42" s="10">
        <v>250</v>
      </c>
      <c r="D42" s="39">
        <v>31.884699999999999</v>
      </c>
      <c r="E42" s="39">
        <v>32.979999999999997</v>
      </c>
      <c r="F42" s="39">
        <f t="shared" si="6"/>
        <v>273.82499999999953</v>
      </c>
      <c r="G42" s="39">
        <f t="shared" si="7"/>
        <v>7971.1749999999993</v>
      </c>
      <c r="H42" s="175">
        <f t="shared" si="8"/>
        <v>3.4351899186757226E-2</v>
      </c>
      <c r="I42" s="39"/>
      <c r="J42" s="39">
        <v>273.82499999999953</v>
      </c>
      <c r="K42" s="39">
        <v>13.19</v>
      </c>
      <c r="L42" s="39"/>
      <c r="O42" s="78">
        <v>0.91</v>
      </c>
      <c r="P42" s="78">
        <f t="shared" si="2"/>
        <v>42.060200000000002</v>
      </c>
    </row>
    <row r="43" spans="1:17" x14ac:dyDescent="0.25">
      <c r="A43">
        <v>50</v>
      </c>
      <c r="B43" s="161">
        <v>43307</v>
      </c>
      <c r="C43" s="10">
        <v>150</v>
      </c>
      <c r="D43" s="39">
        <v>29.954799999999999</v>
      </c>
      <c r="E43" s="39">
        <v>34.78</v>
      </c>
      <c r="F43" s="39">
        <f t="shared" si="6"/>
        <v>723.78000000000031</v>
      </c>
      <c r="G43" s="39">
        <f t="shared" si="7"/>
        <v>4493.22</v>
      </c>
      <c r="H43" s="175">
        <f t="shared" si="8"/>
        <v>0.16108269793155028</v>
      </c>
      <c r="I43" s="39" t="s">
        <v>1144</v>
      </c>
      <c r="J43" s="39">
        <v>723.78000000000031</v>
      </c>
      <c r="K43" s="39"/>
      <c r="L43" s="39"/>
      <c r="O43" s="78">
        <v>0.9</v>
      </c>
      <c r="P43" s="78">
        <f t="shared" si="2"/>
        <v>41.597999999999999</v>
      </c>
    </row>
    <row r="44" spans="1:17" x14ac:dyDescent="0.25">
      <c r="A44">
        <v>50</v>
      </c>
      <c r="B44" s="161">
        <v>43316</v>
      </c>
      <c r="C44" s="10">
        <v>150</v>
      </c>
      <c r="D44" s="39">
        <v>29.954799999999999</v>
      </c>
      <c r="E44" s="39">
        <v>35.409999999999997</v>
      </c>
      <c r="F44" s="39">
        <f t="shared" ref="F44:F57" si="9">C44*(E44-D44)</f>
        <v>818.27999999999963</v>
      </c>
      <c r="G44" s="39">
        <f t="shared" ref="G44:G57" si="10">D44*C44</f>
        <v>4493.22</v>
      </c>
      <c r="H44" s="175">
        <f t="shared" ref="H44:H57" si="11">(E44-D44)/D44</f>
        <v>0.18211438567441607</v>
      </c>
      <c r="I44" s="39"/>
      <c r="J44" s="39">
        <v>818.27999999999963</v>
      </c>
      <c r="K44" s="39"/>
      <c r="L44" s="39"/>
    </row>
    <row r="45" spans="1:17" x14ac:dyDescent="0.25">
      <c r="B45" s="161">
        <v>43325</v>
      </c>
      <c r="C45" s="10">
        <v>150</v>
      </c>
      <c r="D45" s="39">
        <v>29.95</v>
      </c>
      <c r="E45" s="39">
        <v>35.04</v>
      </c>
      <c r="F45" s="39">
        <f t="shared" si="9"/>
        <v>763.5</v>
      </c>
      <c r="G45" s="39">
        <f t="shared" si="10"/>
        <v>4492.5</v>
      </c>
      <c r="H45" s="175">
        <f t="shared" si="11"/>
        <v>0.1699499165275459</v>
      </c>
      <c r="I45" s="39"/>
      <c r="J45" s="39">
        <v>763.5</v>
      </c>
      <c r="K45" s="39"/>
      <c r="L45" s="39"/>
    </row>
    <row r="46" spans="1:17" x14ac:dyDescent="0.25">
      <c r="B46" s="161">
        <v>43332</v>
      </c>
      <c r="C46" s="10">
        <v>150</v>
      </c>
      <c r="D46" s="39">
        <v>29.95</v>
      </c>
      <c r="E46" s="39">
        <v>35.43</v>
      </c>
      <c r="F46" s="39">
        <f t="shared" si="9"/>
        <v>822.00000000000011</v>
      </c>
      <c r="G46" s="39">
        <f t="shared" si="10"/>
        <v>4492.5</v>
      </c>
      <c r="H46" s="175">
        <f t="shared" si="11"/>
        <v>0.18297161936560938</v>
      </c>
      <c r="I46" s="39"/>
      <c r="J46" s="39">
        <v>822.00000000000011</v>
      </c>
      <c r="K46" s="39"/>
      <c r="L46" s="39"/>
    </row>
    <row r="47" spans="1:17" x14ac:dyDescent="0.25">
      <c r="A47">
        <v>0</v>
      </c>
      <c r="B47" s="161">
        <v>43336</v>
      </c>
      <c r="C47" s="350">
        <v>100</v>
      </c>
      <c r="D47" s="351">
        <v>26.792000000000002</v>
      </c>
      <c r="E47" s="39">
        <v>36.5</v>
      </c>
      <c r="F47" s="760">
        <f t="shared" si="9"/>
        <v>970.79999999999984</v>
      </c>
      <c r="G47" s="39">
        <f t="shared" si="10"/>
        <v>2679.2000000000003</v>
      </c>
      <c r="H47" s="175">
        <f t="shared" si="11"/>
        <v>0.36234696924455051</v>
      </c>
      <c r="I47" s="39"/>
      <c r="J47" s="39">
        <v>970.79999999999984</v>
      </c>
      <c r="K47" s="39">
        <v>14.6</v>
      </c>
      <c r="L47" s="39"/>
    </row>
    <row r="48" spans="1:17" x14ac:dyDescent="0.25">
      <c r="B48" s="161">
        <v>43378</v>
      </c>
      <c r="C48" s="10">
        <v>200</v>
      </c>
      <c r="D48" s="39">
        <v>30.636199999999999</v>
      </c>
      <c r="E48" s="39">
        <v>34.56</v>
      </c>
      <c r="F48" s="39">
        <f t="shared" si="9"/>
        <v>784.76000000000067</v>
      </c>
      <c r="G48" s="39">
        <f t="shared" si="10"/>
        <v>6127.24</v>
      </c>
      <c r="H48" s="175">
        <f t="shared" si="11"/>
        <v>0.12807724195559514</v>
      </c>
      <c r="I48" s="39"/>
      <c r="J48" s="39">
        <v>784.76000000000067</v>
      </c>
      <c r="K48" s="39">
        <v>14.08</v>
      </c>
      <c r="L48" s="39"/>
    </row>
    <row r="49" spans="1:12" x14ac:dyDescent="0.25">
      <c r="A49">
        <v>0</v>
      </c>
      <c r="B49" s="161">
        <v>43388</v>
      </c>
      <c r="C49" s="350">
        <v>100</v>
      </c>
      <c r="D49" s="351">
        <v>25.672899999999998</v>
      </c>
      <c r="E49" s="39">
        <v>35.6</v>
      </c>
      <c r="F49" s="760">
        <f t="shared" si="9"/>
        <v>992.71000000000026</v>
      </c>
      <c r="G49" s="39">
        <f t="shared" si="10"/>
        <v>2567.29</v>
      </c>
      <c r="H49" s="175">
        <f t="shared" si="11"/>
        <v>0.38667622278745306</v>
      </c>
      <c r="I49" s="39"/>
      <c r="J49" s="39">
        <v>992.71000000000026</v>
      </c>
      <c r="K49" s="39">
        <v>13.85</v>
      </c>
      <c r="L49" s="39"/>
    </row>
    <row r="50" spans="1:12" x14ac:dyDescent="0.25">
      <c r="A50">
        <v>0</v>
      </c>
      <c r="B50" s="161">
        <v>43397</v>
      </c>
      <c r="C50" s="10">
        <v>200</v>
      </c>
      <c r="D50" s="39">
        <v>30.041499999999999</v>
      </c>
      <c r="E50" s="39">
        <v>34.119999999999997</v>
      </c>
      <c r="F50" s="39">
        <f t="shared" si="9"/>
        <v>815.69999999999959</v>
      </c>
      <c r="G50" s="39">
        <f t="shared" si="10"/>
        <v>6008.3</v>
      </c>
      <c r="H50" s="175">
        <f t="shared" si="11"/>
        <v>0.1357621956293793</v>
      </c>
      <c r="I50" s="39"/>
      <c r="J50" s="39">
        <v>815.69999999999959</v>
      </c>
      <c r="K50" s="39">
        <v>13.65</v>
      </c>
      <c r="L50" s="39"/>
    </row>
    <row r="51" spans="1:12" x14ac:dyDescent="0.25">
      <c r="A51">
        <v>100</v>
      </c>
      <c r="B51" s="161">
        <v>43413</v>
      </c>
      <c r="C51" s="350">
        <v>100</v>
      </c>
      <c r="D51" s="351">
        <v>21.403400000000001</v>
      </c>
      <c r="E51" s="39">
        <v>38.340000000000003</v>
      </c>
      <c r="F51" s="760">
        <f t="shared" si="9"/>
        <v>1693.6600000000003</v>
      </c>
      <c r="G51" s="39">
        <f t="shared" si="10"/>
        <v>2140.34</v>
      </c>
      <c r="H51" s="175">
        <f t="shared" si="11"/>
        <v>0.7913041853163516</v>
      </c>
      <c r="I51" s="39"/>
      <c r="J51" s="39">
        <v>1693.6600000000003</v>
      </c>
      <c r="K51" s="39">
        <v>15.34</v>
      </c>
      <c r="L51" s="39"/>
    </row>
    <row r="52" spans="1:12" x14ac:dyDescent="0.25">
      <c r="A52">
        <v>100</v>
      </c>
      <c r="B52" s="161">
        <v>43436</v>
      </c>
      <c r="C52" s="10">
        <v>100</v>
      </c>
      <c r="D52" s="39">
        <v>21.4</v>
      </c>
      <c r="E52" s="39">
        <v>39.01</v>
      </c>
      <c r="F52" s="760">
        <f t="shared" si="9"/>
        <v>1761</v>
      </c>
      <c r="G52" s="39">
        <f t="shared" si="10"/>
        <v>2140</v>
      </c>
      <c r="H52" s="175">
        <f t="shared" si="11"/>
        <v>0.82289719626168223</v>
      </c>
      <c r="I52" s="39"/>
      <c r="J52" s="39">
        <v>1761</v>
      </c>
      <c r="K52" s="39">
        <v>15.6</v>
      </c>
      <c r="L52" s="39"/>
    </row>
    <row r="53" spans="1:12" x14ac:dyDescent="0.25">
      <c r="A53">
        <v>100</v>
      </c>
      <c r="B53" s="161">
        <v>43471</v>
      </c>
      <c r="C53" s="10">
        <v>100</v>
      </c>
      <c r="D53" s="39">
        <v>21.4</v>
      </c>
      <c r="E53" s="39">
        <v>35.81</v>
      </c>
      <c r="F53" s="39">
        <f t="shared" si="9"/>
        <v>1441.0000000000005</v>
      </c>
      <c r="G53" s="39">
        <f t="shared" si="10"/>
        <v>2140</v>
      </c>
      <c r="H53" s="175">
        <f t="shared" si="11"/>
        <v>0.6733644859813086</v>
      </c>
      <c r="I53" s="39"/>
      <c r="J53" s="39">
        <v>1441.0000000000005</v>
      </c>
      <c r="K53" s="39">
        <v>14.32</v>
      </c>
      <c r="L53" s="39"/>
    </row>
    <row r="54" spans="1:12" x14ac:dyDescent="0.25">
      <c r="A54" s="4">
        <v>100</v>
      </c>
      <c r="B54" s="161">
        <v>43488</v>
      </c>
      <c r="C54" s="350">
        <v>100</v>
      </c>
      <c r="D54" s="351">
        <v>21.2134</v>
      </c>
      <c r="E54" s="39">
        <v>36.89</v>
      </c>
      <c r="F54" s="39">
        <f t="shared" si="9"/>
        <v>1567.66</v>
      </c>
      <c r="G54" s="39">
        <f t="shared" si="10"/>
        <v>2121.34</v>
      </c>
      <c r="H54" s="175">
        <f t="shared" si="11"/>
        <v>0.73899516343443294</v>
      </c>
      <c r="I54" s="39"/>
      <c r="J54" s="39">
        <v>1567.66</v>
      </c>
      <c r="K54" s="39">
        <v>14.76</v>
      </c>
      <c r="L54" s="39"/>
    </row>
    <row r="55" spans="1:12" x14ac:dyDescent="0.25">
      <c r="A55" s="4"/>
      <c r="B55" s="161">
        <v>43493</v>
      </c>
      <c r="C55" s="10">
        <v>200</v>
      </c>
      <c r="D55" s="39">
        <v>27.9467</v>
      </c>
      <c r="E55" s="39">
        <v>35.369999999999997</v>
      </c>
      <c r="F55" s="39">
        <f t="shared" si="9"/>
        <v>1484.6599999999994</v>
      </c>
      <c r="G55" s="39">
        <f t="shared" si="10"/>
        <v>5589.34</v>
      </c>
      <c r="H55" s="175">
        <f t="shared" si="11"/>
        <v>0.265623490429997</v>
      </c>
      <c r="I55" s="39"/>
      <c r="J55" s="39">
        <v>1484.6599999999994</v>
      </c>
      <c r="K55" s="39">
        <v>14.15</v>
      </c>
      <c r="L55" s="39"/>
    </row>
    <row r="56" spans="1:12" x14ac:dyDescent="0.25">
      <c r="A56" s="4">
        <v>0</v>
      </c>
      <c r="B56" s="161">
        <v>43494</v>
      </c>
      <c r="C56" s="350">
        <v>100</v>
      </c>
      <c r="D56" s="351">
        <v>19.713899999999999</v>
      </c>
      <c r="E56" s="39">
        <v>36.08</v>
      </c>
      <c r="F56" s="39">
        <f t="shared" si="9"/>
        <v>1636.61</v>
      </c>
      <c r="G56" s="39">
        <f t="shared" si="10"/>
        <v>1971.3899999999999</v>
      </c>
      <c r="H56" s="175">
        <f t="shared" si="11"/>
        <v>0.83018073542018578</v>
      </c>
      <c r="I56" s="39"/>
      <c r="J56" s="39">
        <v>1636.61</v>
      </c>
      <c r="K56" s="39">
        <v>14.43</v>
      </c>
      <c r="L56" s="39"/>
    </row>
    <row r="57" spans="1:12" x14ac:dyDescent="0.25">
      <c r="A57" s="4"/>
      <c r="B57" s="161">
        <v>43525</v>
      </c>
      <c r="C57" s="10">
        <v>0</v>
      </c>
      <c r="D57" s="39">
        <v>19.71</v>
      </c>
      <c r="E57" s="39">
        <v>39.1</v>
      </c>
      <c r="F57" s="39">
        <f t="shared" si="9"/>
        <v>0</v>
      </c>
      <c r="G57" s="39">
        <f t="shared" si="10"/>
        <v>0</v>
      </c>
      <c r="H57" s="175">
        <f t="shared" si="11"/>
        <v>0.98376458650431253</v>
      </c>
      <c r="I57" s="39"/>
      <c r="J57" s="760">
        <v>1966.56</v>
      </c>
      <c r="K57" s="39">
        <v>15.64</v>
      </c>
      <c r="L57" s="39"/>
    </row>
    <row r="58" spans="1:12" x14ac:dyDescent="0.25">
      <c r="A58" s="4"/>
      <c r="B58" s="161"/>
      <c r="C58" s="10"/>
      <c r="D58" s="39"/>
      <c r="E58" s="39"/>
      <c r="F58" s="39"/>
      <c r="G58" s="39"/>
      <c r="H58" s="175"/>
      <c r="I58" s="39"/>
      <c r="J58" s="39"/>
      <c r="K58" s="39"/>
      <c r="L58" s="39"/>
    </row>
    <row r="59" spans="1:12" x14ac:dyDescent="0.25">
      <c r="A59" s="4"/>
      <c r="B59" s="161"/>
      <c r="C59" s="10"/>
      <c r="D59" s="39"/>
      <c r="E59" s="39"/>
      <c r="F59" s="39"/>
      <c r="G59" s="39"/>
      <c r="H59" s="175"/>
      <c r="I59" s="39"/>
      <c r="J59" s="39"/>
      <c r="K59" s="39"/>
      <c r="L59" s="39"/>
    </row>
    <row r="60" spans="1:12" x14ac:dyDescent="0.25">
      <c r="A60" s="4"/>
      <c r="B60" s="161"/>
      <c r="C60" s="10"/>
      <c r="D60" s="39"/>
      <c r="E60" s="39"/>
      <c r="F60" s="39"/>
      <c r="G60" s="39"/>
      <c r="H60" s="175"/>
      <c r="I60" s="39"/>
      <c r="J60" s="39"/>
      <c r="K60" s="39"/>
      <c r="L60" s="39"/>
    </row>
    <row r="61" spans="1:12" x14ac:dyDescent="0.25">
      <c r="A61" s="4"/>
      <c r="B61" s="161"/>
      <c r="C61" s="10"/>
      <c r="D61" s="39"/>
      <c r="E61" s="39"/>
      <c r="F61" s="39"/>
      <c r="G61" s="39"/>
      <c r="H61" s="175"/>
      <c r="I61" s="39"/>
      <c r="J61" s="39"/>
      <c r="K61" s="39"/>
      <c r="L61" s="39"/>
    </row>
    <row r="62" spans="1:12" x14ac:dyDescent="0.25">
      <c r="A62" s="4"/>
      <c r="B62" s="69"/>
      <c r="C62" s="4"/>
      <c r="D62" s="3"/>
      <c r="E62" s="3"/>
      <c r="F62" s="3"/>
      <c r="G62" s="3"/>
      <c r="H62" s="212"/>
      <c r="I62" s="3"/>
      <c r="J62" s="3"/>
      <c r="K62" s="3"/>
      <c r="L62" s="4"/>
    </row>
    <row r="63" spans="1:12" x14ac:dyDescent="0.25">
      <c r="A63" s="4"/>
      <c r="B63" s="69"/>
      <c r="C63" s="4"/>
      <c r="D63" s="3"/>
      <c r="E63" s="3"/>
      <c r="F63" s="3"/>
      <c r="G63" s="3"/>
      <c r="H63" s="212"/>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23:O43">
    <cfRule type="colorScale" priority="38">
      <colorScale>
        <cfvo type="min"/>
        <cfvo type="percentile" val="50"/>
        <cfvo type="max"/>
        <color rgb="FFF8696B"/>
        <color rgb="FFFFEB84"/>
        <color rgb="FF63BE7B"/>
      </colorScale>
    </cfRule>
  </conditionalFormatting>
  <conditionalFormatting sqref="P23:P43">
    <cfRule type="colorScale" priority="37">
      <colorScale>
        <cfvo type="min"/>
        <cfvo type="percentile" val="50"/>
        <cfvo type="max"/>
        <color rgb="FFF8696B"/>
        <color rgb="FFFFEB84"/>
        <color rgb="FF63BE7B"/>
      </colorScale>
    </cfRule>
  </conditionalFormatting>
  <conditionalFormatting sqref="F62:F63 H62:H63">
    <cfRule type="expression" dxfId="2725" priority="35">
      <formula>F62&gt;0</formula>
    </cfRule>
    <cfRule type="expression" dxfId="2724" priority="36">
      <formula>F62&lt;0</formula>
    </cfRule>
  </conditionalFormatting>
  <conditionalFormatting sqref="Q7">
    <cfRule type="expression" dxfId="2723" priority="33">
      <formula>Q7&gt;0</formula>
    </cfRule>
    <cfRule type="expression" dxfId="2722" priority="34">
      <formula>Q7&lt;0</formula>
    </cfRule>
  </conditionalFormatting>
  <conditionalFormatting sqref="Q8">
    <cfRule type="expression" dxfId="2721" priority="31">
      <formula>Q8&gt;0</formula>
    </cfRule>
    <cfRule type="expression" dxfId="2720" priority="32">
      <formula>Q8&lt;0</formula>
    </cfRule>
  </conditionalFormatting>
  <conditionalFormatting sqref="F30:F61">
    <cfRule type="expression" dxfId="2719" priority="29">
      <formula>F30&gt;0</formula>
    </cfRule>
    <cfRule type="expression" dxfId="2718" priority="30">
      <formula>F30&lt;0</formula>
    </cfRule>
  </conditionalFormatting>
  <conditionalFormatting sqref="H30:H61">
    <cfRule type="expression" dxfId="2717" priority="27">
      <formula>H30&gt;0</formula>
    </cfRule>
    <cfRule type="expression" dxfId="2716" priority="28">
      <formula>H30&lt;0</formula>
    </cfRule>
  </conditionalFormatting>
  <conditionalFormatting sqref="Q10">
    <cfRule type="expression" dxfId="2715" priority="25">
      <formula>Q10&gt;0</formula>
    </cfRule>
    <cfRule type="expression" dxfId="2714" priority="26">
      <formula>Q10&lt;0</formula>
    </cfRule>
  </conditionalFormatting>
  <conditionalFormatting sqref="J25:J38">
    <cfRule type="expression" dxfId="2713" priority="23">
      <formula>J25&gt;0</formula>
    </cfRule>
    <cfRule type="expression" dxfId="2712" priority="24">
      <formula>J25&lt;0</formula>
    </cfRule>
  </conditionalFormatting>
  <conditionalFormatting sqref="K25:K33">
    <cfRule type="expression" dxfId="2711" priority="21">
      <formula>K25&gt;0</formula>
    </cfRule>
    <cfRule type="expression" dxfId="2710" priority="22">
      <formula>K25&lt;0</formula>
    </cfRule>
  </conditionalFormatting>
  <conditionalFormatting sqref="L25:L38">
    <cfRule type="expression" dxfId="2709" priority="19">
      <formula>L25&gt;0</formula>
    </cfRule>
    <cfRule type="expression" dxfId="2708" priority="20">
      <formula>L25&lt;0</formula>
    </cfRule>
  </conditionalFormatting>
  <conditionalFormatting sqref="F89:F110">
    <cfRule type="expression" dxfId="2707" priority="17">
      <formula>F89&gt;0</formula>
    </cfRule>
    <cfRule type="expression" dxfId="2706" priority="18">
      <formula>F89&lt;0</formula>
    </cfRule>
  </conditionalFormatting>
  <conditionalFormatting sqref="H89:H110">
    <cfRule type="expression" dxfId="2705" priority="15">
      <formula>H89&gt;0</formula>
    </cfRule>
    <cfRule type="expression" dxfId="2704" priority="16">
      <formula>H89&lt;0</formula>
    </cfRule>
  </conditionalFormatting>
  <conditionalFormatting sqref="J89:J102">
    <cfRule type="expression" dxfId="2703" priority="13">
      <formula>J89&gt;0</formula>
    </cfRule>
    <cfRule type="expression" dxfId="2702" priority="14">
      <formula>J89&lt;0</formula>
    </cfRule>
  </conditionalFormatting>
  <conditionalFormatting sqref="K89:K102">
    <cfRule type="expression" dxfId="2701" priority="11">
      <formula>K89&gt;0</formula>
    </cfRule>
    <cfRule type="expression" dxfId="2700" priority="12">
      <formula>K89&lt;0</formula>
    </cfRule>
  </conditionalFormatting>
  <conditionalFormatting sqref="L89:L102">
    <cfRule type="expression" dxfId="2699" priority="9">
      <formula>L89&gt;0</formula>
    </cfRule>
    <cfRule type="expression" dxfId="2698" priority="10">
      <formula>L89&lt;0</formula>
    </cfRule>
  </conditionalFormatting>
  <conditionalFormatting sqref="F25:F29">
    <cfRule type="expression" dxfId="2697" priority="7">
      <formula>F25&gt;0</formula>
    </cfRule>
    <cfRule type="expression" dxfId="2696" priority="8">
      <formula>F25&lt;0</formula>
    </cfRule>
  </conditionalFormatting>
  <conditionalFormatting sqref="H25:H29">
    <cfRule type="expression" dxfId="2695" priority="5">
      <formula>H25&gt;0</formula>
    </cfRule>
    <cfRule type="expression" dxfId="2694" priority="6">
      <formula>H25&lt;0</formula>
    </cfRule>
  </conditionalFormatting>
  <conditionalFormatting sqref="F29">
    <cfRule type="expression" dxfId="2693" priority="3">
      <formula>F29&gt;0</formula>
    </cfRule>
    <cfRule type="expression" dxfId="2692" priority="4">
      <formula>F29&lt;0</formula>
    </cfRule>
  </conditionalFormatting>
  <conditionalFormatting sqref="J57">
    <cfRule type="expression" dxfId="2691" priority="1">
      <formula>J57&gt;0</formula>
    </cfRule>
    <cfRule type="expression" dxfId="2690" priority="2">
      <formula>J57&lt;0</formula>
    </cfRule>
  </conditionalFormatting>
  <hyperlinks>
    <hyperlink ref="A3" location="ACTIVE!A1" display="Back"/>
  </hyperlinks>
  <pageMargins left="0.7" right="0.7" top="0.75" bottom="0.75" header="0.3" footer="0.3"/>
  <pageSetup orientation="portrait" r:id="rId1"/>
  <drawing r:id="rId2"/>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1.8554687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887</v>
      </c>
      <c r="B2" s="360">
        <v>43178</v>
      </c>
      <c r="C2" s="7">
        <v>50</v>
      </c>
      <c r="D2" s="43">
        <v>90.58</v>
      </c>
      <c r="E2" s="43">
        <v>0</v>
      </c>
      <c r="F2" s="43">
        <f>C2*D2+E2</f>
        <v>4529</v>
      </c>
      <c r="G2" s="360">
        <v>43210</v>
      </c>
      <c r="H2" s="7">
        <v>50</v>
      </c>
      <c r="I2" s="43">
        <v>100.6</v>
      </c>
      <c r="J2" s="43">
        <v>0.12</v>
      </c>
      <c r="K2" s="43">
        <f>H2*I2-J2</f>
        <v>5029.88</v>
      </c>
      <c r="L2" s="69"/>
      <c r="M2" s="3"/>
      <c r="O2" s="11" t="s">
        <v>57</v>
      </c>
      <c r="Q2">
        <f>C18-H18</f>
        <v>0</v>
      </c>
      <c r="T2" s="1"/>
    </row>
    <row r="3" spans="1:21" x14ac:dyDescent="0.25">
      <c r="A3" s="22" t="s">
        <v>71</v>
      </c>
      <c r="B3" s="69"/>
      <c r="C3" s="4"/>
      <c r="D3" s="3"/>
      <c r="E3" s="3"/>
      <c r="F3" s="3"/>
      <c r="G3" s="69"/>
      <c r="H3" s="158"/>
      <c r="I3" s="3"/>
      <c r="J3" s="3"/>
      <c r="K3" s="3"/>
      <c r="L3" s="4"/>
      <c r="M3" s="4"/>
      <c r="O3" s="11" t="s">
        <v>58</v>
      </c>
      <c r="Q3" s="174">
        <f>IF(Q2=0, Q4, (F18-K18-M18)/Q2)</f>
        <v>50.79</v>
      </c>
      <c r="T3" s="1"/>
    </row>
    <row r="4" spans="1:21" x14ac:dyDescent="0.25">
      <c r="B4" s="69"/>
      <c r="C4" s="4"/>
      <c r="D4" s="3"/>
      <c r="E4" s="3"/>
      <c r="F4" s="3"/>
      <c r="G4" s="69"/>
      <c r="H4" s="158"/>
      <c r="I4" s="3"/>
      <c r="J4" s="3"/>
      <c r="K4" s="3"/>
      <c r="L4" s="4"/>
      <c r="M4" s="4"/>
      <c r="O4" s="11" t="s">
        <v>66</v>
      </c>
      <c r="Q4" s="53">
        <v>50.79</v>
      </c>
      <c r="R4" s="416">
        <v>6.7000000000000002E-3</v>
      </c>
      <c r="T4" s="680"/>
      <c r="U4" s="30"/>
    </row>
    <row r="5" spans="1:21" x14ac:dyDescent="0.25">
      <c r="B5" s="69"/>
      <c r="C5" s="4"/>
      <c r="D5" s="3"/>
      <c r="E5" s="3"/>
      <c r="F5" s="3"/>
      <c r="G5" s="4"/>
      <c r="H5" s="158"/>
      <c r="I5" s="3"/>
      <c r="J5" s="3"/>
      <c r="K5" s="3"/>
      <c r="L5" s="4"/>
      <c r="M5" s="4"/>
      <c r="O5" s="11" t="s">
        <v>67</v>
      </c>
      <c r="Q5" s="3">
        <f>Q4*Q2</f>
        <v>0</v>
      </c>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500.88000000000011</v>
      </c>
      <c r="R7">
        <v>0</v>
      </c>
    </row>
    <row r="8" spans="1:21" x14ac:dyDescent="0.25">
      <c r="B8" s="69"/>
      <c r="C8" s="4"/>
      <c r="D8" s="3"/>
      <c r="E8" s="3"/>
      <c r="F8" s="3"/>
      <c r="G8" s="4"/>
      <c r="H8" s="158"/>
      <c r="I8" s="3"/>
      <c r="J8" s="3"/>
      <c r="K8" s="3"/>
      <c r="L8" s="4"/>
      <c r="M8" s="4"/>
      <c r="O8" s="11" t="s">
        <v>177</v>
      </c>
      <c r="P8" s="33"/>
      <c r="Q8" s="2">
        <f>K18+M18-F18+Q2*Q4</f>
        <v>500.88000000000011</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R11*4/Q4</f>
        <v>1.2600905690096476E-2</v>
      </c>
      <c r="R11">
        <v>0.16</v>
      </c>
    </row>
    <row r="12" spans="1:21" x14ac:dyDescent="0.25">
      <c r="H12" s="67"/>
      <c r="O12" s="11" t="s">
        <v>923</v>
      </c>
      <c r="Q12" s="1"/>
    </row>
    <row r="13" spans="1:21" x14ac:dyDescent="0.25">
      <c r="H13" s="67"/>
      <c r="O13" s="11" t="s">
        <v>901</v>
      </c>
      <c r="Q13" s="2">
        <f>Q4/7.38</f>
        <v>6.8821138211382111</v>
      </c>
    </row>
    <row r="14" spans="1:21" x14ac:dyDescent="0.25">
      <c r="H14" s="67"/>
    </row>
    <row r="15" spans="1:21" x14ac:dyDescent="0.25">
      <c r="H15" s="67"/>
    </row>
    <row r="16" spans="1:21" x14ac:dyDescent="0.25">
      <c r="H16" s="67"/>
    </row>
    <row r="18" spans="1:17" x14ac:dyDescent="0.25">
      <c r="A18" s="31" t="s">
        <v>81</v>
      </c>
      <c r="B18" s="14"/>
      <c r="C18" s="14">
        <f>SUM(C2:C8)</f>
        <v>50</v>
      </c>
      <c r="D18" s="18"/>
      <c r="E18" s="18"/>
      <c r="F18" s="18">
        <f>SUM(F2:F8)</f>
        <v>4529</v>
      </c>
      <c r="G18" s="14"/>
      <c r="H18" s="68">
        <f>SUM(H2:H5)</f>
        <v>50</v>
      </c>
      <c r="I18" s="18"/>
      <c r="J18" s="18"/>
      <c r="K18" s="18">
        <f>SUM(K2:K5)</f>
        <v>5029.88</v>
      </c>
      <c r="L18" s="14"/>
      <c r="M18" s="18">
        <f>SUM(M2:M10)</f>
        <v>0</v>
      </c>
    </row>
    <row r="19" spans="1:17" ht="15.75" thickBot="1" x14ac:dyDescent="0.3">
      <c r="A19" s="273" t="s">
        <v>189</v>
      </c>
      <c r="B19" s="274"/>
      <c r="C19" s="275">
        <f>SumByColor($A$19,C2:C17)</f>
        <v>50</v>
      </c>
      <c r="D19" s="275"/>
      <c r="E19" s="275"/>
      <c r="F19" s="276">
        <f>SumByColor($A$19,F2:F17)</f>
        <v>4529</v>
      </c>
      <c r="G19" s="275"/>
      <c r="H19" s="275">
        <f>SumByColor($A$19,H2:H17)</f>
        <v>50</v>
      </c>
      <c r="I19" s="275"/>
      <c r="J19" s="275"/>
      <c r="K19" s="276">
        <f>SumByColor($A$19,K2:K17)</f>
        <v>5030</v>
      </c>
      <c r="L19" s="275"/>
      <c r="M19" s="276">
        <f>SumByColor($A$19,M2:M17)</f>
        <v>0</v>
      </c>
    </row>
    <row r="22" spans="1:17" ht="20.25" thickBot="1" x14ac:dyDescent="0.35">
      <c r="O22" s="704" t="s">
        <v>78</v>
      </c>
      <c r="P22" s="704"/>
    </row>
    <row r="23" spans="1:17" ht="15.75" thickTop="1" x14ac:dyDescent="0.25">
      <c r="O23" s="78">
        <v>1.1000000000000001</v>
      </c>
      <c r="P23" s="78">
        <f>O23*$Q$4</f>
        <v>55.869000000000007</v>
      </c>
      <c r="Q23" s="2"/>
    </row>
    <row r="24" spans="1:17" x14ac:dyDescent="0.25">
      <c r="B24" s="159" t="s">
        <v>113</v>
      </c>
      <c r="C24" s="159" t="s">
        <v>143</v>
      </c>
      <c r="D24" s="160" t="s">
        <v>142</v>
      </c>
      <c r="E24" s="162" t="s">
        <v>144</v>
      </c>
      <c r="F24" s="162" t="s">
        <v>65</v>
      </c>
      <c r="G24" s="173" t="s">
        <v>148</v>
      </c>
      <c r="H24" s="173" t="s">
        <v>88</v>
      </c>
      <c r="I24" s="173" t="s">
        <v>151</v>
      </c>
      <c r="J24" s="173" t="s">
        <v>147</v>
      </c>
      <c r="K24" s="173"/>
      <c r="L24" s="173"/>
      <c r="O24" s="78">
        <v>1.0900000000000001</v>
      </c>
      <c r="P24" s="78">
        <f t="shared" ref="P24:P43" si="0">O24*$Q$4</f>
        <v>55.3611</v>
      </c>
      <c r="Q24" s="2"/>
    </row>
    <row r="25" spans="1:17" x14ac:dyDescent="0.25">
      <c r="B25" s="161">
        <v>43178</v>
      </c>
      <c r="C25" s="10">
        <v>50</v>
      </c>
      <c r="D25" s="39">
        <v>90.58</v>
      </c>
      <c r="E25" s="39">
        <v>91.65</v>
      </c>
      <c r="F25" s="39">
        <f>C25*(E25-D25)</f>
        <v>53.500000000000369</v>
      </c>
      <c r="G25" s="39">
        <f>D25*C25</f>
        <v>4529</v>
      </c>
      <c r="H25" s="175">
        <f>(E25-D25)/D25</f>
        <v>1.1812762199161045E-2</v>
      </c>
      <c r="I25" s="39"/>
      <c r="J25" s="39"/>
      <c r="K25" s="39"/>
      <c r="L25" s="39"/>
      <c r="O25" s="78">
        <v>1.08</v>
      </c>
      <c r="P25" s="78">
        <f t="shared" si="0"/>
        <v>54.853200000000001</v>
      </c>
      <c r="Q25" s="2"/>
    </row>
    <row r="26" spans="1:17" x14ac:dyDescent="0.25">
      <c r="B26" s="161">
        <v>43185</v>
      </c>
      <c r="C26" s="10">
        <v>50</v>
      </c>
      <c r="D26" s="39">
        <v>90.58</v>
      </c>
      <c r="E26" s="39">
        <v>94.77</v>
      </c>
      <c r="F26" s="39">
        <f>C26*(E26-D26)</f>
        <v>209.49999999999989</v>
      </c>
      <c r="G26" s="39">
        <f>D26*C26</f>
        <v>4529</v>
      </c>
      <c r="H26" s="175">
        <f>(E26-D26)/D26</f>
        <v>4.6257451976153649E-2</v>
      </c>
      <c r="I26" s="39"/>
      <c r="J26" s="39"/>
      <c r="K26" s="39"/>
      <c r="L26" s="39"/>
      <c r="O26" s="78">
        <v>1.07</v>
      </c>
      <c r="P26" s="78">
        <f t="shared" si="0"/>
        <v>54.345300000000002</v>
      </c>
      <c r="Q26" s="2"/>
    </row>
    <row r="27" spans="1:17" x14ac:dyDescent="0.25">
      <c r="B27" s="161">
        <v>43196</v>
      </c>
      <c r="C27" s="10">
        <v>50</v>
      </c>
      <c r="D27" s="39">
        <v>90.58</v>
      </c>
      <c r="E27" s="39">
        <v>90.46</v>
      </c>
      <c r="F27" s="39">
        <f>C27*(E27-D27)</f>
        <v>-6.0000000000002274</v>
      </c>
      <c r="G27" s="39">
        <f>D27*C27</f>
        <v>4529</v>
      </c>
      <c r="H27" s="175">
        <f>(E27-D27)/D27</f>
        <v>-1.3247957606536162E-3</v>
      </c>
      <c r="I27" s="39"/>
      <c r="J27" s="39"/>
      <c r="K27" s="39"/>
      <c r="L27" s="152"/>
      <c r="O27" s="78">
        <v>1.06</v>
      </c>
      <c r="P27" s="78">
        <f t="shared" si="0"/>
        <v>53.837400000000002</v>
      </c>
      <c r="Q27" s="2"/>
    </row>
    <row r="28" spans="1:17" x14ac:dyDescent="0.25">
      <c r="B28" s="161">
        <v>43206</v>
      </c>
      <c r="C28" s="10">
        <v>50</v>
      </c>
      <c r="D28" s="39">
        <v>90.58</v>
      </c>
      <c r="E28" s="39">
        <v>96.72</v>
      </c>
      <c r="F28" s="39">
        <f>C28*(E28-D28)</f>
        <v>307</v>
      </c>
      <c r="G28" s="39">
        <f>D28*C28</f>
        <v>4529</v>
      </c>
      <c r="H28" s="175">
        <f>(E28-D28)/D28</f>
        <v>6.7785383086774134E-2</v>
      </c>
      <c r="I28" s="39"/>
      <c r="J28" s="39"/>
      <c r="K28" s="39"/>
      <c r="L28" s="152"/>
      <c r="O28" s="78">
        <v>1.05</v>
      </c>
      <c r="P28" s="78">
        <f t="shared" si="0"/>
        <v>53.329500000000003</v>
      </c>
      <c r="Q28" s="2"/>
    </row>
    <row r="29" spans="1:17" x14ac:dyDescent="0.25">
      <c r="B29" s="161">
        <v>43208</v>
      </c>
      <c r="C29" s="10">
        <v>50</v>
      </c>
      <c r="D29" s="39">
        <v>90.58</v>
      </c>
      <c r="E29" s="39">
        <v>100.97</v>
      </c>
      <c r="F29" s="39">
        <f>C29*(E29-D29)</f>
        <v>519.5</v>
      </c>
      <c r="G29" s="39">
        <f>D29*C29</f>
        <v>4529</v>
      </c>
      <c r="H29" s="175">
        <f>(E29-D29)/D29</f>
        <v>0.11470523294325459</v>
      </c>
      <c r="I29" s="39"/>
      <c r="J29" s="39"/>
      <c r="K29" s="39"/>
      <c r="L29" s="152"/>
      <c r="O29" s="78">
        <v>1.04</v>
      </c>
      <c r="P29" s="78">
        <f t="shared" si="0"/>
        <v>52.821600000000004</v>
      </c>
      <c r="Q29" s="2"/>
    </row>
    <row r="30" spans="1:17" x14ac:dyDescent="0.25">
      <c r="B30" s="161">
        <v>43210</v>
      </c>
      <c r="C30" s="10">
        <v>0</v>
      </c>
      <c r="D30" s="39"/>
      <c r="E30" s="39">
        <v>100.44</v>
      </c>
      <c r="F30" s="39">
        <v>500.88</v>
      </c>
      <c r="G30" s="39"/>
      <c r="H30" s="175"/>
      <c r="I30" s="39"/>
      <c r="J30" s="39"/>
      <c r="K30" s="39"/>
      <c r="L30" s="152"/>
      <c r="O30" s="78">
        <v>1.03</v>
      </c>
      <c r="P30" s="78">
        <f t="shared" si="0"/>
        <v>52.313699999999997</v>
      </c>
      <c r="Q30" s="2"/>
    </row>
    <row r="31" spans="1:17" x14ac:dyDescent="0.25">
      <c r="B31" s="161"/>
      <c r="C31" s="10"/>
      <c r="D31" s="39"/>
      <c r="E31" s="39"/>
      <c r="F31" s="39"/>
      <c r="G31" s="39"/>
      <c r="H31" s="175"/>
      <c r="I31" s="39"/>
      <c r="J31" s="39"/>
      <c r="K31" s="39"/>
      <c r="L31" s="152"/>
      <c r="O31" s="78">
        <v>1.02</v>
      </c>
      <c r="P31" s="78">
        <f t="shared" si="0"/>
        <v>51.805799999999998</v>
      </c>
      <c r="Q31" s="2"/>
    </row>
    <row r="32" spans="1:17" x14ac:dyDescent="0.25">
      <c r="B32" s="161"/>
      <c r="C32" s="10"/>
      <c r="D32" s="39"/>
      <c r="E32" s="39"/>
      <c r="F32" s="39"/>
      <c r="G32" s="39"/>
      <c r="H32" s="175"/>
      <c r="I32" s="39"/>
      <c r="J32" s="39"/>
      <c r="K32" s="39"/>
      <c r="L32" s="152"/>
      <c r="O32" s="78">
        <v>1.01</v>
      </c>
      <c r="P32" s="78">
        <f t="shared" si="0"/>
        <v>51.297899999999998</v>
      </c>
      <c r="Q32" s="2"/>
    </row>
    <row r="33" spans="2:17" x14ac:dyDescent="0.25">
      <c r="B33" s="161"/>
      <c r="C33" s="10"/>
      <c r="D33" s="39"/>
      <c r="E33" s="39"/>
      <c r="F33" s="39"/>
      <c r="G33" s="39"/>
      <c r="H33" s="175"/>
      <c r="I33" s="39"/>
      <c r="J33" s="39"/>
      <c r="K33" s="39"/>
      <c r="L33" s="152"/>
      <c r="O33" s="78">
        <v>1</v>
      </c>
      <c r="P33" s="78">
        <f t="shared" si="0"/>
        <v>50.79</v>
      </c>
      <c r="Q33" s="2"/>
    </row>
    <row r="34" spans="2:17" x14ac:dyDescent="0.25">
      <c r="B34" s="161"/>
      <c r="C34" s="10"/>
      <c r="D34" s="39"/>
      <c r="E34" s="39"/>
      <c r="F34" s="39"/>
      <c r="G34" s="39"/>
      <c r="H34" s="175"/>
      <c r="I34" s="39"/>
      <c r="J34" s="39"/>
      <c r="K34" s="39"/>
      <c r="L34" s="152"/>
      <c r="O34" s="78">
        <v>0.99</v>
      </c>
      <c r="P34" s="78">
        <f t="shared" si="0"/>
        <v>50.2821</v>
      </c>
      <c r="Q34" s="2"/>
    </row>
    <row r="35" spans="2:17" x14ac:dyDescent="0.25">
      <c r="B35" s="161"/>
      <c r="C35" s="10"/>
      <c r="D35" s="39"/>
      <c r="E35" s="39"/>
      <c r="F35" s="39"/>
      <c r="G35" s="39"/>
      <c r="H35" s="175"/>
      <c r="I35" s="39"/>
      <c r="J35" s="39"/>
      <c r="K35" s="39"/>
      <c r="L35" s="152"/>
      <c r="O35" s="78">
        <v>0.98</v>
      </c>
      <c r="P35" s="78">
        <f t="shared" si="0"/>
        <v>49.7742</v>
      </c>
      <c r="Q35" s="2"/>
    </row>
    <row r="36" spans="2:17" x14ac:dyDescent="0.25">
      <c r="B36" s="161"/>
      <c r="C36" s="10"/>
      <c r="D36" s="39"/>
      <c r="E36" s="39"/>
      <c r="F36" s="39"/>
      <c r="G36" s="39"/>
      <c r="H36" s="175"/>
      <c r="I36" s="39"/>
      <c r="J36" s="39"/>
      <c r="K36" s="39"/>
      <c r="L36" s="39"/>
      <c r="O36" s="78">
        <v>0.97</v>
      </c>
      <c r="P36" s="78">
        <f t="shared" si="0"/>
        <v>49.266300000000001</v>
      </c>
    </row>
    <row r="37" spans="2:17" x14ac:dyDescent="0.25">
      <c r="B37" s="161"/>
      <c r="C37" s="10"/>
      <c r="D37" s="39"/>
      <c r="E37" s="39"/>
      <c r="F37" s="39"/>
      <c r="G37" s="39"/>
      <c r="H37" s="175"/>
      <c r="I37" s="39"/>
      <c r="J37" s="39"/>
      <c r="K37" s="39"/>
      <c r="L37" s="39"/>
      <c r="O37" s="78">
        <v>0.96</v>
      </c>
      <c r="P37" s="78">
        <f t="shared" si="0"/>
        <v>48.758399999999995</v>
      </c>
    </row>
    <row r="38" spans="2:17" x14ac:dyDescent="0.25">
      <c r="B38" s="161"/>
      <c r="C38" s="10"/>
      <c r="D38" s="39"/>
      <c r="E38" s="39"/>
      <c r="F38" s="39"/>
      <c r="G38" s="39"/>
      <c r="H38" s="175"/>
      <c r="I38" s="39"/>
      <c r="J38" s="39"/>
      <c r="K38" s="39"/>
      <c r="L38" s="39"/>
      <c r="O38" s="78">
        <v>0.95</v>
      </c>
      <c r="P38" s="78">
        <f t="shared" si="0"/>
        <v>48.250499999999995</v>
      </c>
    </row>
    <row r="39" spans="2:17" x14ac:dyDescent="0.25">
      <c r="B39" s="161"/>
      <c r="C39" s="10"/>
      <c r="D39" s="39"/>
      <c r="E39" s="39"/>
      <c r="F39" s="39"/>
      <c r="G39" s="39"/>
      <c r="H39" s="175"/>
      <c r="I39" s="39"/>
      <c r="J39" s="39"/>
      <c r="K39" s="39"/>
      <c r="L39" s="39"/>
      <c r="O39" s="78">
        <v>0.94</v>
      </c>
      <c r="P39" s="78">
        <f t="shared" si="0"/>
        <v>47.742599999999996</v>
      </c>
    </row>
    <row r="40" spans="2:17" x14ac:dyDescent="0.25">
      <c r="B40" s="161"/>
      <c r="C40" s="10"/>
      <c r="D40" s="39"/>
      <c r="E40" s="39"/>
      <c r="F40" s="39"/>
      <c r="G40" s="39"/>
      <c r="H40" s="175"/>
      <c r="I40" s="39"/>
      <c r="J40" s="39"/>
      <c r="K40" s="39"/>
      <c r="L40" s="39"/>
      <c r="O40" s="78">
        <v>0.93</v>
      </c>
      <c r="P40" s="78">
        <f t="shared" si="0"/>
        <v>47.234700000000004</v>
      </c>
    </row>
    <row r="41" spans="2:17" x14ac:dyDescent="0.25">
      <c r="B41" s="161"/>
      <c r="C41" s="10"/>
      <c r="D41" s="39"/>
      <c r="E41" s="39"/>
      <c r="F41" s="39"/>
      <c r="G41" s="39"/>
      <c r="H41" s="175"/>
      <c r="I41" s="39"/>
      <c r="J41" s="39"/>
      <c r="K41" s="39"/>
      <c r="L41" s="39"/>
      <c r="O41" s="78">
        <v>0.92</v>
      </c>
      <c r="P41" s="78">
        <f t="shared" si="0"/>
        <v>46.726800000000004</v>
      </c>
    </row>
    <row r="42" spans="2:17" x14ac:dyDescent="0.25">
      <c r="B42" s="161"/>
      <c r="C42" s="10"/>
      <c r="D42" s="39"/>
      <c r="E42" s="39"/>
      <c r="F42" s="39"/>
      <c r="G42" s="39"/>
      <c r="H42" s="175"/>
      <c r="I42" s="39"/>
      <c r="J42" s="39"/>
      <c r="K42" s="39"/>
      <c r="L42" s="39"/>
      <c r="O42" s="78">
        <v>0.91</v>
      </c>
      <c r="P42" s="78">
        <f t="shared" si="0"/>
        <v>46.218899999999998</v>
      </c>
    </row>
    <row r="43" spans="2:17" x14ac:dyDescent="0.25">
      <c r="B43" s="161"/>
      <c r="C43" s="10"/>
      <c r="D43" s="39"/>
      <c r="E43" s="39"/>
      <c r="F43" s="39"/>
      <c r="G43" s="39"/>
      <c r="H43" s="175"/>
      <c r="I43" s="39"/>
      <c r="J43" s="39"/>
      <c r="K43" s="39"/>
      <c r="L43" s="39"/>
      <c r="O43" s="78">
        <v>0.9</v>
      </c>
      <c r="P43" s="78">
        <f t="shared" si="0"/>
        <v>45.710999999999999</v>
      </c>
    </row>
    <row r="44" spans="2:17" x14ac:dyDescent="0.25">
      <c r="B44" s="161"/>
      <c r="C44" s="10"/>
      <c r="D44" s="39"/>
      <c r="E44" s="39"/>
      <c r="F44" s="39"/>
      <c r="G44" s="39"/>
      <c r="H44" s="175"/>
      <c r="I44" s="39"/>
      <c r="J44" s="39"/>
      <c r="K44" s="39"/>
      <c r="L44" s="39"/>
    </row>
    <row r="45" spans="2:17" x14ac:dyDescent="0.25">
      <c r="B45" s="161"/>
      <c r="C45" s="10"/>
      <c r="D45" s="39"/>
      <c r="E45" s="39"/>
      <c r="F45" s="39"/>
      <c r="G45" s="39"/>
      <c r="H45" s="175"/>
      <c r="I45" s="39"/>
      <c r="J45" s="39"/>
      <c r="K45" s="39"/>
      <c r="L45" s="39"/>
    </row>
    <row r="46" spans="2:17" x14ac:dyDescent="0.25">
      <c r="B46" s="161"/>
      <c r="C46" s="10"/>
      <c r="D46" s="39"/>
      <c r="E46" s="39"/>
      <c r="F46" s="39"/>
      <c r="G46" s="39"/>
      <c r="H46" s="175"/>
      <c r="I46" s="39"/>
      <c r="J46" s="39"/>
      <c r="K46" s="39"/>
      <c r="L46" s="39"/>
    </row>
    <row r="47" spans="2:17" x14ac:dyDescent="0.25">
      <c r="B47" s="69"/>
      <c r="C47" s="4"/>
      <c r="D47" s="3"/>
      <c r="E47" s="3"/>
      <c r="F47" s="3"/>
      <c r="G47" s="3"/>
      <c r="H47" s="212"/>
      <c r="I47" s="210"/>
    </row>
    <row r="48" spans="2:17" x14ac:dyDescent="0.25">
      <c r="B48" s="69"/>
      <c r="C48" s="4"/>
      <c r="D48" s="3"/>
      <c r="E48" s="3"/>
      <c r="F48" s="3"/>
      <c r="G48" s="3"/>
      <c r="H48" s="212"/>
      <c r="I48" s="3"/>
    </row>
    <row r="49" spans="1:12" x14ac:dyDescent="0.25">
      <c r="B49" s="69"/>
      <c r="C49" s="4"/>
      <c r="D49" s="3"/>
      <c r="E49" s="3"/>
      <c r="F49" s="3"/>
      <c r="G49" s="3"/>
      <c r="H49" s="212"/>
      <c r="I49" s="3"/>
    </row>
    <row r="50" spans="1:12" x14ac:dyDescent="0.25">
      <c r="B50" s="69"/>
      <c r="C50" s="4"/>
      <c r="D50" s="3"/>
      <c r="E50" s="3"/>
      <c r="F50" s="3"/>
      <c r="G50" s="3"/>
      <c r="H50" s="212"/>
      <c r="I50" s="3"/>
    </row>
    <row r="51" spans="1:12" x14ac:dyDescent="0.25">
      <c r="B51" s="69"/>
      <c r="C51" s="4"/>
      <c r="D51" s="3"/>
      <c r="E51" s="3"/>
      <c r="F51" s="3"/>
      <c r="G51" s="3"/>
      <c r="H51" s="212"/>
      <c r="I51" s="3"/>
    </row>
    <row r="52" spans="1:12" x14ac:dyDescent="0.25">
      <c r="B52" s="69"/>
      <c r="C52" s="4"/>
      <c r="D52" s="3"/>
      <c r="E52" s="3"/>
      <c r="F52" s="3"/>
      <c r="G52" s="3"/>
      <c r="H52" s="212"/>
      <c r="I52" s="3"/>
    </row>
    <row r="53" spans="1:12" x14ac:dyDescent="0.25">
      <c r="B53" s="69"/>
      <c r="C53" s="4"/>
      <c r="D53" s="3"/>
      <c r="E53" s="3"/>
      <c r="F53" s="3"/>
      <c r="G53" s="3"/>
      <c r="H53" s="212"/>
      <c r="I53" s="3"/>
    </row>
    <row r="54" spans="1:12" x14ac:dyDescent="0.25">
      <c r="A54" s="4"/>
      <c r="B54" s="69"/>
      <c r="C54" s="4"/>
      <c r="D54" s="3"/>
      <c r="E54" s="3"/>
      <c r="F54" s="3"/>
      <c r="G54" s="3"/>
      <c r="H54" s="212"/>
      <c r="I54" s="3"/>
      <c r="J54" s="3"/>
      <c r="K54" s="3"/>
      <c r="L54" s="4"/>
    </row>
    <row r="55" spans="1:12" x14ac:dyDescent="0.25">
      <c r="A55" s="4"/>
      <c r="B55" s="69"/>
      <c r="C55" s="4"/>
      <c r="D55" s="3"/>
      <c r="E55" s="3"/>
      <c r="F55" s="3"/>
      <c r="G55" s="3"/>
      <c r="H55" s="212"/>
      <c r="I55" s="3"/>
      <c r="J55" s="3"/>
      <c r="K55" s="3"/>
      <c r="L55" s="4"/>
    </row>
    <row r="56" spans="1:12" x14ac:dyDescent="0.25">
      <c r="A56" s="4"/>
      <c r="B56" s="69"/>
      <c r="C56" s="4"/>
      <c r="D56" s="3"/>
      <c r="E56" s="3"/>
      <c r="F56" s="3"/>
      <c r="G56" s="3"/>
      <c r="H56" s="212"/>
      <c r="I56" s="3"/>
      <c r="J56" s="3"/>
      <c r="K56" s="3"/>
      <c r="L56" s="4"/>
    </row>
    <row r="57" spans="1:12" x14ac:dyDescent="0.25">
      <c r="A57" s="4"/>
      <c r="B57" s="69"/>
      <c r="C57" s="4"/>
      <c r="D57" s="3"/>
      <c r="E57" s="3"/>
      <c r="F57" s="3"/>
      <c r="G57" s="3"/>
      <c r="H57" s="212"/>
      <c r="I57" s="3"/>
      <c r="J57" s="3"/>
      <c r="K57" s="3"/>
      <c r="L57" s="4"/>
    </row>
    <row r="58" spans="1:12" x14ac:dyDescent="0.25">
      <c r="A58" s="4"/>
      <c r="B58" s="69"/>
      <c r="C58" s="4"/>
      <c r="D58" s="3"/>
      <c r="E58" s="3"/>
      <c r="F58" s="3"/>
      <c r="G58" s="3"/>
      <c r="H58" s="212"/>
      <c r="I58" s="3"/>
      <c r="J58" s="3"/>
      <c r="K58" s="3"/>
      <c r="L58" s="4"/>
    </row>
    <row r="59" spans="1:12" x14ac:dyDescent="0.25">
      <c r="A59" s="4"/>
      <c r="B59" s="69"/>
      <c r="C59" s="4"/>
      <c r="D59" s="3"/>
      <c r="E59" s="3"/>
      <c r="F59" s="3"/>
      <c r="G59" s="3"/>
      <c r="H59" s="212"/>
      <c r="I59" s="3"/>
      <c r="J59" s="3"/>
      <c r="K59" s="3"/>
      <c r="L59" s="4"/>
    </row>
    <row r="60" spans="1:12" x14ac:dyDescent="0.25">
      <c r="A60" s="4"/>
      <c r="B60" s="69"/>
      <c r="C60" s="4"/>
      <c r="D60" s="3"/>
      <c r="E60" s="3"/>
      <c r="F60" s="3"/>
      <c r="G60" s="3"/>
      <c r="H60" s="212"/>
      <c r="I60" s="3"/>
      <c r="J60" s="3"/>
      <c r="K60" s="3"/>
      <c r="L60" s="4"/>
    </row>
    <row r="61" spans="1:12" x14ac:dyDescent="0.25">
      <c r="A61" s="4"/>
      <c r="B61" s="69"/>
      <c r="C61" s="4"/>
      <c r="D61" s="3"/>
      <c r="E61" s="3"/>
      <c r="F61" s="3"/>
      <c r="G61" s="3"/>
      <c r="H61" s="212"/>
      <c r="I61" s="3"/>
      <c r="J61" s="3"/>
      <c r="K61" s="3"/>
      <c r="L61" s="4"/>
    </row>
    <row r="62" spans="1:12" x14ac:dyDescent="0.25">
      <c r="A62" s="4"/>
      <c r="B62" s="69"/>
      <c r="C62" s="4"/>
      <c r="D62" s="3"/>
      <c r="E62" s="3"/>
      <c r="F62" s="3"/>
      <c r="G62" s="3"/>
      <c r="H62" s="212"/>
      <c r="I62" s="3"/>
      <c r="J62" s="3"/>
      <c r="K62" s="3"/>
      <c r="L62" s="4"/>
    </row>
    <row r="63" spans="1:12" x14ac:dyDescent="0.25">
      <c r="A63" s="4"/>
      <c r="B63" s="69"/>
      <c r="C63" s="4"/>
      <c r="D63" s="3"/>
      <c r="E63" s="3"/>
      <c r="F63" s="3"/>
      <c r="G63" s="3"/>
      <c r="H63" s="212"/>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846</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47:F63 H47:H63">
    <cfRule type="expression" dxfId="2689" priority="31">
      <formula>F47&gt;0</formula>
    </cfRule>
    <cfRule type="expression" dxfId="2688" priority="32">
      <formula>F47&lt;0</formula>
    </cfRule>
  </conditionalFormatting>
  <conditionalFormatting sqref="Q7">
    <cfRule type="expression" dxfId="2687" priority="29">
      <formula>Q7&gt;0</formula>
    </cfRule>
    <cfRule type="expression" dxfId="2686" priority="30">
      <formula>Q7&lt;0</formula>
    </cfRule>
  </conditionalFormatting>
  <conditionalFormatting sqref="Q8">
    <cfRule type="expression" dxfId="2685" priority="27">
      <formula>Q8&gt;0</formula>
    </cfRule>
    <cfRule type="expression" dxfId="2684" priority="28">
      <formula>Q8&lt;0</formula>
    </cfRule>
  </conditionalFormatting>
  <conditionalFormatting sqref="F30:F46">
    <cfRule type="expression" dxfId="2683" priority="25">
      <formula>F30&gt;0</formula>
    </cfRule>
    <cfRule type="expression" dxfId="2682" priority="26">
      <formula>F30&lt;0</formula>
    </cfRule>
  </conditionalFormatting>
  <conditionalFormatting sqref="H30:H46">
    <cfRule type="expression" dxfId="2681" priority="23">
      <formula>H30&gt;0</formula>
    </cfRule>
    <cfRule type="expression" dxfId="2680" priority="24">
      <formula>H30&lt;0</formula>
    </cfRule>
  </conditionalFormatting>
  <conditionalFormatting sqref="Q10">
    <cfRule type="expression" dxfId="2679" priority="21">
      <formula>Q10&gt;0</formula>
    </cfRule>
    <cfRule type="expression" dxfId="2678" priority="22">
      <formula>Q10&lt;0</formula>
    </cfRule>
  </conditionalFormatting>
  <conditionalFormatting sqref="J25:J38">
    <cfRule type="expression" dxfId="2677" priority="19">
      <formula>J25&gt;0</formula>
    </cfRule>
    <cfRule type="expression" dxfId="2676" priority="20">
      <formula>J25&lt;0</formula>
    </cfRule>
  </conditionalFormatting>
  <conditionalFormatting sqref="K25:K38">
    <cfRule type="expression" dxfId="2675" priority="17">
      <formula>K25&gt;0</formula>
    </cfRule>
    <cfRule type="expression" dxfId="2674" priority="18">
      <formula>K25&lt;0</formula>
    </cfRule>
  </conditionalFormatting>
  <conditionalFormatting sqref="L25:L38">
    <cfRule type="expression" dxfId="2673" priority="15">
      <formula>L25&gt;0</formula>
    </cfRule>
    <cfRule type="expression" dxfId="2672" priority="16">
      <formula>L25&lt;0</formula>
    </cfRule>
  </conditionalFormatting>
  <conditionalFormatting sqref="F89:F110">
    <cfRule type="expression" dxfId="2671" priority="13">
      <formula>F89&gt;0</formula>
    </cfRule>
    <cfRule type="expression" dxfId="2670" priority="14">
      <formula>F89&lt;0</formula>
    </cfRule>
  </conditionalFormatting>
  <conditionalFormatting sqref="H89:H110">
    <cfRule type="expression" dxfId="2669" priority="11">
      <formula>H89&gt;0</formula>
    </cfRule>
    <cfRule type="expression" dxfId="2668" priority="12">
      <formula>H89&lt;0</formula>
    </cfRule>
  </conditionalFormatting>
  <conditionalFormatting sqref="J89:J102">
    <cfRule type="expression" dxfId="2667" priority="9">
      <formula>J89&gt;0</formula>
    </cfRule>
    <cfRule type="expression" dxfId="2666" priority="10">
      <formula>J89&lt;0</formula>
    </cfRule>
  </conditionalFormatting>
  <conditionalFormatting sqref="K89:K102">
    <cfRule type="expression" dxfId="2665" priority="7">
      <formula>K89&gt;0</formula>
    </cfRule>
    <cfRule type="expression" dxfId="2664" priority="8">
      <formula>K89&lt;0</formula>
    </cfRule>
  </conditionalFormatting>
  <conditionalFormatting sqref="L89:L102">
    <cfRule type="expression" dxfId="2663" priority="5">
      <formula>L89&gt;0</formula>
    </cfRule>
    <cfRule type="expression" dxfId="2662" priority="6">
      <formula>L89&lt;0</formula>
    </cfRule>
  </conditionalFormatting>
  <conditionalFormatting sqref="F25:F29">
    <cfRule type="expression" dxfId="2661" priority="3">
      <formula>F25&gt;0</formula>
    </cfRule>
    <cfRule type="expression" dxfId="2660" priority="4">
      <formula>F25&lt;0</formula>
    </cfRule>
  </conditionalFormatting>
  <conditionalFormatting sqref="H25:H29">
    <cfRule type="expression" dxfId="2659" priority="1">
      <formula>H25&gt;0</formula>
    </cfRule>
    <cfRule type="expression" dxfId="2658" priority="2">
      <formula>H25&lt;0</formula>
    </cfRule>
  </conditionalFormatting>
  <hyperlinks>
    <hyperlink ref="A3" location="ACTIVE!A1" display="Back"/>
  </hyperlinks>
  <pageMargins left="0.7" right="0.7" top="0.75" bottom="0.75" header="0.3" footer="0.3"/>
  <pageSetup orientation="portrait"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9.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846</v>
      </c>
      <c r="B2" s="397">
        <v>43133</v>
      </c>
      <c r="C2" s="7">
        <v>10</v>
      </c>
      <c r="D2" s="43">
        <v>255.28</v>
      </c>
      <c r="E2" s="43">
        <v>0</v>
      </c>
      <c r="F2" s="43">
        <f t="shared" ref="F2:F8" si="0">C2*D2+E2</f>
        <v>2552.8000000000002</v>
      </c>
      <c r="G2" s="397">
        <v>43133</v>
      </c>
      <c r="H2" s="7">
        <v>15</v>
      </c>
      <c r="I2" s="43">
        <v>241.88</v>
      </c>
      <c r="J2" s="43">
        <v>0.08</v>
      </c>
      <c r="K2" s="43">
        <f t="shared" ref="K2:K7" si="1">H2*I2-J2</f>
        <v>3628.12</v>
      </c>
      <c r="L2" s="69">
        <v>43171</v>
      </c>
      <c r="M2" s="43">
        <v>29.01</v>
      </c>
      <c r="O2" s="11" t="s">
        <v>57</v>
      </c>
      <c r="Q2">
        <f>C18-H18</f>
        <v>0</v>
      </c>
      <c r="T2" s="1"/>
    </row>
    <row r="3" spans="1:21" x14ac:dyDescent="0.25">
      <c r="A3" s="22" t="s">
        <v>71</v>
      </c>
      <c r="B3" s="397">
        <v>43133</v>
      </c>
      <c r="C3" s="7">
        <v>5</v>
      </c>
      <c r="D3" s="43">
        <v>255.28</v>
      </c>
      <c r="E3" s="43">
        <v>0</v>
      </c>
      <c r="F3" s="43">
        <f t="shared" si="0"/>
        <v>1276.4000000000001</v>
      </c>
      <c r="G3" s="397">
        <v>43194</v>
      </c>
      <c r="H3" s="77">
        <v>10</v>
      </c>
      <c r="I3" s="43">
        <v>242.97</v>
      </c>
      <c r="J3" s="43">
        <v>0.06</v>
      </c>
      <c r="K3" s="43">
        <f t="shared" si="1"/>
        <v>2429.64</v>
      </c>
      <c r="L3" s="69">
        <v>43207</v>
      </c>
      <c r="M3" s="43">
        <v>20.43</v>
      </c>
      <c r="O3" s="11" t="s">
        <v>58</v>
      </c>
      <c r="Q3" s="174">
        <f>IF(Q2=0, Q4, (F18-K18-M18)/Q2)</f>
        <v>269.36</v>
      </c>
      <c r="T3" s="1"/>
    </row>
    <row r="4" spans="1:21" x14ac:dyDescent="0.25">
      <c r="B4" s="397">
        <v>43136</v>
      </c>
      <c r="C4" s="7">
        <v>15</v>
      </c>
      <c r="D4" s="43">
        <v>240.11</v>
      </c>
      <c r="E4" s="43">
        <v>0</v>
      </c>
      <c r="F4" s="43">
        <f t="shared" si="0"/>
        <v>3601.65</v>
      </c>
      <c r="G4" s="397">
        <v>43199</v>
      </c>
      <c r="H4" s="77">
        <v>15</v>
      </c>
      <c r="I4" s="43">
        <v>243.28</v>
      </c>
      <c r="J4" s="43">
        <v>0.08</v>
      </c>
      <c r="K4" s="43">
        <f t="shared" si="1"/>
        <v>3649.12</v>
      </c>
      <c r="L4" s="69">
        <v>43235</v>
      </c>
      <c r="M4" s="43">
        <v>3.96</v>
      </c>
      <c r="O4" s="11" t="s">
        <v>66</v>
      </c>
      <c r="Q4" s="53">
        <v>269.36</v>
      </c>
      <c r="R4" s="416">
        <v>1.18E-2</v>
      </c>
      <c r="T4" s="680"/>
      <c r="U4" s="30"/>
    </row>
    <row r="5" spans="1:21" x14ac:dyDescent="0.25">
      <c r="B5" s="397">
        <v>43140</v>
      </c>
      <c r="C5" s="7">
        <v>30</v>
      </c>
      <c r="D5" s="43">
        <v>234.88</v>
      </c>
      <c r="E5" s="43">
        <v>0</v>
      </c>
      <c r="F5" s="43">
        <f t="shared" si="0"/>
        <v>7046.4</v>
      </c>
      <c r="G5" s="397">
        <v>43206</v>
      </c>
      <c r="H5" s="77">
        <v>15</v>
      </c>
      <c r="I5" s="43">
        <v>245.9</v>
      </c>
      <c r="J5" s="43">
        <v>0.09</v>
      </c>
      <c r="K5" s="43">
        <f t="shared" si="1"/>
        <v>3688.41</v>
      </c>
      <c r="L5" s="69">
        <v>43262</v>
      </c>
      <c r="M5" s="43">
        <v>20.92</v>
      </c>
      <c r="O5" s="11" t="s">
        <v>67</v>
      </c>
      <c r="Q5" s="3">
        <f>Q4*Q2</f>
        <v>0</v>
      </c>
    </row>
    <row r="6" spans="1:21" x14ac:dyDescent="0.25">
      <c r="B6" s="397">
        <v>43181</v>
      </c>
      <c r="C6" s="7">
        <v>10</v>
      </c>
      <c r="D6" s="43">
        <v>238</v>
      </c>
      <c r="E6" s="43">
        <v>0</v>
      </c>
      <c r="F6" s="43">
        <f t="shared" si="0"/>
        <v>2380</v>
      </c>
      <c r="G6" s="397">
        <v>43230</v>
      </c>
      <c r="H6" s="77">
        <v>10</v>
      </c>
      <c r="I6" s="43">
        <v>247.88</v>
      </c>
      <c r="J6" s="43">
        <v>0.06</v>
      </c>
      <c r="K6" s="43">
        <f t="shared" si="1"/>
        <v>2478.7400000000002</v>
      </c>
      <c r="L6" s="69">
        <v>43297</v>
      </c>
      <c r="M6" s="43">
        <v>11.29</v>
      </c>
      <c r="O6" s="11" t="s">
        <v>64</v>
      </c>
      <c r="Q6" s="2">
        <f>Q3*Q2</f>
        <v>0</v>
      </c>
    </row>
    <row r="7" spans="1:21" x14ac:dyDescent="0.25">
      <c r="B7" s="397">
        <v>43196</v>
      </c>
      <c r="C7" s="7">
        <v>15</v>
      </c>
      <c r="D7" s="43">
        <v>239.5</v>
      </c>
      <c r="E7" s="43">
        <v>0</v>
      </c>
      <c r="F7" s="43">
        <f t="shared" si="0"/>
        <v>3592.5</v>
      </c>
      <c r="G7" s="397">
        <v>43286</v>
      </c>
      <c r="H7" s="77">
        <v>30</v>
      </c>
      <c r="I7" s="43">
        <v>243.2</v>
      </c>
      <c r="J7" s="43">
        <v>0.09</v>
      </c>
      <c r="K7" s="43">
        <f t="shared" si="1"/>
        <v>7295.91</v>
      </c>
      <c r="L7" s="4"/>
      <c r="M7" s="4"/>
      <c r="O7" s="11" t="s">
        <v>175</v>
      </c>
      <c r="Q7" s="2">
        <f>Q10+Q8</f>
        <v>423.00000000000364</v>
      </c>
      <c r="R7">
        <v>0</v>
      </c>
    </row>
    <row r="8" spans="1:21" x14ac:dyDescent="0.25">
      <c r="B8" s="397">
        <v>43214</v>
      </c>
      <c r="C8" s="7">
        <v>10</v>
      </c>
      <c r="D8" s="43">
        <v>238.28</v>
      </c>
      <c r="E8" s="43">
        <v>0</v>
      </c>
      <c r="F8" s="43">
        <f t="shared" si="0"/>
        <v>2382.8000000000002</v>
      </c>
      <c r="G8" s="398"/>
      <c r="H8" s="158"/>
      <c r="I8" s="3"/>
      <c r="J8" s="3"/>
      <c r="K8" s="3"/>
      <c r="L8" s="4"/>
      <c r="M8" s="4"/>
      <c r="O8" s="11" t="s">
        <v>177</v>
      </c>
      <c r="P8" s="33"/>
      <c r="Q8" s="2">
        <f>K18+M18-F18+Q2*Q4</f>
        <v>423.00000000000364</v>
      </c>
    </row>
    <row r="9" spans="1:21" x14ac:dyDescent="0.25">
      <c r="B9" s="398"/>
      <c r="C9" s="4"/>
      <c r="D9" s="3"/>
      <c r="E9" s="3"/>
      <c r="F9" s="3"/>
      <c r="G9" s="398"/>
      <c r="H9" s="158"/>
      <c r="I9" s="3"/>
      <c r="J9" s="3"/>
      <c r="K9" s="3"/>
      <c r="L9" s="4"/>
      <c r="M9" s="4"/>
      <c r="O9" s="11" t="s">
        <v>202</v>
      </c>
      <c r="Q9" s="131">
        <f>IF(Q2=0, 0, Q8/Q6)</f>
        <v>0</v>
      </c>
      <c r="T9" s="153"/>
    </row>
    <row r="10" spans="1:21" x14ac:dyDescent="0.25">
      <c r="B10" s="398"/>
      <c r="C10" s="4"/>
      <c r="D10" s="3"/>
      <c r="E10" s="3"/>
      <c r="F10" s="3"/>
      <c r="G10" s="398"/>
      <c r="H10" s="158"/>
      <c r="I10" s="3"/>
      <c r="J10" s="3"/>
      <c r="K10" s="3"/>
      <c r="L10" s="4"/>
      <c r="M10" s="4"/>
      <c r="O10" s="11" t="s">
        <v>201</v>
      </c>
      <c r="P10" s="33"/>
      <c r="Q10" s="2">
        <f>M66</f>
        <v>0</v>
      </c>
    </row>
    <row r="11" spans="1:21" x14ac:dyDescent="0.25">
      <c r="B11" s="398"/>
      <c r="C11" s="4"/>
      <c r="D11" s="3"/>
      <c r="E11" s="3"/>
      <c r="F11" s="3"/>
      <c r="G11" s="398"/>
      <c r="H11" s="158"/>
      <c r="I11" s="3"/>
      <c r="J11" s="3"/>
      <c r="K11" s="3"/>
      <c r="L11" s="4"/>
      <c r="M11" s="4"/>
      <c r="O11" s="11" t="s">
        <v>173</v>
      </c>
      <c r="P11" s="33"/>
      <c r="Q11" s="131">
        <v>1.9900000000000001E-2</v>
      </c>
      <c r="R11">
        <v>0.14369999999999999</v>
      </c>
    </row>
    <row r="12" spans="1:21" x14ac:dyDescent="0.25">
      <c r="B12" s="29"/>
      <c r="G12" s="29"/>
      <c r="H12" s="67"/>
    </row>
    <row r="13" spans="1:21" x14ac:dyDescent="0.25">
      <c r="B13" s="29"/>
      <c r="G13" s="29"/>
      <c r="H13" s="67"/>
      <c r="O13" s="11" t="s">
        <v>901</v>
      </c>
      <c r="Q13">
        <v>16.34</v>
      </c>
      <c r="S13" s="22" t="s">
        <v>906</v>
      </c>
    </row>
    <row r="14" spans="1:21" x14ac:dyDescent="0.25">
      <c r="B14" s="29"/>
      <c r="G14" s="29"/>
      <c r="H14" s="67"/>
    </row>
    <row r="15" spans="1:21" x14ac:dyDescent="0.25">
      <c r="B15" s="29"/>
      <c r="G15" s="29"/>
      <c r="H15" s="67"/>
    </row>
    <row r="16" spans="1:21" x14ac:dyDescent="0.25">
      <c r="B16" s="29"/>
      <c r="G16" s="29"/>
      <c r="H16" s="67"/>
    </row>
    <row r="17" spans="1:17" x14ac:dyDescent="0.25">
      <c r="B17" s="29"/>
      <c r="G17" s="29"/>
    </row>
    <row r="18" spans="1:17" x14ac:dyDescent="0.25">
      <c r="A18" s="31" t="s">
        <v>81</v>
      </c>
      <c r="B18" s="14"/>
      <c r="C18" s="14">
        <f>SUM(C2:C9)</f>
        <v>95</v>
      </c>
      <c r="D18" s="18"/>
      <c r="E18" s="18"/>
      <c r="F18" s="18">
        <f>SUM(F2:F9)</f>
        <v>22832.55</v>
      </c>
      <c r="G18" s="14"/>
      <c r="H18" s="68">
        <f>SUM(H2:H7)</f>
        <v>95</v>
      </c>
      <c r="I18" s="18"/>
      <c r="J18" s="18"/>
      <c r="K18" s="18">
        <f>SUM(K2:K7)</f>
        <v>23169.940000000002</v>
      </c>
      <c r="L18" s="14"/>
      <c r="M18" s="18">
        <f>SUM(M2:M10)</f>
        <v>85.609999999999985</v>
      </c>
    </row>
    <row r="19" spans="1:17" ht="15.75" thickBot="1" x14ac:dyDescent="0.3">
      <c r="A19" s="273" t="s">
        <v>189</v>
      </c>
      <c r="B19" s="274"/>
      <c r="C19" s="275">
        <f>SumByColor($A$19,C2:C17)</f>
        <v>95</v>
      </c>
      <c r="D19" s="275"/>
      <c r="E19" s="275"/>
      <c r="F19" s="276">
        <f>SumByColor($A$19,F2:F17)</f>
        <v>22833</v>
      </c>
      <c r="G19" s="275"/>
      <c r="H19" s="275">
        <f>SumByColor($A$19,H2:H17)</f>
        <v>95</v>
      </c>
      <c r="I19" s="275"/>
      <c r="J19" s="275"/>
      <c r="K19" s="276">
        <f>SumByColor($A$19,K2:K17)</f>
        <v>23170</v>
      </c>
      <c r="L19" s="275"/>
      <c r="M19" s="276">
        <f>SumByColor($A$19,M2:M17)</f>
        <v>85</v>
      </c>
    </row>
    <row r="22" spans="1:17" ht="20.25" thickBot="1" x14ac:dyDescent="0.35">
      <c r="O22" s="687" t="s">
        <v>78</v>
      </c>
      <c r="P22" s="687"/>
    </row>
    <row r="23" spans="1:17" ht="15.75" thickTop="1" x14ac:dyDescent="0.25">
      <c r="O23" s="78">
        <v>1.1000000000000001</v>
      </c>
      <c r="P23" s="78">
        <f>O23*$Q$4</f>
        <v>296.29600000000005</v>
      </c>
      <c r="Q23" s="2"/>
    </row>
    <row r="24" spans="1:17" x14ac:dyDescent="0.25">
      <c r="B24" s="159" t="s">
        <v>113</v>
      </c>
      <c r="C24" s="159" t="s">
        <v>143</v>
      </c>
      <c r="D24" s="160" t="s">
        <v>142</v>
      </c>
      <c r="E24" s="162" t="s">
        <v>144</v>
      </c>
      <c r="F24" s="162" t="s">
        <v>65</v>
      </c>
      <c r="G24" s="173" t="s">
        <v>148</v>
      </c>
      <c r="H24" s="173" t="s">
        <v>88</v>
      </c>
      <c r="I24" s="173" t="s">
        <v>151</v>
      </c>
      <c r="J24" s="173" t="s">
        <v>147</v>
      </c>
      <c r="K24" s="173"/>
      <c r="L24" s="173"/>
      <c r="O24" s="78">
        <v>1.0900000000000001</v>
      </c>
      <c r="P24" s="78">
        <f t="shared" ref="P24:P43" si="2">O24*$Q$4</f>
        <v>293.60240000000005</v>
      </c>
      <c r="Q24" s="2"/>
    </row>
    <row r="25" spans="1:17" x14ac:dyDescent="0.25">
      <c r="B25" s="161">
        <v>43133</v>
      </c>
      <c r="C25" s="10">
        <v>15</v>
      </c>
      <c r="D25" s="39">
        <v>255.28</v>
      </c>
      <c r="E25" s="39">
        <v>254.93</v>
      </c>
      <c r="F25" s="39">
        <f>C25*(E25-D25)</f>
        <v>-5.2499999999999147</v>
      </c>
      <c r="G25" s="39">
        <f>D25*C25</f>
        <v>3829.2</v>
      </c>
      <c r="H25" s="175">
        <f>(E25-D25)/D25</f>
        <v>-1.3710435600125129E-3</v>
      </c>
      <c r="I25" s="39"/>
      <c r="J25" s="39"/>
      <c r="K25" s="39"/>
      <c r="L25" s="39"/>
      <c r="O25" s="78">
        <v>1.08</v>
      </c>
      <c r="P25" s="78">
        <f t="shared" si="2"/>
        <v>290.90880000000004</v>
      </c>
      <c r="Q25" s="2"/>
    </row>
    <row r="26" spans="1:17" x14ac:dyDescent="0.25">
      <c r="B26" s="161">
        <v>43136</v>
      </c>
      <c r="C26" s="181">
        <v>30</v>
      </c>
      <c r="D26" s="182">
        <v>247.69499999999999</v>
      </c>
      <c r="E26" s="39">
        <v>243.27</v>
      </c>
      <c r="F26" s="39">
        <f>C26*(E26-D26)</f>
        <v>-132.74999999999949</v>
      </c>
      <c r="G26" s="39">
        <f>D26*C26</f>
        <v>7430.8499999999995</v>
      </c>
      <c r="H26" s="175">
        <f>(E26-D26)/D26</f>
        <v>-1.7864712650638822E-2</v>
      </c>
      <c r="I26" s="39"/>
      <c r="J26" s="39"/>
      <c r="K26" s="39"/>
      <c r="L26" s="39"/>
      <c r="O26" s="78">
        <v>1.07</v>
      </c>
      <c r="P26" s="78">
        <f t="shared" si="2"/>
        <v>288.21520000000004</v>
      </c>
      <c r="Q26" s="2"/>
    </row>
    <row r="27" spans="1:17" x14ac:dyDescent="0.25">
      <c r="B27" s="161">
        <v>43140</v>
      </c>
      <c r="C27" s="7">
        <v>60</v>
      </c>
      <c r="D27" s="43">
        <v>241.29</v>
      </c>
      <c r="E27" s="39">
        <v>242.03</v>
      </c>
      <c r="F27" s="39">
        <f>C27*(E27-D27)</f>
        <v>44.400000000000546</v>
      </c>
      <c r="G27" s="39">
        <f>D27*C27</f>
        <v>14477.4</v>
      </c>
      <c r="H27" s="175">
        <f>(E27-D27)/D27</f>
        <v>3.0668490198516685E-3</v>
      </c>
      <c r="I27" s="39"/>
      <c r="J27" s="39"/>
      <c r="K27" s="39"/>
      <c r="L27" s="152"/>
      <c r="O27" s="78">
        <v>1.06</v>
      </c>
      <c r="P27" s="78">
        <f t="shared" si="2"/>
        <v>285.52160000000003</v>
      </c>
      <c r="Q27" s="2"/>
    </row>
    <row r="28" spans="1:17" x14ac:dyDescent="0.25">
      <c r="B28" s="161">
        <v>43140</v>
      </c>
      <c r="C28" s="10">
        <v>45</v>
      </c>
      <c r="D28" s="39">
        <v>241.09180000000001</v>
      </c>
      <c r="E28" s="39">
        <v>242.03</v>
      </c>
      <c r="F28" s="39">
        <f>C28*(E28-D28)</f>
        <v>42.218999999999767</v>
      </c>
      <c r="G28" s="39">
        <f>D28*C28</f>
        <v>10849.130999999999</v>
      </c>
      <c r="H28" s="175">
        <f>(E28-D28)/D28</f>
        <v>3.89146374949291E-3</v>
      </c>
      <c r="I28" s="39"/>
      <c r="J28" s="39"/>
      <c r="K28" s="39"/>
      <c r="L28" s="152"/>
      <c r="O28" s="78">
        <v>1.05</v>
      </c>
      <c r="P28" s="78">
        <f t="shared" si="2"/>
        <v>282.82800000000003</v>
      </c>
      <c r="Q28" s="2"/>
    </row>
    <row r="29" spans="1:17" x14ac:dyDescent="0.25">
      <c r="B29" s="161">
        <v>43172</v>
      </c>
      <c r="C29" s="10">
        <v>45</v>
      </c>
      <c r="D29" s="39">
        <v>240.44710000000001</v>
      </c>
      <c r="E29" s="39"/>
      <c r="F29" s="39"/>
      <c r="G29" s="39"/>
      <c r="H29" s="175"/>
      <c r="I29" s="39"/>
      <c r="J29" s="39"/>
      <c r="K29" s="39"/>
      <c r="L29" s="152" t="s">
        <v>182</v>
      </c>
      <c r="O29" s="78">
        <v>1.04</v>
      </c>
      <c r="P29" s="78">
        <f t="shared" si="2"/>
        <v>280.13440000000003</v>
      </c>
      <c r="Q29" s="2"/>
    </row>
    <row r="30" spans="1:17" x14ac:dyDescent="0.25">
      <c r="B30" s="161">
        <v>43181</v>
      </c>
      <c r="C30" s="10">
        <v>55</v>
      </c>
      <c r="D30" s="39">
        <v>240.00219999999999</v>
      </c>
      <c r="E30" s="39">
        <v>239.36</v>
      </c>
      <c r="F30" s="39">
        <f>C30*(E30-D30)</f>
        <v>-35.320999999998577</v>
      </c>
      <c r="G30" s="39">
        <f>D30*C30</f>
        <v>13200.120999999999</v>
      </c>
      <c r="H30" s="175">
        <f>(E30-D30)/D30</f>
        <v>-2.6758088050858457E-3</v>
      </c>
      <c r="I30" s="39"/>
      <c r="J30" s="39"/>
      <c r="K30" s="39"/>
      <c r="L30" s="152"/>
      <c r="O30" s="78">
        <v>1.03</v>
      </c>
      <c r="P30" s="78">
        <f t="shared" si="2"/>
        <v>277.44080000000002</v>
      </c>
      <c r="Q30" s="2"/>
    </row>
    <row r="31" spans="1:17" x14ac:dyDescent="0.25">
      <c r="B31" s="161">
        <v>43184</v>
      </c>
      <c r="C31" s="10">
        <v>55</v>
      </c>
      <c r="D31" s="39">
        <v>240.00219999999999</v>
      </c>
      <c r="E31" s="39">
        <v>235.13</v>
      </c>
      <c r="F31" s="39">
        <f t="shared" ref="F31:F40" si="3">C31*(E31-D31)</f>
        <v>-267.97099999999955</v>
      </c>
      <c r="G31" s="39">
        <f t="shared" ref="G31:G40" si="4">D31*C31</f>
        <v>13200.120999999999</v>
      </c>
      <c r="H31" s="175">
        <f t="shared" ref="H31:H40" si="5">(E31-D31)/D31</f>
        <v>-2.0300647244066897E-2</v>
      </c>
      <c r="I31" s="39"/>
      <c r="J31" s="39"/>
      <c r="K31" s="39"/>
      <c r="L31" s="152"/>
      <c r="O31" s="78">
        <v>1.02</v>
      </c>
      <c r="P31" s="78">
        <f t="shared" si="2"/>
        <v>274.74720000000002</v>
      </c>
      <c r="Q31" s="2"/>
    </row>
    <row r="32" spans="1:17" x14ac:dyDescent="0.25">
      <c r="B32" s="161">
        <v>43185</v>
      </c>
      <c r="C32" s="10">
        <v>55</v>
      </c>
      <c r="D32" s="39">
        <v>240</v>
      </c>
      <c r="E32" s="39">
        <v>241.82</v>
      </c>
      <c r="F32" s="39">
        <f t="shared" si="3"/>
        <v>100.09999999999962</v>
      </c>
      <c r="G32" s="39">
        <f t="shared" si="4"/>
        <v>13200</v>
      </c>
      <c r="H32" s="175">
        <f t="shared" si="5"/>
        <v>7.5833333333333048E-3</v>
      </c>
      <c r="I32" s="39"/>
      <c r="J32" s="39"/>
      <c r="K32" s="39"/>
      <c r="L32" s="152"/>
      <c r="O32" s="78">
        <v>1.01</v>
      </c>
      <c r="P32" s="78">
        <f t="shared" si="2"/>
        <v>272.05360000000002</v>
      </c>
      <c r="Q32" s="2"/>
    </row>
    <row r="33" spans="1:17" x14ac:dyDescent="0.25">
      <c r="A33">
        <v>35</v>
      </c>
      <c r="B33" s="161">
        <v>43194</v>
      </c>
      <c r="C33" s="10">
        <v>45</v>
      </c>
      <c r="D33" s="39">
        <v>239.34</v>
      </c>
      <c r="E33" s="39">
        <v>242.46</v>
      </c>
      <c r="F33" s="39">
        <f t="shared" si="3"/>
        <v>140.4000000000002</v>
      </c>
      <c r="G33" s="39">
        <f t="shared" si="4"/>
        <v>10770.3</v>
      </c>
      <c r="H33" s="175">
        <f t="shared" si="5"/>
        <v>1.3035848583604933E-2</v>
      </c>
      <c r="I33" s="39">
        <v>238</v>
      </c>
      <c r="J33" s="39"/>
      <c r="K33" s="39"/>
      <c r="L33" s="152"/>
      <c r="O33" s="78">
        <v>1</v>
      </c>
      <c r="P33" s="78">
        <f t="shared" si="2"/>
        <v>269.36</v>
      </c>
      <c r="Q33" s="2"/>
    </row>
    <row r="34" spans="1:17" x14ac:dyDescent="0.25">
      <c r="A34">
        <v>35</v>
      </c>
      <c r="B34" s="161">
        <v>43196</v>
      </c>
      <c r="C34" s="7">
        <v>60</v>
      </c>
      <c r="D34" s="43">
        <v>239.38300000000001</v>
      </c>
      <c r="E34" s="39">
        <v>239.5</v>
      </c>
      <c r="F34" s="39">
        <f t="shared" si="3"/>
        <v>7.0199999999994134</v>
      </c>
      <c r="G34" s="39">
        <f t="shared" si="4"/>
        <v>14362.980000000001</v>
      </c>
      <c r="H34" s="175">
        <f t="shared" si="5"/>
        <v>4.8875651153168866E-4</v>
      </c>
      <c r="I34" s="39">
        <v>238</v>
      </c>
      <c r="J34" s="39"/>
      <c r="K34" s="39"/>
      <c r="L34" s="152"/>
      <c r="O34" s="78">
        <v>0.99</v>
      </c>
      <c r="P34" s="78">
        <f t="shared" si="2"/>
        <v>266.66640000000001</v>
      </c>
      <c r="Q34" s="2"/>
    </row>
    <row r="35" spans="1:17" x14ac:dyDescent="0.25">
      <c r="A35">
        <v>20</v>
      </c>
      <c r="B35" s="161">
        <v>43199</v>
      </c>
      <c r="C35" s="10">
        <v>45</v>
      </c>
      <c r="D35" s="39">
        <v>238.09</v>
      </c>
      <c r="E35" s="39">
        <v>239.73</v>
      </c>
      <c r="F35" s="39">
        <f t="shared" si="3"/>
        <v>73.799999999999386</v>
      </c>
      <c r="G35" s="39">
        <f t="shared" si="4"/>
        <v>10714.05</v>
      </c>
      <c r="H35" s="175">
        <f t="shared" si="5"/>
        <v>6.888151539333808E-3</v>
      </c>
      <c r="I35" s="39">
        <v>237</v>
      </c>
      <c r="J35" s="39"/>
      <c r="K35" s="39"/>
      <c r="L35" s="152"/>
      <c r="O35" s="78">
        <v>0.98</v>
      </c>
      <c r="P35" s="78">
        <f t="shared" si="2"/>
        <v>263.97280000000001</v>
      </c>
      <c r="Q35" s="2"/>
    </row>
    <row r="36" spans="1:17" x14ac:dyDescent="0.25">
      <c r="A36">
        <v>5</v>
      </c>
      <c r="B36" s="161">
        <v>43206</v>
      </c>
      <c r="C36" s="181">
        <v>30</v>
      </c>
      <c r="D36" s="182">
        <v>234.18170000000001</v>
      </c>
      <c r="E36" s="39">
        <v>245.62</v>
      </c>
      <c r="F36" s="39">
        <f t="shared" si="3"/>
        <v>343.14899999999994</v>
      </c>
      <c r="G36" s="39">
        <f t="shared" si="4"/>
        <v>7025.451</v>
      </c>
      <c r="H36" s="175">
        <f t="shared" si="5"/>
        <v>4.8843697009629691E-2</v>
      </c>
      <c r="I36" s="39">
        <v>230</v>
      </c>
      <c r="J36" s="39"/>
      <c r="K36" s="39"/>
      <c r="L36" s="39"/>
      <c r="O36" s="78">
        <v>0.97</v>
      </c>
      <c r="P36" s="78">
        <f t="shared" si="2"/>
        <v>261.2792</v>
      </c>
    </row>
    <row r="37" spans="1:17" x14ac:dyDescent="0.25">
      <c r="A37">
        <v>5</v>
      </c>
      <c r="B37" s="161">
        <v>43207</v>
      </c>
      <c r="C37" s="181">
        <v>30</v>
      </c>
      <c r="D37" s="182">
        <v>233.5</v>
      </c>
      <c r="E37" s="39">
        <v>247.8</v>
      </c>
      <c r="F37" s="39">
        <f t="shared" si="3"/>
        <v>429.00000000000034</v>
      </c>
      <c r="G37" s="39">
        <f t="shared" si="4"/>
        <v>7005</v>
      </c>
      <c r="H37" s="175">
        <f t="shared" si="5"/>
        <v>6.1241970021413322E-2</v>
      </c>
      <c r="I37" s="39"/>
      <c r="J37" s="39"/>
      <c r="K37" s="39"/>
      <c r="L37" s="39"/>
      <c r="O37" s="78">
        <v>0.96</v>
      </c>
      <c r="P37" s="78">
        <f t="shared" si="2"/>
        <v>258.5856</v>
      </c>
    </row>
    <row r="38" spans="1:17" x14ac:dyDescent="0.25">
      <c r="A38">
        <v>15</v>
      </c>
      <c r="B38" s="161">
        <v>43214</v>
      </c>
      <c r="C38" s="10">
        <v>40</v>
      </c>
      <c r="D38" s="39">
        <v>234.69550000000001</v>
      </c>
      <c r="E38" s="39">
        <v>240.09</v>
      </c>
      <c r="F38" s="39">
        <f t="shared" si="3"/>
        <v>215.77999999999975</v>
      </c>
      <c r="G38" s="39">
        <f t="shared" si="4"/>
        <v>9387.82</v>
      </c>
      <c r="H38" s="175">
        <f t="shared" si="5"/>
        <v>2.2985101972555901E-2</v>
      </c>
      <c r="I38" s="39"/>
      <c r="J38" s="39"/>
      <c r="K38" s="39"/>
      <c r="L38" s="39"/>
      <c r="O38" s="78">
        <v>0.95</v>
      </c>
      <c r="P38" s="78">
        <f t="shared" si="2"/>
        <v>255.892</v>
      </c>
    </row>
    <row r="39" spans="1:17" x14ac:dyDescent="0.25">
      <c r="A39">
        <v>20</v>
      </c>
      <c r="B39" s="161">
        <v>43230</v>
      </c>
      <c r="C39" s="181">
        <v>30</v>
      </c>
      <c r="D39" s="182">
        <v>230.30269999999999</v>
      </c>
      <c r="E39" s="39">
        <v>247.46</v>
      </c>
      <c r="F39" s="39">
        <f t="shared" si="3"/>
        <v>514.71900000000062</v>
      </c>
      <c r="G39" s="39">
        <f t="shared" si="4"/>
        <v>6909.0809999999992</v>
      </c>
      <c r="H39" s="175">
        <f t="shared" si="5"/>
        <v>7.4498909478699221E-2</v>
      </c>
      <c r="I39" s="39">
        <v>230</v>
      </c>
      <c r="J39" s="39"/>
      <c r="K39" s="39"/>
      <c r="L39" s="39"/>
      <c r="O39" s="78">
        <v>0.94</v>
      </c>
      <c r="P39" s="78">
        <f t="shared" si="2"/>
        <v>253.19839999999999</v>
      </c>
    </row>
    <row r="40" spans="1:17" x14ac:dyDescent="0.25">
      <c r="A40">
        <v>30</v>
      </c>
      <c r="B40" s="161">
        <v>43262</v>
      </c>
      <c r="C40" s="181">
        <v>30</v>
      </c>
      <c r="D40" s="182">
        <v>229.47329999999999</v>
      </c>
      <c r="E40" s="39">
        <v>253.39</v>
      </c>
      <c r="F40" s="39">
        <f t="shared" si="3"/>
        <v>717.50099999999975</v>
      </c>
      <c r="G40" s="39">
        <f t="shared" si="4"/>
        <v>6884.1989999999996</v>
      </c>
      <c r="H40" s="175">
        <f t="shared" si="5"/>
        <v>0.10422432588017862</v>
      </c>
      <c r="I40" s="182">
        <v>225</v>
      </c>
      <c r="J40" s="39"/>
      <c r="K40" s="39"/>
      <c r="L40" s="39"/>
      <c r="O40" s="78">
        <v>0.93</v>
      </c>
      <c r="P40" s="78">
        <f t="shared" si="2"/>
        <v>250.50480000000002</v>
      </c>
    </row>
    <row r="41" spans="1:17" x14ac:dyDescent="0.25">
      <c r="B41" s="161">
        <v>43286</v>
      </c>
      <c r="C41" s="10">
        <v>0</v>
      </c>
      <c r="D41" s="39"/>
      <c r="E41" s="39"/>
      <c r="F41" s="39">
        <v>411.71</v>
      </c>
      <c r="G41" s="39"/>
      <c r="H41" s="175"/>
      <c r="I41" s="39"/>
      <c r="J41" s="39"/>
      <c r="K41" s="39"/>
      <c r="L41" s="39"/>
      <c r="O41" s="78">
        <v>0.92</v>
      </c>
      <c r="P41" s="78">
        <f t="shared" si="2"/>
        <v>247.81120000000001</v>
      </c>
    </row>
    <row r="42" spans="1:17" x14ac:dyDescent="0.25">
      <c r="B42" s="161">
        <v>43297</v>
      </c>
      <c r="C42" s="10">
        <v>0</v>
      </c>
      <c r="D42" s="39"/>
      <c r="E42" s="39"/>
      <c r="F42" s="39">
        <v>423</v>
      </c>
      <c r="G42" s="39"/>
      <c r="H42" s="175"/>
      <c r="I42" s="39"/>
      <c r="J42" s="39"/>
      <c r="K42" s="39"/>
      <c r="L42" s="39" t="s">
        <v>182</v>
      </c>
      <c r="O42" s="78">
        <v>0.91</v>
      </c>
      <c r="P42" s="78">
        <f t="shared" si="2"/>
        <v>245.11760000000001</v>
      </c>
    </row>
    <row r="43" spans="1:17" x14ac:dyDescent="0.25">
      <c r="B43" s="161"/>
      <c r="C43" s="10"/>
      <c r="D43" s="39"/>
      <c r="E43" s="39"/>
      <c r="F43" s="39"/>
      <c r="G43" s="39"/>
      <c r="H43" s="175"/>
      <c r="I43" s="39"/>
      <c r="J43" s="39"/>
      <c r="K43" s="39"/>
      <c r="L43" s="39"/>
      <c r="O43" s="78">
        <v>0.9</v>
      </c>
      <c r="P43" s="78">
        <f t="shared" si="2"/>
        <v>242.42400000000001</v>
      </c>
    </row>
    <row r="44" spans="1:17" x14ac:dyDescent="0.25">
      <c r="B44" s="161"/>
      <c r="C44" s="10"/>
      <c r="D44" s="39"/>
      <c r="E44" s="39"/>
      <c r="F44" s="39"/>
      <c r="G44" s="39"/>
      <c r="H44" s="175"/>
      <c r="I44" s="39"/>
      <c r="J44" s="39"/>
      <c r="K44" s="39"/>
      <c r="L44" s="39"/>
    </row>
    <row r="45" spans="1:17" x14ac:dyDescent="0.25">
      <c r="B45" s="161"/>
      <c r="C45" s="10"/>
      <c r="D45" s="39"/>
      <c r="E45" s="39"/>
      <c r="F45" s="39"/>
      <c r="G45" s="39"/>
      <c r="H45" s="175"/>
      <c r="I45" s="39"/>
      <c r="J45" s="39"/>
      <c r="K45" s="39"/>
      <c r="L45" s="39"/>
    </row>
    <row r="46" spans="1:17" x14ac:dyDescent="0.25">
      <c r="B46" s="161"/>
      <c r="C46" s="10"/>
      <c r="D46" s="39"/>
      <c r="E46" s="39"/>
      <c r="F46" s="39"/>
      <c r="G46" s="39"/>
      <c r="H46" s="175"/>
      <c r="I46" s="39"/>
      <c r="J46" s="39"/>
      <c r="K46" s="39"/>
      <c r="L46" s="39"/>
    </row>
    <row r="47" spans="1:17" x14ac:dyDescent="0.25">
      <c r="B47" s="161"/>
      <c r="C47" s="10"/>
      <c r="D47" s="39"/>
      <c r="E47" s="39"/>
      <c r="F47" s="39"/>
      <c r="G47" s="39"/>
      <c r="H47" s="175"/>
      <c r="I47" s="39"/>
      <c r="J47" s="39"/>
      <c r="K47" s="39"/>
      <c r="L47" s="39"/>
    </row>
    <row r="48" spans="1:17" x14ac:dyDescent="0.25">
      <c r="B48" s="161"/>
      <c r="C48" s="10"/>
      <c r="D48" s="39"/>
      <c r="E48" s="39"/>
      <c r="F48" s="39"/>
      <c r="G48" s="39"/>
      <c r="H48" s="175"/>
      <c r="I48" s="39"/>
      <c r="J48" s="39"/>
      <c r="K48" s="39"/>
      <c r="L48" s="39"/>
    </row>
    <row r="49" spans="1:12" x14ac:dyDescent="0.25">
      <c r="B49" s="161"/>
      <c r="C49" s="10"/>
      <c r="D49" s="39"/>
      <c r="E49" s="39"/>
      <c r="F49" s="39"/>
      <c r="G49" s="39"/>
      <c r="H49" s="175"/>
      <c r="I49" s="39"/>
      <c r="J49" s="39"/>
      <c r="K49" s="39"/>
      <c r="L49" s="39"/>
    </row>
    <row r="50" spans="1:12" x14ac:dyDescent="0.25">
      <c r="B50" s="161"/>
      <c r="C50" s="10"/>
      <c r="D50" s="39"/>
      <c r="E50" s="39"/>
      <c r="F50" s="39"/>
      <c r="G50" s="39"/>
      <c r="H50" s="175"/>
      <c r="I50" s="39"/>
      <c r="J50" s="39"/>
      <c r="K50" s="39"/>
      <c r="L50" s="39"/>
    </row>
    <row r="51" spans="1:12" x14ac:dyDescent="0.25">
      <c r="B51" s="161"/>
      <c r="C51" s="10"/>
      <c r="D51" s="39"/>
      <c r="E51" s="39"/>
      <c r="F51" s="39"/>
      <c r="G51" s="39"/>
      <c r="H51" s="175"/>
      <c r="I51" s="39"/>
      <c r="J51" s="39"/>
      <c r="K51" s="39"/>
      <c r="L51" s="39"/>
    </row>
    <row r="52" spans="1:12" x14ac:dyDescent="0.25">
      <c r="B52" s="161"/>
      <c r="C52" s="10"/>
      <c r="D52" s="39"/>
      <c r="E52" s="39"/>
      <c r="F52" s="39"/>
      <c r="G52" s="39"/>
      <c r="H52" s="175"/>
      <c r="I52" s="39"/>
      <c r="J52" s="39"/>
      <c r="K52" s="39"/>
      <c r="L52" s="39"/>
    </row>
    <row r="53" spans="1:12" x14ac:dyDescent="0.25">
      <c r="B53" s="161"/>
      <c r="C53" s="10"/>
      <c r="D53" s="39"/>
      <c r="E53" s="39"/>
      <c r="F53" s="39"/>
      <c r="G53" s="39"/>
      <c r="H53" s="175"/>
      <c r="I53" s="39"/>
      <c r="J53" s="39"/>
      <c r="K53" s="39"/>
      <c r="L53" s="39"/>
    </row>
    <row r="54" spans="1:12" x14ac:dyDescent="0.25">
      <c r="A54" s="4"/>
      <c r="B54" s="161"/>
      <c r="C54" s="10"/>
      <c r="D54" s="39"/>
      <c r="E54" s="39"/>
      <c r="F54" s="39"/>
      <c r="G54" s="39"/>
      <c r="H54" s="175"/>
      <c r="I54" s="39"/>
      <c r="J54" s="39"/>
      <c r="K54" s="39"/>
      <c r="L54" s="39"/>
    </row>
    <row r="55" spans="1:12" x14ac:dyDescent="0.25">
      <c r="A55" s="4"/>
      <c r="B55" s="161"/>
      <c r="C55" s="10"/>
      <c r="D55" s="39"/>
      <c r="E55" s="39"/>
      <c r="F55" s="39"/>
      <c r="G55" s="39"/>
      <c r="H55" s="175"/>
      <c r="I55" s="39"/>
      <c r="J55" s="39"/>
      <c r="K55" s="39"/>
      <c r="L55" s="39"/>
    </row>
    <row r="56" spans="1:12" x14ac:dyDescent="0.25">
      <c r="A56" s="4"/>
      <c r="B56" s="161"/>
      <c r="C56" s="10"/>
      <c r="D56" s="39"/>
      <c r="E56" s="39"/>
      <c r="F56" s="39"/>
      <c r="G56" s="39"/>
      <c r="H56" s="175"/>
      <c r="I56" s="39"/>
      <c r="J56" s="39"/>
      <c r="K56" s="39"/>
      <c r="L56" s="39"/>
    </row>
    <row r="57" spans="1:12" x14ac:dyDescent="0.25">
      <c r="A57" s="4"/>
      <c r="B57" s="161"/>
      <c r="C57" s="10"/>
      <c r="D57" s="39"/>
      <c r="E57" s="39"/>
      <c r="F57" s="39"/>
      <c r="G57" s="39"/>
      <c r="H57" s="175"/>
      <c r="I57" s="39"/>
      <c r="J57" s="39"/>
      <c r="K57" s="39"/>
      <c r="L57" s="39"/>
    </row>
    <row r="58" spans="1:12" x14ac:dyDescent="0.25">
      <c r="A58" s="4"/>
      <c r="B58" s="161"/>
      <c r="C58" s="10"/>
      <c r="D58" s="39"/>
      <c r="E58" s="39"/>
      <c r="F58" s="39"/>
      <c r="G58" s="39"/>
      <c r="H58" s="175"/>
      <c r="I58" s="39"/>
      <c r="J58" s="39"/>
      <c r="K58" s="39"/>
      <c r="L58" s="39"/>
    </row>
    <row r="59" spans="1:12" x14ac:dyDescent="0.25">
      <c r="A59" s="4"/>
      <c r="B59" s="161"/>
      <c r="C59" s="10"/>
      <c r="D59" s="39"/>
      <c r="E59" s="39"/>
      <c r="F59" s="39"/>
      <c r="G59" s="39"/>
      <c r="H59" s="175"/>
      <c r="I59" s="39"/>
      <c r="J59" s="39"/>
      <c r="K59" s="39"/>
      <c r="L59" s="39"/>
    </row>
    <row r="60" spans="1:12" x14ac:dyDescent="0.25">
      <c r="A60" s="4"/>
      <c r="B60" s="69"/>
      <c r="C60" s="4"/>
      <c r="D60" s="3"/>
      <c r="E60" s="3"/>
      <c r="F60" s="3"/>
      <c r="G60" s="3"/>
      <c r="H60" s="212"/>
      <c r="I60" s="3"/>
      <c r="J60" s="3"/>
      <c r="K60" s="3"/>
      <c r="L60" s="4"/>
    </row>
    <row r="61" spans="1:12" x14ac:dyDescent="0.25">
      <c r="A61" s="4"/>
      <c r="B61" s="69"/>
      <c r="C61" s="4"/>
      <c r="D61" s="3"/>
      <c r="E61" s="3"/>
      <c r="F61" s="3"/>
      <c r="G61" s="3"/>
      <c r="H61" s="212"/>
      <c r="I61" s="3"/>
      <c r="J61" s="3"/>
      <c r="K61" s="3"/>
      <c r="L61" s="4"/>
    </row>
    <row r="62" spans="1:12" x14ac:dyDescent="0.25">
      <c r="A62" s="4"/>
      <c r="B62" s="69"/>
      <c r="C62" s="4"/>
      <c r="D62" s="3"/>
      <c r="E62" s="3"/>
      <c r="F62" s="3"/>
      <c r="G62" s="3"/>
      <c r="H62" s="212"/>
      <c r="I62" s="3"/>
      <c r="J62" s="3"/>
      <c r="K62" s="3"/>
      <c r="L62" s="4"/>
    </row>
    <row r="63" spans="1:12" x14ac:dyDescent="0.25">
      <c r="A63" s="4"/>
      <c r="B63" s="69"/>
      <c r="C63" s="4"/>
      <c r="D63" s="3"/>
      <c r="E63" s="3"/>
      <c r="F63" s="3"/>
      <c r="G63" s="3"/>
      <c r="H63" s="212"/>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846</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60:F63 H60:H63">
    <cfRule type="expression" dxfId="2657" priority="31">
      <formula>F60&gt;0</formula>
    </cfRule>
    <cfRule type="expression" dxfId="2656" priority="32">
      <formula>F60&lt;0</formula>
    </cfRule>
  </conditionalFormatting>
  <conditionalFormatting sqref="Q7">
    <cfRule type="expression" dxfId="2655" priority="29">
      <formula>Q7&gt;0</formula>
    </cfRule>
    <cfRule type="expression" dxfId="2654" priority="30">
      <formula>Q7&lt;0</formula>
    </cfRule>
  </conditionalFormatting>
  <conditionalFormatting sqref="Q8">
    <cfRule type="expression" dxfId="2653" priority="27">
      <formula>Q8&gt;0</formula>
    </cfRule>
    <cfRule type="expression" dxfId="2652" priority="28">
      <formula>Q8&lt;0</formula>
    </cfRule>
  </conditionalFormatting>
  <conditionalFormatting sqref="F32:F59">
    <cfRule type="expression" dxfId="2651" priority="25">
      <formula>F32&gt;0</formula>
    </cfRule>
    <cfRule type="expression" dxfId="2650" priority="26">
      <formula>F32&lt;0</formula>
    </cfRule>
  </conditionalFormatting>
  <conditionalFormatting sqref="H32:H59">
    <cfRule type="expression" dxfId="2649" priority="23">
      <formula>H32&gt;0</formula>
    </cfRule>
    <cfRule type="expression" dxfId="2648" priority="24">
      <formula>H32&lt;0</formula>
    </cfRule>
  </conditionalFormatting>
  <conditionalFormatting sqref="Q10">
    <cfRule type="expression" dxfId="2647" priority="21">
      <formula>Q10&gt;0</formula>
    </cfRule>
    <cfRule type="expression" dxfId="2646" priority="22">
      <formula>Q10&lt;0</formula>
    </cfRule>
  </conditionalFormatting>
  <conditionalFormatting sqref="J25:J38">
    <cfRule type="expression" dxfId="2645" priority="19">
      <formula>J25&gt;0</formula>
    </cfRule>
    <cfRule type="expression" dxfId="2644" priority="20">
      <formula>J25&lt;0</formula>
    </cfRule>
  </conditionalFormatting>
  <conditionalFormatting sqref="K25:K38">
    <cfRule type="expression" dxfId="2643" priority="17">
      <formula>K25&gt;0</formula>
    </cfRule>
    <cfRule type="expression" dxfId="2642" priority="18">
      <formula>K25&lt;0</formula>
    </cfRule>
  </conditionalFormatting>
  <conditionalFormatting sqref="L25:L38">
    <cfRule type="expression" dxfId="2641" priority="15">
      <formula>L25&gt;0</formula>
    </cfRule>
    <cfRule type="expression" dxfId="2640" priority="16">
      <formula>L25&lt;0</formula>
    </cfRule>
  </conditionalFormatting>
  <conditionalFormatting sqref="F89:F110">
    <cfRule type="expression" dxfId="2639" priority="13">
      <formula>F89&gt;0</formula>
    </cfRule>
    <cfRule type="expression" dxfId="2638" priority="14">
      <formula>F89&lt;0</formula>
    </cfRule>
  </conditionalFormatting>
  <conditionalFormatting sqref="H89:H110">
    <cfRule type="expression" dxfId="2637" priority="11">
      <formula>H89&gt;0</formula>
    </cfRule>
    <cfRule type="expression" dxfId="2636" priority="12">
      <formula>H89&lt;0</formula>
    </cfRule>
  </conditionalFormatting>
  <conditionalFormatting sqref="J89:J102">
    <cfRule type="expression" dxfId="2635" priority="9">
      <formula>J89&gt;0</formula>
    </cfRule>
    <cfRule type="expression" dxfId="2634" priority="10">
      <formula>J89&lt;0</formula>
    </cfRule>
  </conditionalFormatting>
  <conditionalFormatting sqref="K89:K102">
    <cfRule type="expression" dxfId="2633" priority="7">
      <formula>K89&gt;0</formula>
    </cfRule>
    <cfRule type="expression" dxfId="2632" priority="8">
      <formula>K89&lt;0</formula>
    </cfRule>
  </conditionalFormatting>
  <conditionalFormatting sqref="L89:L102">
    <cfRule type="expression" dxfId="2631" priority="5">
      <formula>L89&gt;0</formula>
    </cfRule>
    <cfRule type="expression" dxfId="2630" priority="6">
      <formula>L89&lt;0</formula>
    </cfRule>
  </conditionalFormatting>
  <conditionalFormatting sqref="F25:F31">
    <cfRule type="expression" dxfId="2629" priority="3">
      <formula>F25&gt;0</formula>
    </cfRule>
    <cfRule type="expression" dxfId="2628" priority="4">
      <formula>F25&lt;0</formula>
    </cfRule>
  </conditionalFormatting>
  <conditionalFormatting sqref="H25:H31">
    <cfRule type="expression" dxfId="2627" priority="1">
      <formula>H25&gt;0</formula>
    </cfRule>
    <cfRule type="expression" dxfId="2626" priority="2">
      <formula>H25&lt;0</formula>
    </cfRule>
  </conditionalFormatting>
  <hyperlinks>
    <hyperlink ref="A3" location="ACTIVE!A1" display="Back"/>
    <hyperlink ref="S13" r:id="rId1"/>
  </hyperlinks>
  <pageMargins left="0.7" right="0.7" top="0.75" bottom="0.75" header="0.3" footer="0.3"/>
  <pageSetup orientation="portrait" r:id="rId2"/>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8"/>
  <dimension ref="A1:AE140"/>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8" max="18" width="10.7109375" bestFit="1" customWidth="1"/>
    <col min="20" max="20" width="13.7109375" customWidth="1"/>
    <col min="21" max="21" width="25.140625" customWidth="1"/>
    <col min="23" max="23" width="17.140625" customWidth="1"/>
    <col min="24" max="24" width="7"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290</v>
      </c>
      <c r="B2" s="398"/>
      <c r="C2" s="4"/>
      <c r="D2" s="3"/>
      <c r="E2" s="3"/>
      <c r="F2" s="3"/>
      <c r="G2" s="398"/>
      <c r="H2" s="4"/>
      <c r="I2" s="3"/>
      <c r="J2" s="3"/>
      <c r="K2" s="3"/>
      <c r="L2" s="69"/>
      <c r="M2" s="3"/>
      <c r="O2" s="11" t="s">
        <v>57</v>
      </c>
      <c r="Q2">
        <f>C18-H18</f>
        <v>0</v>
      </c>
      <c r="T2" s="1"/>
      <c r="W2" s="127">
        <v>42830</v>
      </c>
      <c r="X2" s="10">
        <v>93.27</v>
      </c>
      <c r="Y2" s="10">
        <v>94.91</v>
      </c>
      <c r="Z2" s="10">
        <v>93</v>
      </c>
      <c r="AA2" s="10">
        <v>93.09</v>
      </c>
      <c r="AB2" s="90">
        <v>1820500</v>
      </c>
      <c r="AC2" s="10">
        <v>93.09</v>
      </c>
      <c r="AD2" s="2">
        <f>Y2-Z2</f>
        <v>1.9099999999999966</v>
      </c>
      <c r="AE2" s="131">
        <f>AC2/AC3-1</f>
        <v>-1.0741138560677044E-4</v>
      </c>
    </row>
    <row r="3" spans="1:31" x14ac:dyDescent="0.25">
      <c r="A3" s="22" t="s">
        <v>71</v>
      </c>
      <c r="B3" s="398"/>
      <c r="C3" s="4"/>
      <c r="D3" s="3"/>
      <c r="E3" s="3"/>
      <c r="F3" s="3"/>
      <c r="G3" s="398"/>
      <c r="H3" s="158"/>
      <c r="I3" s="3"/>
      <c r="J3" s="3"/>
      <c r="K3" s="3"/>
      <c r="L3" s="4"/>
      <c r="M3" s="4"/>
      <c r="O3" s="11" t="s">
        <v>58</v>
      </c>
      <c r="Q3" s="174">
        <f>IF(Q2=0, Q4, (F18-K18-M18)/Q2)</f>
        <v>219.7</v>
      </c>
      <c r="T3" s="1"/>
      <c r="W3" s="127">
        <v>42829</v>
      </c>
      <c r="X3" s="10">
        <v>94.15</v>
      </c>
      <c r="Y3" s="10">
        <v>94.45</v>
      </c>
      <c r="Z3" s="10">
        <v>92.94</v>
      </c>
      <c r="AA3" s="10">
        <v>93.1</v>
      </c>
      <c r="AB3" s="90">
        <v>1169500</v>
      </c>
      <c r="AC3" s="10">
        <v>93.1</v>
      </c>
      <c r="AD3" s="2">
        <f t="shared" ref="AD3:AD66" si="0">Y3-Z3</f>
        <v>1.5100000000000051</v>
      </c>
      <c r="AE3" s="131">
        <f t="shared" ref="AE3:AE66" si="1">AC3/AC4-1</f>
        <v>-1.429327686606674E-2</v>
      </c>
    </row>
    <row r="4" spans="1:31" x14ac:dyDescent="0.25">
      <c r="B4" s="398"/>
      <c r="C4" s="4"/>
      <c r="D4" s="3"/>
      <c r="E4" s="3"/>
      <c r="F4" s="3"/>
      <c r="G4" s="398"/>
      <c r="H4" s="158"/>
      <c r="I4" s="3"/>
      <c r="J4" s="3"/>
      <c r="K4" s="3"/>
      <c r="L4" s="4"/>
      <c r="M4" s="4"/>
      <c r="O4" s="11" t="s">
        <v>66</v>
      </c>
      <c r="Q4" s="53">
        <v>219.7</v>
      </c>
      <c r="R4" s="396">
        <v>1.83E-2</v>
      </c>
      <c r="T4" s="153"/>
      <c r="U4" s="1"/>
      <c r="W4" s="127">
        <v>42828</v>
      </c>
      <c r="X4" s="10">
        <v>93.98</v>
      </c>
      <c r="Y4" s="10">
        <v>94.64</v>
      </c>
      <c r="Z4" s="10">
        <v>93.57</v>
      </c>
      <c r="AA4" s="10">
        <v>94.45</v>
      </c>
      <c r="AB4" s="90">
        <v>1384000</v>
      </c>
      <c r="AC4" s="10">
        <v>94.45</v>
      </c>
      <c r="AD4" s="2">
        <f t="shared" si="0"/>
        <v>1.0700000000000074</v>
      </c>
      <c r="AE4" s="131">
        <f t="shared" si="1"/>
        <v>4.0395450196664129E-3</v>
      </c>
    </row>
    <row r="5" spans="1:31" x14ac:dyDescent="0.25">
      <c r="B5" s="398"/>
      <c r="C5" s="4"/>
      <c r="D5" s="3"/>
      <c r="E5" s="3"/>
      <c r="F5" s="3"/>
      <c r="G5" s="398"/>
      <c r="H5" s="158"/>
      <c r="I5" s="3"/>
      <c r="J5" s="3"/>
      <c r="K5" s="3"/>
      <c r="L5" s="4"/>
      <c r="M5" s="4"/>
      <c r="O5" s="11" t="s">
        <v>67</v>
      </c>
      <c r="Q5" s="3">
        <f>Q4*Q2</f>
        <v>0</v>
      </c>
      <c r="W5" s="127">
        <v>42825</v>
      </c>
      <c r="X5" s="10">
        <v>93.74</v>
      </c>
      <c r="Y5" s="10">
        <v>94.55</v>
      </c>
      <c r="Z5" s="10">
        <v>93.22</v>
      </c>
      <c r="AA5" s="10">
        <v>94.07</v>
      </c>
      <c r="AB5" s="90">
        <v>1200700</v>
      </c>
      <c r="AC5" s="10">
        <v>94.07</v>
      </c>
      <c r="AD5" s="2">
        <f t="shared" si="0"/>
        <v>1.3299999999999983</v>
      </c>
      <c r="AE5" s="131">
        <f t="shared" si="1"/>
        <v>2.2373748135520177E-3</v>
      </c>
    </row>
    <row r="6" spans="1:31" x14ac:dyDescent="0.25">
      <c r="B6" s="398"/>
      <c r="C6" s="4"/>
      <c r="D6" s="3"/>
      <c r="E6" s="3"/>
      <c r="F6" s="3"/>
      <c r="G6" s="398"/>
      <c r="H6" s="158"/>
      <c r="I6" s="3"/>
      <c r="J6" s="3"/>
      <c r="K6" s="3"/>
      <c r="L6" s="4"/>
      <c r="M6" s="4"/>
      <c r="O6" s="11" t="s">
        <v>64</v>
      </c>
      <c r="Q6" s="2">
        <f>Q3*Q2</f>
        <v>0</v>
      </c>
      <c r="W6" s="127">
        <v>42824</v>
      </c>
      <c r="X6" s="10">
        <v>94.47</v>
      </c>
      <c r="Y6" s="10">
        <v>94.67</v>
      </c>
      <c r="Z6" s="10">
        <v>93.62</v>
      </c>
      <c r="AA6" s="10">
        <v>93.86</v>
      </c>
      <c r="AB6" s="90">
        <v>979100</v>
      </c>
      <c r="AC6" s="10">
        <v>93.86</v>
      </c>
      <c r="AD6" s="2">
        <f t="shared" si="0"/>
        <v>1.0499999999999972</v>
      </c>
      <c r="AE6" s="131">
        <f t="shared" si="1"/>
        <v>-5.6150015891514027E-3</v>
      </c>
    </row>
    <row r="7" spans="1:31" x14ac:dyDescent="0.25">
      <c r="B7" s="398"/>
      <c r="C7" s="4"/>
      <c r="D7" s="3"/>
      <c r="E7" s="3"/>
      <c r="F7" s="3"/>
      <c r="G7" s="398"/>
      <c r="H7" s="158"/>
      <c r="I7" s="3"/>
      <c r="J7" s="3"/>
      <c r="K7" s="3"/>
      <c r="L7" s="4"/>
      <c r="M7" s="4"/>
      <c r="O7" s="11" t="s">
        <v>175</v>
      </c>
      <c r="Q7" s="2">
        <f>Q10+Q8</f>
        <v>720.56000000000131</v>
      </c>
      <c r="R7">
        <v>0</v>
      </c>
      <c r="W7" s="127">
        <v>42823</v>
      </c>
      <c r="X7" s="10">
        <v>94.19</v>
      </c>
      <c r="Y7" s="10">
        <v>94.89</v>
      </c>
      <c r="Z7" s="10">
        <v>93.81</v>
      </c>
      <c r="AA7" s="10">
        <v>94.39</v>
      </c>
      <c r="AB7" s="90">
        <v>1317900</v>
      </c>
      <c r="AC7" s="10">
        <v>94.39</v>
      </c>
      <c r="AD7" s="2">
        <f t="shared" si="0"/>
        <v>1.0799999999999983</v>
      </c>
      <c r="AE7" s="131">
        <f t="shared" si="1"/>
        <v>0</v>
      </c>
    </row>
    <row r="8" spans="1:31" x14ac:dyDescent="0.25">
      <c r="B8" s="398"/>
      <c r="C8" s="4"/>
      <c r="D8" s="3"/>
      <c r="E8" s="3"/>
      <c r="F8" s="3"/>
      <c r="G8" s="398"/>
      <c r="H8" s="158"/>
      <c r="I8" s="3"/>
      <c r="J8" s="3"/>
      <c r="K8" s="3"/>
      <c r="L8" s="4"/>
      <c r="M8" s="4"/>
      <c r="O8" s="11" t="s">
        <v>177</v>
      </c>
      <c r="P8" s="33"/>
      <c r="Q8" s="2">
        <f>K18+M18-F18+Q2*Q4</f>
        <v>0</v>
      </c>
      <c r="W8" s="127">
        <v>42822</v>
      </c>
      <c r="X8" s="10">
        <v>95.61</v>
      </c>
      <c r="Y8" s="10">
        <v>96.49</v>
      </c>
      <c r="Z8" s="10">
        <v>93.57</v>
      </c>
      <c r="AA8" s="10">
        <v>94.39</v>
      </c>
      <c r="AB8" s="90">
        <v>2315400</v>
      </c>
      <c r="AC8" s="10">
        <v>94.39</v>
      </c>
      <c r="AD8" s="2">
        <f t="shared" si="0"/>
        <v>2.9200000000000017</v>
      </c>
      <c r="AE8" s="131">
        <f t="shared" si="1"/>
        <v>-1.543757171169291E-2</v>
      </c>
    </row>
    <row r="9" spans="1:31" x14ac:dyDescent="0.25">
      <c r="B9" s="398"/>
      <c r="C9" s="4"/>
      <c r="D9" s="3"/>
      <c r="E9" s="3"/>
      <c r="F9" s="3"/>
      <c r="G9" s="398"/>
      <c r="H9" s="158"/>
      <c r="I9" s="3"/>
      <c r="J9" s="3"/>
      <c r="K9" s="3"/>
      <c r="L9" s="4"/>
      <c r="M9" s="4"/>
      <c r="O9" s="11" t="s">
        <v>202</v>
      </c>
      <c r="Q9" s="131">
        <f>IF(Q2=0, 0, Q8/Q6)</f>
        <v>0</v>
      </c>
      <c r="W9" s="127">
        <v>42821</v>
      </c>
      <c r="X9" s="10">
        <v>95.47</v>
      </c>
      <c r="Y9" s="10">
        <v>96.35</v>
      </c>
      <c r="Z9" s="10">
        <v>94.47</v>
      </c>
      <c r="AA9" s="10">
        <v>95.87</v>
      </c>
      <c r="AB9" s="90">
        <v>1870700</v>
      </c>
      <c r="AC9" s="10">
        <v>95.87</v>
      </c>
      <c r="AD9" s="2">
        <f t="shared" si="0"/>
        <v>1.8799999999999955</v>
      </c>
      <c r="AE9" s="131">
        <f t="shared" si="1"/>
        <v>2.9291766921226703E-3</v>
      </c>
    </row>
    <row r="10" spans="1:31" x14ac:dyDescent="0.25">
      <c r="G10" s="29"/>
      <c r="H10" s="67"/>
      <c r="O10" s="11" t="s">
        <v>201</v>
      </c>
      <c r="P10" s="33"/>
      <c r="Q10" s="2">
        <f>M71</f>
        <v>720.56000000000131</v>
      </c>
      <c r="W10" s="127">
        <v>42818</v>
      </c>
      <c r="X10" s="10">
        <v>94.29</v>
      </c>
      <c r="Y10" s="10">
        <v>96.03</v>
      </c>
      <c r="Z10" s="10">
        <v>94.26</v>
      </c>
      <c r="AA10" s="10">
        <v>95.59</v>
      </c>
      <c r="AB10" s="90">
        <v>1943100</v>
      </c>
      <c r="AC10" s="10">
        <v>95.59</v>
      </c>
      <c r="AD10" s="2">
        <f t="shared" si="0"/>
        <v>1.769999999999996</v>
      </c>
      <c r="AE10" s="131">
        <f t="shared" si="1"/>
        <v>1.3679745493107243E-2</v>
      </c>
    </row>
    <row r="11" spans="1:31" x14ac:dyDescent="0.25">
      <c r="G11" s="29"/>
      <c r="H11" s="67"/>
      <c r="O11" s="11" t="s">
        <v>173</v>
      </c>
      <c r="P11" s="33"/>
      <c r="Q11" s="131">
        <f>IF(U58="N/A (N/A)", 0, VALUE(TRIM(CLEAN(MID(U58, FIND("(", U58)+1, 5)))))</f>
        <v>0</v>
      </c>
      <c r="W11" s="127">
        <v>42817</v>
      </c>
      <c r="X11" s="10">
        <v>93.47</v>
      </c>
      <c r="Y11" s="10">
        <v>95.32</v>
      </c>
      <c r="Z11" s="10">
        <v>93.22</v>
      </c>
      <c r="AA11" s="10">
        <v>94.3</v>
      </c>
      <c r="AB11" s="90">
        <v>1666500</v>
      </c>
      <c r="AC11" s="10">
        <v>94.3</v>
      </c>
      <c r="AD11" s="2">
        <f t="shared" si="0"/>
        <v>2.0999999999999943</v>
      </c>
      <c r="AE11" s="131">
        <f t="shared" si="1"/>
        <v>8.8798544987696015E-3</v>
      </c>
    </row>
    <row r="12" spans="1:31" x14ac:dyDescent="0.25">
      <c r="G12" s="29"/>
      <c r="H12" s="67"/>
      <c r="W12" s="127">
        <v>42816</v>
      </c>
      <c r="X12" s="10">
        <v>92.91</v>
      </c>
      <c r="Y12" s="10">
        <v>93.57</v>
      </c>
      <c r="Z12" s="10">
        <v>92.35</v>
      </c>
      <c r="AA12" s="10">
        <v>93.47</v>
      </c>
      <c r="AB12" s="90">
        <v>1372800</v>
      </c>
      <c r="AC12" s="10">
        <v>93.47</v>
      </c>
      <c r="AD12" s="2">
        <f t="shared" si="0"/>
        <v>1.2199999999999989</v>
      </c>
      <c r="AE12" s="131">
        <f t="shared" si="1"/>
        <v>6.5690286452724234E-3</v>
      </c>
    </row>
    <row r="13" spans="1:31" x14ac:dyDescent="0.25">
      <c r="G13" s="29"/>
      <c r="H13" s="67"/>
      <c r="W13" s="127">
        <v>42815</v>
      </c>
      <c r="X13" s="10">
        <v>94.15</v>
      </c>
      <c r="Y13" s="10">
        <v>94.93</v>
      </c>
      <c r="Z13" s="10">
        <v>92.66</v>
      </c>
      <c r="AA13" s="10">
        <v>92.86</v>
      </c>
      <c r="AB13" s="90">
        <v>1676900</v>
      </c>
      <c r="AC13" s="10">
        <v>92.86</v>
      </c>
      <c r="AD13" s="2">
        <f t="shared" si="0"/>
        <v>2.2700000000000102</v>
      </c>
      <c r="AE13" s="131">
        <f t="shared" si="1"/>
        <v>-1.296768707482987E-2</v>
      </c>
    </row>
    <row r="14" spans="1:31" x14ac:dyDescent="0.25">
      <c r="G14" s="29"/>
      <c r="H14" s="67"/>
      <c r="W14" s="127">
        <v>42814</v>
      </c>
      <c r="X14" s="10">
        <v>94.24</v>
      </c>
      <c r="Y14" s="10">
        <v>94.44</v>
      </c>
      <c r="Z14" s="10">
        <v>93.71</v>
      </c>
      <c r="AA14" s="10">
        <v>94.08</v>
      </c>
      <c r="AB14" s="90">
        <v>1460600</v>
      </c>
      <c r="AC14" s="10">
        <v>94.08</v>
      </c>
      <c r="AD14" s="2">
        <f t="shared" si="0"/>
        <v>0.73000000000000398</v>
      </c>
      <c r="AE14" s="131">
        <f t="shared" si="1"/>
        <v>-3.3898305084746339E-3</v>
      </c>
    </row>
    <row r="15" spans="1:31" x14ac:dyDescent="0.25">
      <c r="G15" s="29"/>
      <c r="H15" s="67"/>
      <c r="W15" s="127">
        <v>42811</v>
      </c>
      <c r="X15" s="10">
        <v>92.75</v>
      </c>
      <c r="Y15" s="10">
        <v>95.79</v>
      </c>
      <c r="Z15" s="10">
        <v>91.3</v>
      </c>
      <c r="AA15" s="10">
        <v>94.4</v>
      </c>
      <c r="AB15" s="90">
        <v>3006500</v>
      </c>
      <c r="AC15" s="10">
        <v>94.4</v>
      </c>
      <c r="AD15" s="2">
        <f t="shared" si="0"/>
        <v>4.4900000000000091</v>
      </c>
      <c r="AE15" s="131">
        <f t="shared" si="1"/>
        <v>1.559978483055402E-2</v>
      </c>
    </row>
    <row r="16" spans="1:31" x14ac:dyDescent="0.25">
      <c r="G16" s="29"/>
      <c r="H16" s="67"/>
      <c r="W16" s="127">
        <v>42810</v>
      </c>
      <c r="X16" s="10">
        <v>93.95</v>
      </c>
      <c r="Y16" s="10">
        <v>94.36</v>
      </c>
      <c r="Z16" s="10">
        <v>92.64</v>
      </c>
      <c r="AA16" s="10">
        <v>92.95</v>
      </c>
      <c r="AB16" s="90">
        <v>1277300</v>
      </c>
      <c r="AC16" s="10">
        <v>92.95</v>
      </c>
      <c r="AD16" s="2">
        <f t="shared" si="0"/>
        <v>1.7199999999999989</v>
      </c>
      <c r="AE16" s="131">
        <f t="shared" si="1"/>
        <v>-1.0643959552953719E-2</v>
      </c>
    </row>
    <row r="17" spans="1:31" x14ac:dyDescent="0.25">
      <c r="G17" s="29"/>
      <c r="W17" s="127">
        <v>42809</v>
      </c>
      <c r="X17" s="10">
        <v>93.93</v>
      </c>
      <c r="Y17" s="10">
        <v>94.48</v>
      </c>
      <c r="Z17" s="10">
        <v>93.63</v>
      </c>
      <c r="AA17" s="10">
        <v>93.95</v>
      </c>
      <c r="AB17" s="90">
        <v>1941800</v>
      </c>
      <c r="AC17" s="10">
        <v>93.95</v>
      </c>
      <c r="AD17" s="2">
        <f t="shared" si="0"/>
        <v>0.85000000000000853</v>
      </c>
      <c r="AE17" s="131">
        <f t="shared" si="1"/>
        <v>9.5887492009372188E-4</v>
      </c>
    </row>
    <row r="18" spans="1:31" x14ac:dyDescent="0.25">
      <c r="A18" s="31" t="s">
        <v>81</v>
      </c>
      <c r="B18" s="399"/>
      <c r="C18" s="14">
        <f>SUM(C2:C6)</f>
        <v>0</v>
      </c>
      <c r="D18" s="18"/>
      <c r="E18" s="18"/>
      <c r="F18" s="18">
        <f>SUM(F2:F6)</f>
        <v>0</v>
      </c>
      <c r="G18" s="14"/>
      <c r="H18" s="14">
        <f>SUM(H2:H5)</f>
        <v>0</v>
      </c>
      <c r="I18" s="18"/>
      <c r="J18" s="18"/>
      <c r="K18" s="18">
        <f>SUM(K2:K5)</f>
        <v>0</v>
      </c>
      <c r="L18" s="14"/>
      <c r="M18" s="18">
        <f>SUM(M2:M10)</f>
        <v>0</v>
      </c>
      <c r="W18" s="127">
        <v>42808</v>
      </c>
      <c r="X18" s="10">
        <v>93.2</v>
      </c>
      <c r="Y18" s="10">
        <v>94.55</v>
      </c>
      <c r="Z18" s="10">
        <v>93.09</v>
      </c>
      <c r="AA18" s="10">
        <v>93.86</v>
      </c>
      <c r="AB18" s="90">
        <v>1609300</v>
      </c>
      <c r="AC18" s="10">
        <v>93.86</v>
      </c>
      <c r="AD18" s="2">
        <f t="shared" si="0"/>
        <v>1.4599999999999937</v>
      </c>
      <c r="AE18" s="131">
        <f t="shared" si="1"/>
        <v>2.7777777777777679E-3</v>
      </c>
    </row>
    <row r="19" spans="1:31" ht="15.75" thickBot="1" x14ac:dyDescent="0.3">
      <c r="A19" s="273" t="s">
        <v>189</v>
      </c>
      <c r="B19" s="400"/>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v>42807</v>
      </c>
      <c r="X19" s="10">
        <v>92.74</v>
      </c>
      <c r="Y19" s="10">
        <v>93.95</v>
      </c>
      <c r="Z19" s="10">
        <v>92.43</v>
      </c>
      <c r="AA19" s="10">
        <v>93.6</v>
      </c>
      <c r="AB19" s="90">
        <v>1571400</v>
      </c>
      <c r="AC19" s="10">
        <v>93.6</v>
      </c>
      <c r="AD19" s="2">
        <f t="shared" si="0"/>
        <v>1.519999999999996</v>
      </c>
      <c r="AE19" s="131">
        <f t="shared" si="1"/>
        <v>9.2732370066852532E-3</v>
      </c>
    </row>
    <row r="20" spans="1:31" x14ac:dyDescent="0.25">
      <c r="W20" s="127">
        <v>42804</v>
      </c>
      <c r="X20" s="10">
        <v>93.21</v>
      </c>
      <c r="Y20" s="10">
        <v>93.51</v>
      </c>
      <c r="Z20" s="10">
        <v>91.96</v>
      </c>
      <c r="AA20" s="10">
        <v>92.74</v>
      </c>
      <c r="AB20" s="90">
        <v>2911000</v>
      </c>
      <c r="AC20" s="10">
        <v>92.74</v>
      </c>
      <c r="AD20" s="2">
        <f t="shared" si="0"/>
        <v>1.5500000000000114</v>
      </c>
      <c r="AE20" s="131">
        <f t="shared" si="1"/>
        <v>-3.438641736514203E-3</v>
      </c>
    </row>
    <row r="21" spans="1:31" x14ac:dyDescent="0.25">
      <c r="W21" s="127">
        <v>42803</v>
      </c>
      <c r="X21" s="10">
        <v>89.42</v>
      </c>
      <c r="Y21" s="10">
        <v>93.36</v>
      </c>
      <c r="Z21" s="10">
        <v>89.2</v>
      </c>
      <c r="AA21" s="10">
        <v>93.06</v>
      </c>
      <c r="AB21" s="90">
        <v>3831800</v>
      </c>
      <c r="AC21" s="10">
        <v>93.06</v>
      </c>
      <c r="AD21" s="2">
        <f t="shared" si="0"/>
        <v>4.1599999999999966</v>
      </c>
      <c r="AE21" s="131">
        <f t="shared" si="1"/>
        <v>3.942812465095491E-2</v>
      </c>
    </row>
    <row r="22" spans="1:31" x14ac:dyDescent="0.25">
      <c r="W22" s="127">
        <v>42802</v>
      </c>
      <c r="X22" s="10">
        <v>90.44</v>
      </c>
      <c r="Y22" s="10">
        <v>91.49</v>
      </c>
      <c r="Z22" s="10">
        <v>89.46</v>
      </c>
      <c r="AA22" s="10">
        <v>89.53</v>
      </c>
      <c r="AB22" s="90">
        <v>2906200</v>
      </c>
      <c r="AC22" s="10">
        <v>89.53</v>
      </c>
      <c r="AD22" s="2">
        <f t="shared" si="0"/>
        <v>2.0300000000000011</v>
      </c>
      <c r="AE22" s="131">
        <f t="shared" si="1"/>
        <v>-1.1155290479346158E-2</v>
      </c>
    </row>
    <row r="23" spans="1:31" x14ac:dyDescent="0.25">
      <c r="W23" s="127">
        <v>42801</v>
      </c>
      <c r="X23" s="10">
        <v>89.65</v>
      </c>
      <c r="Y23" s="10">
        <v>91.02</v>
      </c>
      <c r="Z23" s="10">
        <v>89.65</v>
      </c>
      <c r="AA23" s="10">
        <v>90.54</v>
      </c>
      <c r="AB23" s="90">
        <v>2818300</v>
      </c>
      <c r="AC23" s="10">
        <v>90.54</v>
      </c>
      <c r="AD23" s="2">
        <f t="shared" si="0"/>
        <v>1.3699999999999903</v>
      </c>
      <c r="AE23" s="131">
        <f t="shared" si="1"/>
        <v>6.5591995553084814E-3</v>
      </c>
    </row>
    <row r="24" spans="1:31" x14ac:dyDescent="0.25">
      <c r="B24" s="401" t="s">
        <v>113</v>
      </c>
      <c r="C24" s="159" t="s">
        <v>143</v>
      </c>
      <c r="D24" s="160" t="s">
        <v>142</v>
      </c>
      <c r="E24" s="162" t="s">
        <v>144</v>
      </c>
      <c r="F24" s="162" t="s">
        <v>65</v>
      </c>
      <c r="G24" s="173" t="s">
        <v>148</v>
      </c>
      <c r="H24" s="173" t="s">
        <v>88</v>
      </c>
      <c r="I24" s="173" t="s">
        <v>151</v>
      </c>
      <c r="J24" s="173" t="s">
        <v>147</v>
      </c>
      <c r="W24" s="127">
        <v>42800</v>
      </c>
      <c r="X24" s="10">
        <v>91.71</v>
      </c>
      <c r="Y24" s="10">
        <v>92.1</v>
      </c>
      <c r="Z24" s="10">
        <v>89.23</v>
      </c>
      <c r="AA24" s="10">
        <v>89.95</v>
      </c>
      <c r="AB24" s="90">
        <v>4504700</v>
      </c>
      <c r="AC24" s="10">
        <v>89.95</v>
      </c>
      <c r="AD24" s="2">
        <f t="shared" si="0"/>
        <v>2.8699999999999903</v>
      </c>
      <c r="AE24" s="131">
        <f t="shared" si="1"/>
        <v>-2.6936391172652452E-2</v>
      </c>
    </row>
    <row r="25" spans="1:31" x14ac:dyDescent="0.25">
      <c r="B25" s="147"/>
      <c r="C25" s="10"/>
      <c r="D25" s="39"/>
      <c r="E25" s="39"/>
      <c r="F25" s="39"/>
      <c r="G25" s="39"/>
      <c r="H25" s="175"/>
      <c r="I25" s="39"/>
      <c r="J25" s="39"/>
      <c r="W25" s="127">
        <v>42797</v>
      </c>
      <c r="X25" s="10">
        <v>92.5</v>
      </c>
      <c r="Y25" s="10">
        <v>93.36</v>
      </c>
      <c r="Z25" s="10">
        <v>91.89</v>
      </c>
      <c r="AA25" s="10">
        <v>92.44</v>
      </c>
      <c r="AB25" s="90">
        <v>1977800</v>
      </c>
      <c r="AC25" s="10">
        <v>92.44</v>
      </c>
      <c r="AD25" s="2">
        <f t="shared" si="0"/>
        <v>1.4699999999999989</v>
      </c>
      <c r="AE25" s="131">
        <f t="shared" si="1"/>
        <v>-9.8543273350470972E-3</v>
      </c>
    </row>
    <row r="26" spans="1:31" x14ac:dyDescent="0.25">
      <c r="B26" s="147"/>
      <c r="C26" s="10"/>
      <c r="D26" s="39"/>
      <c r="E26" s="39"/>
      <c r="F26" s="39"/>
      <c r="G26" s="39"/>
      <c r="H26" s="175"/>
      <c r="I26" s="39"/>
      <c r="J26" s="39"/>
      <c r="W26" s="127">
        <v>42796</v>
      </c>
      <c r="X26" s="10">
        <v>93.65</v>
      </c>
      <c r="Y26" s="10">
        <v>94.19</v>
      </c>
      <c r="Z26" s="10">
        <v>92.31</v>
      </c>
      <c r="AA26" s="10">
        <v>93.36</v>
      </c>
      <c r="AB26" s="90">
        <v>2725600</v>
      </c>
      <c r="AC26" s="10">
        <v>93.36</v>
      </c>
      <c r="AD26" s="2">
        <f t="shared" si="0"/>
        <v>1.8799999999999955</v>
      </c>
      <c r="AE26" s="131">
        <f t="shared" si="1"/>
        <v>-6.1741537151372983E-3</v>
      </c>
    </row>
    <row r="27" spans="1:31" x14ac:dyDescent="0.25">
      <c r="B27" s="147"/>
      <c r="C27" s="10"/>
      <c r="D27" s="39"/>
      <c r="E27" s="39"/>
      <c r="F27" s="39"/>
      <c r="G27" s="39"/>
      <c r="H27" s="175"/>
      <c r="I27" s="39"/>
      <c r="J27" s="39"/>
      <c r="W27" s="127">
        <v>42795</v>
      </c>
      <c r="X27" s="10">
        <v>94.55</v>
      </c>
      <c r="Y27" s="10">
        <v>94.93</v>
      </c>
      <c r="Z27" s="10">
        <v>91.8</v>
      </c>
      <c r="AA27" s="10">
        <v>93.94</v>
      </c>
      <c r="AB27" s="90">
        <v>3901800</v>
      </c>
      <c r="AC27" s="10">
        <v>93.94</v>
      </c>
      <c r="AD27" s="2">
        <f t="shared" si="0"/>
        <v>3.1300000000000097</v>
      </c>
      <c r="AE27" s="131">
        <f t="shared" si="1"/>
        <v>-1.0633772862612689E-3</v>
      </c>
    </row>
    <row r="28" spans="1:31" x14ac:dyDescent="0.25">
      <c r="B28" s="147"/>
      <c r="C28" s="10"/>
      <c r="D28" s="39"/>
      <c r="E28" s="39"/>
      <c r="F28" s="39"/>
      <c r="G28" s="39"/>
      <c r="H28" s="175"/>
      <c r="I28" s="39"/>
      <c r="J28" s="39"/>
      <c r="W28" s="127">
        <v>42794</v>
      </c>
      <c r="X28" s="10">
        <v>94.52</v>
      </c>
      <c r="Y28" s="10">
        <v>94.59</v>
      </c>
      <c r="Z28" s="10">
        <v>93.62</v>
      </c>
      <c r="AA28" s="10">
        <v>94.04</v>
      </c>
      <c r="AB28" s="90">
        <v>1772000</v>
      </c>
      <c r="AC28" s="10">
        <v>94.04</v>
      </c>
      <c r="AD28" s="2">
        <f t="shared" si="0"/>
        <v>0.96999999999999886</v>
      </c>
      <c r="AE28" s="131">
        <f t="shared" si="1"/>
        <v>-6.5497570251424886E-3</v>
      </c>
    </row>
    <row r="29" spans="1:31" x14ac:dyDescent="0.25">
      <c r="B29" s="147"/>
      <c r="C29" s="10"/>
      <c r="D29" s="39"/>
      <c r="E29" s="39"/>
      <c r="F29" s="39"/>
      <c r="G29" s="39"/>
      <c r="H29" s="175"/>
      <c r="I29" s="39"/>
      <c r="J29" s="39"/>
      <c r="W29" s="127">
        <v>42793</v>
      </c>
      <c r="X29" s="10">
        <v>94.68</v>
      </c>
      <c r="Y29" s="10">
        <v>95.29</v>
      </c>
      <c r="Z29" s="10">
        <v>93.78</v>
      </c>
      <c r="AA29" s="10">
        <v>94.66</v>
      </c>
      <c r="AB29" s="90">
        <v>1450700</v>
      </c>
      <c r="AC29" s="10">
        <v>94.66</v>
      </c>
      <c r="AD29" s="2">
        <f t="shared" si="0"/>
        <v>1.5100000000000051</v>
      </c>
      <c r="AE29" s="131">
        <f t="shared" si="1"/>
        <v>-1.0552975939215337E-3</v>
      </c>
    </row>
    <row r="30" spans="1:31" x14ac:dyDescent="0.25">
      <c r="B30" s="147"/>
      <c r="C30" s="10"/>
      <c r="D30" s="39"/>
      <c r="E30" s="39"/>
      <c r="F30" s="39"/>
      <c r="G30" s="39"/>
      <c r="H30" s="175"/>
      <c r="I30" s="39"/>
      <c r="J30" s="39"/>
      <c r="W30" s="127">
        <v>42790</v>
      </c>
      <c r="X30" s="10">
        <v>94.68</v>
      </c>
      <c r="Y30" s="10">
        <v>95.02</v>
      </c>
      <c r="Z30" s="10">
        <v>94.12</v>
      </c>
      <c r="AA30" s="10">
        <v>94.76</v>
      </c>
      <c r="AB30" s="90">
        <v>1758000</v>
      </c>
      <c r="AC30" s="10">
        <v>94.76</v>
      </c>
      <c r="AD30" s="2">
        <f t="shared" si="0"/>
        <v>0.89999999999999147</v>
      </c>
      <c r="AE30" s="131">
        <f t="shared" si="1"/>
        <v>-9.822361546499403E-3</v>
      </c>
    </row>
    <row r="31" spans="1:31" x14ac:dyDescent="0.25">
      <c r="B31" s="147"/>
      <c r="C31" s="10"/>
      <c r="D31" s="39"/>
      <c r="E31" s="39"/>
      <c r="F31" s="39"/>
      <c r="G31" s="39"/>
      <c r="H31" s="175"/>
      <c r="I31" s="39"/>
      <c r="J31" s="39"/>
      <c r="W31" s="127">
        <v>42789</v>
      </c>
      <c r="X31" s="10">
        <v>100.26</v>
      </c>
      <c r="Y31" s="10">
        <v>100.48</v>
      </c>
      <c r="Z31" s="10">
        <v>94.45</v>
      </c>
      <c r="AA31" s="10">
        <v>95.7</v>
      </c>
      <c r="AB31" s="90">
        <v>6230600</v>
      </c>
      <c r="AC31" s="10">
        <v>95.7</v>
      </c>
      <c r="AD31" s="2">
        <f t="shared" si="0"/>
        <v>6.0300000000000011</v>
      </c>
      <c r="AE31" s="131">
        <f t="shared" si="1"/>
        <v>3.7848389545602545E-2</v>
      </c>
    </row>
    <row r="32" spans="1:31" x14ac:dyDescent="0.25">
      <c r="B32" s="147"/>
      <c r="C32" s="10"/>
      <c r="D32" s="39"/>
      <c r="E32" s="39"/>
      <c r="F32" s="39"/>
      <c r="G32" s="39"/>
      <c r="H32" s="175"/>
      <c r="I32" s="39"/>
      <c r="J32" s="39"/>
      <c r="W32" s="127">
        <v>42788</v>
      </c>
      <c r="X32" s="10">
        <v>92.39</v>
      </c>
      <c r="Y32" s="10">
        <v>92.66</v>
      </c>
      <c r="Z32" s="10">
        <v>91.9</v>
      </c>
      <c r="AA32" s="10">
        <v>92.21</v>
      </c>
      <c r="AB32" s="90">
        <v>2164200</v>
      </c>
      <c r="AC32" s="10">
        <v>92.21</v>
      </c>
      <c r="AD32" s="2">
        <f t="shared" si="0"/>
        <v>0.75999999999999091</v>
      </c>
      <c r="AE32" s="131">
        <f t="shared" si="1"/>
        <v>-4.9638502212151492E-3</v>
      </c>
    </row>
    <row r="33" spans="2:31" x14ac:dyDescent="0.25">
      <c r="B33" s="147"/>
      <c r="C33" s="10"/>
      <c r="D33" s="39"/>
      <c r="E33" s="39"/>
      <c r="F33" s="39"/>
      <c r="G33" s="39"/>
      <c r="H33" s="175"/>
      <c r="I33" s="180"/>
      <c r="J33" s="180"/>
      <c r="W33" s="127">
        <v>42787</v>
      </c>
      <c r="X33" s="10">
        <v>93.49</v>
      </c>
      <c r="Y33" s="10">
        <v>94.29</v>
      </c>
      <c r="Z33" s="10">
        <v>92.24</v>
      </c>
      <c r="AA33" s="10">
        <v>92.67</v>
      </c>
      <c r="AB33" s="90">
        <v>3683200</v>
      </c>
      <c r="AC33" s="10">
        <v>92.67</v>
      </c>
      <c r="AD33" s="2">
        <f t="shared" si="0"/>
        <v>2.0500000000000114</v>
      </c>
      <c r="AE33" s="131">
        <f t="shared" si="1"/>
        <v>3.2649877423668539E-2</v>
      </c>
    </row>
    <row r="34" spans="2:31" x14ac:dyDescent="0.25">
      <c r="B34" s="147"/>
      <c r="C34" s="10"/>
      <c r="D34" s="39"/>
      <c r="E34" s="39"/>
      <c r="F34" s="39"/>
      <c r="G34" s="39"/>
      <c r="H34" s="175"/>
      <c r="I34" s="39"/>
      <c r="J34" s="39"/>
      <c r="W34" s="127">
        <v>42783</v>
      </c>
      <c r="X34" s="10">
        <v>89.87</v>
      </c>
      <c r="Y34" s="10">
        <v>90.1</v>
      </c>
      <c r="Z34" s="10">
        <v>89.25</v>
      </c>
      <c r="AA34" s="10">
        <v>89.74</v>
      </c>
      <c r="AB34" s="90">
        <v>2437500</v>
      </c>
      <c r="AC34" s="10">
        <v>89.74</v>
      </c>
      <c r="AD34" s="2">
        <f t="shared" si="0"/>
        <v>0.84999999999999432</v>
      </c>
      <c r="AE34" s="131">
        <f t="shared" si="1"/>
        <v>-2.1127543645058644E-3</v>
      </c>
    </row>
    <row r="35" spans="2:31" x14ac:dyDescent="0.25">
      <c r="B35" s="147"/>
      <c r="C35" s="10"/>
      <c r="D35" s="39"/>
      <c r="E35" s="39"/>
      <c r="F35" s="39"/>
      <c r="G35" s="39"/>
      <c r="H35" s="175"/>
      <c r="I35" s="39"/>
      <c r="J35" s="39"/>
      <c r="W35" s="127">
        <v>42782</v>
      </c>
      <c r="X35" s="10">
        <v>90.35</v>
      </c>
      <c r="Y35" s="10">
        <v>90.58</v>
      </c>
      <c r="Z35" s="10">
        <v>89.22</v>
      </c>
      <c r="AA35" s="10">
        <v>89.93</v>
      </c>
      <c r="AB35" s="90">
        <v>1724100</v>
      </c>
      <c r="AC35" s="10">
        <v>89.93</v>
      </c>
      <c r="AD35" s="2">
        <f t="shared" si="0"/>
        <v>1.3599999999999994</v>
      </c>
      <c r="AE35" s="131">
        <f t="shared" si="1"/>
        <v>-4.2077289336728274E-3</v>
      </c>
    </row>
    <row r="36" spans="2:31" x14ac:dyDescent="0.25">
      <c r="B36" s="147"/>
      <c r="C36" s="10"/>
      <c r="D36" s="39"/>
      <c r="E36" s="39"/>
      <c r="F36" s="39"/>
      <c r="G36" s="39"/>
      <c r="H36" s="175"/>
      <c r="I36" s="39"/>
      <c r="J36" s="39"/>
      <c r="W36" s="127">
        <v>42781</v>
      </c>
      <c r="X36" s="10">
        <v>89.43</v>
      </c>
      <c r="Y36" s="10">
        <v>90.65</v>
      </c>
      <c r="Z36" s="10">
        <v>89.3</v>
      </c>
      <c r="AA36" s="10">
        <v>90.31</v>
      </c>
      <c r="AB36" s="90">
        <v>1664200</v>
      </c>
      <c r="AC36" s="10">
        <v>90.31</v>
      </c>
      <c r="AD36" s="2">
        <f t="shared" si="0"/>
        <v>1.3500000000000085</v>
      </c>
      <c r="AE36" s="131">
        <f t="shared" si="1"/>
        <v>9.1630349759750374E-3</v>
      </c>
    </row>
    <row r="37" spans="2:31" x14ac:dyDescent="0.25">
      <c r="B37" s="147"/>
      <c r="C37" s="10"/>
      <c r="D37" s="39"/>
      <c r="E37" s="39"/>
      <c r="F37" s="39"/>
      <c r="G37" s="39"/>
      <c r="H37" s="175"/>
      <c r="I37" s="39"/>
      <c r="J37" s="39"/>
      <c r="W37" s="127">
        <v>42780</v>
      </c>
      <c r="X37" s="10">
        <v>89.79</v>
      </c>
      <c r="Y37" s="10">
        <v>90.28</v>
      </c>
      <c r="Z37" s="10">
        <v>89.23</v>
      </c>
      <c r="AA37" s="10">
        <v>89.49</v>
      </c>
      <c r="AB37" s="90">
        <v>1760600</v>
      </c>
      <c r="AC37" s="10">
        <v>89.49</v>
      </c>
      <c r="AD37" s="2">
        <f t="shared" si="0"/>
        <v>1.0499999999999972</v>
      </c>
      <c r="AE37" s="131">
        <f t="shared" si="1"/>
        <v>-5.2245442418852317E-3</v>
      </c>
    </row>
    <row r="38" spans="2:31" x14ac:dyDescent="0.25">
      <c r="B38" s="147"/>
      <c r="C38" s="10"/>
      <c r="D38" s="39"/>
      <c r="E38" s="39"/>
      <c r="F38" s="39"/>
      <c r="G38" s="39"/>
      <c r="H38" s="175"/>
      <c r="I38" s="39"/>
      <c r="J38" s="39"/>
      <c r="W38" s="127">
        <v>42779</v>
      </c>
      <c r="X38" s="10">
        <v>90.11</v>
      </c>
      <c r="Y38" s="10">
        <v>90.5</v>
      </c>
      <c r="Z38" s="10">
        <v>89.52</v>
      </c>
      <c r="AA38" s="10">
        <v>89.96</v>
      </c>
      <c r="AB38" s="90">
        <v>2138100</v>
      </c>
      <c r="AC38" s="10">
        <v>89.96</v>
      </c>
      <c r="AD38" s="2">
        <f t="shared" si="0"/>
        <v>0.98000000000000398</v>
      </c>
      <c r="AE38" s="131">
        <f t="shared" si="1"/>
        <v>-4.2063316360417824E-3</v>
      </c>
    </row>
    <row r="39" spans="2:31" x14ac:dyDescent="0.25">
      <c r="B39" s="147"/>
      <c r="C39" s="10"/>
      <c r="D39" s="39"/>
      <c r="E39" s="39"/>
      <c r="F39" s="39"/>
      <c r="G39" s="39"/>
      <c r="H39" s="175"/>
      <c r="I39" s="39"/>
      <c r="J39" s="39"/>
      <c r="W39" s="127">
        <v>42776</v>
      </c>
      <c r="X39" s="10">
        <v>90.73</v>
      </c>
      <c r="Y39" s="10">
        <v>90.79</v>
      </c>
      <c r="Z39" s="10">
        <v>89.89</v>
      </c>
      <c r="AA39" s="10">
        <v>90.34</v>
      </c>
      <c r="AB39" s="90">
        <v>2225600</v>
      </c>
      <c r="AC39" s="10">
        <v>90.34</v>
      </c>
      <c r="AD39" s="2">
        <f t="shared" si="0"/>
        <v>0.90000000000000568</v>
      </c>
      <c r="AE39" s="131">
        <f t="shared" si="1"/>
        <v>-5.285179475886248E-3</v>
      </c>
    </row>
    <row r="40" spans="2:31" ht="20.25" thickBot="1" x14ac:dyDescent="0.35">
      <c r="B40" s="147"/>
      <c r="C40" s="10"/>
      <c r="D40" s="39"/>
      <c r="E40" s="39"/>
      <c r="F40" s="39"/>
      <c r="G40" s="39"/>
      <c r="H40" s="175"/>
      <c r="I40" s="39"/>
      <c r="J40" s="39"/>
      <c r="O40" s="886" t="s">
        <v>78</v>
      </c>
      <c r="P40" s="886"/>
      <c r="W40" s="127">
        <v>42775</v>
      </c>
      <c r="X40" s="10">
        <v>90.83</v>
      </c>
      <c r="Y40" s="10">
        <v>91.19</v>
      </c>
      <c r="Z40" s="10">
        <v>90.14</v>
      </c>
      <c r="AA40" s="10">
        <v>90.82</v>
      </c>
      <c r="AB40" s="90">
        <v>1335800</v>
      </c>
      <c r="AC40" s="10">
        <v>90.82</v>
      </c>
      <c r="AD40" s="2">
        <f t="shared" si="0"/>
        <v>1.0499999999999972</v>
      </c>
      <c r="AE40" s="131">
        <f t="shared" si="1"/>
        <v>-1.1009578333154302E-4</v>
      </c>
    </row>
    <row r="41" spans="2:31" ht="15.75" thickTop="1" x14ac:dyDescent="0.25">
      <c r="B41" s="147"/>
      <c r="C41" s="10"/>
      <c r="D41" s="39"/>
      <c r="E41" s="39"/>
      <c r="F41" s="39"/>
      <c r="G41" s="39"/>
      <c r="H41" s="175"/>
      <c r="I41" s="39"/>
      <c r="J41" s="39"/>
      <c r="O41" s="78">
        <v>1.1000000000000001</v>
      </c>
      <c r="P41" s="78">
        <f>O41*$Q$4</f>
        <v>241.67000000000002</v>
      </c>
      <c r="Q41" s="2"/>
      <c r="W41" s="127">
        <v>42774</v>
      </c>
      <c r="X41" s="10">
        <v>90.45</v>
      </c>
      <c r="Y41" s="10">
        <v>91.1</v>
      </c>
      <c r="Z41" s="10">
        <v>90.31</v>
      </c>
      <c r="AA41" s="10">
        <v>90.83</v>
      </c>
      <c r="AB41" s="90">
        <v>1778800</v>
      </c>
      <c r="AC41" s="10">
        <v>90.83</v>
      </c>
      <c r="AD41" s="2">
        <f t="shared" si="0"/>
        <v>0.78999999999999204</v>
      </c>
      <c r="AE41" s="131">
        <f t="shared" si="1"/>
        <v>1.3228971447469817E-3</v>
      </c>
    </row>
    <row r="42" spans="2:31" ht="20.25" thickBot="1" x14ac:dyDescent="0.35">
      <c r="B42" s="147"/>
      <c r="C42" s="10"/>
      <c r="D42" s="39"/>
      <c r="E42" s="39"/>
      <c r="F42" s="39"/>
      <c r="G42" s="39"/>
      <c r="H42" s="175"/>
      <c r="I42" s="39"/>
      <c r="J42" s="39"/>
      <c r="O42" s="78">
        <v>1.0900000000000001</v>
      </c>
      <c r="P42" s="78">
        <f t="shared" ref="P42:P61" si="2">O42*$Q$4</f>
        <v>239.47300000000001</v>
      </c>
      <c r="Q42" s="2"/>
      <c r="T42" s="86" t="s">
        <v>112</v>
      </c>
      <c r="W42" s="127">
        <v>42773</v>
      </c>
      <c r="X42" s="10">
        <v>90.16</v>
      </c>
      <c r="Y42" s="10">
        <v>90.99</v>
      </c>
      <c r="Z42" s="10">
        <v>89.87</v>
      </c>
      <c r="AA42" s="10">
        <v>90.71</v>
      </c>
      <c r="AB42" s="90">
        <v>2418000</v>
      </c>
      <c r="AC42" s="10">
        <v>90.71</v>
      </c>
      <c r="AD42" s="2">
        <f t="shared" si="0"/>
        <v>1.1199999999999903</v>
      </c>
      <c r="AE42" s="131">
        <f t="shared" si="1"/>
        <v>9.3468343162343981E-3</v>
      </c>
    </row>
    <row r="43" spans="2:31" ht="15.75" thickTop="1" x14ac:dyDescent="0.25">
      <c r="B43" s="147"/>
      <c r="C43" s="10"/>
      <c r="D43" s="39"/>
      <c r="E43" s="39"/>
      <c r="F43" s="39"/>
      <c r="G43" s="39"/>
      <c r="H43" s="175"/>
      <c r="I43" s="39"/>
      <c r="J43" s="39"/>
      <c r="O43" s="78">
        <v>1.08</v>
      </c>
      <c r="P43" s="78">
        <f t="shared" si="2"/>
        <v>237.27600000000001</v>
      </c>
      <c r="Q43" s="2"/>
      <c r="T43" s="122" t="s">
        <v>97</v>
      </c>
      <c r="U43" s="123">
        <v>93.1</v>
      </c>
      <c r="W43" s="127">
        <v>42772</v>
      </c>
      <c r="X43" s="10">
        <v>90.58</v>
      </c>
      <c r="Y43" s="10">
        <v>90.69</v>
      </c>
      <c r="Z43" s="10">
        <v>88.67</v>
      </c>
      <c r="AA43" s="10">
        <v>89.87</v>
      </c>
      <c r="AB43" s="90">
        <v>3389500</v>
      </c>
      <c r="AC43" s="10">
        <v>89.87</v>
      </c>
      <c r="AD43" s="2">
        <f t="shared" si="0"/>
        <v>2.019999999999996</v>
      </c>
      <c r="AE43" s="131">
        <f t="shared" si="1"/>
        <v>-6.6320327180280358E-3</v>
      </c>
    </row>
    <row r="44" spans="2:31" x14ac:dyDescent="0.25">
      <c r="B44" s="147"/>
      <c r="C44" s="10"/>
      <c r="D44" s="39"/>
      <c r="E44" s="39"/>
      <c r="F44" s="39"/>
      <c r="G44" s="39"/>
      <c r="H44" s="175"/>
      <c r="I44" s="39"/>
      <c r="J44" s="39"/>
      <c r="O44" s="78">
        <v>1.07</v>
      </c>
      <c r="P44" s="78">
        <f t="shared" si="2"/>
        <v>235.07900000000001</v>
      </c>
      <c r="Q44" s="2"/>
      <c r="T44" s="88" t="s">
        <v>98</v>
      </c>
      <c r="U44" s="124">
        <v>93.27</v>
      </c>
      <c r="W44" s="127">
        <v>42769</v>
      </c>
      <c r="X44" s="10">
        <v>90.42</v>
      </c>
      <c r="Y44" s="10">
        <v>91.4</v>
      </c>
      <c r="Z44" s="10">
        <v>89.51</v>
      </c>
      <c r="AA44" s="10">
        <v>90.47</v>
      </c>
      <c r="AB44" s="90">
        <v>4593200</v>
      </c>
      <c r="AC44" s="10">
        <v>90.47</v>
      </c>
      <c r="AD44" s="2">
        <f t="shared" si="0"/>
        <v>1.8900000000000006</v>
      </c>
      <c r="AE44" s="131">
        <f t="shared" si="1"/>
        <v>8.2469631115569264E-3</v>
      </c>
    </row>
    <row r="45" spans="2:31" x14ac:dyDescent="0.25">
      <c r="B45" s="147"/>
      <c r="C45" s="10"/>
      <c r="D45" s="39"/>
      <c r="E45" s="39"/>
      <c r="F45" s="39"/>
      <c r="G45" s="39"/>
      <c r="H45" s="175"/>
      <c r="I45" s="39"/>
      <c r="J45" s="39"/>
      <c r="O45" s="78">
        <v>1.06</v>
      </c>
      <c r="P45" s="78">
        <f t="shared" si="2"/>
        <v>232.88200000000001</v>
      </c>
      <c r="Q45" s="2"/>
      <c r="T45" s="88" t="s">
        <v>99</v>
      </c>
      <c r="U45" s="124" t="s">
        <v>128</v>
      </c>
      <c r="W45" s="127">
        <v>42768</v>
      </c>
      <c r="X45" s="10">
        <v>92.16</v>
      </c>
      <c r="Y45" s="10">
        <v>92.19</v>
      </c>
      <c r="Z45" s="10">
        <v>86.55</v>
      </c>
      <c r="AA45" s="10">
        <v>89.73</v>
      </c>
      <c r="AB45" s="90">
        <v>8891900</v>
      </c>
      <c r="AC45" s="10">
        <v>89.73</v>
      </c>
      <c r="AD45" s="2">
        <f t="shared" si="0"/>
        <v>5.6400000000000006</v>
      </c>
      <c r="AE45" s="131">
        <f t="shared" si="1"/>
        <v>-8.4574576617016839E-2</v>
      </c>
    </row>
    <row r="46" spans="2:31" x14ac:dyDescent="0.25">
      <c r="B46" s="147"/>
      <c r="C46" s="10"/>
      <c r="D46" s="39"/>
      <c r="E46" s="39"/>
      <c r="F46" s="39"/>
      <c r="G46" s="39"/>
      <c r="H46" s="175"/>
      <c r="I46" s="39"/>
      <c r="J46" s="39"/>
      <c r="O46" s="78">
        <v>1.05</v>
      </c>
      <c r="P46" s="78">
        <f t="shared" si="2"/>
        <v>230.685</v>
      </c>
      <c r="Q46" s="2"/>
      <c r="T46" s="88" t="s">
        <v>100</v>
      </c>
      <c r="U46" s="124" t="s">
        <v>128</v>
      </c>
      <c r="W46" s="127">
        <v>42767</v>
      </c>
      <c r="X46" s="10">
        <v>96.51</v>
      </c>
      <c r="Y46" s="10">
        <v>98.38</v>
      </c>
      <c r="Z46" s="10">
        <v>96.11</v>
      </c>
      <c r="AA46" s="10">
        <v>98.02</v>
      </c>
      <c r="AB46" s="90">
        <v>3003400</v>
      </c>
      <c r="AC46" s="10">
        <v>98.02</v>
      </c>
      <c r="AD46" s="2">
        <f t="shared" si="0"/>
        <v>2.269999999999996</v>
      </c>
      <c r="AE46" s="131">
        <f t="shared" si="1"/>
        <v>1.849542809642557E-2</v>
      </c>
    </row>
    <row r="47" spans="2:31" x14ac:dyDescent="0.25">
      <c r="B47" s="147"/>
      <c r="C47" s="10"/>
      <c r="D47" s="39"/>
      <c r="E47" s="39"/>
      <c r="F47" s="39"/>
      <c r="G47" s="39"/>
      <c r="H47" s="175"/>
      <c r="I47" s="180"/>
      <c r="J47" s="180"/>
      <c r="O47" s="78">
        <v>1.04</v>
      </c>
      <c r="P47" s="78">
        <f t="shared" si="2"/>
        <v>228.488</v>
      </c>
      <c r="Q47" s="2"/>
      <c r="T47" s="88" t="s">
        <v>101</v>
      </c>
      <c r="U47" s="124">
        <v>115.9</v>
      </c>
      <c r="W47" s="127">
        <v>42766</v>
      </c>
      <c r="X47" s="10">
        <v>96.39</v>
      </c>
      <c r="Y47" s="10">
        <v>96.9</v>
      </c>
      <c r="Z47" s="10">
        <v>95.25</v>
      </c>
      <c r="AA47" s="10">
        <v>96.24</v>
      </c>
      <c r="AB47" s="90">
        <v>3703300</v>
      </c>
      <c r="AC47" s="10">
        <v>96.24</v>
      </c>
      <c r="AD47" s="2">
        <f t="shared" si="0"/>
        <v>1.6500000000000057</v>
      </c>
      <c r="AE47" s="131">
        <f t="shared" si="1"/>
        <v>-2.3841608790298174E-3</v>
      </c>
    </row>
    <row r="48" spans="2:31" x14ac:dyDescent="0.25">
      <c r="B48" s="147"/>
      <c r="C48" s="10"/>
      <c r="D48" s="39"/>
      <c r="E48" s="39"/>
      <c r="F48" s="39"/>
      <c r="G48" s="39"/>
      <c r="H48" s="175"/>
      <c r="I48" s="39"/>
      <c r="J48" s="39"/>
      <c r="O48" s="78">
        <v>1.03</v>
      </c>
      <c r="P48" s="78">
        <f t="shared" si="2"/>
        <v>226.291</v>
      </c>
      <c r="Q48" s="2"/>
      <c r="T48" s="88" t="s">
        <v>102</v>
      </c>
      <c r="U48" s="124">
        <v>0.80916999999999994</v>
      </c>
      <c r="W48" s="127">
        <v>42765</v>
      </c>
      <c r="X48" s="10">
        <v>97.07</v>
      </c>
      <c r="Y48" s="10">
        <v>97.23</v>
      </c>
      <c r="Z48" s="10">
        <v>95.49</v>
      </c>
      <c r="AA48" s="10">
        <v>96.47</v>
      </c>
      <c r="AB48" s="90">
        <v>1185600</v>
      </c>
      <c r="AC48" s="10">
        <v>96.47</v>
      </c>
      <c r="AD48" s="2">
        <f t="shared" si="0"/>
        <v>1.7400000000000091</v>
      </c>
      <c r="AE48" s="131">
        <f t="shared" si="1"/>
        <v>-8.5303186022610555E-3</v>
      </c>
    </row>
    <row r="49" spans="2:31" x14ac:dyDescent="0.25">
      <c r="B49" s="147"/>
      <c r="C49" s="10"/>
      <c r="D49" s="39"/>
      <c r="E49" s="39"/>
      <c r="F49" s="39"/>
      <c r="G49" s="39"/>
      <c r="H49" s="175"/>
      <c r="I49" s="39"/>
      <c r="J49" s="39"/>
      <c r="O49" s="78">
        <v>1.02</v>
      </c>
      <c r="P49" s="78">
        <f t="shared" si="2"/>
        <v>224.09399999999999</v>
      </c>
      <c r="Q49" s="2"/>
      <c r="T49" s="88" t="s">
        <v>121</v>
      </c>
      <c r="U49" s="124" t="s">
        <v>361</v>
      </c>
      <c r="W49" s="127">
        <v>42762</v>
      </c>
      <c r="X49" s="10">
        <v>95.67</v>
      </c>
      <c r="Y49" s="10">
        <v>97.34</v>
      </c>
      <c r="Z49" s="10">
        <v>95.53</v>
      </c>
      <c r="AA49" s="10">
        <v>97.3</v>
      </c>
      <c r="AB49" s="90">
        <v>1602100</v>
      </c>
      <c r="AC49" s="10">
        <v>97.3</v>
      </c>
      <c r="AD49" s="2">
        <f t="shared" si="0"/>
        <v>1.8100000000000023</v>
      </c>
      <c r="AE49" s="131">
        <f t="shared" si="1"/>
        <v>2.2810890360559277E-2</v>
      </c>
    </row>
    <row r="50" spans="2:31" x14ac:dyDescent="0.25">
      <c r="B50" s="147"/>
      <c r="C50" s="10"/>
      <c r="D50" s="39"/>
      <c r="E50" s="39"/>
      <c r="F50" s="39"/>
      <c r="G50" s="39"/>
      <c r="H50" s="175"/>
      <c r="I50" s="39"/>
      <c r="J50" s="39"/>
      <c r="O50" s="78">
        <v>1.01</v>
      </c>
      <c r="P50" s="78">
        <f t="shared" si="2"/>
        <v>221.89699999999999</v>
      </c>
      <c r="Q50" s="2"/>
      <c r="T50" s="88"/>
      <c r="U50" s="124"/>
      <c r="W50" s="127">
        <v>42761</v>
      </c>
      <c r="X50" s="10">
        <v>96.2</v>
      </c>
      <c r="Y50" s="10">
        <v>96.89</v>
      </c>
      <c r="Z50" s="10">
        <v>94.97</v>
      </c>
      <c r="AA50" s="10">
        <v>95.13</v>
      </c>
      <c r="AB50" s="90">
        <v>1627900</v>
      </c>
      <c r="AC50" s="10">
        <v>95.13</v>
      </c>
      <c r="AD50" s="2">
        <f t="shared" si="0"/>
        <v>1.9200000000000017</v>
      </c>
      <c r="AE50" s="131">
        <f t="shared" si="1"/>
        <v>-9.578344612181211E-3</v>
      </c>
    </row>
    <row r="51" spans="2:31" x14ac:dyDescent="0.25">
      <c r="B51" s="147"/>
      <c r="C51" s="10"/>
      <c r="D51" s="39"/>
      <c r="E51" s="39"/>
      <c r="F51" s="39"/>
      <c r="G51" s="39"/>
      <c r="H51" s="175"/>
      <c r="I51" s="39"/>
      <c r="J51" s="39"/>
      <c r="O51" s="78">
        <v>1</v>
      </c>
      <c r="P51" s="78">
        <f t="shared" si="2"/>
        <v>219.7</v>
      </c>
      <c r="Q51" s="2"/>
      <c r="T51" s="88" t="s">
        <v>104</v>
      </c>
      <c r="U51" s="124" t="s">
        <v>534</v>
      </c>
      <c r="W51" s="127">
        <v>42760</v>
      </c>
      <c r="X51" s="10">
        <v>94.76</v>
      </c>
      <c r="Y51" s="10">
        <v>96.39</v>
      </c>
      <c r="Z51" s="10">
        <v>94.67</v>
      </c>
      <c r="AA51" s="10">
        <v>96.05</v>
      </c>
      <c r="AB51" s="90">
        <v>1517000</v>
      </c>
      <c r="AC51" s="10">
        <v>96.05</v>
      </c>
      <c r="AD51" s="2">
        <f t="shared" si="0"/>
        <v>1.7199999999999989</v>
      </c>
      <c r="AE51" s="131">
        <f t="shared" si="1"/>
        <v>1.7478813559322015E-2</v>
      </c>
    </row>
    <row r="52" spans="2:31" x14ac:dyDescent="0.25">
      <c r="B52" s="147"/>
      <c r="C52" s="10"/>
      <c r="D52" s="39"/>
      <c r="E52" s="39"/>
      <c r="F52" s="39"/>
      <c r="G52" s="39"/>
      <c r="H52" s="175"/>
      <c r="I52" s="39"/>
      <c r="J52" s="39"/>
      <c r="O52" s="78">
        <v>0.99</v>
      </c>
      <c r="P52" s="78">
        <f t="shared" si="2"/>
        <v>217.50299999999999</v>
      </c>
      <c r="Q52" s="2"/>
      <c r="T52" s="88" t="s">
        <v>105</v>
      </c>
      <c r="U52" s="124" t="s">
        <v>383</v>
      </c>
      <c r="W52" s="127">
        <v>42759</v>
      </c>
      <c r="X52" s="10">
        <v>95.3</v>
      </c>
      <c r="Y52" s="10">
        <v>95.44</v>
      </c>
      <c r="Z52" s="10">
        <v>93.79</v>
      </c>
      <c r="AA52" s="10">
        <v>94.4</v>
      </c>
      <c r="AB52" s="90">
        <v>1630000</v>
      </c>
      <c r="AC52" s="10">
        <v>94.4</v>
      </c>
      <c r="AD52" s="2">
        <f t="shared" si="0"/>
        <v>1.6499999999999915</v>
      </c>
      <c r="AE52" s="131">
        <f t="shared" si="1"/>
        <v>-6.3157894736841635E-3</v>
      </c>
    </row>
    <row r="53" spans="2:31" x14ac:dyDescent="0.25">
      <c r="B53" s="147"/>
      <c r="C53" s="10"/>
      <c r="D53" s="39"/>
      <c r="E53" s="39"/>
      <c r="F53" s="39"/>
      <c r="G53" s="39"/>
      <c r="H53" s="175"/>
      <c r="I53" s="39"/>
      <c r="J53" s="39"/>
      <c r="O53" s="78">
        <v>0.98</v>
      </c>
      <c r="P53" s="78">
        <f t="shared" si="2"/>
        <v>215.30599999999998</v>
      </c>
      <c r="Q53" s="2"/>
      <c r="T53" s="88" t="s">
        <v>106</v>
      </c>
      <c r="U53" s="125">
        <v>1827980</v>
      </c>
      <c r="W53" s="127">
        <v>42758</v>
      </c>
      <c r="X53" s="10">
        <v>95.5</v>
      </c>
      <c r="Y53" s="10">
        <v>95.6</v>
      </c>
      <c r="Z53" s="10">
        <v>94.27</v>
      </c>
      <c r="AA53" s="10">
        <v>95</v>
      </c>
      <c r="AB53" s="90">
        <v>1109600</v>
      </c>
      <c r="AC53" s="10">
        <v>95</v>
      </c>
      <c r="AD53" s="2">
        <f t="shared" si="0"/>
        <v>1.3299999999999983</v>
      </c>
      <c r="AE53" s="131">
        <f t="shared" si="1"/>
        <v>-5.3397549994765869E-3</v>
      </c>
    </row>
    <row r="54" spans="2:31" x14ac:dyDescent="0.25">
      <c r="B54" s="147"/>
      <c r="C54" s="10"/>
      <c r="D54" s="39"/>
      <c r="E54" s="39"/>
      <c r="F54" s="39"/>
      <c r="G54" s="39"/>
      <c r="H54" s="175"/>
      <c r="I54" s="39"/>
      <c r="J54" s="39"/>
      <c r="O54" s="78">
        <v>0.97</v>
      </c>
      <c r="P54" s="78">
        <f t="shared" si="2"/>
        <v>213.10899999999998</v>
      </c>
      <c r="T54" s="88" t="s">
        <v>109</v>
      </c>
      <c r="U54" s="125">
        <v>2259750</v>
      </c>
      <c r="W54" s="127">
        <v>42755</v>
      </c>
      <c r="X54" s="10">
        <v>96.03</v>
      </c>
      <c r="Y54" s="10">
        <v>96.93</v>
      </c>
      <c r="Z54" s="10">
        <v>95.02</v>
      </c>
      <c r="AA54" s="10">
        <v>95.51</v>
      </c>
      <c r="AB54" s="90">
        <v>1143300</v>
      </c>
      <c r="AC54" s="10">
        <v>95.51</v>
      </c>
      <c r="AD54" s="2">
        <f t="shared" si="0"/>
        <v>1.9100000000000108</v>
      </c>
      <c r="AE54" s="131">
        <f t="shared" si="1"/>
        <v>-8.1005296500156199E-3</v>
      </c>
    </row>
    <row r="55" spans="2:31" x14ac:dyDescent="0.25">
      <c r="B55" s="147"/>
      <c r="C55" s="10"/>
      <c r="D55" s="39"/>
      <c r="E55" s="39"/>
      <c r="F55" s="39"/>
      <c r="G55" s="39"/>
      <c r="H55" s="175"/>
      <c r="I55" s="39"/>
      <c r="J55" s="39"/>
      <c r="O55" s="78">
        <v>0.96</v>
      </c>
      <c r="P55" s="78">
        <f t="shared" si="2"/>
        <v>210.91199999999998</v>
      </c>
      <c r="T55" s="88" t="s">
        <v>107</v>
      </c>
      <c r="U55" s="124" t="s">
        <v>535</v>
      </c>
      <c r="W55" s="127">
        <v>42754</v>
      </c>
      <c r="X55" s="10">
        <v>95.92</v>
      </c>
      <c r="Y55" s="10">
        <v>96.72</v>
      </c>
      <c r="Z55" s="10">
        <v>94.85</v>
      </c>
      <c r="AA55" s="10">
        <v>96.29</v>
      </c>
      <c r="AB55" s="90">
        <v>2058800</v>
      </c>
      <c r="AC55" s="10">
        <v>96.29</v>
      </c>
      <c r="AD55" s="2">
        <f t="shared" si="0"/>
        <v>1.8700000000000045</v>
      </c>
      <c r="AE55" s="131">
        <f t="shared" si="1"/>
        <v>5.2197515398266781E-3</v>
      </c>
    </row>
    <row r="56" spans="2:31" x14ac:dyDescent="0.25">
      <c r="B56" s="147"/>
      <c r="C56" s="10"/>
      <c r="D56" s="39"/>
      <c r="E56" s="39"/>
      <c r="F56" s="39"/>
      <c r="G56" s="39"/>
      <c r="H56" s="175"/>
      <c r="I56" s="39"/>
      <c r="J56" s="39"/>
      <c r="O56" s="78">
        <v>0.95</v>
      </c>
      <c r="P56" s="78">
        <f t="shared" si="2"/>
        <v>208.71499999999997</v>
      </c>
      <c r="T56" s="88" t="s">
        <v>110</v>
      </c>
      <c r="U56" s="124">
        <v>35.67</v>
      </c>
      <c r="W56" s="127">
        <v>42753</v>
      </c>
      <c r="X56" s="10">
        <v>97.2</v>
      </c>
      <c r="Y56" s="10">
        <v>97.4</v>
      </c>
      <c r="Z56" s="10">
        <v>95.69</v>
      </c>
      <c r="AA56" s="10">
        <v>95.79</v>
      </c>
      <c r="AB56" s="90">
        <v>1451000</v>
      </c>
      <c r="AC56" s="10">
        <v>95.79</v>
      </c>
      <c r="AD56" s="2">
        <f t="shared" si="0"/>
        <v>1.710000000000008</v>
      </c>
      <c r="AE56" s="131">
        <f t="shared" si="1"/>
        <v>-1.1251032204789291E-2</v>
      </c>
    </row>
    <row r="57" spans="2:31" x14ac:dyDescent="0.25">
      <c r="B57" s="147"/>
      <c r="C57" s="10"/>
      <c r="D57" s="39"/>
      <c r="E57" s="39"/>
      <c r="F57" s="39"/>
      <c r="G57" s="39"/>
      <c r="H57" s="175"/>
      <c r="I57" s="39"/>
      <c r="J57" s="39"/>
      <c r="O57" s="78">
        <v>0.94</v>
      </c>
      <c r="P57" s="78">
        <f t="shared" si="2"/>
        <v>206.51799999999997</v>
      </c>
      <c r="T57" s="88" t="s">
        <v>111</v>
      </c>
      <c r="U57" s="124">
        <v>2.61</v>
      </c>
      <c r="W57" s="127">
        <v>42752</v>
      </c>
      <c r="X57" s="10">
        <v>96.49</v>
      </c>
      <c r="Y57" s="10">
        <v>97.4</v>
      </c>
      <c r="Z57" s="10">
        <v>96.01</v>
      </c>
      <c r="AA57" s="10">
        <v>96.88</v>
      </c>
      <c r="AB57" s="90">
        <v>1648200</v>
      </c>
      <c r="AC57" s="10">
        <v>96.88</v>
      </c>
      <c r="AD57" s="2">
        <f t="shared" si="0"/>
        <v>1.3900000000000006</v>
      </c>
      <c r="AE57" s="131">
        <f t="shared" si="1"/>
        <v>-2.5738700710388196E-3</v>
      </c>
    </row>
    <row r="58" spans="2:31" x14ac:dyDescent="0.25">
      <c r="B58" s="147"/>
      <c r="C58" s="10"/>
      <c r="D58" s="39"/>
      <c r="E58" s="39"/>
      <c r="F58" s="39"/>
      <c r="G58" s="39"/>
      <c r="H58" s="175"/>
      <c r="I58" s="39"/>
      <c r="J58" s="39"/>
      <c r="O58" s="78">
        <v>0.93</v>
      </c>
      <c r="P58" s="78">
        <f t="shared" si="2"/>
        <v>204.321</v>
      </c>
      <c r="T58" s="88" t="s">
        <v>108</v>
      </c>
      <c r="U58" s="124" t="s">
        <v>122</v>
      </c>
      <c r="W58" s="127">
        <v>42748</v>
      </c>
      <c r="X58" s="10">
        <v>97.96</v>
      </c>
      <c r="Y58" s="10">
        <v>97.96</v>
      </c>
      <c r="Z58" s="10">
        <v>96.16</v>
      </c>
      <c r="AA58" s="10">
        <v>97.13</v>
      </c>
      <c r="AB58" s="90">
        <v>1806800</v>
      </c>
      <c r="AC58" s="10">
        <v>97.13</v>
      </c>
      <c r="AD58" s="2">
        <f t="shared" si="0"/>
        <v>1.7999999999999972</v>
      </c>
      <c r="AE58" s="131">
        <f t="shared" si="1"/>
        <v>-4.7135977046829369E-3</v>
      </c>
    </row>
    <row r="59" spans="2:31" x14ac:dyDescent="0.25">
      <c r="B59" s="147"/>
      <c r="C59" s="10"/>
      <c r="D59" s="39"/>
      <c r="E59" s="39"/>
      <c r="F59" s="39"/>
      <c r="G59" s="39"/>
      <c r="H59" s="175"/>
      <c r="I59" s="39"/>
      <c r="J59" s="39"/>
      <c r="O59" s="78">
        <v>0.92</v>
      </c>
      <c r="P59" s="78">
        <f t="shared" si="2"/>
        <v>202.124</v>
      </c>
      <c r="W59" s="127">
        <v>42747</v>
      </c>
      <c r="X59" s="10">
        <v>97.69</v>
      </c>
      <c r="Y59" s="10">
        <v>97.9</v>
      </c>
      <c r="Z59" s="10">
        <v>96.5</v>
      </c>
      <c r="AA59" s="10">
        <v>97.59</v>
      </c>
      <c r="AB59" s="90">
        <v>1411400</v>
      </c>
      <c r="AC59" s="10">
        <v>97.59</v>
      </c>
      <c r="AD59" s="2">
        <f t="shared" si="0"/>
        <v>1.4000000000000057</v>
      </c>
      <c r="AE59" s="131">
        <f t="shared" si="1"/>
        <v>-1.0745058286872777E-2</v>
      </c>
    </row>
    <row r="60" spans="2:31" x14ac:dyDescent="0.25">
      <c r="B60" s="147"/>
      <c r="C60" s="10"/>
      <c r="D60" s="39"/>
      <c r="E60" s="39"/>
      <c r="F60" s="39"/>
      <c r="G60" s="39"/>
      <c r="H60" s="175"/>
      <c r="I60" s="39"/>
      <c r="J60" s="39"/>
      <c r="O60" s="78">
        <v>0.91</v>
      </c>
      <c r="P60" s="78">
        <f t="shared" si="2"/>
        <v>199.92699999999999</v>
      </c>
      <c r="W60" s="127">
        <v>42746</v>
      </c>
      <c r="X60" s="10">
        <v>99.26</v>
      </c>
      <c r="Y60" s="10">
        <v>99.35</v>
      </c>
      <c r="Z60" s="10">
        <v>97.04</v>
      </c>
      <c r="AA60" s="10">
        <v>98.65</v>
      </c>
      <c r="AB60" s="90">
        <v>1488800</v>
      </c>
      <c r="AC60" s="10">
        <v>98.65</v>
      </c>
      <c r="AD60" s="2">
        <f t="shared" si="0"/>
        <v>2.3099999999999881</v>
      </c>
      <c r="AE60" s="131">
        <f t="shared" si="1"/>
        <v>-4.942505547710252E-3</v>
      </c>
    </row>
    <row r="61" spans="2:31" x14ac:dyDescent="0.25">
      <c r="B61" s="147"/>
      <c r="C61" s="10"/>
      <c r="D61" s="39"/>
      <c r="E61" s="39"/>
      <c r="F61" s="39"/>
      <c r="G61" s="39"/>
      <c r="H61" s="175"/>
      <c r="I61" s="39"/>
      <c r="J61" s="39"/>
      <c r="O61" s="78">
        <v>0.9</v>
      </c>
      <c r="P61" s="78">
        <f t="shared" si="2"/>
        <v>197.73</v>
      </c>
      <c r="W61" s="127">
        <v>42745</v>
      </c>
      <c r="X61" s="10">
        <v>97.96</v>
      </c>
      <c r="Y61" s="10">
        <v>99.7</v>
      </c>
      <c r="Z61" s="10">
        <v>97.95</v>
      </c>
      <c r="AA61" s="10">
        <v>99.14</v>
      </c>
      <c r="AB61" s="90">
        <v>1907400</v>
      </c>
      <c r="AC61" s="10">
        <v>99.14</v>
      </c>
      <c r="AD61" s="2">
        <f t="shared" si="0"/>
        <v>1.75</v>
      </c>
      <c r="AE61" s="131">
        <f t="shared" si="1"/>
        <v>1.2149055640632955E-2</v>
      </c>
    </row>
    <row r="62" spans="2:31" x14ac:dyDescent="0.25">
      <c r="B62" s="147"/>
      <c r="C62" s="10"/>
      <c r="D62" s="39"/>
      <c r="E62" s="39"/>
      <c r="F62" s="39"/>
      <c r="G62" s="39"/>
      <c r="H62" s="175"/>
      <c r="I62" s="39"/>
      <c r="J62" s="39"/>
      <c r="W62" s="127">
        <v>42744</v>
      </c>
      <c r="X62" s="10">
        <v>97.57</v>
      </c>
      <c r="Y62" s="10">
        <v>98.63</v>
      </c>
      <c r="Z62" s="10">
        <v>97.33</v>
      </c>
      <c r="AA62" s="10">
        <v>97.95</v>
      </c>
      <c r="AB62" s="90">
        <v>1687800</v>
      </c>
      <c r="AC62" s="10">
        <v>97.95</v>
      </c>
      <c r="AD62" s="2">
        <f t="shared" si="0"/>
        <v>1.2999999999999972</v>
      </c>
      <c r="AE62" s="131">
        <f t="shared" si="1"/>
        <v>9.0656227464718242E-3</v>
      </c>
    </row>
    <row r="63" spans="2:31" x14ac:dyDescent="0.25">
      <c r="B63" s="147"/>
      <c r="C63" s="10"/>
      <c r="D63" s="39"/>
      <c r="E63" s="39"/>
      <c r="F63" s="39"/>
      <c r="G63" s="39"/>
      <c r="H63" s="175"/>
      <c r="I63" s="39"/>
      <c r="J63" s="39"/>
      <c r="W63" s="127">
        <v>42741</v>
      </c>
      <c r="X63" s="10">
        <v>97.4</v>
      </c>
      <c r="Y63" s="10">
        <v>97.88</v>
      </c>
      <c r="Z63" s="10">
        <v>96.43</v>
      </c>
      <c r="AA63" s="10">
        <v>97.07</v>
      </c>
      <c r="AB63" s="90">
        <v>2974400</v>
      </c>
      <c r="AC63" s="10">
        <v>97.07</v>
      </c>
      <c r="AD63" s="2">
        <f t="shared" si="0"/>
        <v>1.4499999999999886</v>
      </c>
      <c r="AE63" s="131">
        <f t="shared" si="1"/>
        <v>-1.2346949274617547E-3</v>
      </c>
    </row>
    <row r="64" spans="2:31" x14ac:dyDescent="0.25">
      <c r="B64" s="147"/>
      <c r="C64" s="10"/>
      <c r="D64" s="39"/>
      <c r="E64" s="39"/>
      <c r="F64" s="39"/>
      <c r="G64" s="39"/>
      <c r="H64" s="175"/>
      <c r="I64" s="39"/>
      <c r="J64" s="39"/>
      <c r="W64" s="127">
        <v>42740</v>
      </c>
      <c r="X64" s="10">
        <v>96.91</v>
      </c>
      <c r="Y64" s="10">
        <v>97.91</v>
      </c>
      <c r="Z64" s="10">
        <v>96.61</v>
      </c>
      <c r="AA64" s="10">
        <v>97.19</v>
      </c>
      <c r="AB64" s="90">
        <v>1534300</v>
      </c>
      <c r="AC64" s="10">
        <v>97.19</v>
      </c>
      <c r="AD64" s="2">
        <f t="shared" si="0"/>
        <v>1.2999999999999972</v>
      </c>
      <c r="AE64" s="131">
        <f t="shared" si="1"/>
        <v>6.7329604309094293E-3</v>
      </c>
    </row>
    <row r="65" spans="1:31" x14ac:dyDescent="0.25">
      <c r="B65" s="147"/>
      <c r="C65" s="10"/>
      <c r="D65" s="39"/>
      <c r="E65" s="39"/>
      <c r="F65" s="39"/>
      <c r="G65" s="39"/>
      <c r="H65" s="175"/>
      <c r="I65" s="39"/>
      <c r="J65" s="39"/>
      <c r="W65" s="127">
        <v>42739</v>
      </c>
      <c r="X65" s="10">
        <v>95.52</v>
      </c>
      <c r="Y65" s="10">
        <v>97.29</v>
      </c>
      <c r="Z65" s="10">
        <v>94.88</v>
      </c>
      <c r="AA65" s="10">
        <v>96.54</v>
      </c>
      <c r="AB65" s="90">
        <v>2051600</v>
      </c>
      <c r="AC65" s="10">
        <v>96.54</v>
      </c>
      <c r="AD65" s="2">
        <f t="shared" si="0"/>
        <v>2.4100000000000108</v>
      </c>
      <c r="AE65" s="131">
        <f t="shared" si="1"/>
        <v>1.0678391959799027E-2</v>
      </c>
    </row>
    <row r="66" spans="1:31" x14ac:dyDescent="0.25">
      <c r="B66" s="147"/>
      <c r="C66" s="10"/>
      <c r="D66" s="39"/>
      <c r="E66" s="39"/>
      <c r="F66" s="39"/>
      <c r="G66" s="39"/>
      <c r="H66" s="175"/>
      <c r="I66" s="39"/>
      <c r="J66" s="39"/>
      <c r="W66" s="127">
        <v>42738</v>
      </c>
      <c r="X66" s="10">
        <v>93.8</v>
      </c>
      <c r="Y66" s="10">
        <v>95.52</v>
      </c>
      <c r="Z66" s="10">
        <v>93.06</v>
      </c>
      <c r="AA66" s="10">
        <v>95.52</v>
      </c>
      <c r="AB66" s="90">
        <v>2166100</v>
      </c>
      <c r="AC66" s="10">
        <v>95.52</v>
      </c>
      <c r="AD66" s="2">
        <f t="shared" si="0"/>
        <v>2.4599999999999937</v>
      </c>
      <c r="AE66" s="131">
        <f t="shared" si="1"/>
        <v>1.9423692636072465E-2</v>
      </c>
    </row>
    <row r="67" spans="1:31" x14ac:dyDescent="0.25">
      <c r="B67" s="147"/>
      <c r="C67" s="10"/>
      <c r="D67" s="39"/>
      <c r="E67" s="39"/>
      <c r="F67" s="39"/>
      <c r="G67" s="39"/>
      <c r="H67" s="175"/>
      <c r="I67" s="39"/>
      <c r="J67" s="39"/>
      <c r="W67" s="127">
        <v>42734</v>
      </c>
      <c r="X67" s="10">
        <v>93.89</v>
      </c>
      <c r="Y67" s="10">
        <v>94.58</v>
      </c>
      <c r="Z67" s="10">
        <v>93.35</v>
      </c>
      <c r="AA67" s="10">
        <v>93.7</v>
      </c>
      <c r="AB67" s="90">
        <v>1397500</v>
      </c>
      <c r="AC67" s="10">
        <v>93.7</v>
      </c>
      <c r="AD67" s="2">
        <f>Y67-Z67</f>
        <v>1.230000000000004</v>
      </c>
      <c r="AE67" s="131" t="e">
        <f>AC67/#REF!-1</f>
        <v>#REF!</v>
      </c>
    </row>
    <row r="68" spans="1:31" x14ac:dyDescent="0.25">
      <c r="B68" s="147"/>
      <c r="C68" s="10"/>
      <c r="D68" s="39"/>
      <c r="E68" s="39"/>
      <c r="F68" s="39"/>
      <c r="G68" s="39"/>
      <c r="H68" s="175"/>
      <c r="I68" s="39"/>
      <c r="J68" s="39"/>
      <c r="W68" s="127" t="s">
        <v>120</v>
      </c>
      <c r="X68" s="10"/>
      <c r="Y68" s="10"/>
      <c r="Z68" s="10"/>
      <c r="AA68" s="10"/>
      <c r="AB68" s="90"/>
      <c r="AC68" s="10"/>
      <c r="AD68" s="2" t="e">
        <f>#REF!-#REF!</f>
        <v>#REF!</v>
      </c>
      <c r="AE68" s="131" t="e">
        <f>#REF!/AC69-1</f>
        <v>#REF!</v>
      </c>
    </row>
    <row r="69" spans="1:31" x14ac:dyDescent="0.25">
      <c r="B69" s="147"/>
      <c r="C69" s="10"/>
      <c r="D69" s="39"/>
      <c r="E69" s="39"/>
      <c r="F69" s="39"/>
      <c r="G69" s="39"/>
      <c r="H69" s="175"/>
      <c r="I69" s="39"/>
      <c r="J69" s="39"/>
      <c r="W69" s="127"/>
      <c r="X69" s="10"/>
      <c r="Y69" s="10"/>
      <c r="Z69" s="10"/>
      <c r="AA69" s="10"/>
      <c r="AB69" s="90"/>
      <c r="AC69" s="10"/>
      <c r="AD69" s="2">
        <f>Y69-Z69</f>
        <v>0</v>
      </c>
      <c r="AE69" s="131" t="e">
        <f>AC69/AC70-1</f>
        <v>#DIV/0!</v>
      </c>
    </row>
    <row r="71" spans="1:31" x14ac:dyDescent="0.25">
      <c r="L71" t="s">
        <v>65</v>
      </c>
      <c r="M71" s="2">
        <f>M89+K89-F89</f>
        <v>720.56000000000131</v>
      </c>
    </row>
    <row r="72" spans="1:31" x14ac:dyDescent="0.25">
      <c r="A72" s="195" t="s">
        <v>1</v>
      </c>
      <c r="B72" s="464" t="s">
        <v>2</v>
      </c>
      <c r="C72" s="195" t="s">
        <v>4</v>
      </c>
      <c r="D72" s="196" t="s">
        <v>5</v>
      </c>
      <c r="E72" s="196" t="s">
        <v>94</v>
      </c>
      <c r="F72" s="196" t="s">
        <v>60</v>
      </c>
      <c r="G72" s="195" t="s">
        <v>3</v>
      </c>
      <c r="H72" s="195" t="s">
        <v>6</v>
      </c>
      <c r="I72" s="196" t="s">
        <v>7</v>
      </c>
      <c r="J72" s="196" t="s">
        <v>95</v>
      </c>
      <c r="K72" s="196" t="s">
        <v>61</v>
      </c>
      <c r="L72" s="195" t="s">
        <v>37</v>
      </c>
      <c r="M72" s="195" t="s">
        <v>38</v>
      </c>
    </row>
    <row r="73" spans="1:31" x14ac:dyDescent="0.25">
      <c r="A73" s="197" t="s">
        <v>290</v>
      </c>
      <c r="B73" s="465">
        <v>42704</v>
      </c>
      <c r="C73" s="193">
        <v>40</v>
      </c>
      <c r="D73" s="194">
        <v>83.05</v>
      </c>
      <c r="E73" s="194">
        <v>0</v>
      </c>
      <c r="F73" s="194">
        <f>C73*D73+E73</f>
        <v>3322</v>
      </c>
      <c r="G73" s="465">
        <v>42739</v>
      </c>
      <c r="H73" s="199">
        <v>40</v>
      </c>
      <c r="I73" s="194">
        <v>96.5</v>
      </c>
      <c r="J73" s="194">
        <v>0.08</v>
      </c>
      <c r="K73" s="194">
        <f>I73*H73-J73</f>
        <v>3859.92</v>
      </c>
      <c r="L73" s="198"/>
      <c r="M73" s="194"/>
    </row>
    <row r="74" spans="1:31" x14ac:dyDescent="0.25">
      <c r="A74" s="200" t="s">
        <v>71</v>
      </c>
      <c r="B74" s="553">
        <v>42768</v>
      </c>
      <c r="C74" s="543">
        <v>40</v>
      </c>
      <c r="D74" s="541">
        <v>91.52</v>
      </c>
      <c r="E74" s="541">
        <v>0</v>
      </c>
      <c r="F74" s="541">
        <f>D74*C74+E74</f>
        <v>3660.7999999999997</v>
      </c>
      <c r="G74" s="553">
        <v>42803</v>
      </c>
      <c r="H74" s="543">
        <v>20</v>
      </c>
      <c r="I74" s="541">
        <v>91.58</v>
      </c>
      <c r="J74" s="541">
        <v>0.04</v>
      </c>
      <c r="K74" s="541">
        <f>I74*H74-J74</f>
        <v>1831.56</v>
      </c>
      <c r="L74" s="542"/>
      <c r="M74" s="541"/>
    </row>
    <row r="75" spans="1:31" x14ac:dyDescent="0.25">
      <c r="A75" s="193"/>
      <c r="B75" s="553">
        <v>42768</v>
      </c>
      <c r="C75" s="543">
        <v>40</v>
      </c>
      <c r="D75" s="541">
        <v>88.8</v>
      </c>
      <c r="E75" s="541">
        <v>0</v>
      </c>
      <c r="F75" s="541">
        <f>D75*C75+E75</f>
        <v>3552</v>
      </c>
      <c r="G75" s="553">
        <v>42803</v>
      </c>
      <c r="H75" s="551">
        <v>20</v>
      </c>
      <c r="I75" s="541">
        <v>92.2</v>
      </c>
      <c r="J75" s="541">
        <v>0.04</v>
      </c>
      <c r="K75" s="541">
        <f>I75*H75-J75</f>
        <v>1843.96</v>
      </c>
      <c r="L75" s="543"/>
      <c r="M75" s="543"/>
    </row>
    <row r="76" spans="1:31" x14ac:dyDescent="0.25">
      <c r="A76" s="193"/>
      <c r="B76" s="553"/>
      <c r="C76" s="543"/>
      <c r="D76" s="541"/>
      <c r="E76" s="541"/>
      <c r="F76" s="541"/>
      <c r="G76" s="553">
        <v>42803</v>
      </c>
      <c r="H76" s="551">
        <v>40</v>
      </c>
      <c r="I76" s="541">
        <v>93</v>
      </c>
      <c r="J76" s="541">
        <v>0.08</v>
      </c>
      <c r="K76" s="541">
        <f>I76*H76-J76</f>
        <v>3719.92</v>
      </c>
      <c r="L76" s="543"/>
      <c r="M76" s="543"/>
    </row>
    <row r="77" spans="1:31" x14ac:dyDescent="0.25">
      <c r="A77" s="193"/>
      <c r="B77" s="465"/>
      <c r="C77" s="193"/>
      <c r="D77" s="194"/>
      <c r="E77" s="194"/>
      <c r="F77" s="194"/>
      <c r="G77" s="465"/>
      <c r="H77" s="199"/>
      <c r="I77" s="194"/>
      <c r="J77" s="194"/>
      <c r="K77" s="194"/>
      <c r="L77" s="193"/>
      <c r="M77" s="193"/>
    </row>
    <row r="78" spans="1:31" x14ac:dyDescent="0.25">
      <c r="A78" s="193"/>
      <c r="B78" s="465"/>
      <c r="C78" s="193"/>
      <c r="D78" s="194"/>
      <c r="E78" s="194"/>
      <c r="F78" s="194"/>
      <c r="G78" s="465"/>
      <c r="H78" s="199"/>
      <c r="I78" s="194"/>
      <c r="J78" s="194"/>
      <c r="K78" s="194"/>
      <c r="L78" s="193"/>
      <c r="M78" s="193"/>
    </row>
    <row r="79" spans="1:31" x14ac:dyDescent="0.25">
      <c r="A79" s="193"/>
      <c r="B79" s="465"/>
      <c r="C79" s="193"/>
      <c r="D79" s="194"/>
      <c r="E79" s="194"/>
      <c r="F79" s="194"/>
      <c r="G79" s="465"/>
      <c r="H79" s="199"/>
      <c r="I79" s="194"/>
      <c r="J79" s="194"/>
      <c r="K79" s="194"/>
      <c r="L79" s="193"/>
      <c r="M79" s="193"/>
    </row>
    <row r="80" spans="1:31" x14ac:dyDescent="0.25">
      <c r="A80" s="193"/>
      <c r="B80" s="465"/>
      <c r="C80" s="193"/>
      <c r="D80" s="194"/>
      <c r="E80" s="194"/>
      <c r="F80" s="194"/>
      <c r="G80" s="465"/>
      <c r="H80" s="199"/>
      <c r="I80" s="194"/>
      <c r="J80" s="194"/>
      <c r="K80" s="194"/>
      <c r="L80" s="193"/>
      <c r="M80" s="193"/>
    </row>
    <row r="81" spans="1:13" x14ac:dyDescent="0.25">
      <c r="A81" s="193"/>
      <c r="B81" s="465"/>
      <c r="C81" s="193"/>
      <c r="D81" s="194"/>
      <c r="E81" s="194"/>
      <c r="F81" s="194"/>
      <c r="G81" s="465"/>
      <c r="H81" s="199"/>
      <c r="I81" s="194"/>
      <c r="J81" s="194"/>
      <c r="K81" s="194"/>
      <c r="L81" s="193"/>
      <c r="M81" s="193"/>
    </row>
    <row r="82" spans="1:13" x14ac:dyDescent="0.25">
      <c r="A82" s="193"/>
      <c r="B82" s="465"/>
      <c r="C82" s="193"/>
      <c r="D82" s="194"/>
      <c r="E82" s="194"/>
      <c r="F82" s="194"/>
      <c r="G82" s="465"/>
      <c r="H82" s="199"/>
      <c r="I82" s="194"/>
      <c r="J82" s="194"/>
      <c r="K82" s="194"/>
      <c r="L82" s="193"/>
      <c r="M82" s="193"/>
    </row>
    <row r="83" spans="1:13" x14ac:dyDescent="0.25">
      <c r="A83" s="193"/>
      <c r="B83" s="465"/>
      <c r="C83" s="193"/>
      <c r="D83" s="194"/>
      <c r="E83" s="194"/>
      <c r="F83" s="194"/>
      <c r="G83" s="465"/>
      <c r="H83" s="199"/>
      <c r="I83" s="194"/>
      <c r="J83" s="194"/>
      <c r="K83" s="194"/>
      <c r="L83" s="193"/>
      <c r="M83" s="193"/>
    </row>
    <row r="84" spans="1:13" x14ac:dyDescent="0.25">
      <c r="A84" s="193"/>
      <c r="B84" s="465"/>
      <c r="C84" s="193"/>
      <c r="D84" s="194"/>
      <c r="E84" s="194"/>
      <c r="F84" s="194"/>
      <c r="G84" s="465"/>
      <c r="H84" s="199"/>
      <c r="I84" s="194"/>
      <c r="J84" s="194"/>
      <c r="K84" s="194"/>
      <c r="L84" s="193"/>
      <c r="M84" s="193"/>
    </row>
    <row r="85" spans="1:13" x14ac:dyDescent="0.25">
      <c r="A85" s="193"/>
      <c r="B85" s="465"/>
      <c r="C85" s="193"/>
      <c r="D85" s="194"/>
      <c r="E85" s="194"/>
      <c r="F85" s="194"/>
      <c r="G85" s="465"/>
      <c r="H85" s="199"/>
      <c r="I85" s="194"/>
      <c r="J85" s="194"/>
      <c r="K85" s="194"/>
      <c r="L85" s="193"/>
      <c r="M85" s="193"/>
    </row>
    <row r="86" spans="1:13" x14ac:dyDescent="0.25">
      <c r="A86" s="193"/>
      <c r="B86" s="465"/>
      <c r="C86" s="193"/>
      <c r="D86" s="194"/>
      <c r="E86" s="194"/>
      <c r="F86" s="194"/>
      <c r="G86" s="465"/>
      <c r="H86" s="199"/>
      <c r="I86" s="194"/>
      <c r="J86" s="194"/>
      <c r="K86" s="194"/>
      <c r="L86" s="193"/>
      <c r="M86" s="193"/>
    </row>
    <row r="87" spans="1:13" x14ac:dyDescent="0.25">
      <c r="A87" s="193"/>
      <c r="B87" s="465"/>
      <c r="C87" s="193"/>
      <c r="D87" s="194"/>
      <c r="E87" s="194"/>
      <c r="F87" s="194"/>
      <c r="G87" s="465"/>
      <c r="H87" s="199"/>
      <c r="I87" s="194"/>
      <c r="J87" s="194"/>
      <c r="K87" s="194"/>
      <c r="L87" s="193"/>
      <c r="M87" s="193"/>
    </row>
    <row r="88" spans="1:13" x14ac:dyDescent="0.25">
      <c r="A88" s="193"/>
      <c r="B88" s="465"/>
      <c r="C88" s="193"/>
      <c r="D88" s="194"/>
      <c r="E88" s="194"/>
      <c r="F88" s="194"/>
      <c r="G88" s="465"/>
      <c r="H88" s="193"/>
      <c r="I88" s="194"/>
      <c r="J88" s="194"/>
      <c r="K88" s="194"/>
      <c r="L88" s="193"/>
      <c r="M88" s="193"/>
    </row>
    <row r="89" spans="1:13" x14ac:dyDescent="0.25">
      <c r="A89" s="31" t="s">
        <v>81</v>
      </c>
      <c r="B89" s="399"/>
      <c r="C89" s="14">
        <f>SUM(C73:C77)</f>
        <v>120</v>
      </c>
      <c r="D89" s="18"/>
      <c r="E89" s="18"/>
      <c r="F89" s="18">
        <f>SUM(F73:F77)</f>
        <v>10534.8</v>
      </c>
      <c r="G89" s="14"/>
      <c r="H89" s="14">
        <f>SUM(H73:H76)</f>
        <v>120</v>
      </c>
      <c r="I89" s="18"/>
      <c r="J89" s="18"/>
      <c r="K89" s="18">
        <f>SUM(K73:K76)</f>
        <v>11255.36</v>
      </c>
      <c r="L89" s="14"/>
      <c r="M89" s="18">
        <f>SUM(M73:M81)</f>
        <v>0</v>
      </c>
    </row>
    <row r="90" spans="1:13" ht="15.75" thickBot="1" x14ac:dyDescent="0.3">
      <c r="A90" s="365" t="s">
        <v>189</v>
      </c>
      <c r="B90" s="466"/>
      <c r="C90" s="367">
        <f>SumByColor($A$19,C73:C88)</f>
        <v>0</v>
      </c>
      <c r="D90" s="367"/>
      <c r="E90" s="367"/>
      <c r="F90" s="368">
        <f>SumByColor($A$19,F73:F88)</f>
        <v>0</v>
      </c>
      <c r="G90" s="367"/>
      <c r="H90" s="367">
        <f>SumByColor($A$19,H73:H88)</f>
        <v>0</v>
      </c>
      <c r="I90" s="367"/>
      <c r="J90" s="367"/>
      <c r="K90" s="368">
        <f>SumByColor($A$19,K73:K88)</f>
        <v>0</v>
      </c>
      <c r="L90" s="367"/>
      <c r="M90" s="368">
        <f>SumByColor($A$19,M73:M88)</f>
        <v>0</v>
      </c>
    </row>
    <row r="95" spans="1:13" x14ac:dyDescent="0.25">
      <c r="B95" s="401" t="s">
        <v>113</v>
      </c>
      <c r="C95" s="159" t="s">
        <v>143</v>
      </c>
      <c r="D95" s="160" t="s">
        <v>142</v>
      </c>
      <c r="E95" s="162" t="s">
        <v>144</v>
      </c>
      <c r="F95" s="162" t="s">
        <v>65</v>
      </c>
      <c r="G95" s="173" t="s">
        <v>148</v>
      </c>
      <c r="H95" s="173" t="s">
        <v>88</v>
      </c>
      <c r="I95" s="173" t="s">
        <v>151</v>
      </c>
    </row>
    <row r="96" spans="1:13" x14ac:dyDescent="0.25">
      <c r="B96" s="533">
        <v>42704</v>
      </c>
      <c r="C96" s="291">
        <v>40</v>
      </c>
      <c r="D96" s="292">
        <v>83.05</v>
      </c>
      <c r="E96" s="292">
        <v>82.85</v>
      </c>
      <c r="F96" s="292">
        <f>C96*(E96-D96)</f>
        <v>-8.0000000000001137</v>
      </c>
      <c r="G96" s="292">
        <f>D96*C96</f>
        <v>3322</v>
      </c>
      <c r="H96" s="293">
        <f>(E96-D96)/D96</f>
        <v>-2.4081878386514491E-3</v>
      </c>
      <c r="I96" s="292"/>
    </row>
    <row r="97" spans="1:10" x14ac:dyDescent="0.25">
      <c r="B97" s="533">
        <v>42708</v>
      </c>
      <c r="C97" s="291">
        <v>40</v>
      </c>
      <c r="D97" s="292">
        <v>83.05</v>
      </c>
      <c r="E97" s="292">
        <v>83.35</v>
      </c>
      <c r="F97" s="292">
        <f>C97*(E97-D97)</f>
        <v>11.999999999999886</v>
      </c>
      <c r="G97" s="292">
        <f>D97*C97</f>
        <v>3322</v>
      </c>
      <c r="H97" s="293">
        <f>(E97-D97)/D97</f>
        <v>3.612281757977088E-3</v>
      </c>
      <c r="I97" s="292"/>
    </row>
    <row r="98" spans="1:10" x14ac:dyDescent="0.25">
      <c r="B98" s="533">
        <v>42729</v>
      </c>
      <c r="C98" s="291">
        <v>40</v>
      </c>
      <c r="D98" s="292">
        <v>83.05</v>
      </c>
      <c r="E98" s="292">
        <v>93</v>
      </c>
      <c r="F98" s="292">
        <f>C98*(E98-D98)</f>
        <v>398.00000000000011</v>
      </c>
      <c r="G98" s="292">
        <f>D98*C98</f>
        <v>3322</v>
      </c>
      <c r="H98" s="293">
        <f>(E98-D98)/D98</f>
        <v>0.11980734497290793</v>
      </c>
      <c r="I98" s="292"/>
    </row>
    <row r="99" spans="1:10" x14ac:dyDescent="0.25">
      <c r="B99" s="533">
        <v>42739</v>
      </c>
      <c r="C99" s="291">
        <v>0</v>
      </c>
      <c r="D99" s="292"/>
      <c r="E99" s="292"/>
      <c r="F99" s="292">
        <v>537.91999999999996</v>
      </c>
      <c r="G99" s="292"/>
      <c r="H99" s="293"/>
      <c r="I99" s="292"/>
    </row>
    <row r="100" spans="1:10" x14ac:dyDescent="0.25">
      <c r="A100" t="s">
        <v>329</v>
      </c>
      <c r="B100" s="147">
        <v>42768</v>
      </c>
      <c r="C100" s="10">
        <v>80</v>
      </c>
      <c r="D100" s="39">
        <v>90.16</v>
      </c>
      <c r="E100" s="39">
        <v>89.73</v>
      </c>
      <c r="F100" s="39">
        <f>C100*(E100-D100)</f>
        <v>-34.399999999999409</v>
      </c>
      <c r="G100" s="39">
        <f>D100*C100</f>
        <v>7212.7999999999993</v>
      </c>
      <c r="H100" s="175">
        <f>(E100-D100)/D100</f>
        <v>-4.7692990239573269E-3</v>
      </c>
      <c r="I100" s="39"/>
      <c r="J100" s="39"/>
    </row>
    <row r="101" spans="1:10" x14ac:dyDescent="0.25">
      <c r="A101" t="s">
        <v>329</v>
      </c>
      <c r="B101" s="147">
        <v>42787</v>
      </c>
      <c r="C101" s="10">
        <v>80</v>
      </c>
      <c r="D101" s="39">
        <v>90.16</v>
      </c>
      <c r="E101" s="39">
        <v>92.67</v>
      </c>
      <c r="F101" s="39">
        <f>C101*(E101-D101)</f>
        <v>200.80000000000041</v>
      </c>
      <c r="G101" s="39">
        <f>D101*C101</f>
        <v>7212.7999999999993</v>
      </c>
      <c r="H101" s="175">
        <f>(E101-D101)/D101</f>
        <v>2.7839396628216561E-2</v>
      </c>
      <c r="I101" s="39"/>
      <c r="J101" s="39"/>
    </row>
    <row r="102" spans="1:10" x14ac:dyDescent="0.25">
      <c r="A102">
        <v>80</v>
      </c>
      <c r="B102" s="147">
        <v>42800</v>
      </c>
      <c r="C102" s="10">
        <v>80</v>
      </c>
      <c r="D102" s="39">
        <v>90.16</v>
      </c>
      <c r="E102" s="39">
        <v>89.95</v>
      </c>
      <c r="F102" s="39">
        <f>C102*(E102-D102)</f>
        <v>-16.7999999999995</v>
      </c>
      <c r="G102" s="39">
        <f>D102*C102</f>
        <v>7212.7999999999993</v>
      </c>
      <c r="H102" s="175">
        <f>(E102-D102)/D102</f>
        <v>-2.3291925465837816E-3</v>
      </c>
      <c r="I102" s="39"/>
      <c r="J102" s="39"/>
    </row>
    <row r="103" spans="1:10" x14ac:dyDescent="0.25">
      <c r="A103">
        <v>60</v>
      </c>
      <c r="B103" s="147">
        <v>42803</v>
      </c>
      <c r="C103" s="10">
        <v>60</v>
      </c>
      <c r="D103" s="39">
        <v>89.686000000000007</v>
      </c>
      <c r="E103" s="39">
        <v>91.5</v>
      </c>
      <c r="F103" s="39">
        <f>C103*(E103-D103)</f>
        <v>108.83999999999958</v>
      </c>
      <c r="G103" s="39">
        <f>D103*C103</f>
        <v>5381.1600000000008</v>
      </c>
      <c r="H103" s="175">
        <f>(E103-D103)/D103</f>
        <v>2.0226122248734393E-2</v>
      </c>
      <c r="I103" s="39"/>
      <c r="J103" s="39"/>
    </row>
    <row r="104" spans="1:10" x14ac:dyDescent="0.25">
      <c r="B104" s="147">
        <v>42803</v>
      </c>
      <c r="C104" s="10">
        <v>0</v>
      </c>
      <c r="D104" s="39"/>
      <c r="E104" s="39"/>
      <c r="F104" s="39">
        <v>182.64</v>
      </c>
      <c r="G104" s="39"/>
      <c r="H104" s="175"/>
      <c r="I104" s="39"/>
      <c r="J104" s="39"/>
    </row>
    <row r="105" spans="1:10" x14ac:dyDescent="0.25">
      <c r="B105" s="533"/>
      <c r="C105" s="291"/>
      <c r="D105" s="292"/>
      <c r="E105" s="292"/>
      <c r="F105" s="292"/>
      <c r="G105" s="292"/>
      <c r="H105" s="293"/>
      <c r="I105" s="292"/>
    </row>
    <row r="106" spans="1:10" x14ac:dyDescent="0.25">
      <c r="B106" s="533"/>
      <c r="C106" s="291"/>
      <c r="D106" s="292"/>
      <c r="E106" s="292"/>
      <c r="F106" s="292"/>
      <c r="G106" s="292"/>
      <c r="H106" s="293"/>
      <c r="I106" s="292"/>
    </row>
    <row r="107" spans="1:10" x14ac:dyDescent="0.25">
      <c r="B107" s="533"/>
      <c r="C107" s="291"/>
      <c r="D107" s="292"/>
      <c r="E107" s="292"/>
      <c r="F107" s="292"/>
      <c r="G107" s="292"/>
      <c r="H107" s="293"/>
      <c r="I107" s="292"/>
    </row>
    <row r="108" spans="1:10" x14ac:dyDescent="0.25">
      <c r="B108" s="533"/>
      <c r="C108" s="291"/>
      <c r="D108" s="292"/>
      <c r="E108" s="292"/>
      <c r="F108" s="292"/>
      <c r="G108" s="292"/>
      <c r="H108" s="293"/>
      <c r="I108" s="292"/>
    </row>
    <row r="109" spans="1:10" x14ac:dyDescent="0.25">
      <c r="B109" s="533"/>
      <c r="C109" s="291"/>
      <c r="D109" s="292"/>
      <c r="E109" s="292"/>
      <c r="F109" s="292"/>
      <c r="G109" s="292"/>
      <c r="H109" s="293"/>
      <c r="I109" s="292"/>
    </row>
    <row r="110" spans="1:10" x14ac:dyDescent="0.25">
      <c r="B110" s="533"/>
      <c r="C110" s="291"/>
      <c r="D110" s="292"/>
      <c r="E110" s="292"/>
      <c r="F110" s="292"/>
      <c r="G110" s="292"/>
      <c r="H110" s="293"/>
      <c r="I110" s="292"/>
    </row>
    <row r="111" spans="1:10" x14ac:dyDescent="0.25">
      <c r="B111" s="533"/>
      <c r="C111" s="291"/>
      <c r="D111" s="292"/>
      <c r="E111" s="292"/>
      <c r="F111" s="292"/>
      <c r="G111" s="292"/>
      <c r="H111" s="293"/>
      <c r="I111" s="292"/>
    </row>
    <row r="112" spans="1:10" x14ac:dyDescent="0.25">
      <c r="B112" s="533"/>
      <c r="C112" s="291"/>
      <c r="D112" s="292"/>
      <c r="E112" s="292"/>
      <c r="F112" s="292"/>
      <c r="G112" s="292"/>
      <c r="H112" s="293"/>
      <c r="I112" s="292"/>
    </row>
    <row r="113" spans="2:9" x14ac:dyDescent="0.25">
      <c r="B113" s="533"/>
      <c r="C113" s="291"/>
      <c r="D113" s="292"/>
      <c r="E113" s="292"/>
      <c r="F113" s="292"/>
      <c r="G113" s="292"/>
      <c r="H113" s="293"/>
      <c r="I113" s="292"/>
    </row>
    <row r="114" spans="2:9" x14ac:dyDescent="0.25">
      <c r="B114" s="533"/>
      <c r="C114" s="291"/>
      <c r="D114" s="292"/>
      <c r="E114" s="292"/>
      <c r="F114" s="292"/>
      <c r="G114" s="292"/>
      <c r="H114" s="293"/>
      <c r="I114" s="292"/>
    </row>
    <row r="115" spans="2:9" x14ac:dyDescent="0.25">
      <c r="B115" s="533"/>
      <c r="C115" s="291"/>
      <c r="D115" s="292"/>
      <c r="E115" s="292"/>
      <c r="F115" s="292"/>
      <c r="G115" s="292"/>
      <c r="H115" s="293"/>
      <c r="I115" s="292"/>
    </row>
    <row r="116" spans="2:9" x14ac:dyDescent="0.25">
      <c r="B116" s="533"/>
      <c r="C116" s="291"/>
      <c r="D116" s="292"/>
      <c r="E116" s="292"/>
      <c r="F116" s="292"/>
      <c r="G116" s="292"/>
      <c r="H116" s="293"/>
      <c r="I116" s="292"/>
    </row>
    <row r="117" spans="2:9" x14ac:dyDescent="0.25">
      <c r="B117" s="533"/>
      <c r="C117" s="291"/>
      <c r="D117" s="292"/>
      <c r="E117" s="292"/>
      <c r="F117" s="292"/>
      <c r="G117" s="292"/>
      <c r="H117" s="293"/>
      <c r="I117" s="292"/>
    </row>
    <row r="118" spans="2:9" x14ac:dyDescent="0.25">
      <c r="B118" s="533"/>
      <c r="C118" s="291"/>
      <c r="D118" s="292"/>
      <c r="E118" s="292"/>
      <c r="F118" s="292"/>
      <c r="G118" s="292"/>
      <c r="H118" s="293"/>
      <c r="I118" s="369"/>
    </row>
    <row r="119" spans="2:9" x14ac:dyDescent="0.25">
      <c r="B119" s="533"/>
      <c r="C119" s="291"/>
      <c r="D119" s="292"/>
      <c r="E119" s="292"/>
      <c r="F119" s="292"/>
      <c r="G119" s="292"/>
      <c r="H119" s="293"/>
      <c r="I119" s="292"/>
    </row>
    <row r="120" spans="2:9" x14ac:dyDescent="0.25">
      <c r="B120" s="533"/>
      <c r="C120" s="291"/>
      <c r="D120" s="292"/>
      <c r="E120" s="292"/>
      <c r="F120" s="292"/>
      <c r="G120" s="292"/>
      <c r="H120" s="293"/>
      <c r="I120" s="292"/>
    </row>
    <row r="121" spans="2:9" x14ac:dyDescent="0.25">
      <c r="B121" s="533"/>
      <c r="C121" s="291"/>
      <c r="D121" s="292"/>
      <c r="E121" s="292"/>
      <c r="F121" s="292"/>
      <c r="G121" s="292"/>
      <c r="H121" s="293"/>
      <c r="I121" s="292"/>
    </row>
    <row r="122" spans="2:9" x14ac:dyDescent="0.25">
      <c r="B122" s="533"/>
      <c r="C122" s="291"/>
      <c r="D122" s="292"/>
      <c r="E122" s="292"/>
      <c r="F122" s="292"/>
      <c r="G122" s="292"/>
      <c r="H122" s="293"/>
      <c r="I122" s="292"/>
    </row>
    <row r="123" spans="2:9" x14ac:dyDescent="0.25">
      <c r="B123" s="533"/>
      <c r="C123" s="291"/>
      <c r="D123" s="292"/>
      <c r="E123" s="292"/>
      <c r="F123" s="292"/>
      <c r="G123" s="292"/>
      <c r="H123" s="293"/>
      <c r="I123" s="292"/>
    </row>
    <row r="124" spans="2:9" x14ac:dyDescent="0.25">
      <c r="B124" s="533"/>
      <c r="C124" s="291"/>
      <c r="D124" s="292"/>
      <c r="E124" s="292"/>
      <c r="F124" s="292"/>
      <c r="G124" s="292"/>
      <c r="H124" s="293"/>
      <c r="I124" s="292"/>
    </row>
    <row r="125" spans="2:9" x14ac:dyDescent="0.25">
      <c r="B125" s="533"/>
      <c r="C125" s="291"/>
      <c r="D125" s="292"/>
      <c r="E125" s="292"/>
      <c r="F125" s="292"/>
      <c r="G125" s="292"/>
      <c r="H125" s="293"/>
      <c r="I125" s="292"/>
    </row>
    <row r="126" spans="2:9" x14ac:dyDescent="0.25">
      <c r="B126" s="533"/>
      <c r="C126" s="291"/>
      <c r="D126" s="292"/>
      <c r="E126" s="292"/>
      <c r="F126" s="292"/>
      <c r="G126" s="292"/>
      <c r="H126" s="293"/>
      <c r="I126" s="292"/>
    </row>
    <row r="127" spans="2:9" x14ac:dyDescent="0.25">
      <c r="B127" s="533"/>
      <c r="C127" s="291"/>
      <c r="D127" s="292"/>
      <c r="E127" s="292"/>
      <c r="F127" s="292"/>
      <c r="G127" s="292"/>
      <c r="H127" s="293"/>
      <c r="I127" s="292"/>
    </row>
    <row r="128" spans="2:9" x14ac:dyDescent="0.25">
      <c r="B128" s="533"/>
      <c r="C128" s="291"/>
      <c r="D128" s="292"/>
      <c r="E128" s="292"/>
      <c r="F128" s="292"/>
      <c r="G128" s="292"/>
      <c r="H128" s="293"/>
      <c r="I128" s="292"/>
    </row>
    <row r="129" spans="2:9" x14ac:dyDescent="0.25">
      <c r="B129" s="533"/>
      <c r="C129" s="291"/>
      <c r="D129" s="292"/>
      <c r="E129" s="292"/>
      <c r="F129" s="292"/>
      <c r="G129" s="292"/>
      <c r="H129" s="293"/>
      <c r="I129" s="292"/>
    </row>
    <row r="130" spans="2:9" x14ac:dyDescent="0.25">
      <c r="B130" s="533"/>
      <c r="C130" s="291"/>
      <c r="D130" s="292"/>
      <c r="E130" s="292"/>
      <c r="F130" s="292"/>
      <c r="G130" s="292"/>
      <c r="H130" s="293"/>
      <c r="I130" s="292"/>
    </row>
    <row r="131" spans="2:9" x14ac:dyDescent="0.25">
      <c r="B131" s="533"/>
      <c r="C131" s="291"/>
      <c r="D131" s="292"/>
      <c r="E131" s="292"/>
      <c r="F131" s="292"/>
      <c r="G131" s="292"/>
      <c r="H131" s="293"/>
      <c r="I131" s="292"/>
    </row>
    <row r="132" spans="2:9" x14ac:dyDescent="0.25">
      <c r="B132" s="533"/>
      <c r="C132" s="291"/>
      <c r="D132" s="292"/>
      <c r="E132" s="292"/>
      <c r="F132" s="292"/>
      <c r="G132" s="292"/>
      <c r="H132" s="293"/>
      <c r="I132" s="292"/>
    </row>
    <row r="133" spans="2:9" x14ac:dyDescent="0.25">
      <c r="B133" s="533"/>
      <c r="C133" s="291"/>
      <c r="D133" s="292"/>
      <c r="E133" s="292"/>
      <c r="F133" s="292"/>
      <c r="G133" s="292"/>
      <c r="H133" s="293"/>
      <c r="I133" s="292"/>
    </row>
    <row r="134" spans="2:9" x14ac:dyDescent="0.25">
      <c r="B134" s="533"/>
      <c r="C134" s="291"/>
      <c r="D134" s="292"/>
      <c r="E134" s="292"/>
      <c r="F134" s="292"/>
      <c r="G134" s="292"/>
      <c r="H134" s="293"/>
      <c r="I134" s="292"/>
    </row>
    <row r="135" spans="2:9" x14ac:dyDescent="0.25">
      <c r="B135" s="533"/>
      <c r="C135" s="291"/>
      <c r="D135" s="292"/>
      <c r="E135" s="292"/>
      <c r="F135" s="292"/>
      <c r="G135" s="292"/>
      <c r="H135" s="293"/>
      <c r="I135" s="292"/>
    </row>
    <row r="136" spans="2:9" x14ac:dyDescent="0.25">
      <c r="B136" s="533"/>
      <c r="C136" s="291"/>
      <c r="D136" s="292"/>
      <c r="E136" s="292"/>
      <c r="F136" s="292"/>
      <c r="G136" s="292"/>
      <c r="H136" s="293"/>
      <c r="I136" s="292"/>
    </row>
    <row r="137" spans="2:9" x14ac:dyDescent="0.25">
      <c r="B137" s="533"/>
      <c r="C137" s="291"/>
      <c r="D137" s="292"/>
      <c r="E137" s="292"/>
      <c r="F137" s="292"/>
      <c r="G137" s="292"/>
      <c r="H137" s="293"/>
      <c r="I137" s="292"/>
    </row>
    <row r="138" spans="2:9" x14ac:dyDescent="0.25">
      <c r="B138" s="533"/>
      <c r="C138" s="291"/>
      <c r="D138" s="292"/>
      <c r="E138" s="292"/>
      <c r="F138" s="292"/>
      <c r="G138" s="292"/>
      <c r="H138" s="293"/>
      <c r="I138" s="292"/>
    </row>
    <row r="139" spans="2:9" x14ac:dyDescent="0.25">
      <c r="B139" s="533"/>
      <c r="C139" s="291"/>
      <c r="D139" s="292"/>
      <c r="E139" s="292"/>
      <c r="F139" s="292"/>
      <c r="G139" s="292"/>
      <c r="H139" s="293"/>
      <c r="I139" s="292"/>
    </row>
    <row r="140" spans="2:9" x14ac:dyDescent="0.25">
      <c r="B140" s="533"/>
      <c r="C140" s="291"/>
      <c r="D140" s="292"/>
      <c r="E140" s="292"/>
      <c r="F140" s="292"/>
      <c r="G140" s="292"/>
      <c r="H140" s="293"/>
      <c r="I140" s="292"/>
    </row>
  </sheetData>
  <mergeCells count="1">
    <mergeCell ref="O40:P40"/>
  </mergeCells>
  <conditionalFormatting sqref="O41:O61">
    <cfRule type="colorScale" priority="48">
      <colorScale>
        <cfvo type="min"/>
        <cfvo type="percentile" val="50"/>
        <cfvo type="max"/>
        <color rgb="FFF8696B"/>
        <color rgb="FFFFEB84"/>
        <color rgb="FF63BE7B"/>
      </colorScale>
    </cfRule>
  </conditionalFormatting>
  <conditionalFormatting sqref="P41:P61">
    <cfRule type="colorScale" priority="47">
      <colorScale>
        <cfvo type="min"/>
        <cfvo type="percentile" val="50"/>
        <cfvo type="max"/>
        <color rgb="FFF8696B"/>
        <color rgb="FFFFEB84"/>
        <color rgb="FF63BE7B"/>
      </colorScale>
    </cfRule>
  </conditionalFormatting>
  <conditionalFormatting sqref="AD1:AD69">
    <cfRule type="dataBar" priority="46">
      <dataBar>
        <cfvo type="min"/>
        <cfvo type="max"/>
        <color rgb="FFFF555A"/>
      </dataBar>
      <extLst>
        <ext xmlns:x14="http://schemas.microsoft.com/office/spreadsheetml/2009/9/main" uri="{B025F937-C7B1-47D3-B67F-A62EFF666E3E}">
          <x14:id>{2693AE47-DAA5-47CD-97BF-4C1B6E169842}</x14:id>
        </ext>
      </extLst>
    </cfRule>
  </conditionalFormatting>
  <conditionalFormatting sqref="AE1:AE69">
    <cfRule type="iconSet" priority="45">
      <iconSet iconSet="3Arrows">
        <cfvo type="percent" val="0"/>
        <cfvo type="num" val="0"/>
        <cfvo type="num" val="0"/>
      </iconSet>
    </cfRule>
  </conditionalFormatting>
  <conditionalFormatting sqref="F33:F69 H33:H69">
    <cfRule type="expression" dxfId="2625" priority="43">
      <formula>F33&gt;0</formula>
    </cfRule>
    <cfRule type="expression" dxfId="2624" priority="44">
      <formula>F33&lt;0</formula>
    </cfRule>
  </conditionalFormatting>
  <conditionalFormatting sqref="Q7">
    <cfRule type="expression" dxfId="2623" priority="41">
      <formula>Q7&gt;0</formula>
    </cfRule>
    <cfRule type="expression" dxfId="2622" priority="42">
      <formula>Q7&lt;0</formula>
    </cfRule>
  </conditionalFormatting>
  <conditionalFormatting sqref="Q8">
    <cfRule type="expression" dxfId="2621" priority="39">
      <formula>Q8&gt;0</formula>
    </cfRule>
    <cfRule type="expression" dxfId="2620" priority="40">
      <formula>Q8&lt;0</formula>
    </cfRule>
  </conditionalFormatting>
  <conditionalFormatting sqref="F29 F32">
    <cfRule type="expression" dxfId="2619" priority="37">
      <formula>F29&gt;0</formula>
    </cfRule>
    <cfRule type="expression" dxfId="2618" priority="38">
      <formula>F29&lt;0</formula>
    </cfRule>
  </conditionalFormatting>
  <conditionalFormatting sqref="H29 H32">
    <cfRule type="expression" dxfId="2617" priority="35">
      <formula>H29&gt;0</formula>
    </cfRule>
    <cfRule type="expression" dxfId="2616" priority="36">
      <formula>H29&lt;0</formula>
    </cfRule>
  </conditionalFormatting>
  <conditionalFormatting sqref="F30:F31">
    <cfRule type="expression" dxfId="2615" priority="33">
      <formula>F30&gt;0</formula>
    </cfRule>
    <cfRule type="expression" dxfId="2614" priority="34">
      <formula>F30&lt;0</formula>
    </cfRule>
  </conditionalFormatting>
  <conditionalFormatting sqref="H30:H31">
    <cfRule type="expression" dxfId="2613" priority="31">
      <formula>H30&gt;0</formula>
    </cfRule>
    <cfRule type="expression" dxfId="2612" priority="32">
      <formula>H30&lt;0</formula>
    </cfRule>
  </conditionalFormatting>
  <conditionalFormatting sqref="F105:F140 H105:H140">
    <cfRule type="expression" dxfId="2611" priority="29">
      <formula>F105&gt;0</formula>
    </cfRule>
    <cfRule type="expression" dxfId="2610" priority="30">
      <formula>F105&lt;0</formula>
    </cfRule>
  </conditionalFormatting>
  <conditionalFormatting sqref="F96:F99">
    <cfRule type="expression" dxfId="2609" priority="27">
      <formula>F96&gt;0</formula>
    </cfRule>
    <cfRule type="expression" dxfId="2608" priority="28">
      <formula>F96&lt;0</formula>
    </cfRule>
  </conditionalFormatting>
  <conditionalFormatting sqref="H96:H99">
    <cfRule type="expression" dxfId="2607" priority="25">
      <formula>H96&gt;0</formula>
    </cfRule>
    <cfRule type="expression" dxfId="2606" priority="26">
      <formula>H96&lt;0</formula>
    </cfRule>
  </conditionalFormatting>
  <conditionalFormatting sqref="F25:F28">
    <cfRule type="expression" dxfId="2605" priority="19">
      <formula>F25&gt;0</formula>
    </cfRule>
    <cfRule type="expression" dxfId="2604" priority="20">
      <formula>F25&lt;0</formula>
    </cfRule>
  </conditionalFormatting>
  <conditionalFormatting sqref="H25:H28">
    <cfRule type="expression" dxfId="2603" priority="17">
      <formula>H25&gt;0</formula>
    </cfRule>
    <cfRule type="expression" dxfId="2602" priority="18">
      <formula>H25&lt;0</formula>
    </cfRule>
  </conditionalFormatting>
  <conditionalFormatting sqref="J27">
    <cfRule type="expression" dxfId="2601" priority="15">
      <formula>J27&gt;0</formula>
    </cfRule>
    <cfRule type="expression" dxfId="2600" priority="16">
      <formula>J27&lt;0</formula>
    </cfRule>
  </conditionalFormatting>
  <conditionalFormatting sqref="F104">
    <cfRule type="expression" dxfId="2599" priority="13">
      <formula>F104&gt;0</formula>
    </cfRule>
    <cfRule type="expression" dxfId="2598" priority="14">
      <formula>F104&lt;0</formula>
    </cfRule>
  </conditionalFormatting>
  <conditionalFormatting sqref="H104">
    <cfRule type="expression" dxfId="2597" priority="11">
      <formula>H104&gt;0</formula>
    </cfRule>
    <cfRule type="expression" dxfId="2596" priority="12">
      <formula>H104&lt;0</formula>
    </cfRule>
  </conditionalFormatting>
  <conditionalFormatting sqref="F100:F103">
    <cfRule type="expression" dxfId="2595" priority="9">
      <formula>F100&gt;0</formula>
    </cfRule>
    <cfRule type="expression" dxfId="2594" priority="10">
      <formula>F100&lt;0</formula>
    </cfRule>
  </conditionalFormatting>
  <conditionalFormatting sqref="H100:H103">
    <cfRule type="expression" dxfId="2593" priority="7">
      <formula>H100&gt;0</formula>
    </cfRule>
    <cfRule type="expression" dxfId="2592" priority="8">
      <formula>H100&lt;0</formula>
    </cfRule>
  </conditionalFormatting>
  <conditionalFormatting sqref="J102">
    <cfRule type="expression" dxfId="2591" priority="5">
      <formula>J102&gt;0</formula>
    </cfRule>
    <cfRule type="expression" dxfId="2590" priority="6">
      <formula>J102&lt;0</formula>
    </cfRule>
  </conditionalFormatting>
  <conditionalFormatting sqref="Q10">
    <cfRule type="expression" dxfId="2589" priority="3">
      <formula>Q10&gt;0</formula>
    </cfRule>
    <cfRule type="expression" dxfId="2588" priority="4">
      <formula>Q10&lt;0</formula>
    </cfRule>
  </conditionalFormatting>
  <conditionalFormatting sqref="M71">
    <cfRule type="expression" dxfId="2587" priority="1">
      <formula>M71&gt;0</formula>
    </cfRule>
    <cfRule type="expression" dxfId="2586" priority="2">
      <formula>M71&lt;0</formula>
    </cfRule>
  </conditionalFormatting>
  <hyperlinks>
    <hyperlink ref="A3" location="ACTIVE!A1" display="Back"/>
    <hyperlink ref="A74" location="ACTIVE!A1" display="Back"/>
  </hyperlinks>
  <pageMargins left="0.7" right="0.7" top="0.75" bottom="0.75" header="0.3" footer="0.3"/>
  <pageSetup orientation="portrait" r:id="rId1"/>
  <drawing r:id="rId2"/>
  <extLst>
    <ext xmlns:x14="http://schemas.microsoft.com/office/spreadsheetml/2009/9/main" uri="{78C0D931-6437-407d-A8EE-F0AAD7539E65}">
      <x14:conditionalFormattings>
        <x14:conditionalFormatting xmlns:xm="http://schemas.microsoft.com/office/excel/2006/main">
          <x14:cfRule type="dataBar" id="{2693AE47-DAA5-47CD-97BF-4C1B6E16984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5"/>
  <dimension ref="A1:U8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622</v>
      </c>
      <c r="B2" s="69"/>
      <c r="C2" s="4"/>
      <c r="D2" s="3"/>
      <c r="E2" s="3"/>
      <c r="F2" s="3"/>
      <c r="G2" s="69"/>
      <c r="H2" s="4"/>
      <c r="I2" s="3"/>
      <c r="J2" s="3"/>
      <c r="K2" s="3"/>
      <c r="L2" s="69"/>
      <c r="M2" s="4"/>
      <c r="O2" s="11" t="s">
        <v>57</v>
      </c>
      <c r="Q2">
        <f>C18-H18</f>
        <v>0</v>
      </c>
      <c r="T2" s="1"/>
    </row>
    <row r="3" spans="1:21" x14ac:dyDescent="0.25">
      <c r="A3" s="22" t="s">
        <v>71</v>
      </c>
      <c r="B3" s="69"/>
      <c r="C3" s="4"/>
      <c r="D3" s="3"/>
      <c r="E3" s="3"/>
      <c r="F3" s="3"/>
      <c r="G3" s="69"/>
      <c r="H3" s="158"/>
      <c r="I3" s="3"/>
      <c r="J3" s="3"/>
      <c r="K3" s="3"/>
      <c r="L3" s="4"/>
      <c r="O3" s="11" t="s">
        <v>58</v>
      </c>
      <c r="Q3" s="174">
        <f>IF(Q2=0, Q4, (F18-K18-M18)/Q2)</f>
        <v>55.19</v>
      </c>
      <c r="T3" s="1"/>
    </row>
    <row r="4" spans="1:21" x14ac:dyDescent="0.25">
      <c r="B4" s="69"/>
      <c r="C4" s="4"/>
      <c r="D4" s="3"/>
      <c r="E4" s="3"/>
      <c r="F4" s="3"/>
      <c r="G4" s="4"/>
      <c r="H4" s="158"/>
      <c r="I4" s="3"/>
      <c r="J4" s="3"/>
      <c r="K4" s="3"/>
      <c r="L4" s="4"/>
      <c r="O4" s="11" t="s">
        <v>66</v>
      </c>
      <c r="Q4" s="53">
        <v>55.19</v>
      </c>
      <c r="R4" s="396">
        <v>2.1499999999999998E-2</v>
      </c>
      <c r="T4" s="153"/>
      <c r="U4" s="1"/>
    </row>
    <row r="5" spans="1:21" x14ac:dyDescent="0.25">
      <c r="B5" s="69"/>
      <c r="C5" s="4"/>
      <c r="D5" s="3"/>
      <c r="E5" s="3"/>
      <c r="F5" s="3"/>
      <c r="G5" s="4"/>
      <c r="H5" s="158"/>
      <c r="I5" s="3"/>
      <c r="J5" s="3"/>
      <c r="K5" s="3"/>
      <c r="L5" s="4"/>
      <c r="O5" s="11" t="s">
        <v>67</v>
      </c>
      <c r="Q5" s="3">
        <f>Q4*Q2</f>
        <v>0</v>
      </c>
    </row>
    <row r="6" spans="1:21" x14ac:dyDescent="0.25">
      <c r="B6" s="69"/>
      <c r="C6" s="4"/>
      <c r="D6" s="3"/>
      <c r="E6" s="3"/>
      <c r="F6" s="3"/>
      <c r="G6" s="4"/>
      <c r="H6" s="158"/>
      <c r="I6" s="3"/>
      <c r="J6" s="3"/>
      <c r="K6" s="3"/>
      <c r="L6" s="4"/>
      <c r="O6" s="11" t="s">
        <v>64</v>
      </c>
      <c r="Q6" s="2">
        <f>Q3*Q2</f>
        <v>0</v>
      </c>
    </row>
    <row r="7" spans="1:21" x14ac:dyDescent="0.25">
      <c r="B7" s="4"/>
      <c r="C7" s="4"/>
      <c r="D7" s="3"/>
      <c r="E7" s="3"/>
      <c r="F7" s="3"/>
      <c r="G7" s="4"/>
      <c r="H7" s="158"/>
      <c r="I7" s="3"/>
      <c r="J7" s="3"/>
      <c r="K7" s="3"/>
      <c r="L7" s="4"/>
      <c r="O7" s="11" t="s">
        <v>175</v>
      </c>
      <c r="Q7" s="2">
        <f>Q10+Q8</f>
        <v>329.55999999999949</v>
      </c>
      <c r="R7">
        <v>0</v>
      </c>
    </row>
    <row r="8" spans="1:21" x14ac:dyDescent="0.25">
      <c r="B8" s="4"/>
      <c r="C8" s="4"/>
      <c r="D8" s="3"/>
      <c r="E8" s="3"/>
      <c r="F8" s="3"/>
      <c r="G8" s="4"/>
      <c r="H8" s="158"/>
      <c r="I8" s="3"/>
      <c r="J8" s="3"/>
      <c r="K8" s="3"/>
      <c r="L8" s="4"/>
      <c r="O8" s="11" t="s">
        <v>177</v>
      </c>
      <c r="P8" s="33"/>
      <c r="Q8" s="2">
        <f>K18+M18-F18+Q2*Q4</f>
        <v>0</v>
      </c>
    </row>
    <row r="9" spans="1:21" x14ac:dyDescent="0.25">
      <c r="B9" s="4"/>
      <c r="C9" s="4"/>
      <c r="D9" s="3"/>
      <c r="E9" s="3"/>
      <c r="F9" s="3"/>
      <c r="G9" s="4"/>
      <c r="H9" s="158"/>
      <c r="I9" s="3"/>
      <c r="J9" s="3"/>
      <c r="K9" s="3"/>
      <c r="L9" s="4"/>
      <c r="O9" s="11" t="s">
        <v>202</v>
      </c>
      <c r="Q9" s="131">
        <f>IF(Q2=0, 0, Q8/Q6)</f>
        <v>0</v>
      </c>
    </row>
    <row r="10" spans="1:21" x14ac:dyDescent="0.25">
      <c r="B10" s="4"/>
      <c r="C10" s="4"/>
      <c r="D10" s="3"/>
      <c r="E10" s="3"/>
      <c r="F10" s="3"/>
      <c r="G10" s="4"/>
      <c r="H10" s="158"/>
      <c r="I10" s="3"/>
      <c r="J10" s="3"/>
      <c r="K10" s="3"/>
      <c r="L10" s="4"/>
      <c r="O10" s="11" t="s">
        <v>201</v>
      </c>
      <c r="P10" s="33"/>
      <c r="Q10" s="2">
        <f>M46</f>
        <v>329.55999999999949</v>
      </c>
    </row>
    <row r="11" spans="1:21" x14ac:dyDescent="0.25">
      <c r="B11" s="4"/>
      <c r="C11" s="4"/>
      <c r="D11" s="3"/>
      <c r="E11" s="3"/>
      <c r="F11" s="3"/>
      <c r="G11" s="4"/>
      <c r="H11" s="158"/>
      <c r="I11" s="3"/>
      <c r="J11" s="3"/>
      <c r="K11" s="3"/>
      <c r="L11" s="4"/>
      <c r="O11" s="11" t="s">
        <v>173</v>
      </c>
      <c r="P11" s="33"/>
      <c r="Q11" s="131">
        <v>1.78E-2</v>
      </c>
    </row>
    <row r="12" spans="1:21" x14ac:dyDescent="0.25">
      <c r="H12" s="67"/>
    </row>
    <row r="13" spans="1:21" x14ac:dyDescent="0.25">
      <c r="H13" s="67"/>
      <c r="L13" s="1"/>
    </row>
    <row r="14" spans="1:21" x14ac:dyDescent="0.25">
      <c r="H14" s="67"/>
    </row>
    <row r="15" spans="1:21" x14ac:dyDescent="0.25">
      <c r="H15" s="67"/>
    </row>
    <row r="16" spans="1:21" x14ac:dyDescent="0.25">
      <c r="H16" s="67"/>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row>
    <row r="24" spans="1:13" x14ac:dyDescent="0.25">
      <c r="B24" s="159" t="s">
        <v>113</v>
      </c>
      <c r="C24" s="159" t="s">
        <v>143</v>
      </c>
      <c r="D24" s="160" t="s">
        <v>142</v>
      </c>
      <c r="E24" s="162" t="s">
        <v>144</v>
      </c>
      <c r="F24" s="162" t="s">
        <v>65</v>
      </c>
      <c r="G24" s="173" t="s">
        <v>148</v>
      </c>
      <c r="H24" s="173" t="s">
        <v>88</v>
      </c>
      <c r="I24" s="173" t="s">
        <v>151</v>
      </c>
    </row>
    <row r="25" spans="1:13" x14ac:dyDescent="0.25">
      <c r="B25" s="161"/>
      <c r="C25" s="10"/>
      <c r="D25" s="39"/>
      <c r="E25" s="39"/>
      <c r="F25" s="39"/>
      <c r="G25" s="39"/>
      <c r="H25" s="175"/>
      <c r="I25" s="39"/>
    </row>
    <row r="26" spans="1:13" x14ac:dyDescent="0.25">
      <c r="B26" s="161"/>
      <c r="C26" s="10"/>
      <c r="D26" s="39"/>
      <c r="E26" s="39"/>
      <c r="F26" s="39"/>
      <c r="G26" s="39"/>
      <c r="H26" s="175"/>
      <c r="I26" s="39"/>
    </row>
    <row r="27" spans="1:13" x14ac:dyDescent="0.25">
      <c r="B27" s="161"/>
      <c r="C27" s="10"/>
      <c r="D27" s="39"/>
      <c r="E27" s="39"/>
      <c r="F27" s="39"/>
      <c r="G27" s="39"/>
      <c r="H27" s="175"/>
      <c r="I27" s="39"/>
    </row>
    <row r="28" spans="1:13" x14ac:dyDescent="0.25">
      <c r="B28" s="161"/>
      <c r="C28" s="10"/>
      <c r="D28" s="39"/>
      <c r="E28" s="39"/>
      <c r="F28" s="39"/>
      <c r="G28" s="39"/>
      <c r="H28" s="175"/>
      <c r="I28" s="39"/>
    </row>
    <row r="29" spans="1:13" x14ac:dyDescent="0.25">
      <c r="B29" s="161"/>
      <c r="C29" s="10"/>
      <c r="D29" s="39"/>
      <c r="E29" s="39"/>
      <c r="F29" s="39"/>
      <c r="G29" s="39"/>
      <c r="H29" s="175"/>
      <c r="I29" s="39"/>
    </row>
    <row r="30" spans="1:13" x14ac:dyDescent="0.25">
      <c r="B30" s="161"/>
      <c r="C30" s="10"/>
      <c r="D30" s="39"/>
      <c r="E30" s="39"/>
      <c r="F30" s="39"/>
      <c r="G30" s="39"/>
      <c r="H30" s="175"/>
      <c r="I30" s="39"/>
    </row>
    <row r="31" spans="1:13" x14ac:dyDescent="0.25">
      <c r="B31" s="161"/>
      <c r="C31" s="10"/>
      <c r="D31" s="39"/>
      <c r="E31" s="39"/>
      <c r="F31" s="39"/>
      <c r="G31" s="39"/>
      <c r="H31" s="175"/>
      <c r="I31" s="39"/>
    </row>
    <row r="32" spans="1:13" x14ac:dyDescent="0.25">
      <c r="B32" s="161"/>
      <c r="C32" s="10"/>
      <c r="D32" s="39"/>
      <c r="E32" s="39"/>
      <c r="F32" s="39"/>
      <c r="G32" s="39"/>
      <c r="H32" s="175"/>
      <c r="I32" s="39"/>
    </row>
    <row r="33" spans="1:21" x14ac:dyDescent="0.25">
      <c r="B33" s="161"/>
      <c r="C33" s="10"/>
      <c r="D33" s="39"/>
      <c r="E33" s="39"/>
      <c r="F33" s="39"/>
      <c r="G33" s="39"/>
      <c r="H33" s="175"/>
      <c r="I33" s="180"/>
    </row>
    <row r="34" spans="1:21" x14ac:dyDescent="0.25">
      <c r="B34" s="161"/>
      <c r="C34" s="10"/>
      <c r="D34" s="39"/>
      <c r="E34" s="39"/>
      <c r="F34" s="39"/>
      <c r="G34" s="39"/>
      <c r="H34" s="175"/>
      <c r="I34" s="39"/>
    </row>
    <row r="35" spans="1:21" x14ac:dyDescent="0.25">
      <c r="B35" s="161"/>
      <c r="C35" s="10"/>
      <c r="D35" s="39"/>
      <c r="E35" s="39"/>
      <c r="F35" s="39"/>
      <c r="G35" s="39"/>
      <c r="H35" s="175"/>
      <c r="I35" s="39"/>
    </row>
    <row r="36" spans="1:21" x14ac:dyDescent="0.25">
      <c r="B36" s="161"/>
      <c r="C36" s="10"/>
      <c r="D36" s="39"/>
      <c r="E36" s="39"/>
      <c r="F36" s="39"/>
      <c r="G36" s="39"/>
      <c r="H36" s="175"/>
      <c r="I36" s="39"/>
    </row>
    <row r="37" spans="1:21" x14ac:dyDescent="0.25">
      <c r="B37" s="161"/>
      <c r="C37" s="10"/>
      <c r="D37" s="39"/>
      <c r="E37" s="39"/>
      <c r="F37" s="39"/>
      <c r="G37" s="39"/>
      <c r="H37" s="175"/>
      <c r="I37" s="39"/>
    </row>
    <row r="38" spans="1:21" x14ac:dyDescent="0.25">
      <c r="B38" s="161"/>
      <c r="C38" s="10"/>
      <c r="D38" s="39"/>
      <c r="E38" s="39"/>
      <c r="F38" s="39"/>
      <c r="G38" s="39"/>
      <c r="H38" s="175"/>
      <c r="I38" s="39"/>
    </row>
    <row r="39" spans="1:21" x14ac:dyDescent="0.25">
      <c r="B39" s="161"/>
      <c r="C39" s="10"/>
      <c r="D39" s="39"/>
      <c r="E39" s="39"/>
      <c r="F39" s="39"/>
      <c r="G39" s="39"/>
      <c r="H39" s="175"/>
      <c r="I39" s="39"/>
    </row>
    <row r="40" spans="1:21" ht="20.25" thickBot="1" x14ac:dyDescent="0.35">
      <c r="B40" s="161"/>
      <c r="C40" s="10"/>
      <c r="D40" s="39"/>
      <c r="E40" s="39"/>
      <c r="F40" s="39"/>
      <c r="G40" s="39"/>
      <c r="H40" s="175"/>
      <c r="I40" s="39"/>
      <c r="O40" s="886" t="s">
        <v>78</v>
      </c>
      <c r="P40" s="886"/>
    </row>
    <row r="41" spans="1:21" ht="15.75" thickTop="1" x14ac:dyDescent="0.25">
      <c r="B41" s="161"/>
      <c r="C41" s="10"/>
      <c r="D41" s="39"/>
      <c r="E41" s="39"/>
      <c r="F41" s="39"/>
      <c r="G41" s="39"/>
      <c r="H41" s="175"/>
      <c r="I41" s="39"/>
      <c r="O41" s="78">
        <v>1.1000000000000001</v>
      </c>
      <c r="P41" s="78">
        <f>O41*$Q$4</f>
        <v>60.709000000000003</v>
      </c>
      <c r="Q41" s="2"/>
    </row>
    <row r="42" spans="1:21" ht="20.25" thickBot="1" x14ac:dyDescent="0.35">
      <c r="B42" s="161"/>
      <c r="C42" s="10"/>
      <c r="D42" s="39"/>
      <c r="E42" s="39"/>
      <c r="F42" s="39"/>
      <c r="G42" s="39"/>
      <c r="H42" s="175"/>
      <c r="I42" s="39"/>
      <c r="O42" s="78">
        <v>1.0900000000000001</v>
      </c>
      <c r="P42" s="78">
        <f t="shared" ref="P42:P61" si="0">O42*$Q$4</f>
        <v>60.1571</v>
      </c>
      <c r="Q42" s="2"/>
      <c r="T42" s="86"/>
    </row>
    <row r="43" spans="1:21" ht="15.75" thickTop="1" x14ac:dyDescent="0.25">
      <c r="O43" s="78">
        <v>1.08</v>
      </c>
      <c r="P43" s="78">
        <f t="shared" si="0"/>
        <v>59.605200000000004</v>
      </c>
      <c r="Q43" s="2"/>
      <c r="T43" s="122"/>
      <c r="U43" s="123"/>
    </row>
    <row r="44" spans="1:21" x14ac:dyDescent="0.25">
      <c r="O44" s="78">
        <v>1.07</v>
      </c>
      <c r="P44" s="78">
        <f t="shared" si="0"/>
        <v>59.0533</v>
      </c>
      <c r="Q44" s="2"/>
      <c r="T44" s="88"/>
      <c r="U44" s="124"/>
    </row>
    <row r="45" spans="1:21" x14ac:dyDescent="0.25">
      <c r="O45" s="78">
        <v>1.06</v>
      </c>
      <c r="P45" s="78">
        <f t="shared" si="0"/>
        <v>58.501400000000004</v>
      </c>
      <c r="Q45" s="2"/>
      <c r="T45" s="88"/>
      <c r="U45" s="124"/>
    </row>
    <row r="46" spans="1:21" x14ac:dyDescent="0.25">
      <c r="L46" t="s">
        <v>65</v>
      </c>
      <c r="M46" s="2">
        <f>M64+K64-F64</f>
        <v>329.55999999999949</v>
      </c>
      <c r="O46" s="78">
        <v>1.05</v>
      </c>
      <c r="P46" s="78">
        <f t="shared" si="0"/>
        <v>57.9495</v>
      </c>
      <c r="Q46" s="2"/>
      <c r="T46" s="88"/>
      <c r="U46" s="124"/>
    </row>
    <row r="47" spans="1:21" x14ac:dyDescent="0.25">
      <c r="A47" s="195" t="s">
        <v>1</v>
      </c>
      <c r="B47" s="195" t="s">
        <v>2</v>
      </c>
      <c r="C47" s="195" t="s">
        <v>4</v>
      </c>
      <c r="D47" s="196" t="s">
        <v>5</v>
      </c>
      <c r="E47" s="196" t="s">
        <v>94</v>
      </c>
      <c r="F47" s="196" t="s">
        <v>60</v>
      </c>
      <c r="G47" s="195" t="s">
        <v>3</v>
      </c>
      <c r="H47" s="195" t="s">
        <v>6</v>
      </c>
      <c r="I47" s="196" t="s">
        <v>7</v>
      </c>
      <c r="J47" s="196" t="s">
        <v>95</v>
      </c>
      <c r="K47" s="196" t="s">
        <v>61</v>
      </c>
      <c r="L47" s="195" t="s">
        <v>37</v>
      </c>
      <c r="M47" s="195" t="s">
        <v>38</v>
      </c>
      <c r="O47" s="78">
        <v>1.04</v>
      </c>
      <c r="P47" s="78">
        <f t="shared" si="0"/>
        <v>57.397599999999997</v>
      </c>
      <c r="Q47" s="2"/>
      <c r="T47" s="88"/>
      <c r="U47" s="124"/>
    </row>
    <row r="48" spans="1:21" x14ac:dyDescent="0.25">
      <c r="A48" s="197" t="s">
        <v>622</v>
      </c>
      <c r="B48" s="69">
        <v>42962</v>
      </c>
      <c r="C48" s="4">
        <v>40</v>
      </c>
      <c r="D48" s="3">
        <v>69.680000000000007</v>
      </c>
      <c r="E48" s="3">
        <v>0</v>
      </c>
      <c r="F48" s="3">
        <f>C48*D48+E48</f>
        <v>2787.2000000000003</v>
      </c>
      <c r="G48" s="69">
        <v>42997</v>
      </c>
      <c r="H48" s="4">
        <v>40</v>
      </c>
      <c r="I48" s="3">
        <v>72.83</v>
      </c>
      <c r="J48" s="3">
        <v>7.0000000000000007E-2</v>
      </c>
      <c r="K48" s="3">
        <f>H48*I48-J48</f>
        <v>2913.1299999999997</v>
      </c>
      <c r="L48" s="69"/>
      <c r="M48" s="193"/>
      <c r="O48" s="78">
        <v>1.03</v>
      </c>
      <c r="P48" s="78">
        <f t="shared" si="0"/>
        <v>56.845700000000001</v>
      </c>
      <c r="Q48" s="2"/>
      <c r="T48" s="88"/>
      <c r="U48" s="124"/>
    </row>
    <row r="49" spans="1:21" x14ac:dyDescent="0.25">
      <c r="A49" s="200" t="s">
        <v>71</v>
      </c>
      <c r="B49" s="198"/>
      <c r="C49" s="193"/>
      <c r="D49" s="194"/>
      <c r="E49" s="194"/>
      <c r="F49" s="194"/>
      <c r="G49" s="198"/>
      <c r="H49" s="199"/>
      <c r="I49" s="194"/>
      <c r="J49" s="194"/>
      <c r="K49" s="194"/>
      <c r="L49" s="193"/>
      <c r="M49" s="193"/>
      <c r="O49" s="78">
        <v>1.02</v>
      </c>
      <c r="P49" s="78">
        <f t="shared" si="0"/>
        <v>56.293799999999997</v>
      </c>
      <c r="Q49" s="2"/>
      <c r="T49" s="88"/>
      <c r="U49" s="124"/>
    </row>
    <row r="50" spans="1:21" x14ac:dyDescent="0.25">
      <c r="A50" s="193"/>
      <c r="B50" s="69">
        <v>42998</v>
      </c>
      <c r="C50" s="4">
        <v>40</v>
      </c>
      <c r="D50" s="3">
        <v>72.150000000000006</v>
      </c>
      <c r="E50" s="3">
        <v>0</v>
      </c>
      <c r="F50" s="3">
        <f>C50*D50+E50</f>
        <v>2886</v>
      </c>
      <c r="G50" s="69">
        <v>43105</v>
      </c>
      <c r="H50" s="4">
        <v>40</v>
      </c>
      <c r="I50" s="3">
        <v>76.930000000000007</v>
      </c>
      <c r="J50" s="3">
        <v>7.0000000000000007E-2</v>
      </c>
      <c r="K50" s="3">
        <f>H50*I50-J50</f>
        <v>3077.13</v>
      </c>
      <c r="L50" s="69">
        <v>43069</v>
      </c>
      <c r="M50" s="4">
        <v>12.5</v>
      </c>
      <c r="O50" s="78">
        <v>1.01</v>
      </c>
      <c r="P50" s="78">
        <f t="shared" si="0"/>
        <v>55.741900000000001</v>
      </c>
      <c r="Q50" s="2"/>
      <c r="T50" s="88"/>
      <c r="U50" s="124"/>
    </row>
    <row r="51" spans="1:21" x14ac:dyDescent="0.25">
      <c r="A51" s="193"/>
      <c r="B51" s="198"/>
      <c r="C51" s="193"/>
      <c r="D51" s="194"/>
      <c r="E51" s="194"/>
      <c r="F51" s="194"/>
      <c r="G51" s="193"/>
      <c r="H51" s="199"/>
      <c r="I51" s="194"/>
      <c r="J51" s="194"/>
      <c r="K51" s="194"/>
      <c r="L51" s="193"/>
      <c r="M51" s="193"/>
      <c r="O51" s="78">
        <v>1</v>
      </c>
      <c r="P51" s="78">
        <f t="shared" si="0"/>
        <v>55.19</v>
      </c>
      <c r="Q51" s="2"/>
      <c r="T51" s="88"/>
      <c r="U51" s="124"/>
    </row>
    <row r="52" spans="1:21" x14ac:dyDescent="0.25">
      <c r="A52" s="193"/>
      <c r="B52" s="198"/>
      <c r="C52" s="193"/>
      <c r="D52" s="194"/>
      <c r="E52" s="194"/>
      <c r="F52" s="194"/>
      <c r="G52" s="193"/>
      <c r="H52" s="199"/>
      <c r="I52" s="194"/>
      <c r="J52" s="194"/>
      <c r="K52" s="194"/>
      <c r="L52" s="193"/>
      <c r="M52" s="193"/>
      <c r="O52" s="78">
        <v>0.99</v>
      </c>
      <c r="P52" s="78">
        <f t="shared" si="0"/>
        <v>54.638099999999994</v>
      </c>
      <c r="Q52" s="2"/>
      <c r="T52" s="88"/>
      <c r="U52" s="124"/>
    </row>
    <row r="53" spans="1:21" x14ac:dyDescent="0.25">
      <c r="A53" s="193"/>
      <c r="B53" s="193"/>
      <c r="C53" s="193"/>
      <c r="D53" s="194"/>
      <c r="E53" s="194"/>
      <c r="F53" s="194"/>
      <c r="G53" s="193"/>
      <c r="H53" s="199"/>
      <c r="I53" s="194"/>
      <c r="J53" s="194"/>
      <c r="K53" s="194"/>
      <c r="L53" s="193"/>
      <c r="M53" s="193"/>
      <c r="O53" s="78">
        <v>0.98</v>
      </c>
      <c r="P53" s="78">
        <f t="shared" si="0"/>
        <v>54.086199999999998</v>
      </c>
      <c r="Q53" s="2"/>
      <c r="T53" s="88"/>
      <c r="U53" s="125"/>
    </row>
    <row r="54" spans="1:21" x14ac:dyDescent="0.25">
      <c r="A54" s="193"/>
      <c r="B54" s="193"/>
      <c r="C54" s="193"/>
      <c r="D54" s="194"/>
      <c r="E54" s="194"/>
      <c r="F54" s="194"/>
      <c r="G54" s="193"/>
      <c r="H54" s="199"/>
      <c r="I54" s="194"/>
      <c r="J54" s="194"/>
      <c r="K54" s="194"/>
      <c r="L54" s="193"/>
      <c r="M54" s="193"/>
      <c r="O54" s="78">
        <v>0.97</v>
      </c>
      <c r="P54" s="78">
        <f t="shared" si="0"/>
        <v>53.534299999999995</v>
      </c>
      <c r="T54" s="88"/>
      <c r="U54" s="125"/>
    </row>
    <row r="55" spans="1:21" x14ac:dyDescent="0.25">
      <c r="A55" s="193"/>
      <c r="B55" s="193"/>
      <c r="C55" s="193"/>
      <c r="D55" s="194"/>
      <c r="E55" s="194"/>
      <c r="F55" s="194"/>
      <c r="G55" s="193"/>
      <c r="H55" s="199"/>
      <c r="I55" s="194"/>
      <c r="J55" s="194"/>
      <c r="K55" s="194"/>
      <c r="L55" s="193"/>
      <c r="M55" s="193"/>
      <c r="O55" s="78">
        <v>0.96</v>
      </c>
      <c r="P55" s="78">
        <f t="shared" si="0"/>
        <v>52.982399999999998</v>
      </c>
      <c r="T55" s="88"/>
      <c r="U55" s="124"/>
    </row>
    <row r="56" spans="1:21" x14ac:dyDescent="0.25">
      <c r="A56" s="193"/>
      <c r="B56" s="193"/>
      <c r="C56" s="193"/>
      <c r="D56" s="194"/>
      <c r="E56" s="194"/>
      <c r="F56" s="194"/>
      <c r="G56" s="193"/>
      <c r="H56" s="199"/>
      <c r="I56" s="194"/>
      <c r="J56" s="194"/>
      <c r="K56" s="194"/>
      <c r="L56" s="193"/>
      <c r="M56" s="193"/>
      <c r="O56" s="78">
        <v>0.95</v>
      </c>
      <c r="P56" s="78">
        <f t="shared" si="0"/>
        <v>52.430499999999995</v>
      </c>
      <c r="T56" s="88"/>
      <c r="U56" s="124"/>
    </row>
    <row r="57" spans="1:21" x14ac:dyDescent="0.25">
      <c r="A57" s="193"/>
      <c r="B57" s="193"/>
      <c r="C57" s="193"/>
      <c r="D57" s="194"/>
      <c r="E57" s="194"/>
      <c r="F57" s="194"/>
      <c r="G57" s="193"/>
      <c r="H57" s="199"/>
      <c r="I57" s="194"/>
      <c r="J57" s="194"/>
      <c r="K57" s="194"/>
      <c r="L57" s="193"/>
      <c r="M57" s="193"/>
      <c r="O57" s="78">
        <v>0.94</v>
      </c>
      <c r="P57" s="78">
        <f t="shared" si="0"/>
        <v>51.878599999999992</v>
      </c>
      <c r="T57" s="88"/>
      <c r="U57" s="124"/>
    </row>
    <row r="58" spans="1:21" x14ac:dyDescent="0.25">
      <c r="A58" s="193"/>
      <c r="B58" s="193"/>
      <c r="C58" s="193"/>
      <c r="D58" s="194"/>
      <c r="E58" s="194"/>
      <c r="F58" s="194"/>
      <c r="G58" s="193"/>
      <c r="H58" s="199"/>
      <c r="I58" s="194"/>
      <c r="J58" s="194"/>
      <c r="K58" s="194"/>
      <c r="L58" s="193"/>
      <c r="M58" s="193"/>
      <c r="O58" s="78">
        <v>0.93</v>
      </c>
      <c r="P58" s="78">
        <f t="shared" si="0"/>
        <v>51.326700000000002</v>
      </c>
      <c r="T58" s="88"/>
      <c r="U58" s="124"/>
    </row>
    <row r="59" spans="1:21" x14ac:dyDescent="0.25">
      <c r="A59" s="193"/>
      <c r="B59" s="193"/>
      <c r="C59" s="193"/>
      <c r="D59" s="194"/>
      <c r="E59" s="194"/>
      <c r="F59" s="194"/>
      <c r="G59" s="193"/>
      <c r="H59" s="199"/>
      <c r="I59" s="194"/>
      <c r="J59" s="194"/>
      <c r="K59" s="194"/>
      <c r="L59" s="193"/>
      <c r="M59" s="193"/>
      <c r="O59" s="78">
        <v>0.92</v>
      </c>
      <c r="P59" s="78">
        <f t="shared" si="0"/>
        <v>50.774799999999999</v>
      </c>
    </row>
    <row r="60" spans="1:21" x14ac:dyDescent="0.25">
      <c r="A60" s="193"/>
      <c r="B60" s="193"/>
      <c r="C60" s="193"/>
      <c r="D60" s="194"/>
      <c r="E60" s="194"/>
      <c r="F60" s="194"/>
      <c r="G60" s="193"/>
      <c r="H60" s="199"/>
      <c r="I60" s="194"/>
      <c r="J60" s="194"/>
      <c r="K60" s="194"/>
      <c r="L60" s="193"/>
      <c r="M60" s="193"/>
      <c r="O60" s="78">
        <v>0.91</v>
      </c>
      <c r="P60" s="78">
        <f t="shared" si="0"/>
        <v>50.222900000000003</v>
      </c>
    </row>
    <row r="61" spans="1:21" x14ac:dyDescent="0.25">
      <c r="A61" s="193"/>
      <c r="B61" s="193"/>
      <c r="C61" s="193"/>
      <c r="D61" s="194"/>
      <c r="E61" s="194"/>
      <c r="F61" s="194"/>
      <c r="G61" s="193"/>
      <c r="H61" s="199"/>
      <c r="I61" s="194"/>
      <c r="J61" s="194"/>
      <c r="K61" s="194"/>
      <c r="L61" s="193"/>
      <c r="M61" s="193"/>
      <c r="O61" s="78">
        <v>0.9</v>
      </c>
      <c r="P61" s="78">
        <f t="shared" si="0"/>
        <v>49.670999999999999</v>
      </c>
    </row>
    <row r="62" spans="1:21" x14ac:dyDescent="0.25">
      <c r="A62" s="193"/>
      <c r="B62" s="193"/>
      <c r="C62" s="193"/>
      <c r="D62" s="194"/>
      <c r="E62" s="194"/>
      <c r="F62" s="194"/>
      <c r="G62" s="193"/>
      <c r="H62" s="199"/>
      <c r="I62" s="194"/>
      <c r="J62" s="194"/>
      <c r="K62" s="194"/>
      <c r="L62" s="193"/>
      <c r="M62" s="193"/>
    </row>
    <row r="63" spans="1:21" x14ac:dyDescent="0.25">
      <c r="A63" s="193"/>
      <c r="B63" s="193"/>
      <c r="C63" s="193"/>
      <c r="D63" s="194"/>
      <c r="E63" s="194"/>
      <c r="F63" s="194"/>
      <c r="G63" s="193"/>
      <c r="H63" s="193"/>
      <c r="I63" s="194"/>
      <c r="J63" s="194"/>
      <c r="K63" s="194"/>
      <c r="L63" s="193"/>
      <c r="M63" s="193"/>
    </row>
    <row r="64" spans="1:21" x14ac:dyDescent="0.25">
      <c r="A64" s="31" t="s">
        <v>81</v>
      </c>
      <c r="B64" s="14"/>
      <c r="C64" s="14">
        <f>SUM(C48:C52)</f>
        <v>80</v>
      </c>
      <c r="D64" s="18"/>
      <c r="E64" s="18"/>
      <c r="F64" s="18">
        <f>SUM(F48:F52)</f>
        <v>5673.2000000000007</v>
      </c>
      <c r="G64" s="14"/>
      <c r="H64" s="14">
        <f>SUM(H48:H51)</f>
        <v>80</v>
      </c>
      <c r="I64" s="18"/>
      <c r="J64" s="18"/>
      <c r="K64" s="18">
        <f>SUM(K48:K51)</f>
        <v>5990.26</v>
      </c>
      <c r="L64" s="14"/>
      <c r="M64" s="18">
        <f>SUM(M48:M56)</f>
        <v>12.5</v>
      </c>
    </row>
    <row r="65" spans="1:13" ht="15.75" thickBot="1" x14ac:dyDescent="0.3">
      <c r="A65" s="365" t="s">
        <v>189</v>
      </c>
      <c r="B65" s="366"/>
      <c r="C65" s="367">
        <f>SumByColor($A$19,C48:C63)</f>
        <v>0</v>
      </c>
      <c r="D65" s="367"/>
      <c r="E65" s="367"/>
      <c r="F65" s="368">
        <f>SumByColor($A$19,F48:F63)</f>
        <v>0</v>
      </c>
      <c r="G65" s="367"/>
      <c r="H65" s="367">
        <f>SumByColor($A$19,H48:H63)</f>
        <v>0</v>
      </c>
      <c r="I65" s="367"/>
      <c r="J65" s="367"/>
      <c r="K65" s="368">
        <f>SumByColor($A$19,K48:K63)</f>
        <v>0</v>
      </c>
      <c r="L65" s="367"/>
      <c r="M65" s="368">
        <f>SumByColor($A$19,M48:M63)</f>
        <v>0</v>
      </c>
    </row>
    <row r="69" spans="1:13" x14ac:dyDescent="0.25">
      <c r="B69" s="405" t="s">
        <v>113</v>
      </c>
      <c r="C69" s="405" t="s">
        <v>143</v>
      </c>
      <c r="D69" s="406" t="s">
        <v>142</v>
      </c>
      <c r="E69" s="407" t="s">
        <v>144</v>
      </c>
      <c r="F69" s="407" t="s">
        <v>65</v>
      </c>
      <c r="G69" s="409" t="s">
        <v>148</v>
      </c>
      <c r="H69" s="409" t="s">
        <v>88</v>
      </c>
      <c r="I69" s="409" t="s">
        <v>151</v>
      </c>
    </row>
    <row r="70" spans="1:13" x14ac:dyDescent="0.25">
      <c r="B70" s="161">
        <v>42962</v>
      </c>
      <c r="C70" s="10">
        <v>40</v>
      </c>
      <c r="D70" s="39">
        <v>69.680000000000007</v>
      </c>
      <c r="E70" s="39">
        <v>70.16</v>
      </c>
      <c r="F70" s="39">
        <f>(E70-D70)*C70</f>
        <v>19.199999999999591</v>
      </c>
      <c r="G70" s="39">
        <f>D70*C70</f>
        <v>2787.2000000000003</v>
      </c>
      <c r="H70" s="175">
        <f>(E70-D70)/D70</f>
        <v>6.8886337543052484E-3</v>
      </c>
      <c r="I70" s="39"/>
    </row>
    <row r="71" spans="1:13" x14ac:dyDescent="0.25">
      <c r="B71" s="161">
        <v>42983</v>
      </c>
      <c r="C71" s="10">
        <v>40</v>
      </c>
      <c r="D71" s="39">
        <v>69.680000000000007</v>
      </c>
      <c r="E71" s="39">
        <v>72.34</v>
      </c>
      <c r="F71" s="39">
        <f>(E71-D71)*C71</f>
        <v>106.39999999999986</v>
      </c>
      <c r="G71" s="39">
        <f>D71*C71</f>
        <v>2787.2000000000003</v>
      </c>
      <c r="H71" s="175">
        <f>(E71-D71)/D71</f>
        <v>3.8174512055109015E-2</v>
      </c>
      <c r="I71" s="39"/>
    </row>
    <row r="72" spans="1:13" x14ac:dyDescent="0.25">
      <c r="B72" s="161">
        <v>42997</v>
      </c>
      <c r="C72" s="10">
        <v>0</v>
      </c>
      <c r="D72" s="39"/>
      <c r="E72" s="39"/>
      <c r="F72" s="39">
        <v>125.93</v>
      </c>
      <c r="G72" s="39"/>
      <c r="H72" s="175"/>
      <c r="I72" s="39"/>
    </row>
    <row r="73" spans="1:13" x14ac:dyDescent="0.25">
      <c r="B73" s="290"/>
      <c r="C73" s="291"/>
      <c r="D73" s="292"/>
      <c r="E73" s="292"/>
      <c r="F73" s="292"/>
      <c r="G73" s="292"/>
      <c r="H73" s="293"/>
      <c r="I73" s="292"/>
    </row>
    <row r="74" spans="1:13" x14ac:dyDescent="0.25">
      <c r="B74" s="161">
        <v>42998</v>
      </c>
      <c r="C74" s="10">
        <v>40</v>
      </c>
      <c r="D74" s="39">
        <v>72.150000000000006</v>
      </c>
      <c r="E74" s="39">
        <v>72.42</v>
      </c>
      <c r="F74" s="39">
        <f>(E74-D74)*C74</f>
        <v>10.799999999999841</v>
      </c>
      <c r="G74" s="39">
        <f>D74*C74</f>
        <v>2886</v>
      </c>
      <c r="H74" s="175">
        <f>(E74-D74)/D74</f>
        <v>3.7422037422036869E-3</v>
      </c>
      <c r="I74" s="39"/>
    </row>
    <row r="75" spans="1:13" x14ac:dyDescent="0.25">
      <c r="B75" s="161">
        <v>43070</v>
      </c>
      <c r="C75" s="10">
        <v>40</v>
      </c>
      <c r="D75" s="39">
        <v>71.837500000000006</v>
      </c>
      <c r="E75" s="39">
        <v>75.349999999999994</v>
      </c>
      <c r="F75" s="39">
        <f>(E75-D75)*C75</f>
        <v>140.49999999999955</v>
      </c>
      <c r="G75" s="39">
        <f>D75*C75</f>
        <v>2873.5</v>
      </c>
      <c r="H75" s="175">
        <f>(E75-D75)/D75</f>
        <v>4.8895075691665055E-2</v>
      </c>
      <c r="I75" s="39"/>
    </row>
    <row r="76" spans="1:13" x14ac:dyDescent="0.25">
      <c r="B76" s="161">
        <v>43105</v>
      </c>
      <c r="C76" s="10">
        <v>0</v>
      </c>
      <c r="D76" s="39"/>
      <c r="E76" s="39">
        <v>76.930000000000007</v>
      </c>
      <c r="F76" s="39">
        <v>203.63</v>
      </c>
      <c r="G76" s="39">
        <v>0</v>
      </c>
      <c r="H76" s="175"/>
      <c r="I76" s="39"/>
    </row>
    <row r="77" spans="1:13" x14ac:dyDescent="0.25">
      <c r="B77" s="290"/>
      <c r="C77" s="291"/>
      <c r="D77" s="292"/>
      <c r="E77" s="292"/>
      <c r="F77" s="292"/>
      <c r="G77" s="292"/>
      <c r="H77" s="293"/>
      <c r="I77" s="292"/>
    </row>
    <row r="78" spans="1:13" x14ac:dyDescent="0.25">
      <c r="B78" s="290"/>
      <c r="C78" s="291"/>
      <c r="D78" s="292"/>
      <c r="E78" s="292"/>
      <c r="F78" s="292"/>
      <c r="G78" s="292"/>
      <c r="H78" s="293"/>
      <c r="I78" s="369"/>
    </row>
    <row r="79" spans="1:13" x14ac:dyDescent="0.25">
      <c r="B79" s="290"/>
      <c r="C79" s="291"/>
      <c r="D79" s="292"/>
      <c r="E79" s="292"/>
      <c r="F79" s="292"/>
      <c r="G79" s="292"/>
      <c r="H79" s="293"/>
      <c r="I79" s="292"/>
    </row>
    <row r="80" spans="1:13" x14ac:dyDescent="0.25">
      <c r="B80" s="290"/>
      <c r="C80" s="291"/>
      <c r="D80" s="292"/>
      <c r="E80" s="292"/>
      <c r="F80" s="292"/>
      <c r="G80" s="292"/>
      <c r="H80" s="293"/>
      <c r="I80" s="292"/>
    </row>
    <row r="81" spans="2:9" x14ac:dyDescent="0.25">
      <c r="B81" s="290"/>
      <c r="C81" s="291"/>
      <c r="D81" s="292"/>
      <c r="E81" s="292"/>
      <c r="F81" s="292"/>
      <c r="G81" s="292"/>
      <c r="H81" s="293"/>
      <c r="I81" s="292"/>
    </row>
    <row r="82" spans="2:9" x14ac:dyDescent="0.25">
      <c r="B82" s="290"/>
      <c r="C82" s="291"/>
      <c r="D82" s="292"/>
      <c r="E82" s="292"/>
      <c r="F82" s="292"/>
      <c r="G82" s="292"/>
      <c r="H82" s="293"/>
      <c r="I82" s="292"/>
    </row>
    <row r="83" spans="2:9" x14ac:dyDescent="0.25">
      <c r="B83" s="290"/>
      <c r="C83" s="291"/>
      <c r="D83" s="292"/>
      <c r="E83" s="292"/>
      <c r="F83" s="292"/>
      <c r="G83" s="292"/>
      <c r="H83" s="293"/>
      <c r="I83" s="292"/>
    </row>
    <row r="84" spans="2:9" x14ac:dyDescent="0.25">
      <c r="B84" s="290"/>
      <c r="C84" s="291"/>
      <c r="D84" s="292"/>
      <c r="E84" s="292"/>
      <c r="F84" s="292"/>
      <c r="G84" s="292"/>
      <c r="H84" s="293"/>
      <c r="I84" s="292"/>
    </row>
    <row r="85" spans="2:9" x14ac:dyDescent="0.25">
      <c r="B85" s="290"/>
      <c r="C85" s="291"/>
      <c r="D85" s="292"/>
      <c r="E85" s="292"/>
      <c r="F85" s="292"/>
      <c r="G85" s="292"/>
      <c r="H85" s="293"/>
      <c r="I85" s="292"/>
    </row>
    <row r="86" spans="2:9" x14ac:dyDescent="0.25">
      <c r="B86" s="290"/>
      <c r="C86" s="291"/>
      <c r="D86" s="292"/>
      <c r="E86" s="292"/>
      <c r="F86" s="292"/>
      <c r="G86" s="292"/>
      <c r="H86" s="293"/>
      <c r="I86" s="292"/>
    </row>
    <row r="87" spans="2:9" x14ac:dyDescent="0.25">
      <c r="B87" s="290"/>
      <c r="C87" s="291"/>
      <c r="D87" s="292"/>
      <c r="E87" s="292"/>
      <c r="F87" s="292"/>
      <c r="G87" s="292"/>
      <c r="H87" s="293"/>
      <c r="I87" s="292"/>
    </row>
  </sheetData>
  <mergeCells count="1">
    <mergeCell ref="O40:P40"/>
  </mergeCells>
  <conditionalFormatting sqref="O41:O61">
    <cfRule type="colorScale" priority="38">
      <colorScale>
        <cfvo type="min"/>
        <cfvo type="percentile" val="50"/>
        <cfvo type="max"/>
        <color rgb="FFF8696B"/>
        <color rgb="FFFFEB84"/>
        <color rgb="FF63BE7B"/>
      </colorScale>
    </cfRule>
  </conditionalFormatting>
  <conditionalFormatting sqref="P41:P61">
    <cfRule type="colorScale" priority="37">
      <colorScale>
        <cfvo type="min"/>
        <cfvo type="percentile" val="50"/>
        <cfvo type="max"/>
        <color rgb="FFF8696B"/>
        <color rgb="FFFFEB84"/>
        <color rgb="FF63BE7B"/>
      </colorScale>
    </cfRule>
  </conditionalFormatting>
  <conditionalFormatting sqref="F34:F42 H34:H42">
    <cfRule type="expression" dxfId="2585" priority="33">
      <formula>F34&gt;0</formula>
    </cfRule>
    <cfRule type="expression" dxfId="2584" priority="34">
      <formula>F34&lt;0</formula>
    </cfRule>
  </conditionalFormatting>
  <conditionalFormatting sqref="Q7">
    <cfRule type="expression" dxfId="2583" priority="31">
      <formula>Q7&gt;0</formula>
    </cfRule>
    <cfRule type="expression" dxfId="2582" priority="32">
      <formula>Q7&lt;0</formula>
    </cfRule>
  </conditionalFormatting>
  <conditionalFormatting sqref="Q8">
    <cfRule type="expression" dxfId="2581" priority="29">
      <formula>Q8&gt;0</formula>
    </cfRule>
    <cfRule type="expression" dxfId="2580" priority="30">
      <formula>Q8&lt;0</formula>
    </cfRule>
  </conditionalFormatting>
  <conditionalFormatting sqref="F27:F33">
    <cfRule type="expression" dxfId="2579" priority="27">
      <formula>F27&gt;0</formula>
    </cfRule>
    <cfRule type="expression" dxfId="2578" priority="28">
      <formula>F27&lt;0</formula>
    </cfRule>
  </conditionalFormatting>
  <conditionalFormatting sqref="H27:H33">
    <cfRule type="expression" dxfId="2577" priority="25">
      <formula>H27&gt;0</formula>
    </cfRule>
    <cfRule type="expression" dxfId="2576" priority="26">
      <formula>H27&lt;0</formula>
    </cfRule>
  </conditionalFormatting>
  <conditionalFormatting sqref="M46">
    <cfRule type="expression" dxfId="2575" priority="23">
      <formula>M46&gt;0</formula>
    </cfRule>
    <cfRule type="expression" dxfId="2574" priority="24">
      <formula>M46&lt;0</formula>
    </cfRule>
  </conditionalFormatting>
  <conditionalFormatting sqref="F79:F87 H79:H87">
    <cfRule type="expression" dxfId="2573" priority="21">
      <formula>F79&gt;0</formula>
    </cfRule>
    <cfRule type="expression" dxfId="2572" priority="22">
      <formula>F79&lt;0</formula>
    </cfRule>
  </conditionalFormatting>
  <conditionalFormatting sqref="F73 F77:F78">
    <cfRule type="expression" dxfId="2571" priority="19">
      <formula>F73&gt;0</formula>
    </cfRule>
    <cfRule type="expression" dxfId="2570" priority="20">
      <formula>F73&lt;0</formula>
    </cfRule>
  </conditionalFormatting>
  <conditionalFormatting sqref="H73 H77:H78">
    <cfRule type="expression" dxfId="2569" priority="17">
      <formula>H73&gt;0</formula>
    </cfRule>
    <cfRule type="expression" dxfId="2568" priority="18">
      <formula>H73&lt;0</formula>
    </cfRule>
  </conditionalFormatting>
  <conditionalFormatting sqref="F70:F72">
    <cfRule type="expression" dxfId="2567" priority="15">
      <formula>F70&gt;0</formula>
    </cfRule>
    <cfRule type="expression" dxfId="2566" priority="16">
      <formula>F70&lt;0</formula>
    </cfRule>
  </conditionalFormatting>
  <conditionalFormatting sqref="H70:H72">
    <cfRule type="expression" dxfId="2565" priority="13">
      <formula>H70&gt;0</formula>
    </cfRule>
    <cfRule type="expression" dxfId="2564" priority="14">
      <formula>H70&lt;0</formula>
    </cfRule>
  </conditionalFormatting>
  <conditionalFormatting sqref="F25:F26">
    <cfRule type="expression" dxfId="2563" priority="11">
      <formula>F25&gt;0</formula>
    </cfRule>
    <cfRule type="expression" dxfId="2562" priority="12">
      <formula>F25&lt;0</formula>
    </cfRule>
  </conditionalFormatting>
  <conditionalFormatting sqref="H25:H26">
    <cfRule type="expression" dxfId="2561" priority="9">
      <formula>H25&gt;0</formula>
    </cfRule>
    <cfRule type="expression" dxfId="2560" priority="10">
      <formula>H25&lt;0</formula>
    </cfRule>
  </conditionalFormatting>
  <conditionalFormatting sqref="F76">
    <cfRule type="expression" dxfId="2559" priority="7">
      <formula>F76&gt;0</formula>
    </cfRule>
    <cfRule type="expression" dxfId="2558" priority="8">
      <formula>F76&lt;0</formula>
    </cfRule>
  </conditionalFormatting>
  <conditionalFormatting sqref="H76">
    <cfRule type="expression" dxfId="2557" priority="5">
      <formula>H76&gt;0</formula>
    </cfRule>
    <cfRule type="expression" dxfId="2556" priority="6">
      <formula>H76&lt;0</formula>
    </cfRule>
  </conditionalFormatting>
  <conditionalFormatting sqref="F74:F75">
    <cfRule type="expression" dxfId="2555" priority="3">
      <formula>F74&gt;0</formula>
    </cfRule>
    <cfRule type="expression" dxfId="2554" priority="4">
      <formula>F74&lt;0</formula>
    </cfRule>
  </conditionalFormatting>
  <conditionalFormatting sqref="H74:H75">
    <cfRule type="expression" dxfId="2553" priority="1">
      <formula>H74&gt;0</formula>
    </cfRule>
    <cfRule type="expression" dxfId="2552" priority="2">
      <formula>H74&lt;0</formula>
    </cfRule>
  </conditionalFormatting>
  <hyperlinks>
    <hyperlink ref="A3" location="ACTIVE!A1" display="Back"/>
    <hyperlink ref="A49" location="ACTIVE!A1" display="Back"/>
  </hyperlinks>
  <pageMargins left="0.7" right="0.7" top="0.75" bottom="0.75" header="0.3" footer="0.3"/>
  <pageSetup orientation="portrait" r:id="rId1"/>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874</v>
      </c>
      <c r="B2" s="360">
        <v>43161</v>
      </c>
      <c r="C2" s="7">
        <v>50</v>
      </c>
      <c r="D2" s="43">
        <v>38.78</v>
      </c>
      <c r="E2" s="43">
        <v>0</v>
      </c>
      <c r="F2" s="43">
        <f t="shared" ref="F2:F8" si="0">C2*D2+E2</f>
        <v>1939</v>
      </c>
      <c r="G2" s="360">
        <v>43217</v>
      </c>
      <c r="H2" s="7">
        <v>50</v>
      </c>
      <c r="I2" s="43">
        <v>44.38</v>
      </c>
      <c r="J2" s="43">
        <v>0.05</v>
      </c>
      <c r="K2" s="43">
        <f t="shared" ref="K2:K8" si="1">H2*I2-J2</f>
        <v>2218.9499999999998</v>
      </c>
      <c r="L2" s="69">
        <v>43225</v>
      </c>
      <c r="M2" s="43">
        <v>69</v>
      </c>
      <c r="O2" s="11" t="s">
        <v>57</v>
      </c>
      <c r="Q2">
        <f>C18-H18</f>
        <v>0</v>
      </c>
      <c r="T2" s="1"/>
    </row>
    <row r="3" spans="1:21" x14ac:dyDescent="0.25">
      <c r="A3" s="22" t="s">
        <v>71</v>
      </c>
      <c r="B3" s="485">
        <v>43161</v>
      </c>
      <c r="C3" s="7">
        <v>150</v>
      </c>
      <c r="D3" s="43">
        <v>38.78</v>
      </c>
      <c r="E3" s="43">
        <v>0</v>
      </c>
      <c r="F3" s="43">
        <f t="shared" si="0"/>
        <v>5817</v>
      </c>
      <c r="G3" s="360">
        <v>43243</v>
      </c>
      <c r="H3" s="77">
        <v>100</v>
      </c>
      <c r="I3" s="43">
        <v>44.88</v>
      </c>
      <c r="J3" s="43">
        <v>0.06</v>
      </c>
      <c r="K3" s="43">
        <f t="shared" si="1"/>
        <v>4487.9399999999996</v>
      </c>
      <c r="L3" s="4"/>
      <c r="M3" s="4"/>
      <c r="O3" s="11" t="s">
        <v>58</v>
      </c>
      <c r="Q3" s="174">
        <f>IF(Q2=0, Q4, (F18-K18-M18)/Q2)</f>
        <v>40.28</v>
      </c>
      <c r="T3" s="1">
        <v>43161</v>
      </c>
      <c r="U3" t="s">
        <v>917</v>
      </c>
    </row>
    <row r="4" spans="1:21" x14ac:dyDescent="0.25">
      <c r="B4" s="360">
        <v>43221</v>
      </c>
      <c r="C4" s="7">
        <v>50</v>
      </c>
      <c r="D4" s="43">
        <v>42</v>
      </c>
      <c r="E4" s="43">
        <v>0</v>
      </c>
      <c r="F4" s="43">
        <f t="shared" si="0"/>
        <v>2100</v>
      </c>
      <c r="G4" s="360">
        <v>43244</v>
      </c>
      <c r="H4" s="77">
        <v>50</v>
      </c>
      <c r="I4" s="43">
        <v>46.58</v>
      </c>
      <c r="J4" s="43">
        <v>0.03</v>
      </c>
      <c r="K4" s="43">
        <f t="shared" si="1"/>
        <v>2328.9699999999998</v>
      </c>
      <c r="L4" s="4"/>
      <c r="M4" s="4"/>
      <c r="O4" s="11" t="s">
        <v>66</v>
      </c>
      <c r="Q4" s="53">
        <v>40.28</v>
      </c>
      <c r="R4" s="416">
        <v>1.7600000000000001E-2</v>
      </c>
      <c r="T4" s="680"/>
      <c r="U4" s="30" t="s">
        <v>918</v>
      </c>
    </row>
    <row r="5" spans="1:21" x14ac:dyDescent="0.25">
      <c r="B5" s="360">
        <v>43304</v>
      </c>
      <c r="C5" s="7">
        <v>50</v>
      </c>
      <c r="D5" s="43">
        <v>51.6</v>
      </c>
      <c r="E5" s="43">
        <v>0</v>
      </c>
      <c r="F5" s="43">
        <f t="shared" si="0"/>
        <v>2580</v>
      </c>
      <c r="G5" s="360">
        <v>43287</v>
      </c>
      <c r="H5" s="77">
        <v>50</v>
      </c>
      <c r="I5" s="43">
        <v>53.08</v>
      </c>
      <c r="J5" s="43">
        <v>0.03</v>
      </c>
      <c r="K5" s="43">
        <f t="shared" si="1"/>
        <v>2653.97</v>
      </c>
      <c r="L5" s="4"/>
      <c r="M5" s="4"/>
      <c r="O5" s="11" t="s">
        <v>67</v>
      </c>
      <c r="Q5" s="3">
        <f>Q4*Q2</f>
        <v>0</v>
      </c>
    </row>
    <row r="6" spans="1:21" x14ac:dyDescent="0.25">
      <c r="A6" t="s">
        <v>712</v>
      </c>
      <c r="B6" s="360">
        <v>43335</v>
      </c>
      <c r="C6" s="7">
        <v>50</v>
      </c>
      <c r="D6" s="43">
        <v>52.63</v>
      </c>
      <c r="E6" s="43">
        <v>0</v>
      </c>
      <c r="F6" s="43">
        <f t="shared" si="0"/>
        <v>2631.5</v>
      </c>
      <c r="G6" s="360">
        <v>43335</v>
      </c>
      <c r="H6" s="77">
        <v>50</v>
      </c>
      <c r="I6" s="43">
        <v>53.42</v>
      </c>
      <c r="J6" s="43">
        <v>0.03</v>
      </c>
      <c r="K6" s="43">
        <f t="shared" si="1"/>
        <v>2670.97</v>
      </c>
      <c r="L6" s="4"/>
      <c r="M6" s="4"/>
      <c r="O6" s="11" t="s">
        <v>64</v>
      </c>
      <c r="Q6" s="2">
        <f>Q3*Q2</f>
        <v>0</v>
      </c>
    </row>
    <row r="7" spans="1:21" x14ac:dyDescent="0.25">
      <c r="B7" s="360">
        <v>43336</v>
      </c>
      <c r="C7" s="7">
        <v>50</v>
      </c>
      <c r="D7" s="43">
        <v>47.85</v>
      </c>
      <c r="E7" s="43">
        <v>0</v>
      </c>
      <c r="F7" s="43">
        <f t="shared" si="0"/>
        <v>2392.5</v>
      </c>
      <c r="G7" s="360">
        <v>43339</v>
      </c>
      <c r="H7" s="77">
        <v>50</v>
      </c>
      <c r="I7" s="43">
        <v>48.52</v>
      </c>
      <c r="J7" s="43">
        <v>0.03</v>
      </c>
      <c r="K7" s="43">
        <f t="shared" si="1"/>
        <v>2425.9699999999998</v>
      </c>
      <c r="L7" s="4"/>
      <c r="M7" s="4"/>
      <c r="O7" s="11" t="s">
        <v>175</v>
      </c>
      <c r="Q7" s="2">
        <f>Q10+Q8</f>
        <v>2227.6699999999946</v>
      </c>
      <c r="R7">
        <v>0</v>
      </c>
      <c r="T7" s="1">
        <v>43244</v>
      </c>
      <c r="U7" t="s">
        <v>1024</v>
      </c>
    </row>
    <row r="8" spans="1:21" x14ac:dyDescent="0.25">
      <c r="B8" s="360">
        <v>43336</v>
      </c>
      <c r="C8" s="7">
        <v>100</v>
      </c>
      <c r="D8" s="43">
        <v>46.65</v>
      </c>
      <c r="E8" s="43">
        <v>0</v>
      </c>
      <c r="F8" s="43">
        <f t="shared" si="0"/>
        <v>4665</v>
      </c>
      <c r="G8" s="360">
        <v>43369</v>
      </c>
      <c r="H8" s="77">
        <v>150</v>
      </c>
      <c r="I8" s="43">
        <v>49.98</v>
      </c>
      <c r="J8" s="43">
        <v>0.1</v>
      </c>
      <c r="K8" s="43">
        <f t="shared" si="1"/>
        <v>7496.8999999999987</v>
      </c>
      <c r="L8" s="4"/>
      <c r="M8" s="4"/>
      <c r="O8" s="11" t="s">
        <v>177</v>
      </c>
      <c r="P8" s="33"/>
      <c r="Q8" s="2">
        <f>K18+M18-F18+Q2*Q4</f>
        <v>2227.6699999999946</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v>43328</v>
      </c>
      <c r="U10" t="s">
        <v>1192</v>
      </c>
    </row>
    <row r="11" spans="1:21" x14ac:dyDescent="0.25">
      <c r="B11" s="4"/>
      <c r="C11" s="4"/>
      <c r="D11" s="3"/>
      <c r="E11" s="3"/>
      <c r="F11" s="3"/>
      <c r="G11" s="4"/>
      <c r="H11" s="158"/>
      <c r="I11" s="3"/>
      <c r="J11" s="3"/>
      <c r="K11" s="3"/>
      <c r="L11" s="4"/>
      <c r="M11" s="4"/>
      <c r="O11" s="11" t="s">
        <v>173</v>
      </c>
      <c r="P11" s="33"/>
      <c r="Q11" s="131">
        <f>R11*4/Q4</f>
        <v>3.4260178748758682E-2</v>
      </c>
      <c r="R11">
        <f>0.345</f>
        <v>0.34499999999999997</v>
      </c>
      <c r="U11" t="s">
        <v>1193</v>
      </c>
    </row>
    <row r="12" spans="1:21" x14ac:dyDescent="0.25">
      <c r="H12" s="67"/>
      <c r="O12" s="11" t="s">
        <v>875</v>
      </c>
      <c r="Q12" s="1" t="s">
        <v>1205</v>
      </c>
    </row>
    <row r="13" spans="1:21" x14ac:dyDescent="0.25">
      <c r="H13" s="67"/>
      <c r="O13" s="11" t="s">
        <v>901</v>
      </c>
      <c r="Q13" s="2">
        <f>Q4/4.4</f>
        <v>9.1545454545454543</v>
      </c>
      <c r="T13" s="1">
        <v>43338</v>
      </c>
      <c r="U13" t="s">
        <v>1206</v>
      </c>
    </row>
    <row r="14" spans="1:21" x14ac:dyDescent="0.25">
      <c r="H14" s="67"/>
      <c r="O14" s="11" t="s">
        <v>988</v>
      </c>
      <c r="Q14" s="1">
        <v>43314</v>
      </c>
    </row>
    <row r="15" spans="1:21" x14ac:dyDescent="0.25">
      <c r="H15" s="67"/>
    </row>
    <row r="16" spans="1:21" ht="20.25" thickBot="1" x14ac:dyDescent="0.35">
      <c r="H16" s="67"/>
      <c r="O16" s="886" t="s">
        <v>78</v>
      </c>
      <c r="P16" s="886"/>
    </row>
    <row r="17" spans="1:16" ht="15.75" thickTop="1" x14ac:dyDescent="0.25">
      <c r="O17" s="78">
        <v>1.1000000000000001</v>
      </c>
      <c r="P17" s="78">
        <f>O17*$Q$4</f>
        <v>44.308000000000007</v>
      </c>
    </row>
    <row r="18" spans="1:16" x14ac:dyDescent="0.25">
      <c r="A18" s="31" t="s">
        <v>81</v>
      </c>
      <c r="B18" s="14"/>
      <c r="C18" s="14">
        <f>SUM(C2:C9)</f>
        <v>500</v>
      </c>
      <c r="D18" s="18"/>
      <c r="E18" s="18"/>
      <c r="F18" s="18">
        <f>SUM(F2:F9)</f>
        <v>22125</v>
      </c>
      <c r="G18" s="14"/>
      <c r="H18" s="68">
        <f>SUM(H2:H8)</f>
        <v>500</v>
      </c>
      <c r="I18" s="18"/>
      <c r="J18" s="18"/>
      <c r="K18" s="18">
        <f>SUM(K2:K8)</f>
        <v>24283.669999999995</v>
      </c>
      <c r="L18" s="14"/>
      <c r="M18" s="18">
        <f>SUM(M2:M10)</f>
        <v>69</v>
      </c>
      <c r="O18" s="78">
        <v>1.0900000000000001</v>
      </c>
      <c r="P18" s="78">
        <f t="shared" ref="P18:P37" si="2">O18*$Q$4</f>
        <v>43.905200000000008</v>
      </c>
    </row>
    <row r="19" spans="1:16" ht="15.75" thickBot="1" x14ac:dyDescent="0.3">
      <c r="A19" s="273" t="s">
        <v>189</v>
      </c>
      <c r="B19" s="274"/>
      <c r="C19" s="275">
        <f>SumByColor($A$19,C2:C17)</f>
        <v>500</v>
      </c>
      <c r="D19" s="275"/>
      <c r="E19" s="275"/>
      <c r="F19" s="276">
        <f>SumByColor($A$19,F2:F17)</f>
        <v>22125</v>
      </c>
      <c r="G19" s="275"/>
      <c r="H19" s="275">
        <f>SumByColor($A$19,H2:H17)</f>
        <v>500</v>
      </c>
      <c r="I19" s="275"/>
      <c r="J19" s="275"/>
      <c r="K19" s="276">
        <f>SumByColor($A$19,K2:K17)</f>
        <v>24284</v>
      </c>
      <c r="L19" s="275"/>
      <c r="M19" s="276">
        <f>SumByColor($A$19,M2:M17)</f>
        <v>69</v>
      </c>
      <c r="O19" s="78">
        <v>1.08</v>
      </c>
      <c r="P19" s="78">
        <f t="shared" si="2"/>
        <v>43.502400000000002</v>
      </c>
    </row>
    <row r="20" spans="1:16" x14ac:dyDescent="0.25">
      <c r="O20" s="78">
        <v>1.07</v>
      </c>
      <c r="P20" s="78">
        <f t="shared" si="2"/>
        <v>43.099600000000002</v>
      </c>
    </row>
    <row r="21" spans="1:16" x14ac:dyDescent="0.25">
      <c r="O21" s="78">
        <v>1.06</v>
      </c>
      <c r="P21" s="78">
        <f t="shared" si="2"/>
        <v>42.696800000000003</v>
      </c>
    </row>
    <row r="22" spans="1:16" x14ac:dyDescent="0.25">
      <c r="O22" s="78">
        <v>1.05</v>
      </c>
      <c r="P22" s="78">
        <f t="shared" si="2"/>
        <v>42.294000000000004</v>
      </c>
    </row>
    <row r="23" spans="1:16" x14ac:dyDescent="0.25">
      <c r="O23" s="78">
        <v>1.04</v>
      </c>
      <c r="P23" s="78">
        <f t="shared" si="2"/>
        <v>41.891200000000005</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2"/>
        <v>41.488400000000006</v>
      </c>
    </row>
    <row r="25" spans="1:16" x14ac:dyDescent="0.25">
      <c r="B25" s="161">
        <v>43165</v>
      </c>
      <c r="C25" s="10">
        <v>200</v>
      </c>
      <c r="D25" s="39">
        <v>38.78</v>
      </c>
      <c r="E25" s="39">
        <v>42.1</v>
      </c>
      <c r="F25" s="39">
        <f>C25*(E25-D25)</f>
        <v>664</v>
      </c>
      <c r="G25" s="39">
        <f>D25*C25</f>
        <v>7756</v>
      </c>
      <c r="H25" s="175">
        <f>(E25-D25)/D25</f>
        <v>8.5611139762764313E-2</v>
      </c>
      <c r="I25" s="39"/>
      <c r="J25" s="39">
        <v>664</v>
      </c>
      <c r="K25" s="39"/>
      <c r="L25" s="39"/>
      <c r="O25" s="78">
        <v>1.02</v>
      </c>
      <c r="P25" s="78">
        <f t="shared" si="2"/>
        <v>41.085599999999999</v>
      </c>
    </row>
    <row r="26" spans="1:16" x14ac:dyDescent="0.25">
      <c r="B26" s="161">
        <v>43172</v>
      </c>
      <c r="C26" s="7">
        <v>200</v>
      </c>
      <c r="D26" s="43">
        <v>38.78</v>
      </c>
      <c r="E26" s="39">
        <v>43.86</v>
      </c>
      <c r="F26" s="39">
        <f>C26*(E26-D26)</f>
        <v>1015.9999999999997</v>
      </c>
      <c r="G26" s="39">
        <f>D26*C26</f>
        <v>7756</v>
      </c>
      <c r="H26" s="175">
        <f>(E26-D26)/D26</f>
        <v>0.13099535843218149</v>
      </c>
      <c r="I26" s="39"/>
      <c r="J26" s="39">
        <v>1015.9999999999997</v>
      </c>
      <c r="K26" s="39"/>
      <c r="L26" s="39"/>
      <c r="O26" s="78">
        <v>1.01</v>
      </c>
      <c r="P26" s="78">
        <f t="shared" si="2"/>
        <v>40.6828</v>
      </c>
    </row>
    <row r="27" spans="1:16" x14ac:dyDescent="0.25">
      <c r="B27" s="161">
        <v>43184</v>
      </c>
      <c r="C27" s="10">
        <v>200</v>
      </c>
      <c r="D27" s="39">
        <v>38.78</v>
      </c>
      <c r="E27" s="39">
        <v>43.74</v>
      </c>
      <c r="F27" s="39">
        <f>C27*(E27-D27)</f>
        <v>992.00000000000023</v>
      </c>
      <c r="G27" s="39">
        <f>D27*C27</f>
        <v>7756</v>
      </c>
      <c r="H27" s="175">
        <f>(E27-D27)/D27</f>
        <v>0.12790097988653948</v>
      </c>
      <c r="I27" s="39"/>
      <c r="J27" s="39">
        <v>992.00000000000023</v>
      </c>
      <c r="K27" s="39"/>
      <c r="L27" s="39"/>
      <c r="O27" s="78">
        <v>1</v>
      </c>
      <c r="P27" s="78">
        <f t="shared" si="2"/>
        <v>40.28</v>
      </c>
    </row>
    <row r="28" spans="1:16" x14ac:dyDescent="0.25">
      <c r="A28">
        <v>0</v>
      </c>
      <c r="B28" s="161">
        <v>43185</v>
      </c>
      <c r="C28" s="10">
        <v>200</v>
      </c>
      <c r="D28" s="39">
        <v>38.78</v>
      </c>
      <c r="E28" s="39">
        <v>45.26</v>
      </c>
      <c r="F28" s="39">
        <f>C28*(E28-D28)</f>
        <v>1295.9999999999993</v>
      </c>
      <c r="G28" s="39">
        <f>D28*C28</f>
        <v>7756</v>
      </c>
      <c r="H28" s="175">
        <f>(E28-D28)/D28</f>
        <v>0.16709644146467242</v>
      </c>
      <c r="I28" s="39"/>
      <c r="J28" s="39">
        <v>1295.9999999999993</v>
      </c>
      <c r="K28" s="39"/>
      <c r="L28" s="39">
        <v>10.56</v>
      </c>
      <c r="O28" s="78">
        <v>0.99</v>
      </c>
      <c r="P28" s="78">
        <f t="shared" si="2"/>
        <v>39.877200000000002</v>
      </c>
    </row>
    <row r="29" spans="1:16" x14ac:dyDescent="0.25">
      <c r="A29">
        <v>200</v>
      </c>
      <c r="B29" s="161">
        <v>43206</v>
      </c>
      <c r="C29" s="10">
        <v>200</v>
      </c>
      <c r="D29" s="39">
        <v>38.78</v>
      </c>
      <c r="E29" s="39">
        <v>43.35</v>
      </c>
      <c r="F29" s="39">
        <f>C29*(E29-D29)</f>
        <v>914</v>
      </c>
      <c r="G29" s="39">
        <f>D29*C29</f>
        <v>7756</v>
      </c>
      <c r="H29" s="175">
        <f>(E29-D29)/D29</f>
        <v>0.11784424961320268</v>
      </c>
      <c r="I29" s="39"/>
      <c r="J29" s="39">
        <v>914</v>
      </c>
      <c r="K29" s="39"/>
      <c r="L29" s="39">
        <v>9.85</v>
      </c>
      <c r="O29" s="78">
        <v>0.98</v>
      </c>
      <c r="P29" s="78">
        <f t="shared" si="2"/>
        <v>39.474400000000003</v>
      </c>
    </row>
    <row r="30" spans="1:16" x14ac:dyDescent="0.25">
      <c r="A30">
        <v>150</v>
      </c>
      <c r="B30" s="161">
        <v>43217</v>
      </c>
      <c r="C30" s="10">
        <v>150</v>
      </c>
      <c r="D30" s="39">
        <v>36.913699999999999</v>
      </c>
      <c r="E30" s="39">
        <v>44.38</v>
      </c>
      <c r="F30" s="39">
        <f t="shared" ref="F30:F35" si="3">C30*(E30-D30)</f>
        <v>1119.9450000000006</v>
      </c>
      <c r="G30" s="39">
        <f t="shared" ref="G30:G35" si="4">D30*C30</f>
        <v>5537.0549999999994</v>
      </c>
      <c r="H30" s="175">
        <f t="shared" ref="H30:H35" si="5">(E30-D30)/D30</f>
        <v>0.20226365820819925</v>
      </c>
      <c r="I30" s="39"/>
      <c r="J30" s="39">
        <v>1119.9450000000006</v>
      </c>
      <c r="K30" s="39"/>
      <c r="L30" s="39">
        <v>10.09</v>
      </c>
      <c r="O30" s="78">
        <v>0.97</v>
      </c>
      <c r="P30" s="78">
        <f t="shared" si="2"/>
        <v>39.071599999999997</v>
      </c>
    </row>
    <row r="31" spans="1:16" x14ac:dyDescent="0.25">
      <c r="A31">
        <v>150</v>
      </c>
      <c r="B31" s="161">
        <v>43221</v>
      </c>
      <c r="C31" s="10">
        <v>200</v>
      </c>
      <c r="D31" s="39">
        <v>38.185299999999998</v>
      </c>
      <c r="E31" s="39">
        <v>42.61</v>
      </c>
      <c r="F31" s="39">
        <f t="shared" si="3"/>
        <v>884.94000000000028</v>
      </c>
      <c r="G31" s="39">
        <f t="shared" si="4"/>
        <v>7637.0599999999995</v>
      </c>
      <c r="H31" s="175">
        <f t="shared" si="5"/>
        <v>0.11587443335524408</v>
      </c>
      <c r="I31" s="39"/>
      <c r="J31" s="39">
        <v>884.94000000000028</v>
      </c>
      <c r="K31" s="39"/>
      <c r="L31" s="39">
        <v>9.6839999999999993</v>
      </c>
      <c r="O31" s="78">
        <v>0.96</v>
      </c>
      <c r="P31" s="78">
        <f t="shared" si="2"/>
        <v>38.668799999999997</v>
      </c>
    </row>
    <row r="32" spans="1:16" x14ac:dyDescent="0.25">
      <c r="A32">
        <v>150</v>
      </c>
      <c r="B32" s="161">
        <v>43225</v>
      </c>
      <c r="C32" s="7">
        <v>200</v>
      </c>
      <c r="D32" s="43">
        <v>37.840299999999999</v>
      </c>
      <c r="E32" s="39">
        <v>41.67</v>
      </c>
      <c r="F32" s="39">
        <f t="shared" si="3"/>
        <v>765.94000000000051</v>
      </c>
      <c r="G32" s="39">
        <f t="shared" si="4"/>
        <v>7568.0599999999995</v>
      </c>
      <c r="H32" s="175">
        <f t="shared" si="5"/>
        <v>0.10120691432150386</v>
      </c>
      <c r="I32" s="39"/>
      <c r="J32" s="39">
        <v>765.94000000000051</v>
      </c>
      <c r="K32" s="39" t="s">
        <v>182</v>
      </c>
      <c r="L32" s="39">
        <v>9.4700000000000006</v>
      </c>
      <c r="O32" s="78">
        <v>0.95</v>
      </c>
      <c r="P32" s="78">
        <f t="shared" si="2"/>
        <v>38.265999999999998</v>
      </c>
    </row>
    <row r="33" spans="1:17" x14ac:dyDescent="0.25">
      <c r="A33">
        <v>50</v>
      </c>
      <c r="B33" s="161">
        <v>43243</v>
      </c>
      <c r="C33" s="181">
        <v>100</v>
      </c>
      <c r="D33" s="182">
        <v>30.800999999999998</v>
      </c>
      <c r="E33" s="39">
        <v>45.03</v>
      </c>
      <c r="F33" s="39">
        <f t="shared" si="3"/>
        <v>1422.9000000000003</v>
      </c>
      <c r="G33" s="39">
        <f t="shared" si="4"/>
        <v>3080.1</v>
      </c>
      <c r="H33" s="175">
        <f t="shared" si="5"/>
        <v>0.46196552059998064</v>
      </c>
      <c r="I33" s="39"/>
      <c r="J33" s="39">
        <v>1422.9000000000003</v>
      </c>
      <c r="K33" s="39"/>
      <c r="L33" s="39">
        <v>10.23</v>
      </c>
      <c r="O33" s="78">
        <v>0.94</v>
      </c>
      <c r="P33" s="78">
        <f t="shared" si="2"/>
        <v>37.863199999999999</v>
      </c>
    </row>
    <row r="34" spans="1:17" x14ac:dyDescent="0.25">
      <c r="B34" s="161">
        <v>43244</v>
      </c>
      <c r="C34" s="10">
        <v>50</v>
      </c>
      <c r="D34" s="39">
        <v>15.0228</v>
      </c>
      <c r="E34" s="39">
        <v>46.39</v>
      </c>
      <c r="F34" s="39">
        <f t="shared" si="3"/>
        <v>1568.3600000000001</v>
      </c>
      <c r="G34" s="39">
        <f t="shared" si="4"/>
        <v>751.14</v>
      </c>
      <c r="H34" s="175">
        <f t="shared" si="5"/>
        <v>2.087972947786032</v>
      </c>
      <c r="I34" s="39"/>
      <c r="J34" s="39">
        <v>1568.3600000000001</v>
      </c>
      <c r="K34" s="39"/>
      <c r="L34" s="39">
        <v>10.54</v>
      </c>
      <c r="O34" s="78">
        <v>0.93</v>
      </c>
      <c r="P34" s="78">
        <f t="shared" si="2"/>
        <v>37.4604</v>
      </c>
    </row>
    <row r="35" spans="1:17" x14ac:dyDescent="0.25">
      <c r="B35" s="161">
        <v>43283</v>
      </c>
      <c r="C35" s="10">
        <v>50</v>
      </c>
      <c r="D35" s="39">
        <v>15.0228</v>
      </c>
      <c r="E35" s="39">
        <v>52.04</v>
      </c>
      <c r="F35" s="39">
        <f t="shared" si="3"/>
        <v>1850.8600000000001</v>
      </c>
      <c r="G35" s="39">
        <f t="shared" si="4"/>
        <v>751.14</v>
      </c>
      <c r="H35" s="175">
        <f t="shared" si="5"/>
        <v>2.4640679500492588</v>
      </c>
      <c r="I35" s="39"/>
      <c r="J35" s="39">
        <v>1850.8600000000001</v>
      </c>
      <c r="K35" s="39"/>
      <c r="L35" s="39">
        <v>11.83</v>
      </c>
      <c r="O35" s="78">
        <v>0.92</v>
      </c>
      <c r="P35" s="78">
        <f t="shared" si="2"/>
        <v>37.057600000000001</v>
      </c>
    </row>
    <row r="36" spans="1:17" x14ac:dyDescent="0.25">
      <c r="B36" s="161">
        <v>43287</v>
      </c>
      <c r="C36" s="10"/>
      <c r="D36" s="39"/>
      <c r="E36" s="39"/>
      <c r="F36" s="39">
        <v>1902.83</v>
      </c>
      <c r="G36" s="39"/>
      <c r="H36" s="175"/>
      <c r="I36" s="39"/>
      <c r="J36" s="39">
        <v>1902.83</v>
      </c>
      <c r="K36" s="39"/>
      <c r="L36" s="39"/>
      <c r="O36" s="78">
        <v>0.91</v>
      </c>
      <c r="P36" s="78">
        <f t="shared" si="2"/>
        <v>36.654800000000002</v>
      </c>
    </row>
    <row r="37" spans="1:17" x14ac:dyDescent="0.25">
      <c r="A37">
        <v>0</v>
      </c>
      <c r="B37" s="161">
        <v>43304</v>
      </c>
      <c r="C37" s="10">
        <v>50</v>
      </c>
      <c r="D37" s="39">
        <v>13.5434</v>
      </c>
      <c r="E37" s="39">
        <v>51.6</v>
      </c>
      <c r="F37" s="39">
        <f>C37*(E37-D37)</f>
        <v>1902.8300000000002</v>
      </c>
      <c r="G37" s="39">
        <f t="shared" ref="G37:G44" si="6">D37*C37</f>
        <v>677.17</v>
      </c>
      <c r="H37" s="175">
        <f t="shared" ref="H37:H44" si="7">(E37-D37)/D37</f>
        <v>2.8099738618072272</v>
      </c>
      <c r="I37" s="39"/>
      <c r="J37" s="39">
        <v>1902.8300000000002</v>
      </c>
      <c r="K37" s="39"/>
      <c r="L37" s="39">
        <v>12.05</v>
      </c>
      <c r="O37" s="78">
        <v>0.9</v>
      </c>
      <c r="P37" s="78">
        <f t="shared" si="2"/>
        <v>36.252000000000002</v>
      </c>
    </row>
    <row r="38" spans="1:17" x14ac:dyDescent="0.25">
      <c r="A38">
        <v>0</v>
      </c>
      <c r="B38" s="161">
        <v>43316</v>
      </c>
      <c r="C38" s="10">
        <v>50</v>
      </c>
      <c r="D38" s="39">
        <v>13.54</v>
      </c>
      <c r="E38" s="39">
        <v>47.16</v>
      </c>
      <c r="F38" s="39">
        <f>C38*(E38-D38)</f>
        <v>1680.9999999999998</v>
      </c>
      <c r="G38" s="39">
        <f t="shared" si="6"/>
        <v>677</v>
      </c>
      <c r="H38" s="175">
        <f t="shared" si="7"/>
        <v>2.4830132939438698</v>
      </c>
      <c r="I38" s="39"/>
      <c r="J38" s="39">
        <v>1680.9999999999998</v>
      </c>
      <c r="K38" s="39"/>
      <c r="L38" s="39">
        <v>10.72</v>
      </c>
    </row>
    <row r="39" spans="1:17" x14ac:dyDescent="0.25">
      <c r="A39">
        <v>0</v>
      </c>
      <c r="B39" s="161">
        <v>43332</v>
      </c>
      <c r="C39" s="10">
        <v>50</v>
      </c>
      <c r="D39" s="39">
        <v>13.54</v>
      </c>
      <c r="E39" s="39">
        <v>51.76</v>
      </c>
      <c r="F39" s="39">
        <f>C39*(E39-D39)</f>
        <v>1911</v>
      </c>
      <c r="G39" s="39">
        <f t="shared" si="6"/>
        <v>677</v>
      </c>
      <c r="H39" s="175">
        <f t="shared" si="7"/>
        <v>2.8227474150664698</v>
      </c>
      <c r="I39" s="39"/>
      <c r="J39" s="39">
        <v>1911</v>
      </c>
      <c r="K39" s="39"/>
      <c r="L39" s="39">
        <v>11.76</v>
      </c>
    </row>
    <row r="40" spans="1:17" x14ac:dyDescent="0.25">
      <c r="B40" s="161">
        <v>43335</v>
      </c>
      <c r="C40" s="10">
        <v>0</v>
      </c>
      <c r="D40" s="39">
        <v>13.54</v>
      </c>
      <c r="E40" s="39">
        <v>53.42</v>
      </c>
      <c r="F40" s="39">
        <v>1994</v>
      </c>
      <c r="G40" s="39">
        <f t="shared" si="6"/>
        <v>0</v>
      </c>
      <c r="H40" s="175">
        <f t="shared" si="7"/>
        <v>2.9453471196454952</v>
      </c>
      <c r="I40" s="39"/>
      <c r="J40" s="39">
        <v>1994</v>
      </c>
      <c r="K40" s="39"/>
      <c r="L40" s="39">
        <v>11.85</v>
      </c>
    </row>
    <row r="41" spans="1:17" x14ac:dyDescent="0.25">
      <c r="A41">
        <v>0</v>
      </c>
      <c r="B41" s="161">
        <v>43335</v>
      </c>
      <c r="C41" s="10">
        <v>50</v>
      </c>
      <c r="D41" s="39">
        <v>12.754</v>
      </c>
      <c r="E41" s="39">
        <v>52.63</v>
      </c>
      <c r="F41" s="39">
        <f t="shared" ref="F41:F49" si="8">C41*(E41-D41)</f>
        <v>1993.8000000000002</v>
      </c>
      <c r="G41" s="39">
        <f t="shared" si="6"/>
        <v>637.69999999999993</v>
      </c>
      <c r="H41" s="175">
        <f t="shared" si="7"/>
        <v>3.1265485337933203</v>
      </c>
      <c r="I41" s="39"/>
      <c r="J41" s="39">
        <v>1993.8000000000002</v>
      </c>
      <c r="K41" s="39"/>
      <c r="L41" s="39">
        <v>12.09</v>
      </c>
      <c r="Q41" s="2"/>
    </row>
    <row r="42" spans="1:17" x14ac:dyDescent="0.25">
      <c r="B42" s="161">
        <v>43336</v>
      </c>
      <c r="C42" s="181">
        <v>100</v>
      </c>
      <c r="D42" s="182">
        <v>30.3</v>
      </c>
      <c r="E42" s="39">
        <v>48.32</v>
      </c>
      <c r="F42" s="39">
        <f t="shared" si="8"/>
        <v>1802</v>
      </c>
      <c r="G42" s="39">
        <f t="shared" si="6"/>
        <v>3030</v>
      </c>
      <c r="H42" s="175">
        <f t="shared" si="7"/>
        <v>0.59471947194719466</v>
      </c>
      <c r="I42" s="39"/>
      <c r="J42" s="39">
        <v>1802</v>
      </c>
      <c r="K42" s="39"/>
      <c r="L42" s="39"/>
      <c r="Q42" s="2"/>
    </row>
    <row r="43" spans="1:17" x14ac:dyDescent="0.25">
      <c r="A43">
        <v>0</v>
      </c>
      <c r="B43" s="161">
        <v>43336</v>
      </c>
      <c r="C43" s="7">
        <v>200</v>
      </c>
      <c r="D43" s="43">
        <v>38.475999999999999</v>
      </c>
      <c r="E43" s="39">
        <v>48.32</v>
      </c>
      <c r="F43" s="39">
        <f t="shared" si="8"/>
        <v>1968.8000000000002</v>
      </c>
      <c r="G43" s="39">
        <f t="shared" si="6"/>
        <v>7695.2</v>
      </c>
      <c r="H43" s="175">
        <f t="shared" si="7"/>
        <v>0.25584780122673878</v>
      </c>
      <c r="I43" s="39" t="s">
        <v>1204</v>
      </c>
      <c r="J43" s="39">
        <v>1968.8000000000002</v>
      </c>
      <c r="K43" s="39"/>
      <c r="L43" s="39">
        <v>10.98</v>
      </c>
      <c r="Q43" s="2"/>
    </row>
    <row r="44" spans="1:17" x14ac:dyDescent="0.25">
      <c r="A44">
        <v>0</v>
      </c>
      <c r="B44" s="161">
        <v>43339</v>
      </c>
      <c r="C44" s="10">
        <v>150</v>
      </c>
      <c r="D44" s="39">
        <v>35.1282</v>
      </c>
      <c r="E44" s="39">
        <v>48.52</v>
      </c>
      <c r="F44" s="39">
        <f t="shared" si="8"/>
        <v>2008.7700000000004</v>
      </c>
      <c r="G44" s="39">
        <f t="shared" si="6"/>
        <v>5269.23</v>
      </c>
      <c r="H44" s="175">
        <f t="shared" si="7"/>
        <v>0.38122647901116491</v>
      </c>
      <c r="I44" s="39"/>
      <c r="J44" s="39">
        <v>2008.7700000000004</v>
      </c>
      <c r="K44" s="39"/>
      <c r="L44" s="39">
        <v>11.03</v>
      </c>
      <c r="Q44" s="2"/>
    </row>
    <row r="45" spans="1:17" x14ac:dyDescent="0.25">
      <c r="B45" s="161">
        <v>43341</v>
      </c>
      <c r="C45" s="10">
        <v>150</v>
      </c>
      <c r="D45" s="39">
        <v>35.1282</v>
      </c>
      <c r="E45" s="39">
        <v>49.81</v>
      </c>
      <c r="F45" s="760">
        <f t="shared" si="8"/>
        <v>2202.2700000000004</v>
      </c>
      <c r="G45" s="39">
        <f>D45*C45</f>
        <v>5269.23</v>
      </c>
      <c r="H45" s="175">
        <f>(E45-D45)/D45</f>
        <v>0.41794911210935953</v>
      </c>
      <c r="I45" s="39"/>
      <c r="J45" s="39">
        <v>2202.2700000000004</v>
      </c>
      <c r="K45" s="39"/>
      <c r="L45" s="39">
        <v>11.32</v>
      </c>
      <c r="Q45" s="2"/>
    </row>
    <row r="46" spans="1:17" x14ac:dyDescent="0.25">
      <c r="A46">
        <v>0</v>
      </c>
      <c r="B46" s="161">
        <v>43348</v>
      </c>
      <c r="C46" s="10">
        <v>150</v>
      </c>
      <c r="D46" s="39">
        <v>35.130000000000003</v>
      </c>
      <c r="E46" s="39">
        <v>49.16</v>
      </c>
      <c r="F46" s="39">
        <f t="shared" si="8"/>
        <v>2104.4999999999991</v>
      </c>
      <c r="G46" s="39">
        <f>D46*C46</f>
        <v>5269.5</v>
      </c>
      <c r="H46" s="175">
        <f>(E46-D46)/D46</f>
        <v>0.39937375462567587</v>
      </c>
      <c r="I46" s="39"/>
      <c r="J46" s="39">
        <v>2104.4999999999991</v>
      </c>
      <c r="K46" s="39"/>
      <c r="L46" s="39">
        <v>11.17</v>
      </c>
      <c r="Q46" s="2"/>
    </row>
    <row r="47" spans="1:17" x14ac:dyDescent="0.25">
      <c r="B47" s="161">
        <v>43349</v>
      </c>
      <c r="C47" s="10">
        <v>150</v>
      </c>
      <c r="D47" s="39">
        <v>35.130000000000003</v>
      </c>
      <c r="E47" s="39">
        <v>47.04</v>
      </c>
      <c r="F47" s="39">
        <f t="shared" si="8"/>
        <v>1786.4999999999995</v>
      </c>
      <c r="G47" s="39">
        <f>D47*C47</f>
        <v>5269.5</v>
      </c>
      <c r="H47" s="175">
        <f>(E47-D47)/D47</f>
        <v>0.33902647309991446</v>
      </c>
      <c r="I47" s="39"/>
      <c r="J47" s="39">
        <v>1786.4999999999995</v>
      </c>
      <c r="K47" s="39"/>
      <c r="L47" s="39">
        <v>10.69</v>
      </c>
      <c r="Q47" s="2"/>
    </row>
    <row r="48" spans="1:17" x14ac:dyDescent="0.25">
      <c r="B48" s="161">
        <v>43364</v>
      </c>
      <c r="C48" s="10">
        <v>150</v>
      </c>
      <c r="D48" s="39">
        <v>35.130000000000003</v>
      </c>
      <c r="E48" s="39">
        <v>48.29</v>
      </c>
      <c r="F48" s="39">
        <f t="shared" si="8"/>
        <v>1973.9999999999995</v>
      </c>
      <c r="G48" s="39">
        <f>D48*C48</f>
        <v>5269.5</v>
      </c>
      <c r="H48" s="175">
        <f>(E48-D48)/D48</f>
        <v>0.3746085966410474</v>
      </c>
      <c r="I48" s="39"/>
      <c r="J48" s="39">
        <v>1973.9999999999995</v>
      </c>
      <c r="K48" s="39"/>
      <c r="L48" s="39">
        <v>10.98</v>
      </c>
      <c r="Q48" s="2"/>
    </row>
    <row r="49" spans="1:17" x14ac:dyDescent="0.25">
      <c r="B49" s="161">
        <v>43369</v>
      </c>
      <c r="C49" s="10">
        <v>0</v>
      </c>
      <c r="D49" s="39">
        <v>35.130000000000003</v>
      </c>
      <c r="E49" s="39">
        <v>50.12</v>
      </c>
      <c r="F49" s="39">
        <f t="shared" si="8"/>
        <v>0</v>
      </c>
      <c r="G49" s="39">
        <f>D49*C49</f>
        <v>0</v>
      </c>
      <c r="H49" s="175">
        <f>(E49-D49)/D49</f>
        <v>0.426700825505266</v>
      </c>
      <c r="I49" s="39"/>
      <c r="J49" s="760">
        <v>2227.67</v>
      </c>
      <c r="K49" s="39"/>
      <c r="L49" s="39">
        <v>11.39</v>
      </c>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874</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551" priority="43">
      <formula>F54&gt;0</formula>
    </cfRule>
    <cfRule type="expression" dxfId="2550" priority="44">
      <formula>F54&lt;0</formula>
    </cfRule>
  </conditionalFormatting>
  <conditionalFormatting sqref="Q7">
    <cfRule type="expression" dxfId="2549" priority="41">
      <formula>Q7&gt;0</formula>
    </cfRule>
    <cfRule type="expression" dxfId="2548" priority="42">
      <formula>Q7&lt;0</formula>
    </cfRule>
  </conditionalFormatting>
  <conditionalFormatting sqref="Q8">
    <cfRule type="expression" dxfId="2547" priority="39">
      <formula>Q8&gt;0</formula>
    </cfRule>
    <cfRule type="expression" dxfId="2546" priority="40">
      <formula>Q8&lt;0</formula>
    </cfRule>
  </conditionalFormatting>
  <conditionalFormatting sqref="F33:F36 F38:F53">
    <cfRule type="expression" dxfId="2545" priority="37">
      <formula>F33&gt;0</formula>
    </cfRule>
    <cfRule type="expression" dxfId="2544" priority="38">
      <formula>F33&lt;0</formula>
    </cfRule>
  </conditionalFormatting>
  <conditionalFormatting sqref="H33:H36 H38:H53">
    <cfRule type="expression" dxfId="2543" priority="35">
      <formula>H33&gt;0</formula>
    </cfRule>
    <cfRule type="expression" dxfId="2542" priority="36">
      <formula>H33&lt;0</formula>
    </cfRule>
  </conditionalFormatting>
  <conditionalFormatting sqref="Q10">
    <cfRule type="expression" dxfId="2541" priority="33">
      <formula>Q10&gt;0</formula>
    </cfRule>
    <cfRule type="expression" dxfId="2540" priority="34">
      <formula>Q10&lt;0</formula>
    </cfRule>
  </conditionalFormatting>
  <conditionalFormatting sqref="J25:J37">
    <cfRule type="expression" dxfId="2539" priority="31">
      <formula>J25&gt;0</formula>
    </cfRule>
    <cfRule type="expression" dxfId="2538" priority="32">
      <formula>J25&lt;0</formula>
    </cfRule>
  </conditionalFormatting>
  <conditionalFormatting sqref="K25:K38">
    <cfRule type="expression" dxfId="2537" priority="29">
      <formula>K25&gt;0</formula>
    </cfRule>
    <cfRule type="expression" dxfId="2536" priority="30">
      <formula>K25&lt;0</formula>
    </cfRule>
  </conditionalFormatting>
  <conditionalFormatting sqref="L25">
    <cfRule type="expression" dxfId="2535" priority="27">
      <formula>L25&gt;0</formula>
    </cfRule>
    <cfRule type="expression" dxfId="2534" priority="28">
      <formula>L25&lt;0</formula>
    </cfRule>
  </conditionalFormatting>
  <conditionalFormatting sqref="F89:F110">
    <cfRule type="expression" dxfId="2533" priority="25">
      <formula>F89&gt;0</formula>
    </cfRule>
    <cfRule type="expression" dxfId="2532" priority="26">
      <formula>F89&lt;0</formula>
    </cfRule>
  </conditionalFormatting>
  <conditionalFormatting sqref="H89:H110">
    <cfRule type="expression" dxfId="2531" priority="23">
      <formula>H89&gt;0</formula>
    </cfRule>
    <cfRule type="expression" dxfId="2530" priority="24">
      <formula>H89&lt;0</formula>
    </cfRule>
  </conditionalFormatting>
  <conditionalFormatting sqref="J89:J102">
    <cfRule type="expression" dxfId="2529" priority="21">
      <formula>J89&gt;0</formula>
    </cfRule>
    <cfRule type="expression" dxfId="2528" priority="22">
      <formula>J89&lt;0</formula>
    </cfRule>
  </conditionalFormatting>
  <conditionalFormatting sqref="K89:K102">
    <cfRule type="expression" dxfId="2527" priority="19">
      <formula>K89&gt;0</formula>
    </cfRule>
    <cfRule type="expression" dxfId="2526" priority="20">
      <formula>K89&lt;0</formula>
    </cfRule>
  </conditionalFormatting>
  <conditionalFormatting sqref="L89:L102">
    <cfRule type="expression" dxfId="2525" priority="17">
      <formula>L89&gt;0</formula>
    </cfRule>
    <cfRule type="expression" dxfId="2524" priority="18">
      <formula>L89&lt;0</formula>
    </cfRule>
  </conditionalFormatting>
  <conditionalFormatting sqref="F29:F32">
    <cfRule type="expression" dxfId="2523" priority="15">
      <formula>F29&gt;0</formula>
    </cfRule>
    <cfRule type="expression" dxfId="2522" priority="16">
      <formula>F29&lt;0</formula>
    </cfRule>
  </conditionalFormatting>
  <conditionalFormatting sqref="H29:H32">
    <cfRule type="expression" dxfId="2521" priority="13">
      <formula>H29&gt;0</formula>
    </cfRule>
    <cfRule type="expression" dxfId="2520" priority="14">
      <formula>H29&lt;0</formula>
    </cfRule>
  </conditionalFormatting>
  <conditionalFormatting sqref="F25:F28">
    <cfRule type="expression" dxfId="2519" priority="11">
      <formula>F25&gt;0</formula>
    </cfRule>
    <cfRule type="expression" dxfId="2518" priority="12">
      <formula>F25&lt;0</formula>
    </cfRule>
  </conditionalFormatting>
  <conditionalFormatting sqref="H25:H28">
    <cfRule type="expression" dxfId="2517" priority="9">
      <formula>H25&gt;0</formula>
    </cfRule>
    <cfRule type="expression" dxfId="2516" priority="10">
      <formula>H25&lt;0</formula>
    </cfRule>
  </conditionalFormatting>
  <conditionalFormatting sqref="F37">
    <cfRule type="expression" dxfId="2515" priority="7">
      <formula>F37&gt;0</formula>
    </cfRule>
    <cfRule type="expression" dxfId="2514" priority="8">
      <formula>F37&lt;0</formula>
    </cfRule>
  </conditionalFormatting>
  <conditionalFormatting sqref="H37">
    <cfRule type="expression" dxfId="2513" priority="5">
      <formula>H37&gt;0</formula>
    </cfRule>
    <cfRule type="expression" dxfId="2512" priority="6">
      <formula>H37&lt;0</formula>
    </cfRule>
  </conditionalFormatting>
  <conditionalFormatting sqref="J49">
    <cfRule type="expression" dxfId="2511" priority="3">
      <formula>J49&gt;0</formula>
    </cfRule>
    <cfRule type="expression" dxfId="2510" priority="4">
      <formula>J49&lt;0</formula>
    </cfRule>
  </conditionalFormatting>
  <conditionalFormatting sqref="J38:J48">
    <cfRule type="expression" dxfId="2509" priority="1">
      <formula>J38&gt;0</formula>
    </cfRule>
    <cfRule type="expression" dxfId="2508" priority="2">
      <formula>J38&lt;0</formula>
    </cfRule>
  </conditionalFormatting>
  <hyperlinks>
    <hyperlink ref="A3" location="ACTIVE!A1" display="Back"/>
  </hyperlinks>
  <pageMargins left="0.7" right="0.7" top="0.75" bottom="0.75" header="0.3" footer="0.3"/>
  <pageSetup orientation="portrait" r:id="rId1"/>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AN232"/>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5.7109375" customWidth="1"/>
    <col min="17" max="17" width="12.7109375" bestFit="1" customWidth="1"/>
    <col min="18" max="18" width="10.7109375" bestFit="1" customWidth="1"/>
    <col min="20" max="20" width="18.5703125" customWidth="1"/>
    <col min="21" max="21" width="68.28515625" customWidth="1"/>
    <col min="22" max="22" width="2" customWidth="1"/>
    <col min="24" max="24" width="17.85546875" bestFit="1" customWidth="1"/>
    <col min="25" max="27" width="9.28515625" customWidth="1"/>
    <col min="28" max="28" width="9.85546875" bestFit="1" customWidth="1"/>
    <col min="29" max="33" width="9.28515625"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11" t="s">
        <v>61</v>
      </c>
      <c r="L1" s="11" t="s">
        <v>37</v>
      </c>
      <c r="M1" s="11" t="s">
        <v>38</v>
      </c>
      <c r="T1" s="11" t="s">
        <v>70</v>
      </c>
      <c r="X1"/>
      <c r="Y1" s="148">
        <v>43077</v>
      </c>
      <c r="Z1" s="148">
        <v>43084</v>
      </c>
      <c r="AA1" s="148">
        <v>43091</v>
      </c>
      <c r="AB1" s="148">
        <v>43463</v>
      </c>
      <c r="AC1" s="148">
        <v>43105</v>
      </c>
      <c r="AD1" s="148">
        <v>43112</v>
      </c>
      <c r="AE1" s="148">
        <v>43119</v>
      </c>
      <c r="AF1" s="148">
        <v>43126</v>
      </c>
      <c r="AG1" s="689">
        <v>43133</v>
      </c>
    </row>
    <row r="2" spans="1:40" x14ac:dyDescent="0.25">
      <c r="A2" s="6" t="s">
        <v>55</v>
      </c>
      <c r="B2" s="682">
        <v>43098</v>
      </c>
      <c r="C2" s="7">
        <v>50</v>
      </c>
      <c r="D2" s="43">
        <v>71.650000000000006</v>
      </c>
      <c r="E2" s="43">
        <v>0</v>
      </c>
      <c r="F2" s="43">
        <f>C2*D2 + E2</f>
        <v>3582.5000000000005</v>
      </c>
      <c r="G2" s="682">
        <v>43286</v>
      </c>
      <c r="H2" s="7">
        <v>50</v>
      </c>
      <c r="I2" s="43">
        <v>72.790000000000006</v>
      </c>
      <c r="J2" s="43">
        <v>0.05</v>
      </c>
      <c r="K2" s="43">
        <f>H2*I2 - J2</f>
        <v>3639.4500000000003</v>
      </c>
      <c r="L2" s="69">
        <v>43190</v>
      </c>
      <c r="M2" s="656">
        <v>28.5</v>
      </c>
      <c r="O2" s="11" t="s">
        <v>57</v>
      </c>
      <c r="Q2">
        <f>C18-H18</f>
        <v>0</v>
      </c>
      <c r="T2" s="1">
        <v>43096</v>
      </c>
      <c r="U2" t="s">
        <v>738</v>
      </c>
      <c r="W2" t="s">
        <v>736</v>
      </c>
      <c r="X2" s="650" t="s">
        <v>720</v>
      </c>
      <c r="Y2" s="674">
        <v>11.5</v>
      </c>
      <c r="Z2" s="674">
        <v>11.5</v>
      </c>
      <c r="AA2" s="2">
        <v>10.6</v>
      </c>
      <c r="AB2" s="2">
        <v>9.5</v>
      </c>
      <c r="AC2" s="674">
        <v>9.83</v>
      </c>
      <c r="AD2">
        <v>11</v>
      </c>
      <c r="AE2" s="649">
        <v>9.98</v>
      </c>
      <c r="AF2" s="649">
        <v>10.199999999999999</v>
      </c>
      <c r="AG2" s="649">
        <v>10.4</v>
      </c>
      <c r="AH2" s="11"/>
      <c r="AI2" s="11"/>
      <c r="AJ2" s="11"/>
      <c r="AK2" s="651"/>
      <c r="AL2" s="651"/>
      <c r="AM2" s="651"/>
      <c r="AN2" s="651"/>
    </row>
    <row r="3" spans="1:40" x14ac:dyDescent="0.25">
      <c r="A3" s="22" t="s">
        <v>71</v>
      </c>
      <c r="B3" s="69"/>
      <c r="C3" s="4"/>
      <c r="D3" s="3"/>
      <c r="E3" s="3"/>
      <c r="F3" s="3"/>
      <c r="G3" s="69"/>
      <c r="H3" s="158"/>
      <c r="I3" s="3"/>
      <c r="J3" s="3"/>
      <c r="K3" s="3"/>
      <c r="L3" s="69">
        <v>43279</v>
      </c>
      <c r="M3" s="655">
        <v>28.5</v>
      </c>
      <c r="O3" s="11" t="s">
        <v>58</v>
      </c>
      <c r="Q3" s="388">
        <f>IF(Q2=0, Q4, (F24-K24-M24)/Q2)</f>
        <v>65.73</v>
      </c>
      <c r="U3" t="s">
        <v>739</v>
      </c>
      <c r="X3" s="650" t="s">
        <v>721</v>
      </c>
      <c r="Y3" s="674">
        <v>25</v>
      </c>
      <c r="Z3" s="674">
        <v>24.6</v>
      </c>
      <c r="AA3" s="2">
        <v>23.3</v>
      </c>
      <c r="AB3" s="2">
        <v>20.6</v>
      </c>
      <c r="AC3" s="674">
        <v>23.3</v>
      </c>
      <c r="AD3">
        <v>26.3</v>
      </c>
      <c r="AE3" s="649">
        <v>24.8</v>
      </c>
      <c r="AF3" s="649">
        <v>25.5</v>
      </c>
      <c r="AG3" s="649">
        <v>26.5</v>
      </c>
      <c r="AH3" s="651"/>
      <c r="AI3" s="651"/>
      <c r="AJ3" s="651"/>
      <c r="AK3" s="651"/>
      <c r="AL3" s="651"/>
      <c r="AM3" s="649"/>
      <c r="AN3" s="649"/>
    </row>
    <row r="4" spans="1:40" x14ac:dyDescent="0.25">
      <c r="B4" s="69"/>
      <c r="C4" s="4"/>
      <c r="D4" s="3"/>
      <c r="E4" s="3"/>
      <c r="F4" s="3"/>
      <c r="G4" s="69"/>
      <c r="H4" s="158"/>
      <c r="I4" s="3"/>
      <c r="J4" s="3"/>
      <c r="K4" s="3"/>
      <c r="L4" s="69"/>
      <c r="M4" s="3"/>
      <c r="O4" s="11" t="s">
        <v>66</v>
      </c>
      <c r="Q4" s="342">
        <v>65.73</v>
      </c>
      <c r="R4" s="396">
        <v>1.0800000000000001E-2</v>
      </c>
      <c r="U4" t="s">
        <v>740</v>
      </c>
      <c r="X4" s="650" t="s">
        <v>722</v>
      </c>
      <c r="Y4" s="674">
        <v>28.5</v>
      </c>
      <c r="Z4" s="674">
        <v>28.8</v>
      </c>
      <c r="AA4" s="2">
        <v>26.9</v>
      </c>
      <c r="AB4" s="2">
        <v>23.9</v>
      </c>
      <c r="AC4" s="674">
        <v>26.6</v>
      </c>
      <c r="AD4">
        <v>30</v>
      </c>
      <c r="AE4" s="649">
        <v>28.5</v>
      </c>
      <c r="AF4" s="649">
        <v>29.3</v>
      </c>
      <c r="AG4" s="649">
        <v>29.9</v>
      </c>
      <c r="AH4" s="678"/>
      <c r="AI4" s="649"/>
      <c r="AK4" s="649"/>
      <c r="AL4" s="649"/>
      <c r="AM4" s="649"/>
      <c r="AN4" s="649"/>
    </row>
    <row r="5" spans="1:40" x14ac:dyDescent="0.25">
      <c r="B5" s="69"/>
      <c r="C5" s="4"/>
      <c r="D5" s="3"/>
      <c r="E5" s="3"/>
      <c r="F5" s="3"/>
      <c r="G5" s="69"/>
      <c r="H5" s="158"/>
      <c r="I5" s="3"/>
      <c r="J5" s="3"/>
      <c r="K5" s="3"/>
      <c r="L5" s="69"/>
      <c r="M5" s="3"/>
      <c r="O5" s="11" t="s">
        <v>67</v>
      </c>
      <c r="Q5" s="3">
        <f>Q4*Q2</f>
        <v>0</v>
      </c>
      <c r="T5" s="1"/>
      <c r="X5" s="650" t="s">
        <v>723</v>
      </c>
      <c r="Y5" s="674">
        <v>35.200000000000003</v>
      </c>
      <c r="Z5" s="674">
        <v>34.5</v>
      </c>
      <c r="AA5" s="2">
        <v>33.1</v>
      </c>
      <c r="AB5" s="2">
        <v>28.5</v>
      </c>
      <c r="AC5" s="674">
        <v>31.6</v>
      </c>
      <c r="AD5">
        <v>33.799999999999997</v>
      </c>
      <c r="AE5" s="681" t="s">
        <v>747</v>
      </c>
      <c r="AF5" s="649" t="s">
        <v>747</v>
      </c>
      <c r="AG5" s="649" t="s">
        <v>747</v>
      </c>
      <c r="AH5" s="678"/>
      <c r="AI5" s="649"/>
      <c r="AK5" s="649"/>
      <c r="AL5" s="649"/>
      <c r="AM5" s="649"/>
      <c r="AN5" s="649"/>
    </row>
    <row r="6" spans="1:40" x14ac:dyDescent="0.25">
      <c r="B6" s="69"/>
      <c r="C6" s="4"/>
      <c r="D6" s="3"/>
      <c r="E6" s="3"/>
      <c r="F6" s="3"/>
      <c r="G6" s="69"/>
      <c r="H6" s="158"/>
      <c r="I6" s="3"/>
      <c r="J6" s="3"/>
      <c r="K6" s="3"/>
      <c r="L6" s="69"/>
      <c r="M6" s="3"/>
      <c r="O6" s="11" t="s">
        <v>64</v>
      </c>
      <c r="Q6" s="2">
        <f>Q3*Q2</f>
        <v>0</v>
      </c>
      <c r="T6" s="1">
        <v>43098</v>
      </c>
      <c r="U6" t="s">
        <v>750</v>
      </c>
      <c r="X6" s="650" t="s">
        <v>724</v>
      </c>
      <c r="Y6" s="674">
        <v>56</v>
      </c>
      <c r="Z6" s="674">
        <v>56.1</v>
      </c>
      <c r="AA6" s="2">
        <v>53.9</v>
      </c>
      <c r="AB6" s="2">
        <v>47.4</v>
      </c>
      <c r="AC6" s="674">
        <v>52.9</v>
      </c>
      <c r="AD6">
        <v>59.7</v>
      </c>
      <c r="AE6" s="649">
        <v>55.4</v>
      </c>
      <c r="AF6" s="649">
        <v>57.8</v>
      </c>
      <c r="AG6" s="649">
        <v>59.8</v>
      </c>
      <c r="AH6" s="678"/>
      <c r="AI6" s="649"/>
      <c r="AK6" s="649"/>
      <c r="AL6" s="649"/>
      <c r="AM6" s="649"/>
      <c r="AN6" s="649"/>
    </row>
    <row r="7" spans="1:40" x14ac:dyDescent="0.25">
      <c r="A7" s="520"/>
      <c r="B7" s="679"/>
      <c r="C7" s="4"/>
      <c r="D7" s="3"/>
      <c r="E7" s="3"/>
      <c r="F7" s="3"/>
      <c r="G7" s="69"/>
      <c r="H7" s="158"/>
      <c r="I7" s="3"/>
      <c r="J7" s="3"/>
      <c r="K7" s="3"/>
      <c r="L7" s="69"/>
      <c r="M7" s="3"/>
      <c r="O7" s="11" t="s">
        <v>175</v>
      </c>
      <c r="Q7" s="2">
        <f>Q10+Q8</f>
        <v>924.07999999998992</v>
      </c>
      <c r="R7">
        <v>0</v>
      </c>
      <c r="X7" s="650" t="s">
        <v>725</v>
      </c>
      <c r="Y7" s="674">
        <v>156.13</v>
      </c>
      <c r="Z7" s="674">
        <v>155.49</v>
      </c>
      <c r="AA7" s="2">
        <v>147.97</v>
      </c>
      <c r="AB7" s="2">
        <v>129.78</v>
      </c>
      <c r="AC7" s="674">
        <v>144.18</v>
      </c>
      <c r="AD7">
        <v>160.76</v>
      </c>
      <c r="AE7" s="649">
        <v>118.63</v>
      </c>
      <c r="AF7" s="649">
        <v>122.86</v>
      </c>
      <c r="AG7" s="649">
        <v>126.61</v>
      </c>
      <c r="AH7" s="678"/>
      <c r="AI7" s="649"/>
      <c r="AN7" s="649"/>
    </row>
    <row r="8" spans="1:40" x14ac:dyDescent="0.25">
      <c r="A8" s="520"/>
      <c r="G8" s="4"/>
      <c r="H8" s="158"/>
      <c r="I8" s="4"/>
      <c r="J8" s="4"/>
      <c r="K8" s="4"/>
      <c r="L8" s="69"/>
      <c r="M8" s="3"/>
      <c r="O8" s="11" t="s">
        <v>177</v>
      </c>
      <c r="P8" s="33"/>
      <c r="Q8" s="2">
        <f>K24+M24-F24+Q2*Q4</f>
        <v>113.94999999999982</v>
      </c>
      <c r="T8" s="1">
        <v>43109</v>
      </c>
      <c r="U8" t="s">
        <v>785</v>
      </c>
      <c r="X8" s="650" t="s">
        <v>737</v>
      </c>
      <c r="Z8" s="647">
        <f>(Z7-Y7)/Y7</f>
        <v>-4.0991481457758683E-3</v>
      </c>
      <c r="AA8" s="647">
        <f>(AA7-Z7)/Z7</f>
        <v>-4.8363238793491609E-2</v>
      </c>
      <c r="AB8" s="647">
        <f>(AB7-AA7)/AA7</f>
        <v>-0.12293032371426639</v>
      </c>
      <c r="AC8" s="647">
        <f>(AC7-AB7)/AB7</f>
        <v>0.1109570041608877</v>
      </c>
      <c r="AD8" s="647">
        <f>(AD7-AC7)/AC7</f>
        <v>0.11499514495769166</v>
      </c>
      <c r="AE8" s="647">
        <f>(AE7-AD7+AD5)/(AD7-AD5)</f>
        <v>-6.5611216131064895E-2</v>
      </c>
      <c r="AF8" s="647">
        <f>(AF7-AE7)/AE7</f>
        <v>3.565708505437077E-2</v>
      </c>
      <c r="AG8" s="647">
        <f>(AG7-AF7)/AF7</f>
        <v>3.052254598730262E-2</v>
      </c>
      <c r="AH8" s="678"/>
      <c r="AI8" s="649"/>
      <c r="AN8" s="649"/>
    </row>
    <row r="9" spans="1:40" x14ac:dyDescent="0.25">
      <c r="A9" s="520"/>
      <c r="B9" s="520"/>
      <c r="C9" s="4"/>
      <c r="D9" s="3"/>
      <c r="E9" s="3"/>
      <c r="F9" s="3"/>
      <c r="G9" s="4"/>
      <c r="H9" s="4"/>
      <c r="I9" s="4"/>
      <c r="J9" s="4"/>
      <c r="K9" s="4"/>
      <c r="L9" s="69"/>
      <c r="M9" s="3"/>
      <c r="O9" s="11" t="s">
        <v>202</v>
      </c>
      <c r="Q9" s="131">
        <f>IF(Q2=0, 0, Q8/Q6)</f>
        <v>0</v>
      </c>
      <c r="U9" t="s">
        <v>804</v>
      </c>
      <c r="X9" s="650" t="s">
        <v>748</v>
      </c>
      <c r="Y9">
        <f t="shared" ref="Y9:AG9" si="0">SUM(Y2:Y5)</f>
        <v>100.2</v>
      </c>
      <c r="Z9">
        <f t="shared" si="0"/>
        <v>99.4</v>
      </c>
      <c r="AA9">
        <f t="shared" si="0"/>
        <v>93.9</v>
      </c>
      <c r="AB9">
        <f t="shared" si="0"/>
        <v>82.5</v>
      </c>
      <c r="AC9">
        <f t="shared" si="0"/>
        <v>91.330000000000013</v>
      </c>
      <c r="AD9">
        <f t="shared" si="0"/>
        <v>101.1</v>
      </c>
      <c r="AE9">
        <f t="shared" si="0"/>
        <v>63.28</v>
      </c>
      <c r="AF9">
        <f t="shared" si="0"/>
        <v>65</v>
      </c>
      <c r="AG9">
        <f t="shared" si="0"/>
        <v>66.8</v>
      </c>
      <c r="AH9" s="678"/>
      <c r="AI9" s="649"/>
      <c r="AJ9" s="651"/>
      <c r="AK9" s="651"/>
      <c r="AL9" s="651"/>
      <c r="AM9" s="651"/>
    </row>
    <row r="10" spans="1:40" x14ac:dyDescent="0.25">
      <c r="A10" s="520"/>
      <c r="B10" s="520"/>
      <c r="C10" s="4"/>
      <c r="D10" s="3"/>
      <c r="E10" s="3"/>
      <c r="F10" s="3"/>
      <c r="G10" s="4"/>
      <c r="H10" s="4"/>
      <c r="I10" s="4"/>
      <c r="J10" s="4"/>
      <c r="K10" s="4"/>
      <c r="L10" s="4"/>
      <c r="M10" s="4"/>
      <c r="O10" s="11" t="s">
        <v>201</v>
      </c>
      <c r="P10" s="33"/>
      <c r="Q10" s="2">
        <f>M54</f>
        <v>810.1299999999901</v>
      </c>
      <c r="X10" s="650" t="s">
        <v>749</v>
      </c>
      <c r="Z10" s="176">
        <f>(Z9-Y9)/Y9</f>
        <v>-7.9840319361277161E-3</v>
      </c>
      <c r="AA10" s="176">
        <f>(AA9-Z9)/Z9</f>
        <v>-5.5331991951710256E-2</v>
      </c>
      <c r="AB10" s="176">
        <f>(AB9-AA9)/AA9</f>
        <v>-0.1214057507987221</v>
      </c>
      <c r="AC10" s="176">
        <f>(AC9-AB9)/AB9</f>
        <v>0.10703030303030318</v>
      </c>
      <c r="AD10" s="176">
        <f>(AD9-AC9)/AC9</f>
        <v>0.10697470710609855</v>
      </c>
      <c r="AE10" s="176">
        <f>(AE9-(AD9-AD5))/(AD9-AD5)</f>
        <v>-5.9732540861812719E-2</v>
      </c>
      <c r="AF10" s="176">
        <f>(AF9-AE9)/AE9</f>
        <v>2.7180783817951942E-2</v>
      </c>
      <c r="AG10" s="176">
        <f>(AG9-AF9)/AF9</f>
        <v>2.7692307692307648E-2</v>
      </c>
      <c r="AH10" s="11"/>
      <c r="AJ10" s="649"/>
      <c r="AK10" s="649"/>
      <c r="AL10" s="649"/>
      <c r="AM10" s="649"/>
    </row>
    <row r="11" spans="1:40" ht="18" x14ac:dyDescent="0.25">
      <c r="A11" s="520"/>
      <c r="B11" s="520"/>
      <c r="C11" s="4"/>
      <c r="D11" s="3"/>
      <c r="E11" s="3"/>
      <c r="F11" s="3"/>
      <c r="G11" s="69"/>
      <c r="H11" s="158"/>
      <c r="I11" s="3"/>
      <c r="J11" s="3"/>
      <c r="K11" s="3"/>
      <c r="L11" s="4"/>
      <c r="M11" s="4"/>
      <c r="N11" s="5"/>
      <c r="O11" s="11" t="s">
        <v>173</v>
      </c>
      <c r="P11" s="33"/>
      <c r="Q11" s="131">
        <f>R11*4/Q4</f>
        <v>3.1644606724478927E-2</v>
      </c>
      <c r="R11">
        <f>0.52</f>
        <v>0.52</v>
      </c>
      <c r="T11" s="1">
        <v>43112</v>
      </c>
      <c r="U11" t="s">
        <v>801</v>
      </c>
      <c r="X11" s="650" t="s">
        <v>734</v>
      </c>
      <c r="Y11" s="647">
        <f t="shared" ref="Y11:AD11" si="1">SUM(Y2:Y5)/Y7</f>
        <v>0.64177288157304813</v>
      </c>
      <c r="Z11" s="647">
        <f t="shared" si="1"/>
        <v>0.63926940639269403</v>
      </c>
      <c r="AA11" s="647">
        <f t="shared" si="1"/>
        <v>0.63458809218084755</v>
      </c>
      <c r="AB11" s="647">
        <f t="shared" si="1"/>
        <v>0.63569116967175221</v>
      </c>
      <c r="AC11" s="647">
        <f t="shared" si="1"/>
        <v>0.63344430572894994</v>
      </c>
      <c r="AD11" s="647">
        <f t="shared" si="1"/>
        <v>0.62888778303060466</v>
      </c>
      <c r="AE11" s="647">
        <f>SUM(AE2:AE5)/(AE7-AD5)</f>
        <v>0.74596251326181773</v>
      </c>
      <c r="AF11" s="647">
        <f>SUM(AF2:AF5)/AF7</f>
        <v>0.52905746377991214</v>
      </c>
      <c r="AG11" s="647">
        <f>SUM(AG2:AG5)/AG7</f>
        <v>0.52760445462443728</v>
      </c>
      <c r="AH11" s="11"/>
      <c r="AI11" s="673"/>
      <c r="AJ11" s="649"/>
      <c r="AK11" s="649"/>
      <c r="AL11" s="649"/>
      <c r="AM11" s="649"/>
    </row>
    <row r="12" spans="1:40" x14ac:dyDescent="0.25">
      <c r="A12" s="520"/>
      <c r="B12" s="520"/>
      <c r="C12" s="4"/>
      <c r="D12" s="3"/>
      <c r="E12" s="3"/>
      <c r="F12" s="3"/>
      <c r="G12" s="69"/>
      <c r="H12" s="158"/>
      <c r="I12" s="3"/>
      <c r="J12" s="3"/>
      <c r="K12" s="3"/>
      <c r="L12" s="4"/>
      <c r="M12" s="4"/>
      <c r="N12" s="5"/>
      <c r="O12" s="11" t="s">
        <v>875</v>
      </c>
      <c r="Q12" s="1" t="s">
        <v>1123</v>
      </c>
      <c r="X12" s="46"/>
      <c r="Y12" s="651"/>
      <c r="Z12" s="651"/>
      <c r="AB12" s="650"/>
      <c r="AC12" s="520"/>
      <c r="AD12" s="520"/>
      <c r="AE12" s="649"/>
      <c r="AJ12" s="649"/>
      <c r="AK12" s="649"/>
      <c r="AL12" s="649"/>
      <c r="AM12" s="649"/>
    </row>
    <row r="13" spans="1:40" x14ac:dyDescent="0.25">
      <c r="B13" s="69"/>
      <c r="C13" s="4"/>
      <c r="D13" s="3"/>
      <c r="E13" s="3"/>
      <c r="F13" s="3"/>
      <c r="G13" s="69"/>
      <c r="H13" s="158"/>
      <c r="I13" s="3"/>
      <c r="J13" s="3"/>
      <c r="K13" s="3"/>
      <c r="L13" s="4"/>
      <c r="M13" s="4"/>
      <c r="O13" s="11" t="s">
        <v>901</v>
      </c>
      <c r="Q13">
        <f>Q4/6.46</f>
        <v>10.174922600619196</v>
      </c>
      <c r="T13" s="1">
        <v>43114</v>
      </c>
      <c r="U13" t="s">
        <v>805</v>
      </c>
      <c r="W13" t="s">
        <v>735</v>
      </c>
      <c r="X13" s="650" t="s">
        <v>726</v>
      </c>
      <c r="Y13" s="652">
        <v>105.2</v>
      </c>
      <c r="Z13" s="652">
        <v>99.7</v>
      </c>
      <c r="AA13" s="78">
        <v>95.1</v>
      </c>
      <c r="AB13" s="2">
        <v>78.8</v>
      </c>
      <c r="AC13" s="674">
        <v>82.2</v>
      </c>
      <c r="AD13" s="649">
        <v>89.5</v>
      </c>
      <c r="AE13" s="649">
        <v>80.099999999999994</v>
      </c>
      <c r="AF13" s="649">
        <v>83.9</v>
      </c>
      <c r="AG13" s="649">
        <v>84.4</v>
      </c>
      <c r="AJ13" s="649"/>
      <c r="AK13" s="649"/>
      <c r="AL13" s="649"/>
      <c r="AM13" s="649"/>
    </row>
    <row r="14" spans="1:40" x14ac:dyDescent="0.25">
      <c r="B14" s="69"/>
      <c r="C14" s="4"/>
      <c r="D14" s="3"/>
      <c r="E14" s="3"/>
      <c r="F14" s="3"/>
      <c r="G14" s="69"/>
      <c r="H14" s="158"/>
      <c r="I14" s="4"/>
      <c r="J14" s="4"/>
      <c r="K14" s="3"/>
      <c r="L14" s="4"/>
      <c r="M14" s="4"/>
      <c r="U14" t="s">
        <v>803</v>
      </c>
      <c r="X14" s="650" t="s">
        <v>727</v>
      </c>
      <c r="Y14" s="652">
        <v>1.77</v>
      </c>
      <c r="Z14" s="652">
        <v>2.23</v>
      </c>
      <c r="AA14" s="78">
        <v>1.39</v>
      </c>
      <c r="AB14" s="2">
        <v>1.42</v>
      </c>
      <c r="AC14" s="674">
        <v>1.56</v>
      </c>
      <c r="AD14" s="649">
        <v>1.73</v>
      </c>
      <c r="AE14" s="649">
        <v>1.36</v>
      </c>
      <c r="AF14" s="649">
        <v>0.93</v>
      </c>
      <c r="AG14" s="649">
        <v>1.08</v>
      </c>
      <c r="AH14" s="651"/>
      <c r="AJ14" s="649"/>
      <c r="AK14" s="649"/>
      <c r="AL14" s="649"/>
      <c r="AM14" s="649"/>
    </row>
    <row r="15" spans="1:40" x14ac:dyDescent="0.25">
      <c r="B15" s="69"/>
      <c r="C15" s="4"/>
      <c r="D15" s="3"/>
      <c r="E15" s="3"/>
      <c r="F15" s="3"/>
      <c r="G15" s="69"/>
      <c r="H15" s="158"/>
      <c r="I15" s="3"/>
      <c r="J15" s="3"/>
      <c r="K15" s="3"/>
      <c r="L15" s="4"/>
      <c r="M15" s="4"/>
      <c r="U15" t="s">
        <v>802</v>
      </c>
      <c r="X15" s="650" t="s">
        <v>728</v>
      </c>
      <c r="Y15" s="652">
        <v>50.7</v>
      </c>
      <c r="Z15" s="652">
        <v>50.6</v>
      </c>
      <c r="AA15" s="78">
        <v>47</v>
      </c>
      <c r="AB15" s="2">
        <v>39.799999999999997</v>
      </c>
      <c r="AC15" s="674">
        <v>42.3</v>
      </c>
      <c r="AD15" s="649">
        <v>47.2</v>
      </c>
      <c r="AE15" s="649">
        <v>41.6</v>
      </c>
      <c r="AF15" s="649">
        <v>45.9</v>
      </c>
      <c r="AG15" s="649">
        <v>46.6</v>
      </c>
      <c r="AH15" s="649"/>
      <c r="AI15" s="651"/>
      <c r="AJ15" s="649"/>
      <c r="AK15" s="649"/>
      <c r="AL15" s="649"/>
      <c r="AM15" s="649"/>
    </row>
    <row r="16" spans="1:40" x14ac:dyDescent="0.25">
      <c r="B16" s="69"/>
      <c r="C16" s="4"/>
      <c r="D16" s="3"/>
      <c r="E16" s="3"/>
      <c r="F16" s="3"/>
      <c r="G16" s="69"/>
      <c r="H16" s="158"/>
      <c r="I16" s="3"/>
      <c r="J16" s="3"/>
      <c r="K16" s="3"/>
      <c r="L16" s="4"/>
      <c r="M16" s="4"/>
      <c r="X16" s="650" t="s">
        <v>729</v>
      </c>
      <c r="Y16" s="652">
        <v>1.1599999999999999</v>
      </c>
      <c r="Z16" s="652">
        <v>1.06</v>
      </c>
      <c r="AA16" s="78">
        <v>0.98</v>
      </c>
      <c r="AB16" s="2">
        <v>0.88</v>
      </c>
      <c r="AC16" s="674">
        <v>0.75</v>
      </c>
      <c r="AD16" s="649">
        <v>0.83</v>
      </c>
      <c r="AE16" s="649">
        <v>0.54</v>
      </c>
      <c r="AF16" s="649">
        <v>0.61</v>
      </c>
      <c r="AG16" s="649">
        <v>0.68</v>
      </c>
      <c r="AH16" s="649"/>
      <c r="AI16" s="649"/>
    </row>
    <row r="17" spans="1:39" ht="18" x14ac:dyDescent="0.25">
      <c r="B17" s="69"/>
      <c r="C17" s="4"/>
      <c r="D17" s="3"/>
      <c r="E17" s="3"/>
      <c r="F17" s="3"/>
      <c r="G17" s="69"/>
      <c r="H17" s="158"/>
      <c r="I17" s="3"/>
      <c r="J17" s="3"/>
      <c r="K17" s="3"/>
      <c r="L17" s="4"/>
      <c r="M17" s="4"/>
      <c r="T17" s="1">
        <v>43117</v>
      </c>
      <c r="U17" t="s">
        <v>820</v>
      </c>
      <c r="X17" s="650" t="s">
        <v>730</v>
      </c>
      <c r="Y17" s="652">
        <v>1.28</v>
      </c>
      <c r="Z17" s="652">
        <v>1.1499999999999999</v>
      </c>
      <c r="AA17" s="78">
        <v>0.61</v>
      </c>
      <c r="AB17" s="2">
        <v>0.56000000000000005</v>
      </c>
      <c r="AC17" s="674">
        <v>0.76</v>
      </c>
      <c r="AD17" s="649">
        <v>0.75</v>
      </c>
      <c r="AE17" s="649">
        <v>0.45</v>
      </c>
      <c r="AF17" s="649">
        <v>0.27</v>
      </c>
      <c r="AG17" s="649">
        <v>0.56000000000000005</v>
      </c>
      <c r="AH17" s="649"/>
      <c r="AI17" s="649"/>
      <c r="AJ17" s="673"/>
    </row>
    <row r="18" spans="1:39" x14ac:dyDescent="0.25">
      <c r="B18" s="69"/>
      <c r="C18" s="4"/>
      <c r="D18" s="3"/>
      <c r="E18" s="3"/>
      <c r="F18" s="3"/>
      <c r="G18" s="69"/>
      <c r="H18" s="158"/>
      <c r="I18" s="3"/>
      <c r="J18" s="3"/>
      <c r="K18" s="3"/>
      <c r="L18" s="4"/>
      <c r="M18" s="4"/>
      <c r="T18" s="1">
        <v>43123</v>
      </c>
      <c r="U18" t="s">
        <v>836</v>
      </c>
      <c r="X18" s="650" t="s">
        <v>731</v>
      </c>
      <c r="Y18" s="652">
        <v>13.1</v>
      </c>
      <c r="Z18" s="652">
        <v>13.1</v>
      </c>
      <c r="AA18" s="78">
        <v>11.3</v>
      </c>
      <c r="AB18" s="2">
        <v>9.99</v>
      </c>
      <c r="AC18" s="674">
        <v>8.75</v>
      </c>
      <c r="AD18" s="649">
        <v>8.01</v>
      </c>
      <c r="AE18" s="649">
        <v>7.65</v>
      </c>
      <c r="AF18" s="649">
        <v>6.94</v>
      </c>
      <c r="AG18" s="649">
        <v>6.8</v>
      </c>
      <c r="AH18" s="649"/>
      <c r="AI18" s="649"/>
      <c r="AJ18" s="649"/>
      <c r="AK18" s="649"/>
      <c r="AL18" s="649"/>
      <c r="AM18" s="649"/>
    </row>
    <row r="19" spans="1:39" x14ac:dyDescent="0.25">
      <c r="B19" s="69"/>
      <c r="C19" s="4"/>
      <c r="D19" s="3"/>
      <c r="E19" s="3"/>
      <c r="F19" s="3"/>
      <c r="G19" s="69"/>
      <c r="H19" s="158"/>
      <c r="I19" s="3"/>
      <c r="J19" s="3"/>
      <c r="K19" s="3"/>
      <c r="L19" s="4"/>
      <c r="M19" s="4"/>
      <c r="T19" s="114">
        <v>43137</v>
      </c>
      <c r="U19" t="s">
        <v>806</v>
      </c>
      <c r="X19" s="650" t="s">
        <v>732</v>
      </c>
      <c r="Y19" s="652">
        <v>0.03</v>
      </c>
      <c r="Z19" s="652">
        <v>0.05</v>
      </c>
      <c r="AA19" s="78" t="s">
        <v>747</v>
      </c>
      <c r="AB19" s="2" t="s">
        <v>747</v>
      </c>
      <c r="AC19" s="674" t="s">
        <v>747</v>
      </c>
      <c r="AD19" s="649" t="s">
        <v>747</v>
      </c>
      <c r="AE19" s="649" t="s">
        <v>747</v>
      </c>
      <c r="AF19" s="649">
        <v>0.02</v>
      </c>
      <c r="AG19" s="649" t="s">
        <v>747</v>
      </c>
      <c r="AH19" s="649"/>
      <c r="AI19" s="649"/>
      <c r="AJ19" s="649"/>
      <c r="AK19" s="649"/>
      <c r="AL19" s="649"/>
      <c r="AM19" s="649"/>
    </row>
    <row r="20" spans="1:39" x14ac:dyDescent="0.25">
      <c r="B20" s="69"/>
      <c r="C20" s="4"/>
      <c r="D20" s="3"/>
      <c r="E20" s="3"/>
      <c r="F20" s="3"/>
      <c r="G20" s="69"/>
      <c r="H20" s="158"/>
      <c r="I20" s="3"/>
      <c r="J20" s="3"/>
      <c r="K20" s="3"/>
      <c r="L20" s="4"/>
      <c r="M20" s="4"/>
      <c r="X20" s="650" t="s">
        <v>733</v>
      </c>
      <c r="Y20" s="652">
        <v>19.600000000000001</v>
      </c>
      <c r="Z20" s="652">
        <v>19.100000000000001</v>
      </c>
      <c r="AA20" s="78">
        <v>18.100000000000001</v>
      </c>
      <c r="AB20" s="2">
        <v>15.8</v>
      </c>
      <c r="AC20" s="674">
        <v>18.2</v>
      </c>
      <c r="AD20" s="649">
        <v>21</v>
      </c>
      <c r="AE20" s="649">
        <v>19.2</v>
      </c>
      <c r="AF20" s="649">
        <v>23.3</v>
      </c>
      <c r="AG20" s="649">
        <v>24.2</v>
      </c>
      <c r="AH20" s="649"/>
      <c r="AI20" s="649"/>
      <c r="AJ20" s="649"/>
      <c r="AK20" s="649"/>
      <c r="AL20" s="649"/>
      <c r="AM20" s="649"/>
    </row>
    <row r="21" spans="1:39" x14ac:dyDescent="0.25">
      <c r="T21" s="1">
        <v>43221</v>
      </c>
      <c r="U21" t="s">
        <v>969</v>
      </c>
      <c r="X21" s="650" t="s">
        <v>725</v>
      </c>
      <c r="Y21" s="652">
        <v>192.89</v>
      </c>
      <c r="Z21" s="652">
        <v>187</v>
      </c>
      <c r="AA21" s="78">
        <v>174.4</v>
      </c>
      <c r="AB21" s="78">
        <v>147.34</v>
      </c>
      <c r="AC21" s="674">
        <v>154.44</v>
      </c>
      <c r="AD21" s="649">
        <v>169.08</v>
      </c>
      <c r="AE21" s="649">
        <v>150.96</v>
      </c>
      <c r="AF21" s="649">
        <v>161.86000000000001</v>
      </c>
      <c r="AG21" s="649">
        <v>164.44</v>
      </c>
      <c r="AH21" s="649"/>
      <c r="AI21" s="649"/>
      <c r="AJ21" s="649"/>
      <c r="AK21" s="649"/>
      <c r="AL21" s="649"/>
      <c r="AM21" s="649"/>
    </row>
    <row r="22" spans="1:39" x14ac:dyDescent="0.25">
      <c r="U22" t="s">
        <v>974</v>
      </c>
      <c r="X22" s="650" t="s">
        <v>737</v>
      </c>
      <c r="Y22" s="78"/>
      <c r="Z22" s="653">
        <f t="shared" ref="Z22:AF22" si="2">(Z21-Y21)/Y21</f>
        <v>-3.0535538389755749E-2</v>
      </c>
      <c r="AA22" s="653">
        <f t="shared" si="2"/>
        <v>-6.7379679144385002E-2</v>
      </c>
      <c r="AB22" s="653">
        <f t="shared" si="2"/>
        <v>-0.1551605504587156</v>
      </c>
      <c r="AC22" s="653">
        <f t="shared" si="2"/>
        <v>4.8187864802497586E-2</v>
      </c>
      <c r="AD22" s="653">
        <f t="shared" si="2"/>
        <v>9.4794094794094896E-2</v>
      </c>
      <c r="AE22" s="653">
        <f t="shared" si="2"/>
        <v>-0.10716820440028391</v>
      </c>
      <c r="AF22" s="653">
        <f t="shared" si="2"/>
        <v>7.2204557498675173E-2</v>
      </c>
      <c r="AG22" s="653">
        <f>(AG21-AE21)/AE21</f>
        <v>8.9295177530471573E-2</v>
      </c>
      <c r="AH22" s="649"/>
      <c r="AI22" s="649"/>
      <c r="AJ22" s="649"/>
      <c r="AK22" s="649"/>
      <c r="AL22" s="649"/>
      <c r="AM22" s="649"/>
    </row>
    <row r="23" spans="1:39" x14ac:dyDescent="0.25">
      <c r="C23" s="4"/>
      <c r="D23" s="3"/>
      <c r="E23" s="3"/>
      <c r="F23" s="3"/>
      <c r="H23" s="67"/>
      <c r="X23" s="650" t="s">
        <v>748</v>
      </c>
      <c r="Y23" s="78">
        <f t="shared" ref="Y23:AD23" si="3">SUM(Y13:Y15)</f>
        <v>157.67000000000002</v>
      </c>
      <c r="Z23" s="78">
        <f t="shared" si="3"/>
        <v>152.53</v>
      </c>
      <c r="AA23" s="78">
        <f t="shared" si="3"/>
        <v>143.49</v>
      </c>
      <c r="AB23" s="78">
        <f t="shared" si="3"/>
        <v>120.02</v>
      </c>
      <c r="AC23" s="78">
        <f t="shared" si="3"/>
        <v>126.06</v>
      </c>
      <c r="AD23" s="78">
        <f t="shared" si="3"/>
        <v>138.43</v>
      </c>
      <c r="AE23" s="78">
        <f>SUM(AE13:AE15)</f>
        <v>123.06</v>
      </c>
      <c r="AF23" s="78">
        <f>SUM(AF13:AF15)</f>
        <v>130.73000000000002</v>
      </c>
      <c r="AG23" s="78">
        <f>SUM(AG13:AG15)</f>
        <v>132.08000000000001</v>
      </c>
      <c r="AH23" s="649"/>
      <c r="AI23" s="649"/>
      <c r="AJ23" s="649"/>
      <c r="AK23" s="649"/>
      <c r="AL23" s="649"/>
    </row>
    <row r="24" spans="1:39" x14ac:dyDescent="0.25">
      <c r="A24" s="21" t="s">
        <v>81</v>
      </c>
      <c r="B24" s="12"/>
      <c r="C24" s="12">
        <f>SUM(C2:C23)</f>
        <v>50</v>
      </c>
      <c r="D24" s="13"/>
      <c r="E24" s="13"/>
      <c r="F24" s="13">
        <f>SUM(F2:F23)</f>
        <v>3582.5000000000005</v>
      </c>
      <c r="G24" s="12"/>
      <c r="H24" s="72">
        <f>SUM(H2:H23)</f>
        <v>50</v>
      </c>
      <c r="I24" s="12"/>
      <c r="J24" s="12"/>
      <c r="K24" s="13">
        <f>SUM(K2:K23)</f>
        <v>3639.4500000000003</v>
      </c>
      <c r="L24" s="12"/>
      <c r="M24" s="13">
        <f>SUM(M2:M23)</f>
        <v>57</v>
      </c>
      <c r="X24" s="650" t="s">
        <v>749</v>
      </c>
      <c r="Z24" s="176">
        <f t="shared" ref="Z24:AF24" si="4">(Z23-Y23)/Y23</f>
        <v>-3.259973362085377E-2</v>
      </c>
      <c r="AA24" s="176">
        <f t="shared" si="4"/>
        <v>-5.9267029436832049E-2</v>
      </c>
      <c r="AB24" s="176">
        <f t="shared" si="4"/>
        <v>-0.16356540525472166</v>
      </c>
      <c r="AC24" s="176">
        <f t="shared" si="4"/>
        <v>5.0324945842359657E-2</v>
      </c>
      <c r="AD24" s="176">
        <f t="shared" si="4"/>
        <v>9.8127875614786642E-2</v>
      </c>
      <c r="AE24" s="176">
        <f t="shared" si="4"/>
        <v>-0.11103084591490286</v>
      </c>
      <c r="AF24" s="176">
        <f t="shared" si="4"/>
        <v>6.232732000650102E-2</v>
      </c>
      <c r="AG24" s="176">
        <f>(AG23-AE23)/AE23</f>
        <v>7.3297578417032425E-2</v>
      </c>
      <c r="AI24" s="649"/>
      <c r="AJ24" s="649"/>
      <c r="AK24" s="649"/>
      <c r="AL24" s="649"/>
    </row>
    <row r="25" spans="1:39" ht="15.75" thickBot="1" x14ac:dyDescent="0.3">
      <c r="A25" s="273" t="s">
        <v>189</v>
      </c>
      <c r="B25" s="274"/>
      <c r="C25" s="275">
        <f>SumByColor($A$25,C2:C23)</f>
        <v>50</v>
      </c>
      <c r="D25" s="275"/>
      <c r="E25" s="275"/>
      <c r="F25" s="276">
        <f>SumByColor($A$25,F2:F23)</f>
        <v>3583</v>
      </c>
      <c r="G25" s="275"/>
      <c r="H25" s="275">
        <f>SumByColor($A$25,H2:H23)</f>
        <v>50</v>
      </c>
      <c r="I25" s="275"/>
      <c r="J25" s="275"/>
      <c r="K25" s="276">
        <f>SumByColor($A$25,K2:K23)</f>
        <v>3639</v>
      </c>
      <c r="L25" s="275"/>
      <c r="M25" s="276">
        <f>SumByColor($A$25,M2:M23)</f>
        <v>56</v>
      </c>
      <c r="T25" s="1">
        <v>43306</v>
      </c>
      <c r="U25" t="s">
        <v>82</v>
      </c>
      <c r="X25" s="650" t="s">
        <v>734</v>
      </c>
      <c r="Y25" s="653">
        <f t="shared" ref="Y25:AD25" si="5">Y23/Y21</f>
        <v>0.81740888589351457</v>
      </c>
      <c r="Z25" s="653">
        <f t="shared" si="5"/>
        <v>0.81566844919786097</v>
      </c>
      <c r="AA25" s="653">
        <f t="shared" si="5"/>
        <v>0.82276376146788999</v>
      </c>
      <c r="AB25" s="653">
        <f t="shared" si="5"/>
        <v>0.81457852585855839</v>
      </c>
      <c r="AC25" s="653">
        <f t="shared" si="5"/>
        <v>0.81623931623931623</v>
      </c>
      <c r="AD25" s="653">
        <f t="shared" si="5"/>
        <v>0.81872486396971844</v>
      </c>
      <c r="AE25" s="653">
        <f>AE23/AE21</f>
        <v>0.81518282988871227</v>
      </c>
      <c r="AF25" s="653">
        <f>AF23/AF21</f>
        <v>0.80767329791177567</v>
      </c>
      <c r="AG25" s="653">
        <f>AG23/AG21</f>
        <v>0.80321089759182684</v>
      </c>
    </row>
    <row r="27" spans="1:39" x14ac:dyDescent="0.25">
      <c r="B27" s="69"/>
      <c r="C27" s="4"/>
      <c r="D27" s="3"/>
      <c r="E27" s="3"/>
      <c r="F27" s="3"/>
      <c r="G27" s="4"/>
      <c r="H27" s="4"/>
      <c r="I27" s="4"/>
      <c r="J27" s="4"/>
      <c r="K27" s="4"/>
      <c r="L27" s="4"/>
      <c r="M27" s="4"/>
    </row>
    <row r="29" spans="1:39" x14ac:dyDescent="0.25">
      <c r="B29" s="159" t="s">
        <v>113</v>
      </c>
      <c r="C29" s="159" t="s">
        <v>143</v>
      </c>
      <c r="D29" s="160" t="s">
        <v>142</v>
      </c>
      <c r="E29" s="162" t="s">
        <v>144</v>
      </c>
      <c r="F29" s="163" t="s">
        <v>65</v>
      </c>
      <c r="G29" s="173" t="s">
        <v>148</v>
      </c>
      <c r="H29" s="163" t="s">
        <v>88</v>
      </c>
      <c r="I29" s="163" t="s">
        <v>151</v>
      </c>
      <c r="J29" s="558" t="s">
        <v>452</v>
      </c>
      <c r="K29" s="558" t="s">
        <v>147</v>
      </c>
    </row>
    <row r="30" spans="1:39" x14ac:dyDescent="0.25">
      <c r="A30">
        <v>50</v>
      </c>
      <c r="B30" s="161">
        <v>43184</v>
      </c>
      <c r="C30" s="10">
        <v>50</v>
      </c>
      <c r="D30" s="39">
        <v>71.650000000000006</v>
      </c>
      <c r="E30" s="39">
        <v>72.84</v>
      </c>
      <c r="F30" s="39">
        <f t="shared" ref="F30:F35" si="6">C30*(E30-D30)</f>
        <v>59.499999999999886</v>
      </c>
      <c r="G30" s="39">
        <f t="shared" ref="G30:G35" si="7">D30*C30</f>
        <v>3582.5000000000005</v>
      </c>
      <c r="H30" s="175">
        <f t="shared" ref="H30:H35" si="8">(E30-D30)/D30</f>
        <v>1.6608513607815737E-2</v>
      </c>
      <c r="I30" s="39">
        <v>71</v>
      </c>
      <c r="J30" s="10"/>
      <c r="K30" s="10"/>
    </row>
    <row r="31" spans="1:39" x14ac:dyDescent="0.25">
      <c r="A31" s="4">
        <v>50</v>
      </c>
      <c r="B31" s="161">
        <v>43185</v>
      </c>
      <c r="C31" s="10">
        <v>50</v>
      </c>
      <c r="D31" s="39">
        <v>71.650000000000006</v>
      </c>
      <c r="E31" s="39">
        <v>75.540000000000006</v>
      </c>
      <c r="F31" s="39">
        <f t="shared" si="6"/>
        <v>194.50000000000003</v>
      </c>
      <c r="G31" s="39">
        <f t="shared" si="7"/>
        <v>3582.5000000000005</v>
      </c>
      <c r="H31" s="175">
        <f t="shared" si="8"/>
        <v>5.4291695743196096E-2</v>
      </c>
      <c r="I31" s="39"/>
      <c r="J31" s="10"/>
      <c r="K31" s="39">
        <v>1005</v>
      </c>
    </row>
    <row r="32" spans="1:39" x14ac:dyDescent="0.25">
      <c r="A32" s="4">
        <v>50</v>
      </c>
      <c r="B32" s="161">
        <v>43191</v>
      </c>
      <c r="C32" s="10">
        <v>50</v>
      </c>
      <c r="D32" s="39">
        <v>71.08</v>
      </c>
      <c r="E32" s="39">
        <v>75.39</v>
      </c>
      <c r="F32" s="39">
        <f t="shared" si="6"/>
        <v>215.50000000000011</v>
      </c>
      <c r="G32" s="39">
        <f t="shared" si="7"/>
        <v>3554</v>
      </c>
      <c r="H32" s="175">
        <f t="shared" si="8"/>
        <v>6.0635903207653379E-2</v>
      </c>
      <c r="I32" s="271"/>
      <c r="J32" s="10"/>
      <c r="K32" s="39">
        <v>1026</v>
      </c>
      <c r="L32" t="s">
        <v>182</v>
      </c>
    </row>
    <row r="33" spans="1:22" x14ac:dyDescent="0.25">
      <c r="A33" s="4">
        <v>50</v>
      </c>
      <c r="B33" s="161">
        <v>43226</v>
      </c>
      <c r="C33" s="10">
        <v>50</v>
      </c>
      <c r="D33" s="39">
        <v>71.08</v>
      </c>
      <c r="E33" s="39">
        <v>65.42</v>
      </c>
      <c r="F33" s="39">
        <f t="shared" si="6"/>
        <v>-282.99999999999983</v>
      </c>
      <c r="G33" s="39">
        <f t="shared" si="7"/>
        <v>3554</v>
      </c>
      <c r="H33" s="175">
        <f t="shared" si="8"/>
        <v>-7.9628587507034276E-2</v>
      </c>
      <c r="I33" s="39"/>
      <c r="J33" s="10"/>
      <c r="K33" s="39">
        <v>527</v>
      </c>
    </row>
    <row r="34" spans="1:22" x14ac:dyDescent="0.25">
      <c r="A34" s="4">
        <v>50</v>
      </c>
      <c r="B34" s="161">
        <v>43276</v>
      </c>
      <c r="C34" s="10">
        <v>50</v>
      </c>
      <c r="D34" s="39">
        <v>71.08</v>
      </c>
      <c r="E34" s="39">
        <v>71.14</v>
      </c>
      <c r="F34" s="39">
        <f t="shared" si="6"/>
        <v>3.0000000000001137</v>
      </c>
      <c r="G34" s="39">
        <f t="shared" si="7"/>
        <v>3554</v>
      </c>
      <c r="H34" s="176">
        <f t="shared" si="8"/>
        <v>8.4411930219474216E-4</v>
      </c>
      <c r="I34" s="39"/>
      <c r="J34" s="10"/>
      <c r="K34" s="39">
        <v>813</v>
      </c>
    </row>
    <row r="35" spans="1:22" x14ac:dyDescent="0.25">
      <c r="A35" s="4">
        <v>50</v>
      </c>
      <c r="B35" s="161">
        <v>43279</v>
      </c>
      <c r="C35" s="10">
        <v>50</v>
      </c>
      <c r="D35" s="39">
        <v>70.510000000000005</v>
      </c>
      <c r="E35" s="39">
        <v>70.33</v>
      </c>
      <c r="F35" s="39">
        <f t="shared" si="6"/>
        <v>-9.0000000000003411</v>
      </c>
      <c r="G35" s="39">
        <f t="shared" si="7"/>
        <v>3525.5000000000005</v>
      </c>
      <c r="H35" s="176">
        <f t="shared" si="8"/>
        <v>-2.5528293859028053E-3</v>
      </c>
      <c r="I35" s="271"/>
      <c r="J35" s="10"/>
      <c r="K35" s="39">
        <v>801</v>
      </c>
    </row>
    <row r="36" spans="1:22" x14ac:dyDescent="0.25">
      <c r="A36" s="4"/>
      <c r="B36" s="161">
        <v>43286</v>
      </c>
      <c r="C36" s="10">
        <v>0</v>
      </c>
      <c r="D36" s="39"/>
      <c r="E36" s="39"/>
      <c r="F36" s="39">
        <v>113.95</v>
      </c>
      <c r="G36" s="39"/>
      <c r="H36" s="176"/>
      <c r="I36" s="170"/>
      <c r="J36" s="10"/>
      <c r="K36" s="39">
        <v>924.08</v>
      </c>
    </row>
    <row r="37" spans="1:22" x14ac:dyDescent="0.25">
      <c r="A37" s="4"/>
      <c r="B37" s="161"/>
      <c r="C37" s="10"/>
      <c r="D37" s="39"/>
      <c r="E37" s="39"/>
      <c r="F37" s="39"/>
      <c r="G37" s="39"/>
      <c r="H37" s="176"/>
      <c r="I37" s="271"/>
      <c r="J37" s="10"/>
      <c r="K37" s="39"/>
    </row>
    <row r="38" spans="1:22" x14ac:dyDescent="0.25">
      <c r="A38" s="8"/>
      <c r="B38" s="161"/>
      <c r="C38" s="10"/>
      <c r="D38" s="39"/>
      <c r="E38" s="39"/>
      <c r="F38" s="39"/>
      <c r="G38" s="39"/>
      <c r="H38" s="176"/>
      <c r="I38" s="39"/>
      <c r="J38" s="10"/>
      <c r="K38" s="39"/>
      <c r="L38" s="8"/>
      <c r="M38" s="8"/>
    </row>
    <row r="39" spans="1:22" x14ac:dyDescent="0.25">
      <c r="A39" s="8"/>
      <c r="B39" s="161"/>
      <c r="C39" s="10"/>
      <c r="D39" s="39"/>
      <c r="E39" s="39"/>
      <c r="F39" s="39"/>
      <c r="G39" s="39"/>
      <c r="H39" s="176"/>
      <c r="I39" s="170"/>
      <c r="J39" s="10"/>
      <c r="K39" s="39"/>
      <c r="L39" s="8"/>
      <c r="M39" s="8"/>
    </row>
    <row r="40" spans="1:22" x14ac:dyDescent="0.25">
      <c r="A40" s="8"/>
      <c r="B40" s="161"/>
      <c r="C40" s="10"/>
      <c r="D40" s="39"/>
      <c r="E40" s="39"/>
      <c r="F40" s="39"/>
      <c r="G40" s="39"/>
      <c r="H40" s="176"/>
      <c r="I40" s="271"/>
      <c r="J40" s="10"/>
      <c r="K40" s="39"/>
    </row>
    <row r="41" spans="1:22" x14ac:dyDescent="0.25">
      <c r="A41" s="8"/>
      <c r="B41" s="161"/>
      <c r="C41" s="10"/>
      <c r="D41" s="39"/>
      <c r="E41" s="39"/>
      <c r="F41" s="39"/>
      <c r="G41" s="39"/>
      <c r="H41" s="176"/>
      <c r="I41" s="271"/>
      <c r="J41" s="10"/>
      <c r="K41" s="39"/>
    </row>
    <row r="42" spans="1:22" ht="20.25" thickBot="1" x14ac:dyDescent="0.35">
      <c r="A42" s="8"/>
      <c r="B42" s="161"/>
      <c r="C42" s="10"/>
      <c r="D42" s="39"/>
      <c r="E42" s="39"/>
      <c r="F42" s="39"/>
      <c r="G42" s="39"/>
      <c r="H42" s="176"/>
      <c r="I42" s="170"/>
      <c r="J42" s="10"/>
      <c r="K42" s="39"/>
      <c r="O42" s="886" t="s">
        <v>78</v>
      </c>
      <c r="P42" s="886"/>
      <c r="T42" s="86" t="s">
        <v>112</v>
      </c>
    </row>
    <row r="43" spans="1:22" ht="15.75" thickTop="1" x14ac:dyDescent="0.25">
      <c r="A43" s="8"/>
      <c r="B43" s="161"/>
      <c r="C43" s="10"/>
      <c r="D43" s="39"/>
      <c r="E43" s="39"/>
      <c r="F43" s="39"/>
      <c r="G43" s="39"/>
      <c r="H43" s="175"/>
      <c r="I43" s="170"/>
      <c r="J43" s="10"/>
      <c r="K43" s="39"/>
      <c r="O43" s="78">
        <v>1.1000000000000001</v>
      </c>
      <c r="P43" s="78">
        <f>O43*$Q$4</f>
        <v>72.303000000000011</v>
      </c>
      <c r="Q43" s="2"/>
      <c r="T43" s="122" t="s">
        <v>97</v>
      </c>
      <c r="U43" s="93">
        <v>66.98</v>
      </c>
      <c r="V43" s="654"/>
    </row>
    <row r="44" spans="1:22" x14ac:dyDescent="0.25">
      <c r="A44" s="8"/>
      <c r="B44" s="161"/>
      <c r="C44" s="10"/>
      <c r="D44" s="39"/>
      <c r="E44" s="39"/>
      <c r="F44" s="39"/>
      <c r="G44" s="39"/>
      <c r="H44" s="176"/>
      <c r="I44" s="170"/>
      <c r="J44" s="10"/>
      <c r="K44" s="39"/>
      <c r="O44" s="78">
        <v>1.0900000000000001</v>
      </c>
      <c r="P44" s="78">
        <f t="shared" ref="P44:P63" si="9">O44*$Q$4</f>
        <v>71.645700000000005</v>
      </c>
      <c r="Q44" s="2"/>
      <c r="T44" s="88" t="s">
        <v>98</v>
      </c>
      <c r="U44" s="83">
        <v>67.05</v>
      </c>
      <c r="V44" s="83"/>
    </row>
    <row r="45" spans="1:22" x14ac:dyDescent="0.25">
      <c r="A45" s="8"/>
      <c r="B45" s="161"/>
      <c r="C45" s="10"/>
      <c r="D45" s="39"/>
      <c r="E45" s="39"/>
      <c r="F45" s="39"/>
      <c r="G45" s="39"/>
      <c r="H45" s="176"/>
      <c r="I45" s="271"/>
      <c r="J45" s="10"/>
      <c r="K45" s="39"/>
      <c r="O45" s="78">
        <v>1.08</v>
      </c>
      <c r="P45" s="78">
        <f t="shared" si="9"/>
        <v>70.988400000000013</v>
      </c>
      <c r="Q45" s="2"/>
      <c r="T45" s="88" t="s">
        <v>99</v>
      </c>
      <c r="U45" s="83" t="s">
        <v>581</v>
      </c>
      <c r="V45" s="83"/>
    </row>
    <row r="46" spans="1:22" x14ac:dyDescent="0.25">
      <c r="A46" s="8"/>
      <c r="B46" s="161"/>
      <c r="C46" s="10"/>
      <c r="D46" s="39"/>
      <c r="E46" s="39"/>
      <c r="F46" s="39"/>
      <c r="G46" s="39"/>
      <c r="H46" s="176"/>
      <c r="I46" s="170"/>
      <c r="J46" s="170"/>
      <c r="K46" s="39"/>
      <c r="O46" s="78">
        <v>1.07</v>
      </c>
      <c r="P46" s="78">
        <f t="shared" si="9"/>
        <v>70.331100000000006</v>
      </c>
      <c r="Q46" s="2"/>
      <c r="T46" s="88" t="s">
        <v>100</v>
      </c>
      <c r="U46" s="83" t="s">
        <v>582</v>
      </c>
      <c r="V46" s="83"/>
    </row>
    <row r="47" spans="1:22" x14ac:dyDescent="0.25">
      <c r="A47" s="8"/>
      <c r="B47" s="161"/>
      <c r="C47" s="10"/>
      <c r="D47" s="39"/>
      <c r="E47" s="39"/>
      <c r="F47" s="39"/>
      <c r="G47" s="39"/>
      <c r="H47" s="176"/>
      <c r="I47" s="170"/>
      <c r="J47" s="170"/>
      <c r="K47" s="39"/>
      <c r="O47" s="78">
        <v>1.06</v>
      </c>
      <c r="P47" s="78">
        <f t="shared" si="9"/>
        <v>69.673800000000014</v>
      </c>
      <c r="Q47" s="2"/>
      <c r="T47" s="88" t="s">
        <v>101</v>
      </c>
      <c r="U47" s="83">
        <v>79.099999999999994</v>
      </c>
      <c r="V47" s="83"/>
    </row>
    <row r="48" spans="1:22" x14ac:dyDescent="0.25">
      <c r="A48" s="8"/>
      <c r="B48" s="161"/>
      <c r="C48" s="10"/>
      <c r="D48" s="39"/>
      <c r="E48" s="39"/>
      <c r="F48" s="39"/>
      <c r="G48" s="39"/>
      <c r="H48" s="176"/>
      <c r="I48" s="271"/>
      <c r="J48" s="10"/>
      <c r="K48" s="39"/>
      <c r="O48" s="78">
        <v>1.05</v>
      </c>
      <c r="P48" s="78">
        <f t="shared" si="9"/>
        <v>69.016500000000008</v>
      </c>
      <c r="Q48" s="2"/>
      <c r="T48" s="88" t="s">
        <v>102</v>
      </c>
      <c r="U48" s="83">
        <v>0.98934999999999995</v>
      </c>
      <c r="V48" s="83"/>
    </row>
    <row r="49" spans="1:22" x14ac:dyDescent="0.25">
      <c r="A49" s="4"/>
      <c r="B49" s="161"/>
      <c r="C49" s="10"/>
      <c r="D49" s="39"/>
      <c r="E49" s="39"/>
      <c r="F49" s="39"/>
      <c r="G49" s="39"/>
      <c r="H49" s="176"/>
      <c r="I49" s="271"/>
      <c r="J49" s="10"/>
      <c r="K49" s="39"/>
      <c r="O49" s="78">
        <v>1.04</v>
      </c>
      <c r="P49" s="78">
        <f t="shared" si="9"/>
        <v>68.359200000000001</v>
      </c>
      <c r="Q49" s="2"/>
      <c r="T49" s="88" t="s">
        <v>103</v>
      </c>
      <c r="U49" s="83" t="s">
        <v>500</v>
      </c>
      <c r="V49" s="83"/>
    </row>
    <row r="50" spans="1:22" x14ac:dyDescent="0.25">
      <c r="B50" s="10"/>
      <c r="C50" s="10"/>
      <c r="D50" s="39"/>
      <c r="E50" s="39"/>
      <c r="F50" s="39"/>
      <c r="G50" s="39"/>
      <c r="H50" s="176"/>
      <c r="I50" s="271"/>
      <c r="J50" s="10"/>
      <c r="K50" s="10"/>
      <c r="O50" s="78">
        <v>1.03</v>
      </c>
      <c r="P50" s="78">
        <f t="shared" si="9"/>
        <v>67.701900000000009</v>
      </c>
      <c r="Q50" s="2"/>
      <c r="T50" s="88"/>
      <c r="U50" s="83"/>
      <c r="V50" s="83"/>
    </row>
    <row r="51" spans="1:22" x14ac:dyDescent="0.25">
      <c r="B51" s="10"/>
      <c r="C51" s="10"/>
      <c r="D51" s="39"/>
      <c r="E51" s="39"/>
      <c r="F51" s="39"/>
      <c r="G51" s="39"/>
      <c r="H51" s="176"/>
      <c r="I51" s="271"/>
      <c r="J51" s="10"/>
      <c r="K51" s="10"/>
      <c r="O51" s="78">
        <v>1.02</v>
      </c>
      <c r="P51" s="78">
        <f t="shared" si="9"/>
        <v>67.044600000000003</v>
      </c>
      <c r="Q51" s="2"/>
      <c r="T51" s="88" t="s">
        <v>104</v>
      </c>
      <c r="U51" s="83" t="s">
        <v>583</v>
      </c>
      <c r="V51" s="83"/>
    </row>
    <row r="52" spans="1:22" x14ac:dyDescent="0.25">
      <c r="B52" s="10"/>
      <c r="C52" s="10"/>
      <c r="D52" s="39"/>
      <c r="E52" s="39"/>
      <c r="F52" s="39"/>
      <c r="G52" s="39"/>
      <c r="H52" s="176"/>
      <c r="I52" s="271"/>
      <c r="J52" s="10"/>
      <c r="K52" s="10"/>
      <c r="O52" s="78">
        <v>1.01</v>
      </c>
      <c r="P52" s="78">
        <f t="shared" si="9"/>
        <v>66.38730000000001</v>
      </c>
      <c r="Q52" s="2"/>
      <c r="T52" s="88" t="s">
        <v>105</v>
      </c>
      <c r="U52" s="83" t="s">
        <v>379</v>
      </c>
      <c r="V52" s="83"/>
    </row>
    <row r="53" spans="1:22" x14ac:dyDescent="0.25">
      <c r="O53" s="78">
        <v>1</v>
      </c>
      <c r="P53" s="78">
        <f t="shared" si="9"/>
        <v>65.73</v>
      </c>
      <c r="Q53" s="2"/>
      <c r="T53" s="88" t="s">
        <v>106</v>
      </c>
      <c r="U53" s="85">
        <v>7113649</v>
      </c>
      <c r="V53" s="85"/>
    </row>
    <row r="54" spans="1:22" x14ac:dyDescent="0.25">
      <c r="L54" t="s">
        <v>65</v>
      </c>
      <c r="M54" s="39">
        <f>M95+K95-F95</f>
        <v>810.1299999999901</v>
      </c>
      <c r="O54" s="78">
        <v>0.99</v>
      </c>
      <c r="P54" s="78">
        <f t="shared" si="9"/>
        <v>65.072699999999998</v>
      </c>
      <c r="Q54" s="2"/>
      <c r="T54" s="88" t="s">
        <v>109</v>
      </c>
      <c r="U54" s="85">
        <v>10291100</v>
      </c>
      <c r="V54" s="85"/>
    </row>
    <row r="55" spans="1:22" x14ac:dyDescent="0.25">
      <c r="A55" s="297" t="s">
        <v>1</v>
      </c>
      <c r="B55" s="297" t="s">
        <v>2</v>
      </c>
      <c r="C55" s="297" t="s">
        <v>4</v>
      </c>
      <c r="D55" s="299" t="s">
        <v>5</v>
      </c>
      <c r="E55" s="299" t="s">
        <v>94</v>
      </c>
      <c r="F55" s="299" t="s">
        <v>60</v>
      </c>
      <c r="G55" s="297" t="s">
        <v>3</v>
      </c>
      <c r="H55" s="297" t="s">
        <v>6</v>
      </c>
      <c r="I55" s="297" t="s">
        <v>7</v>
      </c>
      <c r="J55" s="297" t="s">
        <v>95</v>
      </c>
      <c r="K55" s="297" t="s">
        <v>61</v>
      </c>
      <c r="L55" s="297" t="s">
        <v>37</v>
      </c>
      <c r="M55" s="297" t="s">
        <v>38</v>
      </c>
      <c r="O55" s="78">
        <v>0.98</v>
      </c>
      <c r="P55" s="78">
        <f t="shared" si="9"/>
        <v>64.415400000000005</v>
      </c>
      <c r="Q55" s="2"/>
      <c r="T55" s="88" t="s">
        <v>107</v>
      </c>
      <c r="U55" s="83" t="s">
        <v>584</v>
      </c>
      <c r="V55" s="83"/>
    </row>
    <row r="56" spans="1:22" x14ac:dyDescent="0.25">
      <c r="A56" s="300" t="s">
        <v>55</v>
      </c>
      <c r="B56" s="290">
        <v>42214</v>
      </c>
      <c r="C56" s="291">
        <v>10</v>
      </c>
      <c r="D56" s="292">
        <v>113.01</v>
      </c>
      <c r="E56" s="292">
        <v>0</v>
      </c>
      <c r="F56" s="292">
        <f t="shared" ref="F56:F81" si="10">C56*D56 + E56</f>
        <v>1130.1000000000001</v>
      </c>
      <c r="G56" s="290">
        <v>42263</v>
      </c>
      <c r="H56" s="295">
        <v>10</v>
      </c>
      <c r="I56" s="292">
        <v>109.35</v>
      </c>
      <c r="J56" s="292">
        <v>0.02</v>
      </c>
      <c r="K56" s="292">
        <f>I56*H56-J56</f>
        <v>1093.48</v>
      </c>
      <c r="L56" s="290">
        <v>42276</v>
      </c>
      <c r="M56" s="292">
        <v>6.45</v>
      </c>
      <c r="O56" s="78">
        <v>0.97</v>
      </c>
      <c r="P56" s="78">
        <f t="shared" si="9"/>
        <v>63.758099999999999</v>
      </c>
      <c r="T56" s="88" t="s">
        <v>110</v>
      </c>
      <c r="U56" s="83">
        <v>6.69</v>
      </c>
      <c r="V56" s="83"/>
    </row>
    <row r="57" spans="1:22" x14ac:dyDescent="0.25">
      <c r="A57" s="301" t="s">
        <v>71</v>
      </c>
      <c r="B57" s="290">
        <v>42247</v>
      </c>
      <c r="C57" s="291">
        <v>15</v>
      </c>
      <c r="D57" s="292">
        <v>105.85</v>
      </c>
      <c r="E57" s="292">
        <v>0</v>
      </c>
      <c r="F57" s="292">
        <f t="shared" si="10"/>
        <v>1587.75</v>
      </c>
      <c r="G57" s="290">
        <v>42284</v>
      </c>
      <c r="H57" s="295">
        <v>10</v>
      </c>
      <c r="I57" s="292">
        <v>97.5</v>
      </c>
      <c r="J57" s="292">
        <v>0.02</v>
      </c>
      <c r="K57" s="292">
        <f>I57*H57-J57</f>
        <v>974.98</v>
      </c>
      <c r="L57" s="290">
        <v>42369</v>
      </c>
      <c r="M57" s="292">
        <v>10.75</v>
      </c>
      <c r="O57" s="78">
        <v>0.96</v>
      </c>
      <c r="P57" s="78">
        <f t="shared" si="9"/>
        <v>63.1008</v>
      </c>
      <c r="T57" s="88" t="s">
        <v>111</v>
      </c>
      <c r="U57" s="83">
        <v>9.94</v>
      </c>
      <c r="V57" s="83"/>
    </row>
    <row r="58" spans="1:22" x14ac:dyDescent="0.25">
      <c r="A58" s="291"/>
      <c r="B58" s="290">
        <v>42278</v>
      </c>
      <c r="C58" s="291">
        <v>10</v>
      </c>
      <c r="D58" s="292">
        <v>96.7</v>
      </c>
      <c r="E58" s="292">
        <v>0</v>
      </c>
      <c r="F58" s="292">
        <f t="shared" si="10"/>
        <v>967</v>
      </c>
      <c r="G58" s="290">
        <v>42409</v>
      </c>
      <c r="H58" s="295">
        <v>10</v>
      </c>
      <c r="I58" s="292">
        <v>88.05</v>
      </c>
      <c r="J58" s="292">
        <v>0.02</v>
      </c>
      <c r="K58" s="292">
        <f>I58*H58-J58</f>
        <v>880.48</v>
      </c>
      <c r="L58" s="290">
        <v>42460</v>
      </c>
      <c r="M58" s="292">
        <v>30.1</v>
      </c>
      <c r="O58" s="78">
        <v>0.95</v>
      </c>
      <c r="P58" s="78">
        <f t="shared" si="9"/>
        <v>62.4435</v>
      </c>
      <c r="T58" s="88" t="s">
        <v>108</v>
      </c>
      <c r="U58" s="83" t="s">
        <v>501</v>
      </c>
      <c r="V58" s="83"/>
    </row>
    <row r="59" spans="1:22" x14ac:dyDescent="0.25">
      <c r="A59" s="291"/>
      <c r="B59" s="290">
        <v>42284</v>
      </c>
      <c r="C59" s="291">
        <v>10</v>
      </c>
      <c r="D59" s="292">
        <v>94.5</v>
      </c>
      <c r="E59" s="292">
        <v>0</v>
      </c>
      <c r="F59" s="292">
        <f t="shared" si="10"/>
        <v>945</v>
      </c>
      <c r="G59" s="290">
        <v>42447</v>
      </c>
      <c r="H59" s="295">
        <v>20</v>
      </c>
      <c r="I59" s="292">
        <v>90.59</v>
      </c>
      <c r="J59" s="292">
        <v>0.04</v>
      </c>
      <c r="K59" s="292">
        <f>I59*H59-J59</f>
        <v>1811.7600000000002</v>
      </c>
      <c r="L59" s="290">
        <v>42550</v>
      </c>
      <c r="M59" s="292">
        <v>47</v>
      </c>
      <c r="O59" s="78">
        <v>0.94</v>
      </c>
      <c r="P59" s="78">
        <f t="shared" si="9"/>
        <v>61.786200000000001</v>
      </c>
    </row>
    <row r="60" spans="1:22" x14ac:dyDescent="0.25">
      <c r="A60" s="291"/>
      <c r="B60" s="608">
        <v>42376</v>
      </c>
      <c r="C60" s="291">
        <v>25</v>
      </c>
      <c r="D60" s="292">
        <v>96.5</v>
      </c>
      <c r="E60" s="292">
        <v>0</v>
      </c>
      <c r="F60" s="292">
        <f t="shared" si="10"/>
        <v>2412.5</v>
      </c>
      <c r="G60" s="290">
        <v>42478</v>
      </c>
      <c r="H60" s="295">
        <v>25</v>
      </c>
      <c r="I60" s="292">
        <v>99.45</v>
      </c>
      <c r="J60" s="292">
        <v>0.05</v>
      </c>
      <c r="K60" s="292">
        <f>I60*H60-J60</f>
        <v>2486.1999999999998</v>
      </c>
      <c r="L60" s="290">
        <v>42642</v>
      </c>
      <c r="M60" s="292">
        <v>94</v>
      </c>
      <c r="O60" s="78">
        <v>0.93</v>
      </c>
      <c r="P60" s="78">
        <f t="shared" si="9"/>
        <v>61.128900000000009</v>
      </c>
    </row>
    <row r="61" spans="1:22" x14ac:dyDescent="0.25">
      <c r="A61" s="291"/>
      <c r="B61" s="290">
        <v>42402</v>
      </c>
      <c r="C61" s="291">
        <v>10</v>
      </c>
      <c r="D61" s="292">
        <v>82.55</v>
      </c>
      <c r="E61" s="292">
        <v>0</v>
      </c>
      <c r="F61" s="292">
        <f t="shared" si="10"/>
        <v>825.5</v>
      </c>
      <c r="G61" s="291"/>
      <c r="H61" s="291"/>
      <c r="I61" s="291"/>
      <c r="J61" s="291"/>
      <c r="K61" s="291"/>
      <c r="L61" s="290">
        <v>42734</v>
      </c>
      <c r="M61" s="292">
        <v>117.5</v>
      </c>
      <c r="O61" s="78">
        <v>0.92</v>
      </c>
      <c r="P61" s="78">
        <f t="shared" si="9"/>
        <v>60.471600000000009</v>
      </c>
    </row>
    <row r="62" spans="1:22" x14ac:dyDescent="0.25">
      <c r="A62" s="291"/>
      <c r="B62" s="290">
        <v>42426</v>
      </c>
      <c r="C62" s="291">
        <v>20</v>
      </c>
      <c r="D62" s="292">
        <v>88.03</v>
      </c>
      <c r="E62" s="292">
        <v>0</v>
      </c>
      <c r="F62" s="292">
        <f t="shared" si="10"/>
        <v>1760.6</v>
      </c>
      <c r="G62" s="291"/>
      <c r="H62" s="295"/>
      <c r="I62" s="291"/>
      <c r="J62" s="291"/>
      <c r="K62" s="291"/>
      <c r="L62" s="290">
        <v>42824</v>
      </c>
      <c r="M62" s="292">
        <v>130</v>
      </c>
      <c r="O62" s="78">
        <v>0.91</v>
      </c>
      <c r="P62" s="78">
        <f t="shared" si="9"/>
        <v>59.814300000000003</v>
      </c>
    </row>
    <row r="63" spans="1:22" x14ac:dyDescent="0.25">
      <c r="A63" s="313"/>
      <c r="B63" s="290">
        <v>42488</v>
      </c>
      <c r="C63" s="291">
        <v>25</v>
      </c>
      <c r="D63" s="292">
        <v>98.25</v>
      </c>
      <c r="E63" s="292">
        <v>0</v>
      </c>
      <c r="F63" s="292">
        <f t="shared" si="10"/>
        <v>2456.25</v>
      </c>
      <c r="G63" s="291"/>
      <c r="H63" s="291"/>
      <c r="I63" s="291"/>
      <c r="J63" s="291"/>
      <c r="K63" s="291"/>
      <c r="L63" s="290">
        <v>42916</v>
      </c>
      <c r="M63" s="292">
        <v>130</v>
      </c>
      <c r="O63" s="78">
        <v>0.9</v>
      </c>
      <c r="P63" s="78">
        <f t="shared" si="9"/>
        <v>59.157000000000004</v>
      </c>
    </row>
    <row r="64" spans="1:22" x14ac:dyDescent="0.25">
      <c r="A64" s="313" t="s">
        <v>204</v>
      </c>
      <c r="B64" s="290">
        <v>42489</v>
      </c>
      <c r="C64" s="291">
        <v>20</v>
      </c>
      <c r="D64" s="292">
        <v>90.34</v>
      </c>
      <c r="E64" s="292">
        <v>0</v>
      </c>
      <c r="F64" s="292">
        <f t="shared" si="10"/>
        <v>1806.8000000000002</v>
      </c>
      <c r="G64" s="291"/>
      <c r="H64" s="291"/>
      <c r="I64" s="291"/>
      <c r="J64" s="291"/>
      <c r="K64" s="291"/>
      <c r="L64" s="291"/>
      <c r="M64" s="291"/>
    </row>
    <row r="65" spans="1:13" x14ac:dyDescent="0.25">
      <c r="A65" s="313">
        <v>92.64</v>
      </c>
      <c r="B65" s="290">
        <v>42489</v>
      </c>
      <c r="C65" s="291">
        <v>30</v>
      </c>
      <c r="D65" s="292">
        <v>89.5</v>
      </c>
      <c r="E65" s="292">
        <v>0</v>
      </c>
      <c r="F65" s="292">
        <f t="shared" si="10"/>
        <v>2685</v>
      </c>
      <c r="G65" s="290">
        <v>42552</v>
      </c>
      <c r="H65" s="295">
        <v>100</v>
      </c>
      <c r="I65" s="292">
        <v>83.74</v>
      </c>
      <c r="J65" s="292">
        <v>0.18</v>
      </c>
      <c r="K65" s="292">
        <f t="shared" ref="K65:K80" si="11">I65*H65-J65</f>
        <v>8373.82</v>
      </c>
      <c r="L65" s="291"/>
      <c r="M65" s="291"/>
    </row>
    <row r="66" spans="1:13" x14ac:dyDescent="0.25">
      <c r="A66" s="291"/>
      <c r="B66" s="290">
        <v>42545</v>
      </c>
      <c r="C66" s="291">
        <v>100</v>
      </c>
      <c r="D66" s="292">
        <v>80.47</v>
      </c>
      <c r="E66" s="292">
        <v>0</v>
      </c>
      <c r="F66" s="292">
        <f t="shared" si="10"/>
        <v>8047</v>
      </c>
      <c r="G66" s="290">
        <v>42646</v>
      </c>
      <c r="H66" s="295">
        <v>50</v>
      </c>
      <c r="I66" s="292">
        <v>77.7</v>
      </c>
      <c r="J66" s="292">
        <v>0.08</v>
      </c>
      <c r="K66" s="292">
        <f t="shared" si="11"/>
        <v>3884.92</v>
      </c>
      <c r="L66" s="291"/>
      <c r="M66" s="291"/>
    </row>
    <row r="67" spans="1:13" x14ac:dyDescent="0.25">
      <c r="A67" s="291"/>
      <c r="B67" s="290">
        <v>42577</v>
      </c>
      <c r="C67" s="291">
        <v>20</v>
      </c>
      <c r="D67" s="292">
        <v>80.64</v>
      </c>
      <c r="E67" s="292">
        <v>0</v>
      </c>
      <c r="F67" s="292">
        <f t="shared" si="10"/>
        <v>1612.8</v>
      </c>
      <c r="G67" s="290">
        <v>42683</v>
      </c>
      <c r="H67" s="295">
        <v>50</v>
      </c>
      <c r="I67" s="292">
        <v>78.98</v>
      </c>
      <c r="J67" s="292">
        <v>0.09</v>
      </c>
      <c r="K67" s="292">
        <f t="shared" si="11"/>
        <v>3948.91</v>
      </c>
      <c r="L67" s="291"/>
      <c r="M67" s="291"/>
    </row>
    <row r="68" spans="1:13" x14ac:dyDescent="0.25">
      <c r="A68" s="291"/>
      <c r="B68" s="290">
        <v>42580</v>
      </c>
      <c r="C68" s="291">
        <v>30</v>
      </c>
      <c r="D68" s="292">
        <v>79.38</v>
      </c>
      <c r="E68" s="292">
        <v>0</v>
      </c>
      <c r="F68" s="292">
        <f t="shared" si="10"/>
        <v>2381.3999999999996</v>
      </c>
      <c r="G68" s="290">
        <v>42685</v>
      </c>
      <c r="H68" s="295">
        <v>50</v>
      </c>
      <c r="I68" s="291">
        <v>76.45</v>
      </c>
      <c r="J68" s="291">
        <v>0.08</v>
      </c>
      <c r="K68" s="292">
        <f t="shared" si="11"/>
        <v>3822.42</v>
      </c>
      <c r="L68" s="291"/>
      <c r="M68" s="291"/>
    </row>
    <row r="69" spans="1:13" x14ac:dyDescent="0.25">
      <c r="A69" s="291"/>
      <c r="B69" s="290">
        <v>42608</v>
      </c>
      <c r="C69" s="291">
        <v>20</v>
      </c>
      <c r="D69" s="292">
        <v>79.28</v>
      </c>
      <c r="E69" s="292">
        <v>0</v>
      </c>
      <c r="F69" s="292">
        <f t="shared" si="10"/>
        <v>1585.6</v>
      </c>
      <c r="G69" s="290">
        <v>42697</v>
      </c>
      <c r="H69" s="295">
        <v>50</v>
      </c>
      <c r="I69" s="292">
        <v>75.3</v>
      </c>
      <c r="J69" s="292">
        <v>0.08</v>
      </c>
      <c r="K69" s="292">
        <f t="shared" si="11"/>
        <v>3764.92</v>
      </c>
      <c r="L69" s="291"/>
      <c r="M69" s="291"/>
    </row>
    <row r="70" spans="1:13" x14ac:dyDescent="0.25">
      <c r="A70" s="291"/>
      <c r="B70" s="290">
        <v>42611</v>
      </c>
      <c r="C70" s="291">
        <v>30</v>
      </c>
      <c r="D70" s="292">
        <v>77.680000000000007</v>
      </c>
      <c r="E70" s="292">
        <v>0</v>
      </c>
      <c r="F70" s="292">
        <f t="shared" si="10"/>
        <v>2330.4</v>
      </c>
      <c r="G70" s="290">
        <v>42717</v>
      </c>
      <c r="H70" s="295">
        <v>50</v>
      </c>
      <c r="I70" s="292">
        <v>74.78</v>
      </c>
      <c r="J70" s="292">
        <v>0.08</v>
      </c>
      <c r="K70" s="292">
        <f t="shared" si="11"/>
        <v>3738.92</v>
      </c>
      <c r="L70" s="291"/>
      <c r="M70" s="291"/>
    </row>
    <row r="71" spans="1:13" x14ac:dyDescent="0.25">
      <c r="A71" s="291"/>
      <c r="B71" s="290">
        <v>42646</v>
      </c>
      <c r="C71" s="291">
        <v>50</v>
      </c>
      <c r="D71" s="292">
        <v>77.28</v>
      </c>
      <c r="E71" s="292">
        <v>0</v>
      </c>
      <c r="F71" s="292">
        <f t="shared" si="10"/>
        <v>3864</v>
      </c>
      <c r="G71" s="290">
        <v>42717</v>
      </c>
      <c r="H71" s="295">
        <v>50</v>
      </c>
      <c r="I71" s="292">
        <v>75.73</v>
      </c>
      <c r="J71" s="292">
        <v>0.08</v>
      </c>
      <c r="K71" s="292">
        <f t="shared" si="11"/>
        <v>3786.42</v>
      </c>
      <c r="L71" s="291"/>
      <c r="M71" s="291"/>
    </row>
    <row r="72" spans="1:13" x14ac:dyDescent="0.25">
      <c r="A72" s="291"/>
      <c r="B72" s="290">
        <v>42649</v>
      </c>
      <c r="C72" s="291">
        <v>50</v>
      </c>
      <c r="D72" s="292">
        <v>76.38</v>
      </c>
      <c r="E72" s="292">
        <v>0</v>
      </c>
      <c r="F72" s="292">
        <f t="shared" si="10"/>
        <v>3819</v>
      </c>
      <c r="G72" s="290">
        <v>42738</v>
      </c>
      <c r="H72" s="295">
        <v>50</v>
      </c>
      <c r="I72" s="292">
        <v>73.58</v>
      </c>
      <c r="J72" s="292">
        <v>0.08</v>
      </c>
      <c r="K72" s="292">
        <f t="shared" si="11"/>
        <v>3678.92</v>
      </c>
      <c r="L72" s="291"/>
      <c r="M72" s="291"/>
    </row>
    <row r="73" spans="1:13" x14ac:dyDescent="0.25">
      <c r="A73" s="291"/>
      <c r="B73" s="290">
        <v>42685</v>
      </c>
      <c r="C73" s="291">
        <v>50</v>
      </c>
      <c r="D73" s="292">
        <v>75.78</v>
      </c>
      <c r="E73" s="292">
        <v>0</v>
      </c>
      <c r="F73" s="292">
        <f t="shared" si="10"/>
        <v>3789</v>
      </c>
      <c r="G73" s="290">
        <v>42760</v>
      </c>
      <c r="H73" s="295">
        <v>50</v>
      </c>
      <c r="I73" s="292">
        <v>71.78</v>
      </c>
      <c r="J73" s="292">
        <v>0.08</v>
      </c>
      <c r="K73" s="292">
        <f t="shared" si="11"/>
        <v>3588.92</v>
      </c>
      <c r="L73" s="291"/>
      <c r="M73" s="291"/>
    </row>
    <row r="74" spans="1:13" x14ac:dyDescent="0.25">
      <c r="A74" s="291"/>
      <c r="B74" s="290">
        <v>42692</v>
      </c>
      <c r="C74" s="291">
        <v>50</v>
      </c>
      <c r="D74" s="292">
        <v>74.45</v>
      </c>
      <c r="E74" s="292">
        <v>0</v>
      </c>
      <c r="F74" s="292">
        <f t="shared" si="10"/>
        <v>3722.5</v>
      </c>
      <c r="G74" s="290">
        <v>42781</v>
      </c>
      <c r="H74" s="295">
        <v>50</v>
      </c>
      <c r="I74" s="292">
        <v>68.98</v>
      </c>
      <c r="J74" s="292">
        <v>0.08</v>
      </c>
      <c r="K74" s="292">
        <f t="shared" si="11"/>
        <v>3448.92</v>
      </c>
      <c r="L74" s="291"/>
      <c r="M74" s="291"/>
    </row>
    <row r="75" spans="1:13" x14ac:dyDescent="0.25">
      <c r="A75" s="291"/>
      <c r="B75" s="290">
        <v>42705</v>
      </c>
      <c r="C75" s="291">
        <v>50</v>
      </c>
      <c r="D75" s="292">
        <v>73.319999999999993</v>
      </c>
      <c r="E75" s="292">
        <v>0</v>
      </c>
      <c r="F75" s="292">
        <f t="shared" si="10"/>
        <v>3665.9999999999995</v>
      </c>
      <c r="G75" s="290">
        <v>42781</v>
      </c>
      <c r="H75" s="295">
        <v>50</v>
      </c>
      <c r="I75" s="292">
        <v>69.75</v>
      </c>
      <c r="J75" s="292">
        <v>0.08</v>
      </c>
      <c r="K75" s="292">
        <f t="shared" si="11"/>
        <v>3487.42</v>
      </c>
      <c r="L75" s="291"/>
      <c r="M75" s="291"/>
    </row>
    <row r="76" spans="1:13" x14ac:dyDescent="0.25">
      <c r="A76" s="291"/>
      <c r="B76" s="290">
        <v>42717</v>
      </c>
      <c r="C76" s="291">
        <v>50</v>
      </c>
      <c r="D76" s="292">
        <v>75.180000000000007</v>
      </c>
      <c r="E76" s="292">
        <v>0</v>
      </c>
      <c r="F76" s="292">
        <f t="shared" si="10"/>
        <v>3759.0000000000005</v>
      </c>
      <c r="G76" s="290">
        <v>42940</v>
      </c>
      <c r="H76" s="295">
        <v>50</v>
      </c>
      <c r="I76" s="292">
        <v>74.08</v>
      </c>
      <c r="J76" s="292">
        <v>0.09</v>
      </c>
      <c r="K76" s="292">
        <f t="shared" si="11"/>
        <v>3703.91</v>
      </c>
      <c r="L76" s="291"/>
      <c r="M76" s="291"/>
    </row>
    <row r="77" spans="1:13" x14ac:dyDescent="0.25">
      <c r="A77" s="291"/>
      <c r="B77" s="290">
        <v>42733</v>
      </c>
      <c r="C77" s="291">
        <v>50</v>
      </c>
      <c r="D77" s="292">
        <v>72.08</v>
      </c>
      <c r="E77" s="292">
        <v>0</v>
      </c>
      <c r="F77" s="292">
        <f t="shared" si="10"/>
        <v>3604</v>
      </c>
      <c r="G77" s="290">
        <v>42977</v>
      </c>
      <c r="H77" s="295">
        <v>50</v>
      </c>
      <c r="I77" s="292">
        <v>80.08</v>
      </c>
      <c r="J77" s="292">
        <v>0.09</v>
      </c>
      <c r="K77" s="292">
        <f t="shared" si="11"/>
        <v>4003.91</v>
      </c>
      <c r="L77" s="291"/>
      <c r="M77" s="291"/>
    </row>
    <row r="78" spans="1:13" x14ac:dyDescent="0.25">
      <c r="A78" s="291"/>
      <c r="B78" s="290">
        <v>42752</v>
      </c>
      <c r="C78" s="291">
        <v>50</v>
      </c>
      <c r="D78" s="292">
        <v>71.88</v>
      </c>
      <c r="E78" s="292">
        <v>0</v>
      </c>
      <c r="F78" s="292">
        <f t="shared" si="10"/>
        <v>3594</v>
      </c>
      <c r="G78" s="290">
        <v>42977</v>
      </c>
      <c r="H78" s="295">
        <v>50</v>
      </c>
      <c r="I78" s="292">
        <v>81.08</v>
      </c>
      <c r="J78" s="292">
        <v>0.09</v>
      </c>
      <c r="K78" s="292">
        <f t="shared" si="11"/>
        <v>4053.91</v>
      </c>
      <c r="L78" s="291"/>
      <c r="M78" s="291"/>
    </row>
    <row r="79" spans="1:13" x14ac:dyDescent="0.25">
      <c r="A79" s="291"/>
      <c r="B79" s="290">
        <v>42755</v>
      </c>
      <c r="C79" s="291">
        <v>50</v>
      </c>
      <c r="D79" s="292">
        <v>70.78</v>
      </c>
      <c r="E79" s="292">
        <v>0</v>
      </c>
      <c r="F79" s="292">
        <f t="shared" si="10"/>
        <v>3539</v>
      </c>
      <c r="G79" s="290">
        <v>42978</v>
      </c>
      <c r="H79" s="295">
        <v>50</v>
      </c>
      <c r="I79" s="292">
        <v>83.18</v>
      </c>
      <c r="J79" s="292">
        <v>0.1</v>
      </c>
      <c r="K79" s="292">
        <f t="shared" si="11"/>
        <v>4158.8999999999996</v>
      </c>
      <c r="L79" s="291"/>
      <c r="M79" s="291"/>
    </row>
    <row r="80" spans="1:13" x14ac:dyDescent="0.25">
      <c r="A80" s="291"/>
      <c r="B80" s="290">
        <v>42773</v>
      </c>
      <c r="C80" s="291">
        <v>50</v>
      </c>
      <c r="D80" s="292">
        <v>69.48</v>
      </c>
      <c r="E80" s="292">
        <v>0</v>
      </c>
      <c r="F80" s="292">
        <f t="shared" si="10"/>
        <v>3474</v>
      </c>
      <c r="G80" s="290">
        <v>42984</v>
      </c>
      <c r="H80" s="295">
        <v>50</v>
      </c>
      <c r="I80" s="292">
        <v>82.98</v>
      </c>
      <c r="J80" s="292">
        <v>-0.03</v>
      </c>
      <c r="K80" s="292">
        <f t="shared" si="11"/>
        <v>4149.03</v>
      </c>
      <c r="L80" s="291"/>
      <c r="M80" s="291"/>
    </row>
    <row r="81" spans="1:13" x14ac:dyDescent="0.25">
      <c r="A81" s="291"/>
      <c r="B81" s="290">
        <v>42774</v>
      </c>
      <c r="C81" s="291">
        <v>50</v>
      </c>
      <c r="D81" s="292">
        <v>67.680000000000007</v>
      </c>
      <c r="E81" s="292">
        <v>0</v>
      </c>
      <c r="F81" s="292">
        <f t="shared" si="10"/>
        <v>3384.0000000000005</v>
      </c>
      <c r="G81" s="291"/>
      <c r="H81" s="291"/>
      <c r="I81" s="291"/>
      <c r="J81" s="291"/>
      <c r="K81" s="291"/>
      <c r="L81" s="291"/>
      <c r="M81" s="291"/>
    </row>
    <row r="82" spans="1:13" x14ac:dyDescent="0.25">
      <c r="A82" s="291"/>
      <c r="B82" s="290"/>
      <c r="C82" s="291"/>
      <c r="D82" s="292"/>
      <c r="E82" s="292"/>
      <c r="F82" s="292"/>
      <c r="G82" s="291"/>
      <c r="H82" s="291"/>
      <c r="I82" s="291"/>
      <c r="J82" s="291"/>
      <c r="K82" s="291"/>
      <c r="L82" s="291"/>
      <c r="M82" s="291"/>
    </row>
    <row r="83" spans="1:13" x14ac:dyDescent="0.25">
      <c r="A83" s="291"/>
      <c r="B83" s="360">
        <v>42983</v>
      </c>
      <c r="C83" s="7">
        <v>50</v>
      </c>
      <c r="D83" s="43">
        <v>81.88</v>
      </c>
      <c r="E83" s="43">
        <v>0</v>
      </c>
      <c r="F83" s="43">
        <f t="shared" ref="F83:F88" si="12">C83*D83 + E83</f>
        <v>4094</v>
      </c>
      <c r="G83" s="360">
        <v>43018</v>
      </c>
      <c r="H83" s="7">
        <v>50</v>
      </c>
      <c r="I83" s="43">
        <v>83.07</v>
      </c>
      <c r="J83" s="43">
        <v>0.1</v>
      </c>
      <c r="K83" s="43">
        <f t="shared" ref="K83:K88" si="13">H83*I83   - J83</f>
        <v>4153.3999999999996</v>
      </c>
      <c r="L83" s="69">
        <v>43006</v>
      </c>
      <c r="M83" s="656">
        <v>26</v>
      </c>
    </row>
    <row r="84" spans="1:13" x14ac:dyDescent="0.25">
      <c r="A84" s="291"/>
      <c r="B84" s="360">
        <v>42992</v>
      </c>
      <c r="C84" s="7">
        <v>50</v>
      </c>
      <c r="D84" s="43">
        <v>81.81</v>
      </c>
      <c r="E84" s="43">
        <v>0</v>
      </c>
      <c r="F84" s="43">
        <f t="shared" si="12"/>
        <v>4090.5</v>
      </c>
      <c r="G84" s="360">
        <v>43035</v>
      </c>
      <c r="H84" s="77">
        <v>50</v>
      </c>
      <c r="I84" s="43">
        <v>76.28</v>
      </c>
      <c r="J84" s="43">
        <v>0.09</v>
      </c>
      <c r="K84" s="43">
        <f t="shared" si="13"/>
        <v>3813.91</v>
      </c>
      <c r="L84" s="69">
        <v>43098</v>
      </c>
      <c r="M84" s="655">
        <v>52</v>
      </c>
    </row>
    <row r="85" spans="1:13" x14ac:dyDescent="0.25">
      <c r="A85" s="291"/>
      <c r="B85" s="360">
        <v>43020</v>
      </c>
      <c r="C85" s="7">
        <v>50</v>
      </c>
      <c r="D85" s="43">
        <v>81.680000000000007</v>
      </c>
      <c r="E85" s="43">
        <v>0</v>
      </c>
      <c r="F85" s="43">
        <f t="shared" si="12"/>
        <v>4084.0000000000005</v>
      </c>
      <c r="G85" s="360">
        <v>43068</v>
      </c>
      <c r="H85" s="77">
        <v>50</v>
      </c>
      <c r="I85" s="43">
        <v>74.180000000000007</v>
      </c>
      <c r="J85" s="43">
        <v>0.09</v>
      </c>
      <c r="K85" s="43">
        <f t="shared" si="13"/>
        <v>3708.9100000000003</v>
      </c>
      <c r="L85" s="69"/>
      <c r="M85" s="3"/>
    </row>
    <row r="86" spans="1:13" x14ac:dyDescent="0.25">
      <c r="A86" s="291"/>
      <c r="B86" s="360">
        <v>43035</v>
      </c>
      <c r="C86" s="7">
        <v>50</v>
      </c>
      <c r="D86" s="43">
        <v>73.88</v>
      </c>
      <c r="E86" s="43">
        <v>0</v>
      </c>
      <c r="F86" s="43">
        <f t="shared" si="12"/>
        <v>3694</v>
      </c>
      <c r="G86" s="360">
        <v>43102</v>
      </c>
      <c r="H86" s="77">
        <v>50</v>
      </c>
      <c r="I86" s="43">
        <v>73.58</v>
      </c>
      <c r="J86" s="43">
        <v>7.0000000000000007E-2</v>
      </c>
      <c r="K86" s="43">
        <f t="shared" si="13"/>
        <v>3678.93</v>
      </c>
      <c r="L86" s="69"/>
      <c r="M86" s="3"/>
    </row>
    <row r="87" spans="1:13" x14ac:dyDescent="0.25">
      <c r="A87" s="291"/>
      <c r="B87" s="360">
        <v>43053</v>
      </c>
      <c r="C87" s="7">
        <v>50</v>
      </c>
      <c r="D87" s="43">
        <v>71.58</v>
      </c>
      <c r="E87" s="43">
        <v>0</v>
      </c>
      <c r="F87" s="43">
        <f t="shared" si="12"/>
        <v>3579</v>
      </c>
      <c r="G87" s="360">
        <v>43105</v>
      </c>
      <c r="H87" s="77">
        <v>50</v>
      </c>
      <c r="I87" s="43">
        <v>74.510000000000005</v>
      </c>
      <c r="J87" s="43">
        <v>0.09</v>
      </c>
      <c r="K87" s="43">
        <f t="shared" si="13"/>
        <v>3725.4100000000003</v>
      </c>
      <c r="L87" s="69"/>
      <c r="M87" s="3"/>
    </row>
    <row r="88" spans="1:13" x14ac:dyDescent="0.25">
      <c r="A88" s="291"/>
      <c r="B88" s="682">
        <v>43090</v>
      </c>
      <c r="C88" s="7">
        <v>50</v>
      </c>
      <c r="D88" s="43">
        <v>73.28</v>
      </c>
      <c r="E88" s="43">
        <v>0</v>
      </c>
      <c r="F88" s="43">
        <f t="shared" si="12"/>
        <v>3664</v>
      </c>
      <c r="G88" s="360">
        <v>43126</v>
      </c>
      <c r="H88" s="77">
        <v>50</v>
      </c>
      <c r="I88" s="43">
        <v>83.97</v>
      </c>
      <c r="J88" s="43">
        <v>0.1</v>
      </c>
      <c r="K88" s="43">
        <f t="shared" si="13"/>
        <v>4198.3999999999996</v>
      </c>
      <c r="L88" s="69"/>
      <c r="M88" s="3"/>
    </row>
    <row r="89" spans="1:13" x14ac:dyDescent="0.25">
      <c r="A89" s="291"/>
      <c r="B89" s="290"/>
      <c r="C89" s="291"/>
      <c r="D89" s="292"/>
      <c r="E89" s="292"/>
      <c r="F89" s="292"/>
      <c r="G89" s="291"/>
      <c r="H89" s="291"/>
      <c r="I89" s="291"/>
      <c r="J89" s="291"/>
      <c r="K89" s="291"/>
      <c r="L89" s="291"/>
      <c r="M89" s="291"/>
    </row>
    <row r="90" spans="1:13" x14ac:dyDescent="0.25">
      <c r="A90" s="291"/>
      <c r="B90" s="290"/>
      <c r="C90" s="291"/>
      <c r="D90" s="292"/>
      <c r="E90" s="292"/>
      <c r="F90" s="292"/>
      <c r="G90" s="291"/>
      <c r="H90" s="291"/>
      <c r="I90" s="291"/>
      <c r="J90" s="291"/>
      <c r="K90" s="291"/>
      <c r="L90" s="291"/>
      <c r="M90" s="291"/>
    </row>
    <row r="91" spans="1:13" x14ac:dyDescent="0.25">
      <c r="A91" s="291"/>
      <c r="B91" s="290"/>
      <c r="C91" s="291"/>
      <c r="D91" s="292"/>
      <c r="E91" s="292"/>
      <c r="F91" s="292"/>
      <c r="G91" s="291"/>
      <c r="H91" s="291"/>
      <c r="I91" s="291"/>
      <c r="J91" s="291"/>
      <c r="K91" s="291"/>
      <c r="L91" s="291"/>
      <c r="M91" s="291"/>
    </row>
    <row r="92" spans="1:13" x14ac:dyDescent="0.25">
      <c r="A92" s="291"/>
      <c r="B92" s="290"/>
      <c r="C92" s="291"/>
      <c r="D92" s="292"/>
      <c r="E92" s="292"/>
      <c r="F92" s="292"/>
      <c r="G92" s="291"/>
      <c r="H92" s="291"/>
      <c r="I92" s="291"/>
      <c r="J92" s="291"/>
      <c r="K92" s="291"/>
      <c r="L92" s="291"/>
      <c r="M92" s="291"/>
    </row>
    <row r="93" spans="1:13" x14ac:dyDescent="0.25">
      <c r="A93" s="291"/>
      <c r="B93" s="291"/>
      <c r="C93" s="291"/>
      <c r="D93" s="292"/>
      <c r="E93" s="292"/>
      <c r="F93" s="292"/>
      <c r="G93" s="291"/>
      <c r="H93" s="291"/>
      <c r="I93" s="291"/>
      <c r="J93" s="291"/>
      <c r="K93" s="291"/>
      <c r="L93" s="291"/>
      <c r="M93" s="291"/>
    </row>
    <row r="94" spans="1:13" x14ac:dyDescent="0.25">
      <c r="A94" s="291"/>
      <c r="B94" s="291"/>
      <c r="C94" s="291"/>
      <c r="D94" s="292"/>
      <c r="E94" s="292"/>
      <c r="F94" s="292"/>
      <c r="G94" s="291"/>
      <c r="H94" s="295"/>
      <c r="I94" s="291"/>
      <c r="J94" s="291"/>
      <c r="K94" s="291"/>
      <c r="L94" s="291"/>
      <c r="M94" s="291"/>
    </row>
    <row r="95" spans="1:13" x14ac:dyDescent="0.25">
      <c r="A95" s="21" t="s">
        <v>81</v>
      </c>
      <c r="B95" s="12"/>
      <c r="C95" s="12">
        <f>SUM(C56:C94)</f>
        <v>1225</v>
      </c>
      <c r="D95" s="13"/>
      <c r="E95" s="13"/>
      <c r="F95" s="13">
        <f>SUM(F56:F94)</f>
        <v>95953.7</v>
      </c>
      <c r="G95" s="12"/>
      <c r="H95" s="72">
        <f>SUM(H56:H94)</f>
        <v>1225</v>
      </c>
      <c r="I95" s="12"/>
      <c r="J95" s="12"/>
      <c r="K95" s="13">
        <f>SUM(K56:K94)</f>
        <v>96120.029999999984</v>
      </c>
      <c r="L95" s="12"/>
      <c r="M95" s="13">
        <f>SUM(M56:M94)</f>
        <v>643.79999999999995</v>
      </c>
    </row>
    <row r="96" spans="1:13" ht="15.75" thickBot="1" x14ac:dyDescent="0.3">
      <c r="A96" s="370" t="s">
        <v>189</v>
      </c>
      <c r="B96" s="371"/>
      <c r="C96" s="372">
        <f>SumByColor($A$25,C56:C94)</f>
        <v>300</v>
      </c>
      <c r="D96" s="372"/>
      <c r="E96" s="372"/>
      <c r="F96" s="373">
        <f>SumByColor($A$25,F56:F94)</f>
        <v>23205</v>
      </c>
      <c r="G96" s="372"/>
      <c r="H96" s="372">
        <f>SumByColor($A$25,H56:H94)</f>
        <v>300</v>
      </c>
      <c r="I96" s="372"/>
      <c r="J96" s="372"/>
      <c r="K96" s="373">
        <f>SumByColor($A$25,K56:K94)</f>
        <v>23278</v>
      </c>
      <c r="L96" s="372"/>
      <c r="M96" s="373">
        <f>SumByColor($A$25,M56:M94)</f>
        <v>78</v>
      </c>
    </row>
    <row r="103" spans="1:12" x14ac:dyDescent="0.25">
      <c r="A103" s="609"/>
      <c r="B103" s="609"/>
      <c r="C103" s="609"/>
      <c r="D103" s="610"/>
      <c r="E103" s="610"/>
      <c r="F103" s="610"/>
      <c r="G103" s="609"/>
      <c r="H103" s="609"/>
      <c r="I103" s="609"/>
      <c r="J103" s="609"/>
      <c r="K103" s="609"/>
      <c r="L103" s="609"/>
    </row>
    <row r="104" spans="1:12" x14ac:dyDescent="0.25">
      <c r="A104" s="609"/>
      <c r="B104" s="405" t="s">
        <v>113</v>
      </c>
      <c r="C104" s="405" t="s">
        <v>143</v>
      </c>
      <c r="D104" s="406" t="s">
        <v>142</v>
      </c>
      <c r="E104" s="407" t="s">
        <v>144</v>
      </c>
      <c r="F104" s="408" t="s">
        <v>65</v>
      </c>
      <c r="G104" s="409" t="s">
        <v>148</v>
      </c>
      <c r="H104" s="408" t="s">
        <v>88</v>
      </c>
      <c r="I104" s="408" t="s">
        <v>151</v>
      </c>
      <c r="J104" s="611" t="s">
        <v>452</v>
      </c>
      <c r="K104" s="611" t="s">
        <v>147</v>
      </c>
      <c r="L104" s="609"/>
    </row>
    <row r="105" spans="1:12" x14ac:dyDescent="0.25">
      <c r="A105" s="291"/>
      <c r="B105" s="290">
        <v>42304</v>
      </c>
      <c r="C105" s="291">
        <v>25</v>
      </c>
      <c r="D105" s="292">
        <v>102.2</v>
      </c>
      <c r="E105" s="292">
        <v>110.96</v>
      </c>
      <c r="F105" s="292">
        <f>C105*(E105-D105)</f>
        <v>218.99999999999977</v>
      </c>
      <c r="G105" s="292">
        <f>D105*C105</f>
        <v>2555</v>
      </c>
      <c r="H105" s="293">
        <f>(E105-D105)/D105</f>
        <v>8.5714285714285618E-2</v>
      </c>
      <c r="I105" s="612"/>
      <c r="J105" s="291"/>
      <c r="K105" s="291"/>
      <c r="L105" s="291"/>
    </row>
    <row r="106" spans="1:12" x14ac:dyDescent="0.25">
      <c r="A106" s="291"/>
      <c r="B106" s="290">
        <v>42332</v>
      </c>
      <c r="C106" s="291">
        <v>25</v>
      </c>
      <c r="D106" s="292">
        <v>102.2</v>
      </c>
      <c r="E106" s="292">
        <v>106.36</v>
      </c>
      <c r="F106" s="292">
        <f t="shared" ref="F106:F114" si="14">C106*(E106-D106)</f>
        <v>103.99999999999991</v>
      </c>
      <c r="G106" s="292">
        <f t="shared" ref="G106:G169" si="15">D106*C106</f>
        <v>2555</v>
      </c>
      <c r="H106" s="293">
        <f t="shared" ref="H106:H169" si="16">(E106-D106)/D106</f>
        <v>4.070450097847355E-2</v>
      </c>
      <c r="I106" s="612"/>
      <c r="J106" s="291"/>
      <c r="K106" s="291"/>
      <c r="L106" s="291"/>
    </row>
    <row r="107" spans="1:12" x14ac:dyDescent="0.25">
      <c r="A107" s="291"/>
      <c r="B107" s="290">
        <v>42349</v>
      </c>
      <c r="C107" s="291">
        <v>25</v>
      </c>
      <c r="D107" s="292">
        <v>102.2</v>
      </c>
      <c r="E107" s="292">
        <v>100.03</v>
      </c>
      <c r="F107" s="292">
        <f t="shared" si="14"/>
        <v>-54.250000000000043</v>
      </c>
      <c r="G107" s="292">
        <f t="shared" si="15"/>
        <v>2555</v>
      </c>
      <c r="H107" s="293">
        <f t="shared" si="16"/>
        <v>-2.1232876712328784E-2</v>
      </c>
      <c r="I107" s="612"/>
      <c r="J107" s="291"/>
      <c r="K107" s="291"/>
      <c r="L107" s="291"/>
    </row>
    <row r="108" spans="1:12" x14ac:dyDescent="0.25">
      <c r="A108" s="291"/>
      <c r="B108" s="290">
        <v>42361</v>
      </c>
      <c r="C108" s="291">
        <v>25</v>
      </c>
      <c r="D108" s="292">
        <v>102.2</v>
      </c>
      <c r="E108" s="292">
        <v>102.86</v>
      </c>
      <c r="F108" s="292">
        <f t="shared" si="14"/>
        <v>16.499999999999915</v>
      </c>
      <c r="G108" s="292">
        <f t="shared" si="15"/>
        <v>2555</v>
      </c>
      <c r="H108" s="293">
        <f t="shared" si="16"/>
        <v>6.4579256360077939E-3</v>
      </c>
      <c r="I108" s="612"/>
      <c r="J108" s="291"/>
      <c r="K108" s="291"/>
      <c r="L108" s="291"/>
    </row>
    <row r="109" spans="1:12" x14ac:dyDescent="0.25">
      <c r="A109" s="291"/>
      <c r="B109" s="290">
        <v>42376</v>
      </c>
      <c r="C109" s="312">
        <v>50</v>
      </c>
      <c r="D109" s="311">
        <v>99.13</v>
      </c>
      <c r="E109" s="311">
        <v>96.25</v>
      </c>
      <c r="F109" s="292">
        <f t="shared" si="14"/>
        <v>-143.99999999999977</v>
      </c>
      <c r="G109" s="292">
        <f t="shared" si="15"/>
        <v>4956.5</v>
      </c>
      <c r="H109" s="293">
        <f t="shared" si="16"/>
        <v>-2.9052759003328918E-2</v>
      </c>
      <c r="I109" s="612"/>
      <c r="J109" s="291"/>
      <c r="K109" s="291"/>
      <c r="L109" s="291"/>
    </row>
    <row r="110" spans="1:12" x14ac:dyDescent="0.25">
      <c r="A110" s="291"/>
      <c r="B110" s="290">
        <v>42402</v>
      </c>
      <c r="C110" s="312">
        <v>60</v>
      </c>
      <c r="D110" s="311">
        <v>96.37</v>
      </c>
      <c r="E110" s="311">
        <v>82.71</v>
      </c>
      <c r="F110" s="292">
        <f t="shared" si="14"/>
        <v>-819.60000000000059</v>
      </c>
      <c r="G110" s="292">
        <f t="shared" si="15"/>
        <v>5782.2000000000007</v>
      </c>
      <c r="H110" s="293">
        <f t="shared" si="16"/>
        <v>-0.14174535643872585</v>
      </c>
      <c r="I110" s="612"/>
      <c r="J110" s="291"/>
      <c r="K110" s="291"/>
      <c r="L110" s="291"/>
    </row>
    <row r="111" spans="1:12" x14ac:dyDescent="0.25">
      <c r="A111" s="291"/>
      <c r="B111" s="290">
        <v>42409</v>
      </c>
      <c r="C111" s="312">
        <v>50</v>
      </c>
      <c r="D111" s="311">
        <v>98.03</v>
      </c>
      <c r="E111" s="311">
        <v>87.25</v>
      </c>
      <c r="F111" s="292">
        <f t="shared" si="14"/>
        <v>-539</v>
      </c>
      <c r="G111" s="292">
        <f t="shared" si="15"/>
        <v>4901.5</v>
      </c>
      <c r="H111" s="293">
        <f t="shared" si="16"/>
        <v>-0.10996633683566256</v>
      </c>
      <c r="I111" s="612"/>
      <c r="J111" s="291"/>
      <c r="K111" s="291"/>
      <c r="L111" s="291"/>
    </row>
    <row r="112" spans="1:12" x14ac:dyDescent="0.25">
      <c r="A112" s="291"/>
      <c r="B112" s="290">
        <v>42426</v>
      </c>
      <c r="C112" s="312">
        <v>70</v>
      </c>
      <c r="D112" s="311">
        <v>95.18</v>
      </c>
      <c r="E112" s="311">
        <v>88.03</v>
      </c>
      <c r="F112" s="292">
        <f t="shared" si="14"/>
        <v>-500.5000000000004</v>
      </c>
      <c r="G112" s="292">
        <f t="shared" si="15"/>
        <v>6662.6</v>
      </c>
      <c r="H112" s="294">
        <f t="shared" si="16"/>
        <v>-7.5120823702458553E-2</v>
      </c>
      <c r="I112" s="613"/>
      <c r="J112" s="291"/>
      <c r="K112" s="291"/>
      <c r="L112" s="291"/>
    </row>
    <row r="113" spans="1:12" x14ac:dyDescent="0.25">
      <c r="A113" s="291"/>
      <c r="B113" s="290">
        <v>42430</v>
      </c>
      <c r="C113" s="312">
        <v>70</v>
      </c>
      <c r="D113" s="311">
        <v>95.18</v>
      </c>
      <c r="E113" s="311">
        <v>89.69</v>
      </c>
      <c r="F113" s="292">
        <f t="shared" si="14"/>
        <v>-384.30000000000064</v>
      </c>
      <c r="G113" s="292">
        <f t="shared" si="15"/>
        <v>6662.6</v>
      </c>
      <c r="H113" s="294">
        <f t="shared" si="16"/>
        <v>-5.7680184912796896E-2</v>
      </c>
      <c r="I113" s="613"/>
      <c r="J113" s="291"/>
      <c r="K113" s="291"/>
      <c r="L113" s="291"/>
    </row>
    <row r="114" spans="1:12" x14ac:dyDescent="0.25">
      <c r="A114" s="291"/>
      <c r="B114" s="290">
        <v>42431</v>
      </c>
      <c r="C114" s="312">
        <v>70</v>
      </c>
      <c r="D114" s="311">
        <v>95.18</v>
      </c>
      <c r="E114" s="311">
        <v>88.8</v>
      </c>
      <c r="F114" s="292">
        <f t="shared" si="14"/>
        <v>-446.6000000000007</v>
      </c>
      <c r="G114" s="292">
        <f t="shared" si="15"/>
        <v>6662.6</v>
      </c>
      <c r="H114" s="294">
        <f t="shared" si="16"/>
        <v>-6.7030888842193839E-2</v>
      </c>
      <c r="I114" s="613"/>
      <c r="J114" s="291"/>
      <c r="K114" s="291"/>
      <c r="L114" s="291"/>
    </row>
    <row r="115" spans="1:12" x14ac:dyDescent="0.25">
      <c r="A115" s="291"/>
      <c r="B115" s="290">
        <v>42445</v>
      </c>
      <c r="C115" s="312">
        <v>70</v>
      </c>
      <c r="D115" s="311">
        <v>95.176000000000002</v>
      </c>
      <c r="E115" s="311">
        <v>90.28</v>
      </c>
      <c r="F115" s="292">
        <f>C115*(E115-D115)</f>
        <v>-342.72</v>
      </c>
      <c r="G115" s="292">
        <f t="shared" si="15"/>
        <v>6662.32</v>
      </c>
      <c r="H115" s="294">
        <f t="shared" si="16"/>
        <v>-5.1441539884004378E-2</v>
      </c>
      <c r="I115" s="613"/>
      <c r="J115" s="291"/>
      <c r="K115" s="291"/>
      <c r="L115" s="291"/>
    </row>
    <row r="116" spans="1:12" x14ac:dyDescent="0.25">
      <c r="A116" s="291"/>
      <c r="B116" s="290">
        <v>42447</v>
      </c>
      <c r="C116" s="312">
        <v>50</v>
      </c>
      <c r="D116" s="311">
        <v>97.010999999999996</v>
      </c>
      <c r="E116" s="311">
        <v>90.59</v>
      </c>
      <c r="F116" s="292">
        <f>C116*(E116-D116)</f>
        <v>-321.04999999999961</v>
      </c>
      <c r="G116" s="292">
        <f t="shared" si="15"/>
        <v>4850.55</v>
      </c>
      <c r="H116" s="294">
        <f t="shared" si="16"/>
        <v>-6.6188370390986517E-2</v>
      </c>
      <c r="I116" s="613"/>
      <c r="J116" s="291"/>
      <c r="K116" s="291"/>
      <c r="L116" s="291"/>
    </row>
    <row r="117" spans="1:12" x14ac:dyDescent="0.25">
      <c r="A117" s="291"/>
      <c r="B117" s="290">
        <v>42452</v>
      </c>
      <c r="C117" s="312">
        <v>50</v>
      </c>
      <c r="D117" s="311">
        <v>97.010999999999996</v>
      </c>
      <c r="E117" s="311">
        <v>93.72</v>
      </c>
      <c r="F117" s="292">
        <f>C117*(E117-D117)</f>
        <v>-164.54999999999984</v>
      </c>
      <c r="G117" s="292">
        <f t="shared" si="15"/>
        <v>4850.55</v>
      </c>
      <c r="H117" s="294">
        <f t="shared" si="16"/>
        <v>-3.3923988001360636E-2</v>
      </c>
      <c r="I117" s="613"/>
      <c r="J117" s="291"/>
      <c r="K117" s="291"/>
      <c r="L117" s="291"/>
    </row>
    <row r="118" spans="1:12" x14ac:dyDescent="0.25">
      <c r="A118" s="291"/>
      <c r="B118" s="290">
        <v>42459</v>
      </c>
      <c r="C118" s="312">
        <v>50</v>
      </c>
      <c r="D118" s="311">
        <v>96.409000000000006</v>
      </c>
      <c r="E118" s="311">
        <v>91.97</v>
      </c>
      <c r="F118" s="292">
        <f t="shared" ref="F118:F181" si="17">C118*(E118-D118)</f>
        <v>-221.95000000000036</v>
      </c>
      <c r="G118" s="292">
        <f t="shared" si="15"/>
        <v>4820.4500000000007</v>
      </c>
      <c r="H118" s="294">
        <f t="shared" si="16"/>
        <v>-4.604341918285644E-2</v>
      </c>
      <c r="I118" s="613" t="s">
        <v>182</v>
      </c>
      <c r="J118" s="291"/>
      <c r="K118" s="291"/>
      <c r="L118" s="291"/>
    </row>
    <row r="119" spans="1:12" x14ac:dyDescent="0.25">
      <c r="A119" s="291"/>
      <c r="B119" s="290">
        <v>42469</v>
      </c>
      <c r="C119" s="312">
        <v>50</v>
      </c>
      <c r="D119" s="311">
        <v>96.409000000000006</v>
      </c>
      <c r="E119" s="311">
        <v>96.09</v>
      </c>
      <c r="F119" s="292">
        <f t="shared" si="17"/>
        <v>-15.950000000000131</v>
      </c>
      <c r="G119" s="292">
        <f t="shared" si="15"/>
        <v>4820.4500000000007</v>
      </c>
      <c r="H119" s="294">
        <f t="shared" si="16"/>
        <v>-3.3088197160016449E-3</v>
      </c>
      <c r="I119" s="613"/>
      <c r="J119" s="291"/>
      <c r="K119" s="291"/>
      <c r="L119" s="291"/>
    </row>
    <row r="120" spans="1:12" x14ac:dyDescent="0.25">
      <c r="A120" s="291"/>
      <c r="B120" s="290">
        <v>42475</v>
      </c>
      <c r="C120" s="312">
        <v>50</v>
      </c>
      <c r="D120" s="311">
        <v>96.409000000000006</v>
      </c>
      <c r="E120" s="311">
        <v>98.29</v>
      </c>
      <c r="F120" s="292">
        <f t="shared" si="17"/>
        <v>94.050000000000011</v>
      </c>
      <c r="G120" s="292">
        <f t="shared" si="15"/>
        <v>4820.4500000000007</v>
      </c>
      <c r="H120" s="294">
        <f t="shared" si="16"/>
        <v>1.951062660125092E-2</v>
      </c>
      <c r="I120" s="613"/>
      <c r="J120" s="291"/>
      <c r="K120" s="291"/>
      <c r="L120" s="291"/>
    </row>
    <row r="121" spans="1:12" x14ac:dyDescent="0.25">
      <c r="A121" s="291"/>
      <c r="B121" s="290">
        <v>42478</v>
      </c>
      <c r="C121" s="312">
        <v>25</v>
      </c>
      <c r="D121" s="311">
        <v>93.37</v>
      </c>
      <c r="E121" s="311">
        <v>99.2</v>
      </c>
      <c r="F121" s="292">
        <f t="shared" si="17"/>
        <v>145.74999999999994</v>
      </c>
      <c r="G121" s="292">
        <f t="shared" si="15"/>
        <v>2334.25</v>
      </c>
      <c r="H121" s="294">
        <f t="shared" si="16"/>
        <v>6.2439755810217393E-2</v>
      </c>
      <c r="I121" s="613"/>
      <c r="J121" s="291"/>
      <c r="K121" s="291"/>
      <c r="L121" s="291"/>
    </row>
    <row r="122" spans="1:12" x14ac:dyDescent="0.25">
      <c r="A122" s="291"/>
      <c r="B122" s="290">
        <v>42488</v>
      </c>
      <c r="C122" s="312">
        <v>50</v>
      </c>
      <c r="D122" s="311">
        <v>95.81</v>
      </c>
      <c r="E122" s="311">
        <v>97</v>
      </c>
      <c r="F122" s="292">
        <f t="shared" si="17"/>
        <v>59.499999999999886</v>
      </c>
      <c r="G122" s="292">
        <f t="shared" si="15"/>
        <v>4790.5</v>
      </c>
      <c r="H122" s="294">
        <f t="shared" si="16"/>
        <v>1.2420415405490009E-2</v>
      </c>
      <c r="I122" s="613"/>
      <c r="J122" s="291"/>
      <c r="K122" s="291"/>
      <c r="L122" s="291"/>
    </row>
    <row r="123" spans="1:12" x14ac:dyDescent="0.25">
      <c r="A123" s="291"/>
      <c r="B123" s="290">
        <v>42489</v>
      </c>
      <c r="C123" s="312">
        <v>70</v>
      </c>
      <c r="D123" s="311">
        <v>94.247</v>
      </c>
      <c r="E123" s="292">
        <v>88.21</v>
      </c>
      <c r="F123" s="292">
        <f t="shared" si="17"/>
        <v>-422.59000000000043</v>
      </c>
      <c r="G123" s="292">
        <f t="shared" si="15"/>
        <v>6597.29</v>
      </c>
      <c r="H123" s="294">
        <f t="shared" si="16"/>
        <v>-6.4055089286661704E-2</v>
      </c>
      <c r="I123" s="613"/>
      <c r="J123" s="291"/>
      <c r="K123" s="291"/>
      <c r="L123" s="291"/>
    </row>
    <row r="124" spans="1:12" x14ac:dyDescent="0.25">
      <c r="A124" s="291"/>
      <c r="B124" s="290">
        <v>42489</v>
      </c>
      <c r="C124" s="291">
        <v>100</v>
      </c>
      <c r="D124" s="292">
        <v>92.822999999999993</v>
      </c>
      <c r="E124" s="292">
        <v>88.21</v>
      </c>
      <c r="F124" s="292">
        <f t="shared" si="17"/>
        <v>-461.29999999999995</v>
      </c>
      <c r="G124" s="292">
        <f t="shared" si="15"/>
        <v>9282.2999999999993</v>
      </c>
      <c r="H124" s="294">
        <f t="shared" si="16"/>
        <v>-4.9696734645508119E-2</v>
      </c>
      <c r="I124" s="613"/>
      <c r="J124" s="291"/>
      <c r="K124" s="291"/>
      <c r="L124" s="291"/>
    </row>
    <row r="125" spans="1:12" x14ac:dyDescent="0.25">
      <c r="A125" s="291"/>
      <c r="B125" s="290">
        <v>42498</v>
      </c>
      <c r="C125" s="291">
        <v>100</v>
      </c>
      <c r="D125" s="292">
        <v>92.822999999999993</v>
      </c>
      <c r="E125" s="292">
        <v>84.68</v>
      </c>
      <c r="F125" s="292">
        <f t="shared" si="17"/>
        <v>-814.29999999999859</v>
      </c>
      <c r="G125" s="292">
        <f t="shared" si="15"/>
        <v>9282.2999999999993</v>
      </c>
      <c r="H125" s="294">
        <f t="shared" si="16"/>
        <v>-8.7726102366870146E-2</v>
      </c>
      <c r="I125" s="613"/>
      <c r="J125" s="291"/>
      <c r="K125" s="291"/>
      <c r="L125" s="291"/>
    </row>
    <row r="126" spans="1:12" x14ac:dyDescent="0.25">
      <c r="A126" s="291"/>
      <c r="B126" s="290">
        <v>42502</v>
      </c>
      <c r="C126" s="291">
        <v>100</v>
      </c>
      <c r="D126" s="292">
        <v>92.822999999999993</v>
      </c>
      <c r="E126" s="292">
        <v>82.77</v>
      </c>
      <c r="F126" s="292">
        <f t="shared" si="17"/>
        <v>-1005.2999999999997</v>
      </c>
      <c r="G126" s="292">
        <f t="shared" si="15"/>
        <v>9282.2999999999993</v>
      </c>
      <c r="H126" s="294">
        <f t="shared" si="16"/>
        <v>-0.10830289906596423</v>
      </c>
      <c r="I126" s="613"/>
      <c r="J126" s="291"/>
      <c r="K126" s="291"/>
      <c r="L126" s="291"/>
    </row>
    <row r="127" spans="1:12" x14ac:dyDescent="0.25">
      <c r="A127" s="291"/>
      <c r="B127" s="290">
        <v>42514</v>
      </c>
      <c r="C127" s="291">
        <v>100</v>
      </c>
      <c r="D127" s="292">
        <v>92.82</v>
      </c>
      <c r="E127" s="292">
        <v>86.22</v>
      </c>
      <c r="F127" s="292">
        <f t="shared" si="17"/>
        <v>-659.99999999999943</v>
      </c>
      <c r="G127" s="292">
        <f t="shared" si="15"/>
        <v>9282</v>
      </c>
      <c r="H127" s="294">
        <f t="shared" si="16"/>
        <v>-7.1105365223012224E-2</v>
      </c>
      <c r="I127" s="613"/>
      <c r="J127" s="291"/>
      <c r="K127" s="291"/>
      <c r="L127" s="291"/>
    </row>
    <row r="128" spans="1:12" x14ac:dyDescent="0.25">
      <c r="A128" s="291"/>
      <c r="B128" s="290">
        <v>42527</v>
      </c>
      <c r="C128" s="291">
        <v>100</v>
      </c>
      <c r="D128" s="292">
        <v>92.822999999999993</v>
      </c>
      <c r="E128" s="292">
        <v>87.6</v>
      </c>
      <c r="F128" s="292">
        <f t="shared" si="17"/>
        <v>-522.29999999999995</v>
      </c>
      <c r="G128" s="292">
        <f t="shared" si="15"/>
        <v>9282.2999999999993</v>
      </c>
      <c r="H128" s="294">
        <f t="shared" si="16"/>
        <v>-5.6268381758831316E-2</v>
      </c>
      <c r="I128" s="613"/>
      <c r="J128" s="291"/>
      <c r="K128" s="291"/>
      <c r="L128" s="291"/>
    </row>
    <row r="129" spans="1:12" x14ac:dyDescent="0.25">
      <c r="A129" s="291"/>
      <c r="B129" s="290">
        <v>42535</v>
      </c>
      <c r="C129" s="291">
        <v>100</v>
      </c>
      <c r="D129" s="292">
        <v>92.82</v>
      </c>
      <c r="E129" s="292">
        <v>83.57</v>
      </c>
      <c r="F129" s="292">
        <f t="shared" si="17"/>
        <v>-925</v>
      </c>
      <c r="G129" s="292">
        <f t="shared" si="15"/>
        <v>9282</v>
      </c>
      <c r="H129" s="294">
        <f t="shared" si="16"/>
        <v>-9.965524671407025E-2</v>
      </c>
      <c r="I129" s="369">
        <v>88.5</v>
      </c>
      <c r="J129" s="291"/>
      <c r="K129" s="291"/>
      <c r="L129" s="291"/>
    </row>
    <row r="130" spans="1:12" x14ac:dyDescent="0.25">
      <c r="A130" s="291"/>
      <c r="B130" s="290">
        <v>42542</v>
      </c>
      <c r="C130" s="291">
        <v>100</v>
      </c>
      <c r="D130" s="292">
        <v>92.82</v>
      </c>
      <c r="E130" s="292">
        <v>81.790000000000006</v>
      </c>
      <c r="F130" s="292">
        <f t="shared" si="17"/>
        <v>-1102.9999999999986</v>
      </c>
      <c r="G130" s="292">
        <f t="shared" si="15"/>
        <v>9282</v>
      </c>
      <c r="H130" s="294">
        <f t="shared" si="16"/>
        <v>-0.11883214824391282</v>
      </c>
      <c r="I130" s="613"/>
      <c r="J130" s="291"/>
      <c r="K130" s="291"/>
      <c r="L130" s="291"/>
    </row>
    <row r="131" spans="1:12" x14ac:dyDescent="0.25">
      <c r="A131" s="291"/>
      <c r="B131" s="290">
        <v>42545</v>
      </c>
      <c r="C131" s="291">
        <v>200</v>
      </c>
      <c r="D131" s="292">
        <v>86.647000000000006</v>
      </c>
      <c r="E131" s="292">
        <v>80.47</v>
      </c>
      <c r="F131" s="292">
        <f t="shared" si="17"/>
        <v>-1235.4000000000015</v>
      </c>
      <c r="G131" s="292">
        <f t="shared" si="15"/>
        <v>17329.400000000001</v>
      </c>
      <c r="H131" s="294">
        <f t="shared" si="16"/>
        <v>-7.1289254099968918E-2</v>
      </c>
      <c r="I131" s="613"/>
      <c r="J131" s="291"/>
      <c r="K131" s="291"/>
      <c r="L131" s="291"/>
    </row>
    <row r="132" spans="1:12" x14ac:dyDescent="0.25">
      <c r="A132" s="291"/>
      <c r="B132" s="290">
        <v>42548</v>
      </c>
      <c r="C132" s="291">
        <v>200</v>
      </c>
      <c r="D132" s="292">
        <v>86.647000000000006</v>
      </c>
      <c r="E132" s="292">
        <v>78.25</v>
      </c>
      <c r="F132" s="292">
        <f t="shared" si="17"/>
        <v>-1679.400000000001</v>
      </c>
      <c r="G132" s="292">
        <f t="shared" si="15"/>
        <v>17329.400000000001</v>
      </c>
      <c r="H132" s="294">
        <f t="shared" si="16"/>
        <v>-9.6910452756587134E-2</v>
      </c>
      <c r="I132" s="613"/>
      <c r="J132" s="291"/>
      <c r="K132" s="291"/>
      <c r="L132" s="291"/>
    </row>
    <row r="133" spans="1:12" x14ac:dyDescent="0.25">
      <c r="A133" s="291"/>
      <c r="B133" s="290">
        <v>42549</v>
      </c>
      <c r="C133" s="291">
        <v>200</v>
      </c>
      <c r="D133" s="292">
        <v>86.647000000000006</v>
      </c>
      <c r="E133" s="292">
        <v>82.31</v>
      </c>
      <c r="F133" s="292">
        <f t="shared" si="17"/>
        <v>-867.40000000000066</v>
      </c>
      <c r="G133" s="292">
        <f t="shared" si="15"/>
        <v>17329.400000000001</v>
      </c>
      <c r="H133" s="294">
        <f t="shared" si="16"/>
        <v>-5.0053666024213218E-2</v>
      </c>
      <c r="I133" s="613"/>
      <c r="J133" s="291"/>
      <c r="K133" s="291"/>
      <c r="L133" s="291"/>
    </row>
    <row r="134" spans="1:12" x14ac:dyDescent="0.25">
      <c r="A134" s="291"/>
      <c r="B134" s="290">
        <v>42550</v>
      </c>
      <c r="C134" s="291">
        <v>200</v>
      </c>
      <c r="D134" s="292">
        <v>86.411500000000004</v>
      </c>
      <c r="E134" s="292">
        <v>82.27</v>
      </c>
      <c r="F134" s="292">
        <f t="shared" si="17"/>
        <v>-828.30000000000155</v>
      </c>
      <c r="G134" s="292">
        <f t="shared" si="15"/>
        <v>17282.3</v>
      </c>
      <c r="H134" s="294">
        <f t="shared" si="16"/>
        <v>-4.7927648519005078E-2</v>
      </c>
      <c r="I134" s="613" t="s">
        <v>182</v>
      </c>
      <c r="J134" s="291"/>
      <c r="K134" s="291"/>
      <c r="L134" s="291"/>
    </row>
    <row r="135" spans="1:12" x14ac:dyDescent="0.25">
      <c r="A135" s="291"/>
      <c r="B135" s="290">
        <v>42552</v>
      </c>
      <c r="C135" s="291">
        <v>100</v>
      </c>
      <c r="D135" s="292">
        <v>89.084800000000001</v>
      </c>
      <c r="E135" s="292">
        <v>84.86</v>
      </c>
      <c r="F135" s="292">
        <f t="shared" si="17"/>
        <v>-422.48000000000019</v>
      </c>
      <c r="G135" s="292">
        <f t="shared" si="15"/>
        <v>8908.48</v>
      </c>
      <c r="H135" s="294">
        <f t="shared" si="16"/>
        <v>-4.7424476453895636E-2</v>
      </c>
      <c r="I135" s="613"/>
      <c r="J135" s="291"/>
      <c r="K135" s="291"/>
      <c r="L135" s="291"/>
    </row>
    <row r="136" spans="1:12" x14ac:dyDescent="0.25">
      <c r="A136" s="291"/>
      <c r="B136" s="290">
        <v>42556</v>
      </c>
      <c r="C136" s="291">
        <v>100</v>
      </c>
      <c r="D136" s="292">
        <v>89.084800000000001</v>
      </c>
      <c r="E136" s="292">
        <v>83.89</v>
      </c>
      <c r="F136" s="292">
        <f t="shared" si="17"/>
        <v>-519.48</v>
      </c>
      <c r="G136" s="292">
        <f t="shared" si="15"/>
        <v>8908.48</v>
      </c>
      <c r="H136" s="294">
        <f t="shared" si="16"/>
        <v>-5.8312978196055902E-2</v>
      </c>
      <c r="I136" s="613"/>
      <c r="J136" s="291"/>
      <c r="K136" s="291"/>
      <c r="L136" s="291"/>
    </row>
    <row r="137" spans="1:12" x14ac:dyDescent="0.25">
      <c r="A137" s="291"/>
      <c r="B137" s="290">
        <v>42559</v>
      </c>
      <c r="C137" s="291">
        <v>100</v>
      </c>
      <c r="D137" s="292">
        <v>89.084800000000001</v>
      </c>
      <c r="E137" s="292">
        <v>86.55</v>
      </c>
      <c r="F137" s="292">
        <f t="shared" si="17"/>
        <v>-253.48000000000042</v>
      </c>
      <c r="G137" s="292">
        <f t="shared" si="15"/>
        <v>8908.48</v>
      </c>
      <c r="H137" s="294">
        <f t="shared" si="16"/>
        <v>-2.8453787851575176E-2</v>
      </c>
      <c r="I137" s="613"/>
      <c r="J137" s="291"/>
      <c r="K137" s="291"/>
      <c r="L137" s="291"/>
    </row>
    <row r="138" spans="1:12" x14ac:dyDescent="0.25">
      <c r="A138" s="291"/>
      <c r="B138" s="290">
        <v>42569</v>
      </c>
      <c r="C138" s="291">
        <v>100</v>
      </c>
      <c r="D138" s="292">
        <v>89.084800000000001</v>
      </c>
      <c r="E138" s="292">
        <v>86.93</v>
      </c>
      <c r="F138" s="292">
        <f t="shared" si="17"/>
        <v>-215.47999999999945</v>
      </c>
      <c r="G138" s="292">
        <f t="shared" si="15"/>
        <v>8908.48</v>
      </c>
      <c r="H138" s="294">
        <f t="shared" si="16"/>
        <v>-2.4188189230934957E-2</v>
      </c>
      <c r="I138" s="613"/>
      <c r="J138" s="291"/>
      <c r="K138" s="291"/>
      <c r="L138" s="291"/>
    </row>
    <row r="139" spans="1:12" x14ac:dyDescent="0.25">
      <c r="A139" s="291"/>
      <c r="B139" s="290">
        <v>42570</v>
      </c>
      <c r="C139" s="291">
        <v>100</v>
      </c>
      <c r="D139" s="292">
        <v>89.084800000000001</v>
      </c>
      <c r="E139" s="292">
        <v>85.44</v>
      </c>
      <c r="F139" s="292">
        <f t="shared" si="17"/>
        <v>-364.48000000000036</v>
      </c>
      <c r="G139" s="292">
        <f t="shared" si="15"/>
        <v>8908.48</v>
      </c>
      <c r="H139" s="294">
        <f t="shared" si="16"/>
        <v>-4.0913825927655488E-2</v>
      </c>
      <c r="I139" s="613"/>
      <c r="J139" s="291"/>
      <c r="K139" s="291"/>
      <c r="L139" s="291"/>
    </row>
    <row r="140" spans="1:12" x14ac:dyDescent="0.25">
      <c r="A140" s="291"/>
      <c r="B140" s="290">
        <v>42571</v>
      </c>
      <c r="C140" s="291">
        <v>100</v>
      </c>
      <c r="D140" s="292">
        <v>89.084800000000001</v>
      </c>
      <c r="E140" s="292">
        <v>86.66</v>
      </c>
      <c r="F140" s="292">
        <f t="shared" si="17"/>
        <v>-242.48000000000047</v>
      </c>
      <c r="G140" s="292">
        <f t="shared" si="15"/>
        <v>8908.48</v>
      </c>
      <c r="H140" s="294">
        <f t="shared" si="16"/>
        <v>-2.7219009303495148E-2</v>
      </c>
      <c r="I140" s="613"/>
      <c r="J140" s="291"/>
      <c r="K140" s="291"/>
      <c r="L140" s="291"/>
    </row>
    <row r="141" spans="1:12" x14ac:dyDescent="0.25">
      <c r="A141" s="291"/>
      <c r="B141" s="290">
        <v>42572</v>
      </c>
      <c r="C141" s="291">
        <v>100</v>
      </c>
      <c r="D141" s="292">
        <v>89.084800000000001</v>
      </c>
      <c r="E141" s="292">
        <v>87.24</v>
      </c>
      <c r="F141" s="292">
        <f t="shared" si="17"/>
        <v>-184.48000000000064</v>
      </c>
      <c r="G141" s="292">
        <f t="shared" si="15"/>
        <v>8908.48</v>
      </c>
      <c r="H141" s="294">
        <f t="shared" si="16"/>
        <v>-2.0708358777255003E-2</v>
      </c>
      <c r="I141" s="613"/>
      <c r="J141" s="291"/>
      <c r="K141" s="291"/>
      <c r="L141" s="291"/>
    </row>
    <row r="142" spans="1:12" x14ac:dyDescent="0.25">
      <c r="A142" s="291"/>
      <c r="B142" s="290">
        <v>42575</v>
      </c>
      <c r="C142" s="291">
        <v>100</v>
      </c>
      <c r="D142" s="292">
        <v>89.084800000000001</v>
      </c>
      <c r="E142" s="292">
        <v>86.55</v>
      </c>
      <c r="F142" s="292">
        <f t="shared" si="17"/>
        <v>-253.48000000000042</v>
      </c>
      <c r="G142" s="292">
        <f t="shared" si="15"/>
        <v>8908.48</v>
      </c>
      <c r="H142" s="294">
        <f t="shared" si="16"/>
        <v>-2.8453787851575176E-2</v>
      </c>
      <c r="I142" s="614"/>
      <c r="J142" s="291"/>
      <c r="K142" s="291"/>
      <c r="L142" s="291"/>
    </row>
    <row r="143" spans="1:12" x14ac:dyDescent="0.25">
      <c r="A143" s="291"/>
      <c r="B143" s="290">
        <v>42576</v>
      </c>
      <c r="C143" s="291">
        <v>100</v>
      </c>
      <c r="D143" s="292">
        <v>89.084800000000001</v>
      </c>
      <c r="E143" s="292">
        <v>88.55</v>
      </c>
      <c r="F143" s="292">
        <f t="shared" si="17"/>
        <v>-53.480000000000416</v>
      </c>
      <c r="G143" s="292">
        <f t="shared" si="15"/>
        <v>8908.48</v>
      </c>
      <c r="H143" s="294">
        <f t="shared" si="16"/>
        <v>-6.0032687955746001E-3</v>
      </c>
      <c r="I143" s="613" t="s">
        <v>239</v>
      </c>
      <c r="J143" s="291"/>
      <c r="K143" s="291"/>
      <c r="L143" s="291"/>
    </row>
    <row r="144" spans="1:12" x14ac:dyDescent="0.25">
      <c r="A144" s="291"/>
      <c r="B144" s="290">
        <v>42577</v>
      </c>
      <c r="C144" s="291">
        <v>120</v>
      </c>
      <c r="D144" s="292">
        <v>87.677300000000002</v>
      </c>
      <c r="E144" s="292">
        <v>81.05</v>
      </c>
      <c r="F144" s="292">
        <f t="shared" si="17"/>
        <v>-795.27600000000064</v>
      </c>
      <c r="G144" s="292">
        <f t="shared" si="15"/>
        <v>10521.276</v>
      </c>
      <c r="H144" s="294">
        <f t="shared" si="16"/>
        <v>-7.5587409740035388E-2</v>
      </c>
      <c r="I144" s="613"/>
      <c r="J144" s="291"/>
      <c r="K144" s="291"/>
      <c r="L144" s="291"/>
    </row>
    <row r="145" spans="1:12" x14ac:dyDescent="0.25">
      <c r="A145" s="291"/>
      <c r="B145" s="290">
        <v>42580</v>
      </c>
      <c r="C145" s="291">
        <v>150</v>
      </c>
      <c r="D145" s="292">
        <v>86.017899999999997</v>
      </c>
      <c r="E145" s="292">
        <v>79.47</v>
      </c>
      <c r="F145" s="292">
        <f t="shared" si="17"/>
        <v>-982.18499999999972</v>
      </c>
      <c r="G145" s="292">
        <f t="shared" si="15"/>
        <v>12902.684999999999</v>
      </c>
      <c r="H145" s="294">
        <f t="shared" si="16"/>
        <v>-7.6122527985454172E-2</v>
      </c>
      <c r="I145" s="613"/>
      <c r="J145" s="291"/>
      <c r="K145" s="291"/>
      <c r="L145" s="291"/>
    </row>
    <row r="146" spans="1:12" x14ac:dyDescent="0.25">
      <c r="A146" s="291"/>
      <c r="B146" s="290">
        <v>42593</v>
      </c>
      <c r="C146" s="291">
        <v>150</v>
      </c>
      <c r="D146" s="292">
        <v>86.017899999999997</v>
      </c>
      <c r="E146" s="292">
        <v>78.900000000000006</v>
      </c>
      <c r="F146" s="292">
        <f t="shared" si="17"/>
        <v>-1067.6849999999988</v>
      </c>
      <c r="G146" s="292">
        <f t="shared" si="15"/>
        <v>12902.684999999999</v>
      </c>
      <c r="H146" s="294">
        <f t="shared" si="16"/>
        <v>-8.2749055719797765E-2</v>
      </c>
      <c r="I146" s="613"/>
      <c r="J146" s="291"/>
      <c r="K146" s="291"/>
      <c r="L146" s="291"/>
    </row>
    <row r="147" spans="1:12" x14ac:dyDescent="0.25">
      <c r="A147" s="291"/>
      <c r="B147" s="290">
        <v>42597</v>
      </c>
      <c r="C147" s="291">
        <v>150</v>
      </c>
      <c r="D147" s="292">
        <v>86.017899999999997</v>
      </c>
      <c r="E147" s="292">
        <v>79.650000000000006</v>
      </c>
      <c r="F147" s="292">
        <f t="shared" si="17"/>
        <v>-955.18499999999881</v>
      </c>
      <c r="G147" s="292">
        <f t="shared" si="15"/>
        <v>12902.684999999999</v>
      </c>
      <c r="H147" s="294">
        <f t="shared" si="16"/>
        <v>-7.4029940279871892E-2</v>
      </c>
      <c r="I147" s="613"/>
      <c r="J147" s="291"/>
      <c r="K147" s="291"/>
      <c r="L147" s="291"/>
    </row>
    <row r="148" spans="1:12" x14ac:dyDescent="0.25">
      <c r="A148" s="291"/>
      <c r="B148" s="290">
        <v>42599</v>
      </c>
      <c r="C148" s="291">
        <v>150</v>
      </c>
      <c r="D148" s="292">
        <v>86.017899999999997</v>
      </c>
      <c r="E148" s="292">
        <v>80.7</v>
      </c>
      <c r="F148" s="292">
        <f t="shared" si="17"/>
        <v>-797.68499999999915</v>
      </c>
      <c r="G148" s="292">
        <f t="shared" si="15"/>
        <v>12902.684999999999</v>
      </c>
      <c r="H148" s="294">
        <f t="shared" si="16"/>
        <v>-6.1823178663975693E-2</v>
      </c>
      <c r="I148" s="613"/>
      <c r="J148" s="291"/>
      <c r="K148" s="291"/>
      <c r="L148" s="291"/>
    </row>
    <row r="149" spans="1:12" x14ac:dyDescent="0.25">
      <c r="A149" s="291"/>
      <c r="B149" s="290">
        <v>42600</v>
      </c>
      <c r="C149" s="291">
        <v>150</v>
      </c>
      <c r="D149" s="292">
        <v>86.017899999999997</v>
      </c>
      <c r="E149" s="292">
        <v>80.59</v>
      </c>
      <c r="F149" s="292">
        <f t="shared" si="17"/>
        <v>-814.18499999999904</v>
      </c>
      <c r="G149" s="292">
        <f t="shared" si="15"/>
        <v>12902.684999999999</v>
      </c>
      <c r="H149" s="294">
        <f t="shared" si="16"/>
        <v>-6.3101982261831474E-2</v>
      </c>
      <c r="I149" s="613"/>
      <c r="J149" s="291"/>
      <c r="K149" s="291"/>
      <c r="L149" s="291"/>
    </row>
    <row r="150" spans="1:12" x14ac:dyDescent="0.25">
      <c r="A150" s="291"/>
      <c r="B150" s="290">
        <v>42601</v>
      </c>
      <c r="C150" s="291">
        <v>150</v>
      </c>
      <c r="D150" s="292">
        <v>86.017899999999997</v>
      </c>
      <c r="E150" s="292">
        <v>81</v>
      </c>
      <c r="F150" s="292">
        <f t="shared" si="17"/>
        <v>-752.6849999999996</v>
      </c>
      <c r="G150" s="292">
        <f t="shared" si="15"/>
        <v>12902.684999999999</v>
      </c>
      <c r="H150" s="294">
        <f t="shared" si="16"/>
        <v>-5.8335532488005375E-2</v>
      </c>
      <c r="I150" s="613"/>
      <c r="J150" s="291"/>
      <c r="K150" s="291"/>
      <c r="L150" s="291"/>
    </row>
    <row r="151" spans="1:12" x14ac:dyDescent="0.25">
      <c r="A151" s="291"/>
      <c r="B151" s="290">
        <v>42605</v>
      </c>
      <c r="C151" s="291">
        <v>150</v>
      </c>
      <c r="D151" s="292">
        <v>86.017899999999997</v>
      </c>
      <c r="E151" s="292">
        <v>81.47</v>
      </c>
      <c r="F151" s="292">
        <f t="shared" si="17"/>
        <v>-682.18499999999972</v>
      </c>
      <c r="G151" s="292">
        <f t="shared" si="15"/>
        <v>12902.684999999999</v>
      </c>
      <c r="H151" s="294">
        <f t="shared" si="16"/>
        <v>-5.2871553478985173E-2</v>
      </c>
      <c r="I151" s="613"/>
      <c r="J151" s="291"/>
      <c r="K151" s="291"/>
      <c r="L151" s="291"/>
    </row>
    <row r="152" spans="1:12" x14ac:dyDescent="0.25">
      <c r="A152" s="291"/>
      <c r="B152" s="290">
        <v>42606</v>
      </c>
      <c r="C152" s="291">
        <v>150</v>
      </c>
      <c r="D152" s="292">
        <v>86.017899999999997</v>
      </c>
      <c r="E152" s="292">
        <v>80.5</v>
      </c>
      <c r="F152" s="292">
        <f t="shared" si="17"/>
        <v>-827.6849999999996</v>
      </c>
      <c r="G152" s="292">
        <f t="shared" si="15"/>
        <v>12902.684999999999</v>
      </c>
      <c r="H152" s="294">
        <f t="shared" si="16"/>
        <v>-6.4148276114622621E-2</v>
      </c>
      <c r="I152" s="613"/>
      <c r="J152" s="291"/>
      <c r="K152" s="291"/>
      <c r="L152" s="291"/>
    </row>
    <row r="153" spans="1:12" x14ac:dyDescent="0.25">
      <c r="A153" s="291"/>
      <c r="B153" s="290">
        <v>42607</v>
      </c>
      <c r="C153" s="291">
        <v>150</v>
      </c>
      <c r="D153" s="292">
        <v>86.017899999999997</v>
      </c>
      <c r="E153" s="292">
        <v>80.08</v>
      </c>
      <c r="F153" s="292">
        <f t="shared" si="17"/>
        <v>-890.68499999999983</v>
      </c>
      <c r="G153" s="292">
        <f t="shared" si="15"/>
        <v>12902.684999999999</v>
      </c>
      <c r="H153" s="294">
        <f t="shared" si="16"/>
        <v>-6.9030980760981131E-2</v>
      </c>
      <c r="I153" s="613"/>
      <c r="J153" s="291"/>
      <c r="K153" s="291"/>
      <c r="L153" s="291"/>
    </row>
    <row r="154" spans="1:12" x14ac:dyDescent="0.25">
      <c r="A154" s="291"/>
      <c r="B154" s="290">
        <v>42608</v>
      </c>
      <c r="C154" s="291">
        <v>170</v>
      </c>
      <c r="D154" s="292">
        <v>85.225200000000001</v>
      </c>
      <c r="E154" s="292">
        <v>79.77</v>
      </c>
      <c r="F154" s="292">
        <f t="shared" si="17"/>
        <v>-927.38400000000081</v>
      </c>
      <c r="G154" s="292">
        <f t="shared" si="15"/>
        <v>14488.284</v>
      </c>
      <c r="H154" s="294">
        <f t="shared" si="16"/>
        <v>-6.4009236704636707E-2</v>
      </c>
      <c r="I154" s="613"/>
      <c r="J154" s="291"/>
      <c r="K154" s="291"/>
      <c r="L154" s="291"/>
    </row>
    <row r="155" spans="1:12" x14ac:dyDescent="0.25">
      <c r="A155" s="291"/>
      <c r="B155" s="290">
        <v>42609</v>
      </c>
      <c r="C155" s="291">
        <v>170</v>
      </c>
      <c r="D155" s="292">
        <v>85.225200000000001</v>
      </c>
      <c r="E155" s="292">
        <v>77.92</v>
      </c>
      <c r="F155" s="292">
        <f t="shared" si="17"/>
        <v>-1241.8839999999998</v>
      </c>
      <c r="G155" s="292">
        <f t="shared" si="15"/>
        <v>14488.284</v>
      </c>
      <c r="H155" s="294">
        <f t="shared" si="16"/>
        <v>-8.5716431290275633E-2</v>
      </c>
      <c r="I155" s="613"/>
      <c r="J155" s="291"/>
      <c r="K155" s="291"/>
      <c r="L155" s="291"/>
    </row>
    <row r="156" spans="1:12" x14ac:dyDescent="0.25">
      <c r="A156" s="291"/>
      <c r="B156" s="290">
        <v>42614</v>
      </c>
      <c r="C156" s="291">
        <v>200</v>
      </c>
      <c r="D156" s="292">
        <v>84.093400000000003</v>
      </c>
      <c r="E156" s="292">
        <v>77.42</v>
      </c>
      <c r="F156" s="292">
        <f t="shared" si="17"/>
        <v>-1334.6800000000003</v>
      </c>
      <c r="G156" s="292">
        <f t="shared" si="15"/>
        <v>16818.68</v>
      </c>
      <c r="H156" s="294">
        <f t="shared" si="16"/>
        <v>-7.9357000668304534E-2</v>
      </c>
      <c r="I156" s="613"/>
      <c r="J156" s="291"/>
      <c r="K156" s="291"/>
      <c r="L156" s="291"/>
    </row>
    <row r="157" spans="1:12" x14ac:dyDescent="0.25">
      <c r="A157" s="291"/>
      <c r="B157" s="290">
        <v>42615</v>
      </c>
      <c r="C157" s="291">
        <v>200</v>
      </c>
      <c r="D157" s="292">
        <v>84.093400000000003</v>
      </c>
      <c r="E157" s="292">
        <v>76.89</v>
      </c>
      <c r="F157" s="292">
        <f t="shared" si="17"/>
        <v>-1440.6800000000003</v>
      </c>
      <c r="G157" s="292">
        <f t="shared" si="15"/>
        <v>16818.68</v>
      </c>
      <c r="H157" s="294">
        <f t="shared" si="16"/>
        <v>-8.5659516680262685E-2</v>
      </c>
      <c r="I157" s="613"/>
      <c r="J157" s="291"/>
      <c r="K157" s="291"/>
      <c r="L157" s="291"/>
    </row>
    <row r="158" spans="1:12" x14ac:dyDescent="0.25">
      <c r="A158" s="291"/>
      <c r="B158" s="290">
        <v>42619</v>
      </c>
      <c r="C158" s="291">
        <v>200</v>
      </c>
      <c r="D158" s="292">
        <v>84.093400000000003</v>
      </c>
      <c r="E158" s="292">
        <v>77.88</v>
      </c>
      <c r="F158" s="292">
        <f t="shared" si="17"/>
        <v>-1242.6800000000014</v>
      </c>
      <c r="G158" s="292">
        <f t="shared" si="15"/>
        <v>16818.68</v>
      </c>
      <c r="H158" s="294">
        <f t="shared" si="16"/>
        <v>-7.3886892431510753E-2</v>
      </c>
      <c r="I158" s="613"/>
      <c r="J158" s="291"/>
      <c r="K158" s="291"/>
      <c r="L158" s="291"/>
    </row>
    <row r="159" spans="1:12" x14ac:dyDescent="0.25">
      <c r="A159" s="291"/>
      <c r="B159" s="290">
        <v>42632</v>
      </c>
      <c r="C159" s="291">
        <v>200</v>
      </c>
      <c r="D159" s="292">
        <v>84.093400000000003</v>
      </c>
      <c r="E159" s="292">
        <v>78.989999999999995</v>
      </c>
      <c r="F159" s="292">
        <f t="shared" si="17"/>
        <v>-1020.6800000000015</v>
      </c>
      <c r="G159" s="292">
        <f t="shared" si="15"/>
        <v>16818.68</v>
      </c>
      <c r="H159" s="294">
        <f t="shared" si="16"/>
        <v>-6.0687283425334304E-2</v>
      </c>
      <c r="I159" s="613"/>
      <c r="J159" s="291"/>
      <c r="K159" s="291"/>
      <c r="L159" s="291"/>
    </row>
    <row r="160" spans="1:12" x14ac:dyDescent="0.25">
      <c r="A160" s="291"/>
      <c r="B160" s="290">
        <v>42633</v>
      </c>
      <c r="C160" s="291">
        <v>200</v>
      </c>
      <c r="D160" s="292">
        <v>84.093400000000003</v>
      </c>
      <c r="E160" s="292">
        <v>81.78</v>
      </c>
      <c r="F160" s="292">
        <f t="shared" si="17"/>
        <v>-462.68000000000029</v>
      </c>
      <c r="G160" s="292">
        <f t="shared" si="15"/>
        <v>16818.68</v>
      </c>
      <c r="H160" s="294">
        <f t="shared" si="16"/>
        <v>-2.7509887815215003E-2</v>
      </c>
      <c r="I160" s="613"/>
      <c r="J160" s="291"/>
      <c r="K160" s="291"/>
      <c r="L160" s="291"/>
    </row>
    <row r="161" spans="1:12" x14ac:dyDescent="0.25">
      <c r="A161" s="291"/>
      <c r="B161" s="290">
        <v>42635</v>
      </c>
      <c r="C161" s="291">
        <v>200</v>
      </c>
      <c r="D161" s="292">
        <v>84.093400000000003</v>
      </c>
      <c r="E161" s="292">
        <v>81.52</v>
      </c>
      <c r="F161" s="292">
        <f t="shared" si="17"/>
        <v>-514.68000000000131</v>
      </c>
      <c r="G161" s="292">
        <f t="shared" si="15"/>
        <v>16818.68</v>
      </c>
      <c r="H161" s="294">
        <f t="shared" si="16"/>
        <v>-3.060168812296811E-2</v>
      </c>
      <c r="I161" s="613"/>
      <c r="J161" s="291"/>
      <c r="K161" s="291"/>
      <c r="L161" s="291"/>
    </row>
    <row r="162" spans="1:12" x14ac:dyDescent="0.25">
      <c r="A162" s="291"/>
      <c r="B162" s="290">
        <v>42640</v>
      </c>
      <c r="C162" s="291">
        <v>200</v>
      </c>
      <c r="D162" s="292">
        <v>84.093400000000003</v>
      </c>
      <c r="E162" s="292">
        <v>79.25</v>
      </c>
      <c r="F162" s="292">
        <f t="shared" si="17"/>
        <v>-968.68000000000052</v>
      </c>
      <c r="G162" s="292">
        <f t="shared" si="15"/>
        <v>16818.68</v>
      </c>
      <c r="H162" s="294">
        <f t="shared" si="16"/>
        <v>-5.7595483117581198E-2</v>
      </c>
      <c r="I162" s="613" t="s">
        <v>182</v>
      </c>
      <c r="J162" s="291"/>
      <c r="K162" s="291"/>
      <c r="L162" s="291"/>
    </row>
    <row r="163" spans="1:12" x14ac:dyDescent="0.25">
      <c r="A163" s="291"/>
      <c r="B163" s="290">
        <v>42643</v>
      </c>
      <c r="C163" s="291">
        <v>200</v>
      </c>
      <c r="D163" s="292">
        <v>83.623400000000004</v>
      </c>
      <c r="E163" s="292">
        <v>79.12</v>
      </c>
      <c r="F163" s="292">
        <f t="shared" si="17"/>
        <v>-900.67999999999984</v>
      </c>
      <c r="G163" s="292">
        <f t="shared" si="15"/>
        <v>16724.68</v>
      </c>
      <c r="H163" s="294">
        <f t="shared" si="16"/>
        <v>-5.3853347268826658E-2</v>
      </c>
      <c r="I163" s="292">
        <v>83</v>
      </c>
      <c r="J163" s="291"/>
      <c r="K163" s="291"/>
      <c r="L163" s="291"/>
    </row>
    <row r="164" spans="1:12" x14ac:dyDescent="0.25">
      <c r="A164" s="291"/>
      <c r="B164" s="290">
        <v>42646</v>
      </c>
      <c r="C164" s="291">
        <v>200</v>
      </c>
      <c r="D164" s="292">
        <v>83.518799999999999</v>
      </c>
      <c r="E164" s="292">
        <v>78.03</v>
      </c>
      <c r="F164" s="292">
        <f t="shared" si="17"/>
        <v>-1097.7599999999995</v>
      </c>
      <c r="G164" s="292">
        <f t="shared" si="15"/>
        <v>16703.759999999998</v>
      </c>
      <c r="H164" s="294">
        <f t="shared" si="16"/>
        <v>-6.5719335047917327E-2</v>
      </c>
      <c r="I164" s="613"/>
      <c r="J164" s="291"/>
      <c r="K164" s="291"/>
      <c r="L164" s="291"/>
    </row>
    <row r="165" spans="1:12" x14ac:dyDescent="0.25">
      <c r="A165" s="291"/>
      <c r="B165" s="290">
        <v>42649</v>
      </c>
      <c r="C165" s="291">
        <v>250</v>
      </c>
      <c r="D165" s="292">
        <v>82.090999999999994</v>
      </c>
      <c r="E165" s="292">
        <v>76.209999999999994</v>
      </c>
      <c r="F165" s="292">
        <f t="shared" si="17"/>
        <v>-1470.25</v>
      </c>
      <c r="G165" s="292">
        <f t="shared" si="15"/>
        <v>20522.75</v>
      </c>
      <c r="H165" s="294">
        <f t="shared" si="16"/>
        <v>-7.1640009258018542E-2</v>
      </c>
      <c r="I165" s="613"/>
      <c r="J165" s="291"/>
      <c r="K165" s="291"/>
      <c r="L165" s="291"/>
    </row>
    <row r="166" spans="1:12" x14ac:dyDescent="0.25">
      <c r="A166" s="291"/>
      <c r="B166" s="290">
        <v>42650</v>
      </c>
      <c r="C166" s="291">
        <v>250</v>
      </c>
      <c r="D166" s="292">
        <v>82.090999999999994</v>
      </c>
      <c r="E166" s="292">
        <v>75.239999999999995</v>
      </c>
      <c r="F166" s="292">
        <f t="shared" si="17"/>
        <v>-1712.7499999999998</v>
      </c>
      <c r="G166" s="292">
        <f t="shared" si="15"/>
        <v>20522.75</v>
      </c>
      <c r="H166" s="294">
        <f t="shared" si="16"/>
        <v>-8.3456164500371535E-2</v>
      </c>
      <c r="I166" s="613"/>
      <c r="J166" s="291"/>
      <c r="K166" s="291"/>
      <c r="L166" s="291"/>
    </row>
    <row r="167" spans="1:12" x14ac:dyDescent="0.25">
      <c r="A167" s="291"/>
      <c r="B167" s="290">
        <v>42661</v>
      </c>
      <c r="C167" s="291">
        <v>250</v>
      </c>
      <c r="D167" s="292">
        <v>82.090999999999994</v>
      </c>
      <c r="E167" s="292">
        <v>73.41</v>
      </c>
      <c r="F167" s="292">
        <f t="shared" si="17"/>
        <v>-2170.2499999999995</v>
      </c>
      <c r="G167" s="292">
        <f t="shared" si="15"/>
        <v>20522.75</v>
      </c>
      <c r="H167" s="294">
        <f t="shared" si="16"/>
        <v>-0.105748498617388</v>
      </c>
      <c r="I167" s="613"/>
      <c r="J167" s="291"/>
      <c r="K167" s="291"/>
      <c r="L167" s="291"/>
    </row>
    <row r="168" spans="1:12" x14ac:dyDescent="0.25">
      <c r="A168" s="291"/>
      <c r="B168" s="290">
        <v>42676</v>
      </c>
      <c r="C168" s="291">
        <v>250</v>
      </c>
      <c r="D168" s="292">
        <v>82.090999999999994</v>
      </c>
      <c r="E168" s="292">
        <v>72.510000000000005</v>
      </c>
      <c r="F168" s="292">
        <f t="shared" si="17"/>
        <v>-2395.2499999999973</v>
      </c>
      <c r="G168" s="292">
        <f t="shared" si="15"/>
        <v>20522.75</v>
      </c>
      <c r="H168" s="294">
        <f t="shared" si="16"/>
        <v>-0.11671194162575665</v>
      </c>
      <c r="I168" s="613"/>
      <c r="J168" s="291"/>
      <c r="K168" s="291"/>
      <c r="L168" s="291"/>
    </row>
    <row r="169" spans="1:12" x14ac:dyDescent="0.25">
      <c r="A169" s="291"/>
      <c r="B169" s="290">
        <v>42701</v>
      </c>
      <c r="C169" s="291">
        <v>200</v>
      </c>
      <c r="D169" s="292">
        <v>82.49</v>
      </c>
      <c r="E169" s="292">
        <v>75.44</v>
      </c>
      <c r="F169" s="292">
        <f t="shared" si="17"/>
        <v>-1409.9999999999995</v>
      </c>
      <c r="G169" s="292">
        <f t="shared" si="15"/>
        <v>16498</v>
      </c>
      <c r="H169" s="294">
        <f t="shared" si="16"/>
        <v>-8.5464904836949906E-2</v>
      </c>
      <c r="I169" s="410" t="s">
        <v>287</v>
      </c>
      <c r="J169" s="291"/>
      <c r="K169" s="291"/>
      <c r="L169" s="291"/>
    </row>
    <row r="170" spans="1:12" x14ac:dyDescent="0.25">
      <c r="A170" s="291"/>
      <c r="B170" s="290">
        <v>42704</v>
      </c>
      <c r="C170" s="291">
        <v>200</v>
      </c>
      <c r="D170" s="292">
        <v>82.49</v>
      </c>
      <c r="E170" s="292">
        <v>73.7</v>
      </c>
      <c r="F170" s="292">
        <f t="shared" si="17"/>
        <v>-1757.9999999999984</v>
      </c>
      <c r="G170" s="292">
        <f t="shared" ref="G170:G202" si="18">D170*C170</f>
        <v>16498</v>
      </c>
      <c r="H170" s="294">
        <f t="shared" ref="H170:H204" si="19">(E170-D170)/D170</f>
        <v>-0.10655837071160132</v>
      </c>
      <c r="I170" s="613"/>
      <c r="J170" s="291"/>
      <c r="K170" s="291"/>
      <c r="L170" s="291"/>
    </row>
    <row r="171" spans="1:12" x14ac:dyDescent="0.25">
      <c r="A171" s="291"/>
      <c r="B171" s="290">
        <v>42705</v>
      </c>
      <c r="C171" s="291">
        <v>250</v>
      </c>
      <c r="D171" s="292">
        <v>80.656000000000006</v>
      </c>
      <c r="E171" s="292">
        <v>72.84</v>
      </c>
      <c r="F171" s="292">
        <f t="shared" si="17"/>
        <v>-1954.0000000000007</v>
      </c>
      <c r="G171" s="292">
        <f t="shared" si="18"/>
        <v>20164</v>
      </c>
      <c r="H171" s="294">
        <f t="shared" si="19"/>
        <v>-9.6905375917476722E-2</v>
      </c>
      <c r="I171" s="613"/>
      <c r="J171" s="291"/>
      <c r="K171" s="291"/>
      <c r="L171" s="291"/>
    </row>
    <row r="172" spans="1:12" x14ac:dyDescent="0.25">
      <c r="A172" s="291"/>
      <c r="B172" s="290">
        <v>42717</v>
      </c>
      <c r="C172" s="291">
        <v>200</v>
      </c>
      <c r="D172" s="292">
        <v>82.125900000000001</v>
      </c>
      <c r="E172" s="292">
        <v>74.84</v>
      </c>
      <c r="F172" s="292">
        <f t="shared" si="17"/>
        <v>-1457.1799999999996</v>
      </c>
      <c r="G172" s="292">
        <f t="shared" si="18"/>
        <v>16425.18</v>
      </c>
      <c r="H172" s="294">
        <f t="shared" si="19"/>
        <v>-8.8716227158545574E-2</v>
      </c>
      <c r="I172" s="613"/>
      <c r="J172" s="291"/>
      <c r="K172" s="291"/>
      <c r="L172" s="291"/>
    </row>
    <row r="173" spans="1:12" x14ac:dyDescent="0.25">
      <c r="A173" s="291"/>
      <c r="B173" s="290">
        <v>42717</v>
      </c>
      <c r="C173" s="291">
        <v>150</v>
      </c>
      <c r="D173" s="292">
        <v>84.257800000000003</v>
      </c>
      <c r="E173" s="292">
        <v>74.84</v>
      </c>
      <c r="F173" s="292">
        <f t="shared" si="17"/>
        <v>-1412.67</v>
      </c>
      <c r="G173" s="292">
        <f t="shared" si="18"/>
        <v>12638.67</v>
      </c>
      <c r="H173" s="294">
        <f t="shared" si="19"/>
        <v>-0.11177362807953685</v>
      </c>
      <c r="I173" s="613"/>
      <c r="J173" s="291"/>
      <c r="K173" s="291"/>
      <c r="L173" s="291"/>
    </row>
    <row r="174" spans="1:12" x14ac:dyDescent="0.25">
      <c r="A174" s="291"/>
      <c r="B174" s="290">
        <v>42717</v>
      </c>
      <c r="C174" s="291">
        <v>200</v>
      </c>
      <c r="D174" s="292">
        <v>81.988399999999999</v>
      </c>
      <c r="E174" s="292">
        <v>74.84</v>
      </c>
      <c r="F174" s="292">
        <f t="shared" si="17"/>
        <v>-1429.6799999999989</v>
      </c>
      <c r="G174" s="292">
        <f t="shared" si="18"/>
        <v>16397.68</v>
      </c>
      <c r="H174" s="294">
        <f t="shared" si="19"/>
        <v>-8.718794366032262E-2</v>
      </c>
      <c r="I174" s="410" t="s">
        <v>295</v>
      </c>
      <c r="J174" s="291"/>
      <c r="K174" s="291"/>
      <c r="L174" s="291"/>
    </row>
    <row r="175" spans="1:12" x14ac:dyDescent="0.25">
      <c r="A175" s="291"/>
      <c r="B175" s="290">
        <v>42733</v>
      </c>
      <c r="C175" s="291">
        <v>250</v>
      </c>
      <c r="D175" s="292">
        <v>80.886700000000005</v>
      </c>
      <c r="E175" s="292">
        <v>72.08</v>
      </c>
      <c r="F175" s="292">
        <f t="shared" si="17"/>
        <v>-2201.6750000000015</v>
      </c>
      <c r="G175" s="292">
        <f t="shared" si="18"/>
        <v>20221.675000000003</v>
      </c>
      <c r="H175" s="294">
        <f t="shared" si="19"/>
        <v>-0.10887698472060309</v>
      </c>
      <c r="I175" s="613"/>
      <c r="J175" s="291"/>
      <c r="K175" s="291"/>
      <c r="L175" s="291"/>
    </row>
    <row r="176" spans="1:12" x14ac:dyDescent="0.25">
      <c r="A176" s="291"/>
      <c r="B176" s="290">
        <v>42734</v>
      </c>
      <c r="C176" s="291">
        <v>250</v>
      </c>
      <c r="D176" s="292">
        <v>79.536699999999996</v>
      </c>
      <c r="E176" s="292">
        <v>72.08</v>
      </c>
      <c r="F176" s="292">
        <f t="shared" si="17"/>
        <v>-1864.1749999999995</v>
      </c>
      <c r="G176" s="292">
        <f t="shared" si="18"/>
        <v>19884.174999999999</v>
      </c>
      <c r="H176" s="294">
        <f t="shared" si="19"/>
        <v>-9.3751689471652688E-2</v>
      </c>
      <c r="I176" s="613" t="s">
        <v>182</v>
      </c>
      <c r="J176" s="291"/>
      <c r="K176" s="291"/>
      <c r="L176" s="291"/>
    </row>
    <row r="177" spans="1:12" x14ac:dyDescent="0.25">
      <c r="A177" s="291"/>
      <c r="B177" s="290">
        <v>42738</v>
      </c>
      <c r="C177" s="291">
        <v>200</v>
      </c>
      <c r="D177" s="292">
        <v>81.026300000000006</v>
      </c>
      <c r="E177" s="292">
        <v>74.16</v>
      </c>
      <c r="F177" s="292">
        <f t="shared" si="17"/>
        <v>-1373.260000000002</v>
      </c>
      <c r="G177" s="292">
        <f t="shared" si="18"/>
        <v>16205.260000000002</v>
      </c>
      <c r="H177" s="294">
        <f t="shared" si="19"/>
        <v>-8.4741620930488121E-2</v>
      </c>
      <c r="I177" s="613"/>
      <c r="J177" s="291"/>
      <c r="K177" s="291"/>
      <c r="L177" s="291"/>
    </row>
    <row r="178" spans="1:12" x14ac:dyDescent="0.25">
      <c r="A178" s="291"/>
      <c r="B178" s="290">
        <v>42739</v>
      </c>
      <c r="C178" s="291">
        <v>200</v>
      </c>
      <c r="D178" s="292">
        <v>81.026300000000006</v>
      </c>
      <c r="E178" s="292">
        <v>76.38</v>
      </c>
      <c r="F178" s="292">
        <f t="shared" si="17"/>
        <v>-929.26000000000215</v>
      </c>
      <c r="G178" s="292">
        <f t="shared" si="18"/>
        <v>16205.260000000002</v>
      </c>
      <c r="H178" s="294">
        <f t="shared" si="19"/>
        <v>-5.7343109582938014E-2</v>
      </c>
      <c r="I178" s="613"/>
      <c r="J178" s="291"/>
      <c r="K178" s="291"/>
      <c r="L178" s="291"/>
    </row>
    <row r="179" spans="1:12" x14ac:dyDescent="0.25">
      <c r="A179" s="291"/>
      <c r="B179" s="290">
        <v>42746</v>
      </c>
      <c r="C179" s="291">
        <v>200</v>
      </c>
      <c r="D179" s="292">
        <v>81.026300000000006</v>
      </c>
      <c r="E179" s="292">
        <v>73.77</v>
      </c>
      <c r="F179" s="292">
        <f t="shared" si="17"/>
        <v>-1451.260000000002</v>
      </c>
      <c r="G179" s="292">
        <f t="shared" si="18"/>
        <v>16205.260000000002</v>
      </c>
      <c r="H179" s="294">
        <f t="shared" si="19"/>
        <v>-8.9554872923976653E-2</v>
      </c>
      <c r="I179" s="613"/>
      <c r="J179" s="291"/>
      <c r="K179" s="291"/>
      <c r="L179" s="291"/>
    </row>
    <row r="180" spans="1:12" x14ac:dyDescent="0.25">
      <c r="A180" s="291"/>
      <c r="B180" s="290">
        <v>43056</v>
      </c>
      <c r="C180" s="291">
        <v>250</v>
      </c>
      <c r="D180" s="292">
        <v>79.197000000000003</v>
      </c>
      <c r="E180" s="292">
        <v>71.91</v>
      </c>
      <c r="F180" s="292">
        <f t="shared" si="17"/>
        <v>-1821.7500000000016</v>
      </c>
      <c r="G180" s="292">
        <f t="shared" si="18"/>
        <v>19799.25</v>
      </c>
      <c r="H180" s="294">
        <f t="shared" si="19"/>
        <v>-9.2011061025038907E-2</v>
      </c>
      <c r="I180" s="410">
        <v>79</v>
      </c>
      <c r="J180" s="291"/>
      <c r="K180" s="291"/>
      <c r="L180" s="291"/>
    </row>
    <row r="181" spans="1:12" x14ac:dyDescent="0.25">
      <c r="A181" s="291" t="s">
        <v>320</v>
      </c>
      <c r="B181" s="290">
        <v>42755</v>
      </c>
      <c r="C181" s="291">
        <v>300</v>
      </c>
      <c r="D181" s="292">
        <v>77.794200000000004</v>
      </c>
      <c r="E181" s="292">
        <v>71.010000000000005</v>
      </c>
      <c r="F181" s="292">
        <f t="shared" si="17"/>
        <v>-2035.2599999999995</v>
      </c>
      <c r="G181" s="292">
        <f t="shared" si="18"/>
        <v>23338.260000000002</v>
      </c>
      <c r="H181" s="294">
        <f t="shared" si="19"/>
        <v>-8.7207015433027113E-2</v>
      </c>
      <c r="I181" s="613"/>
      <c r="J181" s="291"/>
      <c r="K181" s="291"/>
      <c r="L181" s="291"/>
    </row>
    <row r="182" spans="1:12" x14ac:dyDescent="0.25">
      <c r="A182" s="291" t="s">
        <v>335</v>
      </c>
      <c r="B182" s="290">
        <v>42760</v>
      </c>
      <c r="C182" s="291">
        <v>250</v>
      </c>
      <c r="D182" s="292">
        <v>78.997900000000001</v>
      </c>
      <c r="E182" s="292">
        <v>71.78</v>
      </c>
      <c r="F182" s="292">
        <f t="shared" ref="F182:F204" si="20">C182*(E182-D182)</f>
        <v>-1804.4750000000001</v>
      </c>
      <c r="G182" s="292">
        <f t="shared" si="18"/>
        <v>19749.474999999999</v>
      </c>
      <c r="H182" s="294">
        <f t="shared" si="19"/>
        <v>-9.1368251561117442E-2</v>
      </c>
      <c r="I182" s="410" t="s">
        <v>349</v>
      </c>
      <c r="J182" s="291"/>
      <c r="K182" s="291"/>
      <c r="L182" s="291"/>
    </row>
    <row r="183" spans="1:12" x14ac:dyDescent="0.25">
      <c r="A183" s="291" t="s">
        <v>335</v>
      </c>
      <c r="B183" s="290">
        <v>42762</v>
      </c>
      <c r="C183" s="291">
        <v>250</v>
      </c>
      <c r="D183" s="292">
        <v>78.997900000000001</v>
      </c>
      <c r="E183" s="292">
        <v>71.260000000000005</v>
      </c>
      <c r="F183" s="292">
        <f t="shared" si="20"/>
        <v>-1934.474999999999</v>
      </c>
      <c r="G183" s="292">
        <f t="shared" si="18"/>
        <v>19749.474999999999</v>
      </c>
      <c r="H183" s="294">
        <f t="shared" si="19"/>
        <v>-9.7950705018740952E-2</v>
      </c>
      <c r="I183" s="613"/>
      <c r="J183" s="291"/>
      <c r="K183" s="291"/>
      <c r="L183" s="291"/>
    </row>
    <row r="184" spans="1:12" x14ac:dyDescent="0.25">
      <c r="A184" s="291" t="s">
        <v>368</v>
      </c>
      <c r="B184" s="290">
        <v>42771</v>
      </c>
      <c r="C184" s="291">
        <v>250</v>
      </c>
      <c r="D184" s="292">
        <v>78.997900000000001</v>
      </c>
      <c r="E184" s="292">
        <v>72.34</v>
      </c>
      <c r="F184" s="292">
        <f t="shared" si="20"/>
        <v>-1664.4749999999995</v>
      </c>
      <c r="G184" s="292">
        <f t="shared" si="18"/>
        <v>19749.474999999999</v>
      </c>
      <c r="H184" s="294">
        <f t="shared" si="19"/>
        <v>-8.4279455529830516E-2</v>
      </c>
      <c r="I184" s="613"/>
      <c r="J184" s="291"/>
      <c r="K184" s="291"/>
      <c r="L184" s="291"/>
    </row>
    <row r="185" spans="1:12" x14ac:dyDescent="0.25">
      <c r="A185" s="291" t="s">
        <v>320</v>
      </c>
      <c r="B185" s="290">
        <v>42773</v>
      </c>
      <c r="C185" s="291">
        <v>300</v>
      </c>
      <c r="D185" s="292">
        <v>77.411100000000005</v>
      </c>
      <c r="E185" s="292">
        <v>73.13</v>
      </c>
      <c r="F185" s="292">
        <f t="shared" si="20"/>
        <v>-1284.3300000000027</v>
      </c>
      <c r="G185" s="292">
        <f t="shared" si="18"/>
        <v>23223.33</v>
      </c>
      <c r="H185" s="294">
        <f t="shared" si="19"/>
        <v>-5.5303438395785734E-2</v>
      </c>
      <c r="I185" s="613"/>
      <c r="J185" s="291"/>
      <c r="K185" s="291"/>
      <c r="L185" s="291"/>
    </row>
    <row r="186" spans="1:12" x14ac:dyDescent="0.25">
      <c r="A186" s="291" t="s">
        <v>377</v>
      </c>
      <c r="B186" s="290">
        <v>42774</v>
      </c>
      <c r="C186" s="291">
        <v>350</v>
      </c>
      <c r="D186" s="292">
        <v>76.020899999999997</v>
      </c>
      <c r="E186" s="292">
        <v>66</v>
      </c>
      <c r="F186" s="292">
        <f t="shared" si="20"/>
        <v>-3507.3149999999991</v>
      </c>
      <c r="G186" s="292">
        <f t="shared" si="18"/>
        <v>26607.314999999999</v>
      </c>
      <c r="H186" s="294">
        <f t="shared" si="19"/>
        <v>-0.13181769750160807</v>
      </c>
      <c r="I186" s="613"/>
      <c r="J186" s="291"/>
      <c r="K186" s="291"/>
      <c r="L186" s="291"/>
    </row>
    <row r="187" spans="1:12" x14ac:dyDescent="0.25">
      <c r="A187" s="291" t="s">
        <v>390</v>
      </c>
      <c r="B187" s="290">
        <v>42781</v>
      </c>
      <c r="C187" s="291">
        <v>300</v>
      </c>
      <c r="D187" s="292">
        <v>77.194699999999997</v>
      </c>
      <c r="E187" s="292">
        <v>68.98</v>
      </c>
      <c r="F187" s="292">
        <f t="shared" si="20"/>
        <v>-2464.409999999998</v>
      </c>
      <c r="G187" s="292">
        <f t="shared" si="18"/>
        <v>23158.41</v>
      </c>
      <c r="H187" s="294">
        <f t="shared" si="19"/>
        <v>-0.10641533680421057</v>
      </c>
      <c r="I187" s="613"/>
      <c r="J187" s="291"/>
      <c r="K187" s="291"/>
      <c r="L187" s="291"/>
    </row>
    <row r="188" spans="1:12" x14ac:dyDescent="0.25">
      <c r="A188" s="291" t="s">
        <v>393</v>
      </c>
      <c r="B188" s="290">
        <v>42781</v>
      </c>
      <c r="C188" s="291">
        <v>250</v>
      </c>
      <c r="D188" s="292">
        <v>78.683999999999997</v>
      </c>
      <c r="E188" s="292">
        <v>69.8</v>
      </c>
      <c r="F188" s="292">
        <f t="shared" si="20"/>
        <v>-2221</v>
      </c>
      <c r="G188" s="292">
        <f t="shared" si="18"/>
        <v>19671</v>
      </c>
      <c r="H188" s="294">
        <f t="shared" si="19"/>
        <v>-0.11290732550454985</v>
      </c>
      <c r="I188" s="613"/>
      <c r="J188" s="291"/>
      <c r="K188" s="291"/>
      <c r="L188" s="291"/>
    </row>
    <row r="189" spans="1:12" x14ac:dyDescent="0.25">
      <c r="A189" s="291" t="s">
        <v>407</v>
      </c>
      <c r="B189" s="290">
        <v>42788</v>
      </c>
      <c r="C189" s="291">
        <v>250</v>
      </c>
      <c r="D189" s="292">
        <v>78.683999999999997</v>
      </c>
      <c r="E189" s="292">
        <v>68.83</v>
      </c>
      <c r="F189" s="292">
        <f t="shared" si="20"/>
        <v>-2463.5</v>
      </c>
      <c r="G189" s="292">
        <f t="shared" si="18"/>
        <v>19671</v>
      </c>
      <c r="H189" s="294">
        <f t="shared" si="19"/>
        <v>-0.12523511768593359</v>
      </c>
      <c r="I189" s="613"/>
      <c r="J189" s="291"/>
      <c r="K189" s="291"/>
      <c r="L189" s="291"/>
    </row>
    <row r="190" spans="1:12" x14ac:dyDescent="0.25">
      <c r="A190" s="291" t="s">
        <v>368</v>
      </c>
      <c r="B190" s="290">
        <v>42789</v>
      </c>
      <c r="C190" s="291">
        <v>250</v>
      </c>
      <c r="D190" s="292">
        <v>78.683999999999997</v>
      </c>
      <c r="E190" s="292">
        <v>69.94</v>
      </c>
      <c r="F190" s="292">
        <f t="shared" si="20"/>
        <v>-2186</v>
      </c>
      <c r="G190" s="292">
        <f t="shared" si="18"/>
        <v>19671</v>
      </c>
      <c r="H190" s="294">
        <f t="shared" si="19"/>
        <v>-0.11112805652991714</v>
      </c>
      <c r="I190" s="613"/>
      <c r="J190" s="291"/>
      <c r="K190" s="291"/>
      <c r="L190" s="291"/>
    </row>
    <row r="191" spans="1:12" x14ac:dyDescent="0.25">
      <c r="A191" s="291">
        <v>250</v>
      </c>
      <c r="B191" s="290">
        <v>42808</v>
      </c>
      <c r="C191" s="291">
        <v>250</v>
      </c>
      <c r="D191" s="292">
        <v>78.683999999999997</v>
      </c>
      <c r="E191" s="292">
        <v>67.77</v>
      </c>
      <c r="F191" s="292">
        <f t="shared" si="20"/>
        <v>-2728.5000000000005</v>
      </c>
      <c r="G191" s="292">
        <f t="shared" si="18"/>
        <v>19671</v>
      </c>
      <c r="H191" s="294">
        <f t="shared" si="19"/>
        <v>-0.13870672563672415</v>
      </c>
      <c r="I191" s="613"/>
      <c r="J191" s="291"/>
      <c r="K191" s="291"/>
      <c r="L191" s="291"/>
    </row>
    <row r="192" spans="1:12" x14ac:dyDescent="0.25">
      <c r="A192" s="291">
        <v>250</v>
      </c>
      <c r="B192" s="290">
        <v>42809</v>
      </c>
      <c r="C192" s="291">
        <v>250</v>
      </c>
      <c r="D192" s="292">
        <v>78.683999999999997</v>
      </c>
      <c r="E192" s="292">
        <v>68.47</v>
      </c>
      <c r="F192" s="292">
        <f t="shared" si="20"/>
        <v>-2553.4999999999995</v>
      </c>
      <c r="G192" s="292">
        <f t="shared" si="18"/>
        <v>19671</v>
      </c>
      <c r="H192" s="294">
        <f t="shared" si="19"/>
        <v>-0.12981038076356055</v>
      </c>
      <c r="I192" s="613"/>
      <c r="J192" s="291">
        <v>43.23</v>
      </c>
      <c r="K192" s="291"/>
      <c r="L192" s="291"/>
    </row>
    <row r="193" spans="1:12" x14ac:dyDescent="0.25">
      <c r="A193" s="291">
        <v>250</v>
      </c>
      <c r="B193" s="290">
        <v>42819</v>
      </c>
      <c r="C193" s="291">
        <v>250</v>
      </c>
      <c r="D193" s="292">
        <v>78.683999999999997</v>
      </c>
      <c r="E193" s="292">
        <v>67.510000000000005</v>
      </c>
      <c r="F193" s="292">
        <f t="shared" si="20"/>
        <v>-2793.4999999999982</v>
      </c>
      <c r="G193" s="292">
        <f t="shared" si="18"/>
        <v>19671</v>
      </c>
      <c r="H193" s="294">
        <f t="shared" si="19"/>
        <v>-0.14201108230389906</v>
      </c>
      <c r="I193" s="613"/>
      <c r="J193" s="291"/>
      <c r="K193" s="291"/>
      <c r="L193" s="291"/>
    </row>
    <row r="194" spans="1:12" x14ac:dyDescent="0.25">
      <c r="A194" s="291">
        <v>250</v>
      </c>
      <c r="B194" s="290">
        <v>42820</v>
      </c>
      <c r="C194" s="291">
        <v>250</v>
      </c>
      <c r="D194" s="292">
        <v>78.164000000000001</v>
      </c>
      <c r="E194" s="292">
        <v>67.92</v>
      </c>
      <c r="F194" s="292">
        <f t="shared" si="20"/>
        <v>-2561</v>
      </c>
      <c r="G194" s="292">
        <f t="shared" si="18"/>
        <v>19541</v>
      </c>
      <c r="H194" s="294">
        <f t="shared" si="19"/>
        <v>-0.13105777595824164</v>
      </c>
      <c r="I194" s="613" t="s">
        <v>182</v>
      </c>
      <c r="J194" s="291">
        <v>44.78</v>
      </c>
      <c r="K194" s="291"/>
      <c r="L194" s="291"/>
    </row>
    <row r="195" spans="1:12" x14ac:dyDescent="0.25">
      <c r="A195" s="291">
        <v>250</v>
      </c>
      <c r="B195" s="290">
        <v>42821</v>
      </c>
      <c r="C195" s="291">
        <v>250</v>
      </c>
      <c r="D195" s="292">
        <v>78.164000000000001</v>
      </c>
      <c r="E195" s="292">
        <v>66.02</v>
      </c>
      <c r="F195" s="292">
        <f t="shared" si="20"/>
        <v>-3036.0000000000014</v>
      </c>
      <c r="G195" s="292">
        <f t="shared" si="18"/>
        <v>19541</v>
      </c>
      <c r="H195" s="294">
        <f t="shared" si="19"/>
        <v>-0.15536564147177737</v>
      </c>
      <c r="I195" s="613"/>
      <c r="J195" s="291"/>
      <c r="K195" s="291"/>
      <c r="L195" s="291"/>
    </row>
    <row r="196" spans="1:12" x14ac:dyDescent="0.25">
      <c r="A196" s="291">
        <v>250</v>
      </c>
      <c r="B196" s="290">
        <v>42862</v>
      </c>
      <c r="C196" s="291">
        <v>250</v>
      </c>
      <c r="D196" s="292">
        <v>78.164000000000001</v>
      </c>
      <c r="E196" s="292">
        <v>67.8</v>
      </c>
      <c r="F196" s="292">
        <f t="shared" si="20"/>
        <v>-2591.0000000000009</v>
      </c>
      <c r="G196" s="292">
        <f t="shared" si="18"/>
        <v>19541</v>
      </c>
      <c r="H196" s="294">
        <f t="shared" si="19"/>
        <v>-0.13259300956962289</v>
      </c>
      <c r="I196" s="613"/>
      <c r="J196" s="291"/>
      <c r="K196" s="291"/>
      <c r="L196" s="291"/>
    </row>
    <row r="197" spans="1:12" x14ac:dyDescent="0.25">
      <c r="A197" s="291">
        <v>250</v>
      </c>
      <c r="B197" s="290">
        <v>42917</v>
      </c>
      <c r="C197" s="291">
        <v>250</v>
      </c>
      <c r="D197" s="292">
        <v>77.644000000000005</v>
      </c>
      <c r="E197" s="292">
        <v>70.78</v>
      </c>
      <c r="F197" s="292">
        <f t="shared" si="20"/>
        <v>-1716.0000000000011</v>
      </c>
      <c r="G197" s="292">
        <f t="shared" si="18"/>
        <v>19411</v>
      </c>
      <c r="H197" s="294">
        <f t="shared" si="19"/>
        <v>-8.8403482561434293E-2</v>
      </c>
      <c r="I197" s="613"/>
      <c r="J197" s="291"/>
      <c r="K197" s="291"/>
      <c r="L197" s="291"/>
    </row>
    <row r="198" spans="1:12" x14ac:dyDescent="0.25">
      <c r="A198" s="291">
        <v>200</v>
      </c>
      <c r="B198" s="290">
        <v>42940</v>
      </c>
      <c r="C198" s="291">
        <v>200</v>
      </c>
      <c r="D198" s="292">
        <v>78.535399999999996</v>
      </c>
      <c r="E198" s="292">
        <v>74.39</v>
      </c>
      <c r="F198" s="292">
        <f t="shared" si="20"/>
        <v>-829.07999999999902</v>
      </c>
      <c r="G198" s="292">
        <f t="shared" si="18"/>
        <v>15707.08</v>
      </c>
      <c r="H198" s="294">
        <f t="shared" si="19"/>
        <v>-5.2783840153612198E-2</v>
      </c>
      <c r="I198" s="613" t="s">
        <v>639</v>
      </c>
      <c r="J198" s="291"/>
      <c r="K198" s="291"/>
      <c r="L198" s="291"/>
    </row>
    <row r="199" spans="1:12" x14ac:dyDescent="0.25">
      <c r="A199" s="291">
        <v>200</v>
      </c>
      <c r="B199" s="290">
        <v>42947</v>
      </c>
      <c r="C199" s="291">
        <v>200</v>
      </c>
      <c r="D199" s="292">
        <v>78.540000000000006</v>
      </c>
      <c r="E199" s="292">
        <v>76.09</v>
      </c>
      <c r="F199" s="292">
        <f t="shared" si="20"/>
        <v>-490.00000000000057</v>
      </c>
      <c r="G199" s="292">
        <f t="shared" si="18"/>
        <v>15708.000000000002</v>
      </c>
      <c r="H199" s="294">
        <f t="shared" si="19"/>
        <v>-3.1194295900178286E-2</v>
      </c>
      <c r="I199" s="613"/>
      <c r="J199" s="291"/>
      <c r="K199" s="291"/>
      <c r="L199" s="291"/>
    </row>
    <row r="200" spans="1:12" x14ac:dyDescent="0.25">
      <c r="A200" s="291">
        <v>200</v>
      </c>
      <c r="B200" s="290">
        <v>42953</v>
      </c>
      <c r="C200" s="291">
        <v>200</v>
      </c>
      <c r="D200" s="292">
        <v>78.540000000000006</v>
      </c>
      <c r="E200" s="292">
        <v>73.16</v>
      </c>
      <c r="F200" s="292">
        <f t="shared" si="20"/>
        <v>-1076.0000000000018</v>
      </c>
      <c r="G200" s="292">
        <f t="shared" si="18"/>
        <v>15708.000000000002</v>
      </c>
      <c r="H200" s="294">
        <f t="shared" si="19"/>
        <v>-6.8500127323656859E-2</v>
      </c>
      <c r="I200" s="613"/>
      <c r="J200" s="291"/>
      <c r="K200" s="291"/>
      <c r="L200" s="291"/>
    </row>
    <row r="201" spans="1:12" x14ac:dyDescent="0.25">
      <c r="A201" s="291">
        <v>100</v>
      </c>
      <c r="B201" s="290">
        <v>42977</v>
      </c>
      <c r="C201" s="291">
        <v>100</v>
      </c>
      <c r="D201" s="292">
        <v>76.489999999999995</v>
      </c>
      <c r="E201" s="292">
        <v>81.23</v>
      </c>
      <c r="F201" s="292">
        <f t="shared" si="20"/>
        <v>474.00000000000091</v>
      </c>
      <c r="G201" s="292">
        <f t="shared" si="18"/>
        <v>7648.9999999999991</v>
      </c>
      <c r="H201" s="294">
        <f t="shared" si="19"/>
        <v>6.1968884821545424E-2</v>
      </c>
      <c r="I201" s="613" t="s">
        <v>626</v>
      </c>
      <c r="J201" s="291"/>
      <c r="K201" s="291"/>
      <c r="L201" s="291"/>
    </row>
    <row r="202" spans="1:12" x14ac:dyDescent="0.25">
      <c r="A202" s="291">
        <v>50</v>
      </c>
      <c r="B202" s="290">
        <v>42981</v>
      </c>
      <c r="C202" s="291">
        <v>50</v>
      </c>
      <c r="D202" s="292">
        <v>69.81</v>
      </c>
      <c r="E202" s="292">
        <v>83.75</v>
      </c>
      <c r="F202" s="292">
        <f t="shared" si="20"/>
        <v>696.99999999999989</v>
      </c>
      <c r="G202" s="292">
        <f t="shared" si="18"/>
        <v>3490.5</v>
      </c>
      <c r="H202" s="294">
        <f t="shared" si="19"/>
        <v>0.19968485890273596</v>
      </c>
      <c r="I202" s="613"/>
      <c r="J202" s="291"/>
      <c r="K202" s="291"/>
      <c r="L202" s="291"/>
    </row>
    <row r="203" spans="1:12" x14ac:dyDescent="0.25">
      <c r="A203" s="291">
        <v>50</v>
      </c>
      <c r="B203" s="290">
        <v>42983</v>
      </c>
      <c r="C203" s="291">
        <v>100</v>
      </c>
      <c r="D203" s="292">
        <v>75.84</v>
      </c>
      <c r="E203" s="292">
        <v>82.56</v>
      </c>
      <c r="F203" s="292">
        <f t="shared" si="20"/>
        <v>671.99999999999989</v>
      </c>
      <c r="G203" s="292"/>
      <c r="H203" s="294">
        <f t="shared" si="19"/>
        <v>8.8607594936708847E-2</v>
      </c>
      <c r="I203" s="613">
        <v>75</v>
      </c>
      <c r="J203" s="291"/>
      <c r="K203" s="291"/>
      <c r="L203" s="291"/>
    </row>
    <row r="204" spans="1:12" x14ac:dyDescent="0.25">
      <c r="A204" s="291">
        <v>0</v>
      </c>
      <c r="B204" s="290">
        <v>42984</v>
      </c>
      <c r="C204" s="291">
        <v>50</v>
      </c>
      <c r="D204" s="292">
        <v>68.706999999999994</v>
      </c>
      <c r="E204" s="292">
        <v>82.98</v>
      </c>
      <c r="F204" s="292">
        <f t="shared" si="20"/>
        <v>713.65000000000055</v>
      </c>
      <c r="G204" s="292">
        <f>D204*C204</f>
        <v>3435.3499999999995</v>
      </c>
      <c r="H204" s="294">
        <f t="shared" si="19"/>
        <v>0.2077372029050899</v>
      </c>
      <c r="I204" s="613"/>
      <c r="J204" s="291"/>
      <c r="K204" s="291"/>
      <c r="L204" s="291"/>
    </row>
    <row r="205" spans="1:12" x14ac:dyDescent="0.25">
      <c r="A205" s="708"/>
      <c r="B205" s="708"/>
      <c r="C205" s="708"/>
      <c r="D205" s="709"/>
      <c r="E205" s="709"/>
      <c r="F205" s="709"/>
      <c r="G205" s="709"/>
      <c r="H205" s="710"/>
      <c r="I205" s="711"/>
      <c r="J205" s="708"/>
      <c r="K205" s="708"/>
      <c r="L205" s="708"/>
    </row>
    <row r="206" spans="1:12" x14ac:dyDescent="0.25">
      <c r="A206" s="708"/>
      <c r="B206" s="708"/>
      <c r="C206" s="708"/>
      <c r="D206" s="709"/>
      <c r="E206" s="709"/>
      <c r="F206" s="709"/>
      <c r="G206" s="709"/>
      <c r="H206" s="710"/>
      <c r="I206" s="711"/>
      <c r="J206" s="708"/>
      <c r="K206" s="708"/>
      <c r="L206" s="708"/>
    </row>
    <row r="207" spans="1:12" x14ac:dyDescent="0.25">
      <c r="A207" s="708"/>
      <c r="B207" s="712">
        <v>42984</v>
      </c>
      <c r="C207" s="708">
        <v>50</v>
      </c>
      <c r="D207" s="709">
        <v>81.88</v>
      </c>
      <c r="E207" s="709">
        <v>82.66</v>
      </c>
      <c r="F207" s="709">
        <f t="shared" ref="F207:F225" si="21">C207*(E207-D207)</f>
        <v>39.000000000000057</v>
      </c>
      <c r="G207" s="709">
        <f t="shared" ref="G207:G225" si="22">D207*C207</f>
        <v>4094</v>
      </c>
      <c r="H207" s="713">
        <f t="shared" ref="H207:H225" si="23">(E207-D207)/D207</f>
        <v>9.5261358085002579E-3</v>
      </c>
      <c r="I207" s="714"/>
      <c r="J207" s="708"/>
      <c r="K207" s="708"/>
      <c r="L207" s="708"/>
    </row>
    <row r="208" spans="1:12" x14ac:dyDescent="0.25">
      <c r="A208" s="708"/>
      <c r="B208" s="712">
        <v>42988</v>
      </c>
      <c r="C208" s="708">
        <v>50</v>
      </c>
      <c r="D208" s="709">
        <v>81.88</v>
      </c>
      <c r="E208" s="709">
        <v>85.1</v>
      </c>
      <c r="F208" s="709">
        <f t="shared" si="21"/>
        <v>160.99999999999994</v>
      </c>
      <c r="G208" s="709">
        <f t="shared" si="22"/>
        <v>4094</v>
      </c>
      <c r="H208" s="713">
        <f t="shared" si="23"/>
        <v>3.9325842696629199E-2</v>
      </c>
      <c r="I208" s="711"/>
      <c r="J208" s="708"/>
      <c r="K208" s="708"/>
      <c r="L208" s="708"/>
    </row>
    <row r="209" spans="1:12" x14ac:dyDescent="0.25">
      <c r="A209" s="708"/>
      <c r="B209" s="712">
        <v>42992</v>
      </c>
      <c r="C209" s="708">
        <v>100</v>
      </c>
      <c r="D209" s="709">
        <v>81.844999999999999</v>
      </c>
      <c r="E209" s="709">
        <v>82.28</v>
      </c>
      <c r="F209" s="709">
        <f t="shared" si="21"/>
        <v>43.500000000000227</v>
      </c>
      <c r="G209" s="709">
        <f t="shared" si="22"/>
        <v>8184.5</v>
      </c>
      <c r="H209" s="713">
        <f t="shared" si="23"/>
        <v>5.3149245525078168E-3</v>
      </c>
      <c r="I209" s="711"/>
      <c r="J209" s="708"/>
      <c r="K209" s="708"/>
      <c r="L209" s="708"/>
    </row>
    <row r="210" spans="1:12" x14ac:dyDescent="0.25">
      <c r="A210" s="708">
        <v>0</v>
      </c>
      <c r="B210" s="712">
        <v>43018</v>
      </c>
      <c r="C210" s="708">
        <v>50</v>
      </c>
      <c r="D210" s="709">
        <v>80.102000000000004</v>
      </c>
      <c r="E210" s="709">
        <v>81.98</v>
      </c>
      <c r="F210" s="709">
        <f t="shared" si="21"/>
        <v>93.9</v>
      </c>
      <c r="G210" s="709">
        <f t="shared" si="22"/>
        <v>4005.1000000000004</v>
      </c>
      <c r="H210" s="713">
        <f t="shared" si="23"/>
        <v>2.3445107487952862E-2</v>
      </c>
      <c r="I210" s="709">
        <v>75.5</v>
      </c>
      <c r="J210" s="708"/>
      <c r="K210" s="709">
        <v>805.57</v>
      </c>
      <c r="L210" s="708"/>
    </row>
    <row r="211" spans="1:12" x14ac:dyDescent="0.25">
      <c r="A211" s="708">
        <v>0</v>
      </c>
      <c r="B211" s="712">
        <v>43020</v>
      </c>
      <c r="C211" s="708">
        <v>100</v>
      </c>
      <c r="D211" s="709">
        <v>80.891000000000005</v>
      </c>
      <c r="E211" s="709">
        <v>81.680000000000007</v>
      </c>
      <c r="F211" s="709">
        <f t="shared" si="21"/>
        <v>78.900000000000148</v>
      </c>
      <c r="G211" s="709">
        <f t="shared" si="22"/>
        <v>8089.1</v>
      </c>
      <c r="H211" s="710">
        <f t="shared" si="23"/>
        <v>9.7538663139286382E-3</v>
      </c>
      <c r="I211" s="709">
        <v>80</v>
      </c>
      <c r="J211" s="708"/>
      <c r="K211" s="709">
        <v>757</v>
      </c>
      <c r="L211" s="708"/>
    </row>
    <row r="212" spans="1:12" x14ac:dyDescent="0.25">
      <c r="A212" s="708">
        <v>50</v>
      </c>
      <c r="B212" s="712">
        <v>43035</v>
      </c>
      <c r="C212" s="708">
        <v>150</v>
      </c>
      <c r="D212" s="709">
        <v>78.554000000000002</v>
      </c>
      <c r="E212" s="709">
        <v>73.28</v>
      </c>
      <c r="F212" s="709">
        <f t="shared" si="21"/>
        <v>-791.10000000000014</v>
      </c>
      <c r="G212" s="709">
        <f t="shared" si="22"/>
        <v>11783.1</v>
      </c>
      <c r="H212" s="710">
        <f t="shared" si="23"/>
        <v>-6.713852891004915E-2</v>
      </c>
      <c r="I212" s="711"/>
      <c r="J212" s="708"/>
      <c r="K212" s="709">
        <v>-132</v>
      </c>
      <c r="L212" s="708"/>
    </row>
    <row r="213" spans="1:12" x14ac:dyDescent="0.25">
      <c r="A213" s="708"/>
      <c r="B213" s="712">
        <v>43035</v>
      </c>
      <c r="C213" s="708">
        <v>100</v>
      </c>
      <c r="D213" s="709">
        <v>79.691900000000004</v>
      </c>
      <c r="E213" s="709">
        <v>76.28</v>
      </c>
      <c r="F213" s="709">
        <f t="shared" si="21"/>
        <v>-341.19000000000028</v>
      </c>
      <c r="G213" s="709">
        <f t="shared" si="22"/>
        <v>7969.1900000000005</v>
      </c>
      <c r="H213" s="710">
        <f t="shared" si="23"/>
        <v>-4.2813636015705522E-2</v>
      </c>
      <c r="I213" s="715" t="s">
        <v>686</v>
      </c>
      <c r="J213" s="708"/>
      <c r="K213" s="709">
        <v>317</v>
      </c>
      <c r="L213" s="708"/>
    </row>
    <row r="214" spans="1:12" x14ac:dyDescent="0.25">
      <c r="A214" s="708"/>
      <c r="B214" s="712">
        <v>43044</v>
      </c>
      <c r="C214" s="708">
        <v>100</v>
      </c>
      <c r="D214" s="709">
        <v>79.69</v>
      </c>
      <c r="E214" s="709">
        <v>73.459999999999994</v>
      </c>
      <c r="F214" s="709">
        <f t="shared" si="21"/>
        <v>-623.00000000000045</v>
      </c>
      <c r="G214" s="709">
        <f t="shared" si="22"/>
        <v>7969</v>
      </c>
      <c r="H214" s="710">
        <f t="shared" si="23"/>
        <v>-7.8177939515623088E-2</v>
      </c>
      <c r="I214" s="711"/>
      <c r="J214" s="708">
        <v>23.71</v>
      </c>
      <c r="K214" s="709">
        <v>35</v>
      </c>
      <c r="L214" s="708"/>
    </row>
    <row r="215" spans="1:12" x14ac:dyDescent="0.25">
      <c r="A215" s="716">
        <v>50</v>
      </c>
      <c r="B215" s="712">
        <v>43053</v>
      </c>
      <c r="C215" s="708">
        <v>150</v>
      </c>
      <c r="D215" s="709">
        <v>76.989999999999995</v>
      </c>
      <c r="E215" s="709">
        <v>71.150000000000006</v>
      </c>
      <c r="F215" s="709">
        <f t="shared" si="21"/>
        <v>-875.99999999999841</v>
      </c>
      <c r="G215" s="709">
        <f t="shared" si="22"/>
        <v>11548.5</v>
      </c>
      <c r="H215" s="710">
        <f t="shared" si="23"/>
        <v>-7.5854007013897773E-2</v>
      </c>
      <c r="I215" s="709">
        <v>76.5</v>
      </c>
      <c r="J215" s="708"/>
      <c r="K215" s="709">
        <v>-217</v>
      </c>
      <c r="L215" s="708"/>
    </row>
    <row r="216" spans="1:12" x14ac:dyDescent="0.25">
      <c r="A216" s="716">
        <v>50</v>
      </c>
      <c r="B216" s="712">
        <v>43068</v>
      </c>
      <c r="C216" s="708">
        <v>100</v>
      </c>
      <c r="D216" s="709">
        <v>78.392799999999994</v>
      </c>
      <c r="E216" s="709">
        <v>73.67</v>
      </c>
      <c r="F216" s="709">
        <f t="shared" si="21"/>
        <v>-472.27999999999923</v>
      </c>
      <c r="G216" s="709">
        <f t="shared" si="22"/>
        <v>7839.28</v>
      </c>
      <c r="H216" s="710">
        <f t="shared" si="23"/>
        <v>-6.0245328652631269E-2</v>
      </c>
      <c r="I216" s="715" t="s">
        <v>696</v>
      </c>
      <c r="J216" s="708"/>
      <c r="K216" s="709">
        <v>186</v>
      </c>
      <c r="L216" s="708"/>
    </row>
    <row r="217" spans="1:12" x14ac:dyDescent="0.25">
      <c r="A217" s="716">
        <v>100</v>
      </c>
      <c r="B217" s="712">
        <v>43090</v>
      </c>
      <c r="C217" s="708">
        <v>150</v>
      </c>
      <c r="D217" s="709">
        <v>76.688500000000005</v>
      </c>
      <c r="E217" s="709">
        <v>73.02</v>
      </c>
      <c r="F217" s="709">
        <f t="shared" si="21"/>
        <v>-550.27500000000134</v>
      </c>
      <c r="G217" s="709">
        <f t="shared" si="22"/>
        <v>11503.275000000001</v>
      </c>
      <c r="H217" s="710">
        <f t="shared" si="23"/>
        <v>-4.7836377031758456E-2</v>
      </c>
      <c r="I217" s="711"/>
      <c r="J217" s="708">
        <v>43.77</v>
      </c>
      <c r="K217" s="709">
        <v>108</v>
      </c>
      <c r="L217" s="708"/>
    </row>
    <row r="218" spans="1:12" x14ac:dyDescent="0.25">
      <c r="A218" s="716">
        <v>100</v>
      </c>
      <c r="B218" s="712">
        <v>43098</v>
      </c>
      <c r="C218" s="708">
        <v>150</v>
      </c>
      <c r="D218" s="709">
        <v>76.341999999999999</v>
      </c>
      <c r="E218" s="709">
        <v>72</v>
      </c>
      <c r="F218" s="709">
        <f t="shared" si="21"/>
        <v>-651.29999999999984</v>
      </c>
      <c r="G218" s="709">
        <f t="shared" si="22"/>
        <v>11451.3</v>
      </c>
      <c r="H218" s="710">
        <f t="shared" si="23"/>
        <v>-5.6875638573786365E-2</v>
      </c>
      <c r="I218" s="711" t="s">
        <v>751</v>
      </c>
      <c r="J218" s="708"/>
      <c r="K218" s="709">
        <v>7</v>
      </c>
      <c r="L218" s="708"/>
    </row>
    <row r="219" spans="1:12" x14ac:dyDescent="0.25">
      <c r="A219" s="716">
        <v>100</v>
      </c>
      <c r="B219" s="712">
        <v>43098</v>
      </c>
      <c r="C219" s="708">
        <v>200</v>
      </c>
      <c r="D219" s="709">
        <v>75.17</v>
      </c>
      <c r="E219" s="709">
        <v>71.64</v>
      </c>
      <c r="F219" s="709">
        <f t="shared" si="21"/>
        <v>-706.00000000000023</v>
      </c>
      <c r="G219" s="709">
        <f t="shared" si="22"/>
        <v>15034</v>
      </c>
      <c r="H219" s="710">
        <f t="shared" si="23"/>
        <v>-4.6960223493414943E-2</v>
      </c>
      <c r="I219" s="715">
        <v>75</v>
      </c>
      <c r="J219" s="708"/>
      <c r="K219" s="709">
        <v>-47</v>
      </c>
      <c r="L219" s="708"/>
    </row>
    <row r="220" spans="1:12" x14ac:dyDescent="0.25">
      <c r="A220" s="716">
        <v>50</v>
      </c>
      <c r="B220" s="712">
        <v>43102</v>
      </c>
      <c r="C220" s="708">
        <v>150</v>
      </c>
      <c r="D220" s="709">
        <v>75.698999999999998</v>
      </c>
      <c r="E220" s="709">
        <v>74.099999999999994</v>
      </c>
      <c r="F220" s="709">
        <f t="shared" si="21"/>
        <v>-239.85000000000056</v>
      </c>
      <c r="G220" s="709">
        <f t="shared" si="22"/>
        <v>11354.85</v>
      </c>
      <c r="H220" s="713">
        <f t="shared" si="23"/>
        <v>-2.1123132405976353E-2</v>
      </c>
      <c r="I220" s="715" t="s">
        <v>756</v>
      </c>
      <c r="J220" s="708"/>
      <c r="K220" s="709">
        <v>419</v>
      </c>
      <c r="L220" s="708"/>
    </row>
    <row r="221" spans="1:12" x14ac:dyDescent="0.25">
      <c r="A221" s="716">
        <v>0</v>
      </c>
      <c r="B221" s="712">
        <v>43105</v>
      </c>
      <c r="C221" s="708">
        <v>100</v>
      </c>
      <c r="D221" s="709">
        <v>76.293999999999997</v>
      </c>
      <c r="E221" s="709">
        <v>74.52</v>
      </c>
      <c r="F221" s="709">
        <f t="shared" si="21"/>
        <v>-177.40000000000009</v>
      </c>
      <c r="G221" s="709">
        <f t="shared" si="22"/>
        <v>7629.4</v>
      </c>
      <c r="H221" s="710">
        <f t="shared" si="23"/>
        <v>-2.3252156132854498E-2</v>
      </c>
      <c r="I221" s="715" t="s">
        <v>782</v>
      </c>
      <c r="J221" s="708"/>
      <c r="K221" s="709">
        <v>481</v>
      </c>
      <c r="L221" s="708"/>
    </row>
    <row r="222" spans="1:12" x14ac:dyDescent="0.25">
      <c r="A222" s="716">
        <v>0</v>
      </c>
      <c r="B222" s="712">
        <v>43109</v>
      </c>
      <c r="C222" s="708">
        <v>100</v>
      </c>
      <c r="D222" s="709">
        <v>76.290000000000006</v>
      </c>
      <c r="E222" s="709">
        <v>78.099999999999994</v>
      </c>
      <c r="F222" s="709">
        <f t="shared" si="21"/>
        <v>180.99999999999881</v>
      </c>
      <c r="G222" s="709">
        <f t="shared" si="22"/>
        <v>7629.0000000000009</v>
      </c>
      <c r="H222" s="710">
        <f t="shared" si="23"/>
        <v>2.3725258880587075E-2</v>
      </c>
      <c r="I222" s="711"/>
      <c r="J222" s="708"/>
      <c r="K222" s="709">
        <v>839</v>
      </c>
      <c r="L222" s="708"/>
    </row>
    <row r="223" spans="1:12" x14ac:dyDescent="0.25">
      <c r="A223" s="716">
        <v>0</v>
      </c>
      <c r="B223" s="712">
        <v>43110</v>
      </c>
      <c r="C223" s="708">
        <v>100</v>
      </c>
      <c r="D223" s="709">
        <v>76.290000000000006</v>
      </c>
      <c r="E223" s="709">
        <v>78.709999999999994</v>
      </c>
      <c r="F223" s="709">
        <f t="shared" si="21"/>
        <v>241.99999999999875</v>
      </c>
      <c r="G223" s="709">
        <f t="shared" si="22"/>
        <v>7629.0000000000009</v>
      </c>
      <c r="H223" s="710">
        <f t="shared" si="23"/>
        <v>3.1721064359680001E-2</v>
      </c>
      <c r="I223" s="715">
        <v>76</v>
      </c>
      <c r="J223" s="715">
        <v>67.739999999999995</v>
      </c>
      <c r="K223" s="709">
        <v>900.23</v>
      </c>
      <c r="L223" s="708"/>
    </row>
    <row r="224" spans="1:12" x14ac:dyDescent="0.25">
      <c r="A224" s="716">
        <v>0</v>
      </c>
      <c r="B224" s="712">
        <v>43117</v>
      </c>
      <c r="C224" s="708">
        <v>100</v>
      </c>
      <c r="D224" s="709">
        <v>76.290000000000006</v>
      </c>
      <c r="E224" s="709">
        <v>81.739999999999995</v>
      </c>
      <c r="F224" s="709">
        <f t="shared" si="21"/>
        <v>544.99999999999886</v>
      </c>
      <c r="G224" s="709">
        <f t="shared" si="22"/>
        <v>7629.0000000000009</v>
      </c>
      <c r="H224" s="710">
        <f t="shared" si="23"/>
        <v>7.143793419845311E-2</v>
      </c>
      <c r="I224" s="715">
        <v>76</v>
      </c>
      <c r="J224" s="715"/>
      <c r="K224" s="709">
        <v>1203</v>
      </c>
      <c r="L224" s="708"/>
    </row>
    <row r="225" spans="1:12" x14ac:dyDescent="0.25">
      <c r="A225" s="716">
        <v>0</v>
      </c>
      <c r="B225" s="712">
        <v>43126</v>
      </c>
      <c r="C225" s="708">
        <v>50</v>
      </c>
      <c r="D225" s="709">
        <v>68.62</v>
      </c>
      <c r="E225" s="709">
        <v>83.97</v>
      </c>
      <c r="F225" s="709">
        <f t="shared" si="21"/>
        <v>767.49999999999977</v>
      </c>
      <c r="G225" s="709">
        <f t="shared" si="22"/>
        <v>3431</v>
      </c>
      <c r="H225" s="710">
        <f t="shared" si="23"/>
        <v>0.22369571553482939</v>
      </c>
      <c r="I225" s="711"/>
      <c r="J225" s="708"/>
      <c r="K225" s="709">
        <v>1426</v>
      </c>
      <c r="L225" s="708"/>
    </row>
    <row r="226" spans="1:12" x14ac:dyDescent="0.25">
      <c r="A226" s="708"/>
      <c r="B226" s="708"/>
      <c r="C226" s="708"/>
      <c r="D226" s="709"/>
      <c r="E226" s="709"/>
      <c r="F226" s="709"/>
      <c r="G226" s="708"/>
      <c r="H226" s="708"/>
      <c r="I226" s="708"/>
      <c r="J226" s="708"/>
      <c r="K226" s="708"/>
      <c r="L226" s="708"/>
    </row>
    <row r="227" spans="1:12" x14ac:dyDescent="0.25">
      <c r="A227" s="708"/>
      <c r="B227" s="708"/>
      <c r="C227" s="708"/>
      <c r="D227" s="709"/>
      <c r="E227" s="709"/>
      <c r="F227" s="709"/>
      <c r="G227" s="708"/>
      <c r="H227" s="708"/>
      <c r="I227" s="708"/>
      <c r="J227" s="708"/>
      <c r="K227" s="708"/>
      <c r="L227" s="708"/>
    </row>
    <row r="228" spans="1:12" x14ac:dyDescent="0.25">
      <c r="A228" s="708"/>
      <c r="B228" s="708"/>
      <c r="C228" s="708"/>
      <c r="D228" s="709"/>
      <c r="E228" s="709"/>
      <c r="F228" s="709"/>
      <c r="G228" s="708"/>
      <c r="H228" s="708"/>
      <c r="I228" s="708"/>
      <c r="J228" s="708"/>
      <c r="K228" s="708"/>
      <c r="L228" s="708"/>
    </row>
    <row r="229" spans="1:12" x14ac:dyDescent="0.25">
      <c r="A229" s="708"/>
      <c r="B229" s="708"/>
      <c r="C229" s="708"/>
      <c r="D229" s="709"/>
      <c r="E229" s="709"/>
      <c r="F229" s="709"/>
      <c r="G229" s="708"/>
      <c r="H229" s="708"/>
      <c r="I229" s="708"/>
      <c r="J229" s="708"/>
      <c r="K229" s="708"/>
      <c r="L229" s="708"/>
    </row>
    <row r="230" spans="1:12" x14ac:dyDescent="0.25">
      <c r="A230" s="708"/>
      <c r="B230" s="708"/>
      <c r="C230" s="708"/>
      <c r="D230" s="709"/>
      <c r="E230" s="709"/>
      <c r="F230" s="709"/>
      <c r="G230" s="708"/>
      <c r="H230" s="708"/>
      <c r="I230" s="708"/>
      <c r="J230" s="708"/>
      <c r="K230" s="708"/>
      <c r="L230" s="708"/>
    </row>
    <row r="231" spans="1:12" x14ac:dyDescent="0.25">
      <c r="A231" s="708"/>
      <c r="B231" s="708"/>
      <c r="C231" s="708"/>
      <c r="D231" s="709"/>
      <c r="E231" s="709"/>
      <c r="F231" s="709"/>
      <c r="G231" s="708"/>
      <c r="H231" s="708"/>
      <c r="I231" s="708"/>
      <c r="J231" s="708"/>
      <c r="K231" s="708"/>
      <c r="L231" s="708"/>
    </row>
    <row r="232" spans="1:12" x14ac:dyDescent="0.25">
      <c r="A232" s="708"/>
      <c r="B232" s="708"/>
      <c r="C232" s="708"/>
      <c r="D232" s="709"/>
      <c r="E232" s="709"/>
      <c r="F232" s="709"/>
      <c r="G232" s="708"/>
      <c r="H232" s="708"/>
      <c r="I232" s="708"/>
      <c r="J232" s="708"/>
      <c r="K232" s="708"/>
      <c r="L232" s="708"/>
    </row>
  </sheetData>
  <mergeCells count="1">
    <mergeCell ref="O42:P42"/>
  </mergeCells>
  <conditionalFormatting sqref="H45:I45 H48:I52 I32 H34 H35:I35 H37:I37 H36 H38:H39 F34:F42 H40:I41 H42 H44 H46:H47 F44:F52 AA24:AG24">
    <cfRule type="expression" dxfId="2507" priority="96">
      <formula>F24&gt;0</formula>
    </cfRule>
    <cfRule type="expression" dxfId="2506" priority="97">
      <formula>F24&lt;0</formula>
    </cfRule>
  </conditionalFormatting>
  <conditionalFormatting sqref="O43:O63">
    <cfRule type="colorScale" priority="94">
      <colorScale>
        <cfvo type="min"/>
        <cfvo type="percentile" val="50"/>
        <cfvo type="max"/>
        <color rgb="FFF8696B"/>
        <color rgb="FFFFEB84"/>
        <color rgb="FF63BE7B"/>
      </colorScale>
    </cfRule>
  </conditionalFormatting>
  <conditionalFormatting sqref="P43:P63">
    <cfRule type="colorScale" priority="93">
      <colorScale>
        <cfvo type="min"/>
        <cfvo type="percentile" val="50"/>
        <cfvo type="max"/>
        <color rgb="FFF8696B"/>
        <color rgb="FFFFEB84"/>
        <color rgb="FF63BE7B"/>
      </colorScale>
    </cfRule>
  </conditionalFormatting>
  <conditionalFormatting sqref="F43 F30:F33">
    <cfRule type="expression" dxfId="2505" priority="79">
      <formula>F30&gt;0</formula>
    </cfRule>
    <cfRule type="expression" dxfId="2504" priority="80">
      <formula>F30&lt;0</formula>
    </cfRule>
  </conditionalFormatting>
  <conditionalFormatting sqref="H43 H30:H33">
    <cfRule type="expression" dxfId="2503" priority="77">
      <formula>H30&gt;0</formula>
    </cfRule>
    <cfRule type="expression" dxfId="2502" priority="78">
      <formula>H30&lt;0</formula>
    </cfRule>
  </conditionalFormatting>
  <conditionalFormatting sqref="F115:F116 H115:I116 H117 H118:I128 H129 H130:I162 H163 H164:I168 H169 H170:I173 H174 F120:F188 H175:I188 I189:I196 H197:I201 F197:F201 F203 H203:I203 I202 H205:I206 F205:F206">
    <cfRule type="expression" dxfId="2501" priority="59">
      <formula>F115&gt;0</formula>
    </cfRule>
    <cfRule type="expression" dxfId="2500" priority="60">
      <formula>F115&lt;0</formula>
    </cfRule>
  </conditionalFormatting>
  <conditionalFormatting sqref="F112:F114">
    <cfRule type="expression" dxfId="2499" priority="57">
      <formula>F112&gt;0</formula>
    </cfRule>
    <cfRule type="expression" dxfId="2498" priority="58">
      <formula>F112&lt;0</formula>
    </cfRule>
  </conditionalFormatting>
  <conditionalFormatting sqref="H112:I112">
    <cfRule type="expression" dxfId="2497" priority="55">
      <formula>H112&gt;0</formula>
    </cfRule>
    <cfRule type="expression" dxfId="2496" priority="56">
      <formula>H112&lt;0</formula>
    </cfRule>
  </conditionalFormatting>
  <conditionalFormatting sqref="H113:I113">
    <cfRule type="expression" dxfId="2495" priority="53">
      <formula>H113&gt;0</formula>
    </cfRule>
    <cfRule type="expression" dxfId="2494" priority="54">
      <formula>H113&lt;0</formula>
    </cfRule>
  </conditionalFormatting>
  <conditionalFormatting sqref="H114:I114">
    <cfRule type="expression" dxfId="2493" priority="51">
      <formula>H114&gt;0</formula>
    </cfRule>
    <cfRule type="expression" dxfId="2492" priority="52">
      <formula>H114&lt;0</formula>
    </cfRule>
  </conditionalFormatting>
  <conditionalFormatting sqref="F105:F111">
    <cfRule type="expression" dxfId="2491" priority="49">
      <formula>F105&gt;0</formula>
    </cfRule>
    <cfRule type="expression" dxfId="2490" priority="50">
      <formula>F105&lt;0</formula>
    </cfRule>
  </conditionalFormatting>
  <conditionalFormatting sqref="H105:I111">
    <cfRule type="expression" dxfId="2489" priority="47">
      <formula>H105&gt;0</formula>
    </cfRule>
    <cfRule type="expression" dxfId="2488" priority="48">
      <formula>H105&lt;0</formula>
    </cfRule>
  </conditionalFormatting>
  <conditionalFormatting sqref="I117 F117:F119">
    <cfRule type="expression" dxfId="2487" priority="45">
      <formula>F117&gt;0</formula>
    </cfRule>
    <cfRule type="expression" dxfId="2486" priority="46">
      <formula>F117&lt;0</formula>
    </cfRule>
  </conditionalFormatting>
  <conditionalFormatting sqref="F189:F196 H189:H196">
    <cfRule type="expression" dxfId="2485" priority="43">
      <formula>F189&gt;0</formula>
    </cfRule>
    <cfRule type="expression" dxfId="2484" priority="44">
      <formula>F189&lt;0</formula>
    </cfRule>
  </conditionalFormatting>
  <conditionalFormatting sqref="H202 F202">
    <cfRule type="expression" dxfId="2483" priority="41">
      <formula>F202&gt;0</formula>
    </cfRule>
    <cfRule type="expression" dxfId="2482" priority="42">
      <formula>F202&lt;0</formula>
    </cfRule>
  </conditionalFormatting>
  <conditionalFormatting sqref="I204">
    <cfRule type="expression" dxfId="2481" priority="39">
      <formula>I204&gt;0</formula>
    </cfRule>
    <cfRule type="expression" dxfId="2480" priority="40">
      <formula>I204&lt;0</formula>
    </cfRule>
  </conditionalFormatting>
  <conditionalFormatting sqref="H204 F204">
    <cfRule type="expression" dxfId="2479" priority="37">
      <formula>F204&gt;0</formula>
    </cfRule>
    <cfRule type="expression" dxfId="2478" priority="38">
      <formula>F204&lt;0</formula>
    </cfRule>
  </conditionalFormatting>
  <conditionalFormatting sqref="M54">
    <cfRule type="expression" dxfId="2477" priority="35">
      <formula>M54&gt;0</formula>
    </cfRule>
    <cfRule type="expression" dxfId="2476" priority="36">
      <formula>M54&lt;0</formula>
    </cfRule>
  </conditionalFormatting>
  <conditionalFormatting sqref="K39:K49">
    <cfRule type="expression" dxfId="2475" priority="33">
      <formula>K39&gt;0</formula>
    </cfRule>
    <cfRule type="expression" dxfId="2474" priority="34">
      <formula>K39&lt;0</formula>
    </cfRule>
  </conditionalFormatting>
  <conditionalFormatting sqref="Q10">
    <cfRule type="expression" dxfId="2473" priority="31">
      <formula>Q10&gt;0</formula>
    </cfRule>
    <cfRule type="expression" dxfId="2472" priority="32">
      <formula>Q10&lt;0</formula>
    </cfRule>
  </conditionalFormatting>
  <conditionalFormatting sqref="Z10">
    <cfRule type="expression" dxfId="2471" priority="29">
      <formula>Z10&gt;0</formula>
    </cfRule>
    <cfRule type="expression" dxfId="2470" priority="30">
      <formula>Z10&lt;0</formula>
    </cfRule>
  </conditionalFormatting>
  <conditionalFormatting sqref="AA10:AE10">
    <cfRule type="expression" dxfId="2469" priority="27">
      <formula>AA10&gt;0</formula>
    </cfRule>
    <cfRule type="expression" dxfId="2468" priority="28">
      <formula>AA10&lt;0</formula>
    </cfRule>
  </conditionalFormatting>
  <conditionalFormatting sqref="Z24">
    <cfRule type="expression" dxfId="2467" priority="25">
      <formula>Z24&gt;0</formula>
    </cfRule>
    <cfRule type="expression" dxfId="2466" priority="26">
      <formula>Z24&lt;0</formula>
    </cfRule>
  </conditionalFormatting>
  <conditionalFormatting sqref="AF10:AG10">
    <cfRule type="expression" dxfId="2465" priority="17">
      <formula>AF10&gt;0</formula>
    </cfRule>
    <cfRule type="expression" dxfId="2464" priority="18">
      <formula>AF10&lt;0</formula>
    </cfRule>
  </conditionalFormatting>
  <conditionalFormatting sqref="H222:I222 H225:I225 I208:I209 H211 H212:I212 H214:I214 H213 H215:H216 F211:F219 H217:I218 H219 H221 H223:H224 F221:F225">
    <cfRule type="expression" dxfId="2463" priority="15">
      <formula>F208&gt;0</formula>
    </cfRule>
    <cfRule type="expression" dxfId="2462" priority="16">
      <formula>F208&lt;0</formula>
    </cfRule>
  </conditionalFormatting>
  <conditionalFormatting sqref="F220 F207:F210">
    <cfRule type="expression" dxfId="2461" priority="13">
      <formula>F207&gt;0</formula>
    </cfRule>
    <cfRule type="expression" dxfId="2460" priority="14">
      <formula>F207&lt;0</formula>
    </cfRule>
  </conditionalFormatting>
  <conditionalFormatting sqref="H207:I207 H220 H208:H210">
    <cfRule type="expression" dxfId="2459" priority="11">
      <formula>H207&gt;0</formula>
    </cfRule>
    <cfRule type="expression" dxfId="2458" priority="12">
      <formula>H207&lt;0</formula>
    </cfRule>
  </conditionalFormatting>
  <conditionalFormatting sqref="K210:K225">
    <cfRule type="expression" dxfId="2457" priority="9">
      <formula>K210&gt;0</formula>
    </cfRule>
    <cfRule type="expression" dxfId="2456" priority="10">
      <formula>K210&lt;0</formula>
    </cfRule>
  </conditionalFormatting>
  <conditionalFormatting sqref="K31">
    <cfRule type="expression" dxfId="2455" priority="7">
      <formula>K31&gt;0</formula>
    </cfRule>
    <cfRule type="expression" dxfId="2454" priority="8">
      <formula>K31&lt;0</formula>
    </cfRule>
  </conditionalFormatting>
  <conditionalFormatting sqref="K32:K38">
    <cfRule type="expression" dxfId="2453" priority="5">
      <formula>K32&gt;0</formula>
    </cfRule>
    <cfRule type="expression" dxfId="2452" priority="6">
      <formula>K32&lt;0</formula>
    </cfRule>
  </conditionalFormatting>
  <conditionalFormatting sqref="Q7">
    <cfRule type="expression" dxfId="2451" priority="3">
      <formula>Q7&gt;0</formula>
    </cfRule>
    <cfRule type="expression" dxfId="2450" priority="4">
      <formula>Q7&lt;0</formula>
    </cfRule>
  </conditionalFormatting>
  <conditionalFormatting sqref="Q8">
    <cfRule type="expression" dxfId="2449" priority="1">
      <formula>Q8&gt;0</formula>
    </cfRule>
    <cfRule type="expression" dxfId="2448" priority="2">
      <formula>Q8&lt;0</formula>
    </cfRule>
  </conditionalFormatting>
  <hyperlinks>
    <hyperlink ref="A3" location="ACTIVE!A1" display="Back"/>
    <hyperlink ref="A57" location="ACTIVE!A1" display="Back"/>
  </hyperlinks>
  <pageMargins left="0.7" right="0.7" top="0.75" bottom="0.75" header="0.3" footer="0.3"/>
  <pageSetup orientation="portrait" horizontalDpi="4294967293" r:id="rId1"/>
  <ignoredErrors>
    <ignoredError sqref="Y23 Y9:AC9" formulaRange="1"/>
  </ignoredErrors>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6"/>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2" max="12" width="10.85546875" bestFit="1" customWidth="1"/>
    <col min="17" max="17" width="13.140625" bestFit="1" customWidth="1"/>
    <col min="18" max="18" width="10.7109375" bestFit="1" customWidth="1"/>
    <col min="20" max="20" width="13.7109375" customWidth="1"/>
    <col min="21" max="21" width="99" customWidth="1"/>
    <col min="23" max="23" width="11.140625" bestFit="1" customWidth="1"/>
  </cols>
  <sheetData>
    <row r="1" spans="1:23" s="11" customFormat="1" x14ac:dyDescent="0.25">
      <c r="A1" s="853"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778</v>
      </c>
      <c r="B2" s="360">
        <v>43105</v>
      </c>
      <c r="C2" s="7">
        <v>40</v>
      </c>
      <c r="D2" s="43">
        <v>90.08</v>
      </c>
      <c r="E2" s="43">
        <v>0</v>
      </c>
      <c r="F2" s="43">
        <f t="shared" ref="F2:F10" si="0">C2*D2+E2</f>
        <v>3603.2</v>
      </c>
      <c r="G2" s="360">
        <v>43213</v>
      </c>
      <c r="H2" s="7">
        <v>40</v>
      </c>
      <c r="I2" s="43">
        <v>86.55</v>
      </c>
      <c r="J2" s="43">
        <v>0.08</v>
      </c>
      <c r="K2" s="43">
        <f t="shared" ref="K2:K10" si="1">H2*I2-J2</f>
        <v>3461.92</v>
      </c>
      <c r="L2" s="69">
        <v>43146</v>
      </c>
      <c r="M2" s="43">
        <v>22.8</v>
      </c>
      <c r="O2" s="11" t="s">
        <v>57</v>
      </c>
      <c r="Q2" s="181">
        <f>C18-H18</f>
        <v>0</v>
      </c>
      <c r="T2" s="1"/>
      <c r="U2" t="s">
        <v>813</v>
      </c>
      <c r="W2" s="131"/>
    </row>
    <row r="3" spans="1:23" x14ac:dyDescent="0.25">
      <c r="A3" s="22" t="s">
        <v>71</v>
      </c>
      <c r="B3" s="360">
        <v>43172</v>
      </c>
      <c r="C3" s="7">
        <v>40</v>
      </c>
      <c r="D3" s="43">
        <v>89.88</v>
      </c>
      <c r="E3" s="43">
        <v>0</v>
      </c>
      <c r="F3" s="43">
        <f t="shared" si="0"/>
        <v>3595.2</v>
      </c>
      <c r="G3" s="360">
        <v>43217</v>
      </c>
      <c r="H3" s="77">
        <v>40</v>
      </c>
      <c r="I3" s="43">
        <v>87.38</v>
      </c>
      <c r="J3" s="43">
        <v>0.08</v>
      </c>
      <c r="K3" s="43">
        <f t="shared" si="1"/>
        <v>3495.12</v>
      </c>
      <c r="L3" s="69">
        <v>43236</v>
      </c>
      <c r="M3" s="43">
        <v>63</v>
      </c>
      <c r="O3" s="11" t="s">
        <v>58</v>
      </c>
      <c r="Q3" s="174">
        <f>IF(Q2=0, Q4, (F18-K18-M18)/Q2)</f>
        <v>118.08</v>
      </c>
      <c r="T3" s="1">
        <v>43114</v>
      </c>
      <c r="U3" t="s">
        <v>814</v>
      </c>
      <c r="W3" s="131"/>
    </row>
    <row r="4" spans="1:23" x14ac:dyDescent="0.25">
      <c r="B4" s="360">
        <v>43172</v>
      </c>
      <c r="C4" s="7">
        <v>20</v>
      </c>
      <c r="D4" s="43">
        <v>89.88</v>
      </c>
      <c r="E4" s="43">
        <v>0</v>
      </c>
      <c r="F4" s="43">
        <f t="shared" si="0"/>
        <v>1797.6</v>
      </c>
      <c r="G4" s="360">
        <v>43258</v>
      </c>
      <c r="H4" s="77">
        <v>60</v>
      </c>
      <c r="I4" s="43">
        <v>89.25</v>
      </c>
      <c r="J4" s="43">
        <v>7.0000000000000007E-2</v>
      </c>
      <c r="K4" s="43">
        <f t="shared" si="1"/>
        <v>5354.93</v>
      </c>
      <c r="L4" s="69">
        <v>43419</v>
      </c>
      <c r="M4" s="43">
        <v>25.2</v>
      </c>
      <c r="O4" s="11" t="s">
        <v>66</v>
      </c>
      <c r="Q4" s="53">
        <v>118.08</v>
      </c>
      <c r="R4" s="416">
        <v>2.5100000000000001E-2</v>
      </c>
      <c r="T4" s="1"/>
      <c r="W4" s="131"/>
    </row>
    <row r="5" spans="1:23" x14ac:dyDescent="0.25">
      <c r="B5" s="360">
        <v>43210</v>
      </c>
      <c r="C5" s="7">
        <v>40</v>
      </c>
      <c r="D5" s="43">
        <v>82.82</v>
      </c>
      <c r="E5" s="43">
        <v>0</v>
      </c>
      <c r="F5" s="43">
        <f t="shared" si="0"/>
        <v>3312.7999999999997</v>
      </c>
      <c r="G5" s="360">
        <v>43304</v>
      </c>
      <c r="H5" s="77">
        <v>40</v>
      </c>
      <c r="I5" s="43">
        <v>105.35</v>
      </c>
      <c r="J5" s="43">
        <v>0.05</v>
      </c>
      <c r="K5" s="43">
        <f t="shared" si="1"/>
        <v>4213.95</v>
      </c>
      <c r="L5" s="69">
        <v>43511</v>
      </c>
      <c r="M5" s="43">
        <v>25.2</v>
      </c>
      <c r="O5" s="11" t="s">
        <v>67</v>
      </c>
      <c r="Q5" s="3">
        <f>Q4*Q2</f>
        <v>0</v>
      </c>
      <c r="T5" s="1">
        <v>43121</v>
      </c>
      <c r="U5" t="s">
        <v>831</v>
      </c>
      <c r="W5" s="131"/>
    </row>
    <row r="6" spans="1:23" x14ac:dyDescent="0.25">
      <c r="B6" s="360">
        <v>43216</v>
      </c>
      <c r="C6" s="7">
        <v>40</v>
      </c>
      <c r="D6" s="43">
        <v>84.8</v>
      </c>
      <c r="E6" s="43">
        <v>0</v>
      </c>
      <c r="F6" s="43">
        <f t="shared" si="0"/>
        <v>3392</v>
      </c>
      <c r="G6" s="360">
        <v>43362</v>
      </c>
      <c r="H6" s="77">
        <v>40</v>
      </c>
      <c r="I6" s="43">
        <v>109.28</v>
      </c>
      <c r="J6" s="43">
        <v>0.06</v>
      </c>
      <c r="K6" s="43">
        <f t="shared" si="1"/>
        <v>4371.1399999999994</v>
      </c>
      <c r="L6" s="4"/>
      <c r="M6" s="4"/>
      <c r="O6" s="11" t="s">
        <v>64</v>
      </c>
      <c r="Q6" s="2">
        <f>Q3*Q2</f>
        <v>0</v>
      </c>
      <c r="W6" s="131"/>
    </row>
    <row r="7" spans="1:23" x14ac:dyDescent="0.25">
      <c r="B7" s="360">
        <v>43320</v>
      </c>
      <c r="C7" s="7">
        <v>40</v>
      </c>
      <c r="D7" s="43">
        <v>97.88</v>
      </c>
      <c r="E7" s="43">
        <v>0</v>
      </c>
      <c r="F7" s="43">
        <f t="shared" si="0"/>
        <v>3915.2</v>
      </c>
      <c r="G7" s="360">
        <v>43461</v>
      </c>
      <c r="H7" s="77">
        <v>4</v>
      </c>
      <c r="I7" s="43">
        <v>81.42</v>
      </c>
      <c r="J7" s="43">
        <v>0.01</v>
      </c>
      <c r="K7" s="43">
        <f t="shared" si="1"/>
        <v>325.67</v>
      </c>
      <c r="L7" s="4"/>
      <c r="M7" s="4"/>
      <c r="O7" s="11" t="s">
        <v>175</v>
      </c>
      <c r="Q7" s="2">
        <f>Q10+Q8</f>
        <v>1468.9799999999996</v>
      </c>
      <c r="R7">
        <v>0</v>
      </c>
      <c r="T7" s="1">
        <v>43138</v>
      </c>
      <c r="U7" t="s">
        <v>911</v>
      </c>
      <c r="W7" s="131"/>
    </row>
    <row r="8" spans="1:23" x14ac:dyDescent="0.25">
      <c r="B8" s="360">
        <v>43368</v>
      </c>
      <c r="C8" s="7">
        <v>40</v>
      </c>
      <c r="D8" s="43">
        <v>105.88</v>
      </c>
      <c r="E8" s="43">
        <v>0</v>
      </c>
      <c r="F8" s="43">
        <f t="shared" si="0"/>
        <v>4235.2</v>
      </c>
      <c r="G8" s="360">
        <v>43472</v>
      </c>
      <c r="H8" s="77">
        <v>36</v>
      </c>
      <c r="I8" s="43">
        <v>83.25</v>
      </c>
      <c r="J8" s="43">
        <v>0.04</v>
      </c>
      <c r="K8" s="43">
        <f t="shared" si="1"/>
        <v>2996.96</v>
      </c>
      <c r="L8" s="4"/>
      <c r="M8" s="4"/>
      <c r="O8" s="11" t="s">
        <v>177</v>
      </c>
      <c r="P8" s="33"/>
      <c r="Q8" s="2">
        <f>K18+M18-F18+Q2*Q4</f>
        <v>1468.9799999999996</v>
      </c>
      <c r="T8" s="1"/>
      <c r="U8" t="s">
        <v>912</v>
      </c>
      <c r="W8" s="131"/>
    </row>
    <row r="9" spans="1:23" x14ac:dyDescent="0.25">
      <c r="B9" s="360">
        <v>43441</v>
      </c>
      <c r="C9" s="7">
        <v>40</v>
      </c>
      <c r="D9" s="43">
        <v>84</v>
      </c>
      <c r="E9" s="43">
        <v>0</v>
      </c>
      <c r="F9" s="43">
        <f t="shared" si="0"/>
        <v>3360</v>
      </c>
      <c r="G9" s="360">
        <v>43483</v>
      </c>
      <c r="H9" s="77">
        <v>20</v>
      </c>
      <c r="I9" s="43">
        <v>89</v>
      </c>
      <c r="J9" s="43">
        <v>0.02</v>
      </c>
      <c r="K9" s="43">
        <f t="shared" si="1"/>
        <v>1779.98</v>
      </c>
      <c r="L9" s="4"/>
      <c r="M9" s="4"/>
      <c r="O9" s="11" t="s">
        <v>202</v>
      </c>
      <c r="Q9" s="131">
        <f>IF(Q2=0, 0, Q8/Q6)</f>
        <v>0</v>
      </c>
      <c r="U9" t="s">
        <v>913</v>
      </c>
      <c r="W9" s="131"/>
    </row>
    <row r="10" spans="1:23" x14ac:dyDescent="0.25">
      <c r="B10" s="360">
        <v>43453</v>
      </c>
      <c r="C10" s="7">
        <v>20</v>
      </c>
      <c r="D10" s="43">
        <v>79.38</v>
      </c>
      <c r="E10" s="43">
        <v>0</v>
      </c>
      <c r="F10" s="43">
        <f t="shared" si="0"/>
        <v>1587.6</v>
      </c>
      <c r="G10" s="360">
        <v>43579</v>
      </c>
      <c r="H10" s="77">
        <v>40</v>
      </c>
      <c r="I10" s="43">
        <v>103.3</v>
      </c>
      <c r="J10" s="43">
        <v>0.09</v>
      </c>
      <c r="K10" s="43">
        <f t="shared" si="1"/>
        <v>4131.91</v>
      </c>
      <c r="O10" s="11" t="s">
        <v>201</v>
      </c>
      <c r="P10" s="33"/>
      <c r="Q10" s="2">
        <f>M66</f>
        <v>0</v>
      </c>
      <c r="U10" t="s">
        <v>915</v>
      </c>
      <c r="W10" s="131"/>
    </row>
    <row r="11" spans="1:23" x14ac:dyDescent="0.25">
      <c r="H11" s="67"/>
      <c r="O11" s="11" t="s">
        <v>173</v>
      </c>
      <c r="P11" s="33"/>
      <c r="Q11" s="131">
        <f>R11*4/Q4</f>
        <v>1.9308943089430892E-2</v>
      </c>
      <c r="R11">
        <f>0.57</f>
        <v>0.56999999999999995</v>
      </c>
      <c r="W11" s="131"/>
    </row>
    <row r="12" spans="1:23" x14ac:dyDescent="0.25">
      <c r="H12" s="67"/>
      <c r="O12" s="11" t="s">
        <v>875</v>
      </c>
      <c r="Q12" s="1" t="s">
        <v>1324</v>
      </c>
      <c r="W12" s="131"/>
    </row>
    <row r="13" spans="1:23" x14ac:dyDescent="0.25">
      <c r="H13" s="67"/>
      <c r="O13" s="11" t="s">
        <v>901</v>
      </c>
      <c r="Q13" s="2">
        <f>Q4/4.76</f>
        <v>24.806722689075631</v>
      </c>
      <c r="T13" s="1">
        <v>43213</v>
      </c>
      <c r="U13" t="s">
        <v>914</v>
      </c>
      <c r="W13" s="131"/>
    </row>
    <row r="14" spans="1:23" x14ac:dyDescent="0.25">
      <c r="H14" s="67"/>
      <c r="U14" t="s">
        <v>952</v>
      </c>
      <c r="W14" s="131"/>
    </row>
    <row r="15" spans="1:23" x14ac:dyDescent="0.25">
      <c r="H15" s="67"/>
      <c r="U15" t="s">
        <v>953</v>
      </c>
      <c r="W15" s="131"/>
    </row>
    <row r="16" spans="1:23" x14ac:dyDescent="0.25">
      <c r="H16" s="67"/>
      <c r="W16" s="131"/>
    </row>
    <row r="17" spans="1:23" x14ac:dyDescent="0.25">
      <c r="T17" s="1">
        <v>43240</v>
      </c>
      <c r="U17" t="s">
        <v>1020</v>
      </c>
      <c r="W17" s="131"/>
    </row>
    <row r="18" spans="1:23" ht="20.25" thickBot="1" x14ac:dyDescent="0.35">
      <c r="A18" s="31" t="s">
        <v>81</v>
      </c>
      <c r="B18" s="14"/>
      <c r="C18" s="14">
        <f>SUM(C2:C10)</f>
        <v>320</v>
      </c>
      <c r="D18" s="18"/>
      <c r="E18" s="18"/>
      <c r="F18" s="18">
        <f>SUM(F2:F10)</f>
        <v>28798.799999999999</v>
      </c>
      <c r="G18" s="14"/>
      <c r="H18" s="68">
        <f>SUM(H2:H10)</f>
        <v>320</v>
      </c>
      <c r="I18" s="18"/>
      <c r="J18" s="18"/>
      <c r="K18" s="18">
        <f>SUM(K2:K10)</f>
        <v>30131.579999999998</v>
      </c>
      <c r="L18" s="14"/>
      <c r="M18" s="18">
        <f>SUM(M2:M10)</f>
        <v>136.19999999999999</v>
      </c>
      <c r="O18" s="886" t="s">
        <v>78</v>
      </c>
      <c r="P18" s="886"/>
      <c r="W18" s="131"/>
    </row>
    <row r="19" spans="1:23" ht="16.5" thickTop="1" thickBot="1" x14ac:dyDescent="0.3">
      <c r="A19" s="273" t="s">
        <v>189</v>
      </c>
      <c r="B19" s="274"/>
      <c r="C19" s="275">
        <f>SumByColor($A$19,C2:C17)</f>
        <v>320</v>
      </c>
      <c r="D19" s="275"/>
      <c r="E19" s="275"/>
      <c r="F19" s="276">
        <f>SumByColor($A$19,F2:F17)</f>
        <v>28799</v>
      </c>
      <c r="G19" s="275"/>
      <c r="H19" s="275">
        <f>SumByColor($A$19,H2:H17)</f>
        <v>320</v>
      </c>
      <c r="I19" s="275"/>
      <c r="J19" s="275"/>
      <c r="K19" s="276">
        <f>SumByColor($A$19,K2:K17)</f>
        <v>30132</v>
      </c>
      <c r="L19" s="275"/>
      <c r="M19" s="276">
        <f>SumByColor($A$19,M2:M17)</f>
        <v>136</v>
      </c>
      <c r="O19" s="78">
        <v>1.1000000000000001</v>
      </c>
      <c r="P19" s="78">
        <f>O19*$Q$4</f>
        <v>129.88800000000001</v>
      </c>
      <c r="W19" s="131"/>
    </row>
    <row r="20" spans="1:23" x14ac:dyDescent="0.25">
      <c r="O20" s="78">
        <v>1.0900000000000001</v>
      </c>
      <c r="P20" s="78">
        <f t="shared" ref="P20:P39" si="2">O20*$Q$4</f>
        <v>128.7072</v>
      </c>
      <c r="T20" s="1">
        <v>43304</v>
      </c>
      <c r="U20" s="396" t="s">
        <v>1141</v>
      </c>
      <c r="W20" s="131"/>
    </row>
    <row r="21" spans="1:23" x14ac:dyDescent="0.25">
      <c r="O21" s="78">
        <v>1.08</v>
      </c>
      <c r="P21" s="78">
        <f t="shared" si="2"/>
        <v>127.52640000000001</v>
      </c>
      <c r="W21" s="131"/>
    </row>
    <row r="22" spans="1:23" x14ac:dyDescent="0.25">
      <c r="O22" s="78">
        <v>1.07</v>
      </c>
      <c r="P22" s="78">
        <f t="shared" si="2"/>
        <v>126.3456</v>
      </c>
      <c r="T22" s="153">
        <v>43306</v>
      </c>
      <c r="U22" t="s">
        <v>1142</v>
      </c>
      <c r="W22" s="131"/>
    </row>
    <row r="23" spans="1:23" x14ac:dyDescent="0.25">
      <c r="O23" s="78">
        <v>1.06</v>
      </c>
      <c r="P23" s="78">
        <f t="shared" si="2"/>
        <v>125.1648</v>
      </c>
      <c r="W23" s="131"/>
    </row>
    <row r="24" spans="1:23" x14ac:dyDescent="0.25">
      <c r="B24" s="159" t="s">
        <v>113</v>
      </c>
      <c r="C24" s="159" t="s">
        <v>143</v>
      </c>
      <c r="D24" s="160" t="s">
        <v>142</v>
      </c>
      <c r="E24" s="162" t="s">
        <v>144</v>
      </c>
      <c r="F24" s="162" t="s">
        <v>65</v>
      </c>
      <c r="G24" s="173" t="s">
        <v>148</v>
      </c>
      <c r="H24" s="173" t="s">
        <v>88</v>
      </c>
      <c r="I24" s="173" t="s">
        <v>151</v>
      </c>
      <c r="J24" s="173" t="s">
        <v>452</v>
      </c>
      <c r="K24" s="173" t="s">
        <v>901</v>
      </c>
      <c r="L24" s="173" t="s">
        <v>147</v>
      </c>
      <c r="O24" s="78">
        <v>1.05</v>
      </c>
      <c r="P24" s="78">
        <f t="shared" si="2"/>
        <v>123.98400000000001</v>
      </c>
      <c r="W24" s="131"/>
    </row>
    <row r="25" spans="1:23" x14ac:dyDescent="0.25">
      <c r="B25" s="161">
        <v>43105</v>
      </c>
      <c r="C25" s="181">
        <v>40</v>
      </c>
      <c r="D25" s="182">
        <v>90.08</v>
      </c>
      <c r="E25" s="39">
        <v>92.41</v>
      </c>
      <c r="F25" s="39">
        <f t="shared" ref="F25:F40" si="3">C25*(E25-D25)</f>
        <v>93.199999999999932</v>
      </c>
      <c r="G25" s="39">
        <f t="shared" ref="G25:G40" si="4">D25*C25</f>
        <v>3603.2</v>
      </c>
      <c r="H25" s="175">
        <f t="shared" ref="H25:H40" si="5">(E25-D25)/D25</f>
        <v>2.5865896980461794E-2</v>
      </c>
      <c r="I25" s="39"/>
      <c r="J25" s="39"/>
      <c r="K25" s="39"/>
      <c r="L25" s="39">
        <v>93.199999999999932</v>
      </c>
      <c r="O25" s="78">
        <v>1.04</v>
      </c>
      <c r="P25" s="78">
        <f t="shared" si="2"/>
        <v>122.8032</v>
      </c>
      <c r="W25" s="131"/>
    </row>
    <row r="26" spans="1:23" x14ac:dyDescent="0.25">
      <c r="B26" s="161">
        <v>43147</v>
      </c>
      <c r="C26" s="10">
        <v>40</v>
      </c>
      <c r="D26" s="39">
        <v>89.51</v>
      </c>
      <c r="E26" s="39">
        <v>98.85</v>
      </c>
      <c r="F26" s="39">
        <f t="shared" si="3"/>
        <v>373.59999999999957</v>
      </c>
      <c r="G26" s="39">
        <f t="shared" si="4"/>
        <v>3580.4</v>
      </c>
      <c r="H26" s="175">
        <f t="shared" si="5"/>
        <v>0.1043458831415483</v>
      </c>
      <c r="I26" s="39"/>
      <c r="J26" s="39"/>
      <c r="K26" s="39"/>
      <c r="L26" s="39">
        <v>373.59999999999957</v>
      </c>
      <c r="O26" s="78">
        <v>1.03</v>
      </c>
      <c r="P26" s="78">
        <f t="shared" si="2"/>
        <v>121.6224</v>
      </c>
      <c r="W26" s="131"/>
    </row>
    <row r="27" spans="1:23" x14ac:dyDescent="0.25">
      <c r="B27" s="161">
        <v>43172</v>
      </c>
      <c r="C27" s="7">
        <v>100</v>
      </c>
      <c r="D27" s="43">
        <v>89.731999999999999</v>
      </c>
      <c r="E27" s="39">
        <v>89.35</v>
      </c>
      <c r="F27" s="39">
        <f t="shared" si="3"/>
        <v>-38.2000000000005</v>
      </c>
      <c r="G27" s="39">
        <f t="shared" si="4"/>
        <v>8973.2000000000007</v>
      </c>
      <c r="H27" s="175">
        <f t="shared" si="5"/>
        <v>-4.2571212053671486E-3</v>
      </c>
      <c r="I27" s="39"/>
      <c r="J27" s="39"/>
      <c r="K27" s="39"/>
      <c r="L27" s="639">
        <v>-38.2000000000005</v>
      </c>
      <c r="O27" s="78">
        <v>1.02</v>
      </c>
      <c r="P27" s="78">
        <f t="shared" si="2"/>
        <v>120.44159999999999</v>
      </c>
      <c r="W27" s="131"/>
    </row>
    <row r="28" spans="1:23" x14ac:dyDescent="0.25">
      <c r="B28" s="161">
        <v>43177</v>
      </c>
      <c r="C28" s="10">
        <v>100</v>
      </c>
      <c r="D28" s="39">
        <v>89.731999999999999</v>
      </c>
      <c r="E28" s="39">
        <v>87.74</v>
      </c>
      <c r="F28" s="39">
        <f t="shared" si="3"/>
        <v>-199.20000000000044</v>
      </c>
      <c r="G28" s="39">
        <f t="shared" si="4"/>
        <v>8973.2000000000007</v>
      </c>
      <c r="H28" s="175">
        <f t="shared" si="5"/>
        <v>-2.2199438327464054E-2</v>
      </c>
      <c r="I28" s="39"/>
      <c r="J28" s="39"/>
      <c r="K28" s="39"/>
      <c r="L28" s="639">
        <v>-199.20000000000044</v>
      </c>
      <c r="O28" s="78">
        <v>1.01</v>
      </c>
      <c r="P28" s="78">
        <f t="shared" si="2"/>
        <v>119.2608</v>
      </c>
      <c r="W28" s="131"/>
    </row>
    <row r="29" spans="1:23" x14ac:dyDescent="0.25">
      <c r="B29" s="161">
        <v>43178</v>
      </c>
      <c r="C29" s="10">
        <v>100</v>
      </c>
      <c r="D29" s="39">
        <v>89.731999999999999</v>
      </c>
      <c r="E29" s="39">
        <v>86.45</v>
      </c>
      <c r="F29" s="39">
        <f t="shared" si="3"/>
        <v>-328.19999999999965</v>
      </c>
      <c r="G29" s="39">
        <f t="shared" si="4"/>
        <v>8973.2000000000007</v>
      </c>
      <c r="H29" s="175">
        <f t="shared" si="5"/>
        <v>-3.6575580617839748E-2</v>
      </c>
      <c r="I29" s="39"/>
      <c r="J29" s="39"/>
      <c r="K29" s="39"/>
      <c r="L29" s="639">
        <v>-328.19999999999965</v>
      </c>
      <c r="O29" s="78">
        <v>1</v>
      </c>
      <c r="P29" s="78">
        <f t="shared" si="2"/>
        <v>118.08</v>
      </c>
      <c r="W29" s="131"/>
    </row>
    <row r="30" spans="1:23" x14ac:dyDescent="0.25">
      <c r="B30" s="161">
        <v>43184</v>
      </c>
      <c r="C30" s="10">
        <v>100</v>
      </c>
      <c r="D30" s="39">
        <v>89.731999999999999</v>
      </c>
      <c r="E30" s="39">
        <v>84.22</v>
      </c>
      <c r="F30" s="39">
        <f t="shared" si="3"/>
        <v>-551.20000000000005</v>
      </c>
      <c r="G30" s="39">
        <f t="shared" si="4"/>
        <v>8973.2000000000007</v>
      </c>
      <c r="H30" s="175">
        <f t="shared" si="5"/>
        <v>-6.1427361476396387E-2</v>
      </c>
      <c r="I30" s="39"/>
      <c r="J30" s="39"/>
      <c r="K30" s="39"/>
      <c r="L30" s="639">
        <v>-551.20000000000005</v>
      </c>
      <c r="O30" s="78">
        <v>0.99</v>
      </c>
      <c r="P30" s="78">
        <f t="shared" si="2"/>
        <v>116.89919999999999</v>
      </c>
      <c r="W30" s="131"/>
    </row>
    <row r="31" spans="1:23" x14ac:dyDescent="0.25">
      <c r="B31" s="161">
        <v>43185</v>
      </c>
      <c r="C31" s="10">
        <v>100</v>
      </c>
      <c r="D31" s="39">
        <v>89.731999999999999</v>
      </c>
      <c r="E31" s="39">
        <v>85.08</v>
      </c>
      <c r="F31" s="39">
        <f t="shared" si="3"/>
        <v>-465.2000000000001</v>
      </c>
      <c r="G31" s="39">
        <f t="shared" si="4"/>
        <v>8973.2000000000007</v>
      </c>
      <c r="H31" s="175">
        <f t="shared" si="5"/>
        <v>-5.1843266616145869E-2</v>
      </c>
      <c r="I31" s="39"/>
      <c r="J31" s="39"/>
      <c r="K31" s="39"/>
      <c r="L31" s="639">
        <v>-465.2000000000001</v>
      </c>
      <c r="O31" s="78">
        <v>0.98</v>
      </c>
      <c r="P31" s="78">
        <f t="shared" si="2"/>
        <v>115.7184</v>
      </c>
      <c r="W31" s="131"/>
    </row>
    <row r="32" spans="1:23" x14ac:dyDescent="0.25">
      <c r="B32" s="161">
        <v>43186</v>
      </c>
      <c r="C32" s="10">
        <v>100</v>
      </c>
      <c r="D32" s="39">
        <v>89.731999999999999</v>
      </c>
      <c r="E32" s="39">
        <v>84.07</v>
      </c>
      <c r="F32" s="39">
        <f t="shared" si="3"/>
        <v>-566.20000000000061</v>
      </c>
      <c r="G32" s="39">
        <f t="shared" si="4"/>
        <v>8973.2000000000007</v>
      </c>
      <c r="H32" s="175">
        <f t="shared" si="5"/>
        <v>-6.3099005928765731E-2</v>
      </c>
      <c r="I32" s="39"/>
      <c r="J32" s="39"/>
      <c r="K32" s="39"/>
      <c r="L32" s="639">
        <v>-566.20000000000061</v>
      </c>
      <c r="O32" s="78">
        <v>0.97</v>
      </c>
      <c r="P32" s="78">
        <f t="shared" si="2"/>
        <v>114.5376</v>
      </c>
      <c r="W32" s="131"/>
    </row>
    <row r="33" spans="1:23" x14ac:dyDescent="0.25">
      <c r="A33" s="29"/>
      <c r="B33" s="161">
        <v>43198</v>
      </c>
      <c r="C33" s="10">
        <v>100</v>
      </c>
      <c r="D33" s="39">
        <v>89.731999999999999</v>
      </c>
      <c r="E33" s="39">
        <v>84.43</v>
      </c>
      <c r="F33" s="39">
        <f t="shared" si="3"/>
        <v>-530.19999999999925</v>
      </c>
      <c r="G33" s="39">
        <f t="shared" si="4"/>
        <v>8973.2000000000007</v>
      </c>
      <c r="H33" s="175">
        <f t="shared" si="5"/>
        <v>-5.9087059243079311E-2</v>
      </c>
      <c r="I33" s="39"/>
      <c r="J33" s="39">
        <v>36</v>
      </c>
      <c r="K33" s="39">
        <v>12.79</v>
      </c>
      <c r="L33" s="639">
        <v>-530.19999999999925</v>
      </c>
      <c r="O33" s="78">
        <v>0.96</v>
      </c>
      <c r="P33" s="78">
        <f t="shared" si="2"/>
        <v>113.35679999999999</v>
      </c>
      <c r="W33" s="131"/>
    </row>
    <row r="34" spans="1:23" x14ac:dyDescent="0.25">
      <c r="A34">
        <v>100</v>
      </c>
      <c r="B34" s="161">
        <v>43210</v>
      </c>
      <c r="C34" s="10">
        <v>140</v>
      </c>
      <c r="D34" s="39">
        <v>87.757099999999994</v>
      </c>
      <c r="E34" s="39">
        <v>82.82</v>
      </c>
      <c r="F34" s="39">
        <f t="shared" si="3"/>
        <v>-691.19400000000019</v>
      </c>
      <c r="G34" s="39">
        <f t="shared" si="4"/>
        <v>12285.993999999999</v>
      </c>
      <c r="H34" s="175">
        <f t="shared" si="5"/>
        <v>-5.6258695877598519E-2</v>
      </c>
      <c r="I34" s="39"/>
      <c r="J34" s="39"/>
      <c r="K34" s="39">
        <v>12.55</v>
      </c>
      <c r="L34" s="639">
        <v>-691.19400000000019</v>
      </c>
      <c r="O34" s="78">
        <v>0.95</v>
      </c>
      <c r="P34" s="78">
        <f t="shared" si="2"/>
        <v>112.17599999999999</v>
      </c>
      <c r="W34" s="131"/>
    </row>
    <row r="35" spans="1:23" x14ac:dyDescent="0.25">
      <c r="A35">
        <v>60</v>
      </c>
      <c r="B35" s="161">
        <v>43213</v>
      </c>
      <c r="C35" s="7">
        <v>100</v>
      </c>
      <c r="D35" s="43">
        <v>88.240799999999993</v>
      </c>
      <c r="E35" s="39">
        <v>86.12</v>
      </c>
      <c r="F35" s="39">
        <f t="shared" si="3"/>
        <v>-212.07999999999885</v>
      </c>
      <c r="G35" s="39">
        <f t="shared" si="4"/>
        <v>8824.08</v>
      </c>
      <c r="H35" s="175">
        <f t="shared" si="5"/>
        <v>-2.4034233597156743E-2</v>
      </c>
      <c r="I35" s="39"/>
      <c r="J35" s="39"/>
      <c r="K35" s="39"/>
      <c r="L35" s="639">
        <v>-212.07999999999885</v>
      </c>
      <c r="O35" s="78">
        <v>0.94</v>
      </c>
      <c r="P35" s="78">
        <f t="shared" si="2"/>
        <v>110.9952</v>
      </c>
      <c r="W35" s="131"/>
    </row>
    <row r="36" spans="1:23" x14ac:dyDescent="0.25">
      <c r="A36">
        <v>60</v>
      </c>
      <c r="B36" s="161">
        <v>43216</v>
      </c>
      <c r="C36" s="10">
        <v>140</v>
      </c>
      <c r="D36" s="39">
        <v>87.2577</v>
      </c>
      <c r="E36" s="39">
        <v>85.81</v>
      </c>
      <c r="F36" s="39">
        <f t="shared" si="3"/>
        <v>-202.67799999999966</v>
      </c>
      <c r="G36" s="39">
        <f t="shared" si="4"/>
        <v>12216.078</v>
      </c>
      <c r="H36" s="175">
        <f t="shared" si="5"/>
        <v>-1.6591085944277668E-2</v>
      </c>
      <c r="I36" s="39"/>
      <c r="J36" s="39"/>
      <c r="K36" s="39">
        <v>13</v>
      </c>
      <c r="L36" s="39">
        <v>-202.67799999999966</v>
      </c>
      <c r="O36" s="78">
        <v>0.93</v>
      </c>
      <c r="P36" s="78">
        <f t="shared" si="2"/>
        <v>109.81440000000001</v>
      </c>
      <c r="W36" s="131"/>
    </row>
    <row r="37" spans="1:23" x14ac:dyDescent="0.25">
      <c r="A37">
        <v>20</v>
      </c>
      <c r="B37" s="161">
        <v>43217</v>
      </c>
      <c r="C37" s="7">
        <v>100</v>
      </c>
      <c r="D37" s="43">
        <v>87.21</v>
      </c>
      <c r="E37" s="39">
        <v>87.38</v>
      </c>
      <c r="F37" s="39">
        <f t="shared" si="3"/>
        <v>17.000000000000171</v>
      </c>
      <c r="G37" s="39">
        <f t="shared" si="4"/>
        <v>8721</v>
      </c>
      <c r="H37" s="175">
        <f t="shared" si="5"/>
        <v>1.9493177387914426E-3</v>
      </c>
      <c r="I37" s="39"/>
      <c r="J37" s="39"/>
      <c r="K37" s="39">
        <v>13.24</v>
      </c>
      <c r="L37" s="39">
        <v>17.000000000000171</v>
      </c>
      <c r="O37" s="78">
        <v>0.92</v>
      </c>
      <c r="P37" s="78">
        <f t="shared" si="2"/>
        <v>108.6336</v>
      </c>
      <c r="W37" s="131"/>
    </row>
    <row r="38" spans="1:23" x14ac:dyDescent="0.25">
      <c r="A38">
        <v>20</v>
      </c>
      <c r="B38" s="161">
        <v>43236</v>
      </c>
      <c r="C38" s="7">
        <v>100</v>
      </c>
      <c r="D38" s="43">
        <v>86.58</v>
      </c>
      <c r="E38" s="39">
        <v>88.28</v>
      </c>
      <c r="F38" s="39">
        <f t="shared" si="3"/>
        <v>170.00000000000028</v>
      </c>
      <c r="G38" s="39">
        <f t="shared" si="4"/>
        <v>8658</v>
      </c>
      <c r="H38" s="175">
        <f t="shared" si="5"/>
        <v>1.9635019635019669E-2</v>
      </c>
      <c r="I38" s="39">
        <v>86</v>
      </c>
      <c r="J38" s="39"/>
      <c r="K38" s="39">
        <v>13.38</v>
      </c>
      <c r="L38" s="39">
        <v>170.00000000000028</v>
      </c>
      <c r="O38" s="78">
        <v>0.91</v>
      </c>
      <c r="P38" s="78">
        <f t="shared" si="2"/>
        <v>107.4528</v>
      </c>
      <c r="W38" s="131"/>
    </row>
    <row r="39" spans="1:23" x14ac:dyDescent="0.25">
      <c r="B39" s="161">
        <v>43258</v>
      </c>
      <c r="C39" s="181">
        <v>40</v>
      </c>
      <c r="D39" s="182">
        <v>82.575699999999998</v>
      </c>
      <c r="E39" s="39">
        <v>88.81</v>
      </c>
      <c r="F39" s="39">
        <f t="shared" si="3"/>
        <v>249.37200000000018</v>
      </c>
      <c r="G39" s="39">
        <f t="shared" si="4"/>
        <v>3303.0279999999998</v>
      </c>
      <c r="H39" s="175">
        <f t="shared" si="5"/>
        <v>7.5497997594934155E-2</v>
      </c>
      <c r="I39" s="39"/>
      <c r="J39" s="39"/>
      <c r="K39" s="39">
        <v>18.66</v>
      </c>
      <c r="L39" s="39">
        <v>249.37200000000018</v>
      </c>
      <c r="O39" s="78">
        <v>0.9</v>
      </c>
      <c r="P39" s="78">
        <f t="shared" si="2"/>
        <v>106.27200000000001</v>
      </c>
      <c r="T39" s="131"/>
    </row>
    <row r="40" spans="1:23" x14ac:dyDescent="0.25">
      <c r="A40">
        <v>40</v>
      </c>
      <c r="B40" s="161">
        <v>43303</v>
      </c>
      <c r="C40" s="10">
        <v>40</v>
      </c>
      <c r="D40" s="39">
        <v>82.58</v>
      </c>
      <c r="E40" s="39">
        <v>93.93</v>
      </c>
      <c r="F40" s="39">
        <f t="shared" si="3"/>
        <v>454.00000000000034</v>
      </c>
      <c r="G40" s="39">
        <f t="shared" si="4"/>
        <v>3303.2</v>
      </c>
      <c r="H40" s="175">
        <f t="shared" si="5"/>
        <v>0.13744248001937526</v>
      </c>
      <c r="I40" s="39"/>
      <c r="J40" s="39"/>
      <c r="K40" s="39">
        <v>19.73</v>
      </c>
      <c r="L40" s="39">
        <v>454.00000000000034</v>
      </c>
      <c r="T40" s="131"/>
    </row>
    <row r="41" spans="1:23" x14ac:dyDescent="0.25">
      <c r="A41">
        <v>0</v>
      </c>
      <c r="B41" s="161">
        <v>43304</v>
      </c>
      <c r="C41" s="10">
        <v>0</v>
      </c>
      <c r="D41" s="39">
        <v>82.58</v>
      </c>
      <c r="E41" s="39">
        <v>105.35</v>
      </c>
      <c r="F41" s="39">
        <f t="shared" ref="F41:F54" si="6">C41*(E41-D41)</f>
        <v>0</v>
      </c>
      <c r="G41" s="39">
        <f t="shared" ref="G41:G54" si="7">D41*C41</f>
        <v>0</v>
      </c>
      <c r="H41" s="175">
        <f t="shared" ref="H41:H54" si="8">(E41-D41)/D41</f>
        <v>0.27573262291111644</v>
      </c>
      <c r="I41" s="39"/>
      <c r="J41" s="39"/>
      <c r="K41" s="39">
        <v>22.13</v>
      </c>
      <c r="L41" s="39"/>
      <c r="Q41" s="2"/>
      <c r="T41" s="131"/>
    </row>
    <row r="42" spans="1:23" x14ac:dyDescent="0.25">
      <c r="A42">
        <v>0</v>
      </c>
      <c r="B42" s="161">
        <v>43320</v>
      </c>
      <c r="C42" s="181">
        <v>40</v>
      </c>
      <c r="D42" s="182">
        <v>75.106999999999999</v>
      </c>
      <c r="E42" s="39">
        <v>97.68</v>
      </c>
      <c r="F42" s="39">
        <f t="shared" si="6"/>
        <v>902.9200000000003</v>
      </c>
      <c r="G42" s="39">
        <f t="shared" si="7"/>
        <v>3004.2799999999997</v>
      </c>
      <c r="H42" s="175">
        <f t="shared" si="8"/>
        <v>0.30054455643282263</v>
      </c>
      <c r="I42" s="39"/>
      <c r="J42" s="39"/>
      <c r="K42" s="39">
        <v>20.91</v>
      </c>
      <c r="L42" s="39">
        <v>902.92</v>
      </c>
      <c r="Q42" s="2"/>
      <c r="T42" s="131"/>
    </row>
    <row r="43" spans="1:23" x14ac:dyDescent="0.25">
      <c r="B43" s="161">
        <v>43332</v>
      </c>
      <c r="C43" s="10">
        <v>40</v>
      </c>
      <c r="D43" s="39">
        <v>75.11</v>
      </c>
      <c r="E43" s="39">
        <v>99.65</v>
      </c>
      <c r="F43" s="39">
        <f t="shared" si="6"/>
        <v>981.60000000000025</v>
      </c>
      <c r="G43" s="39">
        <f t="shared" si="7"/>
        <v>3004.4</v>
      </c>
      <c r="H43" s="175">
        <f t="shared" si="8"/>
        <v>0.32672080947943027</v>
      </c>
      <c r="I43" s="39"/>
      <c r="J43" s="39"/>
      <c r="K43" s="39">
        <v>20.93</v>
      </c>
      <c r="L43" s="39"/>
      <c r="Q43" s="2"/>
      <c r="T43" s="131"/>
    </row>
    <row r="44" spans="1:23" x14ac:dyDescent="0.25">
      <c r="A44">
        <v>0</v>
      </c>
      <c r="B44" s="161">
        <v>43362</v>
      </c>
      <c r="C44" s="10">
        <v>0</v>
      </c>
      <c r="D44" s="39">
        <v>75.11</v>
      </c>
      <c r="E44" s="39">
        <v>108.99</v>
      </c>
      <c r="F44" s="39">
        <f t="shared" si="6"/>
        <v>0</v>
      </c>
      <c r="G44" s="39">
        <f t="shared" si="7"/>
        <v>0</v>
      </c>
      <c r="H44" s="175">
        <f t="shared" si="8"/>
        <v>0.45107176141658895</v>
      </c>
      <c r="I44" s="39"/>
      <c r="J44" s="39"/>
      <c r="K44" s="39">
        <v>22.9</v>
      </c>
      <c r="L44" s="39">
        <v>1366.86</v>
      </c>
      <c r="Q44" s="2"/>
      <c r="T44" s="131"/>
    </row>
    <row r="45" spans="1:23" x14ac:dyDescent="0.25">
      <c r="A45">
        <v>0</v>
      </c>
      <c r="B45" s="161">
        <v>43368</v>
      </c>
      <c r="C45" s="181">
        <v>40</v>
      </c>
      <c r="D45" s="182">
        <v>71.708500000000001</v>
      </c>
      <c r="E45" s="39">
        <v>105.56</v>
      </c>
      <c r="F45" s="39">
        <f t="shared" si="6"/>
        <v>1354.06</v>
      </c>
      <c r="G45" s="39">
        <f t="shared" si="7"/>
        <v>2868.34</v>
      </c>
      <c r="H45" s="175">
        <f t="shared" si="8"/>
        <v>0.4720709539315423</v>
      </c>
      <c r="I45" s="39"/>
      <c r="J45" s="39"/>
      <c r="K45" s="39">
        <v>22.18</v>
      </c>
      <c r="L45" s="39">
        <v>1354.06</v>
      </c>
      <c r="Q45" s="2"/>
      <c r="T45" s="131"/>
    </row>
    <row r="46" spans="1:23" x14ac:dyDescent="0.25">
      <c r="A46">
        <v>40</v>
      </c>
      <c r="B46" s="161">
        <v>43419</v>
      </c>
      <c r="C46" s="181">
        <v>40</v>
      </c>
      <c r="D46" s="182">
        <v>71.078500000000005</v>
      </c>
      <c r="E46" s="39">
        <v>97.56</v>
      </c>
      <c r="F46" s="39">
        <f t="shared" si="6"/>
        <v>1059.2599999999998</v>
      </c>
      <c r="G46" s="39">
        <f t="shared" si="7"/>
        <v>2843.1400000000003</v>
      </c>
      <c r="H46" s="175">
        <f t="shared" si="8"/>
        <v>0.3725669506250131</v>
      </c>
      <c r="I46" s="39"/>
      <c r="J46" s="39"/>
      <c r="K46" s="39">
        <v>20.5</v>
      </c>
      <c r="L46" s="39">
        <v>1059.26</v>
      </c>
      <c r="Q46" s="2"/>
      <c r="T46" s="131"/>
    </row>
    <row r="47" spans="1:23" x14ac:dyDescent="0.25">
      <c r="A47">
        <v>40</v>
      </c>
      <c r="B47" s="161">
        <v>43441</v>
      </c>
      <c r="C47" s="10">
        <v>80</v>
      </c>
      <c r="D47" s="39">
        <v>77.539299999999997</v>
      </c>
      <c r="E47" s="39">
        <v>83.93</v>
      </c>
      <c r="F47" s="39">
        <f t="shared" si="6"/>
        <v>511.25600000000077</v>
      </c>
      <c r="G47" s="39">
        <f t="shared" si="7"/>
        <v>6203.1440000000002</v>
      </c>
      <c r="H47" s="175">
        <f t="shared" si="8"/>
        <v>8.2418850827902887E-2</v>
      </c>
      <c r="I47" s="39"/>
      <c r="J47" s="39"/>
      <c r="K47" s="39">
        <v>17.63</v>
      </c>
      <c r="L47" s="39">
        <v>511.25</v>
      </c>
      <c r="Q47" s="2"/>
      <c r="T47" s="131"/>
    </row>
    <row r="48" spans="1:23" x14ac:dyDescent="0.25">
      <c r="B48" s="161">
        <v>43453</v>
      </c>
      <c r="C48" s="10">
        <v>100</v>
      </c>
      <c r="D48" s="39">
        <v>77.907399999999996</v>
      </c>
      <c r="E48" s="39">
        <v>80.5</v>
      </c>
      <c r="F48" s="39">
        <f t="shared" si="6"/>
        <v>259.26000000000045</v>
      </c>
      <c r="G48" s="39">
        <f t="shared" si="7"/>
        <v>7790.74</v>
      </c>
      <c r="H48" s="175">
        <f t="shared" si="8"/>
        <v>3.3277968459992306E-2</v>
      </c>
      <c r="I48" s="39"/>
      <c r="J48" s="39"/>
      <c r="K48" s="39"/>
      <c r="L48" s="39"/>
      <c r="Q48" s="2"/>
      <c r="T48" s="131"/>
    </row>
    <row r="49" spans="1:23" x14ac:dyDescent="0.25">
      <c r="A49">
        <v>36</v>
      </c>
      <c r="B49" s="161">
        <v>43464</v>
      </c>
      <c r="C49" s="10">
        <v>96</v>
      </c>
      <c r="D49" s="39">
        <v>77.761099999999999</v>
      </c>
      <c r="E49" s="39">
        <v>81.13</v>
      </c>
      <c r="F49" s="39">
        <f t="shared" si="6"/>
        <v>323.41439999999966</v>
      </c>
      <c r="G49" s="39">
        <f t="shared" si="7"/>
        <v>7465.0655999999999</v>
      </c>
      <c r="H49" s="175">
        <f t="shared" si="8"/>
        <v>4.3323718414477116E-2</v>
      </c>
      <c r="I49" s="39"/>
      <c r="J49" s="39"/>
      <c r="K49" s="39">
        <v>17.04</v>
      </c>
      <c r="L49" s="39"/>
      <c r="Q49" s="2"/>
      <c r="T49" s="131"/>
    </row>
    <row r="50" spans="1:23" x14ac:dyDescent="0.25">
      <c r="A50">
        <v>40</v>
      </c>
      <c r="B50" s="161">
        <v>43472</v>
      </c>
      <c r="C50" s="10">
        <v>60</v>
      </c>
      <c r="D50" s="39">
        <v>74.468500000000006</v>
      </c>
      <c r="E50" s="39">
        <v>83.29</v>
      </c>
      <c r="F50" s="39">
        <f t="shared" si="6"/>
        <v>529.29</v>
      </c>
      <c r="G50" s="39">
        <f t="shared" si="7"/>
        <v>4468.1100000000006</v>
      </c>
      <c r="H50" s="175">
        <f t="shared" si="8"/>
        <v>0.11845948286859544</v>
      </c>
      <c r="I50" s="39"/>
      <c r="J50" s="39"/>
      <c r="K50" s="39">
        <v>17.5</v>
      </c>
      <c r="L50" s="39"/>
      <c r="Q50" s="2"/>
      <c r="T50" s="131"/>
    </row>
    <row r="51" spans="1:23" x14ac:dyDescent="0.25">
      <c r="A51">
        <v>40</v>
      </c>
      <c r="B51" s="161">
        <v>43483</v>
      </c>
      <c r="C51" s="181">
        <v>40</v>
      </c>
      <c r="D51" s="182">
        <v>67.203299999999999</v>
      </c>
      <c r="E51" s="39">
        <v>89</v>
      </c>
      <c r="F51" s="39">
        <f t="shared" si="6"/>
        <v>871.86800000000005</v>
      </c>
      <c r="G51" s="39">
        <f t="shared" si="7"/>
        <v>2688.1320000000001</v>
      </c>
      <c r="H51" s="175">
        <f t="shared" si="8"/>
        <v>0.32433972736457883</v>
      </c>
      <c r="I51" s="39"/>
      <c r="J51" s="39"/>
      <c r="K51" s="39">
        <v>18.57</v>
      </c>
      <c r="L51" s="39">
        <v>871.87</v>
      </c>
      <c r="Q51" s="2"/>
      <c r="T51" s="131"/>
    </row>
    <row r="52" spans="1:23" x14ac:dyDescent="0.25">
      <c r="A52">
        <v>40</v>
      </c>
      <c r="B52" s="161">
        <v>43511</v>
      </c>
      <c r="C52" s="10">
        <v>40</v>
      </c>
      <c r="D52" s="39">
        <v>66.573300000000003</v>
      </c>
      <c r="E52" s="39">
        <v>86.4</v>
      </c>
      <c r="F52" s="39">
        <f t="shared" si="6"/>
        <v>793.0680000000001</v>
      </c>
      <c r="G52" s="39">
        <f t="shared" si="7"/>
        <v>2662.9320000000002</v>
      </c>
      <c r="H52" s="175">
        <f t="shared" si="8"/>
        <v>0.29781759353975246</v>
      </c>
      <c r="I52" s="39"/>
      <c r="J52" s="39"/>
      <c r="K52" s="39">
        <v>18.149999999999999</v>
      </c>
      <c r="L52" s="39"/>
      <c r="Q52" s="2"/>
      <c r="T52" s="131"/>
    </row>
    <row r="53" spans="1:23" x14ac:dyDescent="0.25">
      <c r="A53">
        <v>40</v>
      </c>
      <c r="B53" s="161">
        <v>43535</v>
      </c>
      <c r="C53" s="10">
        <v>40</v>
      </c>
      <c r="D53" s="39">
        <v>66.569999999999993</v>
      </c>
      <c r="E53" s="39">
        <v>87.08</v>
      </c>
      <c r="F53" s="39">
        <f t="shared" si="6"/>
        <v>820.4000000000002</v>
      </c>
      <c r="G53" s="39">
        <f t="shared" si="7"/>
        <v>2662.7999999999997</v>
      </c>
      <c r="H53" s="175">
        <f t="shared" si="8"/>
        <v>0.30809674027339651</v>
      </c>
      <c r="I53" s="39"/>
      <c r="J53" s="39"/>
      <c r="K53" s="39">
        <v>18.29</v>
      </c>
      <c r="L53" s="39"/>
      <c r="Q53" s="2"/>
      <c r="T53" s="131"/>
    </row>
    <row r="54" spans="1:23" x14ac:dyDescent="0.25">
      <c r="A54" s="4"/>
      <c r="B54" s="161">
        <v>43579</v>
      </c>
      <c r="C54" s="10">
        <v>0</v>
      </c>
      <c r="D54" s="39">
        <v>66.569999999999993</v>
      </c>
      <c r="E54" s="39">
        <v>103.18</v>
      </c>
      <c r="F54" s="39">
        <f t="shared" si="6"/>
        <v>0</v>
      </c>
      <c r="G54" s="39">
        <f t="shared" si="7"/>
        <v>0</v>
      </c>
      <c r="H54" s="175">
        <f t="shared" si="8"/>
        <v>0.54994742376445871</v>
      </c>
      <c r="I54" s="39"/>
      <c r="J54" s="39"/>
      <c r="K54" s="39">
        <v>21.68</v>
      </c>
      <c r="L54" s="760">
        <v>1468.98</v>
      </c>
      <c r="T54" s="131"/>
    </row>
    <row r="55" spans="1:23" x14ac:dyDescent="0.25">
      <c r="A55" s="4"/>
      <c r="B55" s="161"/>
      <c r="C55" s="10"/>
      <c r="D55" s="39"/>
      <c r="E55" s="39"/>
      <c r="F55" s="39"/>
      <c r="G55" s="39"/>
      <c r="H55" s="175"/>
      <c r="I55" s="39"/>
      <c r="J55" s="39"/>
      <c r="K55" s="39"/>
      <c r="L55" s="39"/>
      <c r="T55" s="131"/>
    </row>
    <row r="56" spans="1:23" x14ac:dyDescent="0.25">
      <c r="A56" s="4"/>
      <c r="B56" s="161"/>
      <c r="C56" s="10"/>
      <c r="D56" s="39"/>
      <c r="E56" s="39"/>
      <c r="F56" s="39"/>
      <c r="G56" s="39"/>
      <c r="H56" s="175"/>
      <c r="I56" s="39"/>
      <c r="J56" s="39"/>
      <c r="K56" s="39"/>
      <c r="L56" s="39"/>
      <c r="T56" s="131"/>
    </row>
    <row r="57" spans="1:23" x14ac:dyDescent="0.25">
      <c r="A57" s="4"/>
      <c r="B57" s="161"/>
      <c r="C57" s="10"/>
      <c r="D57" s="39"/>
      <c r="E57" s="39"/>
      <c r="F57" s="39"/>
      <c r="G57" s="39"/>
      <c r="H57" s="175"/>
      <c r="I57" s="39"/>
      <c r="J57" s="39"/>
      <c r="K57" s="39"/>
      <c r="L57" s="39"/>
      <c r="T57" s="131"/>
    </row>
    <row r="58" spans="1:23" x14ac:dyDescent="0.25">
      <c r="A58" s="4"/>
      <c r="B58" s="161"/>
      <c r="C58" s="10"/>
      <c r="D58" s="39"/>
      <c r="E58" s="39"/>
      <c r="F58" s="39"/>
      <c r="G58" s="39"/>
      <c r="H58" s="175"/>
      <c r="I58" s="39"/>
      <c r="J58" s="39"/>
      <c r="K58" s="39"/>
      <c r="L58" s="39"/>
      <c r="T58" s="131"/>
    </row>
    <row r="59" spans="1:23" x14ac:dyDescent="0.25">
      <c r="A59" s="4"/>
      <c r="B59" s="161"/>
      <c r="C59" s="10"/>
      <c r="D59" s="39"/>
      <c r="E59" s="39"/>
      <c r="F59" s="39"/>
      <c r="G59" s="39"/>
      <c r="H59" s="175"/>
      <c r="I59" s="39"/>
      <c r="J59" s="39"/>
      <c r="K59" s="39"/>
      <c r="L59" s="39"/>
      <c r="T59" s="131"/>
    </row>
    <row r="60" spans="1:23" x14ac:dyDescent="0.25">
      <c r="A60" s="4"/>
      <c r="B60" s="69"/>
      <c r="C60" s="4"/>
      <c r="D60" s="3"/>
      <c r="E60" s="3"/>
      <c r="F60" s="3"/>
      <c r="G60" s="3"/>
      <c r="H60" s="212"/>
      <c r="I60" s="3"/>
      <c r="J60" s="3"/>
      <c r="K60" s="3"/>
      <c r="L60" s="4"/>
      <c r="W60" s="131"/>
    </row>
    <row r="61" spans="1:23" x14ac:dyDescent="0.25">
      <c r="A61" s="4"/>
      <c r="B61" s="69"/>
      <c r="C61" s="4"/>
      <c r="D61" s="3"/>
      <c r="E61" s="3"/>
      <c r="F61" s="3"/>
      <c r="G61" s="3"/>
      <c r="H61" s="212"/>
      <c r="I61" s="3"/>
      <c r="J61" s="3"/>
      <c r="K61" s="3"/>
      <c r="L61" s="4"/>
      <c r="W61" s="131"/>
    </row>
    <row r="62" spans="1:23" x14ac:dyDescent="0.25">
      <c r="A62" s="4"/>
      <c r="B62" s="69"/>
      <c r="C62" s="4"/>
      <c r="D62" s="3"/>
      <c r="E62" s="3"/>
      <c r="F62" s="3"/>
      <c r="G62" s="3"/>
      <c r="H62" s="212"/>
      <c r="I62" s="3"/>
      <c r="J62" s="3"/>
      <c r="K62" s="3"/>
      <c r="L62" s="4"/>
      <c r="W62" s="131"/>
    </row>
    <row r="63" spans="1:23" x14ac:dyDescent="0.25">
      <c r="A63" s="4"/>
      <c r="B63" s="69"/>
      <c r="C63" s="4"/>
      <c r="D63" s="3"/>
      <c r="E63" s="3"/>
      <c r="F63" s="3"/>
      <c r="G63" s="3"/>
      <c r="H63" s="212"/>
      <c r="I63" s="3"/>
      <c r="J63" s="3"/>
      <c r="K63" s="3"/>
      <c r="L63" s="4"/>
      <c r="W63" s="131"/>
    </row>
    <row r="64" spans="1:23" x14ac:dyDescent="0.25">
      <c r="A64" s="4"/>
      <c r="B64" s="4"/>
      <c r="C64" s="4"/>
      <c r="D64" s="3"/>
      <c r="E64" s="3"/>
      <c r="F64" s="3"/>
      <c r="G64" s="4"/>
      <c r="H64" s="4"/>
      <c r="I64" s="3"/>
      <c r="J64" s="3"/>
      <c r="K64" s="3"/>
      <c r="L64" s="4"/>
      <c r="W64" s="131"/>
    </row>
    <row r="65" spans="1:23" x14ac:dyDescent="0.25">
      <c r="A65" s="4"/>
      <c r="B65" s="4"/>
      <c r="C65" s="4"/>
      <c r="D65" s="3"/>
      <c r="E65" s="3"/>
      <c r="F65" s="3"/>
      <c r="G65" s="4"/>
      <c r="H65" s="4"/>
      <c r="I65" s="3"/>
      <c r="J65" s="3"/>
      <c r="K65" s="3"/>
      <c r="L65" s="4"/>
      <c r="W65" s="131"/>
    </row>
    <row r="66" spans="1:23" x14ac:dyDescent="0.25">
      <c r="A66" s="4"/>
      <c r="B66" s="4"/>
      <c r="C66" s="4"/>
      <c r="D66" s="3"/>
      <c r="E66" s="3"/>
      <c r="F66" s="3"/>
      <c r="G66" s="4"/>
      <c r="H66" s="4"/>
      <c r="I66" s="3"/>
      <c r="J66" s="3"/>
      <c r="K66" s="3"/>
      <c r="L66" s="4" t="s">
        <v>65</v>
      </c>
      <c r="M66" s="2">
        <f>M84+K84-F84</f>
        <v>0</v>
      </c>
      <c r="W66" s="131"/>
    </row>
    <row r="67" spans="1:23"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c r="W67" s="131"/>
    </row>
    <row r="68" spans="1:23" x14ac:dyDescent="0.25">
      <c r="A68" s="433" t="s">
        <v>778</v>
      </c>
      <c r="B68" s="417"/>
      <c r="C68" s="418"/>
      <c r="D68" s="420"/>
      <c r="E68" s="420"/>
      <c r="F68" s="420"/>
      <c r="G68" s="417"/>
      <c r="H68" s="434"/>
      <c r="I68" s="420"/>
      <c r="J68" s="420"/>
      <c r="K68" s="420"/>
      <c r="L68" s="417"/>
      <c r="M68" s="420"/>
      <c r="W68" s="131"/>
    </row>
    <row r="69" spans="1:23" x14ac:dyDescent="0.25">
      <c r="A69" s="435" t="s">
        <v>71</v>
      </c>
      <c r="B69" s="417"/>
      <c r="C69" s="418"/>
      <c r="D69" s="420"/>
      <c r="E69" s="420"/>
      <c r="F69" s="420"/>
      <c r="G69" s="417"/>
      <c r="H69" s="434"/>
      <c r="I69" s="420"/>
      <c r="J69" s="420"/>
      <c r="K69" s="420"/>
      <c r="L69" s="418"/>
      <c r="M69" s="418"/>
      <c r="W69" s="131"/>
    </row>
    <row r="70" spans="1:23" x14ac:dyDescent="0.25">
      <c r="A70" s="418"/>
      <c r="B70" s="417"/>
      <c r="C70" s="418"/>
      <c r="D70" s="420"/>
      <c r="E70" s="420"/>
      <c r="F70" s="420"/>
      <c r="G70" s="417"/>
      <c r="H70" s="434"/>
      <c r="I70" s="420"/>
      <c r="J70" s="420"/>
      <c r="K70" s="420"/>
      <c r="L70" s="418"/>
      <c r="M70" s="418"/>
    </row>
    <row r="71" spans="1:23" x14ac:dyDescent="0.25">
      <c r="A71" s="418"/>
      <c r="B71" s="417"/>
      <c r="C71" s="418"/>
      <c r="D71" s="420"/>
      <c r="E71" s="420"/>
      <c r="F71" s="420"/>
      <c r="G71" s="418"/>
      <c r="H71" s="434"/>
      <c r="I71" s="420"/>
      <c r="J71" s="420"/>
      <c r="K71" s="420"/>
      <c r="L71" s="418"/>
      <c r="M71" s="418"/>
    </row>
    <row r="72" spans="1:23" x14ac:dyDescent="0.25">
      <c r="A72" s="418"/>
      <c r="B72" s="417"/>
      <c r="C72" s="418"/>
      <c r="D72" s="420"/>
      <c r="E72" s="420"/>
      <c r="F72" s="420"/>
      <c r="G72" s="418"/>
      <c r="H72" s="434"/>
      <c r="I72" s="420"/>
      <c r="J72" s="420"/>
      <c r="K72" s="420"/>
      <c r="L72" s="418"/>
      <c r="M72" s="418"/>
    </row>
    <row r="73" spans="1:23" x14ac:dyDescent="0.25">
      <c r="A73" s="418"/>
      <c r="B73" s="418"/>
      <c r="C73" s="418"/>
      <c r="D73" s="420"/>
      <c r="E73" s="420"/>
      <c r="F73" s="420"/>
      <c r="G73" s="418"/>
      <c r="H73" s="434"/>
      <c r="I73" s="420"/>
      <c r="J73" s="420"/>
      <c r="K73" s="420"/>
      <c r="L73" s="418"/>
      <c r="M73" s="418"/>
    </row>
    <row r="74" spans="1:23" x14ac:dyDescent="0.25">
      <c r="A74" s="418"/>
      <c r="B74" s="418"/>
      <c r="C74" s="418"/>
      <c r="D74" s="420"/>
      <c r="E74" s="420"/>
      <c r="F74" s="420"/>
      <c r="G74" s="418"/>
      <c r="H74" s="434"/>
      <c r="I74" s="420"/>
      <c r="J74" s="420"/>
      <c r="K74" s="420"/>
      <c r="L74" s="418"/>
      <c r="M74" s="418"/>
    </row>
    <row r="75" spans="1:23" x14ac:dyDescent="0.25">
      <c r="A75" s="418"/>
      <c r="B75" s="418"/>
      <c r="C75" s="418"/>
      <c r="D75" s="420"/>
      <c r="E75" s="420"/>
      <c r="F75" s="420"/>
      <c r="G75" s="418"/>
      <c r="H75" s="434"/>
      <c r="I75" s="420"/>
      <c r="J75" s="420"/>
      <c r="K75" s="420"/>
      <c r="L75" s="418"/>
      <c r="M75" s="418"/>
    </row>
    <row r="76" spans="1:23" x14ac:dyDescent="0.25">
      <c r="A76" s="418"/>
      <c r="B76" s="418"/>
      <c r="C76" s="418"/>
      <c r="D76" s="420"/>
      <c r="E76" s="420"/>
      <c r="F76" s="420"/>
      <c r="G76" s="418"/>
      <c r="H76" s="434"/>
      <c r="I76" s="420"/>
      <c r="J76" s="420"/>
      <c r="K76" s="420"/>
      <c r="L76" s="418"/>
      <c r="M76" s="418"/>
    </row>
    <row r="77" spans="1:23" x14ac:dyDescent="0.25">
      <c r="A77" s="418"/>
      <c r="B77" s="418"/>
      <c r="C77" s="418"/>
      <c r="D77" s="420"/>
      <c r="E77" s="420"/>
      <c r="F77" s="420"/>
      <c r="G77" s="418"/>
      <c r="H77" s="434"/>
      <c r="I77" s="420"/>
      <c r="J77" s="420"/>
      <c r="K77" s="420"/>
      <c r="L77" s="418"/>
      <c r="M77" s="418"/>
    </row>
    <row r="78" spans="1:23" x14ac:dyDescent="0.25">
      <c r="A78" s="418"/>
      <c r="B78" s="418"/>
      <c r="C78" s="418"/>
      <c r="D78" s="420"/>
      <c r="E78" s="420"/>
      <c r="F78" s="420"/>
      <c r="G78" s="418"/>
      <c r="H78" s="434"/>
      <c r="I78" s="420"/>
      <c r="J78" s="420"/>
      <c r="K78" s="420"/>
      <c r="L78" s="418"/>
      <c r="M78" s="418"/>
    </row>
    <row r="79" spans="1:23" x14ac:dyDescent="0.25">
      <c r="A79" s="418"/>
      <c r="B79" s="418"/>
      <c r="C79" s="418"/>
      <c r="D79" s="420"/>
      <c r="E79" s="420"/>
      <c r="F79" s="420"/>
      <c r="G79" s="418"/>
      <c r="H79" s="434"/>
      <c r="I79" s="420"/>
      <c r="J79" s="420"/>
      <c r="K79" s="420"/>
      <c r="L79" s="418"/>
      <c r="M79" s="418"/>
    </row>
    <row r="80" spans="1:23"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SUM(C68:C72)</f>
        <v>0</v>
      </c>
      <c r="D84" s="438"/>
      <c r="E84" s="438"/>
      <c r="F84" s="438">
        <f>SUM(F68:F72)</f>
        <v>0</v>
      </c>
      <c r="G84" s="437"/>
      <c r="H84" s="459">
        <f>SUM(H68:H71)</f>
        <v>0</v>
      </c>
      <c r="I84" s="438"/>
      <c r="J84" s="438"/>
      <c r="K84" s="438">
        <f>SUM(K68:K71)</f>
        <v>0</v>
      </c>
      <c r="L84" s="437"/>
      <c r="M84" s="438">
        <f>SUM(M68:M76)</f>
        <v>0</v>
      </c>
    </row>
    <row r="85" spans="1:13" ht="15.75" thickBot="1" x14ac:dyDescent="0.3">
      <c r="A85" s="439" t="s">
        <v>189</v>
      </c>
      <c r="B85" s="440"/>
      <c r="C85" s="441">
        <f>SumByColor($A$19,C68:C83)</f>
        <v>0</v>
      </c>
      <c r="D85" s="441"/>
      <c r="E85" s="441"/>
      <c r="F85" s="442">
        <f>SumByColor($A$19,F68:F83)</f>
        <v>0</v>
      </c>
      <c r="G85" s="441"/>
      <c r="H85" s="441">
        <f>SumByColor($A$19,H68:H83)</f>
        <v>0</v>
      </c>
      <c r="I85" s="441"/>
      <c r="J85" s="441"/>
      <c r="K85" s="442">
        <f>SumByColor($A$19,K69:K83)</f>
        <v>0</v>
      </c>
      <c r="L85" s="441"/>
      <c r="M85" s="442">
        <f>SumByColor($A$19,M68:M83)</f>
        <v>0</v>
      </c>
    </row>
    <row r="88" spans="1:13" x14ac:dyDescent="0.25">
      <c r="B88" s="159" t="s">
        <v>113</v>
      </c>
      <c r="C88" s="159" t="s">
        <v>143</v>
      </c>
      <c r="D88" s="160" t="s">
        <v>142</v>
      </c>
      <c r="E88" s="162" t="s">
        <v>144</v>
      </c>
      <c r="F88" s="162" t="s">
        <v>65</v>
      </c>
      <c r="G88" s="173" t="s">
        <v>148</v>
      </c>
      <c r="H88" s="173" t="s">
        <v>88</v>
      </c>
      <c r="I88" s="173" t="s">
        <v>151</v>
      </c>
    </row>
    <row r="89" spans="1:13" x14ac:dyDescent="0.25">
      <c r="B89" s="161"/>
      <c r="C89" s="10"/>
      <c r="D89" s="39"/>
      <c r="E89" s="39"/>
      <c r="F89" s="39"/>
      <c r="G89" s="39"/>
      <c r="H89" s="175"/>
      <c r="I89" s="39"/>
    </row>
    <row r="90" spans="1:13" x14ac:dyDescent="0.25">
      <c r="B90" s="161"/>
      <c r="C90" s="10"/>
      <c r="D90" s="39"/>
      <c r="E90" s="39"/>
      <c r="F90" s="39"/>
      <c r="G90" s="39"/>
      <c r="H90" s="175"/>
      <c r="I90" s="39"/>
    </row>
    <row r="91" spans="1:13" x14ac:dyDescent="0.25">
      <c r="B91" s="161"/>
      <c r="C91" s="10"/>
      <c r="D91" s="39"/>
      <c r="E91" s="39"/>
      <c r="F91" s="39"/>
      <c r="G91" s="39"/>
      <c r="H91" s="175"/>
      <c r="I91" s="39"/>
    </row>
    <row r="92" spans="1:13" x14ac:dyDescent="0.25">
      <c r="B92" s="161"/>
      <c r="C92" s="10"/>
      <c r="D92" s="39"/>
      <c r="E92" s="39"/>
      <c r="F92" s="39"/>
      <c r="G92" s="39"/>
      <c r="H92" s="175"/>
      <c r="I92" s="39"/>
    </row>
    <row r="93" spans="1:13" x14ac:dyDescent="0.25">
      <c r="B93" s="161"/>
      <c r="C93" s="10"/>
      <c r="D93" s="39"/>
      <c r="E93" s="39"/>
      <c r="F93" s="39"/>
      <c r="G93" s="39"/>
      <c r="H93" s="175"/>
      <c r="I93" s="39"/>
    </row>
    <row r="94" spans="1:13" x14ac:dyDescent="0.25">
      <c r="B94" s="161"/>
      <c r="C94" s="10"/>
      <c r="D94" s="39"/>
      <c r="E94" s="39"/>
      <c r="F94" s="39"/>
      <c r="G94" s="39"/>
      <c r="H94" s="175"/>
      <c r="I94" s="39"/>
    </row>
    <row r="95" spans="1:13" x14ac:dyDescent="0.25">
      <c r="B95" s="161"/>
      <c r="C95" s="10"/>
      <c r="D95" s="39"/>
      <c r="E95" s="39"/>
      <c r="F95" s="39"/>
      <c r="G95" s="39"/>
      <c r="H95" s="175"/>
      <c r="I95" s="39"/>
    </row>
    <row r="96" spans="1:13" x14ac:dyDescent="0.25">
      <c r="B96" s="161"/>
      <c r="C96" s="10"/>
      <c r="D96" s="39"/>
      <c r="E96" s="39"/>
      <c r="F96" s="39"/>
      <c r="G96" s="39"/>
      <c r="H96" s="175"/>
      <c r="I96" s="39"/>
    </row>
    <row r="97" spans="2:9" x14ac:dyDescent="0.25">
      <c r="B97" s="161"/>
      <c r="C97" s="10"/>
      <c r="D97" s="39"/>
      <c r="E97" s="39"/>
      <c r="F97" s="39"/>
      <c r="G97" s="39"/>
      <c r="H97" s="175"/>
      <c r="I97" s="39"/>
    </row>
    <row r="98" spans="2:9" x14ac:dyDescent="0.25">
      <c r="B98" s="161"/>
      <c r="C98" s="10"/>
      <c r="D98" s="39"/>
      <c r="E98" s="39"/>
      <c r="F98" s="39"/>
      <c r="G98" s="39"/>
      <c r="H98" s="175"/>
      <c r="I98" s="39"/>
    </row>
    <row r="99" spans="2:9" x14ac:dyDescent="0.25">
      <c r="B99" s="161"/>
      <c r="C99" s="10"/>
      <c r="D99" s="39"/>
      <c r="E99" s="39"/>
      <c r="F99" s="39"/>
      <c r="G99" s="39"/>
      <c r="H99" s="175"/>
      <c r="I99" s="39"/>
    </row>
    <row r="100" spans="2:9" x14ac:dyDescent="0.25">
      <c r="B100" s="161"/>
      <c r="C100" s="10"/>
      <c r="D100" s="39"/>
      <c r="E100" s="39"/>
      <c r="F100" s="39"/>
      <c r="G100" s="39"/>
      <c r="H100" s="175"/>
      <c r="I100" s="39"/>
    </row>
    <row r="101" spans="2:9" x14ac:dyDescent="0.25">
      <c r="B101" s="161"/>
      <c r="C101" s="10"/>
      <c r="D101" s="39"/>
      <c r="E101" s="39"/>
      <c r="F101" s="39"/>
      <c r="G101" s="39"/>
      <c r="H101" s="175"/>
      <c r="I101" s="39"/>
    </row>
    <row r="102" spans="2:9" x14ac:dyDescent="0.25">
      <c r="B102" s="161"/>
      <c r="C102" s="10"/>
      <c r="D102" s="39"/>
      <c r="E102" s="39"/>
      <c r="F102" s="39"/>
      <c r="G102" s="39"/>
      <c r="H102" s="175"/>
      <c r="I102" s="39"/>
    </row>
    <row r="103" spans="2:9" x14ac:dyDescent="0.25">
      <c r="B103" s="161"/>
      <c r="C103" s="10"/>
      <c r="D103" s="39"/>
      <c r="E103" s="39"/>
      <c r="F103" s="39"/>
      <c r="G103" s="39"/>
      <c r="H103" s="175"/>
      <c r="I103" s="39"/>
    </row>
    <row r="104" spans="2:9" x14ac:dyDescent="0.25">
      <c r="B104" s="161"/>
      <c r="C104" s="10"/>
      <c r="D104" s="39"/>
      <c r="E104" s="39"/>
      <c r="F104" s="39"/>
      <c r="G104" s="39"/>
      <c r="H104" s="175"/>
      <c r="I104" s="39"/>
    </row>
    <row r="105" spans="2:9" x14ac:dyDescent="0.25">
      <c r="B105" s="161"/>
      <c r="C105" s="10"/>
      <c r="D105" s="39"/>
      <c r="E105" s="39"/>
      <c r="F105" s="39"/>
      <c r="G105" s="39"/>
      <c r="H105" s="175"/>
      <c r="I105" s="39"/>
    </row>
    <row r="106" spans="2:9" x14ac:dyDescent="0.25">
      <c r="B106" s="161"/>
      <c r="C106" s="10"/>
      <c r="D106" s="39"/>
      <c r="E106" s="39"/>
      <c r="F106" s="39"/>
      <c r="G106" s="39"/>
      <c r="H106" s="175"/>
      <c r="I106" s="39"/>
    </row>
    <row r="107" spans="2:9" x14ac:dyDescent="0.25">
      <c r="B107" s="161"/>
      <c r="C107" s="10"/>
      <c r="D107" s="39"/>
      <c r="E107" s="39"/>
      <c r="F107" s="39"/>
      <c r="G107" s="39"/>
      <c r="H107" s="175"/>
      <c r="I107" s="39"/>
    </row>
    <row r="108" spans="2:9" x14ac:dyDescent="0.25">
      <c r="B108" s="161"/>
      <c r="C108" s="10"/>
      <c r="D108" s="39"/>
      <c r="E108" s="39"/>
      <c r="F108" s="39"/>
      <c r="G108" s="39"/>
      <c r="H108" s="175"/>
      <c r="I108" s="39"/>
    </row>
    <row r="109" spans="2:9" x14ac:dyDescent="0.25">
      <c r="B109" s="161"/>
      <c r="C109" s="10"/>
      <c r="D109" s="39"/>
      <c r="E109" s="39"/>
      <c r="F109" s="39"/>
      <c r="G109" s="39"/>
      <c r="H109" s="175"/>
      <c r="I109" s="39"/>
    </row>
    <row r="110" spans="2:9" x14ac:dyDescent="0.25">
      <c r="B110" s="161"/>
      <c r="C110" s="10"/>
      <c r="D110" s="39"/>
      <c r="E110" s="39"/>
      <c r="F110" s="39"/>
      <c r="G110" s="39"/>
      <c r="H110" s="175"/>
      <c r="I110" s="39"/>
    </row>
  </sheetData>
  <mergeCells count="1">
    <mergeCell ref="O18:P18"/>
  </mergeCells>
  <conditionalFormatting sqref="O19:O39">
    <cfRule type="colorScale" priority="45">
      <colorScale>
        <cfvo type="min"/>
        <cfvo type="percentile" val="50"/>
        <cfvo type="max"/>
        <color rgb="FFF8696B"/>
        <color rgb="FFFFEB84"/>
        <color rgb="FF63BE7B"/>
      </colorScale>
    </cfRule>
  </conditionalFormatting>
  <conditionalFormatting sqref="P19:P39">
    <cfRule type="colorScale" priority="44">
      <colorScale>
        <cfvo type="min"/>
        <cfvo type="percentile" val="50"/>
        <cfvo type="max"/>
        <color rgb="FFF8696B"/>
        <color rgb="FFFFEB84"/>
        <color rgb="FF63BE7B"/>
      </colorScale>
    </cfRule>
  </conditionalFormatting>
  <conditionalFormatting sqref="W1:W38 W60:W69 T39:T59">
    <cfRule type="iconSet" priority="43">
      <iconSet iconSet="3Arrows">
        <cfvo type="percent" val="0"/>
        <cfvo type="num" val="0"/>
        <cfvo type="num" val="0"/>
      </iconSet>
    </cfRule>
  </conditionalFormatting>
  <conditionalFormatting sqref="F60:F63 H60:H63">
    <cfRule type="expression" dxfId="2447" priority="41">
      <formula>F60&gt;0</formula>
    </cfRule>
    <cfRule type="expression" dxfId="2446" priority="42">
      <formula>F60&lt;0</formula>
    </cfRule>
  </conditionalFormatting>
  <conditionalFormatting sqref="Q7">
    <cfRule type="expression" dxfId="2445" priority="39">
      <formula>Q7&gt;0</formula>
    </cfRule>
    <cfRule type="expression" dxfId="2444" priority="40">
      <formula>Q7&lt;0</formula>
    </cfRule>
  </conditionalFormatting>
  <conditionalFormatting sqref="Q8">
    <cfRule type="expression" dxfId="2443" priority="37">
      <formula>Q8&gt;0</formula>
    </cfRule>
    <cfRule type="expression" dxfId="2442" priority="38">
      <formula>Q8&lt;0</formula>
    </cfRule>
  </conditionalFormatting>
  <conditionalFormatting sqref="F25:F29 F34:F59">
    <cfRule type="expression" dxfId="2441" priority="35">
      <formula>F25&gt;0</formula>
    </cfRule>
    <cfRule type="expression" dxfId="2440" priority="36">
      <formula>F25&lt;0</formula>
    </cfRule>
  </conditionalFormatting>
  <conditionalFormatting sqref="H25:H29 H34:H59">
    <cfRule type="expression" dxfId="2439" priority="33">
      <formula>H25&gt;0</formula>
    </cfRule>
    <cfRule type="expression" dxfId="2438" priority="34">
      <formula>H25&lt;0</formula>
    </cfRule>
  </conditionalFormatting>
  <conditionalFormatting sqref="F89:F110">
    <cfRule type="expression" dxfId="2437" priority="31">
      <formula>F89&gt;0</formula>
    </cfRule>
    <cfRule type="expression" dxfId="2436" priority="32">
      <formula>F89&lt;0</formula>
    </cfRule>
  </conditionalFormatting>
  <conditionalFormatting sqref="H89:H110">
    <cfRule type="expression" dxfId="2435" priority="29">
      <formula>H89&gt;0</formula>
    </cfRule>
    <cfRule type="expression" dxfId="2434" priority="30">
      <formula>H89&lt;0</formula>
    </cfRule>
  </conditionalFormatting>
  <conditionalFormatting sqref="Q10">
    <cfRule type="expression" dxfId="2433" priority="27">
      <formula>Q10&gt;0</formula>
    </cfRule>
    <cfRule type="expression" dxfId="2432" priority="28">
      <formula>Q10&lt;0</formula>
    </cfRule>
  </conditionalFormatting>
  <conditionalFormatting sqref="J25:J32 J34:J38">
    <cfRule type="expression" dxfId="2431" priority="25">
      <formula>J25&gt;0</formula>
    </cfRule>
    <cfRule type="expression" dxfId="2430" priority="26">
      <formula>J25&lt;0</formula>
    </cfRule>
  </conditionalFormatting>
  <conditionalFormatting sqref="K25:K30">
    <cfRule type="expression" dxfId="2429" priority="23">
      <formula>K25&gt;0</formula>
    </cfRule>
    <cfRule type="expression" dxfId="2428" priority="24">
      <formula>K25&lt;0</formula>
    </cfRule>
  </conditionalFormatting>
  <conditionalFormatting sqref="L25:L38">
    <cfRule type="expression" dxfId="2427" priority="21">
      <formula>L25&gt;0</formula>
    </cfRule>
    <cfRule type="expression" dxfId="2426" priority="22">
      <formula>L25&lt;0</formula>
    </cfRule>
  </conditionalFormatting>
  <conditionalFormatting sqref="F30:F33">
    <cfRule type="expression" dxfId="2425" priority="19">
      <formula>F30&gt;0</formula>
    </cfRule>
    <cfRule type="expression" dxfId="2424" priority="20">
      <formula>F30&lt;0</formula>
    </cfRule>
  </conditionalFormatting>
  <conditionalFormatting sqref="H30:H33">
    <cfRule type="expression" dxfId="2423" priority="17">
      <formula>H30&gt;0</formula>
    </cfRule>
    <cfRule type="expression" dxfId="2422" priority="18">
      <formula>H30&lt;0</formula>
    </cfRule>
  </conditionalFormatting>
  <conditionalFormatting sqref="L39:L44">
    <cfRule type="expression" dxfId="2421" priority="9">
      <formula>L39&gt;0</formula>
    </cfRule>
    <cfRule type="expression" dxfId="2420" priority="10">
      <formula>L39&lt;0</formula>
    </cfRule>
  </conditionalFormatting>
  <conditionalFormatting sqref="L45:L46">
    <cfRule type="expression" dxfId="2419" priority="7">
      <formula>L45&gt;0</formula>
    </cfRule>
    <cfRule type="expression" dxfId="2418" priority="8">
      <formula>L45&lt;0</formula>
    </cfRule>
  </conditionalFormatting>
  <conditionalFormatting sqref="L47">
    <cfRule type="expression" dxfId="2417" priority="5">
      <formula>L47&gt;0</formula>
    </cfRule>
    <cfRule type="expression" dxfId="2416" priority="6">
      <formula>L47&lt;0</formula>
    </cfRule>
  </conditionalFormatting>
  <conditionalFormatting sqref="L51">
    <cfRule type="expression" dxfId="2415" priority="3">
      <formula>L51&gt;0</formula>
    </cfRule>
    <cfRule type="expression" dxfId="2414" priority="4">
      <formula>L51&lt;0</formula>
    </cfRule>
  </conditionalFormatting>
  <conditionalFormatting sqref="L54">
    <cfRule type="expression" dxfId="2413" priority="1">
      <formula>L54&gt;0</formula>
    </cfRule>
    <cfRule type="expression" dxfId="2412" priority="2">
      <formula>L54&lt;0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2"/>
  <dimension ref="A1:AO120"/>
  <sheetViews>
    <sheetView zoomScaleNormal="100"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0.7109375" bestFit="1" customWidth="1"/>
    <col min="4" max="5" width="9.140625" style="2"/>
    <col min="6" max="6" width="9.85546875" style="2" bestFit="1" customWidth="1"/>
    <col min="9" max="11" width="9.140625" style="2"/>
    <col min="17" max="17" width="13.140625" bestFit="1" customWidth="1"/>
    <col min="18" max="18" width="10.7109375" bestFit="1" customWidth="1"/>
    <col min="20" max="20" width="13.7109375" customWidth="1"/>
    <col min="21" max="21" width="77.7109375" customWidth="1"/>
    <col min="23" max="23" width="11.140625" bestFit="1" customWidth="1"/>
    <col min="41" max="41" width="15.8554687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1029</v>
      </c>
      <c r="Z1" s="11" t="s">
        <v>1027</v>
      </c>
      <c r="AA1" s="11" t="s">
        <v>1028</v>
      </c>
      <c r="AB1" s="11" t="s">
        <v>1030</v>
      </c>
      <c r="AC1" s="11" t="s">
        <v>1027</v>
      </c>
      <c r="AD1" s="11" t="s">
        <v>1028</v>
      </c>
      <c r="AE1" s="11" t="s">
        <v>1031</v>
      </c>
      <c r="AF1" s="11" t="s">
        <v>1027</v>
      </c>
      <c r="AG1" s="11" t="s">
        <v>1028</v>
      </c>
      <c r="AH1" s="11" t="s">
        <v>1032</v>
      </c>
      <c r="AI1" s="11" t="s">
        <v>1027</v>
      </c>
      <c r="AJ1" s="11" t="s">
        <v>1028</v>
      </c>
      <c r="AK1" s="11" t="s">
        <v>1033</v>
      </c>
      <c r="AM1" s="11" t="s">
        <v>1034</v>
      </c>
      <c r="AO1" s="11" t="s">
        <v>1035</v>
      </c>
    </row>
    <row r="2" spans="1:41" x14ac:dyDescent="0.25">
      <c r="A2" s="6" t="s">
        <v>711</v>
      </c>
      <c r="B2" s="360">
        <v>43095</v>
      </c>
      <c r="C2" s="7">
        <v>150</v>
      </c>
      <c r="D2" s="43">
        <v>17.45</v>
      </c>
      <c r="E2" s="43">
        <v>0</v>
      </c>
      <c r="F2" s="43">
        <f t="shared" ref="F2:F14" si="0">C2*D2+E2</f>
        <v>2617.5</v>
      </c>
      <c r="G2" s="360">
        <v>43210</v>
      </c>
      <c r="H2" s="7">
        <v>150</v>
      </c>
      <c r="I2" s="43">
        <v>14.8</v>
      </c>
      <c r="J2" s="43">
        <v>0.05</v>
      </c>
      <c r="K2" s="43">
        <f t="shared" ref="K2:K12" si="1">H2*I2-J2</f>
        <v>2219.9499999999998</v>
      </c>
      <c r="L2" s="69">
        <v>43216</v>
      </c>
      <c r="M2" s="43">
        <v>24</v>
      </c>
      <c r="O2" s="11" t="s">
        <v>57</v>
      </c>
      <c r="Q2">
        <f>C24-H24</f>
        <v>0</v>
      </c>
      <c r="T2" s="1">
        <v>43103</v>
      </c>
      <c r="U2" t="s">
        <v>771</v>
      </c>
      <c r="W2" s="131"/>
      <c r="X2" s="647">
        <v>0</v>
      </c>
      <c r="Z2">
        <f>B2-$B$2</f>
        <v>0</v>
      </c>
      <c r="AA2" s="2">
        <f>F2</f>
        <v>2617.5</v>
      </c>
      <c r="AB2">
        <f>AA2*EXP(-Z2/365.25 * $X$2)</f>
        <v>2617.5</v>
      </c>
      <c r="AC2">
        <f>G2-$B$2</f>
        <v>115</v>
      </c>
      <c r="AD2" s="2">
        <f>K2</f>
        <v>2219.9499999999998</v>
      </c>
      <c r="AE2">
        <f>AD2*EXP(-AC2/365.25 * $X$2)</f>
        <v>2219.9499999999998</v>
      </c>
      <c r="AF2">
        <f>L2-$B$2</f>
        <v>121</v>
      </c>
      <c r="AG2" s="2">
        <f>M2</f>
        <v>24</v>
      </c>
      <c r="AH2">
        <f>AG2*EXP(-AF2/365.25 * $X$2)</f>
        <v>24</v>
      </c>
      <c r="AI2" s="2">
        <f ca="1">TODAY()-$B$2</f>
        <v>714</v>
      </c>
      <c r="AJ2">
        <f>$Q$2*$Q$4</f>
        <v>0</v>
      </c>
      <c r="AK2">
        <f ca="1">AJ2*EXP(-$X$2 * AI2/365.25)</f>
        <v>0</v>
      </c>
      <c r="AM2" s="2">
        <f>Q10</f>
        <v>0</v>
      </c>
      <c r="AO2">
        <f ca="1" xml:space="preserve"> (SUM(AB:AB) - SUM(AE:AE) - SUM(AH:AH) - SUM(AK:AK))/SUM(AB:AB)</f>
        <v>1.3469713981236694E-2</v>
      </c>
    </row>
    <row r="3" spans="1:41" x14ac:dyDescent="0.25">
      <c r="A3" s="22" t="s">
        <v>71</v>
      </c>
      <c r="B3" s="360">
        <v>43096</v>
      </c>
      <c r="C3" s="7">
        <v>50</v>
      </c>
      <c r="D3" s="43">
        <v>17.45</v>
      </c>
      <c r="E3" s="43">
        <v>0</v>
      </c>
      <c r="F3" s="43">
        <f t="shared" si="0"/>
        <v>872.5</v>
      </c>
      <c r="G3" s="360">
        <v>43236</v>
      </c>
      <c r="H3" s="77">
        <v>100</v>
      </c>
      <c r="I3" s="43">
        <v>15.09</v>
      </c>
      <c r="J3" s="43">
        <v>0.03</v>
      </c>
      <c r="K3" s="43">
        <f t="shared" si="1"/>
        <v>1508.97</v>
      </c>
      <c r="L3" s="69">
        <v>43306</v>
      </c>
      <c r="M3" s="43">
        <v>36</v>
      </c>
      <c r="O3" s="11" t="s">
        <v>58</v>
      </c>
      <c r="Q3" s="174">
        <f>IF(Q2=0, Q4, (F24-K24-M24)/Q2)</f>
        <v>9.34</v>
      </c>
      <c r="T3" s="1"/>
      <c r="U3" t="s">
        <v>772</v>
      </c>
      <c r="W3" s="131"/>
      <c r="Z3">
        <f t="shared" ref="Z3:Z15" si="2">B3-$B$2</f>
        <v>1</v>
      </c>
      <c r="AA3" s="2">
        <f t="shared" ref="AA3:AA15" si="3">F3</f>
        <v>872.5</v>
      </c>
      <c r="AB3">
        <f t="shared" ref="AB3:AB17" si="4">AA3*EXP(-Z3/365.25 * $X$2)</f>
        <v>872.5</v>
      </c>
      <c r="AC3">
        <f t="shared" ref="AC3:AC15" si="5">G3-$B$2</f>
        <v>141</v>
      </c>
      <c r="AD3" s="2">
        <f t="shared" ref="AD3:AD15" si="6">K3</f>
        <v>1508.97</v>
      </c>
      <c r="AE3">
        <f t="shared" ref="AE3:AE17" si="7">AD3*EXP(-AC3/365.25 * $X$2)</f>
        <v>1508.97</v>
      </c>
      <c r="AF3">
        <f t="shared" ref="AF3:AF15" si="8">L3-$B$2</f>
        <v>211</v>
      </c>
      <c r="AG3" s="2">
        <f t="shared" ref="AG3:AG15" si="9">M3</f>
        <v>36</v>
      </c>
      <c r="AH3">
        <f t="shared" ref="AH3:AH17" si="10">AG3*EXP(-AF3/365.25 * $X$2)</f>
        <v>36</v>
      </c>
    </row>
    <row r="4" spans="1:41" x14ac:dyDescent="0.25">
      <c r="B4" s="360">
        <v>43178</v>
      </c>
      <c r="C4" s="7">
        <v>150</v>
      </c>
      <c r="D4" s="43">
        <v>14.03</v>
      </c>
      <c r="E4" s="43">
        <v>0</v>
      </c>
      <c r="F4" s="43">
        <f t="shared" si="0"/>
        <v>2104.5</v>
      </c>
      <c r="G4" s="360">
        <v>43287</v>
      </c>
      <c r="H4" s="77">
        <v>100</v>
      </c>
      <c r="I4" s="43">
        <v>13.8</v>
      </c>
      <c r="J4" s="43">
        <v>0.02</v>
      </c>
      <c r="K4" s="43">
        <f t="shared" si="1"/>
        <v>1379.98</v>
      </c>
      <c r="L4" s="69">
        <v>43398</v>
      </c>
      <c r="M4" s="43">
        <v>48</v>
      </c>
      <c r="O4" s="11" t="s">
        <v>66</v>
      </c>
      <c r="Q4" s="53">
        <v>9.34</v>
      </c>
      <c r="R4" s="416">
        <v>6.2E-2</v>
      </c>
      <c r="T4" s="153"/>
      <c r="U4" s="1" t="s">
        <v>818</v>
      </c>
      <c r="W4" s="131"/>
      <c r="Z4">
        <f t="shared" si="2"/>
        <v>83</v>
      </c>
      <c r="AA4" s="2">
        <f t="shared" si="3"/>
        <v>2104.5</v>
      </c>
      <c r="AB4">
        <f t="shared" si="4"/>
        <v>2104.5</v>
      </c>
      <c r="AC4">
        <f t="shared" si="5"/>
        <v>192</v>
      </c>
      <c r="AD4" s="2">
        <f t="shared" si="6"/>
        <v>1379.98</v>
      </c>
      <c r="AE4">
        <f t="shared" si="7"/>
        <v>1379.98</v>
      </c>
      <c r="AF4">
        <f t="shared" si="8"/>
        <v>303</v>
      </c>
      <c r="AG4" s="2">
        <f t="shared" si="9"/>
        <v>48</v>
      </c>
      <c r="AH4">
        <f t="shared" si="10"/>
        <v>48</v>
      </c>
    </row>
    <row r="5" spans="1:41" x14ac:dyDescent="0.25">
      <c r="B5" s="360">
        <v>43178</v>
      </c>
      <c r="C5" s="7">
        <v>50</v>
      </c>
      <c r="D5" s="43">
        <v>14.03</v>
      </c>
      <c r="E5" s="43">
        <v>0</v>
      </c>
      <c r="F5" s="43">
        <f t="shared" si="0"/>
        <v>701.5</v>
      </c>
      <c r="G5" s="360">
        <v>43312</v>
      </c>
      <c r="H5" s="77">
        <v>100</v>
      </c>
      <c r="I5" s="43">
        <v>13.6</v>
      </c>
      <c r="J5" s="43">
        <v>0.02</v>
      </c>
      <c r="K5" s="43">
        <f t="shared" si="1"/>
        <v>1359.98</v>
      </c>
      <c r="L5" s="69">
        <v>43490</v>
      </c>
      <c r="M5" s="43">
        <v>8</v>
      </c>
      <c r="O5" s="11" t="s">
        <v>67</v>
      </c>
      <c r="Q5" s="3">
        <f>Q4*Q2</f>
        <v>0</v>
      </c>
      <c r="T5" s="1">
        <v>43112</v>
      </c>
      <c r="U5" t="s">
        <v>816</v>
      </c>
      <c r="W5" s="131"/>
      <c r="Z5">
        <f t="shared" si="2"/>
        <v>83</v>
      </c>
      <c r="AA5" s="2">
        <f t="shared" si="3"/>
        <v>701.5</v>
      </c>
      <c r="AB5">
        <f t="shared" si="4"/>
        <v>701.5</v>
      </c>
      <c r="AC5">
        <f t="shared" si="5"/>
        <v>217</v>
      </c>
      <c r="AD5" s="2">
        <f t="shared" si="6"/>
        <v>1359.98</v>
      </c>
      <c r="AE5">
        <f t="shared" si="7"/>
        <v>1359.98</v>
      </c>
      <c r="AF5">
        <f t="shared" si="8"/>
        <v>395</v>
      </c>
      <c r="AG5" s="2">
        <f t="shared" si="9"/>
        <v>8</v>
      </c>
      <c r="AH5">
        <f t="shared" si="10"/>
        <v>8</v>
      </c>
    </row>
    <row r="6" spans="1:41" x14ac:dyDescent="0.25">
      <c r="B6" s="360">
        <v>43243</v>
      </c>
      <c r="C6" s="7">
        <v>150</v>
      </c>
      <c r="D6" s="43">
        <v>14.19</v>
      </c>
      <c r="E6" s="43">
        <v>0</v>
      </c>
      <c r="F6" s="43">
        <f t="shared" si="0"/>
        <v>2128.5</v>
      </c>
      <c r="G6" s="360">
        <v>43339</v>
      </c>
      <c r="H6" s="77">
        <v>200</v>
      </c>
      <c r="I6" s="43">
        <v>12.72</v>
      </c>
      <c r="J6" s="43">
        <v>0.03</v>
      </c>
      <c r="K6" s="43">
        <f t="shared" si="1"/>
        <v>2543.9699999999998</v>
      </c>
      <c r="L6" s="69">
        <v>43765</v>
      </c>
      <c r="M6" s="43">
        <v>5</v>
      </c>
      <c r="O6" s="11" t="s">
        <v>64</v>
      </c>
      <c r="Q6" s="2">
        <f>Q3*Q2</f>
        <v>0</v>
      </c>
      <c r="W6" s="131"/>
      <c r="Z6">
        <f t="shared" si="2"/>
        <v>148</v>
      </c>
      <c r="AA6" s="2">
        <f t="shared" si="3"/>
        <v>2128.5</v>
      </c>
      <c r="AB6">
        <f t="shared" si="4"/>
        <v>2128.5</v>
      </c>
      <c r="AC6">
        <f t="shared" si="5"/>
        <v>244</v>
      </c>
      <c r="AD6" s="2">
        <f t="shared" si="6"/>
        <v>2543.9699999999998</v>
      </c>
      <c r="AE6">
        <f t="shared" si="7"/>
        <v>2543.9699999999998</v>
      </c>
      <c r="AF6">
        <f t="shared" si="8"/>
        <v>670</v>
      </c>
      <c r="AG6" s="2">
        <f t="shared" si="9"/>
        <v>5</v>
      </c>
      <c r="AH6">
        <f t="shared" si="10"/>
        <v>5</v>
      </c>
    </row>
    <row r="7" spans="1:41" x14ac:dyDescent="0.25">
      <c r="B7" s="360">
        <v>43266</v>
      </c>
      <c r="C7" s="7">
        <v>100</v>
      </c>
      <c r="D7" s="43">
        <v>13.34</v>
      </c>
      <c r="E7" s="43">
        <v>0</v>
      </c>
      <c r="F7" s="43">
        <f t="shared" si="0"/>
        <v>1334</v>
      </c>
      <c r="G7" s="360">
        <v>43374</v>
      </c>
      <c r="H7" s="77">
        <v>200</v>
      </c>
      <c r="I7" s="43">
        <v>13</v>
      </c>
      <c r="J7" s="43">
        <v>0.03</v>
      </c>
      <c r="K7" s="43">
        <f t="shared" si="1"/>
        <v>2599.9699999999998</v>
      </c>
      <c r="L7" s="4"/>
      <c r="M7" s="4"/>
      <c r="O7" s="11" t="s">
        <v>175</v>
      </c>
      <c r="Q7" s="2">
        <f>Q10+Q8</f>
        <v>-353.91000000000349</v>
      </c>
      <c r="R7">
        <v>0</v>
      </c>
      <c r="T7" s="1">
        <v>43117</v>
      </c>
      <c r="U7" t="s">
        <v>823</v>
      </c>
      <c r="W7" s="131"/>
      <c r="Z7">
        <f t="shared" si="2"/>
        <v>171</v>
      </c>
      <c r="AA7" s="2">
        <f t="shared" si="3"/>
        <v>1334</v>
      </c>
      <c r="AB7">
        <f t="shared" si="4"/>
        <v>1334</v>
      </c>
      <c r="AC7">
        <f t="shared" si="5"/>
        <v>279</v>
      </c>
      <c r="AD7" s="2">
        <f t="shared" si="6"/>
        <v>2599.9699999999998</v>
      </c>
      <c r="AE7">
        <f t="shared" si="7"/>
        <v>2599.9699999999998</v>
      </c>
      <c r="AF7">
        <f t="shared" si="8"/>
        <v>-43095</v>
      </c>
      <c r="AG7" s="2">
        <f t="shared" si="9"/>
        <v>0</v>
      </c>
      <c r="AH7">
        <f t="shared" si="10"/>
        <v>0</v>
      </c>
    </row>
    <row r="8" spans="1:41" x14ac:dyDescent="0.25">
      <c r="B8" s="360">
        <v>43301</v>
      </c>
      <c r="C8" s="7">
        <v>100</v>
      </c>
      <c r="D8" s="43">
        <v>13.08</v>
      </c>
      <c r="E8" s="43">
        <v>0</v>
      </c>
      <c r="F8" s="43">
        <f t="shared" si="0"/>
        <v>1308</v>
      </c>
      <c r="G8" s="360">
        <v>43381</v>
      </c>
      <c r="H8" s="77">
        <v>100</v>
      </c>
      <c r="I8" s="43">
        <v>13.82</v>
      </c>
      <c r="J8" s="43">
        <v>0.02</v>
      </c>
      <c r="K8" s="43">
        <f t="shared" si="1"/>
        <v>1381.98</v>
      </c>
      <c r="L8" s="4"/>
      <c r="M8" s="4"/>
      <c r="O8" s="11" t="s">
        <v>177</v>
      </c>
      <c r="P8" s="33"/>
      <c r="Q8" s="2">
        <f>K24+M24-F24+Q2*Q4</f>
        <v>-353.91000000000349</v>
      </c>
      <c r="U8" t="s">
        <v>824</v>
      </c>
      <c r="W8" s="131"/>
      <c r="Z8">
        <f t="shared" si="2"/>
        <v>206</v>
      </c>
      <c r="AA8" s="2">
        <f t="shared" si="3"/>
        <v>1308</v>
      </c>
      <c r="AB8">
        <f t="shared" si="4"/>
        <v>1308</v>
      </c>
      <c r="AC8">
        <f t="shared" si="5"/>
        <v>286</v>
      </c>
      <c r="AD8" s="2">
        <f t="shared" si="6"/>
        <v>1381.98</v>
      </c>
      <c r="AE8">
        <f t="shared" si="7"/>
        <v>1381.98</v>
      </c>
      <c r="AF8">
        <f t="shared" si="8"/>
        <v>-43095</v>
      </c>
      <c r="AG8" s="2">
        <f t="shared" si="9"/>
        <v>0</v>
      </c>
      <c r="AH8">
        <f t="shared" si="10"/>
        <v>0</v>
      </c>
    </row>
    <row r="9" spans="1:41" x14ac:dyDescent="0.25">
      <c r="B9" s="360">
        <v>43320</v>
      </c>
      <c r="C9" s="7">
        <v>100</v>
      </c>
      <c r="D9" s="43">
        <v>12.98</v>
      </c>
      <c r="E9" s="43">
        <v>0</v>
      </c>
      <c r="F9" s="43">
        <f t="shared" si="0"/>
        <v>1298</v>
      </c>
      <c r="G9" s="360">
        <v>43382</v>
      </c>
      <c r="H9" s="77">
        <v>100</v>
      </c>
      <c r="I9" s="43">
        <v>13.7</v>
      </c>
      <c r="J9" s="43">
        <v>0.02</v>
      </c>
      <c r="K9" s="43">
        <f t="shared" si="1"/>
        <v>1369.98</v>
      </c>
      <c r="L9" s="4"/>
      <c r="M9" s="4"/>
      <c r="O9" s="11" t="s">
        <v>202</v>
      </c>
      <c r="Q9" s="131">
        <f>IF(Q2=0, 0, Q8/Q6)</f>
        <v>0</v>
      </c>
      <c r="W9" s="131"/>
      <c r="Z9">
        <f t="shared" si="2"/>
        <v>225</v>
      </c>
      <c r="AA9" s="2">
        <f t="shared" si="3"/>
        <v>1298</v>
      </c>
      <c r="AB9">
        <f t="shared" si="4"/>
        <v>1298</v>
      </c>
      <c r="AC9">
        <f t="shared" si="5"/>
        <v>287</v>
      </c>
      <c r="AD9" s="2">
        <f t="shared" si="6"/>
        <v>1369.98</v>
      </c>
      <c r="AE9">
        <f t="shared" si="7"/>
        <v>1369.98</v>
      </c>
      <c r="AF9">
        <f t="shared" si="8"/>
        <v>-43095</v>
      </c>
      <c r="AG9" s="2">
        <f t="shared" si="9"/>
        <v>0</v>
      </c>
      <c r="AH9">
        <f t="shared" si="10"/>
        <v>0</v>
      </c>
    </row>
    <row r="10" spans="1:41" x14ac:dyDescent="0.25">
      <c r="B10" s="360">
        <v>43325</v>
      </c>
      <c r="C10" s="7">
        <v>200</v>
      </c>
      <c r="D10" s="43">
        <v>12.6</v>
      </c>
      <c r="E10" s="43">
        <v>0</v>
      </c>
      <c r="F10" s="43">
        <f t="shared" si="0"/>
        <v>2520</v>
      </c>
      <c r="G10" s="360">
        <v>43467</v>
      </c>
      <c r="H10" s="77">
        <v>400</v>
      </c>
      <c r="I10" s="43">
        <v>8.14</v>
      </c>
      <c r="J10" s="43">
        <v>0.04</v>
      </c>
      <c r="K10" s="43">
        <f t="shared" si="1"/>
        <v>3255.96</v>
      </c>
      <c r="O10" s="11" t="s">
        <v>201</v>
      </c>
      <c r="P10" s="33"/>
      <c r="Q10" s="2">
        <f>M76</f>
        <v>0</v>
      </c>
      <c r="W10" s="131"/>
      <c r="Z10">
        <f t="shared" si="2"/>
        <v>230</v>
      </c>
      <c r="AA10" s="2">
        <f t="shared" si="3"/>
        <v>2520</v>
      </c>
      <c r="AB10">
        <f t="shared" si="4"/>
        <v>2520</v>
      </c>
      <c r="AC10">
        <f t="shared" si="5"/>
        <v>372</v>
      </c>
      <c r="AD10" s="2">
        <f t="shared" si="6"/>
        <v>3255.96</v>
      </c>
      <c r="AE10">
        <f t="shared" si="7"/>
        <v>3255.96</v>
      </c>
      <c r="AF10">
        <f t="shared" si="8"/>
        <v>-43095</v>
      </c>
      <c r="AG10" s="2">
        <f t="shared" si="9"/>
        <v>0</v>
      </c>
      <c r="AH10">
        <f t="shared" si="10"/>
        <v>0</v>
      </c>
    </row>
    <row r="11" spans="1:41" x14ac:dyDescent="0.25">
      <c r="B11" s="360">
        <v>43367</v>
      </c>
      <c r="C11" s="7">
        <v>200</v>
      </c>
      <c r="D11" s="43">
        <v>11.75</v>
      </c>
      <c r="E11" s="43">
        <v>0</v>
      </c>
      <c r="F11" s="43">
        <f t="shared" si="0"/>
        <v>2350</v>
      </c>
      <c r="G11" s="360">
        <v>43472</v>
      </c>
      <c r="H11" s="77">
        <v>400</v>
      </c>
      <c r="I11" s="43">
        <v>8.76</v>
      </c>
      <c r="J11" s="43">
        <v>0.05</v>
      </c>
      <c r="K11" s="43">
        <f t="shared" si="1"/>
        <v>3503.95</v>
      </c>
      <c r="O11" s="11" t="s">
        <v>173</v>
      </c>
      <c r="P11" s="33"/>
      <c r="Q11" s="131">
        <f>R11*4/Q4</f>
        <v>1.7130620985010708E-2</v>
      </c>
      <c r="R11">
        <v>0.04</v>
      </c>
      <c r="T11" s="724">
        <v>43124</v>
      </c>
      <c r="U11" t="s">
        <v>817</v>
      </c>
      <c r="W11" s="131"/>
      <c r="Z11">
        <f t="shared" si="2"/>
        <v>272</v>
      </c>
      <c r="AA11" s="2">
        <f t="shared" si="3"/>
        <v>2350</v>
      </c>
      <c r="AB11">
        <f t="shared" si="4"/>
        <v>2350</v>
      </c>
      <c r="AC11">
        <f t="shared" si="5"/>
        <v>377</v>
      </c>
      <c r="AD11" s="2">
        <f t="shared" si="6"/>
        <v>3503.95</v>
      </c>
      <c r="AE11">
        <f t="shared" si="7"/>
        <v>3503.95</v>
      </c>
      <c r="AF11">
        <f t="shared" si="8"/>
        <v>-43095</v>
      </c>
      <c r="AG11" s="2">
        <f t="shared" si="9"/>
        <v>0</v>
      </c>
      <c r="AH11">
        <f t="shared" si="10"/>
        <v>0</v>
      </c>
    </row>
    <row r="12" spans="1:41" x14ac:dyDescent="0.25">
      <c r="B12" s="360">
        <v>43403</v>
      </c>
      <c r="C12" s="7">
        <v>200</v>
      </c>
      <c r="D12" s="43">
        <v>10.199999999999999</v>
      </c>
      <c r="E12" s="43">
        <v>0</v>
      </c>
      <c r="F12" s="43">
        <f t="shared" si="0"/>
        <v>2039.9999999999998</v>
      </c>
      <c r="G12" s="360">
        <v>43731</v>
      </c>
      <c r="H12" s="77">
        <v>500</v>
      </c>
      <c r="I12" s="43">
        <v>9.35</v>
      </c>
      <c r="J12" s="43">
        <v>0.1</v>
      </c>
      <c r="K12" s="43">
        <f t="shared" si="1"/>
        <v>4674.8999999999996</v>
      </c>
      <c r="O12" s="11" t="s">
        <v>82</v>
      </c>
      <c r="Q12" s="1"/>
      <c r="W12" s="131"/>
      <c r="Z12">
        <f t="shared" si="2"/>
        <v>308</v>
      </c>
      <c r="AA12" s="2">
        <f t="shared" si="3"/>
        <v>2039.9999999999998</v>
      </c>
      <c r="AB12">
        <f t="shared" si="4"/>
        <v>2039.9999999999998</v>
      </c>
      <c r="AC12">
        <f t="shared" si="5"/>
        <v>636</v>
      </c>
      <c r="AD12" s="2">
        <f t="shared" si="6"/>
        <v>4674.8999999999996</v>
      </c>
      <c r="AE12">
        <f t="shared" si="7"/>
        <v>4674.8999999999996</v>
      </c>
      <c r="AF12">
        <f t="shared" si="8"/>
        <v>-43095</v>
      </c>
      <c r="AG12" s="2">
        <f t="shared" si="9"/>
        <v>0</v>
      </c>
      <c r="AH12">
        <f t="shared" si="10"/>
        <v>0</v>
      </c>
    </row>
    <row r="13" spans="1:41" x14ac:dyDescent="0.25">
      <c r="B13" s="360">
        <v>43420</v>
      </c>
      <c r="C13" s="7">
        <v>400</v>
      </c>
      <c r="D13" s="43">
        <v>7.75</v>
      </c>
      <c r="E13" s="43">
        <v>0</v>
      </c>
      <c r="F13" s="43">
        <f t="shared" si="0"/>
        <v>3100</v>
      </c>
      <c r="H13" s="67"/>
      <c r="O13" s="11" t="s">
        <v>901</v>
      </c>
      <c r="Q13" s="2">
        <f>Q4/0.95</f>
        <v>9.8315789473684205</v>
      </c>
      <c r="T13" s="1">
        <v>43210</v>
      </c>
      <c r="U13" t="s">
        <v>937</v>
      </c>
      <c r="W13" s="131"/>
      <c r="Z13">
        <f t="shared" si="2"/>
        <v>325</v>
      </c>
      <c r="AA13" s="2">
        <f t="shared" si="3"/>
        <v>3100</v>
      </c>
      <c r="AB13">
        <f t="shared" si="4"/>
        <v>3100</v>
      </c>
      <c r="AC13">
        <f t="shared" si="5"/>
        <v>-43095</v>
      </c>
      <c r="AD13" s="2">
        <f t="shared" si="6"/>
        <v>0</v>
      </c>
      <c r="AE13">
        <f t="shared" si="7"/>
        <v>0</v>
      </c>
      <c r="AF13">
        <f t="shared" si="8"/>
        <v>-43095</v>
      </c>
      <c r="AG13" s="2">
        <f t="shared" si="9"/>
        <v>0</v>
      </c>
      <c r="AH13">
        <f t="shared" si="10"/>
        <v>0</v>
      </c>
    </row>
    <row r="14" spans="1:41" x14ac:dyDescent="0.25">
      <c r="B14" s="360">
        <v>43700</v>
      </c>
      <c r="C14" s="7">
        <v>400</v>
      </c>
      <c r="D14" s="43">
        <v>7.8</v>
      </c>
      <c r="E14" s="43">
        <v>0</v>
      </c>
      <c r="F14" s="43">
        <f t="shared" si="0"/>
        <v>3120</v>
      </c>
      <c r="H14" s="67"/>
      <c r="O14" s="11" t="s">
        <v>988</v>
      </c>
      <c r="Q14" s="756">
        <v>43337</v>
      </c>
      <c r="W14" s="131"/>
      <c r="Z14">
        <f t="shared" si="2"/>
        <v>605</v>
      </c>
      <c r="AA14" s="2">
        <f t="shared" si="3"/>
        <v>3120</v>
      </c>
      <c r="AB14">
        <f t="shared" si="4"/>
        <v>3120</v>
      </c>
      <c r="AC14">
        <f t="shared" si="5"/>
        <v>-43095</v>
      </c>
      <c r="AD14" s="2">
        <f t="shared" si="6"/>
        <v>0</v>
      </c>
      <c r="AE14">
        <f t="shared" si="7"/>
        <v>0</v>
      </c>
      <c r="AF14">
        <f t="shared" si="8"/>
        <v>-43095</v>
      </c>
      <c r="AG14" s="2">
        <f t="shared" si="9"/>
        <v>0</v>
      </c>
      <c r="AH14">
        <f t="shared" si="10"/>
        <v>0</v>
      </c>
    </row>
    <row r="15" spans="1:41" x14ac:dyDescent="0.25">
      <c r="B15" s="360">
        <v>43700</v>
      </c>
      <c r="C15" s="7">
        <v>100</v>
      </c>
      <c r="D15" s="43">
        <v>7.8</v>
      </c>
      <c r="E15" s="43">
        <v>0</v>
      </c>
      <c r="F15" s="43">
        <f t="shared" ref="F15" si="11">C15*D15+E15</f>
        <v>780</v>
      </c>
      <c r="H15" s="67"/>
      <c r="T15" s="1">
        <v>43242</v>
      </c>
      <c r="U15" t="s">
        <v>1039</v>
      </c>
      <c r="W15" s="131"/>
      <c r="Z15">
        <f t="shared" si="2"/>
        <v>605</v>
      </c>
      <c r="AA15" s="2">
        <f t="shared" si="3"/>
        <v>780</v>
      </c>
      <c r="AB15">
        <f t="shared" si="4"/>
        <v>780</v>
      </c>
      <c r="AC15">
        <f t="shared" si="5"/>
        <v>-43095</v>
      </c>
      <c r="AD15" s="2">
        <f t="shared" si="6"/>
        <v>0</v>
      </c>
      <c r="AE15">
        <f t="shared" si="7"/>
        <v>0</v>
      </c>
      <c r="AF15">
        <f t="shared" si="8"/>
        <v>-43095</v>
      </c>
      <c r="AG15" s="2">
        <f t="shared" si="9"/>
        <v>0</v>
      </c>
      <c r="AH15">
        <f t="shared" si="10"/>
        <v>0</v>
      </c>
    </row>
    <row r="16" spans="1:41" x14ac:dyDescent="0.25">
      <c r="H16" s="67"/>
      <c r="W16" s="131"/>
      <c r="Z16">
        <f>B22-$B$2</f>
        <v>-43095</v>
      </c>
      <c r="AA16" s="2">
        <f>F22</f>
        <v>0</v>
      </c>
      <c r="AB16">
        <f t="shared" si="4"/>
        <v>0</v>
      </c>
      <c r="AC16">
        <f>G22-$B$2</f>
        <v>-43095</v>
      </c>
      <c r="AD16" s="2">
        <f>K22</f>
        <v>0</v>
      </c>
      <c r="AE16">
        <f t="shared" si="7"/>
        <v>0</v>
      </c>
      <c r="AF16">
        <f>L22-$B$2</f>
        <v>-43095</v>
      </c>
      <c r="AG16" s="2">
        <f>M22</f>
        <v>0</v>
      </c>
      <c r="AH16">
        <f t="shared" si="10"/>
        <v>0</v>
      </c>
    </row>
    <row r="17" spans="1:34" x14ac:dyDescent="0.25">
      <c r="W17" s="131"/>
      <c r="Z17">
        <f>B23-$B$2</f>
        <v>-43095</v>
      </c>
      <c r="AA17" s="2">
        <f>F23</f>
        <v>0</v>
      </c>
      <c r="AB17">
        <f t="shared" si="4"/>
        <v>0</v>
      </c>
      <c r="AC17">
        <f>G23-$B$2</f>
        <v>-43095</v>
      </c>
      <c r="AD17" s="2">
        <f>K23</f>
        <v>0</v>
      </c>
      <c r="AE17">
        <f t="shared" si="7"/>
        <v>0</v>
      </c>
      <c r="AF17">
        <f>L23-$B$2</f>
        <v>-43095</v>
      </c>
      <c r="AG17" s="2">
        <f>M23</f>
        <v>0</v>
      </c>
      <c r="AH17">
        <f t="shared" si="10"/>
        <v>0</v>
      </c>
    </row>
    <row r="18" spans="1:34" x14ac:dyDescent="0.25">
      <c r="H18" s="67"/>
      <c r="T18" s="1">
        <v>43305</v>
      </c>
      <c r="U18" t="s">
        <v>1189</v>
      </c>
      <c r="W18" s="131"/>
      <c r="AA18" s="2"/>
    </row>
    <row r="19" spans="1:34" x14ac:dyDescent="0.25">
      <c r="W19" s="131"/>
      <c r="AA19" s="2"/>
    </row>
    <row r="20" spans="1:34" ht="20.25" thickBot="1" x14ac:dyDescent="0.35">
      <c r="H20" s="67"/>
      <c r="O20" s="886" t="s">
        <v>78</v>
      </c>
      <c r="P20" s="886"/>
      <c r="T20" s="1">
        <v>43472</v>
      </c>
      <c r="U20" t="s">
        <v>1301</v>
      </c>
      <c r="W20" s="131"/>
    </row>
    <row r="21" spans="1:34" ht="15.75" thickTop="1" x14ac:dyDescent="0.25">
      <c r="O21" s="78">
        <v>1.1000000000000001</v>
      </c>
      <c r="P21" s="78">
        <f>O21*$Q$4</f>
        <v>10.274000000000001</v>
      </c>
      <c r="W21" s="131"/>
    </row>
    <row r="22" spans="1:34" x14ac:dyDescent="0.25">
      <c r="H22" s="67"/>
      <c r="O22" s="78">
        <v>1.0900000000000001</v>
      </c>
      <c r="P22" s="78">
        <f t="shared" ref="P22:P41" si="12">O22*$Q$4</f>
        <v>10.1806</v>
      </c>
      <c r="W22" s="131"/>
    </row>
    <row r="23" spans="1:34" x14ac:dyDescent="0.25">
      <c r="O23" s="78">
        <v>1.08</v>
      </c>
      <c r="P23" s="78">
        <f t="shared" si="12"/>
        <v>10.087200000000001</v>
      </c>
      <c r="W23" s="131"/>
    </row>
    <row r="24" spans="1:34" x14ac:dyDescent="0.25">
      <c r="A24" s="31" t="s">
        <v>81</v>
      </c>
      <c r="B24" s="14"/>
      <c r="C24" s="14">
        <f>SUM(C2:C23)</f>
        <v>2350</v>
      </c>
      <c r="D24" s="18"/>
      <c r="E24" s="18"/>
      <c r="F24" s="18">
        <f>SUM(F2:F23)</f>
        <v>26274.5</v>
      </c>
      <c r="G24" s="14"/>
      <c r="H24" s="68">
        <f>SUM(H2:H23)</f>
        <v>2350</v>
      </c>
      <c r="I24" s="18"/>
      <c r="J24" s="18"/>
      <c r="K24" s="18">
        <f>SUM(K2:K23)</f>
        <v>25799.589999999997</v>
      </c>
      <c r="L24" s="14"/>
      <c r="M24" s="18">
        <f>SUM(M2:M23)</f>
        <v>121</v>
      </c>
      <c r="O24" s="78">
        <v>1.07</v>
      </c>
      <c r="P24" s="78">
        <f t="shared" si="12"/>
        <v>9.9938000000000002</v>
      </c>
      <c r="W24" s="131"/>
    </row>
    <row r="25" spans="1:34" ht="15.75" thickBot="1" x14ac:dyDescent="0.3">
      <c r="A25" s="273" t="s">
        <v>189</v>
      </c>
      <c r="B25" s="274"/>
      <c r="C25" s="275">
        <f>SumByColor($A$25,C2:C23)</f>
        <v>2350</v>
      </c>
      <c r="D25" s="275"/>
      <c r="E25" s="275"/>
      <c r="F25" s="276">
        <f>SumByColor($A$25,F2:F23)</f>
        <v>26274</v>
      </c>
      <c r="G25" s="275"/>
      <c r="H25" s="275">
        <f>SumByColor($A$25,H2:H23)</f>
        <v>2350</v>
      </c>
      <c r="I25" s="275"/>
      <c r="J25" s="275"/>
      <c r="K25" s="276">
        <f>SumByColor($A$25,K2:K23)</f>
        <v>25800</v>
      </c>
      <c r="L25" s="275"/>
      <c r="M25" s="276">
        <f>SumByColor($A$25,M2:M23)</f>
        <v>121</v>
      </c>
      <c r="O25" s="78">
        <v>1.06</v>
      </c>
      <c r="P25" s="78">
        <f t="shared" si="12"/>
        <v>9.9004000000000012</v>
      </c>
      <c r="W25" s="131"/>
    </row>
    <row r="26" spans="1:34" x14ac:dyDescent="0.25">
      <c r="O26" s="78">
        <v>1.05</v>
      </c>
      <c r="P26" s="78">
        <f t="shared" si="12"/>
        <v>9.8070000000000004</v>
      </c>
      <c r="W26" s="131"/>
    </row>
    <row r="27" spans="1:34" x14ac:dyDescent="0.25">
      <c r="O27" s="78">
        <v>1.04</v>
      </c>
      <c r="P27" s="78">
        <f t="shared" si="12"/>
        <v>9.7135999999999996</v>
      </c>
      <c r="W27" s="131"/>
    </row>
    <row r="28" spans="1:34" x14ac:dyDescent="0.25">
      <c r="O28" s="78">
        <v>1.03</v>
      </c>
      <c r="P28" s="78">
        <f t="shared" si="12"/>
        <v>9.6202000000000005</v>
      </c>
      <c r="W28" s="131"/>
    </row>
    <row r="29" spans="1:34" x14ac:dyDescent="0.25">
      <c r="O29" s="78">
        <v>1.02</v>
      </c>
      <c r="P29" s="78">
        <f t="shared" si="12"/>
        <v>9.5267999999999997</v>
      </c>
      <c r="W29" s="131"/>
    </row>
    <row r="30" spans="1:34" x14ac:dyDescent="0.25">
      <c r="B30" s="159" t="s">
        <v>113</v>
      </c>
      <c r="C30" s="159" t="s">
        <v>143</v>
      </c>
      <c r="D30" s="160" t="s">
        <v>142</v>
      </c>
      <c r="E30" s="162" t="s">
        <v>144</v>
      </c>
      <c r="F30" s="162" t="s">
        <v>65</v>
      </c>
      <c r="G30" s="173" t="s">
        <v>148</v>
      </c>
      <c r="H30" s="173" t="s">
        <v>88</v>
      </c>
      <c r="I30" s="173" t="s">
        <v>151</v>
      </c>
      <c r="J30" s="173" t="s">
        <v>147</v>
      </c>
      <c r="K30" s="173"/>
      <c r="L30" s="173" t="s">
        <v>901</v>
      </c>
      <c r="O30" s="78">
        <v>1.01</v>
      </c>
      <c r="P30" s="78">
        <f t="shared" si="12"/>
        <v>9.4334000000000007</v>
      </c>
      <c r="W30" s="131"/>
    </row>
    <row r="31" spans="1:34" x14ac:dyDescent="0.25">
      <c r="B31" s="147">
        <v>43095</v>
      </c>
      <c r="C31" s="10">
        <v>200</v>
      </c>
      <c r="D31" s="39">
        <v>17.45</v>
      </c>
      <c r="E31" s="39">
        <v>17.43</v>
      </c>
      <c r="F31" s="39">
        <f t="shared" ref="F31:F38" si="13">C31*(E31-D31)</f>
        <v>-3.9999999999999147</v>
      </c>
      <c r="G31" s="39">
        <f t="shared" ref="G31:G38" si="14">D31*C31</f>
        <v>3490</v>
      </c>
      <c r="H31" s="175">
        <f t="shared" ref="H31:H38" si="15">(E31-D31)/D31</f>
        <v>-1.1461318051575688E-3</v>
      </c>
      <c r="I31" s="39">
        <v>17</v>
      </c>
      <c r="J31" s="39">
        <f>F31+$Q$10</f>
        <v>-3.9999999999999147</v>
      </c>
      <c r="K31" s="39"/>
      <c r="L31" s="39"/>
      <c r="O31" s="78">
        <v>1</v>
      </c>
      <c r="P31" s="78">
        <f t="shared" si="12"/>
        <v>9.34</v>
      </c>
      <c r="W31" s="131"/>
    </row>
    <row r="32" spans="1:34" x14ac:dyDescent="0.25">
      <c r="B32" s="147">
        <v>43103</v>
      </c>
      <c r="C32" s="10">
        <v>200</v>
      </c>
      <c r="D32" s="39">
        <v>17.45</v>
      </c>
      <c r="E32" s="39">
        <v>18.149999999999999</v>
      </c>
      <c r="F32" s="39">
        <f t="shared" si="13"/>
        <v>139.99999999999986</v>
      </c>
      <c r="G32" s="39">
        <f t="shared" si="14"/>
        <v>3490</v>
      </c>
      <c r="H32" s="175">
        <f t="shared" si="15"/>
        <v>4.0114613180515721E-2</v>
      </c>
      <c r="I32" s="39"/>
      <c r="J32" s="39">
        <f t="shared" ref="J32:J70" si="16">F32+$Q$10</f>
        <v>139.99999999999986</v>
      </c>
      <c r="K32" s="39"/>
      <c r="L32" s="39"/>
      <c r="O32" s="78">
        <v>0.99</v>
      </c>
      <c r="P32" s="78">
        <f t="shared" si="12"/>
        <v>9.246599999999999</v>
      </c>
      <c r="W32" s="131"/>
    </row>
    <row r="33" spans="1:23" x14ac:dyDescent="0.25">
      <c r="B33" s="147">
        <v>43105</v>
      </c>
      <c r="C33" s="10">
        <v>200</v>
      </c>
      <c r="D33" s="39">
        <v>17.45</v>
      </c>
      <c r="E33" s="39">
        <v>18.54</v>
      </c>
      <c r="F33" s="39">
        <f t="shared" si="13"/>
        <v>217.99999999999997</v>
      </c>
      <c r="G33" s="39">
        <f t="shared" si="14"/>
        <v>3490</v>
      </c>
      <c r="H33" s="175">
        <f t="shared" si="15"/>
        <v>6.246418338108882E-2</v>
      </c>
      <c r="I33" s="39"/>
      <c r="J33" s="39">
        <f t="shared" si="16"/>
        <v>217.99999999999997</v>
      </c>
      <c r="K33" s="39"/>
      <c r="L33" s="152"/>
      <c r="O33" s="78">
        <v>0.98</v>
      </c>
      <c r="P33" s="78">
        <f t="shared" si="12"/>
        <v>9.1532</v>
      </c>
      <c r="W33" s="131"/>
    </row>
    <row r="34" spans="1:23" x14ac:dyDescent="0.25">
      <c r="B34" s="147">
        <v>43117</v>
      </c>
      <c r="C34" s="10">
        <v>200</v>
      </c>
      <c r="D34" s="39">
        <v>17.45</v>
      </c>
      <c r="E34" s="39">
        <v>17.350000000000001</v>
      </c>
      <c r="F34" s="39">
        <f t="shared" si="13"/>
        <v>-19.999999999999574</v>
      </c>
      <c r="G34" s="39">
        <f t="shared" si="14"/>
        <v>3490</v>
      </c>
      <c r="H34" s="175">
        <f t="shared" si="15"/>
        <v>-5.730659025787844E-3</v>
      </c>
      <c r="I34" s="39"/>
      <c r="J34" s="39">
        <f t="shared" si="16"/>
        <v>-19.999999999999574</v>
      </c>
      <c r="K34" s="39"/>
      <c r="L34" s="152"/>
      <c r="O34" s="78">
        <v>0.97</v>
      </c>
      <c r="P34" s="78">
        <f t="shared" si="12"/>
        <v>9.0597999999999992</v>
      </c>
      <c r="W34" s="131"/>
    </row>
    <row r="35" spans="1:23" x14ac:dyDescent="0.25">
      <c r="B35" s="147">
        <v>43124</v>
      </c>
      <c r="C35" s="10">
        <v>200</v>
      </c>
      <c r="D35" s="39">
        <v>17.45</v>
      </c>
      <c r="E35" s="39">
        <v>16.440000000000001</v>
      </c>
      <c r="F35" s="39">
        <f t="shared" si="13"/>
        <v>-201.9999999999996</v>
      </c>
      <c r="G35" s="39">
        <f t="shared" si="14"/>
        <v>3490</v>
      </c>
      <c r="H35" s="175">
        <f t="shared" si="15"/>
        <v>-5.7879656160458343E-2</v>
      </c>
      <c r="I35" s="39"/>
      <c r="J35" s="39">
        <f t="shared" si="16"/>
        <v>-201.9999999999996</v>
      </c>
      <c r="K35" s="39"/>
      <c r="L35" s="152"/>
      <c r="O35" s="78">
        <v>0.96</v>
      </c>
      <c r="P35" s="78">
        <f t="shared" si="12"/>
        <v>8.9664000000000001</v>
      </c>
      <c r="W35" s="131"/>
    </row>
    <row r="36" spans="1:23" x14ac:dyDescent="0.25">
      <c r="B36" s="147">
        <v>43178</v>
      </c>
      <c r="C36" s="7">
        <v>400</v>
      </c>
      <c r="D36" s="43">
        <v>15.74</v>
      </c>
      <c r="E36" s="39">
        <v>14.07</v>
      </c>
      <c r="F36" s="39">
        <f t="shared" si="13"/>
        <v>-668</v>
      </c>
      <c r="G36" s="39">
        <f t="shared" si="14"/>
        <v>6296</v>
      </c>
      <c r="H36" s="175">
        <f t="shared" si="15"/>
        <v>-0.10609911054637865</v>
      </c>
      <c r="I36" s="39"/>
      <c r="J36" s="39">
        <f t="shared" si="16"/>
        <v>-668</v>
      </c>
      <c r="K36" s="39"/>
      <c r="L36" s="152"/>
      <c r="O36" s="78">
        <v>0.95</v>
      </c>
      <c r="P36" s="78">
        <f t="shared" si="12"/>
        <v>8.8729999999999993</v>
      </c>
      <c r="W36" s="131"/>
    </row>
    <row r="37" spans="1:23" x14ac:dyDescent="0.25">
      <c r="B37" s="147">
        <v>43184</v>
      </c>
      <c r="C37" s="10">
        <v>400</v>
      </c>
      <c r="D37" s="39">
        <v>15.74</v>
      </c>
      <c r="E37" s="39">
        <v>13.07</v>
      </c>
      <c r="F37" s="39">
        <f t="shared" si="13"/>
        <v>-1068</v>
      </c>
      <c r="G37" s="39">
        <f t="shared" si="14"/>
        <v>6296</v>
      </c>
      <c r="H37" s="175">
        <f t="shared" si="15"/>
        <v>-0.16963151207115629</v>
      </c>
      <c r="I37" s="39"/>
      <c r="J37" s="39">
        <f t="shared" si="16"/>
        <v>-1068</v>
      </c>
      <c r="K37" s="39"/>
      <c r="L37" s="152"/>
      <c r="O37" s="78">
        <v>0.94</v>
      </c>
      <c r="P37" s="78">
        <f t="shared" si="12"/>
        <v>8.7795999999999985</v>
      </c>
      <c r="W37" s="131"/>
    </row>
    <row r="38" spans="1:23" x14ac:dyDescent="0.25">
      <c r="A38">
        <v>200</v>
      </c>
      <c r="B38" s="147">
        <v>43185</v>
      </c>
      <c r="C38" s="10">
        <v>400</v>
      </c>
      <c r="D38" s="39">
        <v>15.74</v>
      </c>
      <c r="E38" s="39">
        <v>12.89</v>
      </c>
      <c r="F38" s="39">
        <f t="shared" si="13"/>
        <v>-1139.9999999999998</v>
      </c>
      <c r="G38" s="39">
        <f t="shared" si="14"/>
        <v>6296</v>
      </c>
      <c r="H38" s="175">
        <f t="shared" si="15"/>
        <v>-0.18106734434561625</v>
      </c>
      <c r="I38" s="39"/>
      <c r="J38" s="39">
        <f t="shared" si="16"/>
        <v>-1139.9999999999998</v>
      </c>
      <c r="K38" s="39"/>
      <c r="L38" s="152"/>
      <c r="O38" s="78">
        <v>0.93</v>
      </c>
      <c r="P38" s="78">
        <f t="shared" si="12"/>
        <v>8.6861999999999995</v>
      </c>
      <c r="W38" s="131"/>
    </row>
    <row r="39" spans="1:23" x14ac:dyDescent="0.25">
      <c r="A39" s="29"/>
      <c r="B39" s="147">
        <v>43186</v>
      </c>
      <c r="C39" s="10">
        <v>400</v>
      </c>
      <c r="D39" s="39">
        <v>15.74</v>
      </c>
      <c r="E39" s="39">
        <v>13.44</v>
      </c>
      <c r="F39" s="39">
        <f t="shared" ref="F39:F53" si="17">C39*(E39-D39)</f>
        <v>-920.00000000000023</v>
      </c>
      <c r="G39" s="39">
        <f t="shared" ref="G39:G53" si="18">D39*C39</f>
        <v>6296</v>
      </c>
      <c r="H39" s="175">
        <f t="shared" ref="H39:H53" si="19">(E39-D39)/D39</f>
        <v>-0.1461245235069886</v>
      </c>
      <c r="I39" s="39"/>
      <c r="J39" s="39">
        <f t="shared" si="16"/>
        <v>-920.00000000000023</v>
      </c>
      <c r="K39" s="39"/>
      <c r="L39" s="152"/>
      <c r="O39" s="78">
        <v>0.92</v>
      </c>
      <c r="P39" s="78">
        <f t="shared" si="12"/>
        <v>8.5928000000000004</v>
      </c>
      <c r="W39" s="131"/>
    </row>
    <row r="40" spans="1:23" x14ac:dyDescent="0.25">
      <c r="A40">
        <v>250</v>
      </c>
      <c r="B40" s="147">
        <v>43210</v>
      </c>
      <c r="C40" s="10">
        <v>250</v>
      </c>
      <c r="D40" s="39">
        <v>16.304200000000002</v>
      </c>
      <c r="E40" s="39">
        <v>14.8</v>
      </c>
      <c r="F40" s="39">
        <f t="shared" si="17"/>
        <v>-376.05000000000024</v>
      </c>
      <c r="G40" s="39">
        <f t="shared" si="18"/>
        <v>4076.05</v>
      </c>
      <c r="H40" s="175">
        <f t="shared" si="19"/>
        <v>-9.2258436476490763E-2</v>
      </c>
      <c r="I40" s="39"/>
      <c r="J40" s="39">
        <f t="shared" si="16"/>
        <v>-376.05000000000024</v>
      </c>
      <c r="K40" s="39"/>
      <c r="L40" s="152"/>
      <c r="O40" s="78">
        <v>0.91</v>
      </c>
      <c r="P40" s="78">
        <f t="shared" si="12"/>
        <v>8.4993999999999996</v>
      </c>
      <c r="W40" s="131"/>
    </row>
    <row r="41" spans="1:23" x14ac:dyDescent="0.25">
      <c r="A41">
        <v>150</v>
      </c>
      <c r="B41" s="147">
        <v>43236</v>
      </c>
      <c r="C41" s="10">
        <v>150</v>
      </c>
      <c r="D41" s="39">
        <v>16.953900000000001</v>
      </c>
      <c r="E41" s="39">
        <v>15.03</v>
      </c>
      <c r="F41" s="39">
        <f t="shared" si="17"/>
        <v>-288.58500000000021</v>
      </c>
      <c r="G41" s="39">
        <f t="shared" si="18"/>
        <v>2543.085</v>
      </c>
      <c r="H41" s="175">
        <f t="shared" si="19"/>
        <v>-0.11347831472404588</v>
      </c>
      <c r="I41" s="39"/>
      <c r="J41" s="39">
        <f t="shared" si="16"/>
        <v>-288.58500000000021</v>
      </c>
      <c r="K41" s="39"/>
      <c r="L41" s="639">
        <v>15.82</v>
      </c>
      <c r="O41" s="78">
        <v>0.9</v>
      </c>
      <c r="P41" s="78">
        <f t="shared" si="12"/>
        <v>8.4060000000000006</v>
      </c>
      <c r="Q41" s="2"/>
      <c r="W41" s="131"/>
    </row>
    <row r="42" spans="1:23" x14ac:dyDescent="0.25">
      <c r="A42">
        <v>150</v>
      </c>
      <c r="B42" s="147">
        <v>43243</v>
      </c>
      <c r="C42" s="10">
        <v>300</v>
      </c>
      <c r="D42" s="39">
        <v>15.571899999999999</v>
      </c>
      <c r="E42" s="39">
        <v>14.18</v>
      </c>
      <c r="F42" s="39">
        <f t="shared" si="17"/>
        <v>-417.56999999999994</v>
      </c>
      <c r="G42" s="39">
        <f t="shared" si="18"/>
        <v>4671.57</v>
      </c>
      <c r="H42" s="175">
        <f t="shared" si="19"/>
        <v>-8.9385367232001217E-2</v>
      </c>
      <c r="I42" s="39"/>
      <c r="J42" s="39">
        <f t="shared" si="16"/>
        <v>-417.56999999999994</v>
      </c>
      <c r="K42" s="39"/>
      <c r="L42" s="39"/>
      <c r="Q42" s="2"/>
      <c r="W42" s="131"/>
    </row>
    <row r="43" spans="1:23" x14ac:dyDescent="0.25">
      <c r="A43">
        <v>150</v>
      </c>
      <c r="B43" s="147">
        <v>43266</v>
      </c>
      <c r="C43" s="7">
        <v>400</v>
      </c>
      <c r="D43" s="43">
        <v>15.013999999999999</v>
      </c>
      <c r="E43" s="39">
        <v>13.3</v>
      </c>
      <c r="F43" s="39">
        <f t="shared" si="17"/>
        <v>-685.59999999999945</v>
      </c>
      <c r="G43" s="39">
        <f t="shared" si="18"/>
        <v>6005.5999999999995</v>
      </c>
      <c r="H43" s="175">
        <f t="shared" si="19"/>
        <v>-0.11416011722392425</v>
      </c>
      <c r="I43" s="39"/>
      <c r="J43" s="39">
        <f t="shared" si="16"/>
        <v>-685.59999999999945</v>
      </c>
      <c r="K43" s="39"/>
      <c r="L43" s="39"/>
      <c r="Q43" s="2"/>
      <c r="W43" s="131"/>
    </row>
    <row r="44" spans="1:23" x14ac:dyDescent="0.25">
      <c r="A44">
        <v>200</v>
      </c>
      <c r="B44" s="147">
        <v>43287</v>
      </c>
      <c r="C44" s="10">
        <v>300</v>
      </c>
      <c r="D44" s="39">
        <v>15.418699999999999</v>
      </c>
      <c r="E44" s="39">
        <v>13.8</v>
      </c>
      <c r="F44" s="39">
        <f t="shared" si="17"/>
        <v>-485.60999999999962</v>
      </c>
      <c r="G44" s="39">
        <f t="shared" si="18"/>
        <v>4625.6099999999997</v>
      </c>
      <c r="H44" s="175">
        <f t="shared" si="19"/>
        <v>-0.1049829103620927</v>
      </c>
      <c r="I44" s="39"/>
      <c r="J44" s="39">
        <f t="shared" si="16"/>
        <v>-485.60999999999962</v>
      </c>
      <c r="K44" s="39"/>
      <c r="L44" s="39"/>
      <c r="Q44" s="2"/>
      <c r="W44" s="131"/>
    </row>
    <row r="45" spans="1:23" x14ac:dyDescent="0.25">
      <c r="A45">
        <v>300</v>
      </c>
      <c r="B45" s="147">
        <v>43301</v>
      </c>
      <c r="C45" s="7">
        <v>400</v>
      </c>
      <c r="D45" s="43">
        <v>14.834</v>
      </c>
      <c r="E45" s="39">
        <v>13.08</v>
      </c>
      <c r="F45" s="39">
        <f t="shared" si="17"/>
        <v>-701.5999999999998</v>
      </c>
      <c r="G45" s="39">
        <f t="shared" si="18"/>
        <v>5933.5999999999995</v>
      </c>
      <c r="H45" s="175">
        <f t="shared" si="19"/>
        <v>-0.11824187676958337</v>
      </c>
      <c r="I45" s="39"/>
      <c r="J45" s="39">
        <f t="shared" si="16"/>
        <v>-701.5999999999998</v>
      </c>
      <c r="K45" s="39"/>
      <c r="L45" s="39">
        <v>13.79</v>
      </c>
      <c r="Q45" s="2"/>
      <c r="W45" s="131"/>
    </row>
    <row r="46" spans="1:23" x14ac:dyDescent="0.25">
      <c r="A46">
        <v>300</v>
      </c>
      <c r="B46" s="147">
        <v>43305</v>
      </c>
      <c r="C46" s="7">
        <v>400</v>
      </c>
      <c r="D46" s="43">
        <v>14.744</v>
      </c>
      <c r="E46" s="39">
        <v>13.12</v>
      </c>
      <c r="F46" s="39">
        <f t="shared" si="17"/>
        <v>-649.60000000000025</v>
      </c>
      <c r="G46" s="39">
        <f t="shared" si="18"/>
        <v>5897.6</v>
      </c>
      <c r="H46" s="175">
        <f t="shared" si="19"/>
        <v>-0.11014650027129684</v>
      </c>
      <c r="I46" s="39">
        <v>14</v>
      </c>
      <c r="J46" s="39">
        <f t="shared" si="16"/>
        <v>-649.60000000000025</v>
      </c>
      <c r="K46" s="39" t="s">
        <v>182</v>
      </c>
      <c r="L46" s="39">
        <v>13.81</v>
      </c>
      <c r="Q46" s="2"/>
      <c r="W46" s="131"/>
    </row>
    <row r="47" spans="1:23" x14ac:dyDescent="0.25">
      <c r="A47">
        <v>200</v>
      </c>
      <c r="B47" s="147">
        <v>43312</v>
      </c>
      <c r="C47" s="10">
        <v>300</v>
      </c>
      <c r="D47" s="39">
        <v>15.125400000000001</v>
      </c>
      <c r="E47" s="39">
        <v>13.63</v>
      </c>
      <c r="F47" s="39">
        <f t="shared" si="17"/>
        <v>-448.62</v>
      </c>
      <c r="G47" s="39">
        <f t="shared" si="18"/>
        <v>4537.62</v>
      </c>
      <c r="H47" s="175">
        <f t="shared" si="19"/>
        <v>-9.8866806828249165E-2</v>
      </c>
      <c r="I47" s="39">
        <v>15</v>
      </c>
      <c r="J47" s="39">
        <f t="shared" si="16"/>
        <v>-448.62</v>
      </c>
      <c r="K47" s="39"/>
      <c r="L47" s="39">
        <v>14.35</v>
      </c>
      <c r="Q47" s="2"/>
      <c r="W47" s="131"/>
    </row>
    <row r="48" spans="1:23" x14ac:dyDescent="0.25">
      <c r="A48">
        <v>200</v>
      </c>
      <c r="B48" s="147">
        <v>43316</v>
      </c>
      <c r="C48" s="10">
        <v>300</v>
      </c>
      <c r="D48" s="39">
        <v>15.13</v>
      </c>
      <c r="E48" s="39">
        <v>13.14</v>
      </c>
      <c r="F48" s="39">
        <f t="shared" si="17"/>
        <v>-597.00000000000011</v>
      </c>
      <c r="G48" s="39">
        <f t="shared" si="18"/>
        <v>4539</v>
      </c>
      <c r="H48" s="175">
        <f t="shared" si="19"/>
        <v>-0.13152676801057503</v>
      </c>
      <c r="I48" s="39"/>
      <c r="J48" s="39">
        <f t="shared" si="16"/>
        <v>-597.00000000000011</v>
      </c>
      <c r="K48" s="39"/>
      <c r="L48" s="39"/>
      <c r="Q48" s="2"/>
    </row>
    <row r="49" spans="1:17" x14ac:dyDescent="0.25">
      <c r="A49">
        <v>200</v>
      </c>
      <c r="B49" s="147">
        <v>43320</v>
      </c>
      <c r="C49" s="7">
        <v>400</v>
      </c>
      <c r="D49" s="43">
        <v>14.5891</v>
      </c>
      <c r="E49" s="39">
        <v>13.05</v>
      </c>
      <c r="F49" s="39">
        <f t="shared" si="17"/>
        <v>-615.63999999999976</v>
      </c>
      <c r="G49" s="39">
        <f t="shared" si="18"/>
        <v>5835.64</v>
      </c>
      <c r="H49" s="175">
        <f t="shared" si="19"/>
        <v>-0.10549656935657439</v>
      </c>
      <c r="I49" s="39"/>
      <c r="J49" s="39">
        <f t="shared" si="16"/>
        <v>-615.63999999999976</v>
      </c>
      <c r="K49" s="39"/>
      <c r="L49" s="39">
        <v>13.85</v>
      </c>
      <c r="Q49" s="2"/>
    </row>
    <row r="50" spans="1:17" x14ac:dyDescent="0.25">
      <c r="B50" s="147">
        <v>43325</v>
      </c>
      <c r="C50" s="10">
        <v>600</v>
      </c>
      <c r="D50" s="39">
        <v>13.926</v>
      </c>
      <c r="E50" s="39">
        <v>12.45</v>
      </c>
      <c r="F50" s="39">
        <f t="shared" si="17"/>
        <v>-885.60000000000048</v>
      </c>
      <c r="G50" s="39">
        <f t="shared" si="18"/>
        <v>8355.6</v>
      </c>
      <c r="H50" s="175">
        <f t="shared" si="19"/>
        <v>-0.10598879793192595</v>
      </c>
      <c r="I50" s="39"/>
      <c r="J50" s="39">
        <f t="shared" si="16"/>
        <v>-885.60000000000048</v>
      </c>
      <c r="K50" s="39"/>
      <c r="L50" s="39">
        <v>13.11</v>
      </c>
      <c r="Q50" s="2"/>
    </row>
    <row r="51" spans="1:17" x14ac:dyDescent="0.25">
      <c r="B51" s="147">
        <v>43328</v>
      </c>
      <c r="C51" s="10">
        <v>600</v>
      </c>
      <c r="D51" s="39">
        <v>13.926</v>
      </c>
      <c r="E51" s="39">
        <v>12.3</v>
      </c>
      <c r="F51" s="39">
        <f t="shared" si="17"/>
        <v>-975.59999999999968</v>
      </c>
      <c r="G51" s="39">
        <f t="shared" si="18"/>
        <v>8355.6</v>
      </c>
      <c r="H51" s="175">
        <f t="shared" si="19"/>
        <v>-0.11676001723395084</v>
      </c>
      <c r="I51" s="39"/>
      <c r="J51" s="39">
        <f t="shared" si="16"/>
        <v>-975.59999999999968</v>
      </c>
      <c r="K51" s="39"/>
      <c r="L51" s="39">
        <v>12.95</v>
      </c>
      <c r="Q51" s="2"/>
    </row>
    <row r="52" spans="1:17" x14ac:dyDescent="0.25">
      <c r="A52">
        <v>100</v>
      </c>
      <c r="B52" s="147">
        <v>43339</v>
      </c>
      <c r="C52" s="7">
        <v>400</v>
      </c>
      <c r="D52" s="43">
        <v>14.5291</v>
      </c>
      <c r="E52" s="39">
        <v>12.77</v>
      </c>
      <c r="F52" s="39">
        <f t="shared" si="17"/>
        <v>-703.6400000000001</v>
      </c>
      <c r="G52" s="39">
        <f t="shared" si="18"/>
        <v>5811.6399999999994</v>
      </c>
      <c r="H52" s="175">
        <f t="shared" si="19"/>
        <v>-0.12107425786869112</v>
      </c>
      <c r="I52" s="39"/>
      <c r="J52" s="39">
        <f t="shared" si="16"/>
        <v>-703.6400000000001</v>
      </c>
      <c r="K52" s="39"/>
      <c r="L52" s="39">
        <v>13.39</v>
      </c>
      <c r="Q52" s="2"/>
    </row>
    <row r="53" spans="1:17" x14ac:dyDescent="0.25">
      <c r="B53" s="147">
        <v>43341</v>
      </c>
      <c r="C53" s="10">
        <v>400</v>
      </c>
      <c r="D53" s="39">
        <v>14.53</v>
      </c>
      <c r="E53" s="39">
        <v>12.97</v>
      </c>
      <c r="F53" s="39">
        <f t="shared" si="17"/>
        <v>-623.99999999999955</v>
      </c>
      <c r="G53" s="39">
        <f t="shared" si="18"/>
        <v>5812</v>
      </c>
      <c r="H53" s="175">
        <f t="shared" si="19"/>
        <v>-0.10736407432897445</v>
      </c>
      <c r="I53" s="39"/>
      <c r="J53" s="39">
        <f t="shared" si="16"/>
        <v>-623.99999999999955</v>
      </c>
      <c r="K53" s="39"/>
      <c r="L53" s="39">
        <v>13.65</v>
      </c>
      <c r="Q53" s="2"/>
    </row>
    <row r="54" spans="1:17" x14ac:dyDescent="0.25">
      <c r="B54" s="147">
        <v>43363</v>
      </c>
      <c r="C54" s="10">
        <v>400</v>
      </c>
      <c r="D54" s="39">
        <v>14.53</v>
      </c>
      <c r="E54" s="39">
        <v>12.46</v>
      </c>
      <c r="F54" s="39">
        <f t="shared" ref="F54:F66" si="20">C54*(E54-D54)</f>
        <v>-827.99999999999943</v>
      </c>
      <c r="G54" s="39">
        <f t="shared" ref="G54:G66" si="21">D54*C54</f>
        <v>5812</v>
      </c>
      <c r="H54" s="175">
        <f t="shared" ref="H54:H66" si="22">(E54-D54)/D54</f>
        <v>-0.14246386785960072</v>
      </c>
      <c r="I54" s="39"/>
      <c r="J54" s="39">
        <f t="shared" si="16"/>
        <v>-827.99999999999943</v>
      </c>
      <c r="K54" s="39"/>
      <c r="L54" s="39">
        <v>13.12</v>
      </c>
    </row>
    <row r="55" spans="1:17" x14ac:dyDescent="0.25">
      <c r="B55" s="147">
        <v>43364</v>
      </c>
      <c r="C55" s="10">
        <v>400</v>
      </c>
      <c r="D55" s="39">
        <v>14.53</v>
      </c>
      <c r="E55" s="39">
        <v>12.17</v>
      </c>
      <c r="F55" s="39">
        <f t="shared" si="20"/>
        <v>-943.99999999999977</v>
      </c>
      <c r="G55" s="39">
        <f t="shared" si="21"/>
        <v>5812</v>
      </c>
      <c r="H55" s="175">
        <f t="shared" si="22"/>
        <v>-0.16242257398485888</v>
      </c>
      <c r="I55" s="39"/>
      <c r="J55" s="39">
        <f t="shared" si="16"/>
        <v>-943.99999999999977</v>
      </c>
      <c r="K55" s="39"/>
      <c r="L55" s="39"/>
    </row>
    <row r="56" spans="1:17" x14ac:dyDescent="0.25">
      <c r="A56">
        <v>400</v>
      </c>
      <c r="B56" s="147">
        <v>43367</v>
      </c>
      <c r="C56" s="10">
        <v>600</v>
      </c>
      <c r="D56" s="39">
        <v>13.6028</v>
      </c>
      <c r="E56" s="39">
        <v>11.74</v>
      </c>
      <c r="F56" s="39">
        <f t="shared" si="20"/>
        <v>-1117.68</v>
      </c>
      <c r="G56" s="39">
        <f t="shared" si="21"/>
        <v>8161.68</v>
      </c>
      <c r="H56" s="175">
        <f t="shared" si="22"/>
        <v>-0.13694239421295615</v>
      </c>
      <c r="I56" s="39"/>
      <c r="J56" s="39">
        <f t="shared" si="16"/>
        <v>-1117.68</v>
      </c>
      <c r="K56" s="39"/>
      <c r="L56" s="39">
        <v>12.36</v>
      </c>
    </row>
    <row r="57" spans="1:17" x14ac:dyDescent="0.25">
      <c r="A57">
        <v>200</v>
      </c>
      <c r="B57" s="147">
        <v>43374</v>
      </c>
      <c r="C57" s="7">
        <v>400</v>
      </c>
      <c r="D57" s="43">
        <v>13.904199999999999</v>
      </c>
      <c r="E57" s="39">
        <v>12.09</v>
      </c>
      <c r="F57" s="39">
        <f t="shared" si="20"/>
        <v>-725.67999999999984</v>
      </c>
      <c r="G57" s="39">
        <f t="shared" si="21"/>
        <v>5561.6799999999994</v>
      </c>
      <c r="H57" s="175">
        <f t="shared" si="22"/>
        <v>-0.13047856043497646</v>
      </c>
      <c r="I57" s="39"/>
      <c r="J57" s="39">
        <f t="shared" si="16"/>
        <v>-725.67999999999984</v>
      </c>
      <c r="K57" s="39"/>
      <c r="L57" s="39">
        <v>12.73</v>
      </c>
    </row>
    <row r="58" spans="1:17" x14ac:dyDescent="0.25">
      <c r="A58">
        <v>100</v>
      </c>
      <c r="B58" s="147">
        <v>43381</v>
      </c>
      <c r="C58" s="10">
        <v>300</v>
      </c>
      <c r="D58" s="39">
        <v>13.9323</v>
      </c>
      <c r="E58" s="39">
        <v>13.61</v>
      </c>
      <c r="F58" s="39">
        <f t="shared" si="20"/>
        <v>-96.690000000000083</v>
      </c>
      <c r="G58" s="39">
        <f t="shared" si="21"/>
        <v>4179.6899999999996</v>
      </c>
      <c r="H58" s="175">
        <f t="shared" si="22"/>
        <v>-2.313329457447803E-2</v>
      </c>
      <c r="I58" s="39"/>
      <c r="J58" s="39">
        <f t="shared" si="16"/>
        <v>-96.690000000000083</v>
      </c>
      <c r="K58" s="39"/>
      <c r="L58" s="39">
        <v>14.33</v>
      </c>
    </row>
    <row r="59" spans="1:17" x14ac:dyDescent="0.25">
      <c r="A59">
        <v>0</v>
      </c>
      <c r="B59" s="147">
        <v>43382</v>
      </c>
      <c r="C59" s="10">
        <v>200</v>
      </c>
      <c r="D59" s="39">
        <v>14.0486</v>
      </c>
      <c r="E59" s="39">
        <v>13.55</v>
      </c>
      <c r="F59" s="39">
        <f t="shared" si="20"/>
        <v>-99.719999999999942</v>
      </c>
      <c r="G59" s="39">
        <f t="shared" si="21"/>
        <v>2809.7200000000003</v>
      </c>
      <c r="H59" s="175">
        <f t="shared" si="22"/>
        <v>-3.5491080961803999E-2</v>
      </c>
      <c r="I59" s="39"/>
      <c r="J59" s="39">
        <f t="shared" si="16"/>
        <v>-99.719999999999942</v>
      </c>
      <c r="K59" s="39"/>
      <c r="L59" s="39">
        <v>14.26</v>
      </c>
    </row>
    <row r="60" spans="1:17" x14ac:dyDescent="0.25">
      <c r="A60" s="4">
        <v>200</v>
      </c>
      <c r="B60" s="147">
        <v>43398</v>
      </c>
      <c r="C60" s="10">
        <v>200</v>
      </c>
      <c r="D60" s="39">
        <v>13.8086</v>
      </c>
      <c r="E60" s="39">
        <v>11.8</v>
      </c>
      <c r="F60" s="39">
        <f t="shared" si="20"/>
        <v>-401.71999999999991</v>
      </c>
      <c r="G60" s="39">
        <f t="shared" si="21"/>
        <v>2761.7200000000003</v>
      </c>
      <c r="H60" s="175">
        <f t="shared" si="22"/>
        <v>-0.14546007560505769</v>
      </c>
      <c r="I60" s="39"/>
      <c r="J60" s="39">
        <f t="shared" si="16"/>
        <v>-401.71999999999991</v>
      </c>
      <c r="K60" s="39"/>
      <c r="L60" s="39">
        <v>12.81</v>
      </c>
    </row>
    <row r="61" spans="1:17" x14ac:dyDescent="0.25">
      <c r="A61" s="4">
        <v>200</v>
      </c>
      <c r="B61" s="147">
        <v>43402</v>
      </c>
      <c r="C61" s="10">
        <v>200</v>
      </c>
      <c r="D61" s="39">
        <v>13.81</v>
      </c>
      <c r="E61" s="39">
        <v>11.16</v>
      </c>
      <c r="F61" s="39">
        <f t="shared" si="20"/>
        <v>-530.00000000000011</v>
      </c>
      <c r="G61" s="39">
        <f t="shared" si="21"/>
        <v>2762</v>
      </c>
      <c r="H61" s="175">
        <f t="shared" si="22"/>
        <v>-0.19188993482983346</v>
      </c>
      <c r="I61" s="39"/>
      <c r="J61" s="39">
        <f t="shared" si="16"/>
        <v>-530.00000000000011</v>
      </c>
      <c r="K61" s="39"/>
      <c r="L61" s="39">
        <v>11.75</v>
      </c>
    </row>
    <row r="62" spans="1:17" x14ac:dyDescent="0.25">
      <c r="A62" s="4">
        <v>200</v>
      </c>
      <c r="B62" s="147">
        <v>43403</v>
      </c>
      <c r="C62" s="7">
        <v>400</v>
      </c>
      <c r="D62" s="43">
        <v>12.004300000000001</v>
      </c>
      <c r="E62" s="39">
        <v>10.199999999999999</v>
      </c>
      <c r="F62" s="39">
        <f t="shared" si="20"/>
        <v>-721.72000000000048</v>
      </c>
      <c r="G62" s="39">
        <f t="shared" si="21"/>
        <v>4801.72</v>
      </c>
      <c r="H62" s="175">
        <f t="shared" si="22"/>
        <v>-0.15030447423006765</v>
      </c>
      <c r="I62" s="39"/>
      <c r="J62" s="39">
        <f t="shared" si="16"/>
        <v>-721.72000000000048</v>
      </c>
      <c r="K62" s="39"/>
      <c r="L62" s="39">
        <v>10.74</v>
      </c>
    </row>
    <row r="63" spans="1:17" x14ac:dyDescent="0.25">
      <c r="A63" s="4">
        <v>200</v>
      </c>
      <c r="B63" s="147">
        <v>43407</v>
      </c>
      <c r="C63" s="10">
        <v>400</v>
      </c>
      <c r="D63" s="39">
        <v>12</v>
      </c>
      <c r="E63" s="39">
        <v>9.2899999999999991</v>
      </c>
      <c r="F63" s="39">
        <f t="shared" si="20"/>
        <v>-1084.0000000000005</v>
      </c>
      <c r="G63" s="39">
        <f t="shared" si="21"/>
        <v>4800</v>
      </c>
      <c r="H63" s="175">
        <f t="shared" si="22"/>
        <v>-0.22583333333333341</v>
      </c>
      <c r="I63" s="39"/>
      <c r="J63" s="39">
        <f t="shared" si="16"/>
        <v>-1084.0000000000005</v>
      </c>
      <c r="K63" s="39"/>
      <c r="L63" s="39">
        <v>9.7799999999999994</v>
      </c>
    </row>
    <row r="64" spans="1:17" x14ac:dyDescent="0.25">
      <c r="A64" s="4"/>
      <c r="B64" s="147">
        <v>43416</v>
      </c>
      <c r="C64" s="10">
        <v>400</v>
      </c>
      <c r="D64" s="39">
        <v>12</v>
      </c>
      <c r="E64" s="39">
        <v>7.99</v>
      </c>
      <c r="F64" s="39">
        <f t="shared" si="20"/>
        <v>-1604</v>
      </c>
      <c r="G64" s="39">
        <f t="shared" si="21"/>
        <v>4800</v>
      </c>
      <c r="H64" s="175">
        <f t="shared" si="22"/>
        <v>-0.33416666666666667</v>
      </c>
      <c r="I64" s="39"/>
      <c r="J64" s="39">
        <f t="shared" si="16"/>
        <v>-1604</v>
      </c>
      <c r="K64" s="39"/>
      <c r="L64" s="39"/>
    </row>
    <row r="65" spans="1:13" x14ac:dyDescent="0.25">
      <c r="A65" s="4">
        <v>200</v>
      </c>
      <c r="B65" s="147">
        <v>43420</v>
      </c>
      <c r="C65" s="352">
        <v>800</v>
      </c>
      <c r="D65" s="353">
        <v>9.8772000000000002</v>
      </c>
      <c r="E65" s="39">
        <v>8.02</v>
      </c>
      <c r="F65" s="39">
        <f t="shared" si="20"/>
        <v>-1485.7600000000004</v>
      </c>
      <c r="G65" s="39">
        <f t="shared" si="21"/>
        <v>7901.76</v>
      </c>
      <c r="H65" s="175">
        <f t="shared" si="22"/>
        <v>-0.1880289960717613</v>
      </c>
      <c r="I65" s="39"/>
      <c r="J65" s="39">
        <f t="shared" si="16"/>
        <v>-1485.7600000000004</v>
      </c>
      <c r="K65" s="39"/>
      <c r="L65" s="39">
        <v>8.44</v>
      </c>
    </row>
    <row r="66" spans="1:13" x14ac:dyDescent="0.25">
      <c r="A66" s="4">
        <v>400</v>
      </c>
      <c r="B66" s="147">
        <v>43467</v>
      </c>
      <c r="C66" s="7">
        <v>400</v>
      </c>
      <c r="D66" s="43">
        <v>11.6144</v>
      </c>
      <c r="E66" s="39">
        <v>8.0500000000000007</v>
      </c>
      <c r="F66" s="39">
        <f t="shared" si="20"/>
        <v>-1425.7599999999998</v>
      </c>
      <c r="G66" s="39">
        <f t="shared" si="21"/>
        <v>4645.76</v>
      </c>
      <c r="H66" s="175">
        <f t="shared" si="22"/>
        <v>-0.30689488910318219</v>
      </c>
      <c r="I66" s="39">
        <v>11</v>
      </c>
      <c r="J66" s="39">
        <f t="shared" si="16"/>
        <v>-1425.7599999999998</v>
      </c>
      <c r="K66" s="39"/>
      <c r="L66" s="39">
        <v>8.4700000000000006</v>
      </c>
    </row>
    <row r="67" spans="1:13" x14ac:dyDescent="0.25">
      <c r="A67" s="4"/>
      <c r="B67" s="147">
        <v>43472</v>
      </c>
      <c r="C67" s="10">
        <v>0</v>
      </c>
      <c r="D67" s="39">
        <v>11.61</v>
      </c>
      <c r="E67" s="39">
        <v>8.74</v>
      </c>
      <c r="F67" s="39"/>
      <c r="G67" s="39"/>
      <c r="H67" s="175"/>
      <c r="I67" s="39"/>
      <c r="J67" s="39">
        <f t="shared" si="16"/>
        <v>0</v>
      </c>
      <c r="K67" s="39"/>
      <c r="L67" s="39">
        <v>9.1999999999999993</v>
      </c>
    </row>
    <row r="68" spans="1:13" x14ac:dyDescent="0.25">
      <c r="A68" s="4"/>
      <c r="B68" s="147">
        <v>43490</v>
      </c>
      <c r="C68" s="10">
        <v>0</v>
      </c>
      <c r="D68" s="39">
        <v>11.61</v>
      </c>
      <c r="E68" s="39">
        <v>9.16</v>
      </c>
      <c r="F68" s="39"/>
      <c r="G68" s="39"/>
      <c r="H68" s="175"/>
      <c r="I68" s="39"/>
      <c r="J68" s="39">
        <f t="shared" si="16"/>
        <v>0</v>
      </c>
      <c r="K68" s="39"/>
      <c r="L68" s="39"/>
    </row>
    <row r="69" spans="1:13" x14ac:dyDescent="0.25">
      <c r="A69" s="4"/>
      <c r="B69" s="147">
        <v>43702</v>
      </c>
      <c r="C69" s="10">
        <v>500</v>
      </c>
      <c r="D69" s="39">
        <v>10.068</v>
      </c>
      <c r="E69" s="39">
        <v>7.97</v>
      </c>
      <c r="F69" s="39">
        <f>C69*(E69-D69)</f>
        <v>-1049</v>
      </c>
      <c r="G69" s="39">
        <f t="shared" ref="G69" si="23">D69*C69</f>
        <v>5034</v>
      </c>
      <c r="H69" s="175">
        <f t="shared" ref="H69" si="24">(E69-D69)/D69</f>
        <v>-0.2083829956297179</v>
      </c>
      <c r="I69" s="39"/>
      <c r="J69" s="39">
        <f t="shared" si="16"/>
        <v>-1049</v>
      </c>
      <c r="K69" s="39"/>
      <c r="L69" s="39"/>
    </row>
    <row r="70" spans="1:13" x14ac:dyDescent="0.25">
      <c r="A70" s="4"/>
      <c r="B70" s="147">
        <v>43727</v>
      </c>
      <c r="C70" s="10">
        <v>500</v>
      </c>
      <c r="D70" s="39">
        <v>10.07</v>
      </c>
      <c r="E70" s="39">
        <v>9.42</v>
      </c>
      <c r="F70" s="39">
        <f>C70*(E70-D70)</f>
        <v>-325.00000000000017</v>
      </c>
      <c r="G70" s="39">
        <f t="shared" ref="G70" si="25">D70*C70</f>
        <v>5035</v>
      </c>
      <c r="H70" s="175">
        <f t="shared" ref="H70" si="26">(E70-D70)/D70</f>
        <v>-6.4548162859980177E-2</v>
      </c>
      <c r="I70" s="39"/>
      <c r="J70" s="39">
        <f t="shared" si="16"/>
        <v>-325.00000000000017</v>
      </c>
      <c r="K70" s="39"/>
      <c r="L70" s="39"/>
    </row>
    <row r="71" spans="1:13" x14ac:dyDescent="0.25">
      <c r="A71" s="4"/>
      <c r="B71" s="147">
        <v>43731</v>
      </c>
      <c r="C71" s="10">
        <v>0</v>
      </c>
      <c r="D71" s="39">
        <v>10.07</v>
      </c>
      <c r="E71" s="39">
        <v>9.35</v>
      </c>
      <c r="F71" s="39">
        <f>C71*(E71-D71)</f>
        <v>0</v>
      </c>
      <c r="G71" s="39">
        <f t="shared" ref="G71" si="27">D71*C71</f>
        <v>0</v>
      </c>
      <c r="H71" s="175">
        <f t="shared" ref="H71" si="28">(E71-D71)/D71</f>
        <v>-7.149950347567037E-2</v>
      </c>
      <c r="I71" s="39"/>
      <c r="J71" s="39">
        <v>-358.91</v>
      </c>
      <c r="K71" s="39"/>
      <c r="L71" s="39"/>
    </row>
    <row r="72" spans="1:13" x14ac:dyDescent="0.25">
      <c r="A72" s="4"/>
      <c r="B72" s="147">
        <v>43765</v>
      </c>
      <c r="C72" s="10">
        <v>0</v>
      </c>
      <c r="D72" s="39"/>
      <c r="E72" s="39"/>
      <c r="F72" s="39"/>
      <c r="G72" s="39"/>
      <c r="H72" s="175"/>
      <c r="I72" s="39"/>
      <c r="J72" s="39">
        <v>-353.91</v>
      </c>
      <c r="K72" s="39"/>
      <c r="L72" s="39"/>
    </row>
    <row r="73" spans="1:13" x14ac:dyDescent="0.25">
      <c r="A73" s="4"/>
      <c r="B73" s="147"/>
      <c r="C73" s="10"/>
      <c r="D73" s="39"/>
      <c r="E73" s="39"/>
      <c r="F73" s="39"/>
      <c r="G73" s="39"/>
      <c r="H73" s="175"/>
      <c r="I73" s="39"/>
      <c r="J73" s="39"/>
      <c r="K73" s="39"/>
      <c r="L73" s="39"/>
    </row>
    <row r="74" spans="1:13" x14ac:dyDescent="0.25">
      <c r="A74" s="4"/>
      <c r="B74" s="147"/>
      <c r="C74" s="10"/>
      <c r="D74" s="39"/>
      <c r="E74" s="39"/>
      <c r="F74" s="39"/>
      <c r="G74" s="39"/>
      <c r="H74" s="175"/>
      <c r="I74" s="39"/>
      <c r="J74" s="39"/>
      <c r="K74" s="39"/>
      <c r="L74" s="39"/>
    </row>
    <row r="75" spans="1:13" x14ac:dyDescent="0.25">
      <c r="A75" s="4"/>
      <c r="B75" s="4"/>
      <c r="C75" s="4"/>
      <c r="D75" s="3"/>
      <c r="E75" s="3"/>
      <c r="F75" s="3"/>
      <c r="G75" s="4"/>
      <c r="H75" s="4"/>
      <c r="I75" s="3"/>
      <c r="J75" s="3"/>
      <c r="K75" s="3"/>
      <c r="L75" s="4"/>
    </row>
    <row r="76" spans="1:13" x14ac:dyDescent="0.25">
      <c r="A76" s="4"/>
      <c r="B76" s="4"/>
      <c r="C76" s="4"/>
      <c r="D76" s="3"/>
      <c r="E76" s="3"/>
      <c r="F76" s="3"/>
      <c r="G76" s="4"/>
      <c r="H76" s="4"/>
      <c r="I76" s="3"/>
      <c r="J76" s="3"/>
      <c r="K76" s="3"/>
      <c r="L76" s="4" t="s">
        <v>65</v>
      </c>
      <c r="M76" s="2">
        <f>M94+K94-F94</f>
        <v>0</v>
      </c>
    </row>
    <row r="77" spans="1:13" x14ac:dyDescent="0.25">
      <c r="A77" s="431" t="s">
        <v>1</v>
      </c>
      <c r="B77" s="431" t="s">
        <v>2</v>
      </c>
      <c r="C77" s="431" t="s">
        <v>4</v>
      </c>
      <c r="D77" s="432" t="s">
        <v>5</v>
      </c>
      <c r="E77" s="432" t="s">
        <v>94</v>
      </c>
      <c r="F77" s="432" t="s">
        <v>60</v>
      </c>
      <c r="G77" s="431" t="s">
        <v>3</v>
      </c>
      <c r="H77" s="431" t="s">
        <v>6</v>
      </c>
      <c r="I77" s="432" t="s">
        <v>7</v>
      </c>
      <c r="J77" s="432" t="s">
        <v>95</v>
      </c>
      <c r="K77" s="432" t="s">
        <v>61</v>
      </c>
      <c r="L77" s="431" t="s">
        <v>37</v>
      </c>
      <c r="M77" s="431" t="s">
        <v>38</v>
      </c>
    </row>
    <row r="78" spans="1:13" x14ac:dyDescent="0.25">
      <c r="A78" s="433" t="s">
        <v>711</v>
      </c>
      <c r="B78" s="417"/>
      <c r="C78" s="418"/>
      <c r="D78" s="420"/>
      <c r="E78" s="420"/>
      <c r="F78" s="420"/>
      <c r="G78" s="417"/>
      <c r="H78" s="434"/>
      <c r="I78" s="420"/>
      <c r="J78" s="420"/>
      <c r="K78" s="420"/>
      <c r="L78" s="417"/>
      <c r="M78" s="420"/>
    </row>
    <row r="79" spans="1:13" x14ac:dyDescent="0.25">
      <c r="A79" s="435" t="s">
        <v>71</v>
      </c>
      <c r="B79" s="417"/>
      <c r="C79" s="418"/>
      <c r="D79" s="420"/>
      <c r="E79" s="420"/>
      <c r="F79" s="420"/>
      <c r="G79" s="417"/>
      <c r="H79" s="434"/>
      <c r="I79" s="420"/>
      <c r="J79" s="420"/>
      <c r="K79" s="420"/>
      <c r="L79" s="418"/>
      <c r="M79" s="418"/>
    </row>
    <row r="80" spans="1:13" x14ac:dyDescent="0.25">
      <c r="A80" s="418"/>
      <c r="B80" s="417"/>
      <c r="C80" s="418"/>
      <c r="D80" s="420"/>
      <c r="E80" s="420"/>
      <c r="F80" s="420"/>
      <c r="G80" s="417"/>
      <c r="H80" s="434"/>
      <c r="I80" s="420"/>
      <c r="J80" s="420"/>
      <c r="K80" s="420"/>
      <c r="L80" s="418"/>
      <c r="M80" s="418"/>
    </row>
    <row r="81" spans="1:13" x14ac:dyDescent="0.25">
      <c r="A81" s="418"/>
      <c r="B81" s="417"/>
      <c r="C81" s="418"/>
      <c r="D81" s="420"/>
      <c r="E81" s="420"/>
      <c r="F81" s="420"/>
      <c r="G81" s="418"/>
      <c r="H81" s="434"/>
      <c r="I81" s="420"/>
      <c r="J81" s="420"/>
      <c r="K81" s="420"/>
      <c r="L81" s="418"/>
      <c r="M81" s="418"/>
    </row>
    <row r="82" spans="1:13" x14ac:dyDescent="0.25">
      <c r="A82" s="418"/>
      <c r="B82" s="417"/>
      <c r="C82" s="418"/>
      <c r="D82" s="420"/>
      <c r="E82" s="420"/>
      <c r="F82" s="420"/>
      <c r="G82" s="418"/>
      <c r="H82" s="434"/>
      <c r="I82" s="420"/>
      <c r="J82" s="420"/>
      <c r="K82" s="420"/>
      <c r="L82" s="418"/>
      <c r="M82" s="418"/>
    </row>
    <row r="83" spans="1:13" x14ac:dyDescent="0.25">
      <c r="A83" s="418"/>
      <c r="B83" s="418"/>
      <c r="C83" s="418"/>
      <c r="D83" s="420"/>
      <c r="E83" s="420"/>
      <c r="F83" s="420"/>
      <c r="G83" s="418"/>
      <c r="H83" s="434"/>
      <c r="I83" s="420"/>
      <c r="J83" s="420"/>
      <c r="K83" s="420"/>
      <c r="L83" s="418"/>
      <c r="M83" s="418"/>
    </row>
    <row r="84" spans="1:13" x14ac:dyDescent="0.25">
      <c r="A84" s="418"/>
      <c r="B84" s="418"/>
      <c r="C84" s="418"/>
      <c r="D84" s="420"/>
      <c r="E84" s="420"/>
      <c r="F84" s="420"/>
      <c r="G84" s="418"/>
      <c r="H84" s="434"/>
      <c r="I84" s="420"/>
      <c r="J84" s="420"/>
      <c r="K84" s="420"/>
      <c r="L84" s="418"/>
      <c r="M84" s="418"/>
    </row>
    <row r="85" spans="1:13" x14ac:dyDescent="0.25">
      <c r="A85" s="418"/>
      <c r="B85" s="418"/>
      <c r="C85" s="418"/>
      <c r="D85" s="420"/>
      <c r="E85" s="420"/>
      <c r="F85" s="420"/>
      <c r="G85" s="418"/>
      <c r="H85" s="434"/>
      <c r="I85" s="420"/>
      <c r="J85" s="420"/>
      <c r="K85" s="420"/>
      <c r="L85" s="418"/>
      <c r="M85" s="418"/>
    </row>
    <row r="86" spans="1:13" x14ac:dyDescent="0.25">
      <c r="A86" s="418"/>
      <c r="B86" s="418"/>
      <c r="C86" s="418"/>
      <c r="D86" s="420"/>
      <c r="E86" s="420"/>
      <c r="F86" s="420"/>
      <c r="G86" s="418"/>
      <c r="H86" s="434"/>
      <c r="I86" s="420"/>
      <c r="J86" s="420"/>
      <c r="K86" s="420"/>
      <c r="L86" s="418"/>
      <c r="M86" s="418"/>
    </row>
    <row r="87" spans="1:13" x14ac:dyDescent="0.25">
      <c r="A87" s="418"/>
      <c r="B87" s="418"/>
      <c r="C87" s="418"/>
      <c r="D87" s="420"/>
      <c r="E87" s="420"/>
      <c r="F87" s="420"/>
      <c r="G87" s="418"/>
      <c r="H87" s="434"/>
      <c r="I87" s="420"/>
      <c r="J87" s="420"/>
      <c r="K87" s="420"/>
      <c r="L87" s="418"/>
      <c r="M87" s="418"/>
    </row>
    <row r="88" spans="1:13" x14ac:dyDescent="0.25">
      <c r="A88" s="418"/>
      <c r="B88" s="418"/>
      <c r="C88" s="418"/>
      <c r="D88" s="420"/>
      <c r="E88" s="420"/>
      <c r="F88" s="420"/>
      <c r="G88" s="418"/>
      <c r="H88" s="434"/>
      <c r="I88" s="420"/>
      <c r="J88" s="420"/>
      <c r="K88" s="420"/>
      <c r="L88" s="418"/>
      <c r="M88" s="418"/>
    </row>
    <row r="89" spans="1:13" x14ac:dyDescent="0.25">
      <c r="A89" s="418"/>
      <c r="B89" s="418"/>
      <c r="C89" s="418"/>
      <c r="D89" s="420"/>
      <c r="E89" s="420"/>
      <c r="F89" s="420"/>
      <c r="G89" s="418"/>
      <c r="H89" s="434"/>
      <c r="I89" s="420"/>
      <c r="J89" s="420"/>
      <c r="K89" s="420"/>
      <c r="L89" s="418"/>
      <c r="M89" s="418"/>
    </row>
    <row r="90" spans="1:13" x14ac:dyDescent="0.25">
      <c r="A90" s="418"/>
      <c r="B90" s="418"/>
      <c r="C90" s="418"/>
      <c r="D90" s="420"/>
      <c r="E90" s="420"/>
      <c r="F90" s="420"/>
      <c r="G90" s="418"/>
      <c r="H90" s="434"/>
      <c r="I90" s="420"/>
      <c r="J90" s="420"/>
      <c r="K90" s="420"/>
      <c r="L90" s="418"/>
      <c r="M90" s="418"/>
    </row>
    <row r="91" spans="1:13" x14ac:dyDescent="0.25">
      <c r="A91" s="418"/>
      <c r="B91" s="418"/>
      <c r="C91" s="418"/>
      <c r="D91" s="420"/>
      <c r="E91" s="420"/>
      <c r="F91" s="420"/>
      <c r="G91" s="418"/>
      <c r="H91" s="434"/>
      <c r="I91" s="420"/>
      <c r="J91" s="420"/>
      <c r="K91" s="420"/>
      <c r="L91" s="418"/>
      <c r="M91" s="418"/>
    </row>
    <row r="92" spans="1:13" x14ac:dyDescent="0.25">
      <c r="A92" s="418"/>
      <c r="B92" s="418"/>
      <c r="C92" s="418"/>
      <c r="D92" s="420"/>
      <c r="E92" s="420"/>
      <c r="F92" s="420"/>
      <c r="G92" s="418"/>
      <c r="H92" s="434"/>
      <c r="I92" s="420"/>
      <c r="J92" s="420"/>
      <c r="K92" s="420"/>
      <c r="L92" s="418"/>
      <c r="M92" s="418"/>
    </row>
    <row r="93" spans="1:13" x14ac:dyDescent="0.25">
      <c r="A93" s="418"/>
      <c r="B93" s="418"/>
      <c r="C93" s="418"/>
      <c r="D93" s="420"/>
      <c r="E93" s="420"/>
      <c r="F93" s="420"/>
      <c r="G93" s="418"/>
      <c r="H93" s="418"/>
      <c r="I93" s="420"/>
      <c r="J93" s="420"/>
      <c r="K93" s="420"/>
      <c r="L93" s="418"/>
      <c r="M93" s="418"/>
    </row>
    <row r="94" spans="1:13" x14ac:dyDescent="0.25">
      <c r="A94" s="436" t="s">
        <v>81</v>
      </c>
      <c r="B94" s="437"/>
      <c r="C94" s="437">
        <f>SUM(C78:C82)</f>
        <v>0</v>
      </c>
      <c r="D94" s="438"/>
      <c r="E94" s="438"/>
      <c r="F94" s="438">
        <f>SUM(F78:F82)</f>
        <v>0</v>
      </c>
      <c r="G94" s="437"/>
      <c r="H94" s="459">
        <f>SUM(H78:H81)</f>
        <v>0</v>
      </c>
      <c r="I94" s="438"/>
      <c r="J94" s="438"/>
      <c r="K94" s="438">
        <f>SUM(K78:K81)</f>
        <v>0</v>
      </c>
      <c r="L94" s="437"/>
      <c r="M94" s="438">
        <f>SUM(M78:M86)</f>
        <v>0</v>
      </c>
    </row>
    <row r="95" spans="1:13" ht="15.75" thickBot="1" x14ac:dyDescent="0.3">
      <c r="A95" s="439" t="s">
        <v>189</v>
      </c>
      <c r="B95" s="440"/>
      <c r="C95" s="441">
        <f>SumByColor($A$25,C78:C93)</f>
        <v>0</v>
      </c>
      <c r="D95" s="441"/>
      <c r="E95" s="441"/>
      <c r="F95" s="442">
        <f>SumByColor($A$25,F78:F93)</f>
        <v>0</v>
      </c>
      <c r="G95" s="441"/>
      <c r="H95" s="441">
        <f>SumByColor($A$25,H78:H93)</f>
        <v>0</v>
      </c>
      <c r="I95" s="441"/>
      <c r="J95" s="441"/>
      <c r="K95" s="442">
        <f>SumByColor($A$25,K79:K93)</f>
        <v>0</v>
      </c>
      <c r="L95" s="441"/>
      <c r="M95" s="442">
        <f>SumByColor($A$25,M78:M93)</f>
        <v>0</v>
      </c>
    </row>
    <row r="98" spans="1:13" x14ac:dyDescent="0.25">
      <c r="A98" s="291"/>
      <c r="B98" s="405" t="s">
        <v>113</v>
      </c>
      <c r="C98" s="405" t="s">
        <v>143</v>
      </c>
      <c r="D98" s="406" t="s">
        <v>142</v>
      </c>
      <c r="E98" s="407" t="s">
        <v>144</v>
      </c>
      <c r="F98" s="407" t="s">
        <v>65</v>
      </c>
      <c r="G98" s="409" t="s">
        <v>148</v>
      </c>
      <c r="H98" s="409" t="s">
        <v>88</v>
      </c>
      <c r="I98" s="409" t="s">
        <v>151</v>
      </c>
      <c r="J98" s="292"/>
      <c r="K98" s="292"/>
      <c r="L98" s="291"/>
      <c r="M98" s="291"/>
    </row>
    <row r="99" spans="1:13" x14ac:dyDescent="0.25">
      <c r="A99" s="291"/>
      <c r="B99" s="290"/>
      <c r="C99" s="291"/>
      <c r="D99" s="292"/>
      <c r="E99" s="292"/>
      <c r="F99" s="292"/>
      <c r="G99" s="292"/>
      <c r="H99" s="293"/>
      <c r="I99" s="292"/>
      <c r="J99" s="292"/>
      <c r="K99" s="292"/>
      <c r="L99" s="291"/>
      <c r="M99" s="291"/>
    </row>
    <row r="100" spans="1:13" x14ac:dyDescent="0.25">
      <c r="A100" s="291"/>
      <c r="B100" s="290"/>
      <c r="C100" s="291"/>
      <c r="D100" s="292"/>
      <c r="E100" s="292"/>
      <c r="F100" s="292"/>
      <c r="G100" s="292"/>
      <c r="H100" s="293"/>
      <c r="I100" s="292"/>
      <c r="J100" s="292"/>
      <c r="K100" s="292"/>
      <c r="L100" s="291"/>
      <c r="M100" s="291"/>
    </row>
    <row r="101" spans="1:13" x14ac:dyDescent="0.25">
      <c r="A101" s="291"/>
      <c r="B101" s="290"/>
      <c r="C101" s="291"/>
      <c r="D101" s="292"/>
      <c r="E101" s="292"/>
      <c r="F101" s="292"/>
      <c r="G101" s="292"/>
      <c r="H101" s="293"/>
      <c r="I101" s="292"/>
      <c r="J101" s="292"/>
      <c r="K101" s="292"/>
      <c r="L101" s="291"/>
      <c r="M101" s="291"/>
    </row>
    <row r="102" spans="1:13" x14ac:dyDescent="0.25">
      <c r="A102" s="291"/>
      <c r="B102" s="290"/>
      <c r="C102" s="291"/>
      <c r="D102" s="292"/>
      <c r="E102" s="292"/>
      <c r="F102" s="292"/>
      <c r="G102" s="292"/>
      <c r="H102" s="293"/>
      <c r="I102" s="292"/>
      <c r="J102" s="292"/>
      <c r="K102" s="292"/>
      <c r="L102" s="291"/>
      <c r="M102" s="291"/>
    </row>
    <row r="103" spans="1:13" x14ac:dyDescent="0.25">
      <c r="A103" s="291"/>
      <c r="B103" s="290"/>
      <c r="C103" s="291"/>
      <c r="D103" s="292"/>
      <c r="E103" s="292"/>
      <c r="F103" s="292"/>
      <c r="G103" s="292"/>
      <c r="H103" s="293"/>
      <c r="I103" s="292"/>
      <c r="J103" s="292"/>
      <c r="K103" s="292"/>
      <c r="L103" s="291"/>
      <c r="M103" s="291"/>
    </row>
    <row r="104" spans="1:13" x14ac:dyDescent="0.25">
      <c r="A104" s="291"/>
      <c r="B104" s="290"/>
      <c r="C104" s="291"/>
      <c r="D104" s="292"/>
      <c r="E104" s="292"/>
      <c r="F104" s="292"/>
      <c r="G104" s="292"/>
      <c r="H104" s="293"/>
      <c r="I104" s="292"/>
      <c r="J104" s="292"/>
      <c r="K104" s="292"/>
      <c r="L104" s="291"/>
      <c r="M104" s="291"/>
    </row>
    <row r="105" spans="1:13" x14ac:dyDescent="0.25">
      <c r="A105" s="291"/>
      <c r="B105" s="290"/>
      <c r="C105" s="291"/>
      <c r="D105" s="292"/>
      <c r="E105" s="292"/>
      <c r="F105" s="292"/>
      <c r="G105" s="292"/>
      <c r="H105" s="293"/>
      <c r="I105" s="292"/>
      <c r="J105" s="292"/>
      <c r="K105" s="292"/>
      <c r="L105" s="291"/>
      <c r="M105" s="291"/>
    </row>
    <row r="106" spans="1:13" x14ac:dyDescent="0.25">
      <c r="A106" s="291"/>
      <c r="B106" s="290"/>
      <c r="C106" s="291"/>
      <c r="D106" s="292"/>
      <c r="E106" s="292"/>
      <c r="F106" s="292"/>
      <c r="G106" s="292"/>
      <c r="H106" s="293"/>
      <c r="I106" s="292"/>
      <c r="J106" s="292"/>
      <c r="K106" s="292"/>
      <c r="L106" s="291"/>
      <c r="M106" s="291"/>
    </row>
    <row r="107" spans="1:13" x14ac:dyDescent="0.25">
      <c r="A107" s="291"/>
      <c r="B107" s="290"/>
      <c r="C107" s="291"/>
      <c r="D107" s="292"/>
      <c r="E107" s="292"/>
      <c r="F107" s="292"/>
      <c r="G107" s="292"/>
      <c r="H107" s="293"/>
      <c r="I107" s="292"/>
      <c r="J107" s="292"/>
      <c r="K107" s="292"/>
      <c r="L107" s="291"/>
      <c r="M107" s="291"/>
    </row>
    <row r="108" spans="1:13" x14ac:dyDescent="0.25">
      <c r="A108" s="291"/>
      <c r="B108" s="290"/>
      <c r="C108" s="291"/>
      <c r="D108" s="292"/>
      <c r="E108" s="292"/>
      <c r="F108" s="292"/>
      <c r="G108" s="292"/>
      <c r="H108" s="293"/>
      <c r="I108" s="292"/>
      <c r="J108" s="292"/>
      <c r="K108" s="292"/>
      <c r="L108" s="291"/>
      <c r="M108" s="291"/>
    </row>
    <row r="109" spans="1:13" x14ac:dyDescent="0.25">
      <c r="A109" s="291"/>
      <c r="B109" s="290"/>
      <c r="C109" s="291"/>
      <c r="D109" s="292"/>
      <c r="E109" s="292"/>
      <c r="F109" s="292"/>
      <c r="G109" s="292"/>
      <c r="H109" s="293"/>
      <c r="I109" s="292"/>
      <c r="J109" s="292"/>
      <c r="K109" s="292"/>
      <c r="L109" s="291"/>
      <c r="M109" s="291"/>
    </row>
    <row r="110" spans="1:13" x14ac:dyDescent="0.25">
      <c r="A110" s="291"/>
      <c r="B110" s="290"/>
      <c r="C110" s="291"/>
      <c r="D110" s="292"/>
      <c r="E110" s="292"/>
      <c r="F110" s="292"/>
      <c r="G110" s="292"/>
      <c r="H110" s="293"/>
      <c r="I110" s="292"/>
      <c r="J110" s="292"/>
      <c r="K110" s="292"/>
      <c r="L110" s="291"/>
      <c r="M110" s="291"/>
    </row>
    <row r="111" spans="1:13" x14ac:dyDescent="0.25">
      <c r="A111" s="291"/>
      <c r="B111" s="290"/>
      <c r="C111" s="291"/>
      <c r="D111" s="292"/>
      <c r="E111" s="292"/>
      <c r="F111" s="292"/>
      <c r="G111" s="292"/>
      <c r="H111" s="293"/>
      <c r="I111" s="292"/>
      <c r="J111" s="292"/>
      <c r="K111" s="292"/>
      <c r="L111" s="291"/>
      <c r="M111" s="291"/>
    </row>
    <row r="112" spans="1:13" x14ac:dyDescent="0.25">
      <c r="A112" s="291"/>
      <c r="B112" s="290"/>
      <c r="C112" s="291"/>
      <c r="D112" s="292"/>
      <c r="E112" s="292"/>
      <c r="F112" s="292"/>
      <c r="G112" s="292"/>
      <c r="H112" s="293"/>
      <c r="I112" s="292"/>
      <c r="J112" s="292"/>
      <c r="K112" s="292"/>
      <c r="L112" s="291"/>
      <c r="M112" s="291"/>
    </row>
    <row r="113" spans="1:13" x14ac:dyDescent="0.25">
      <c r="A113" s="291"/>
      <c r="B113" s="290"/>
      <c r="C113" s="291"/>
      <c r="D113" s="292"/>
      <c r="E113" s="292"/>
      <c r="F113" s="292"/>
      <c r="G113" s="292"/>
      <c r="H113" s="293"/>
      <c r="I113" s="292"/>
      <c r="J113" s="292"/>
      <c r="K113" s="292"/>
      <c r="L113" s="291"/>
      <c r="M113" s="291"/>
    </row>
    <row r="114" spans="1:13" x14ac:dyDescent="0.25">
      <c r="A114" s="291"/>
      <c r="B114" s="290"/>
      <c r="C114" s="291"/>
      <c r="D114" s="292"/>
      <c r="E114" s="292"/>
      <c r="F114" s="292"/>
      <c r="G114" s="292"/>
      <c r="H114" s="293"/>
      <c r="I114" s="292"/>
      <c r="J114" s="292"/>
      <c r="K114" s="292"/>
      <c r="L114" s="291"/>
      <c r="M114" s="291"/>
    </row>
    <row r="115" spans="1:13" x14ac:dyDescent="0.25">
      <c r="A115" s="291"/>
      <c r="B115" s="290"/>
      <c r="C115" s="291"/>
      <c r="D115" s="292"/>
      <c r="E115" s="292"/>
      <c r="F115" s="292"/>
      <c r="G115" s="292"/>
      <c r="H115" s="293"/>
      <c r="I115" s="292"/>
      <c r="J115" s="292"/>
      <c r="K115" s="292"/>
      <c r="L115" s="291"/>
      <c r="M115" s="291"/>
    </row>
    <row r="116" spans="1:13" x14ac:dyDescent="0.25">
      <c r="A116" s="291"/>
      <c r="B116" s="290"/>
      <c r="C116" s="291"/>
      <c r="D116" s="292"/>
      <c r="E116" s="292"/>
      <c r="F116" s="292"/>
      <c r="G116" s="292"/>
      <c r="H116" s="293"/>
      <c r="I116" s="292"/>
      <c r="J116" s="292"/>
      <c r="K116" s="292"/>
      <c r="L116" s="291"/>
      <c r="M116" s="291"/>
    </row>
    <row r="117" spans="1:13" x14ac:dyDescent="0.25">
      <c r="A117" s="291"/>
      <c r="B117" s="290"/>
      <c r="C117" s="291"/>
      <c r="D117" s="292"/>
      <c r="E117" s="292"/>
      <c r="F117" s="292"/>
      <c r="G117" s="292"/>
      <c r="H117" s="293"/>
      <c r="I117" s="292"/>
      <c r="J117" s="292"/>
      <c r="K117" s="292"/>
      <c r="L117" s="291"/>
      <c r="M117" s="291"/>
    </row>
    <row r="118" spans="1:13" x14ac:dyDescent="0.25">
      <c r="A118" s="291"/>
      <c r="B118" s="290"/>
      <c r="C118" s="291"/>
      <c r="D118" s="292"/>
      <c r="E118" s="292"/>
      <c r="F118" s="292"/>
      <c r="G118" s="292"/>
      <c r="H118" s="293"/>
      <c r="I118" s="292"/>
      <c r="J118" s="292"/>
      <c r="K118" s="292"/>
      <c r="L118" s="291"/>
      <c r="M118" s="291"/>
    </row>
    <row r="119" spans="1:13" x14ac:dyDescent="0.25">
      <c r="A119" s="291"/>
      <c r="B119" s="290"/>
      <c r="C119" s="291"/>
      <c r="D119" s="292"/>
      <c r="E119" s="292"/>
      <c r="F119" s="292"/>
      <c r="G119" s="292"/>
      <c r="H119" s="293"/>
      <c r="I119" s="292"/>
      <c r="J119" s="292"/>
      <c r="K119" s="292"/>
      <c r="L119" s="291"/>
      <c r="M119" s="291"/>
    </row>
    <row r="120" spans="1:13" x14ac:dyDescent="0.25">
      <c r="A120" s="291"/>
      <c r="B120" s="290"/>
      <c r="C120" s="291"/>
      <c r="D120" s="292"/>
      <c r="E120" s="292"/>
      <c r="F120" s="292"/>
      <c r="G120" s="292"/>
      <c r="H120" s="293"/>
      <c r="I120" s="292"/>
      <c r="J120" s="292"/>
      <c r="K120" s="292"/>
      <c r="L120" s="291"/>
      <c r="M120" s="291"/>
    </row>
  </sheetData>
  <mergeCells count="1">
    <mergeCell ref="O20:P20"/>
  </mergeCells>
  <conditionalFormatting sqref="O21:O41">
    <cfRule type="colorScale" priority="42">
      <colorScale>
        <cfvo type="min"/>
        <cfvo type="percentile" val="50"/>
        <cfvo type="max"/>
        <color rgb="FFF8696B"/>
        <color rgb="FFFFEB84"/>
        <color rgb="FF63BE7B"/>
      </colorScale>
    </cfRule>
  </conditionalFormatting>
  <conditionalFormatting sqref="P21:P41">
    <cfRule type="colorScale" priority="41">
      <colorScale>
        <cfvo type="min"/>
        <cfvo type="percentile" val="50"/>
        <cfvo type="max"/>
        <color rgb="FFF8696B"/>
        <color rgb="FFFFEB84"/>
        <color rgb="FF63BE7B"/>
      </colorScale>
    </cfRule>
  </conditionalFormatting>
  <conditionalFormatting sqref="Q7 H73:H74 F73:F74 F40:F68 H40:H68">
    <cfRule type="expression" dxfId="2411" priority="35">
      <formula>F7&gt;0</formula>
    </cfRule>
    <cfRule type="expression" dxfId="2410" priority="36">
      <formula>F7&lt;0</formula>
    </cfRule>
  </conditionalFormatting>
  <conditionalFormatting sqref="Q8">
    <cfRule type="expression" dxfId="2409" priority="33">
      <formula>Q8&gt;0</formula>
    </cfRule>
    <cfRule type="expression" dxfId="2408" priority="34">
      <formula>Q8&lt;0</formula>
    </cfRule>
  </conditionalFormatting>
  <conditionalFormatting sqref="F31:F36">
    <cfRule type="expression" dxfId="2407" priority="31">
      <formula>F31&gt;0</formula>
    </cfRule>
    <cfRule type="expression" dxfId="2406" priority="32">
      <formula>F31&lt;0</formula>
    </cfRule>
  </conditionalFormatting>
  <conditionalFormatting sqref="H31:H36">
    <cfRule type="expression" dxfId="2405" priority="29">
      <formula>H31&gt;0</formula>
    </cfRule>
    <cfRule type="expression" dxfId="2404" priority="30">
      <formula>H31&lt;0</formula>
    </cfRule>
  </conditionalFormatting>
  <conditionalFormatting sqref="F99:F120">
    <cfRule type="expression" dxfId="2403" priority="27">
      <formula>F99&gt;0</formula>
    </cfRule>
    <cfRule type="expression" dxfId="2402" priority="28">
      <formula>F99&lt;0</formula>
    </cfRule>
  </conditionalFormatting>
  <conditionalFormatting sqref="H99:H120">
    <cfRule type="expression" dxfId="2401" priority="25">
      <formula>H99&gt;0</formula>
    </cfRule>
    <cfRule type="expression" dxfId="2400" priority="26">
      <formula>H99&lt;0</formula>
    </cfRule>
  </conditionalFormatting>
  <conditionalFormatting sqref="Q10">
    <cfRule type="expression" dxfId="2399" priority="23">
      <formula>Q10&gt;0</formula>
    </cfRule>
    <cfRule type="expression" dxfId="2398" priority="24">
      <formula>Q10&lt;0</formula>
    </cfRule>
  </conditionalFormatting>
  <conditionalFormatting sqref="J31:J71">
    <cfRule type="expression" dxfId="2397" priority="21">
      <formula>J31&gt;0</formula>
    </cfRule>
    <cfRule type="expression" dxfId="2396" priority="22">
      <formula>J31&lt;0</formula>
    </cfRule>
  </conditionalFormatting>
  <conditionalFormatting sqref="K31:K44">
    <cfRule type="expression" dxfId="2395" priority="19">
      <formula>K31&gt;0</formula>
    </cfRule>
    <cfRule type="expression" dxfId="2394" priority="20">
      <formula>K31&lt;0</formula>
    </cfRule>
  </conditionalFormatting>
  <conditionalFormatting sqref="L31:L44">
    <cfRule type="expression" dxfId="2393" priority="17">
      <formula>L31&gt;0</formula>
    </cfRule>
    <cfRule type="expression" dxfId="2392" priority="18">
      <formula>L31&lt;0</formula>
    </cfRule>
  </conditionalFormatting>
  <conditionalFormatting sqref="W1:W47">
    <cfRule type="iconSet" priority="635">
      <iconSet iconSet="3Arrows">
        <cfvo type="percent" val="0"/>
        <cfvo type="num" val="0"/>
        <cfvo type="num" val="0"/>
      </iconSet>
    </cfRule>
  </conditionalFormatting>
  <conditionalFormatting sqref="F37:F39">
    <cfRule type="expression" dxfId="2391" priority="15">
      <formula>F37&gt;0</formula>
    </cfRule>
    <cfRule type="expression" dxfId="2390" priority="16">
      <formula>F37&lt;0</formula>
    </cfRule>
  </conditionalFormatting>
  <conditionalFormatting sqref="H37:H39">
    <cfRule type="expression" dxfId="2389" priority="13">
      <formula>H37&gt;0</formula>
    </cfRule>
    <cfRule type="expression" dxfId="2388" priority="14">
      <formula>H37&lt;0</formula>
    </cfRule>
  </conditionalFormatting>
  <conditionalFormatting sqref="H72 F72">
    <cfRule type="expression" dxfId="2387" priority="7">
      <formula>F72&gt;0</formula>
    </cfRule>
    <cfRule type="expression" dxfId="2386" priority="8">
      <formula>F72&lt;0</formula>
    </cfRule>
  </conditionalFormatting>
  <conditionalFormatting sqref="F69:F71 H69:H71">
    <cfRule type="expression" dxfId="2385" priority="3">
      <formula>F69&gt;0</formula>
    </cfRule>
    <cfRule type="expression" dxfId="2384" priority="4">
      <formula>F69&lt;0</formula>
    </cfRule>
  </conditionalFormatting>
  <conditionalFormatting sqref="J72">
    <cfRule type="expression" dxfId="2383" priority="1">
      <formula>J72&gt;0</formula>
    </cfRule>
    <cfRule type="expression" dxfId="2382" priority="2">
      <formula>J72&lt;0</formula>
    </cfRule>
  </conditionalFormatting>
  <hyperlinks>
    <hyperlink ref="A3" location="ACTIVE!A1" display="Back"/>
    <hyperlink ref="A79" location="ACTIVE!A1" display="Back"/>
  </hyperlinks>
  <pageMargins left="0.7" right="0.7" top="0.75" bottom="0.75" header="0.3" footer="0.3"/>
  <pageSetup orientation="portrait" r:id="rId1"/>
  <drawing r:id="rId2"/>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8"/>
  <dimension ref="A1:W105"/>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4" max="5" width="9.140625" style="2"/>
    <col min="6" max="6" width="9.85546875" style="2" bestFit="1" customWidth="1"/>
    <col min="9" max="10" width="9.140625" style="2"/>
    <col min="11" max="11" width="12.85546875" style="2" bestFit="1" customWidth="1"/>
    <col min="17" max="17" width="12" bestFit="1" customWidth="1"/>
    <col min="18" max="18" width="10.7109375" bestFit="1" customWidth="1"/>
    <col min="20" max="20" width="13.7109375" customWidth="1"/>
    <col min="21" max="21" width="70.570312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663</v>
      </c>
      <c r="B2" s="360">
        <v>43504</v>
      </c>
      <c r="C2" s="7">
        <v>100</v>
      </c>
      <c r="D2" s="43">
        <v>59.01</v>
      </c>
      <c r="E2" s="43">
        <v>0</v>
      </c>
      <c r="F2" s="43">
        <f>C2*D2+E2</f>
        <v>5901</v>
      </c>
      <c r="G2" s="360">
        <v>43545</v>
      </c>
      <c r="H2" s="7">
        <v>100</v>
      </c>
      <c r="I2" s="43">
        <v>61.3</v>
      </c>
      <c r="J2" s="43">
        <v>0.08</v>
      </c>
      <c r="K2" s="43">
        <f>H2*I2-J2</f>
        <v>6129.92</v>
      </c>
      <c r="L2" s="69"/>
      <c r="M2" s="3"/>
      <c r="O2" s="11" t="s">
        <v>57</v>
      </c>
      <c r="Q2">
        <f>C18-H18</f>
        <v>100</v>
      </c>
      <c r="U2" t="s">
        <v>948</v>
      </c>
      <c r="W2" s="131"/>
    </row>
    <row r="3" spans="1:23" x14ac:dyDescent="0.25">
      <c r="A3" s="22" t="s">
        <v>71</v>
      </c>
      <c r="B3" s="360">
        <v>43546</v>
      </c>
      <c r="C3" s="7">
        <v>100</v>
      </c>
      <c r="D3" s="43">
        <v>60.25</v>
      </c>
      <c r="E3" s="43">
        <v>0</v>
      </c>
      <c r="F3" s="43">
        <f>C3*D3+E3</f>
        <v>6025</v>
      </c>
      <c r="G3" s="360">
        <v>43592</v>
      </c>
      <c r="H3" s="7">
        <v>100</v>
      </c>
      <c r="I3" s="43">
        <v>65.88</v>
      </c>
      <c r="J3" s="43">
        <v>0.14000000000000001</v>
      </c>
      <c r="K3" s="43">
        <f>H3*I3-J3</f>
        <v>6587.86</v>
      </c>
      <c r="L3" s="69"/>
      <c r="M3" s="3"/>
      <c r="O3" s="11" t="s">
        <v>58</v>
      </c>
      <c r="Q3" s="174">
        <f>IF(Q2=0, Q4, (F18-K18-M18)/Q2)</f>
        <v>51.96220000000001</v>
      </c>
      <c r="W3" s="131"/>
    </row>
    <row r="4" spans="1:23" x14ac:dyDescent="0.25">
      <c r="B4" s="69">
        <v>43700</v>
      </c>
      <c r="C4" s="4">
        <v>100</v>
      </c>
      <c r="D4" s="3">
        <v>59.88</v>
      </c>
      <c r="E4" s="3">
        <v>0</v>
      </c>
      <c r="F4" s="3">
        <f>C4*D4+E4</f>
        <v>5988</v>
      </c>
      <c r="G4" s="69"/>
      <c r="H4" s="158"/>
      <c r="I4" s="3"/>
      <c r="J4" s="3"/>
      <c r="K4" s="3"/>
      <c r="L4" s="4"/>
      <c r="M4" s="4"/>
      <c r="O4" s="11" t="s">
        <v>66</v>
      </c>
      <c r="Q4" s="53">
        <v>68.33</v>
      </c>
      <c r="R4" s="416">
        <v>-3.3999999999999998E-3</v>
      </c>
      <c r="W4" s="131"/>
    </row>
    <row r="5" spans="1:23" x14ac:dyDescent="0.25">
      <c r="B5" s="69"/>
      <c r="C5" s="4"/>
      <c r="D5" s="3"/>
      <c r="E5" s="3"/>
      <c r="F5" s="3"/>
      <c r="G5" s="69"/>
      <c r="H5" s="158"/>
      <c r="I5" s="3"/>
      <c r="J5" s="3"/>
      <c r="K5" s="3"/>
      <c r="L5" s="4"/>
      <c r="M5" s="4"/>
      <c r="O5" s="11" t="s">
        <v>67</v>
      </c>
      <c r="Q5" s="3">
        <f>Q4*Q2</f>
        <v>6833</v>
      </c>
      <c r="W5" s="131"/>
    </row>
    <row r="6" spans="1:23" x14ac:dyDescent="0.25">
      <c r="B6" s="69"/>
      <c r="C6" s="4"/>
      <c r="D6" s="3"/>
      <c r="E6" s="3"/>
      <c r="F6" s="3"/>
      <c r="G6" s="69"/>
      <c r="H6" s="158"/>
      <c r="I6" s="3"/>
      <c r="J6" s="3"/>
      <c r="K6" s="3"/>
      <c r="L6" s="4"/>
      <c r="M6" s="4"/>
      <c r="O6" s="11" t="s">
        <v>64</v>
      </c>
      <c r="Q6" s="2">
        <f>Q3*Q2</f>
        <v>5196.2200000000012</v>
      </c>
      <c r="T6" s="1">
        <v>43097</v>
      </c>
      <c r="U6" t="s">
        <v>742</v>
      </c>
      <c r="W6" s="131"/>
    </row>
    <row r="7" spans="1:23" x14ac:dyDescent="0.25">
      <c r="B7" s="69"/>
      <c r="C7" s="4"/>
      <c r="D7" s="3"/>
      <c r="E7" s="3"/>
      <c r="F7" s="3"/>
      <c r="G7" s="4"/>
      <c r="H7" s="158"/>
      <c r="I7" s="3"/>
      <c r="J7" s="3"/>
      <c r="K7" s="3"/>
      <c r="L7" s="4"/>
      <c r="M7" s="4"/>
      <c r="O7" s="11" t="s">
        <v>175</v>
      </c>
      <c r="Q7" s="2">
        <f>Q10+Q8</f>
        <v>2677.4999999999927</v>
      </c>
      <c r="R7">
        <v>100</v>
      </c>
      <c r="T7" s="1">
        <v>43096</v>
      </c>
      <c r="U7" t="s">
        <v>741</v>
      </c>
      <c r="W7" s="131"/>
    </row>
    <row r="8" spans="1:23" x14ac:dyDescent="0.25">
      <c r="B8" s="69"/>
      <c r="C8" s="4"/>
      <c r="D8" s="3"/>
      <c r="E8" s="3"/>
      <c r="F8" s="3"/>
      <c r="G8" s="4"/>
      <c r="H8" s="158"/>
      <c r="I8" s="3"/>
      <c r="J8" s="3"/>
      <c r="K8" s="3"/>
      <c r="L8" s="4"/>
      <c r="M8" s="4"/>
      <c r="O8" s="11" t="s">
        <v>177</v>
      </c>
      <c r="P8" s="33"/>
      <c r="Q8" s="2">
        <f>K18+M18-F18+Q2*Q4</f>
        <v>1636.7799999999988</v>
      </c>
      <c r="T8" s="1"/>
      <c r="U8" t="s">
        <v>745</v>
      </c>
      <c r="W8" s="131"/>
    </row>
    <row r="9" spans="1:23" x14ac:dyDescent="0.25">
      <c r="G9" s="4"/>
      <c r="H9" s="158"/>
      <c r="I9" s="3"/>
      <c r="J9" s="3"/>
      <c r="K9" s="3"/>
      <c r="L9" s="4"/>
      <c r="M9" s="4"/>
      <c r="O9" s="11" t="s">
        <v>202</v>
      </c>
      <c r="Q9" s="131">
        <f>IF(Q2=0, 0, Q8/Q6)</f>
        <v>0.31499436128570352</v>
      </c>
      <c r="U9" t="s">
        <v>743</v>
      </c>
      <c r="W9" s="131"/>
    </row>
    <row r="10" spans="1:23" x14ac:dyDescent="0.25">
      <c r="H10" s="67"/>
      <c r="O10" s="11" t="s">
        <v>201</v>
      </c>
      <c r="P10" s="33"/>
      <c r="Q10" s="2">
        <f>M41</f>
        <v>1040.7199999999939</v>
      </c>
      <c r="U10" t="s">
        <v>744</v>
      </c>
      <c r="W10" s="131"/>
    </row>
    <row r="11" spans="1:23" x14ac:dyDescent="0.25">
      <c r="H11" s="67"/>
      <c r="O11" s="11" t="s">
        <v>173</v>
      </c>
      <c r="P11" s="33"/>
      <c r="Q11" s="131">
        <v>0</v>
      </c>
      <c r="W11" s="131"/>
    </row>
    <row r="12" spans="1:23" x14ac:dyDescent="0.25">
      <c r="H12" s="67"/>
      <c r="O12" s="11" t="s">
        <v>875</v>
      </c>
      <c r="Q12" s="1" t="s">
        <v>1342</v>
      </c>
      <c r="T12" s="1">
        <v>43114</v>
      </c>
      <c r="U12" t="s">
        <v>795</v>
      </c>
      <c r="W12" s="131"/>
    </row>
    <row r="13" spans="1:23" x14ac:dyDescent="0.25">
      <c r="H13" s="67"/>
      <c r="O13" s="11" t="s">
        <v>901</v>
      </c>
      <c r="Q13" s="2">
        <f>Q4/(3.42)</f>
        <v>19.979532163742689</v>
      </c>
      <c r="U13" t="s">
        <v>796</v>
      </c>
      <c r="W13" s="131"/>
    </row>
    <row r="14" spans="1:23" x14ac:dyDescent="0.25">
      <c r="H14" s="67"/>
      <c r="U14" t="s">
        <v>798</v>
      </c>
      <c r="W14" s="131"/>
    </row>
    <row r="15" spans="1:23" x14ac:dyDescent="0.25">
      <c r="H15" s="67"/>
      <c r="W15" s="131"/>
    </row>
    <row r="16" spans="1:23" ht="20.25" thickBot="1" x14ac:dyDescent="0.35">
      <c r="H16" s="67"/>
      <c r="O16" s="886" t="s">
        <v>78</v>
      </c>
      <c r="P16" s="886"/>
      <c r="T16" s="1">
        <v>43151</v>
      </c>
      <c r="U16" t="s">
        <v>82</v>
      </c>
      <c r="W16" s="131"/>
    </row>
    <row r="17" spans="1:23" ht="15.75" thickTop="1" x14ac:dyDescent="0.25">
      <c r="O17" s="78">
        <v>1.1000000000000001</v>
      </c>
      <c r="P17" s="78">
        <f>O17*$Q$4</f>
        <v>75.163000000000011</v>
      </c>
      <c r="Q17" s="2"/>
      <c r="U17" t="s">
        <v>900</v>
      </c>
      <c r="W17" s="131"/>
    </row>
    <row r="18" spans="1:23" x14ac:dyDescent="0.25">
      <c r="A18" s="31" t="s">
        <v>81</v>
      </c>
      <c r="B18" s="14"/>
      <c r="C18" s="14">
        <f>SUM(C2:C8)</f>
        <v>300</v>
      </c>
      <c r="D18" s="18"/>
      <c r="E18" s="18"/>
      <c r="F18" s="18">
        <f>SUM(F2:F8)</f>
        <v>17914</v>
      </c>
      <c r="G18" s="14"/>
      <c r="H18" s="68">
        <f>SUM(H2:H6)</f>
        <v>200</v>
      </c>
      <c r="I18" s="18"/>
      <c r="J18" s="18"/>
      <c r="K18" s="18">
        <f>SUM(K2:K6)</f>
        <v>12717.779999999999</v>
      </c>
      <c r="L18" s="14"/>
      <c r="M18" s="18">
        <f>SUM(M2:M10)</f>
        <v>0</v>
      </c>
      <c r="O18" s="78">
        <v>1.0900000000000001</v>
      </c>
      <c r="P18" s="78">
        <f t="shared" ref="P18:P37" si="0">O18*$Q$4</f>
        <v>74.479700000000008</v>
      </c>
      <c r="Q18" s="2"/>
      <c r="W18" s="131"/>
    </row>
    <row r="19" spans="1:23" ht="15.75" thickBot="1" x14ac:dyDescent="0.3">
      <c r="A19" s="273" t="s">
        <v>189</v>
      </c>
      <c r="B19" s="274"/>
      <c r="C19" s="275">
        <f>SumByColor($A$19,C2:C17)</f>
        <v>200</v>
      </c>
      <c r="D19" s="275"/>
      <c r="E19" s="275"/>
      <c r="F19" s="276">
        <f>SumByColor($A$19,F2:F17)</f>
        <v>11926</v>
      </c>
      <c r="G19" s="275"/>
      <c r="H19" s="275">
        <f>SumByColor($A$19,H2:H17)</f>
        <v>200</v>
      </c>
      <c r="I19" s="275"/>
      <c r="J19" s="275"/>
      <c r="K19" s="276">
        <f>SumByColor($A$19,K2:K17)</f>
        <v>12718</v>
      </c>
      <c r="L19" s="275"/>
      <c r="M19" s="276">
        <f>SumByColor($A$19,M2:M17)</f>
        <v>0</v>
      </c>
      <c r="O19" s="78">
        <v>1.08</v>
      </c>
      <c r="P19" s="78">
        <f t="shared" si="0"/>
        <v>73.796400000000006</v>
      </c>
      <c r="Q19" s="2"/>
      <c r="T19" s="1">
        <v>43228</v>
      </c>
      <c r="U19" t="s">
        <v>82</v>
      </c>
      <c r="W19" s="131"/>
    </row>
    <row r="20" spans="1:23" x14ac:dyDescent="0.25">
      <c r="O20" s="78">
        <v>1.07</v>
      </c>
      <c r="P20" s="78">
        <f t="shared" si="0"/>
        <v>73.113100000000003</v>
      </c>
      <c r="Q20" s="2"/>
      <c r="W20" s="131"/>
    </row>
    <row r="21" spans="1:23" x14ac:dyDescent="0.25">
      <c r="O21" s="78">
        <v>1.06</v>
      </c>
      <c r="P21" s="78">
        <f t="shared" si="0"/>
        <v>72.4298</v>
      </c>
      <c r="Q21" s="2"/>
      <c r="T21" s="1">
        <v>43283</v>
      </c>
      <c r="U21" t="s">
        <v>1072</v>
      </c>
      <c r="W21" s="131"/>
    </row>
    <row r="22" spans="1:23" x14ac:dyDescent="0.25">
      <c r="O22" s="78">
        <v>1.05</v>
      </c>
      <c r="P22" s="78">
        <f t="shared" si="0"/>
        <v>71.746499999999997</v>
      </c>
      <c r="Q22" s="2"/>
      <c r="W22" s="131"/>
    </row>
    <row r="23" spans="1:23" x14ac:dyDescent="0.25">
      <c r="O23" s="78">
        <v>1.04</v>
      </c>
      <c r="P23" s="78">
        <f t="shared" si="0"/>
        <v>71.063199999999995</v>
      </c>
      <c r="Q23" s="2"/>
      <c r="T23" s="1">
        <v>43318</v>
      </c>
      <c r="U23" t="s">
        <v>1160</v>
      </c>
      <c r="W23" s="131"/>
    </row>
    <row r="24" spans="1:23" x14ac:dyDescent="0.25">
      <c r="B24" s="159" t="s">
        <v>113</v>
      </c>
      <c r="C24" s="159" t="s">
        <v>143</v>
      </c>
      <c r="D24" s="160" t="s">
        <v>142</v>
      </c>
      <c r="E24" s="162" t="s">
        <v>144</v>
      </c>
      <c r="F24" s="162" t="s">
        <v>65</v>
      </c>
      <c r="G24" s="173" t="s">
        <v>148</v>
      </c>
      <c r="H24" s="173" t="s">
        <v>88</v>
      </c>
      <c r="I24" s="173" t="s">
        <v>151</v>
      </c>
      <c r="J24" s="173" t="s">
        <v>452</v>
      </c>
      <c r="K24" s="173" t="s">
        <v>147</v>
      </c>
      <c r="L24" s="173" t="s">
        <v>901</v>
      </c>
      <c r="M24" s="173"/>
      <c r="O24" s="78">
        <v>1.03</v>
      </c>
      <c r="P24" s="78">
        <f t="shared" si="0"/>
        <v>70.379900000000006</v>
      </c>
      <c r="Q24" s="2"/>
      <c r="U24" t="s">
        <v>1161</v>
      </c>
      <c r="W24" s="131"/>
    </row>
    <row r="25" spans="1:23" x14ac:dyDescent="0.25">
      <c r="B25" s="161">
        <v>43504</v>
      </c>
      <c r="C25" s="10">
        <v>100</v>
      </c>
      <c r="D25" s="39">
        <v>59.01</v>
      </c>
      <c r="E25" s="39">
        <v>59.15</v>
      </c>
      <c r="F25" s="39">
        <f>C25*(E25-D25)</f>
        <v>14.000000000000057</v>
      </c>
      <c r="G25" s="39">
        <f t="shared" ref="G25:G30" si="1">D25*C25</f>
        <v>5901</v>
      </c>
      <c r="H25" s="175">
        <f t="shared" ref="H25:H30" si="2">(E25-D25)/D25</f>
        <v>2.3724792408066527E-3</v>
      </c>
      <c r="I25" s="39"/>
      <c r="J25" s="39"/>
      <c r="K25" s="39">
        <f>$Q$10+F25</f>
        <v>1054.7199999999939</v>
      </c>
      <c r="L25" s="39"/>
      <c r="M25" s="39"/>
      <c r="O25" s="78">
        <v>1.02</v>
      </c>
      <c r="P25" s="78">
        <f t="shared" si="0"/>
        <v>69.696600000000004</v>
      </c>
      <c r="Q25" s="2"/>
      <c r="W25" s="131"/>
    </row>
    <row r="26" spans="1:23" x14ac:dyDescent="0.25">
      <c r="B26" s="161">
        <v>43535</v>
      </c>
      <c r="C26" s="10">
        <v>100</v>
      </c>
      <c r="D26" s="39">
        <v>59.01</v>
      </c>
      <c r="E26" s="39">
        <v>59.93</v>
      </c>
      <c r="F26" s="39">
        <f>C26*(E26-D26)</f>
        <v>92.000000000000171</v>
      </c>
      <c r="G26" s="39">
        <f t="shared" si="1"/>
        <v>5901</v>
      </c>
      <c r="H26" s="175">
        <f t="shared" si="2"/>
        <v>1.5590577868157969E-2</v>
      </c>
      <c r="I26" s="39"/>
      <c r="J26" s="39"/>
      <c r="K26" s="39">
        <f>$Q$10+F26</f>
        <v>1132.7199999999941</v>
      </c>
      <c r="L26" s="39">
        <v>17.52</v>
      </c>
      <c r="M26" s="39"/>
      <c r="O26" s="78">
        <v>1.01</v>
      </c>
      <c r="P26" s="78">
        <f t="shared" si="0"/>
        <v>69.013300000000001</v>
      </c>
      <c r="Q26" s="2"/>
      <c r="T26" s="1">
        <v>43504</v>
      </c>
      <c r="U26" t="s">
        <v>1319</v>
      </c>
      <c r="W26" s="131"/>
    </row>
    <row r="27" spans="1:23" x14ac:dyDescent="0.25">
      <c r="B27" s="161">
        <v>43545</v>
      </c>
      <c r="C27" s="10">
        <v>0</v>
      </c>
      <c r="D27" s="39">
        <v>59.01</v>
      </c>
      <c r="E27" s="39">
        <v>61.22</v>
      </c>
      <c r="F27" s="39"/>
      <c r="G27" s="39">
        <f t="shared" si="1"/>
        <v>0</v>
      </c>
      <c r="H27" s="175">
        <f t="shared" si="2"/>
        <v>3.7451279444162024E-2</v>
      </c>
      <c r="I27" s="39"/>
      <c r="J27" s="39"/>
      <c r="K27" s="760">
        <v>1269.6400000000001</v>
      </c>
      <c r="L27" s="39">
        <v>17.899999999999999</v>
      </c>
      <c r="M27" s="39"/>
      <c r="O27" s="78">
        <v>1</v>
      </c>
      <c r="P27" s="78">
        <f t="shared" si="0"/>
        <v>68.33</v>
      </c>
      <c r="Q27" s="2"/>
      <c r="W27" s="131"/>
    </row>
    <row r="28" spans="1:23" x14ac:dyDescent="0.25">
      <c r="B28" s="161">
        <v>43546</v>
      </c>
      <c r="C28" s="10">
        <v>100</v>
      </c>
      <c r="D28" s="39">
        <v>57.960799999999999</v>
      </c>
      <c r="E28" s="39">
        <v>59.8</v>
      </c>
      <c r="F28" s="39">
        <f>C28*(E28-D28)</f>
        <v>183.91999999999982</v>
      </c>
      <c r="G28" s="39">
        <f t="shared" si="1"/>
        <v>5796.08</v>
      </c>
      <c r="H28" s="175">
        <f t="shared" si="2"/>
        <v>3.1731791141599117E-2</v>
      </c>
      <c r="I28" s="39"/>
      <c r="J28" s="39"/>
      <c r="K28" s="39">
        <f>$Q$10+F28</f>
        <v>1224.6399999999937</v>
      </c>
      <c r="L28" s="39">
        <v>17.489999999999998</v>
      </c>
      <c r="M28" s="39"/>
      <c r="O28" s="78">
        <v>0.99</v>
      </c>
      <c r="P28" s="78">
        <f t="shared" si="0"/>
        <v>67.646699999999996</v>
      </c>
      <c r="Q28" s="2"/>
      <c r="W28" s="131"/>
    </row>
    <row r="29" spans="1:23" x14ac:dyDescent="0.25">
      <c r="A29" s="4"/>
      <c r="B29" s="161">
        <v>43592</v>
      </c>
      <c r="C29" s="10">
        <v>0</v>
      </c>
      <c r="D29" s="39">
        <v>57.96</v>
      </c>
      <c r="E29" s="39">
        <v>66.709999999999994</v>
      </c>
      <c r="F29" s="39">
        <v>791.78</v>
      </c>
      <c r="G29" s="39">
        <f t="shared" si="1"/>
        <v>0</v>
      </c>
      <c r="H29" s="175">
        <f t="shared" si="2"/>
        <v>0.15096618357487909</v>
      </c>
      <c r="I29" s="39"/>
      <c r="J29" s="39"/>
      <c r="K29" s="760">
        <v>1832.5</v>
      </c>
      <c r="L29" s="39"/>
      <c r="M29" s="39"/>
      <c r="O29" s="78">
        <v>0.98</v>
      </c>
      <c r="P29" s="78">
        <f t="shared" si="0"/>
        <v>66.963399999999993</v>
      </c>
      <c r="Q29" s="2"/>
      <c r="W29" s="131"/>
    </row>
    <row r="30" spans="1:23" x14ac:dyDescent="0.25">
      <c r="A30" s="4"/>
      <c r="B30" s="161">
        <v>43702</v>
      </c>
      <c r="C30" s="10">
        <v>100</v>
      </c>
      <c r="D30" s="39">
        <v>51.962200000000003</v>
      </c>
      <c r="E30" s="39">
        <v>59.46</v>
      </c>
      <c r="F30" s="39">
        <f>C30*(E30-D30)</f>
        <v>749.77999999999975</v>
      </c>
      <c r="G30" s="39">
        <f t="shared" si="1"/>
        <v>5196.22</v>
      </c>
      <c r="H30" s="175">
        <f t="shared" si="2"/>
        <v>0.1442933517056629</v>
      </c>
      <c r="I30" s="39"/>
      <c r="J30" s="39"/>
      <c r="K30" s="98">
        <f>F30+$M$41</f>
        <v>1790.4999999999936</v>
      </c>
      <c r="L30" s="39"/>
      <c r="M30" s="39"/>
      <c r="O30" s="78">
        <v>0.97</v>
      </c>
      <c r="P30" s="78">
        <f t="shared" si="0"/>
        <v>66.28009999999999</v>
      </c>
      <c r="W30" s="131"/>
    </row>
    <row r="31" spans="1:23" x14ac:dyDescent="0.25">
      <c r="A31" s="4"/>
      <c r="B31" s="161">
        <v>43777</v>
      </c>
      <c r="C31" s="10">
        <v>100</v>
      </c>
      <c r="D31" s="39">
        <v>51.962200000000003</v>
      </c>
      <c r="E31" s="39">
        <v>68.91</v>
      </c>
      <c r="F31" s="39">
        <f>C31*(E31-D31)</f>
        <v>1694.7799999999993</v>
      </c>
      <c r="G31" s="39">
        <f t="shared" ref="G31" si="3">D31*C31</f>
        <v>5196.22</v>
      </c>
      <c r="H31" s="175">
        <f t="shared" ref="H31" si="4">(E31-D31)/D31</f>
        <v>0.32615632132588673</v>
      </c>
      <c r="I31" s="39"/>
      <c r="J31" s="39"/>
      <c r="K31" s="760">
        <f>F31+$M$41</f>
        <v>2735.4999999999932</v>
      </c>
      <c r="L31" s="39"/>
      <c r="M31" s="39"/>
      <c r="O31" s="78">
        <v>0.96</v>
      </c>
      <c r="P31" s="78">
        <f t="shared" si="0"/>
        <v>65.596800000000002</v>
      </c>
      <c r="W31" s="131"/>
    </row>
    <row r="32" spans="1:23" x14ac:dyDescent="0.25">
      <c r="A32" s="4"/>
      <c r="B32" s="161">
        <v>43797</v>
      </c>
      <c r="C32" s="10">
        <v>100</v>
      </c>
      <c r="D32" s="39">
        <v>51.962200000000003</v>
      </c>
      <c r="E32" s="39">
        <v>69.959999999999994</v>
      </c>
      <c r="F32" s="39">
        <f>C32*(E32-D32)</f>
        <v>1799.7799999999991</v>
      </c>
      <c r="G32" s="39">
        <f t="shared" ref="G32" si="5">D32*C32</f>
        <v>5196.22</v>
      </c>
      <c r="H32" s="175">
        <f t="shared" ref="H32" si="6">(E32-D32)/D32</f>
        <v>0.34636331795035602</v>
      </c>
      <c r="I32" s="39"/>
      <c r="J32" s="39"/>
      <c r="K32" s="760">
        <f>F32+$M$41</f>
        <v>2840.4999999999927</v>
      </c>
      <c r="L32" s="39"/>
      <c r="M32" s="39"/>
      <c r="O32" s="78">
        <v>0.95</v>
      </c>
      <c r="P32" s="78">
        <f t="shared" si="0"/>
        <v>64.913499999999999</v>
      </c>
      <c r="W32" s="131"/>
    </row>
    <row r="33" spans="1:23" x14ac:dyDescent="0.25">
      <c r="A33" s="4"/>
      <c r="B33" s="161"/>
      <c r="C33" s="10"/>
      <c r="D33" s="39"/>
      <c r="E33" s="39"/>
      <c r="F33" s="39"/>
      <c r="G33" s="39"/>
      <c r="H33" s="175"/>
      <c r="I33" s="39"/>
      <c r="J33" s="39"/>
      <c r="K33" s="39"/>
      <c r="L33" s="39"/>
      <c r="M33" s="39"/>
      <c r="O33" s="78">
        <v>0.94</v>
      </c>
      <c r="P33" s="78">
        <f t="shared" si="0"/>
        <v>64.230199999999996</v>
      </c>
      <c r="W33" s="131"/>
    </row>
    <row r="34" spans="1:23" x14ac:dyDescent="0.25">
      <c r="A34" s="4"/>
      <c r="B34" s="161"/>
      <c r="C34" s="10"/>
      <c r="D34" s="39"/>
      <c r="E34" s="39"/>
      <c r="F34" s="39"/>
      <c r="G34" s="39"/>
      <c r="H34" s="175"/>
      <c r="I34" s="39"/>
      <c r="J34" s="39"/>
      <c r="K34" s="39"/>
      <c r="L34" s="39"/>
      <c r="M34" s="39"/>
      <c r="O34" s="78">
        <v>0.93</v>
      </c>
      <c r="P34" s="78">
        <f t="shared" si="0"/>
        <v>63.546900000000001</v>
      </c>
      <c r="W34" s="131"/>
    </row>
    <row r="35" spans="1:23" x14ac:dyDescent="0.25">
      <c r="A35" s="4"/>
      <c r="B35" s="161"/>
      <c r="C35" s="10"/>
      <c r="D35" s="39"/>
      <c r="E35" s="39"/>
      <c r="F35" s="39"/>
      <c r="G35" s="39"/>
      <c r="H35" s="175"/>
      <c r="I35" s="39"/>
      <c r="J35" s="39"/>
      <c r="K35" s="39"/>
      <c r="L35" s="39"/>
      <c r="M35" s="39"/>
      <c r="O35" s="78">
        <v>0.92</v>
      </c>
      <c r="P35" s="78">
        <f t="shared" si="0"/>
        <v>62.863599999999998</v>
      </c>
      <c r="W35" s="131"/>
    </row>
    <row r="36" spans="1:23" x14ac:dyDescent="0.25">
      <c r="A36" s="4"/>
      <c r="B36" s="161"/>
      <c r="C36" s="10"/>
      <c r="D36" s="39"/>
      <c r="E36" s="39"/>
      <c r="F36" s="39"/>
      <c r="G36" s="39"/>
      <c r="H36" s="175"/>
      <c r="I36" s="39"/>
      <c r="J36" s="39"/>
      <c r="K36" s="39"/>
      <c r="L36" s="39"/>
      <c r="M36" s="39"/>
      <c r="O36" s="78">
        <v>0.91</v>
      </c>
      <c r="P36" s="78">
        <f t="shared" si="0"/>
        <v>62.180300000000003</v>
      </c>
      <c r="W36" s="131"/>
    </row>
    <row r="37" spans="1:23" x14ac:dyDescent="0.25">
      <c r="A37" s="4"/>
      <c r="B37" s="161"/>
      <c r="C37" s="10"/>
      <c r="D37" s="39"/>
      <c r="E37" s="39"/>
      <c r="F37" s="39"/>
      <c r="G37" s="39"/>
      <c r="H37" s="175"/>
      <c r="I37" s="39"/>
      <c r="J37" s="39"/>
      <c r="K37" s="39"/>
      <c r="L37" s="39"/>
      <c r="M37" s="39"/>
      <c r="O37" s="78">
        <v>0.9</v>
      </c>
      <c r="P37" s="78">
        <f t="shared" si="0"/>
        <v>61.497</v>
      </c>
      <c r="W37" s="131"/>
    </row>
    <row r="38" spans="1:23" x14ac:dyDescent="0.25">
      <c r="A38" s="4"/>
      <c r="B38" s="161"/>
      <c r="C38" s="10"/>
      <c r="D38" s="39"/>
      <c r="E38" s="39"/>
      <c r="F38" s="39"/>
      <c r="G38" s="39"/>
      <c r="H38" s="175"/>
      <c r="I38" s="39"/>
      <c r="J38" s="39"/>
      <c r="K38" s="39"/>
      <c r="L38" s="39"/>
      <c r="M38" s="39"/>
      <c r="W38" s="131"/>
    </row>
    <row r="39" spans="1:23" x14ac:dyDescent="0.25">
      <c r="A39" s="4"/>
      <c r="B39" s="4"/>
      <c r="C39" s="4"/>
      <c r="D39" s="3"/>
      <c r="E39" s="3"/>
      <c r="F39" s="3"/>
      <c r="G39" s="4"/>
      <c r="H39" s="4"/>
      <c r="I39" s="3"/>
      <c r="J39" s="3"/>
      <c r="K39" s="3"/>
      <c r="L39" s="4"/>
      <c r="T39" s="131"/>
    </row>
    <row r="40" spans="1:23" x14ac:dyDescent="0.25">
      <c r="A40" s="4"/>
      <c r="B40" s="4"/>
      <c r="C40" s="4"/>
      <c r="D40" s="3"/>
      <c r="E40" s="3"/>
      <c r="F40" s="3"/>
      <c r="G40" s="4"/>
      <c r="H40" s="4"/>
      <c r="I40" s="3"/>
      <c r="J40" s="3"/>
      <c r="K40" s="3"/>
      <c r="L40" s="4"/>
      <c r="T40" s="131"/>
    </row>
    <row r="41" spans="1:23" x14ac:dyDescent="0.25">
      <c r="A41" s="4"/>
      <c r="B41" s="4"/>
      <c r="C41" s="4"/>
      <c r="D41" s="3"/>
      <c r="E41" s="3"/>
      <c r="F41" s="3"/>
      <c r="G41" s="4"/>
      <c r="H41" s="4"/>
      <c r="I41" s="3"/>
      <c r="J41" s="3"/>
      <c r="K41" s="3"/>
      <c r="L41" s="4" t="s">
        <v>65</v>
      </c>
      <c r="M41" s="2">
        <f>M59+K59-F59</f>
        <v>1040.7199999999939</v>
      </c>
      <c r="T41" s="131"/>
    </row>
    <row r="42" spans="1:23" x14ac:dyDescent="0.25">
      <c r="A42" s="431" t="s">
        <v>1</v>
      </c>
      <c r="B42" s="431" t="s">
        <v>2</v>
      </c>
      <c r="C42" s="431" t="s">
        <v>4</v>
      </c>
      <c r="D42" s="432" t="s">
        <v>5</v>
      </c>
      <c r="E42" s="432" t="s">
        <v>94</v>
      </c>
      <c r="F42" s="432" t="s">
        <v>60</v>
      </c>
      <c r="G42" s="431" t="s">
        <v>3</v>
      </c>
      <c r="H42" s="431" t="s">
        <v>6</v>
      </c>
      <c r="I42" s="432" t="s">
        <v>7</v>
      </c>
      <c r="J42" s="432" t="s">
        <v>95</v>
      </c>
      <c r="K42" s="432" t="s">
        <v>61</v>
      </c>
      <c r="L42" s="431" t="s">
        <v>37</v>
      </c>
      <c r="M42" s="431" t="s">
        <v>38</v>
      </c>
      <c r="T42" s="131"/>
    </row>
    <row r="43" spans="1:23" x14ac:dyDescent="0.25">
      <c r="A43" s="433" t="s">
        <v>663</v>
      </c>
      <c r="B43" s="360">
        <v>42996</v>
      </c>
      <c r="C43" s="7">
        <v>50</v>
      </c>
      <c r="D43" s="43">
        <v>80.67</v>
      </c>
      <c r="E43" s="43">
        <v>0</v>
      </c>
      <c r="F43" s="43">
        <f t="shared" ref="F43:F49" si="7">C43*D43+E43</f>
        <v>4033.5</v>
      </c>
      <c r="G43" s="360">
        <v>43069</v>
      </c>
      <c r="H43" s="7">
        <v>50</v>
      </c>
      <c r="I43" s="43">
        <v>71.39</v>
      </c>
      <c r="J43" s="43">
        <v>0.08</v>
      </c>
      <c r="K43" s="43">
        <f>H43*I43-J43</f>
        <v>3569.42</v>
      </c>
      <c r="L43" s="69"/>
      <c r="M43" s="3"/>
      <c r="T43" s="131"/>
    </row>
    <row r="44" spans="1:23" x14ac:dyDescent="0.25">
      <c r="A44" s="435" t="s">
        <v>71</v>
      </c>
      <c r="B44" s="360">
        <v>43035</v>
      </c>
      <c r="C44" s="7">
        <v>50</v>
      </c>
      <c r="D44" s="43">
        <v>78.180000000000007</v>
      </c>
      <c r="E44" s="43">
        <v>0</v>
      </c>
      <c r="F44" s="43">
        <f t="shared" si="7"/>
        <v>3909.0000000000005</v>
      </c>
      <c r="G44" s="360">
        <v>43105</v>
      </c>
      <c r="H44" s="77">
        <v>50</v>
      </c>
      <c r="I44" s="43">
        <v>73.28</v>
      </c>
      <c r="J44" s="43">
        <v>0.08</v>
      </c>
      <c r="K44" s="43">
        <f>H44*I44-J44</f>
        <v>3663.92</v>
      </c>
      <c r="L44" s="69"/>
      <c r="M44" s="3"/>
      <c r="T44" s="131"/>
    </row>
    <row r="45" spans="1:23" x14ac:dyDescent="0.25">
      <c r="A45" s="418"/>
      <c r="B45" s="360">
        <v>43045</v>
      </c>
      <c r="C45" s="7">
        <v>50</v>
      </c>
      <c r="D45" s="43">
        <v>70.319999999999993</v>
      </c>
      <c r="E45" s="43">
        <v>0</v>
      </c>
      <c r="F45" s="43">
        <f t="shared" si="7"/>
        <v>3515.9999999999995</v>
      </c>
      <c r="G45" s="360">
        <v>43117</v>
      </c>
      <c r="H45" s="77">
        <v>50</v>
      </c>
      <c r="I45" s="43">
        <v>76.680000000000007</v>
      </c>
      <c r="J45" s="43">
        <v>0.09</v>
      </c>
      <c r="K45" s="43">
        <f>H45*I45-J45</f>
        <v>3833.9100000000003</v>
      </c>
      <c r="L45" s="4"/>
      <c r="M45" s="4"/>
      <c r="T45" s="131"/>
    </row>
    <row r="46" spans="1:23" x14ac:dyDescent="0.25">
      <c r="A46" s="418"/>
      <c r="B46" s="360">
        <v>43059</v>
      </c>
      <c r="C46" s="7">
        <v>50</v>
      </c>
      <c r="D46" s="43">
        <v>66.78</v>
      </c>
      <c r="E46" s="43">
        <v>0</v>
      </c>
      <c r="F46" s="43">
        <f t="shared" si="7"/>
        <v>3339</v>
      </c>
      <c r="G46" s="360">
        <v>43126</v>
      </c>
      <c r="H46" s="77">
        <v>50</v>
      </c>
      <c r="I46" s="43">
        <v>78.8</v>
      </c>
      <c r="J46" s="43">
        <v>0.09</v>
      </c>
      <c r="K46" s="43">
        <f>H46*I46-J46</f>
        <v>3939.91</v>
      </c>
      <c r="L46" s="4"/>
      <c r="M46" s="4"/>
      <c r="T46" s="131"/>
    </row>
    <row r="47" spans="1:23" x14ac:dyDescent="0.25">
      <c r="A47" s="418"/>
      <c r="B47" s="360">
        <v>43118</v>
      </c>
      <c r="C47" s="7">
        <v>50</v>
      </c>
      <c r="D47" s="43">
        <v>75.28</v>
      </c>
      <c r="E47" s="43">
        <v>0</v>
      </c>
      <c r="F47" s="43">
        <f t="shared" si="7"/>
        <v>3764</v>
      </c>
      <c r="G47" s="360">
        <v>43213</v>
      </c>
      <c r="H47" s="77">
        <v>200</v>
      </c>
      <c r="I47" s="43">
        <v>73.680000000000007</v>
      </c>
      <c r="J47" s="43">
        <v>0.34</v>
      </c>
      <c r="K47" s="43">
        <f>H47*I47-J47</f>
        <v>14735.660000000002</v>
      </c>
      <c r="L47" s="4"/>
      <c r="M47" s="4"/>
      <c r="T47" s="131"/>
    </row>
    <row r="48" spans="1:23" x14ac:dyDescent="0.25">
      <c r="A48" s="418"/>
      <c r="B48" s="360">
        <v>43131</v>
      </c>
      <c r="C48" s="7">
        <v>50</v>
      </c>
      <c r="D48" s="43">
        <v>77.680000000000007</v>
      </c>
      <c r="E48" s="43">
        <v>0</v>
      </c>
      <c r="F48" s="43">
        <f t="shared" si="7"/>
        <v>3884.0000000000005</v>
      </c>
      <c r="G48" s="4"/>
      <c r="H48" s="158"/>
      <c r="I48" s="3"/>
      <c r="J48" s="3"/>
      <c r="K48" s="3"/>
      <c r="L48" s="4"/>
      <c r="M48" s="4"/>
      <c r="T48" s="131"/>
    </row>
    <row r="49" spans="1:23" x14ac:dyDescent="0.25">
      <c r="A49" s="418"/>
      <c r="B49" s="360">
        <v>43151</v>
      </c>
      <c r="C49" s="7">
        <v>100</v>
      </c>
      <c r="D49" s="43">
        <v>68.38</v>
      </c>
      <c r="E49" s="43">
        <v>0</v>
      </c>
      <c r="F49" s="43">
        <f t="shared" si="7"/>
        <v>6838</v>
      </c>
      <c r="G49" s="4"/>
      <c r="H49" s="158"/>
      <c r="I49" s="3"/>
      <c r="J49" s="3"/>
      <c r="K49" s="3"/>
      <c r="L49" s="4"/>
      <c r="M49" s="4"/>
      <c r="T49" s="131"/>
    </row>
    <row r="50" spans="1:23" x14ac:dyDescent="0.25">
      <c r="A50" s="418"/>
      <c r="B50" s="418"/>
      <c r="C50" s="418"/>
      <c r="D50" s="420"/>
      <c r="E50" s="420"/>
      <c r="F50" s="420"/>
      <c r="G50" s="418"/>
      <c r="H50" s="434"/>
      <c r="I50" s="420"/>
      <c r="J50" s="420"/>
      <c r="K50" s="420"/>
      <c r="L50" s="418"/>
      <c r="M50" s="418"/>
      <c r="T50" s="131"/>
    </row>
    <row r="51" spans="1:23" x14ac:dyDescent="0.25">
      <c r="A51" s="418"/>
      <c r="B51" s="360">
        <v>43251</v>
      </c>
      <c r="C51" s="7">
        <v>50</v>
      </c>
      <c r="D51" s="43">
        <v>69.36</v>
      </c>
      <c r="E51" s="43">
        <v>0</v>
      </c>
      <c r="F51" s="43">
        <f>C51*D51+E51</f>
        <v>3468</v>
      </c>
      <c r="G51" s="360">
        <v>43284</v>
      </c>
      <c r="H51" s="7">
        <v>50</v>
      </c>
      <c r="I51" s="43">
        <v>74.47</v>
      </c>
      <c r="J51" s="43">
        <v>0.05</v>
      </c>
      <c r="K51" s="43">
        <f>H51*I51-J51</f>
        <v>3723.45</v>
      </c>
      <c r="L51" s="69"/>
      <c r="M51" s="3"/>
      <c r="T51" s="131"/>
    </row>
    <row r="52" spans="1:23" x14ac:dyDescent="0.25">
      <c r="A52" s="418"/>
      <c r="B52" s="360">
        <v>43251</v>
      </c>
      <c r="C52" s="7">
        <v>50</v>
      </c>
      <c r="D52" s="43">
        <v>69.36</v>
      </c>
      <c r="E52" s="43">
        <v>0</v>
      </c>
      <c r="F52" s="43">
        <f>C52*D52+E52</f>
        <v>3468</v>
      </c>
      <c r="G52" s="360">
        <v>43287</v>
      </c>
      <c r="H52" s="7">
        <v>50</v>
      </c>
      <c r="I52" s="43">
        <v>75.88</v>
      </c>
      <c r="J52" s="43">
        <v>0.05</v>
      </c>
      <c r="K52" s="43">
        <f>H52*I52-J52</f>
        <v>3793.95</v>
      </c>
      <c r="L52" s="69"/>
      <c r="M52" s="3"/>
      <c r="T52" s="131"/>
    </row>
    <row r="53" spans="1:23" x14ac:dyDescent="0.25">
      <c r="A53" s="418"/>
      <c r="B53" s="418"/>
      <c r="C53" s="418"/>
      <c r="D53" s="420"/>
      <c r="E53" s="420"/>
      <c r="F53" s="420"/>
      <c r="G53" s="418"/>
      <c r="H53" s="434"/>
      <c r="I53" s="420"/>
      <c r="J53" s="420"/>
      <c r="K53" s="420"/>
      <c r="L53" s="418"/>
      <c r="M53" s="418"/>
      <c r="T53" s="131"/>
    </row>
    <row r="54" spans="1:23" x14ac:dyDescent="0.25">
      <c r="A54" s="418"/>
      <c r="B54" s="418"/>
      <c r="C54" s="418"/>
      <c r="D54" s="420"/>
      <c r="E54" s="420"/>
      <c r="F54" s="420"/>
      <c r="G54" s="418"/>
      <c r="H54" s="434"/>
      <c r="I54" s="420"/>
      <c r="J54" s="420"/>
      <c r="K54" s="420"/>
      <c r="L54" s="418"/>
      <c r="M54" s="418"/>
      <c r="T54" s="131"/>
    </row>
    <row r="55" spans="1:23" x14ac:dyDescent="0.25">
      <c r="A55" s="418"/>
      <c r="B55" s="418"/>
      <c r="C55" s="418"/>
      <c r="D55" s="420"/>
      <c r="E55" s="420"/>
      <c r="F55" s="420"/>
      <c r="G55" s="418"/>
      <c r="H55" s="434"/>
      <c r="I55" s="420"/>
      <c r="J55" s="420"/>
      <c r="K55" s="420"/>
      <c r="L55" s="418"/>
      <c r="M55" s="418"/>
      <c r="T55" s="131"/>
    </row>
    <row r="56" spans="1:23" x14ac:dyDescent="0.25">
      <c r="A56" s="418"/>
      <c r="B56" s="418"/>
      <c r="C56" s="418"/>
      <c r="D56" s="420"/>
      <c r="E56" s="420"/>
      <c r="F56" s="420"/>
      <c r="G56" s="418"/>
      <c r="H56" s="434"/>
      <c r="I56" s="420"/>
      <c r="J56" s="420"/>
      <c r="K56" s="420"/>
      <c r="L56" s="418"/>
      <c r="M56" s="418"/>
      <c r="T56" s="131"/>
    </row>
    <row r="57" spans="1:23" x14ac:dyDescent="0.25">
      <c r="A57" s="418"/>
      <c r="B57" s="418"/>
      <c r="C57" s="418"/>
      <c r="D57" s="420"/>
      <c r="E57" s="420"/>
      <c r="F57" s="420"/>
      <c r="G57" s="418"/>
      <c r="H57" s="434"/>
      <c r="I57" s="420"/>
      <c r="J57" s="420"/>
      <c r="K57" s="420"/>
      <c r="L57" s="418"/>
      <c r="M57" s="418"/>
      <c r="T57" s="131"/>
    </row>
    <row r="58" spans="1:23" x14ac:dyDescent="0.25">
      <c r="A58" s="418"/>
      <c r="B58" s="418"/>
      <c r="C58" s="418"/>
      <c r="D58" s="420"/>
      <c r="E58" s="420"/>
      <c r="F58" s="420"/>
      <c r="G58" s="418"/>
      <c r="H58" s="418"/>
      <c r="I58" s="420"/>
      <c r="J58" s="420"/>
      <c r="K58" s="420"/>
      <c r="L58" s="418"/>
      <c r="M58" s="418"/>
      <c r="T58" s="131"/>
    </row>
    <row r="59" spans="1:23" x14ac:dyDescent="0.25">
      <c r="A59" s="436" t="s">
        <v>81</v>
      </c>
      <c r="B59" s="437"/>
      <c r="C59" s="437">
        <f>SUM(C43:C58)</f>
        <v>500</v>
      </c>
      <c r="D59" s="438"/>
      <c r="E59" s="438"/>
      <c r="F59" s="438">
        <f>SUM(F43:F58)</f>
        <v>36219.5</v>
      </c>
      <c r="G59" s="437"/>
      <c r="H59" s="459">
        <f>SUM(H43:H58)</f>
        <v>500</v>
      </c>
      <c r="I59" s="438"/>
      <c r="J59" s="438"/>
      <c r="K59" s="438">
        <f>SUM(K43:K58)</f>
        <v>37260.219999999994</v>
      </c>
      <c r="L59" s="437"/>
      <c r="M59" s="438">
        <f>SUM(M43:M51)</f>
        <v>0</v>
      </c>
      <c r="T59" s="131"/>
    </row>
    <row r="60" spans="1:23" ht="15.75" thickBot="1" x14ac:dyDescent="0.3">
      <c r="A60" s="439" t="s">
        <v>189</v>
      </c>
      <c r="B60" s="440"/>
      <c r="C60" s="441">
        <f>SumByColor($A$19,C43:C58)</f>
        <v>500</v>
      </c>
      <c r="D60" s="441"/>
      <c r="E60" s="441"/>
      <c r="F60" s="442">
        <f>SumByColor($A$19,F43:F58)</f>
        <v>36220</v>
      </c>
      <c r="G60" s="441"/>
      <c r="H60" s="441">
        <f>SumByColor($A$19,H43:H58)</f>
        <v>500</v>
      </c>
      <c r="I60" s="441"/>
      <c r="J60" s="441"/>
      <c r="K60" s="442">
        <f>SumByColor($A$19,K44:K58)</f>
        <v>33691</v>
      </c>
      <c r="L60" s="441"/>
      <c r="M60" s="442">
        <f>SumByColor($A$19,M43:M58)</f>
        <v>0</v>
      </c>
      <c r="W60" s="131"/>
    </row>
    <row r="61" spans="1:23" x14ac:dyDescent="0.25">
      <c r="W61" s="131"/>
    </row>
    <row r="62" spans="1:23" x14ac:dyDescent="0.25">
      <c r="W62" s="131"/>
    </row>
    <row r="63" spans="1:23" x14ac:dyDescent="0.25">
      <c r="W63" s="131"/>
    </row>
    <row r="64" spans="1:23" x14ac:dyDescent="0.25">
      <c r="A64" s="291"/>
      <c r="B64" s="405" t="s">
        <v>113</v>
      </c>
      <c r="C64" s="405" t="s">
        <v>143</v>
      </c>
      <c r="D64" s="406" t="s">
        <v>142</v>
      </c>
      <c r="E64" s="407" t="s">
        <v>144</v>
      </c>
      <c r="F64" s="407" t="s">
        <v>65</v>
      </c>
      <c r="G64" s="409" t="s">
        <v>148</v>
      </c>
      <c r="H64" s="409" t="s">
        <v>88</v>
      </c>
      <c r="I64" s="409" t="s">
        <v>151</v>
      </c>
      <c r="J64" s="409" t="s">
        <v>452</v>
      </c>
      <c r="K64" s="409"/>
      <c r="L64" s="409" t="s">
        <v>901</v>
      </c>
      <c r="M64" s="409" t="s">
        <v>147</v>
      </c>
      <c r="N64" s="291"/>
      <c r="W64" s="131"/>
    </row>
    <row r="65" spans="1:23" x14ac:dyDescent="0.25">
      <c r="A65" s="291"/>
      <c r="B65" s="290">
        <v>43028</v>
      </c>
      <c r="C65" s="291">
        <v>50</v>
      </c>
      <c r="D65" s="292">
        <v>80.67</v>
      </c>
      <c r="E65" s="292">
        <v>84.59</v>
      </c>
      <c r="F65" s="292">
        <f t="shared" ref="F65:F88" si="8">C65*(E65-D65)</f>
        <v>196.00000000000009</v>
      </c>
      <c r="G65" s="292">
        <f t="shared" ref="G65:G88" si="9">D65*C65</f>
        <v>4033.5</v>
      </c>
      <c r="H65" s="293">
        <f t="shared" ref="H65:H88" si="10">(E65-D65)/D65</f>
        <v>4.8593033345729536E-2</v>
      </c>
      <c r="I65" s="292"/>
      <c r="J65" s="292"/>
      <c r="K65" s="292"/>
      <c r="L65" s="292"/>
      <c r="M65" s="292"/>
      <c r="N65" s="291"/>
      <c r="W65" s="131"/>
    </row>
    <row r="66" spans="1:23" x14ac:dyDescent="0.25">
      <c r="A66" s="291"/>
      <c r="B66" s="290">
        <v>43035</v>
      </c>
      <c r="C66" s="291">
        <v>100</v>
      </c>
      <c r="D66" s="292">
        <v>79.424999999999997</v>
      </c>
      <c r="E66" s="292">
        <v>81.47</v>
      </c>
      <c r="F66" s="292">
        <f t="shared" si="8"/>
        <v>204.50000000000017</v>
      </c>
      <c r="G66" s="292">
        <f t="shared" si="9"/>
        <v>7942.5</v>
      </c>
      <c r="H66" s="293">
        <f t="shared" si="10"/>
        <v>2.574756059175325E-2</v>
      </c>
      <c r="I66" s="292"/>
      <c r="J66" s="292"/>
      <c r="K66" s="292"/>
      <c r="L66" s="292"/>
      <c r="M66" s="292"/>
      <c r="N66" s="291"/>
      <c r="W66" s="131"/>
    </row>
    <row r="67" spans="1:23" x14ac:dyDescent="0.25">
      <c r="A67" s="291"/>
      <c r="B67" s="290">
        <v>43059</v>
      </c>
      <c r="C67" s="291">
        <v>200</v>
      </c>
      <c r="D67" s="292">
        <v>73.987499999999997</v>
      </c>
      <c r="E67" s="292">
        <v>66.78</v>
      </c>
      <c r="F67" s="292">
        <f t="shared" si="8"/>
        <v>-1441.4999999999991</v>
      </c>
      <c r="G67" s="292">
        <f t="shared" si="9"/>
        <v>14797.5</v>
      </c>
      <c r="H67" s="293">
        <f t="shared" si="10"/>
        <v>-9.741510390268622E-2</v>
      </c>
      <c r="I67" s="292"/>
      <c r="J67" s="292"/>
      <c r="K67" s="292"/>
      <c r="L67" s="615"/>
      <c r="M67" s="615"/>
      <c r="N67" s="291"/>
      <c r="W67" s="131"/>
    </row>
    <row r="68" spans="1:23" x14ac:dyDescent="0.25">
      <c r="A68" s="291">
        <v>50</v>
      </c>
      <c r="B68" s="290">
        <v>43069</v>
      </c>
      <c r="C68" s="291">
        <v>150</v>
      </c>
      <c r="D68" s="292">
        <v>74.853899999999996</v>
      </c>
      <c r="E68" s="292">
        <v>71.45</v>
      </c>
      <c r="F68" s="292">
        <f t="shared" si="8"/>
        <v>-510.58499999999896</v>
      </c>
      <c r="G68" s="292">
        <f t="shared" si="9"/>
        <v>11228.084999999999</v>
      </c>
      <c r="H68" s="293">
        <f t="shared" si="10"/>
        <v>-4.5473916522719503E-2</v>
      </c>
      <c r="I68" s="292">
        <v>74.3</v>
      </c>
      <c r="J68" s="292"/>
      <c r="K68" s="292"/>
      <c r="L68" s="615"/>
      <c r="M68" s="615"/>
      <c r="N68" s="291"/>
      <c r="W68" s="131"/>
    </row>
    <row r="69" spans="1:23" x14ac:dyDescent="0.25">
      <c r="A69" s="291">
        <v>50</v>
      </c>
      <c r="B69" s="290">
        <v>43075</v>
      </c>
      <c r="C69" s="291">
        <v>150</v>
      </c>
      <c r="D69" s="292">
        <v>74.853899999999996</v>
      </c>
      <c r="E69" s="292">
        <v>67.58</v>
      </c>
      <c r="F69" s="292">
        <f t="shared" si="8"/>
        <v>-1091.0849999999996</v>
      </c>
      <c r="G69" s="292">
        <f t="shared" si="9"/>
        <v>11228.084999999999</v>
      </c>
      <c r="H69" s="293">
        <f t="shared" si="10"/>
        <v>-9.7174629511621952E-2</v>
      </c>
      <c r="I69" s="292"/>
      <c r="J69" s="292"/>
      <c r="K69" s="292"/>
      <c r="L69" s="615"/>
      <c r="M69" s="615"/>
      <c r="N69" s="291"/>
      <c r="W69" s="131"/>
    </row>
    <row r="70" spans="1:23" x14ac:dyDescent="0.25">
      <c r="A70" s="291">
        <v>150</v>
      </c>
      <c r="B70" s="290">
        <v>43096</v>
      </c>
      <c r="C70" s="291">
        <v>150</v>
      </c>
      <c r="D70" s="292">
        <v>74.853899999999996</v>
      </c>
      <c r="E70" s="292">
        <v>70.459999999999994</v>
      </c>
      <c r="F70" s="292">
        <f t="shared" si="8"/>
        <v>-659.08500000000026</v>
      </c>
      <c r="G70" s="292">
        <f t="shared" si="9"/>
        <v>11228.084999999999</v>
      </c>
      <c r="H70" s="293">
        <f t="shared" si="10"/>
        <v>-5.8699680310578373E-2</v>
      </c>
      <c r="I70" s="292">
        <v>74.3</v>
      </c>
      <c r="J70" s="292">
        <v>49.12</v>
      </c>
      <c r="K70" s="292"/>
      <c r="L70" s="615"/>
      <c r="M70" s="615"/>
      <c r="N70" s="291"/>
    </row>
    <row r="71" spans="1:23" x14ac:dyDescent="0.25">
      <c r="A71" s="291">
        <v>100</v>
      </c>
      <c r="B71" s="290">
        <v>43105</v>
      </c>
      <c r="C71" s="291">
        <v>100</v>
      </c>
      <c r="D71" s="292">
        <v>75.641599999999997</v>
      </c>
      <c r="E71" s="292">
        <v>73.28</v>
      </c>
      <c r="F71" s="292">
        <f t="shared" si="8"/>
        <v>-236.15999999999957</v>
      </c>
      <c r="G71" s="292">
        <f t="shared" si="9"/>
        <v>7564.16</v>
      </c>
      <c r="H71" s="293">
        <f t="shared" si="10"/>
        <v>-3.1220915475082437E-2</v>
      </c>
      <c r="I71" s="292">
        <f>D71*0.99</f>
        <v>74.885183999999995</v>
      </c>
      <c r="J71" s="292"/>
      <c r="K71" s="292"/>
      <c r="L71" s="615"/>
      <c r="M71" s="615"/>
      <c r="N71" s="291"/>
    </row>
    <row r="72" spans="1:23" x14ac:dyDescent="0.25">
      <c r="A72" s="291">
        <v>100</v>
      </c>
      <c r="B72" s="290">
        <v>43108</v>
      </c>
      <c r="C72" s="291">
        <v>100</v>
      </c>
      <c r="D72" s="292">
        <v>75.641599999999997</v>
      </c>
      <c r="E72" s="292">
        <v>74.34</v>
      </c>
      <c r="F72" s="292">
        <f t="shared" si="8"/>
        <v>-130.15999999999934</v>
      </c>
      <c r="G72" s="292">
        <f t="shared" si="9"/>
        <v>7564.16</v>
      </c>
      <c r="H72" s="293">
        <f t="shared" si="10"/>
        <v>-1.7207462560284201E-2</v>
      </c>
      <c r="I72" s="292"/>
      <c r="J72" s="292"/>
      <c r="K72" s="292"/>
      <c r="L72" s="615"/>
      <c r="M72" s="615"/>
      <c r="N72" s="291"/>
    </row>
    <row r="73" spans="1:23" x14ac:dyDescent="0.25">
      <c r="A73" s="291">
        <v>100</v>
      </c>
      <c r="B73" s="290">
        <v>43110</v>
      </c>
      <c r="C73" s="291">
        <v>100</v>
      </c>
      <c r="D73" s="292">
        <v>75.641599999999997</v>
      </c>
      <c r="E73" s="292">
        <v>72.790000000000006</v>
      </c>
      <c r="F73" s="292">
        <f t="shared" si="8"/>
        <v>-285.15999999999906</v>
      </c>
      <c r="G73" s="292">
        <f t="shared" si="9"/>
        <v>7564.16</v>
      </c>
      <c r="H73" s="293">
        <f t="shared" si="10"/>
        <v>-3.7698832388526823E-2</v>
      </c>
      <c r="I73" s="292"/>
      <c r="J73" s="292"/>
      <c r="K73" s="292"/>
      <c r="L73" s="615"/>
      <c r="M73" s="615"/>
      <c r="N73" s="291"/>
    </row>
    <row r="74" spans="1:23" x14ac:dyDescent="0.25">
      <c r="A74" s="291">
        <v>100</v>
      </c>
      <c r="B74" s="290">
        <v>43112</v>
      </c>
      <c r="C74" s="291">
        <v>100</v>
      </c>
      <c r="D74" s="292">
        <v>75.641599999999997</v>
      </c>
      <c r="E74" s="292">
        <v>74.84</v>
      </c>
      <c r="F74" s="292">
        <f t="shared" si="8"/>
        <v>-80.159999999999343</v>
      </c>
      <c r="G74" s="292">
        <f t="shared" si="9"/>
        <v>7564.16</v>
      </c>
      <c r="H74" s="293">
        <f t="shared" si="10"/>
        <v>-1.0597343260851086E-2</v>
      </c>
      <c r="I74" s="292"/>
      <c r="J74" s="292">
        <v>65</v>
      </c>
      <c r="K74" s="410" t="s">
        <v>797</v>
      </c>
      <c r="L74" s="615"/>
      <c r="M74" s="615"/>
      <c r="N74" s="291"/>
    </row>
    <row r="75" spans="1:23" x14ac:dyDescent="0.25">
      <c r="A75" s="291">
        <v>50</v>
      </c>
      <c r="B75" s="290">
        <v>43117</v>
      </c>
      <c r="C75" s="291">
        <v>50</v>
      </c>
      <c r="D75" s="292">
        <v>74.605000000000004</v>
      </c>
      <c r="E75" s="292">
        <v>76.680000000000007</v>
      </c>
      <c r="F75" s="292">
        <f t="shared" si="8"/>
        <v>103.75000000000014</v>
      </c>
      <c r="G75" s="292">
        <f t="shared" si="9"/>
        <v>3730.25</v>
      </c>
      <c r="H75" s="293">
        <f t="shared" si="10"/>
        <v>2.7813149252731088E-2</v>
      </c>
      <c r="I75" s="292"/>
      <c r="J75" s="292">
        <v>70</v>
      </c>
      <c r="K75" s="410" t="s">
        <v>822</v>
      </c>
      <c r="L75" s="615"/>
      <c r="M75" s="615"/>
      <c r="N75" s="291"/>
    </row>
    <row r="76" spans="1:23" x14ac:dyDescent="0.25">
      <c r="A76" s="291">
        <v>50</v>
      </c>
      <c r="B76" s="290">
        <v>43118</v>
      </c>
      <c r="C76" s="291">
        <v>100</v>
      </c>
      <c r="D76" s="292">
        <v>74.942499999999995</v>
      </c>
      <c r="E76" s="292">
        <v>74.62</v>
      </c>
      <c r="F76" s="292">
        <f t="shared" si="8"/>
        <v>-32.249999999999091</v>
      </c>
      <c r="G76" s="292">
        <f t="shared" si="9"/>
        <v>7494.25</v>
      </c>
      <c r="H76" s="293">
        <f t="shared" si="10"/>
        <v>-4.3032991960501839E-3</v>
      </c>
      <c r="I76" s="292"/>
      <c r="J76" s="292"/>
      <c r="K76" s="292"/>
      <c r="L76" s="292"/>
      <c r="M76" s="292"/>
      <c r="N76" s="291"/>
    </row>
    <row r="77" spans="1:23" x14ac:dyDescent="0.25">
      <c r="A77" s="291">
        <v>50</v>
      </c>
      <c r="B77" s="290">
        <v>43121</v>
      </c>
      <c r="C77" s="291">
        <v>100</v>
      </c>
      <c r="D77" s="292">
        <v>74.94</v>
      </c>
      <c r="E77" s="292">
        <v>75.959999999999994</v>
      </c>
      <c r="F77" s="292">
        <f t="shared" si="8"/>
        <v>101.9999999999996</v>
      </c>
      <c r="G77" s="292">
        <f t="shared" si="9"/>
        <v>7494</v>
      </c>
      <c r="H77" s="293">
        <f t="shared" si="10"/>
        <v>1.3610888710968723E-2</v>
      </c>
      <c r="I77" s="292"/>
      <c r="J77" s="292"/>
      <c r="K77" s="292"/>
      <c r="L77" s="292"/>
      <c r="M77" s="292"/>
      <c r="N77" s="291"/>
    </row>
    <row r="78" spans="1:23" x14ac:dyDescent="0.25">
      <c r="A78" s="291">
        <v>0</v>
      </c>
      <c r="B78" s="290">
        <v>43126</v>
      </c>
      <c r="C78" s="291">
        <v>50</v>
      </c>
      <c r="D78" s="292">
        <v>71.09</v>
      </c>
      <c r="E78" s="292">
        <v>78.930000000000007</v>
      </c>
      <c r="F78" s="292">
        <f t="shared" si="8"/>
        <v>392.00000000000017</v>
      </c>
      <c r="G78" s="292">
        <f t="shared" si="9"/>
        <v>3554.5</v>
      </c>
      <c r="H78" s="293">
        <f t="shared" si="10"/>
        <v>0.1102827401884935</v>
      </c>
      <c r="I78" s="292"/>
      <c r="J78" s="292"/>
      <c r="K78" s="292"/>
      <c r="L78" s="292"/>
      <c r="M78" s="292"/>
      <c r="N78" s="291"/>
    </row>
    <row r="79" spans="1:23" x14ac:dyDescent="0.25">
      <c r="A79" s="291"/>
      <c r="B79" s="290">
        <v>43131</v>
      </c>
      <c r="C79" s="291">
        <v>100</v>
      </c>
      <c r="D79" s="292">
        <v>74.383399999999995</v>
      </c>
      <c r="E79" s="292">
        <v>75.680000000000007</v>
      </c>
      <c r="F79" s="292">
        <f t="shared" si="8"/>
        <v>129.66000000000122</v>
      </c>
      <c r="G79" s="292">
        <f t="shared" si="9"/>
        <v>7438.3399999999992</v>
      </c>
      <c r="H79" s="293">
        <f t="shared" si="10"/>
        <v>1.7431308598424008E-2</v>
      </c>
      <c r="I79" s="292" t="s">
        <v>845</v>
      </c>
      <c r="J79" s="292"/>
      <c r="K79" s="292"/>
      <c r="L79" s="292"/>
      <c r="M79" s="292"/>
      <c r="N79" s="291"/>
    </row>
    <row r="80" spans="1:23" x14ac:dyDescent="0.25">
      <c r="A80" s="291">
        <v>0</v>
      </c>
      <c r="B80" s="290">
        <v>43146</v>
      </c>
      <c r="C80" s="291">
        <v>100</v>
      </c>
      <c r="D80" s="292">
        <v>74.38</v>
      </c>
      <c r="E80" s="292">
        <v>68.38</v>
      </c>
      <c r="F80" s="292">
        <f t="shared" si="8"/>
        <v>-600</v>
      </c>
      <c r="G80" s="292">
        <f t="shared" si="9"/>
        <v>7438</v>
      </c>
      <c r="H80" s="293">
        <f t="shared" si="10"/>
        <v>-8.0666845926324282E-2</v>
      </c>
      <c r="I80" s="292"/>
      <c r="J80" s="292"/>
      <c r="K80" s="292"/>
      <c r="L80" s="292"/>
      <c r="M80" s="292"/>
      <c r="N80" s="291"/>
    </row>
    <row r="81" spans="1:14" x14ac:dyDescent="0.25">
      <c r="A81" s="291">
        <v>50</v>
      </c>
      <c r="B81" s="290">
        <v>43151</v>
      </c>
      <c r="C81" s="291">
        <v>200</v>
      </c>
      <c r="D81" s="292">
        <v>71.381699999999995</v>
      </c>
      <c r="E81" s="292">
        <v>67.97</v>
      </c>
      <c r="F81" s="292">
        <f t="shared" si="8"/>
        <v>-682.33999999999924</v>
      </c>
      <c r="G81" s="292">
        <f t="shared" si="9"/>
        <v>14276.339999999998</v>
      </c>
      <c r="H81" s="293">
        <f t="shared" si="10"/>
        <v>-4.7795163186082658E-2</v>
      </c>
      <c r="I81" s="292">
        <v>71</v>
      </c>
      <c r="J81" s="292"/>
      <c r="K81" s="292"/>
      <c r="L81" s="292"/>
      <c r="M81" s="292"/>
      <c r="N81" s="291"/>
    </row>
    <row r="82" spans="1:14" x14ac:dyDescent="0.25">
      <c r="A82" s="291">
        <v>100</v>
      </c>
      <c r="B82" s="290">
        <v>43163</v>
      </c>
      <c r="C82" s="291">
        <v>200</v>
      </c>
      <c r="D82" s="292">
        <v>71.38</v>
      </c>
      <c r="E82" s="292">
        <v>65.19</v>
      </c>
      <c r="F82" s="292">
        <f t="shared" si="8"/>
        <v>-1237.9999999999995</v>
      </c>
      <c r="G82" s="292">
        <f t="shared" si="9"/>
        <v>14276</v>
      </c>
      <c r="H82" s="293">
        <f t="shared" si="10"/>
        <v>-8.6718968898851195E-2</v>
      </c>
      <c r="I82" s="292"/>
      <c r="J82" s="292"/>
      <c r="K82" s="292"/>
      <c r="L82" s="292"/>
      <c r="M82" s="292"/>
      <c r="N82" s="291"/>
    </row>
    <row r="83" spans="1:14" x14ac:dyDescent="0.25">
      <c r="A83" s="291">
        <v>100</v>
      </c>
      <c r="B83" s="290">
        <v>43168</v>
      </c>
      <c r="C83" s="291">
        <v>200</v>
      </c>
      <c r="D83" s="292">
        <v>71.38</v>
      </c>
      <c r="E83" s="292">
        <v>68.430000000000007</v>
      </c>
      <c r="F83" s="292">
        <f t="shared" si="8"/>
        <v>-589.99999999999773</v>
      </c>
      <c r="G83" s="292">
        <f t="shared" si="9"/>
        <v>14276</v>
      </c>
      <c r="H83" s="293">
        <f t="shared" si="10"/>
        <v>-4.1328103110114721E-2</v>
      </c>
      <c r="I83" s="292"/>
      <c r="J83" s="292"/>
      <c r="K83" s="292"/>
      <c r="L83" s="292"/>
      <c r="M83" s="292"/>
      <c r="N83" s="291"/>
    </row>
    <row r="84" spans="1:14" x14ac:dyDescent="0.25">
      <c r="A84" s="291">
        <v>200</v>
      </c>
      <c r="B84" s="290">
        <v>43184</v>
      </c>
      <c r="C84" s="291">
        <v>200</v>
      </c>
      <c r="D84" s="292">
        <v>71.38</v>
      </c>
      <c r="E84" s="292">
        <v>64.59</v>
      </c>
      <c r="F84" s="292">
        <f t="shared" si="8"/>
        <v>-1357.9999999999984</v>
      </c>
      <c r="G84" s="292">
        <f t="shared" si="9"/>
        <v>14276</v>
      </c>
      <c r="H84" s="293">
        <f t="shared" si="10"/>
        <v>-9.512468478565414E-2</v>
      </c>
      <c r="I84" s="292"/>
      <c r="J84" s="292"/>
      <c r="K84" s="292"/>
      <c r="L84" s="292"/>
      <c r="M84" s="292"/>
      <c r="N84" s="291"/>
    </row>
    <row r="85" spans="1:14" x14ac:dyDescent="0.25">
      <c r="A85" s="291">
        <v>200</v>
      </c>
      <c r="B85" s="290">
        <v>43185</v>
      </c>
      <c r="C85" s="291">
        <v>200</v>
      </c>
      <c r="D85" s="292">
        <v>71.38</v>
      </c>
      <c r="E85" s="292">
        <v>65.540000000000006</v>
      </c>
      <c r="F85" s="292">
        <f t="shared" si="8"/>
        <v>-1167.9999999999977</v>
      </c>
      <c r="G85" s="292">
        <f t="shared" si="9"/>
        <v>14276</v>
      </c>
      <c r="H85" s="293">
        <f t="shared" si="10"/>
        <v>-8.1815634631549311E-2</v>
      </c>
      <c r="I85" s="292">
        <v>71</v>
      </c>
      <c r="J85" s="292"/>
      <c r="K85" s="292"/>
      <c r="L85" s="292"/>
      <c r="M85" s="292"/>
      <c r="N85" s="291"/>
    </row>
    <row r="86" spans="1:14" x14ac:dyDescent="0.25">
      <c r="A86" s="291">
        <v>200</v>
      </c>
      <c r="B86" s="290">
        <v>43186</v>
      </c>
      <c r="C86" s="291">
        <v>200</v>
      </c>
      <c r="D86" s="292">
        <v>71.38</v>
      </c>
      <c r="E86" s="292">
        <v>65.08</v>
      </c>
      <c r="F86" s="292">
        <f t="shared" si="8"/>
        <v>-1259.9999999999995</v>
      </c>
      <c r="G86" s="292">
        <f t="shared" si="9"/>
        <v>14276</v>
      </c>
      <c r="H86" s="293">
        <f t="shared" si="10"/>
        <v>-8.8260016811431738E-2</v>
      </c>
      <c r="I86" s="292"/>
      <c r="J86" s="292"/>
      <c r="K86" s="292"/>
      <c r="L86" s="292"/>
      <c r="M86" s="292"/>
      <c r="N86" s="291"/>
    </row>
    <row r="87" spans="1:14" x14ac:dyDescent="0.25">
      <c r="A87" s="291">
        <v>200</v>
      </c>
      <c r="B87" s="290">
        <v>43196</v>
      </c>
      <c r="C87" s="291">
        <v>200</v>
      </c>
      <c r="D87" s="292">
        <v>71.38</v>
      </c>
      <c r="E87" s="292">
        <v>66.78</v>
      </c>
      <c r="F87" s="292">
        <f t="shared" si="8"/>
        <v>-919.99999999999886</v>
      </c>
      <c r="G87" s="292">
        <f t="shared" si="9"/>
        <v>14276</v>
      </c>
      <c r="H87" s="293">
        <f t="shared" si="10"/>
        <v>-6.4443821798823131E-2</v>
      </c>
      <c r="I87" s="292"/>
      <c r="J87" s="292">
        <v>47</v>
      </c>
      <c r="K87" s="292"/>
      <c r="L87" s="292">
        <v>16.350000000000001</v>
      </c>
      <c r="M87" s="292"/>
      <c r="N87" s="291"/>
    </row>
    <row r="88" spans="1:14" x14ac:dyDescent="0.25">
      <c r="A88" s="291">
        <v>200</v>
      </c>
      <c r="B88" s="290">
        <v>43212</v>
      </c>
      <c r="C88" s="291">
        <v>200</v>
      </c>
      <c r="D88" s="292">
        <v>71.38</v>
      </c>
      <c r="E88" s="292">
        <v>69.069999999999993</v>
      </c>
      <c r="F88" s="292">
        <f t="shared" si="8"/>
        <v>-462.00000000000045</v>
      </c>
      <c r="G88" s="292">
        <f t="shared" si="9"/>
        <v>14276</v>
      </c>
      <c r="H88" s="293">
        <f t="shared" si="10"/>
        <v>-3.2362006164191687E-2</v>
      </c>
      <c r="I88" s="292"/>
      <c r="J88" s="292">
        <v>52.58</v>
      </c>
      <c r="K88" s="292"/>
      <c r="L88" s="292"/>
      <c r="M88" s="292"/>
      <c r="N88" s="291"/>
    </row>
    <row r="89" spans="1:14" x14ac:dyDescent="0.25">
      <c r="A89" s="291">
        <v>0</v>
      </c>
      <c r="B89" s="290">
        <v>43213</v>
      </c>
      <c r="C89" s="291">
        <v>0</v>
      </c>
      <c r="D89" s="292"/>
      <c r="E89" s="292">
        <v>73.790000000000006</v>
      </c>
      <c r="F89" s="292">
        <v>459.32</v>
      </c>
      <c r="G89" s="292"/>
      <c r="H89" s="293"/>
      <c r="I89" s="292"/>
      <c r="J89" s="292"/>
      <c r="K89" s="292"/>
      <c r="L89" s="292"/>
      <c r="M89" s="292"/>
      <c r="N89" s="291"/>
    </row>
    <row r="91" spans="1:14" x14ac:dyDescent="0.25">
      <c r="B91" s="159" t="s">
        <v>113</v>
      </c>
      <c r="C91" s="159" t="s">
        <v>143</v>
      </c>
      <c r="D91" s="160" t="s">
        <v>142</v>
      </c>
      <c r="E91" s="162" t="s">
        <v>144</v>
      </c>
      <c r="F91" s="162" t="s">
        <v>65</v>
      </c>
      <c r="G91" s="173" t="s">
        <v>148</v>
      </c>
      <c r="H91" s="173" t="s">
        <v>88</v>
      </c>
      <c r="I91" s="173" t="s">
        <v>151</v>
      </c>
      <c r="J91" s="173" t="s">
        <v>452</v>
      </c>
      <c r="K91" s="173"/>
      <c r="L91" s="173" t="s">
        <v>901</v>
      </c>
      <c r="M91" s="173" t="s">
        <v>147</v>
      </c>
    </row>
    <row r="92" spans="1:14" x14ac:dyDescent="0.25">
      <c r="B92" s="161">
        <v>43251</v>
      </c>
      <c r="C92" s="10">
        <v>100</v>
      </c>
      <c r="D92" s="39">
        <v>69.36</v>
      </c>
      <c r="E92" s="39">
        <v>69.2</v>
      </c>
      <c r="F92" s="39">
        <f>C92*(E92-D92)</f>
        <v>-15.999999999999659</v>
      </c>
      <c r="G92" s="39">
        <f>D92*C92</f>
        <v>6936</v>
      </c>
      <c r="H92" s="175">
        <f>(E92-D92)/D92</f>
        <v>-2.3068050749711156E-3</v>
      </c>
      <c r="I92" s="39"/>
      <c r="J92" s="39"/>
      <c r="K92" s="39"/>
      <c r="L92" s="39"/>
      <c r="M92" s="39"/>
    </row>
    <row r="93" spans="1:14" x14ac:dyDescent="0.25">
      <c r="B93" s="161">
        <v>43278</v>
      </c>
      <c r="C93" s="10">
        <v>100</v>
      </c>
      <c r="D93" s="39">
        <v>69.36</v>
      </c>
      <c r="E93" s="39">
        <v>73.8</v>
      </c>
      <c r="F93" s="39">
        <f>C93*(E93-D93)</f>
        <v>443.99999999999977</v>
      </c>
      <c r="G93" s="39">
        <f>D93*C93</f>
        <v>6936</v>
      </c>
      <c r="H93" s="175">
        <f>(E93-D93)/D93</f>
        <v>6.4013840830449795E-2</v>
      </c>
      <c r="I93" s="39"/>
      <c r="J93" s="39"/>
      <c r="K93" s="39"/>
      <c r="L93" s="39"/>
      <c r="M93" s="39"/>
    </row>
    <row r="94" spans="1:14" x14ac:dyDescent="0.25">
      <c r="A94">
        <v>50</v>
      </c>
      <c r="B94" s="161">
        <v>43284</v>
      </c>
      <c r="C94" s="10">
        <v>50</v>
      </c>
      <c r="D94" s="39">
        <v>64.251000000000005</v>
      </c>
      <c r="E94" s="39">
        <v>74.47</v>
      </c>
      <c r="F94" s="39">
        <f>C94*(E94-D94)</f>
        <v>510.9499999999997</v>
      </c>
      <c r="G94" s="39">
        <f>D94*C94</f>
        <v>3212.55</v>
      </c>
      <c r="H94" s="175">
        <f>(E94-D94)/D94</f>
        <v>0.15904810820065046</v>
      </c>
      <c r="I94" s="39"/>
      <c r="J94" s="39"/>
      <c r="K94" s="39"/>
      <c r="L94" s="39">
        <v>18.23</v>
      </c>
      <c r="M94" s="39">
        <v>970</v>
      </c>
    </row>
    <row r="95" spans="1:14" x14ac:dyDescent="0.25">
      <c r="B95" s="161">
        <v>43287</v>
      </c>
      <c r="C95" s="10">
        <v>0</v>
      </c>
      <c r="D95" s="39"/>
      <c r="E95" s="39"/>
      <c r="F95" s="39">
        <v>581.4</v>
      </c>
      <c r="G95" s="39"/>
      <c r="H95" s="175"/>
      <c r="I95" s="39"/>
      <c r="J95" s="39"/>
      <c r="K95" s="39"/>
      <c r="L95" s="39">
        <v>18.600000000000001</v>
      </c>
      <c r="M95" s="39">
        <v>1040.72</v>
      </c>
    </row>
    <row r="96" spans="1:14" x14ac:dyDescent="0.25">
      <c r="A96" s="4"/>
      <c r="B96" s="161"/>
      <c r="C96" s="10"/>
      <c r="D96" s="39"/>
      <c r="E96" s="39"/>
      <c r="F96" s="39"/>
      <c r="G96" s="39"/>
      <c r="H96" s="175"/>
      <c r="I96" s="39"/>
      <c r="J96" s="39"/>
      <c r="K96" s="39"/>
      <c r="L96" s="39"/>
      <c r="M96" s="39"/>
    </row>
    <row r="97" spans="1:13" x14ac:dyDescent="0.25">
      <c r="A97" s="4"/>
      <c r="B97" s="161"/>
      <c r="C97" s="10"/>
      <c r="D97" s="39"/>
      <c r="E97" s="39"/>
      <c r="F97" s="39"/>
      <c r="G97" s="39"/>
      <c r="H97" s="175"/>
      <c r="I97" s="39"/>
      <c r="J97" s="39"/>
      <c r="K97" s="39"/>
      <c r="L97" s="39"/>
      <c r="M97" s="39"/>
    </row>
    <row r="98" spans="1:13" x14ac:dyDescent="0.25">
      <c r="A98" s="4"/>
      <c r="B98" s="161"/>
      <c r="C98" s="10"/>
      <c r="D98" s="39"/>
      <c r="E98" s="39"/>
      <c r="F98" s="39"/>
      <c r="G98" s="39"/>
      <c r="H98" s="175"/>
      <c r="I98" s="39"/>
      <c r="J98" s="39"/>
      <c r="K98" s="39"/>
      <c r="L98" s="39"/>
      <c r="M98" s="39"/>
    </row>
    <row r="99" spans="1:13" x14ac:dyDescent="0.25">
      <c r="A99" s="4"/>
      <c r="B99" s="161"/>
      <c r="C99" s="10"/>
      <c r="D99" s="39"/>
      <c r="E99" s="39"/>
      <c r="F99" s="39"/>
      <c r="G99" s="39"/>
      <c r="H99" s="175"/>
      <c r="I99" s="39"/>
      <c r="J99" s="39"/>
      <c r="K99" s="39"/>
      <c r="L99" s="39"/>
      <c r="M99" s="39"/>
    </row>
    <row r="100" spans="1:13" x14ac:dyDescent="0.25">
      <c r="A100" s="4"/>
      <c r="B100" s="161"/>
      <c r="C100" s="10"/>
      <c r="D100" s="39"/>
      <c r="E100" s="39"/>
      <c r="F100" s="39"/>
      <c r="G100" s="39"/>
      <c r="H100" s="175"/>
      <c r="I100" s="39"/>
      <c r="J100" s="39"/>
      <c r="K100" s="39"/>
      <c r="L100" s="39"/>
      <c r="M100" s="39"/>
    </row>
    <row r="101" spans="1:13" x14ac:dyDescent="0.25">
      <c r="A101" s="4"/>
      <c r="B101" s="161"/>
      <c r="C101" s="10"/>
      <c r="D101" s="39"/>
      <c r="E101" s="39"/>
      <c r="F101" s="39"/>
      <c r="G101" s="39"/>
      <c r="H101" s="175"/>
      <c r="I101" s="39"/>
      <c r="J101" s="39"/>
      <c r="K101" s="39"/>
      <c r="L101" s="39"/>
      <c r="M101" s="39"/>
    </row>
    <row r="102" spans="1:13" x14ac:dyDescent="0.25">
      <c r="A102" s="4"/>
      <c r="B102" s="161"/>
      <c r="C102" s="10"/>
      <c r="D102" s="39"/>
      <c r="E102" s="39"/>
      <c r="F102" s="39"/>
      <c r="G102" s="39"/>
      <c r="H102" s="175"/>
      <c r="I102" s="39"/>
      <c r="J102" s="39"/>
      <c r="K102" s="39"/>
      <c r="L102" s="39"/>
      <c r="M102" s="39"/>
    </row>
    <row r="103" spans="1:13" x14ac:dyDescent="0.25">
      <c r="A103" s="4"/>
      <c r="B103" s="161"/>
      <c r="C103" s="10"/>
      <c r="D103" s="39"/>
      <c r="E103" s="39"/>
      <c r="F103" s="39"/>
      <c r="G103" s="39"/>
      <c r="H103" s="175"/>
      <c r="I103" s="39"/>
      <c r="J103" s="39"/>
      <c r="K103" s="39"/>
      <c r="L103" s="39"/>
      <c r="M103" s="39"/>
    </row>
    <row r="104" spans="1:13" x14ac:dyDescent="0.25">
      <c r="A104" s="4"/>
      <c r="B104" s="161"/>
      <c r="C104" s="10"/>
      <c r="D104" s="39"/>
      <c r="E104" s="39"/>
      <c r="F104" s="39"/>
      <c r="G104" s="39"/>
      <c r="H104" s="175"/>
      <c r="I104" s="39"/>
      <c r="J104" s="39"/>
      <c r="K104" s="39"/>
      <c r="L104" s="39"/>
      <c r="M104" s="39"/>
    </row>
    <row r="105" spans="1:13" x14ac:dyDescent="0.25">
      <c r="A105" s="4"/>
      <c r="B105" s="161"/>
      <c r="C105" s="10"/>
      <c r="D105" s="39"/>
      <c r="E105" s="39"/>
      <c r="F105" s="39"/>
      <c r="G105" s="39"/>
      <c r="H105" s="175"/>
      <c r="I105" s="39"/>
      <c r="J105" s="39"/>
      <c r="K105" s="39"/>
      <c r="L105" s="39"/>
      <c r="M105" s="39"/>
    </row>
  </sheetData>
  <mergeCells count="1">
    <mergeCell ref="O16:P16"/>
  </mergeCells>
  <conditionalFormatting sqref="O17:O37">
    <cfRule type="colorScale" priority="78">
      <colorScale>
        <cfvo type="min"/>
        <cfvo type="percentile" val="50"/>
        <cfvo type="max"/>
        <color rgb="FFF8696B"/>
        <color rgb="FFFFEB84"/>
        <color rgb="FF63BE7B"/>
      </colorScale>
    </cfRule>
  </conditionalFormatting>
  <conditionalFormatting sqref="P17:P37">
    <cfRule type="colorScale" priority="77">
      <colorScale>
        <cfvo type="min"/>
        <cfvo type="percentile" val="50"/>
        <cfvo type="max"/>
        <color rgb="FFF8696B"/>
        <color rgb="FFFFEB84"/>
        <color rgb="FF63BE7B"/>
      </colorScale>
    </cfRule>
  </conditionalFormatting>
  <conditionalFormatting sqref="W1:W38 W60:W69 T39:T59">
    <cfRule type="iconSet" priority="75">
      <iconSet iconSet="3Arrows">
        <cfvo type="percent" val="0"/>
        <cfvo type="num" val="0"/>
        <cfvo type="num" val="0"/>
      </iconSet>
    </cfRule>
  </conditionalFormatting>
  <conditionalFormatting sqref="Q7">
    <cfRule type="expression" dxfId="2381" priority="71">
      <formula>Q7&gt;0</formula>
    </cfRule>
    <cfRule type="expression" dxfId="2380" priority="72">
      <formula>Q7&lt;0</formula>
    </cfRule>
  </conditionalFormatting>
  <conditionalFormatting sqref="Q8">
    <cfRule type="expression" dxfId="2379" priority="69">
      <formula>Q8&gt;0</formula>
    </cfRule>
    <cfRule type="expression" dxfId="2378" priority="70">
      <formula>Q8&lt;0</formula>
    </cfRule>
  </conditionalFormatting>
  <conditionalFormatting sqref="F27 F29 F33:F38">
    <cfRule type="expression" dxfId="2377" priority="67">
      <formula>F27&gt;0</formula>
    </cfRule>
    <cfRule type="expression" dxfId="2376" priority="68">
      <formula>F27&lt;0</formula>
    </cfRule>
  </conditionalFormatting>
  <conditionalFormatting sqref="H29:H38">
    <cfRule type="expression" dxfId="2375" priority="65">
      <formula>H29&gt;0</formula>
    </cfRule>
    <cfRule type="expression" dxfId="2374" priority="66">
      <formula>H29&lt;0</formula>
    </cfRule>
  </conditionalFormatting>
  <conditionalFormatting sqref="H25:H27">
    <cfRule type="expression" dxfId="2373" priority="45">
      <formula>H25&gt;0</formula>
    </cfRule>
    <cfRule type="expression" dxfId="2372" priority="46">
      <formula>H25&lt;0</formula>
    </cfRule>
  </conditionalFormatting>
  <conditionalFormatting sqref="Q10">
    <cfRule type="expression" dxfId="2371" priority="59">
      <formula>Q10&gt;0</formula>
    </cfRule>
    <cfRule type="expression" dxfId="2370" priority="60">
      <formula>Q10&lt;0</formula>
    </cfRule>
  </conditionalFormatting>
  <conditionalFormatting sqref="F25:F26">
    <cfRule type="expression" dxfId="2369" priority="47">
      <formula>F25&gt;0</formula>
    </cfRule>
    <cfRule type="expression" dxfId="2368" priority="48">
      <formula>F25&lt;0</formula>
    </cfRule>
  </conditionalFormatting>
  <conditionalFormatting sqref="J65:K72">
    <cfRule type="expression" dxfId="2367" priority="41">
      <formula>J65&gt;0</formula>
    </cfRule>
    <cfRule type="expression" dxfId="2366" priority="42">
      <formula>J65&lt;0</formula>
    </cfRule>
  </conditionalFormatting>
  <conditionalFormatting sqref="F65:F83 F89">
    <cfRule type="expression" dxfId="2365" priority="39">
      <formula>F65&gt;0</formula>
    </cfRule>
    <cfRule type="expression" dxfId="2364" priority="40">
      <formula>F65&lt;0</formula>
    </cfRule>
  </conditionalFormatting>
  <conditionalFormatting sqref="H65:H83 H89">
    <cfRule type="expression" dxfId="2363" priority="37">
      <formula>H65&gt;0</formula>
    </cfRule>
    <cfRule type="expression" dxfId="2362" priority="38">
      <formula>H65&lt;0</formula>
    </cfRule>
  </conditionalFormatting>
  <conditionalFormatting sqref="J76:J78">
    <cfRule type="expression" dxfId="2361" priority="35">
      <formula>J76&gt;0</formula>
    </cfRule>
    <cfRule type="expression" dxfId="2360" priority="36">
      <formula>J76&lt;0</formula>
    </cfRule>
  </conditionalFormatting>
  <conditionalFormatting sqref="K76:K78">
    <cfRule type="expression" dxfId="2359" priority="33">
      <formula>K76&gt;0</formula>
    </cfRule>
    <cfRule type="expression" dxfId="2358" priority="34">
      <formula>K76&lt;0</formula>
    </cfRule>
  </conditionalFormatting>
  <conditionalFormatting sqref="L65:L78">
    <cfRule type="expression" dxfId="2357" priority="31">
      <formula>L65&gt;0</formula>
    </cfRule>
    <cfRule type="expression" dxfId="2356" priority="32">
      <formula>L65&lt;0</formula>
    </cfRule>
  </conditionalFormatting>
  <conditionalFormatting sqref="F84:F88">
    <cfRule type="expression" dxfId="2355" priority="29">
      <formula>F84&gt;0</formula>
    </cfRule>
    <cfRule type="expression" dxfId="2354" priority="30">
      <formula>F84&lt;0</formula>
    </cfRule>
  </conditionalFormatting>
  <conditionalFormatting sqref="H84:H88">
    <cfRule type="expression" dxfId="2353" priority="27">
      <formula>H84&gt;0</formula>
    </cfRule>
    <cfRule type="expression" dxfId="2352" priority="28">
      <formula>H84&lt;0</formula>
    </cfRule>
  </conditionalFormatting>
  <conditionalFormatting sqref="M65:M78">
    <cfRule type="expression" dxfId="2351" priority="25">
      <formula>M65&gt;0</formula>
    </cfRule>
    <cfRule type="expression" dxfId="2350" priority="26">
      <formula>M65&lt;0</formula>
    </cfRule>
  </conditionalFormatting>
  <conditionalFormatting sqref="M26:M31">
    <cfRule type="expression" dxfId="2349" priority="23">
      <formula>M26&gt;0</formula>
    </cfRule>
    <cfRule type="expression" dxfId="2348" priority="24">
      <formula>M26&lt;0</formula>
    </cfRule>
  </conditionalFormatting>
  <conditionalFormatting sqref="F93:F105">
    <cfRule type="expression" dxfId="2347" priority="21">
      <formula>F93&gt;0</formula>
    </cfRule>
    <cfRule type="expression" dxfId="2346" priority="22">
      <formula>F93&lt;0</formula>
    </cfRule>
  </conditionalFormatting>
  <conditionalFormatting sqref="H93:H105">
    <cfRule type="expression" dxfId="2345" priority="19">
      <formula>H93&gt;0</formula>
    </cfRule>
    <cfRule type="expression" dxfId="2344" priority="20">
      <formula>H93&lt;0</formula>
    </cfRule>
  </conditionalFormatting>
  <conditionalFormatting sqref="H92">
    <cfRule type="expression" dxfId="2343" priority="15">
      <formula>H92&gt;0</formula>
    </cfRule>
    <cfRule type="expression" dxfId="2342" priority="16">
      <formula>H92&lt;0</formula>
    </cfRule>
  </conditionalFormatting>
  <conditionalFormatting sqref="F92">
    <cfRule type="expression" dxfId="2341" priority="17">
      <formula>F92&gt;0</formula>
    </cfRule>
    <cfRule type="expression" dxfId="2340" priority="18">
      <formula>F92&lt;0</formula>
    </cfRule>
  </conditionalFormatting>
  <conditionalFormatting sqref="M93:M98">
    <cfRule type="expression" dxfId="2339" priority="13">
      <formula>M93&gt;0</formula>
    </cfRule>
    <cfRule type="expression" dxfId="2338" priority="14">
      <formula>M93&lt;0</formula>
    </cfRule>
  </conditionalFormatting>
  <conditionalFormatting sqref="K25:K27">
    <cfRule type="expression" dxfId="2337" priority="11">
      <formula>K25&gt;0</formula>
    </cfRule>
    <cfRule type="expression" dxfId="2336" priority="12">
      <formula>K25&lt;0</formula>
    </cfRule>
  </conditionalFormatting>
  <conditionalFormatting sqref="K28">
    <cfRule type="expression" dxfId="2335" priority="9">
      <formula>K28&gt;0</formula>
    </cfRule>
    <cfRule type="expression" dxfId="2334" priority="10">
      <formula>K28&lt;0</formula>
    </cfRule>
  </conditionalFormatting>
  <conditionalFormatting sqref="H28">
    <cfRule type="expression" dxfId="2333" priority="5">
      <formula>H28&gt;0</formula>
    </cfRule>
    <cfRule type="expression" dxfId="2332" priority="6">
      <formula>H28&lt;0</formula>
    </cfRule>
  </conditionalFormatting>
  <conditionalFormatting sqref="F28">
    <cfRule type="expression" dxfId="2331" priority="7">
      <formula>F28&gt;0</formula>
    </cfRule>
    <cfRule type="expression" dxfId="2330" priority="8">
      <formula>F28&lt;0</formula>
    </cfRule>
  </conditionalFormatting>
  <conditionalFormatting sqref="K29:K32">
    <cfRule type="expression" dxfId="2329" priority="3">
      <formula>K29&gt;0</formula>
    </cfRule>
    <cfRule type="expression" dxfId="2328" priority="4">
      <formula>K29&lt;0</formula>
    </cfRule>
  </conditionalFormatting>
  <conditionalFormatting sqref="F30:F32">
    <cfRule type="expression" dxfId="2327" priority="1">
      <formula>F30&gt;0</formula>
    </cfRule>
    <cfRule type="expression" dxfId="2326" priority="2">
      <formula>F30&lt;0</formula>
    </cfRule>
  </conditionalFormatting>
  <hyperlinks>
    <hyperlink ref="A3" location="ACTIVE!A1" display="Back"/>
    <hyperlink ref="A44" location="ACTIVE!A1" display="Back"/>
  </hyperlinks>
  <pageMargins left="0.7" right="0.7" top="0.75" bottom="0.75" header="0.3" footer="0.3"/>
  <pageSetup orientation="portrait" r:id="rId1"/>
  <drawing r:id="rId2"/>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1"/>
  <dimension ref="A1:U116"/>
  <sheetViews>
    <sheetView workbookViewId="0">
      <pane ySplit="1" topLeftCell="A2" activePane="bottomLeft" state="frozen"/>
      <selection activeCell="A2" sqref="A2"/>
      <selection pane="bottomLeft"/>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 bestFit="1" customWidth="1"/>
    <col min="18" max="18" width="10.7109375" bestFit="1" customWidth="1"/>
    <col min="19" max="19" width="27.85546875"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U1" s="11" t="s">
        <v>70</v>
      </c>
    </row>
    <row r="2" spans="1:21" x14ac:dyDescent="0.25">
      <c r="A2" s="6" t="s">
        <v>1068</v>
      </c>
      <c r="B2" s="360">
        <v>43278</v>
      </c>
      <c r="C2" s="7">
        <v>100</v>
      </c>
      <c r="D2" s="43">
        <v>51.18</v>
      </c>
      <c r="E2" s="43">
        <v>0</v>
      </c>
      <c r="F2" s="43">
        <f t="shared" ref="F2:F12" si="0">C2*D2+E2</f>
        <v>5118</v>
      </c>
      <c r="G2" s="360">
        <v>43339</v>
      </c>
      <c r="H2" s="77">
        <v>100</v>
      </c>
      <c r="I2" s="74">
        <v>53.16</v>
      </c>
      <c r="J2" s="43">
        <v>7.0000000000000007E-2</v>
      </c>
      <c r="K2" s="43">
        <f t="shared" ref="K2:K10" si="1">H2*I2-J2</f>
        <v>5315.93</v>
      </c>
      <c r="L2" s="69">
        <v>43458</v>
      </c>
      <c r="M2" s="43">
        <v>343.45</v>
      </c>
      <c r="O2" s="11" t="s">
        <v>57</v>
      </c>
      <c r="Q2">
        <f>C18-H18</f>
        <v>0</v>
      </c>
      <c r="T2" s="1"/>
    </row>
    <row r="3" spans="1:21" x14ac:dyDescent="0.25">
      <c r="A3" s="22" t="s">
        <v>71</v>
      </c>
      <c r="B3" s="360">
        <v>43325</v>
      </c>
      <c r="C3" s="7">
        <v>100</v>
      </c>
      <c r="D3" s="43">
        <v>51.28</v>
      </c>
      <c r="E3" s="43">
        <v>0</v>
      </c>
      <c r="F3" s="43">
        <f t="shared" si="0"/>
        <v>5128</v>
      </c>
      <c r="G3" s="360">
        <v>43432</v>
      </c>
      <c r="H3" s="77">
        <v>100</v>
      </c>
      <c r="I3" s="74">
        <v>50.04</v>
      </c>
      <c r="J3" s="43">
        <v>7.0000000000000007E-2</v>
      </c>
      <c r="K3" s="43">
        <f t="shared" si="1"/>
        <v>5003.93</v>
      </c>
      <c r="L3" s="69">
        <v>43637</v>
      </c>
      <c r="M3" s="43">
        <v>98.28</v>
      </c>
      <c r="O3" s="11" t="s">
        <v>58</v>
      </c>
      <c r="Q3" s="174">
        <f>IF(Q2=0, Q4, (F18-K18-M18)/Q2)</f>
        <v>52.43</v>
      </c>
      <c r="T3" s="1"/>
    </row>
    <row r="4" spans="1:21" x14ac:dyDescent="0.25">
      <c r="B4" s="360">
        <v>43327</v>
      </c>
      <c r="C4" s="7">
        <v>100</v>
      </c>
      <c r="D4" s="43">
        <v>49.88</v>
      </c>
      <c r="E4" s="43">
        <v>0</v>
      </c>
      <c r="F4" s="43">
        <f t="shared" si="0"/>
        <v>4988</v>
      </c>
      <c r="G4" s="360">
        <v>43483</v>
      </c>
      <c r="H4" s="77">
        <v>100</v>
      </c>
      <c r="I4" s="74">
        <v>50.104999999999997</v>
      </c>
      <c r="J4" s="43">
        <v>7.0000000000000007E-2</v>
      </c>
      <c r="K4" s="43">
        <f t="shared" si="1"/>
        <v>5010.43</v>
      </c>
      <c r="L4" s="4"/>
      <c r="M4" s="4"/>
      <c r="O4" s="11" t="s">
        <v>66</v>
      </c>
      <c r="Q4" s="53">
        <v>52.43</v>
      </c>
      <c r="R4" s="416">
        <v>-7.4000000000000003E-3</v>
      </c>
      <c r="T4" s="680"/>
      <c r="U4" s="30"/>
    </row>
    <row r="5" spans="1:21" x14ac:dyDescent="0.25">
      <c r="B5" s="360">
        <v>43342</v>
      </c>
      <c r="C5" s="7">
        <v>100</v>
      </c>
      <c r="D5" s="43">
        <v>51.8</v>
      </c>
      <c r="E5" s="43">
        <v>0</v>
      </c>
      <c r="F5" s="43">
        <f t="shared" si="0"/>
        <v>5180</v>
      </c>
      <c r="G5" s="360">
        <v>43495</v>
      </c>
      <c r="H5" s="77">
        <v>100</v>
      </c>
      <c r="I5" s="74">
        <v>50.48</v>
      </c>
      <c r="J5" s="43">
        <v>7.0000000000000007E-2</v>
      </c>
      <c r="K5" s="43">
        <f t="shared" si="1"/>
        <v>5047.93</v>
      </c>
      <c r="L5" s="4"/>
      <c r="M5" s="4"/>
      <c r="O5" s="11" t="s">
        <v>67</v>
      </c>
      <c r="Q5" s="3">
        <f>Q4*Q2</f>
        <v>0</v>
      </c>
    </row>
    <row r="6" spans="1:21" x14ac:dyDescent="0.25">
      <c r="B6" s="360">
        <v>43383</v>
      </c>
      <c r="C6" s="7">
        <v>56</v>
      </c>
      <c r="D6" s="43">
        <v>48.18</v>
      </c>
      <c r="E6" s="43">
        <v>0</v>
      </c>
      <c r="F6" s="43">
        <f t="shared" si="0"/>
        <v>2698.08</v>
      </c>
      <c r="G6" s="360">
        <v>43501</v>
      </c>
      <c r="H6" s="77">
        <v>56</v>
      </c>
      <c r="I6" s="74">
        <v>52.18</v>
      </c>
      <c r="J6" s="43">
        <v>0.04</v>
      </c>
      <c r="K6" s="43">
        <f t="shared" si="1"/>
        <v>2922.04</v>
      </c>
      <c r="L6" s="4"/>
      <c r="M6" s="4"/>
      <c r="O6" s="11" t="s">
        <v>64</v>
      </c>
      <c r="Q6" s="2">
        <f>Q3*Q2</f>
        <v>0</v>
      </c>
    </row>
    <row r="7" spans="1:21" x14ac:dyDescent="0.25">
      <c r="B7" s="360">
        <v>43383</v>
      </c>
      <c r="C7" s="7">
        <v>44</v>
      </c>
      <c r="D7" s="43">
        <v>48.18</v>
      </c>
      <c r="E7" s="43">
        <v>0</v>
      </c>
      <c r="F7" s="43">
        <f t="shared" si="0"/>
        <v>2119.92</v>
      </c>
      <c r="G7" s="360">
        <v>43544</v>
      </c>
      <c r="H7" s="77">
        <v>100</v>
      </c>
      <c r="I7" s="74">
        <v>52.8</v>
      </c>
      <c r="J7" s="43">
        <v>7.0000000000000007E-2</v>
      </c>
      <c r="K7" s="43">
        <f t="shared" si="1"/>
        <v>5279.93</v>
      </c>
      <c r="L7" s="4"/>
      <c r="M7" s="4"/>
      <c r="O7" s="11" t="s">
        <v>175</v>
      </c>
      <c r="Q7" s="2">
        <f>Q10+Q8</f>
        <v>1697.5200000000041</v>
      </c>
      <c r="R7">
        <v>0</v>
      </c>
    </row>
    <row r="8" spans="1:21" x14ac:dyDescent="0.25">
      <c r="B8" s="360">
        <v>43440</v>
      </c>
      <c r="C8" s="7">
        <v>100</v>
      </c>
      <c r="D8" s="43">
        <v>48.08</v>
      </c>
      <c r="E8" s="43">
        <v>0</v>
      </c>
      <c r="F8" s="43">
        <f t="shared" si="0"/>
        <v>4808</v>
      </c>
      <c r="G8" s="360">
        <v>43616</v>
      </c>
      <c r="H8" s="77">
        <v>100</v>
      </c>
      <c r="I8" s="74">
        <v>49.15</v>
      </c>
      <c r="J8" s="43">
        <v>0.1</v>
      </c>
      <c r="K8" s="43">
        <f t="shared" si="1"/>
        <v>4914.8999999999996</v>
      </c>
      <c r="L8" s="4"/>
      <c r="M8" s="4"/>
      <c r="O8" s="11" t="s">
        <v>177</v>
      </c>
      <c r="P8" s="33"/>
      <c r="Q8" s="2">
        <f>K18+M18-F18+Q2*Q4</f>
        <v>1697.5200000000041</v>
      </c>
    </row>
    <row r="9" spans="1:21" x14ac:dyDescent="0.25">
      <c r="B9" s="360">
        <v>43531</v>
      </c>
      <c r="C9" s="7">
        <v>56</v>
      </c>
      <c r="D9" s="43">
        <v>50.58</v>
      </c>
      <c r="E9" s="43">
        <v>0</v>
      </c>
      <c r="F9" s="43">
        <f t="shared" si="0"/>
        <v>2832.48</v>
      </c>
      <c r="G9" s="360">
        <v>43707</v>
      </c>
      <c r="H9" s="77">
        <v>100</v>
      </c>
      <c r="I9" s="74">
        <v>48.215000000000003</v>
      </c>
      <c r="J9" s="43">
        <v>0.1</v>
      </c>
      <c r="K9" s="43">
        <f t="shared" si="1"/>
        <v>4821.3999999999996</v>
      </c>
      <c r="L9" s="4"/>
      <c r="M9" s="4"/>
      <c r="O9" s="11" t="s">
        <v>202</v>
      </c>
      <c r="Q9" s="131">
        <f>IF(Q2=0, 0, Q8/Q6)</f>
        <v>0</v>
      </c>
      <c r="T9" s="153"/>
    </row>
    <row r="10" spans="1:21" x14ac:dyDescent="0.25">
      <c r="B10" s="360">
        <v>43546</v>
      </c>
      <c r="C10" s="7">
        <v>100</v>
      </c>
      <c r="D10" s="43">
        <v>51.2</v>
      </c>
      <c r="E10" s="43">
        <v>0</v>
      </c>
      <c r="F10" s="43">
        <f t="shared" si="0"/>
        <v>5120</v>
      </c>
      <c r="G10" s="360">
        <v>43773</v>
      </c>
      <c r="H10" s="77">
        <v>200</v>
      </c>
      <c r="I10" s="74">
        <v>52.56</v>
      </c>
      <c r="J10" s="43">
        <v>0.22</v>
      </c>
      <c r="K10" s="43">
        <f t="shared" si="1"/>
        <v>10511.78</v>
      </c>
      <c r="L10" s="4"/>
      <c r="M10" s="4"/>
      <c r="O10" s="11" t="s">
        <v>201</v>
      </c>
      <c r="P10" s="33"/>
      <c r="Q10" s="2">
        <f>M72</f>
        <v>0</v>
      </c>
    </row>
    <row r="11" spans="1:21" x14ac:dyDescent="0.25">
      <c r="B11" s="360">
        <v>43598</v>
      </c>
      <c r="C11" s="7">
        <v>100</v>
      </c>
      <c r="D11" s="43">
        <v>48.8</v>
      </c>
      <c r="E11" s="43">
        <v>0</v>
      </c>
      <c r="F11" s="43">
        <f t="shared" si="0"/>
        <v>4880</v>
      </c>
      <c r="G11" s="4"/>
      <c r="H11" s="158"/>
      <c r="I11" s="184"/>
      <c r="J11" s="3"/>
      <c r="K11" s="3"/>
      <c r="L11" s="4"/>
      <c r="M11" s="4"/>
      <c r="O11" s="11" t="s">
        <v>173</v>
      </c>
      <c r="P11" s="33"/>
      <c r="Q11" s="131">
        <f>R11/Q4</f>
        <v>2.4794964714857908E-2</v>
      </c>
      <c r="R11">
        <v>1.3</v>
      </c>
    </row>
    <row r="12" spans="1:21" x14ac:dyDescent="0.25">
      <c r="B12" s="360">
        <v>43682</v>
      </c>
      <c r="C12" s="7">
        <v>100</v>
      </c>
      <c r="D12" s="43">
        <v>47</v>
      </c>
      <c r="E12" s="43">
        <v>0</v>
      </c>
      <c r="F12" s="43">
        <f t="shared" si="0"/>
        <v>4700</v>
      </c>
      <c r="H12" s="67"/>
      <c r="I12" s="75"/>
      <c r="O12" s="11" t="s">
        <v>923</v>
      </c>
      <c r="Q12" s="29"/>
    </row>
    <row r="13" spans="1:21" x14ac:dyDescent="0.25">
      <c r="H13" s="67"/>
      <c r="I13" s="75"/>
      <c r="O13" s="11" t="s">
        <v>901</v>
      </c>
    </row>
    <row r="14" spans="1:21" x14ac:dyDescent="0.25">
      <c r="H14" s="67"/>
      <c r="I14" s="75"/>
      <c r="O14" s="11" t="s">
        <v>966</v>
      </c>
      <c r="Q14" s="1">
        <v>43421</v>
      </c>
    </row>
    <row r="15" spans="1:21" x14ac:dyDescent="0.25">
      <c r="H15" s="67"/>
      <c r="I15" s="75"/>
    </row>
    <row r="16" spans="1:21" x14ac:dyDescent="0.25">
      <c r="H16" s="67"/>
      <c r="I16" s="75"/>
    </row>
    <row r="17" spans="1:13" x14ac:dyDescent="0.25">
      <c r="I17" s="75"/>
    </row>
    <row r="18" spans="1:13" x14ac:dyDescent="0.25">
      <c r="A18" s="31" t="s">
        <v>81</v>
      </c>
      <c r="B18" s="14"/>
      <c r="C18" s="14">
        <f>SUM(C2:C12)</f>
        <v>956</v>
      </c>
      <c r="D18" s="18"/>
      <c r="E18" s="18"/>
      <c r="F18" s="18">
        <f>SUM(F2:F12)</f>
        <v>47572.480000000003</v>
      </c>
      <c r="G18" s="14"/>
      <c r="H18" s="68">
        <f>SUM(H2:H10)</f>
        <v>956</v>
      </c>
      <c r="I18" s="18"/>
      <c r="J18" s="18"/>
      <c r="K18" s="18">
        <f>SUM(K2:K10)</f>
        <v>48828.270000000004</v>
      </c>
      <c r="L18" s="14"/>
      <c r="M18" s="18">
        <f>SUM(M2:M10)</f>
        <v>441.73</v>
      </c>
    </row>
    <row r="19" spans="1:13" ht="15.75" thickBot="1" x14ac:dyDescent="0.3">
      <c r="A19" s="273" t="s">
        <v>189</v>
      </c>
      <c r="B19" s="274"/>
      <c r="C19" s="275">
        <f>SumByColor($A$19,C2:C17)</f>
        <v>956</v>
      </c>
      <c r="D19" s="275"/>
      <c r="E19" s="275"/>
      <c r="F19" s="276">
        <f>SumByColor($A$19,F2:F17)</f>
        <v>47572</v>
      </c>
      <c r="G19" s="275"/>
      <c r="H19" s="275">
        <f>SumByColor($A$19,H2:H17)</f>
        <v>956</v>
      </c>
      <c r="I19" s="275"/>
      <c r="J19" s="275"/>
      <c r="K19" s="276">
        <f>SumByColor($A$19,K2:K17)</f>
        <v>48828</v>
      </c>
      <c r="L19" s="275"/>
      <c r="M19" s="276">
        <f>SumByColor($A$19,M2:M17)</f>
        <v>441</v>
      </c>
    </row>
    <row r="24" spans="1:13" x14ac:dyDescent="0.25">
      <c r="B24" s="159" t="s">
        <v>113</v>
      </c>
      <c r="C24" s="159" t="s">
        <v>143</v>
      </c>
      <c r="D24" s="160" t="s">
        <v>142</v>
      </c>
      <c r="E24" s="162" t="s">
        <v>144</v>
      </c>
      <c r="F24" s="163" t="s">
        <v>65</v>
      </c>
      <c r="G24" s="173" t="s">
        <v>148</v>
      </c>
      <c r="H24" s="163" t="s">
        <v>88</v>
      </c>
      <c r="I24" s="173" t="s">
        <v>151</v>
      </c>
      <c r="J24" s="173" t="s">
        <v>452</v>
      </c>
      <c r="K24" s="173" t="s">
        <v>147</v>
      </c>
      <c r="L24" s="173" t="s">
        <v>147</v>
      </c>
    </row>
    <row r="25" spans="1:13" x14ac:dyDescent="0.25">
      <c r="B25" s="161">
        <v>43278</v>
      </c>
      <c r="C25" s="181">
        <v>100</v>
      </c>
      <c r="D25" s="182">
        <v>51.18</v>
      </c>
      <c r="E25" s="39">
        <v>51.25</v>
      </c>
      <c r="F25" s="39">
        <f t="shared" ref="F25:F30" si="2">C25*(E25-D25)</f>
        <v>7.0000000000000284</v>
      </c>
      <c r="G25" s="39">
        <f t="shared" ref="G25:G30" si="3">D25*C25</f>
        <v>5118</v>
      </c>
      <c r="H25" s="175">
        <f t="shared" ref="H25:H30" si="4">(E25-D25)/D25</f>
        <v>1.3677217663149723E-3</v>
      </c>
      <c r="I25" s="39"/>
      <c r="J25" s="39"/>
      <c r="K25" s="39"/>
      <c r="L25" s="39"/>
    </row>
    <row r="26" spans="1:13" x14ac:dyDescent="0.25">
      <c r="A26" s="1"/>
      <c r="B26" s="161">
        <v>43312</v>
      </c>
      <c r="C26" s="10">
        <v>100</v>
      </c>
      <c r="D26" s="39">
        <v>51.18</v>
      </c>
      <c r="E26" s="39">
        <v>54.1</v>
      </c>
      <c r="F26" s="39">
        <f t="shared" si="2"/>
        <v>292.00000000000017</v>
      </c>
      <c r="G26" s="39">
        <f t="shared" si="3"/>
        <v>5118</v>
      </c>
      <c r="H26" s="175">
        <f t="shared" si="4"/>
        <v>5.705353653771008E-2</v>
      </c>
      <c r="I26" s="39"/>
      <c r="J26" s="39"/>
      <c r="K26" s="39"/>
      <c r="L26" s="39"/>
    </row>
    <row r="27" spans="1:13" x14ac:dyDescent="0.25">
      <c r="B27" s="161">
        <v>43316</v>
      </c>
      <c r="C27" s="10">
        <v>100</v>
      </c>
      <c r="D27" s="39">
        <v>51.18</v>
      </c>
      <c r="E27" s="39">
        <v>53.45</v>
      </c>
      <c r="F27" s="39">
        <f t="shared" si="2"/>
        <v>227.00000000000031</v>
      </c>
      <c r="G27" s="39">
        <f t="shared" si="3"/>
        <v>5118</v>
      </c>
      <c r="H27" s="175">
        <f t="shared" si="4"/>
        <v>4.4353262993356839E-2</v>
      </c>
      <c r="I27" s="39"/>
      <c r="J27" s="39"/>
      <c r="K27" s="39"/>
      <c r="L27" s="152"/>
    </row>
    <row r="28" spans="1:13" x14ac:dyDescent="0.25">
      <c r="B28" s="161">
        <v>43325</v>
      </c>
      <c r="C28" s="10">
        <v>100</v>
      </c>
      <c r="D28" s="39">
        <v>51.23</v>
      </c>
      <c r="E28" s="39">
        <v>51.38</v>
      </c>
      <c r="F28" s="39">
        <f t="shared" si="2"/>
        <v>15.000000000000568</v>
      </c>
      <c r="G28" s="39">
        <f t="shared" si="3"/>
        <v>5123</v>
      </c>
      <c r="H28" s="175">
        <f t="shared" si="4"/>
        <v>2.9279718914699531E-3</v>
      </c>
      <c r="I28" s="39"/>
      <c r="J28" s="39"/>
      <c r="K28" s="39"/>
      <c r="L28" s="152"/>
    </row>
    <row r="29" spans="1:13" x14ac:dyDescent="0.25">
      <c r="B29" s="161">
        <v>43326</v>
      </c>
      <c r="C29" s="10">
        <v>200</v>
      </c>
      <c r="D29" s="39">
        <v>51.23</v>
      </c>
      <c r="E29" s="39">
        <v>51.71</v>
      </c>
      <c r="F29" s="39">
        <f t="shared" si="2"/>
        <v>96.000000000000796</v>
      </c>
      <c r="G29" s="39">
        <f t="shared" si="3"/>
        <v>10246</v>
      </c>
      <c r="H29" s="175">
        <f t="shared" si="4"/>
        <v>9.3695100527035717E-3</v>
      </c>
      <c r="I29" s="39"/>
      <c r="J29" s="39"/>
      <c r="K29" s="39"/>
      <c r="L29" s="152"/>
    </row>
    <row r="30" spans="1:13" x14ac:dyDescent="0.25">
      <c r="B30" s="161">
        <v>43327</v>
      </c>
      <c r="C30" s="10">
        <v>300</v>
      </c>
      <c r="D30" s="39">
        <v>50.78</v>
      </c>
      <c r="E30" s="39">
        <v>50.29</v>
      </c>
      <c r="F30" s="39">
        <f t="shared" si="2"/>
        <v>-147.0000000000006</v>
      </c>
      <c r="G30" s="39">
        <f t="shared" si="3"/>
        <v>15234</v>
      </c>
      <c r="H30" s="175">
        <f t="shared" si="4"/>
        <v>-9.6494682946042139E-3</v>
      </c>
      <c r="I30" s="39"/>
      <c r="J30" s="39"/>
      <c r="K30" s="39"/>
      <c r="L30" s="152"/>
    </row>
    <row r="31" spans="1:13" x14ac:dyDescent="0.25">
      <c r="B31" s="161">
        <v>43328</v>
      </c>
      <c r="C31" s="10">
        <v>300</v>
      </c>
      <c r="D31" s="39">
        <v>50.78</v>
      </c>
      <c r="E31" s="39">
        <v>50.62</v>
      </c>
      <c r="F31" s="39">
        <f>C31*(E31-D31)</f>
        <v>-48.000000000001108</v>
      </c>
      <c r="G31" s="39">
        <f>D31*C31</f>
        <v>15234</v>
      </c>
      <c r="H31" s="175">
        <f>(E31-D31)/D31</f>
        <v>-3.1508467900749054E-3</v>
      </c>
      <c r="I31" s="39"/>
      <c r="J31" s="39"/>
      <c r="K31" s="39"/>
      <c r="L31" s="152"/>
    </row>
    <row r="32" spans="1:13" x14ac:dyDescent="0.25">
      <c r="B32" s="161">
        <v>43329</v>
      </c>
      <c r="C32" s="10">
        <v>300</v>
      </c>
      <c r="D32" s="39">
        <v>50.78</v>
      </c>
      <c r="E32" s="39">
        <v>51.11</v>
      </c>
      <c r="F32" s="39">
        <f t="shared" ref="F32:F38" si="5">C32*(E32-D32)</f>
        <v>98.999999999999488</v>
      </c>
      <c r="G32" s="39">
        <f t="shared" ref="G32:G38" si="6">D32*C32</f>
        <v>15234</v>
      </c>
      <c r="H32" s="175">
        <f t="shared" ref="H32:H38" si="7">(E32-D32)/D32</f>
        <v>6.4986215045293085E-3</v>
      </c>
      <c r="I32" s="39"/>
      <c r="J32" s="39"/>
      <c r="K32" s="39"/>
      <c r="L32" s="152"/>
    </row>
    <row r="33" spans="1:17" x14ac:dyDescent="0.25">
      <c r="A33">
        <v>100</v>
      </c>
      <c r="B33" s="161">
        <v>43337</v>
      </c>
      <c r="C33" s="7">
        <v>300</v>
      </c>
      <c r="D33" s="43">
        <v>50.78</v>
      </c>
      <c r="E33" s="39">
        <v>52.39</v>
      </c>
      <c r="F33" s="39">
        <f t="shared" si="5"/>
        <v>482.99999999999983</v>
      </c>
      <c r="G33" s="39">
        <f t="shared" si="6"/>
        <v>15234</v>
      </c>
      <c r="H33" s="175">
        <f t="shared" si="7"/>
        <v>3.1705395825127991E-2</v>
      </c>
      <c r="I33" s="39">
        <v>50</v>
      </c>
      <c r="J33" s="39"/>
      <c r="K33" s="39"/>
      <c r="L33" s="152"/>
    </row>
    <row r="34" spans="1:17" x14ac:dyDescent="0.25">
      <c r="A34">
        <v>0</v>
      </c>
      <c r="B34" s="161">
        <v>43339</v>
      </c>
      <c r="C34" s="10">
        <v>200</v>
      </c>
      <c r="D34" s="39">
        <v>49.590400000000002</v>
      </c>
      <c r="E34" s="39">
        <v>53.16</v>
      </c>
      <c r="F34" s="760">
        <f t="shared" si="5"/>
        <v>713.91999999999882</v>
      </c>
      <c r="G34" s="39">
        <f t="shared" si="6"/>
        <v>9918.08</v>
      </c>
      <c r="H34" s="175">
        <f t="shared" si="7"/>
        <v>7.1981673872362276E-2</v>
      </c>
      <c r="I34" s="39"/>
      <c r="J34" s="39"/>
      <c r="K34" s="39"/>
      <c r="L34" s="152"/>
    </row>
    <row r="35" spans="1:17" x14ac:dyDescent="0.25">
      <c r="A35" s="1">
        <v>43356</v>
      </c>
      <c r="B35" s="161">
        <v>43342</v>
      </c>
      <c r="C35" s="7">
        <v>300</v>
      </c>
      <c r="D35" s="43">
        <v>50.326900000000002</v>
      </c>
      <c r="E35" s="39">
        <v>51.91</v>
      </c>
      <c r="F35" s="39">
        <f t="shared" si="5"/>
        <v>474.92999999999836</v>
      </c>
      <c r="G35" s="39">
        <f t="shared" si="6"/>
        <v>15098.07</v>
      </c>
      <c r="H35" s="175">
        <f t="shared" si="7"/>
        <v>3.1456338459153944E-2</v>
      </c>
      <c r="I35" s="39">
        <v>50</v>
      </c>
      <c r="J35" s="39"/>
      <c r="K35" s="39"/>
      <c r="L35" s="152"/>
    </row>
    <row r="36" spans="1:17" x14ac:dyDescent="0.25">
      <c r="B36" s="161">
        <v>43343</v>
      </c>
      <c r="C36" s="10">
        <v>300</v>
      </c>
      <c r="D36" s="39">
        <v>50.33</v>
      </c>
      <c r="E36" s="39">
        <v>52.31</v>
      </c>
      <c r="F36" s="39">
        <f t="shared" si="5"/>
        <v>594.00000000000114</v>
      </c>
      <c r="G36" s="39">
        <f t="shared" si="6"/>
        <v>15099</v>
      </c>
      <c r="H36" s="175">
        <f t="shared" si="7"/>
        <v>3.9340353665805766E-2</v>
      </c>
      <c r="I36" s="39">
        <v>50</v>
      </c>
      <c r="J36" s="39"/>
      <c r="K36" s="39"/>
      <c r="L36" s="39"/>
    </row>
    <row r="37" spans="1:17" x14ac:dyDescent="0.25">
      <c r="B37" s="161">
        <v>43348</v>
      </c>
      <c r="C37" s="10">
        <v>300</v>
      </c>
      <c r="D37" s="39">
        <v>50.326900000000002</v>
      </c>
      <c r="E37" s="39">
        <v>50.54</v>
      </c>
      <c r="F37" s="39">
        <f t="shared" si="5"/>
        <v>63.929999999999154</v>
      </c>
      <c r="G37" s="39">
        <f t="shared" si="6"/>
        <v>15098.07</v>
      </c>
      <c r="H37" s="175">
        <f t="shared" si="7"/>
        <v>4.2343160417191838E-3</v>
      </c>
      <c r="I37" s="39"/>
      <c r="J37" s="39"/>
      <c r="K37" s="39"/>
      <c r="L37" s="39"/>
    </row>
    <row r="38" spans="1:17" x14ac:dyDescent="0.25">
      <c r="B38" s="161">
        <v>43352</v>
      </c>
      <c r="C38" s="10">
        <v>300</v>
      </c>
      <c r="D38" s="39">
        <v>50.33</v>
      </c>
      <c r="E38" s="39">
        <v>50.31</v>
      </c>
      <c r="F38" s="39">
        <f t="shared" si="5"/>
        <v>-5.9999999999988063</v>
      </c>
      <c r="G38" s="39">
        <f t="shared" si="6"/>
        <v>15099</v>
      </c>
      <c r="H38" s="175">
        <f t="shared" si="7"/>
        <v>-3.9737730975553391E-4</v>
      </c>
      <c r="I38" s="39"/>
      <c r="J38" s="39">
        <v>37.700000000000003</v>
      </c>
      <c r="K38" s="39"/>
      <c r="L38" s="39"/>
    </row>
    <row r="39" spans="1:17" x14ac:dyDescent="0.25">
      <c r="B39" s="161">
        <v>43355</v>
      </c>
      <c r="C39" s="10">
        <v>300</v>
      </c>
      <c r="D39" s="39">
        <v>50.33</v>
      </c>
      <c r="E39" s="39">
        <v>50.15</v>
      </c>
      <c r="F39" s="39">
        <f t="shared" ref="F39:F49" si="8">C39*(E39-D39)</f>
        <v>-53.999999999999915</v>
      </c>
      <c r="G39" s="39">
        <f t="shared" ref="G39:G49" si="9">D39*C39</f>
        <v>15099</v>
      </c>
      <c r="H39" s="175">
        <f t="shared" ref="H39:H49" si="10">(E39-D39)/D39</f>
        <v>-3.576395787800511E-3</v>
      </c>
      <c r="I39" s="39"/>
      <c r="J39" s="39"/>
      <c r="K39" s="39"/>
      <c r="L39" s="39"/>
    </row>
    <row r="40" spans="1:17" ht="20.25" thickBot="1" x14ac:dyDescent="0.35">
      <c r="B40" s="161">
        <v>43356</v>
      </c>
      <c r="C40" s="10">
        <v>300</v>
      </c>
      <c r="D40" s="39">
        <v>50.33</v>
      </c>
      <c r="E40" s="39">
        <v>50.76</v>
      </c>
      <c r="F40" s="39">
        <f t="shared" si="8"/>
        <v>128.99999999999991</v>
      </c>
      <c r="G40" s="39">
        <f t="shared" si="9"/>
        <v>15099</v>
      </c>
      <c r="H40" s="175">
        <f t="shared" si="10"/>
        <v>8.5436121597456723E-3</v>
      </c>
      <c r="I40" s="39"/>
      <c r="J40" s="39"/>
      <c r="K40" s="39"/>
      <c r="L40" s="39"/>
      <c r="O40" s="886" t="s">
        <v>78</v>
      </c>
      <c r="P40" s="886"/>
    </row>
    <row r="41" spans="1:17" ht="15.75" thickTop="1" x14ac:dyDescent="0.25">
      <c r="B41" s="161">
        <v>43362</v>
      </c>
      <c r="C41" s="10">
        <v>300</v>
      </c>
      <c r="D41" s="39">
        <v>50.33</v>
      </c>
      <c r="E41" s="39">
        <v>51.41</v>
      </c>
      <c r="F41" s="39">
        <f t="shared" si="8"/>
        <v>323.99999999999949</v>
      </c>
      <c r="G41" s="39">
        <f t="shared" si="9"/>
        <v>15099</v>
      </c>
      <c r="H41" s="175">
        <f t="shared" si="10"/>
        <v>2.1458374726803068E-2</v>
      </c>
      <c r="I41" s="39"/>
      <c r="J41" s="39"/>
      <c r="K41" s="39"/>
      <c r="L41" s="39"/>
      <c r="O41" s="78">
        <v>1.1000000000000001</v>
      </c>
      <c r="P41" s="78">
        <f>O41*$Q$4</f>
        <v>57.673000000000002</v>
      </c>
      <c r="Q41" s="2"/>
    </row>
    <row r="42" spans="1:17" x14ac:dyDescent="0.25">
      <c r="B42" s="161">
        <v>43364</v>
      </c>
      <c r="C42" s="10">
        <v>300</v>
      </c>
      <c r="D42" s="39">
        <v>50.33</v>
      </c>
      <c r="E42" s="39">
        <v>52.13</v>
      </c>
      <c r="F42" s="39">
        <f t="shared" si="8"/>
        <v>540.00000000000125</v>
      </c>
      <c r="G42" s="39">
        <f t="shared" si="9"/>
        <v>15099</v>
      </c>
      <c r="H42" s="175">
        <f t="shared" si="10"/>
        <v>3.5763957878005251E-2</v>
      </c>
      <c r="I42" s="39"/>
      <c r="J42" s="39"/>
      <c r="K42" s="39"/>
      <c r="L42" s="39"/>
      <c r="O42" s="78">
        <v>1.0900000000000001</v>
      </c>
      <c r="P42" s="78">
        <f t="shared" ref="P42:P61" si="11">O42*$Q$4</f>
        <v>57.148700000000005</v>
      </c>
      <c r="Q42" s="2"/>
    </row>
    <row r="43" spans="1:17" x14ac:dyDescent="0.25">
      <c r="B43" s="161">
        <v>43383</v>
      </c>
      <c r="C43" s="10">
        <v>400</v>
      </c>
      <c r="D43" s="39">
        <v>49.790199999999999</v>
      </c>
      <c r="E43" s="39">
        <v>47.83</v>
      </c>
      <c r="F43" s="39">
        <f t="shared" si="8"/>
        <v>-784.08000000000015</v>
      </c>
      <c r="G43" s="39">
        <f t="shared" si="9"/>
        <v>19916.079999999998</v>
      </c>
      <c r="H43" s="175">
        <f t="shared" si="10"/>
        <v>-3.9369193134391918E-2</v>
      </c>
      <c r="I43" s="39"/>
      <c r="J43" s="39"/>
      <c r="K43" s="39"/>
      <c r="L43" s="39"/>
      <c r="O43" s="78">
        <v>1.08</v>
      </c>
      <c r="P43" s="78">
        <f t="shared" si="11"/>
        <v>56.624400000000001</v>
      </c>
      <c r="Q43" s="2"/>
    </row>
    <row r="44" spans="1:17" x14ac:dyDescent="0.25">
      <c r="A44">
        <v>300</v>
      </c>
      <c r="B44" s="161">
        <v>43402</v>
      </c>
      <c r="C44" s="10">
        <v>400</v>
      </c>
      <c r="D44" s="39">
        <v>49.79</v>
      </c>
      <c r="E44" s="39">
        <v>45.85</v>
      </c>
      <c r="F44" s="39">
        <f t="shared" si="8"/>
        <v>-1575.9999999999991</v>
      </c>
      <c r="G44" s="39">
        <f t="shared" si="9"/>
        <v>19916</v>
      </c>
      <c r="H44" s="175">
        <f t="shared" si="10"/>
        <v>-7.9132355894757936E-2</v>
      </c>
      <c r="I44" s="39"/>
      <c r="J44" s="39"/>
      <c r="K44" s="39"/>
      <c r="L44" s="39"/>
      <c r="O44" s="78">
        <v>1.07</v>
      </c>
      <c r="P44" s="78">
        <f t="shared" si="11"/>
        <v>56.100100000000005</v>
      </c>
      <c r="Q44" s="2"/>
    </row>
    <row r="45" spans="1:17" x14ac:dyDescent="0.25">
      <c r="A45">
        <v>300</v>
      </c>
      <c r="B45" s="161">
        <v>43407</v>
      </c>
      <c r="C45" s="10">
        <v>400</v>
      </c>
      <c r="D45" s="39">
        <v>49.79</v>
      </c>
      <c r="E45" s="39">
        <v>49.21</v>
      </c>
      <c r="F45" s="39">
        <f t="shared" si="8"/>
        <v>-231.99999999999932</v>
      </c>
      <c r="G45" s="39">
        <f t="shared" si="9"/>
        <v>19916</v>
      </c>
      <c r="H45" s="175">
        <f t="shared" si="10"/>
        <v>-1.1648925487045558E-2</v>
      </c>
      <c r="I45" s="39"/>
      <c r="J45" s="39"/>
      <c r="K45" s="39"/>
      <c r="L45" s="39"/>
      <c r="O45" s="78">
        <v>1.06</v>
      </c>
      <c r="P45" s="78">
        <f t="shared" si="11"/>
        <v>55.575800000000001</v>
      </c>
      <c r="Q45" s="2"/>
    </row>
    <row r="46" spans="1:17" x14ac:dyDescent="0.25">
      <c r="B46" s="161">
        <v>43417</v>
      </c>
      <c r="C46" s="10">
        <v>400</v>
      </c>
      <c r="D46" s="39">
        <v>49.79</v>
      </c>
      <c r="E46" s="39">
        <v>47.91</v>
      </c>
      <c r="F46" s="39">
        <f t="shared" si="8"/>
        <v>-752.00000000000102</v>
      </c>
      <c r="G46" s="39">
        <f t="shared" si="9"/>
        <v>19916</v>
      </c>
      <c r="H46" s="175">
        <f t="shared" si="10"/>
        <v>-3.7758586061458176E-2</v>
      </c>
      <c r="I46" s="39"/>
      <c r="J46" s="39"/>
      <c r="K46" s="39"/>
      <c r="L46" s="39"/>
      <c r="O46" s="78">
        <v>1.05</v>
      </c>
      <c r="P46" s="78">
        <f t="shared" si="11"/>
        <v>55.051500000000004</v>
      </c>
      <c r="Q46" s="2"/>
    </row>
    <row r="47" spans="1:17" x14ac:dyDescent="0.25">
      <c r="B47" s="161">
        <v>43420</v>
      </c>
      <c r="C47" s="10">
        <v>400</v>
      </c>
      <c r="D47" s="39">
        <v>49.79</v>
      </c>
      <c r="E47" s="39">
        <v>49.36</v>
      </c>
      <c r="F47" s="39">
        <f t="shared" si="8"/>
        <v>-171.99999999999989</v>
      </c>
      <c r="G47" s="39">
        <f t="shared" si="9"/>
        <v>19916</v>
      </c>
      <c r="H47" s="175">
        <f t="shared" si="10"/>
        <v>-8.6362723438441393E-3</v>
      </c>
      <c r="I47" s="39"/>
      <c r="J47" s="39"/>
      <c r="K47" s="39"/>
      <c r="L47" s="39"/>
      <c r="O47" s="78">
        <v>1.04</v>
      </c>
      <c r="P47" s="78">
        <f t="shared" si="11"/>
        <v>54.527200000000001</v>
      </c>
      <c r="Q47" s="2"/>
    </row>
    <row r="48" spans="1:17" x14ac:dyDescent="0.25">
      <c r="A48">
        <v>300</v>
      </c>
      <c r="B48" s="161">
        <v>43432</v>
      </c>
      <c r="C48" s="7">
        <v>300</v>
      </c>
      <c r="D48" s="43">
        <v>49.707099999999997</v>
      </c>
      <c r="E48" s="39">
        <v>50.03</v>
      </c>
      <c r="F48" s="39">
        <f t="shared" si="8"/>
        <v>96.870000000001255</v>
      </c>
      <c r="G48" s="39">
        <f t="shared" si="9"/>
        <v>14912.13</v>
      </c>
      <c r="H48" s="175">
        <f t="shared" si="10"/>
        <v>6.4960538836505086E-3</v>
      </c>
      <c r="I48" s="182" t="s">
        <v>1274</v>
      </c>
      <c r="J48" s="39"/>
      <c r="K48" s="39"/>
      <c r="L48" s="39"/>
      <c r="O48" s="78">
        <v>1.03</v>
      </c>
      <c r="P48" s="78">
        <f t="shared" si="11"/>
        <v>54.002900000000004</v>
      </c>
      <c r="Q48" s="2"/>
    </row>
    <row r="49" spans="1:17" x14ac:dyDescent="0.25">
      <c r="B49" s="161">
        <v>43433</v>
      </c>
      <c r="C49" s="10">
        <v>300</v>
      </c>
      <c r="D49" s="39">
        <v>49.707099999999997</v>
      </c>
      <c r="E49" s="39">
        <v>49.64</v>
      </c>
      <c r="F49" s="39">
        <f t="shared" si="8"/>
        <v>-20.129999999998915</v>
      </c>
      <c r="G49" s="39">
        <f t="shared" si="9"/>
        <v>14912.13</v>
      </c>
      <c r="H49" s="175">
        <f t="shared" si="10"/>
        <v>-1.3499077596559926E-3</v>
      </c>
      <c r="I49" s="39"/>
      <c r="J49" s="39"/>
      <c r="K49" s="39"/>
      <c r="L49" s="39"/>
      <c r="O49" s="78">
        <v>1.02</v>
      </c>
      <c r="P49" s="78">
        <f t="shared" si="11"/>
        <v>53.4786</v>
      </c>
      <c r="Q49" s="2"/>
    </row>
    <row r="50" spans="1:17" x14ac:dyDescent="0.25">
      <c r="B50" s="161">
        <v>43436</v>
      </c>
      <c r="C50" s="10">
        <v>300</v>
      </c>
      <c r="D50" s="39">
        <v>49.707099999999997</v>
      </c>
      <c r="E50" s="39">
        <v>49.47</v>
      </c>
      <c r="F50" s="39">
        <f t="shared" ref="F50:F62" si="12">C50*(E50-D50)</f>
        <v>-71.129999999999427</v>
      </c>
      <c r="G50" s="39">
        <f t="shared" ref="G50:G62" si="13">D50*C50</f>
        <v>14912.13</v>
      </c>
      <c r="H50" s="175">
        <f t="shared" ref="H50:H62" si="14">(E50-D50)/D50</f>
        <v>-4.7699423221229586E-3</v>
      </c>
      <c r="I50" s="39"/>
      <c r="J50" s="39"/>
      <c r="K50" s="39"/>
      <c r="L50" s="39"/>
      <c r="O50" s="78">
        <v>1.01</v>
      </c>
      <c r="P50" s="78">
        <f t="shared" si="11"/>
        <v>52.954300000000003</v>
      </c>
      <c r="Q50" s="2"/>
    </row>
    <row r="51" spans="1:17" x14ac:dyDescent="0.25">
      <c r="A51">
        <v>300</v>
      </c>
      <c r="B51" s="161">
        <v>43440</v>
      </c>
      <c r="C51" s="10">
        <v>400</v>
      </c>
      <c r="D51" s="39">
        <v>49.3</v>
      </c>
      <c r="E51" s="39">
        <v>49.09</v>
      </c>
      <c r="F51" s="39">
        <f t="shared" si="12"/>
        <v>-83.999999999997499</v>
      </c>
      <c r="G51" s="39">
        <f t="shared" si="13"/>
        <v>19720</v>
      </c>
      <c r="H51" s="175">
        <f t="shared" si="14"/>
        <v>-4.2596348884380072E-3</v>
      </c>
      <c r="I51" s="39"/>
      <c r="J51" s="39"/>
      <c r="K51" s="39"/>
      <c r="L51" s="39"/>
      <c r="O51" s="78">
        <v>1</v>
      </c>
      <c r="P51" s="78">
        <f t="shared" si="11"/>
        <v>52.43</v>
      </c>
      <c r="Q51" s="2"/>
    </row>
    <row r="52" spans="1:17" x14ac:dyDescent="0.25">
      <c r="A52">
        <v>300</v>
      </c>
      <c r="B52" s="161">
        <v>43442</v>
      </c>
      <c r="C52" s="10">
        <v>400</v>
      </c>
      <c r="D52" s="39">
        <v>49.3</v>
      </c>
      <c r="E52" s="39">
        <v>48.15</v>
      </c>
      <c r="F52" s="39">
        <f t="shared" si="12"/>
        <v>-459.99999999999943</v>
      </c>
      <c r="G52" s="39">
        <f t="shared" si="13"/>
        <v>19720</v>
      </c>
      <c r="H52" s="175">
        <f t="shared" si="14"/>
        <v>-2.3326572008113562E-2</v>
      </c>
      <c r="I52" s="39"/>
      <c r="J52" s="39"/>
      <c r="K52" s="39"/>
      <c r="L52" s="39"/>
      <c r="O52" s="78">
        <v>0.99</v>
      </c>
      <c r="P52" s="78">
        <f t="shared" si="11"/>
        <v>51.905699999999996</v>
      </c>
      <c r="Q52" s="2"/>
    </row>
    <row r="53" spans="1:17" x14ac:dyDescent="0.25">
      <c r="B53" s="161">
        <v>43459</v>
      </c>
      <c r="C53" s="10">
        <v>400</v>
      </c>
      <c r="D53" s="39">
        <v>48.441699999999997</v>
      </c>
      <c r="E53" s="39">
        <v>46.02</v>
      </c>
      <c r="F53" s="39">
        <f t="shared" si="12"/>
        <v>-968.67999999999768</v>
      </c>
      <c r="G53" s="39">
        <f t="shared" si="13"/>
        <v>19376.68</v>
      </c>
      <c r="H53" s="175">
        <f t="shared" si="14"/>
        <v>-4.9992052302045432E-2</v>
      </c>
      <c r="I53" s="39"/>
      <c r="J53" s="39"/>
      <c r="K53" s="39"/>
      <c r="L53" s="39"/>
      <c r="O53" s="78">
        <v>0.98</v>
      </c>
      <c r="P53" s="78">
        <f t="shared" si="11"/>
        <v>51.381399999999999</v>
      </c>
      <c r="Q53" s="2"/>
    </row>
    <row r="54" spans="1:17" x14ac:dyDescent="0.25">
      <c r="A54" s="4">
        <v>300</v>
      </c>
      <c r="B54" s="161">
        <v>43483</v>
      </c>
      <c r="C54" s="7">
        <v>300</v>
      </c>
      <c r="D54" s="43">
        <v>47.887500000000003</v>
      </c>
      <c r="E54" s="39">
        <v>50.11</v>
      </c>
      <c r="F54" s="98">
        <f t="shared" si="12"/>
        <v>666.74999999999898</v>
      </c>
      <c r="G54" s="39">
        <f t="shared" si="13"/>
        <v>14366.25</v>
      </c>
      <c r="H54" s="175">
        <f t="shared" si="14"/>
        <v>4.6410858783607338E-2</v>
      </c>
      <c r="I54" s="182" t="s">
        <v>1316</v>
      </c>
      <c r="J54" s="39"/>
      <c r="K54" s="39"/>
      <c r="L54" s="39"/>
      <c r="O54" s="78">
        <v>0.97</v>
      </c>
      <c r="P54" s="78">
        <f t="shared" si="11"/>
        <v>50.857099999999996</v>
      </c>
    </row>
    <row r="55" spans="1:17" x14ac:dyDescent="0.25">
      <c r="A55" s="4">
        <v>300</v>
      </c>
      <c r="B55" s="161">
        <v>43491</v>
      </c>
      <c r="C55" s="10">
        <v>300</v>
      </c>
      <c r="D55" s="39">
        <v>47.89</v>
      </c>
      <c r="E55" s="39">
        <v>50.69</v>
      </c>
      <c r="F55" s="760">
        <f t="shared" si="12"/>
        <v>839.99999999999909</v>
      </c>
      <c r="G55" s="39">
        <f t="shared" si="13"/>
        <v>14367</v>
      </c>
      <c r="H55" s="175">
        <f t="shared" si="14"/>
        <v>5.8467320943829552E-2</v>
      </c>
      <c r="I55" s="39"/>
      <c r="J55" s="39"/>
      <c r="K55" s="39"/>
      <c r="L55" s="39"/>
      <c r="O55" s="78">
        <v>0.96</v>
      </c>
      <c r="P55" s="78">
        <f t="shared" si="11"/>
        <v>50.332799999999999</v>
      </c>
    </row>
    <row r="56" spans="1:17" x14ac:dyDescent="0.25">
      <c r="A56" s="4">
        <v>200</v>
      </c>
      <c r="B56" s="161">
        <v>43495</v>
      </c>
      <c r="C56" s="10">
        <v>200</v>
      </c>
      <c r="D56" s="39">
        <v>46.591700000000003</v>
      </c>
      <c r="E56" s="39">
        <v>51.33</v>
      </c>
      <c r="F56" s="760">
        <f t="shared" si="12"/>
        <v>947.65999999999906</v>
      </c>
      <c r="G56" s="39">
        <f t="shared" si="13"/>
        <v>9318.34</v>
      </c>
      <c r="H56" s="175">
        <f t="shared" si="14"/>
        <v>0.1016983711691137</v>
      </c>
      <c r="I56" s="39"/>
      <c r="J56" s="39"/>
      <c r="K56" s="39"/>
      <c r="L56" s="39"/>
      <c r="O56" s="78">
        <v>0.95</v>
      </c>
      <c r="P56" s="78">
        <f t="shared" si="11"/>
        <v>49.808499999999995</v>
      </c>
    </row>
    <row r="57" spans="1:17" x14ac:dyDescent="0.25">
      <c r="A57" s="4">
        <v>144</v>
      </c>
      <c r="B57" s="161">
        <v>43501</v>
      </c>
      <c r="C57" s="10">
        <v>144</v>
      </c>
      <c r="D57" s="39">
        <v>44.418700000000001</v>
      </c>
      <c r="E57" s="39">
        <v>52.14</v>
      </c>
      <c r="F57" s="760">
        <f t="shared" si="12"/>
        <v>1111.8671999999999</v>
      </c>
      <c r="G57" s="39">
        <f t="shared" si="13"/>
        <v>6396.2928000000002</v>
      </c>
      <c r="H57" s="175">
        <f t="shared" si="14"/>
        <v>0.17382994099332036</v>
      </c>
      <c r="I57" s="39"/>
      <c r="J57" s="39"/>
      <c r="K57" s="39"/>
      <c r="L57" s="39"/>
      <c r="O57" s="78">
        <v>0.94</v>
      </c>
      <c r="P57" s="78">
        <f t="shared" si="11"/>
        <v>49.284199999999998</v>
      </c>
    </row>
    <row r="58" spans="1:17" x14ac:dyDescent="0.25">
      <c r="A58" s="4">
        <v>144</v>
      </c>
      <c r="B58" s="161">
        <v>43531</v>
      </c>
      <c r="C58" s="10">
        <v>200</v>
      </c>
      <c r="D58" s="39">
        <v>46.143900000000002</v>
      </c>
      <c r="E58" s="39">
        <v>50.5</v>
      </c>
      <c r="F58" s="39">
        <f t="shared" si="12"/>
        <v>871.21999999999957</v>
      </c>
      <c r="G58" s="39">
        <f t="shared" si="13"/>
        <v>9228.7800000000007</v>
      </c>
      <c r="H58" s="175">
        <f t="shared" si="14"/>
        <v>9.4402510407659471E-2</v>
      </c>
      <c r="I58" s="39"/>
      <c r="J58" s="39"/>
      <c r="K58" s="39"/>
      <c r="L58" s="39"/>
      <c r="O58" s="78">
        <v>0.93</v>
      </c>
      <c r="P58" s="78">
        <f t="shared" si="11"/>
        <v>48.759900000000002</v>
      </c>
    </row>
    <row r="59" spans="1:17" x14ac:dyDescent="0.25">
      <c r="A59" s="4">
        <v>144</v>
      </c>
      <c r="B59" s="161">
        <v>43535</v>
      </c>
      <c r="C59" s="10">
        <v>200</v>
      </c>
      <c r="D59" s="39">
        <v>46.14</v>
      </c>
      <c r="E59" s="39">
        <v>51.1</v>
      </c>
      <c r="F59" s="39">
        <f t="shared" si="12"/>
        <v>992.00000000000023</v>
      </c>
      <c r="G59" s="39">
        <f t="shared" si="13"/>
        <v>9228</v>
      </c>
      <c r="H59" s="175">
        <f t="shared" si="14"/>
        <v>0.10749891634156915</v>
      </c>
      <c r="I59" s="39"/>
      <c r="J59" s="39"/>
      <c r="K59" s="39"/>
      <c r="L59" s="39"/>
      <c r="O59" s="78">
        <v>0.92</v>
      </c>
      <c r="P59" s="78">
        <f t="shared" si="11"/>
        <v>48.235600000000005</v>
      </c>
    </row>
    <row r="60" spans="1:17" x14ac:dyDescent="0.25">
      <c r="A60" s="4">
        <v>44</v>
      </c>
      <c r="B60" s="161">
        <v>43544</v>
      </c>
      <c r="C60" s="181">
        <v>100</v>
      </c>
      <c r="D60" s="182">
        <v>39.488</v>
      </c>
      <c r="E60" s="39">
        <v>52.8</v>
      </c>
      <c r="F60" s="760">
        <f t="shared" si="12"/>
        <v>1331.1999999999998</v>
      </c>
      <c r="G60" s="39">
        <f t="shared" si="13"/>
        <v>3948.8</v>
      </c>
      <c r="H60" s="175">
        <f t="shared" si="14"/>
        <v>0.33711507293354936</v>
      </c>
      <c r="I60" s="39" t="s">
        <v>151</v>
      </c>
      <c r="J60" s="39"/>
      <c r="K60" s="39"/>
      <c r="L60" s="39"/>
      <c r="O60" s="78">
        <v>0.91</v>
      </c>
      <c r="P60" s="78">
        <f t="shared" si="11"/>
        <v>47.711300000000001</v>
      </c>
    </row>
    <row r="61" spans="1:17" x14ac:dyDescent="0.25">
      <c r="A61" s="4">
        <v>44</v>
      </c>
      <c r="B61" s="161">
        <v>43546</v>
      </c>
      <c r="C61" s="10">
        <v>200</v>
      </c>
      <c r="D61" s="39">
        <v>45.344200000000001</v>
      </c>
      <c r="E61" s="39">
        <v>51.09</v>
      </c>
      <c r="F61" s="39">
        <f t="shared" si="12"/>
        <v>1149.1600000000005</v>
      </c>
      <c r="G61" s="39">
        <f t="shared" si="13"/>
        <v>9068.84</v>
      </c>
      <c r="H61" s="175">
        <f t="shared" si="14"/>
        <v>0.12671521385314996</v>
      </c>
      <c r="I61" s="39"/>
      <c r="J61" s="39"/>
      <c r="K61" s="39"/>
      <c r="L61" s="39"/>
      <c r="O61" s="78">
        <v>0.9</v>
      </c>
      <c r="P61" s="78">
        <f t="shared" si="11"/>
        <v>47.186999999999998</v>
      </c>
    </row>
    <row r="62" spans="1:17" x14ac:dyDescent="0.25">
      <c r="A62" s="4"/>
      <c r="B62" s="161">
        <v>43598</v>
      </c>
      <c r="C62" s="7">
        <v>300</v>
      </c>
      <c r="D62" s="43">
        <v>46.496000000000002</v>
      </c>
      <c r="E62" s="39">
        <v>48.89</v>
      </c>
      <c r="F62" s="39">
        <f t="shared" si="12"/>
        <v>718.19999999999948</v>
      </c>
      <c r="G62" s="39">
        <f t="shared" si="13"/>
        <v>13948.800000000001</v>
      </c>
      <c r="H62" s="175">
        <f t="shared" si="14"/>
        <v>5.1488300068823087E-2</v>
      </c>
      <c r="I62" s="39">
        <v>46</v>
      </c>
      <c r="J62" s="39"/>
      <c r="K62" s="39"/>
      <c r="L62" s="39"/>
    </row>
    <row r="63" spans="1:17" x14ac:dyDescent="0.25">
      <c r="A63" s="4">
        <v>100</v>
      </c>
      <c r="B63" s="161">
        <v>43616</v>
      </c>
      <c r="C63" s="10">
        <v>200</v>
      </c>
      <c r="D63" s="39">
        <v>45.17</v>
      </c>
      <c r="E63" s="39">
        <v>49.89</v>
      </c>
      <c r="F63" s="39">
        <f t="shared" ref="F63:F66" si="15">C63*(E63-D63)</f>
        <v>943.99999999999977</v>
      </c>
      <c r="G63" s="39">
        <f t="shared" ref="G63:G67" si="16">D63*C63</f>
        <v>9034</v>
      </c>
      <c r="H63" s="175">
        <f t="shared" ref="H63:H66" si="17">(E63-D63)/D63</f>
        <v>0.10449413327429707</v>
      </c>
      <c r="I63" s="39"/>
      <c r="J63" s="39"/>
      <c r="K63" s="39"/>
      <c r="L63" s="39"/>
    </row>
    <row r="64" spans="1:17" x14ac:dyDescent="0.25">
      <c r="A64" s="4">
        <v>200</v>
      </c>
      <c r="B64" s="161">
        <v>43637</v>
      </c>
      <c r="C64" s="10">
        <v>200</v>
      </c>
      <c r="D64" s="39">
        <v>44.68</v>
      </c>
      <c r="E64" s="39">
        <v>51.29</v>
      </c>
      <c r="F64" s="39">
        <f t="shared" si="15"/>
        <v>1322</v>
      </c>
      <c r="G64" s="39">
        <f t="shared" si="16"/>
        <v>8936</v>
      </c>
      <c r="H64" s="175">
        <f t="shared" si="17"/>
        <v>0.14794091316025065</v>
      </c>
      <c r="I64" s="39"/>
      <c r="J64" s="39"/>
      <c r="K64" s="39"/>
      <c r="L64" s="39"/>
    </row>
    <row r="65" spans="1:13" x14ac:dyDescent="0.25">
      <c r="A65" s="4">
        <v>200</v>
      </c>
      <c r="B65" s="161">
        <v>43682</v>
      </c>
      <c r="C65" s="7">
        <v>300</v>
      </c>
      <c r="D65" s="43">
        <v>45.452199999999998</v>
      </c>
      <c r="E65" s="39">
        <v>46.94</v>
      </c>
      <c r="F65" s="39">
        <f t="shared" si="15"/>
        <v>446.34000000000003</v>
      </c>
      <c r="G65" s="39">
        <f t="shared" si="16"/>
        <v>13635.66</v>
      </c>
      <c r="H65" s="175">
        <f t="shared" si="17"/>
        <v>3.2733289037714351E-2</v>
      </c>
      <c r="I65" s="39"/>
      <c r="J65" s="39"/>
      <c r="K65" s="39"/>
      <c r="L65" s="39"/>
    </row>
    <row r="66" spans="1:13" x14ac:dyDescent="0.25">
      <c r="A66" s="4">
        <v>100</v>
      </c>
      <c r="B66" s="161">
        <v>43707</v>
      </c>
      <c r="C66" s="10">
        <v>200</v>
      </c>
      <c r="D66" s="39">
        <v>44.07</v>
      </c>
      <c r="E66" s="39">
        <v>48.27</v>
      </c>
      <c r="F66" s="39">
        <f t="shared" si="15"/>
        <v>840.00000000000057</v>
      </c>
      <c r="G66" s="39">
        <f t="shared" si="16"/>
        <v>8814</v>
      </c>
      <c r="H66" s="175">
        <f t="shared" si="17"/>
        <v>9.5302927161334303E-2</v>
      </c>
      <c r="I66" s="39"/>
      <c r="J66" s="39"/>
      <c r="K66" s="39"/>
      <c r="L66" s="39"/>
    </row>
    <row r="67" spans="1:13" x14ac:dyDescent="0.25">
      <c r="A67" s="4"/>
      <c r="B67" s="161">
        <v>43773</v>
      </c>
      <c r="C67" s="10">
        <v>0</v>
      </c>
      <c r="D67" s="39">
        <v>44.07</v>
      </c>
      <c r="E67" s="39">
        <v>52.43</v>
      </c>
      <c r="F67" s="39"/>
      <c r="G67" s="39">
        <f t="shared" si="16"/>
        <v>0</v>
      </c>
      <c r="H67" s="175"/>
      <c r="I67" s="39"/>
      <c r="J67" s="39"/>
      <c r="K67" s="39"/>
      <c r="L67" s="760">
        <v>1697.52</v>
      </c>
    </row>
    <row r="68" spans="1:13" x14ac:dyDescent="0.25">
      <c r="A68" s="4"/>
      <c r="B68" s="161"/>
      <c r="C68" s="10"/>
      <c r="D68" s="39"/>
      <c r="E68" s="39"/>
      <c r="F68" s="39"/>
      <c r="G68" s="39"/>
      <c r="H68" s="175"/>
      <c r="I68" s="39"/>
      <c r="J68" s="39"/>
      <c r="K68" s="39"/>
      <c r="L68" s="39"/>
    </row>
    <row r="69" spans="1:13" x14ac:dyDescent="0.25">
      <c r="A69" s="4"/>
      <c r="B69" s="161"/>
      <c r="C69" s="10"/>
      <c r="D69" s="39"/>
      <c r="E69" s="39"/>
      <c r="F69" s="39"/>
      <c r="G69" s="39"/>
      <c r="H69" s="175"/>
      <c r="I69" s="39"/>
      <c r="J69" s="39"/>
      <c r="K69" s="39"/>
      <c r="L69" s="39"/>
    </row>
    <row r="70" spans="1:13" x14ac:dyDescent="0.25">
      <c r="A70" s="4"/>
      <c r="B70" s="161"/>
      <c r="C70" s="10"/>
      <c r="D70" s="39"/>
      <c r="E70" s="39"/>
      <c r="F70" s="39"/>
      <c r="G70" s="39"/>
      <c r="H70" s="175"/>
      <c r="I70" s="39"/>
      <c r="J70" s="39"/>
      <c r="K70" s="39"/>
      <c r="L70" s="39"/>
    </row>
    <row r="71" spans="1:13" x14ac:dyDescent="0.25">
      <c r="A71" s="4"/>
      <c r="B71" s="4"/>
      <c r="C71" s="4"/>
      <c r="D71" s="3"/>
      <c r="E71" s="3"/>
      <c r="F71" s="3"/>
      <c r="G71" s="4"/>
      <c r="H71" s="4"/>
      <c r="I71" s="3"/>
      <c r="J71" s="3"/>
      <c r="K71" s="3"/>
      <c r="L71" s="4"/>
    </row>
    <row r="72" spans="1:13" x14ac:dyDescent="0.25">
      <c r="A72" s="478"/>
      <c r="B72" s="478"/>
      <c r="C72" s="478"/>
      <c r="D72" s="479"/>
      <c r="E72" s="479"/>
      <c r="F72" s="479"/>
      <c r="G72" s="478"/>
      <c r="H72" s="478"/>
      <c r="I72" s="479"/>
      <c r="J72" s="479"/>
      <c r="K72" s="479"/>
      <c r="L72" s="478" t="s">
        <v>65</v>
      </c>
      <c r="M72" s="479">
        <f>M90+K90-F90</f>
        <v>0</v>
      </c>
    </row>
    <row r="73" spans="1:13" x14ac:dyDescent="0.25">
      <c r="A73" s="597" t="s">
        <v>1</v>
      </c>
      <c r="B73" s="597" t="s">
        <v>2</v>
      </c>
      <c r="C73" s="597" t="s">
        <v>4</v>
      </c>
      <c r="D73" s="598" t="s">
        <v>5</v>
      </c>
      <c r="E73" s="598" t="s">
        <v>94</v>
      </c>
      <c r="F73" s="598" t="s">
        <v>60</v>
      </c>
      <c r="G73" s="597" t="s">
        <v>3</v>
      </c>
      <c r="H73" s="597" t="s">
        <v>6</v>
      </c>
      <c r="I73" s="598" t="s">
        <v>7</v>
      </c>
      <c r="J73" s="598" t="s">
        <v>95</v>
      </c>
      <c r="K73" s="598" t="s">
        <v>61</v>
      </c>
      <c r="L73" s="597" t="s">
        <v>37</v>
      </c>
      <c r="M73" s="597" t="s">
        <v>38</v>
      </c>
    </row>
    <row r="74" spans="1:13" x14ac:dyDescent="0.25">
      <c r="A74" s="599" t="s">
        <v>1068</v>
      </c>
      <c r="B74" s="481"/>
      <c r="C74" s="478"/>
      <c r="D74" s="479"/>
      <c r="E74" s="479"/>
      <c r="F74" s="479"/>
      <c r="G74" s="481"/>
      <c r="H74" s="478"/>
      <c r="I74" s="479"/>
      <c r="J74" s="479"/>
      <c r="K74" s="479"/>
      <c r="L74" s="481"/>
      <c r="M74" s="479"/>
    </row>
    <row r="75" spans="1:13" x14ac:dyDescent="0.25">
      <c r="A75" s="600"/>
      <c r="B75" s="481"/>
      <c r="C75" s="478"/>
      <c r="D75" s="479"/>
      <c r="E75" s="479"/>
      <c r="F75" s="479"/>
      <c r="G75" s="481"/>
      <c r="H75" s="480"/>
      <c r="I75" s="479"/>
      <c r="J75" s="479"/>
      <c r="K75" s="479"/>
      <c r="L75" s="478"/>
      <c r="M75" s="478"/>
    </row>
    <row r="76" spans="1:13" x14ac:dyDescent="0.25">
      <c r="A76" s="478"/>
      <c r="B76" s="481"/>
      <c r="C76" s="478"/>
      <c r="D76" s="479"/>
      <c r="E76" s="479"/>
      <c r="F76" s="479"/>
      <c r="G76" s="481"/>
      <c r="H76" s="480"/>
      <c r="I76" s="479"/>
      <c r="J76" s="479"/>
      <c r="K76" s="479"/>
      <c r="L76" s="478"/>
      <c r="M76" s="478"/>
    </row>
    <row r="77" spans="1:13" x14ac:dyDescent="0.25">
      <c r="A77" s="478"/>
      <c r="B77" s="481"/>
      <c r="C77" s="478"/>
      <c r="D77" s="479"/>
      <c r="E77" s="479"/>
      <c r="F77" s="479"/>
      <c r="G77" s="478"/>
      <c r="H77" s="480"/>
      <c r="I77" s="479"/>
      <c r="J77" s="479"/>
      <c r="K77" s="479"/>
      <c r="L77" s="478"/>
      <c r="M77" s="478"/>
    </row>
    <row r="78" spans="1:13" x14ac:dyDescent="0.25">
      <c r="A78" s="478"/>
      <c r="B78" s="481"/>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80"/>
      <c r="I83" s="479"/>
      <c r="J83" s="479"/>
      <c r="K83" s="479"/>
      <c r="L83" s="478"/>
      <c r="M83" s="478"/>
    </row>
    <row r="84" spans="1:13" x14ac:dyDescent="0.25">
      <c r="A84" s="478"/>
      <c r="B84" s="478"/>
      <c r="C84" s="478"/>
      <c r="D84" s="479"/>
      <c r="E84" s="479"/>
      <c r="F84" s="479"/>
      <c r="G84" s="478"/>
      <c r="H84" s="480"/>
      <c r="I84" s="479"/>
      <c r="J84" s="479"/>
      <c r="K84" s="479"/>
      <c r="L84" s="478"/>
      <c r="M84" s="478"/>
    </row>
    <row r="85" spans="1:13" x14ac:dyDescent="0.25">
      <c r="A85" s="478"/>
      <c r="B85" s="478"/>
      <c r="C85" s="478"/>
      <c r="D85" s="479"/>
      <c r="E85" s="479"/>
      <c r="F85" s="479"/>
      <c r="G85" s="478"/>
      <c r="H85" s="480"/>
      <c r="I85" s="479"/>
      <c r="J85" s="479"/>
      <c r="K85" s="479"/>
      <c r="L85" s="478"/>
      <c r="M85" s="478"/>
    </row>
    <row r="86" spans="1:13" x14ac:dyDescent="0.25">
      <c r="A86" s="478"/>
      <c r="B86" s="478"/>
      <c r="C86" s="478"/>
      <c r="D86" s="479"/>
      <c r="E86" s="479"/>
      <c r="F86" s="479"/>
      <c r="G86" s="478"/>
      <c r="H86" s="480"/>
      <c r="I86" s="479"/>
      <c r="J86" s="479"/>
      <c r="K86" s="479"/>
      <c r="L86" s="478"/>
      <c r="M86" s="478"/>
    </row>
    <row r="87" spans="1:13" x14ac:dyDescent="0.25">
      <c r="A87" s="478"/>
      <c r="B87" s="478"/>
      <c r="C87" s="478"/>
      <c r="D87" s="479"/>
      <c r="E87" s="479"/>
      <c r="F87" s="479"/>
      <c r="G87" s="478"/>
      <c r="H87" s="480"/>
      <c r="I87" s="479"/>
      <c r="J87" s="479"/>
      <c r="K87" s="479"/>
      <c r="L87" s="478"/>
      <c r="M87" s="478"/>
    </row>
    <row r="88" spans="1:13" x14ac:dyDescent="0.25">
      <c r="A88" s="478"/>
      <c r="B88" s="478"/>
      <c r="C88" s="478"/>
      <c r="D88" s="479"/>
      <c r="E88" s="479"/>
      <c r="F88" s="479"/>
      <c r="G88" s="478"/>
      <c r="H88" s="480"/>
      <c r="I88" s="479"/>
      <c r="J88" s="479"/>
      <c r="K88" s="479"/>
      <c r="L88" s="478"/>
      <c r="M88" s="478"/>
    </row>
    <row r="89" spans="1:13" x14ac:dyDescent="0.25">
      <c r="A89" s="478"/>
      <c r="B89" s="478"/>
      <c r="C89" s="478"/>
      <c r="D89" s="479"/>
      <c r="E89" s="479"/>
      <c r="F89" s="479"/>
      <c r="G89" s="478"/>
      <c r="H89" s="478"/>
      <c r="I89" s="479"/>
      <c r="J89" s="479"/>
      <c r="K89" s="479"/>
      <c r="L89" s="478"/>
      <c r="M89" s="478"/>
    </row>
    <row r="90" spans="1:13" x14ac:dyDescent="0.25">
      <c r="A90" s="601" t="s">
        <v>81</v>
      </c>
      <c r="B90" s="602"/>
      <c r="C90" s="602">
        <f>SUM(C74:C78)</f>
        <v>0</v>
      </c>
      <c r="D90" s="603"/>
      <c r="E90" s="603"/>
      <c r="F90" s="603">
        <f>SUM(F74:F78)</f>
        <v>0</v>
      </c>
      <c r="G90" s="602"/>
      <c r="H90" s="604">
        <f>SUM(H74:H77)</f>
        <v>0</v>
      </c>
      <c r="I90" s="603"/>
      <c r="J90" s="603"/>
      <c r="K90" s="603">
        <f>SUM(K74:K77)</f>
        <v>0</v>
      </c>
      <c r="L90" s="602"/>
      <c r="M90" s="603">
        <f>SUM(M74:M82)</f>
        <v>0</v>
      </c>
    </row>
    <row r="91" spans="1:13" ht="15.75" thickBot="1" x14ac:dyDescent="0.3">
      <c r="A91" s="605" t="s">
        <v>189</v>
      </c>
      <c r="B91" s="637"/>
      <c r="C91" s="606">
        <f>SumByColor($A$19,C74:C89)</f>
        <v>0</v>
      </c>
      <c r="D91" s="606"/>
      <c r="E91" s="606"/>
      <c r="F91" s="607">
        <f>SumByColor($A$19,F74:F89)</f>
        <v>0</v>
      </c>
      <c r="G91" s="606"/>
      <c r="H91" s="606">
        <f>SumByColor($A$19,H74:H89)</f>
        <v>0</v>
      </c>
      <c r="I91" s="606"/>
      <c r="J91" s="606"/>
      <c r="K91" s="607">
        <f>SumByColor($A$19,K75:K89)</f>
        <v>0</v>
      </c>
      <c r="L91" s="606"/>
      <c r="M91" s="607">
        <f>SumByColor($A$19,M74:M89)</f>
        <v>0</v>
      </c>
    </row>
    <row r="94" spans="1:13" x14ac:dyDescent="0.25">
      <c r="B94" s="159" t="s">
        <v>113</v>
      </c>
      <c r="C94" s="159" t="s">
        <v>143</v>
      </c>
      <c r="D94" s="160" t="s">
        <v>142</v>
      </c>
      <c r="E94" s="162" t="s">
        <v>144</v>
      </c>
      <c r="F94" s="162" t="s">
        <v>65</v>
      </c>
      <c r="G94" s="173" t="s">
        <v>148</v>
      </c>
      <c r="H94" s="173" t="s">
        <v>88</v>
      </c>
      <c r="I94" s="173" t="s">
        <v>151</v>
      </c>
      <c r="J94" s="173" t="s">
        <v>147</v>
      </c>
      <c r="K94" s="173" t="s">
        <v>601</v>
      </c>
      <c r="L94" s="173" t="s">
        <v>607</v>
      </c>
    </row>
    <row r="95" spans="1:13" x14ac:dyDescent="0.25">
      <c r="B95" s="161"/>
      <c r="C95" s="10"/>
      <c r="D95" s="39"/>
      <c r="E95" s="39"/>
      <c r="F95" s="39"/>
      <c r="G95" s="39"/>
      <c r="H95" s="175"/>
      <c r="I95" s="39"/>
      <c r="J95" s="39"/>
      <c r="K95" s="39"/>
      <c r="L95" s="39"/>
    </row>
    <row r="96" spans="1:13" x14ac:dyDescent="0.25">
      <c r="B96" s="161"/>
      <c r="C96" s="10"/>
      <c r="D96" s="39"/>
      <c r="E96" s="39"/>
      <c r="F96" s="39"/>
      <c r="G96" s="39"/>
      <c r="H96" s="175"/>
      <c r="I96" s="39"/>
      <c r="J96" s="39"/>
      <c r="K96" s="39"/>
      <c r="L96" s="39"/>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152"/>
    </row>
    <row r="101" spans="2:12" x14ac:dyDescent="0.25">
      <c r="B101" s="161"/>
      <c r="C101" s="10"/>
      <c r="D101" s="39"/>
      <c r="E101" s="39"/>
      <c r="F101" s="39"/>
      <c r="G101" s="39"/>
      <c r="H101" s="175"/>
      <c r="I101" s="39"/>
      <c r="J101" s="39"/>
      <c r="K101" s="39"/>
      <c r="L101" s="152"/>
    </row>
    <row r="102" spans="2:12" x14ac:dyDescent="0.25">
      <c r="B102" s="161"/>
      <c r="C102" s="10"/>
      <c r="D102" s="39"/>
      <c r="E102" s="39"/>
      <c r="F102" s="39"/>
      <c r="G102" s="39"/>
      <c r="H102" s="175"/>
      <c r="I102" s="39"/>
      <c r="J102" s="39"/>
      <c r="K102" s="39"/>
      <c r="L102" s="152"/>
    </row>
    <row r="103" spans="2:12" x14ac:dyDescent="0.25">
      <c r="B103" s="161"/>
      <c r="C103" s="10"/>
      <c r="D103" s="39"/>
      <c r="E103" s="39"/>
      <c r="F103" s="39"/>
      <c r="G103" s="39"/>
      <c r="H103" s="175"/>
      <c r="I103" s="39"/>
      <c r="J103" s="39"/>
      <c r="K103" s="39"/>
      <c r="L103" s="152"/>
    </row>
    <row r="104" spans="2:12" x14ac:dyDescent="0.25">
      <c r="B104" s="161"/>
      <c r="C104" s="10"/>
      <c r="D104" s="39"/>
      <c r="E104" s="39"/>
      <c r="F104" s="39"/>
      <c r="G104" s="39"/>
      <c r="H104" s="175"/>
      <c r="I104" s="39"/>
      <c r="J104" s="39"/>
      <c r="K104" s="39"/>
      <c r="L104" s="152"/>
    </row>
    <row r="105" spans="2:12" x14ac:dyDescent="0.25">
      <c r="B105" s="161"/>
      <c r="C105" s="10"/>
      <c r="D105" s="39"/>
      <c r="E105" s="39"/>
      <c r="F105" s="39"/>
      <c r="G105" s="39"/>
      <c r="H105" s="175"/>
      <c r="I105" s="39"/>
      <c r="J105" s="39"/>
      <c r="K105" s="39"/>
      <c r="L105" s="152"/>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row r="111" spans="2:12" x14ac:dyDescent="0.25">
      <c r="B111" s="161"/>
      <c r="C111" s="10"/>
      <c r="D111" s="39"/>
      <c r="E111" s="39"/>
      <c r="F111" s="39"/>
      <c r="G111" s="39"/>
      <c r="H111" s="175"/>
      <c r="I111" s="39"/>
      <c r="J111" s="39"/>
      <c r="K111" s="39"/>
      <c r="L111" s="39"/>
    </row>
    <row r="112" spans="2:12" x14ac:dyDescent="0.25">
      <c r="B112" s="161"/>
      <c r="C112" s="10"/>
      <c r="D112" s="39"/>
      <c r="E112" s="39"/>
      <c r="F112" s="39"/>
      <c r="G112" s="39"/>
      <c r="H112" s="175"/>
      <c r="I112" s="39"/>
      <c r="J112" s="39"/>
      <c r="K112" s="39"/>
      <c r="L112" s="39"/>
    </row>
    <row r="113" spans="2:12" x14ac:dyDescent="0.25">
      <c r="B113" s="161"/>
      <c r="C113" s="10"/>
      <c r="D113" s="39"/>
      <c r="E113" s="39"/>
      <c r="F113" s="39"/>
      <c r="G113" s="39"/>
      <c r="H113" s="175"/>
      <c r="I113" s="39"/>
      <c r="J113" s="39"/>
      <c r="K113" s="39"/>
      <c r="L113" s="39"/>
    </row>
    <row r="114" spans="2:12" x14ac:dyDescent="0.25">
      <c r="B114" s="161"/>
      <c r="C114" s="10"/>
      <c r="D114" s="39"/>
      <c r="E114" s="39"/>
      <c r="F114" s="39"/>
      <c r="G114" s="39"/>
      <c r="H114" s="175"/>
      <c r="I114" s="39"/>
      <c r="J114" s="39"/>
      <c r="K114" s="39"/>
      <c r="L114" s="39"/>
    </row>
    <row r="115" spans="2:12" x14ac:dyDescent="0.25">
      <c r="B115" s="161"/>
      <c r="C115" s="10"/>
      <c r="D115" s="39"/>
      <c r="E115" s="39"/>
      <c r="F115" s="39"/>
      <c r="G115" s="39"/>
      <c r="H115" s="175"/>
      <c r="I115" s="39"/>
      <c r="J115" s="39"/>
      <c r="K115" s="39"/>
      <c r="L115" s="39"/>
    </row>
    <row r="116" spans="2:12" x14ac:dyDescent="0.25">
      <c r="B116" s="161"/>
      <c r="C116" s="10"/>
      <c r="D116" s="39"/>
      <c r="E116" s="39"/>
      <c r="F116" s="39"/>
      <c r="G116" s="39"/>
      <c r="H116" s="175"/>
      <c r="I116" s="39"/>
      <c r="J116" s="39"/>
      <c r="K116" s="39"/>
      <c r="L116" s="39"/>
    </row>
  </sheetData>
  <mergeCells count="1">
    <mergeCell ref="O40:P40"/>
  </mergeCells>
  <conditionalFormatting sqref="O41:O61">
    <cfRule type="colorScale" priority="46">
      <colorScale>
        <cfvo type="min"/>
        <cfvo type="percentile" val="50"/>
        <cfvo type="max"/>
        <color rgb="FFF8696B"/>
        <color rgb="FFFFEB84"/>
        <color rgb="FF63BE7B"/>
      </colorScale>
    </cfRule>
  </conditionalFormatting>
  <conditionalFormatting sqref="P41:P61">
    <cfRule type="colorScale" priority="45">
      <colorScale>
        <cfvo type="min"/>
        <cfvo type="percentile" val="50"/>
        <cfvo type="max"/>
        <color rgb="FFF8696B"/>
        <color rgb="FFFFEB84"/>
        <color rgb="FF63BE7B"/>
      </colorScale>
    </cfRule>
  </conditionalFormatting>
  <conditionalFormatting sqref="Q7 H69:H70 F69:F70 F30:F63 H30:H63">
    <cfRule type="expression" dxfId="2325" priority="41">
      <formula>F7&gt;0</formula>
    </cfRule>
    <cfRule type="expression" dxfId="2324" priority="42">
      <formula>F7&lt;0</formula>
    </cfRule>
  </conditionalFormatting>
  <conditionalFormatting sqref="Q8">
    <cfRule type="expression" dxfId="2323" priority="39">
      <formula>Q8&gt;0</formula>
    </cfRule>
    <cfRule type="expression" dxfId="2322" priority="40">
      <formula>Q8&lt;0</formula>
    </cfRule>
  </conditionalFormatting>
  <conditionalFormatting sqref="Q10">
    <cfRule type="expression" dxfId="2321" priority="33">
      <formula>Q10&gt;0</formula>
    </cfRule>
    <cfRule type="expression" dxfId="2320" priority="34">
      <formula>Q10&lt;0</formula>
    </cfRule>
  </conditionalFormatting>
  <conditionalFormatting sqref="J27:J35">
    <cfRule type="expression" dxfId="2319" priority="31">
      <formula>J27&gt;0</formula>
    </cfRule>
    <cfRule type="expression" dxfId="2318" priority="32">
      <formula>J27&lt;0</formula>
    </cfRule>
  </conditionalFormatting>
  <conditionalFormatting sqref="K27:K38">
    <cfRule type="expression" dxfId="2317" priority="29">
      <formula>K27&gt;0</formula>
    </cfRule>
    <cfRule type="expression" dxfId="2316" priority="30">
      <formula>K27&lt;0</formula>
    </cfRule>
  </conditionalFormatting>
  <conditionalFormatting sqref="L27:L38">
    <cfRule type="expression" dxfId="2315" priority="27">
      <formula>L27&gt;0</formula>
    </cfRule>
    <cfRule type="expression" dxfId="2314" priority="28">
      <formula>L27&lt;0</formula>
    </cfRule>
  </conditionalFormatting>
  <conditionalFormatting sqref="F95:F116">
    <cfRule type="expression" dxfId="2313" priority="25">
      <formula>F95&gt;0</formula>
    </cfRule>
    <cfRule type="expression" dxfId="2312" priority="26">
      <formula>F95&lt;0</formula>
    </cfRule>
  </conditionalFormatting>
  <conditionalFormatting sqref="H95:H116">
    <cfRule type="expression" dxfId="2311" priority="23">
      <formula>H95&gt;0</formula>
    </cfRule>
    <cfRule type="expression" dxfId="2310" priority="24">
      <formula>H95&lt;0</formula>
    </cfRule>
  </conditionalFormatting>
  <conditionalFormatting sqref="J95:J108">
    <cfRule type="expression" dxfId="2309" priority="21">
      <formula>J95&gt;0</formula>
    </cfRule>
    <cfRule type="expression" dxfId="2308" priority="22">
      <formula>J95&lt;0</formula>
    </cfRule>
  </conditionalFormatting>
  <conditionalFormatting sqref="K95:K108">
    <cfRule type="expression" dxfId="2307" priority="19">
      <formula>K95&gt;0</formula>
    </cfRule>
    <cfRule type="expression" dxfId="2306" priority="20">
      <formula>K95&lt;0</formula>
    </cfRule>
  </conditionalFormatting>
  <conditionalFormatting sqref="L95:L108">
    <cfRule type="expression" dxfId="2305" priority="17">
      <formula>L95&gt;0</formula>
    </cfRule>
    <cfRule type="expression" dxfId="2304" priority="18">
      <formula>L95&lt;0</formula>
    </cfRule>
  </conditionalFormatting>
  <conditionalFormatting sqref="F29">
    <cfRule type="expression" dxfId="2303" priority="15">
      <formula>F29&gt;0</formula>
    </cfRule>
    <cfRule type="expression" dxfId="2302" priority="16">
      <formula>F29&lt;0</formula>
    </cfRule>
  </conditionalFormatting>
  <conditionalFormatting sqref="H29">
    <cfRule type="expression" dxfId="2301" priority="13">
      <formula>H29&gt;0</formula>
    </cfRule>
    <cfRule type="expression" dxfId="2300" priority="14">
      <formula>H29&lt;0</formula>
    </cfRule>
  </conditionalFormatting>
  <conditionalFormatting sqref="F25:F28 H25:H28">
    <cfRule type="expression" dxfId="2299" priority="9">
      <formula>F25&gt;0</formula>
    </cfRule>
    <cfRule type="expression" dxfId="2298" priority="10">
      <formula>F25&lt;0</formula>
    </cfRule>
  </conditionalFormatting>
  <conditionalFormatting sqref="H67:H68 F67:F68">
    <cfRule type="expression" dxfId="2297" priority="7">
      <formula>F67&gt;0</formula>
    </cfRule>
    <cfRule type="expression" dxfId="2296" priority="8">
      <formula>F67&lt;0</formula>
    </cfRule>
  </conditionalFormatting>
  <conditionalFormatting sqref="H65:H66 F65:F66">
    <cfRule type="expression" dxfId="2295" priority="5">
      <formula>F65&gt;0</formula>
    </cfRule>
    <cfRule type="expression" dxfId="2294" priority="6">
      <formula>F65&lt;0</formula>
    </cfRule>
  </conditionalFormatting>
  <conditionalFormatting sqref="H64 F64">
    <cfRule type="expression" dxfId="2293" priority="3">
      <formula>F64&gt;0</formula>
    </cfRule>
    <cfRule type="expression" dxfId="2292" priority="4">
      <formula>F64&lt;0</formula>
    </cfRule>
  </conditionalFormatting>
  <conditionalFormatting sqref="L67">
    <cfRule type="expression" dxfId="2291" priority="1">
      <formula>L67&gt;0</formula>
    </cfRule>
    <cfRule type="expression" dxfId="2290" priority="2">
      <formula>L67&lt;0</formula>
    </cfRule>
  </conditionalFormatting>
  <hyperlinks>
    <hyperlink ref="A3" location="ACTIVE!A1" display="Back"/>
  </hyperlinks>
  <pageMargins left="0.7" right="0.7" top="0.75" bottom="0.75" header="0.3" footer="0.3"/>
  <pageSetup orientation="portrait" r:id="rId1"/>
  <drawing r:id="rId2"/>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1276</v>
      </c>
      <c r="B2" s="360">
        <v>43679</v>
      </c>
      <c r="C2" s="7">
        <v>10</v>
      </c>
      <c r="D2" s="43">
        <v>118.68</v>
      </c>
      <c r="E2" s="43">
        <v>0</v>
      </c>
      <c r="F2" s="43">
        <f>C2*D2+E2</f>
        <v>1186.8000000000002</v>
      </c>
      <c r="G2" s="360">
        <v>43712</v>
      </c>
      <c r="H2" s="7">
        <v>10</v>
      </c>
      <c r="I2" s="43">
        <v>123.88</v>
      </c>
      <c r="J2" s="43">
        <v>0.03</v>
      </c>
      <c r="K2" s="43">
        <f>H2*I2-J2</f>
        <v>1238.77</v>
      </c>
      <c r="L2" s="69"/>
      <c r="M2" s="3"/>
      <c r="O2" s="11" t="s">
        <v>57</v>
      </c>
      <c r="Q2">
        <f>C18-H18</f>
        <v>0</v>
      </c>
      <c r="T2" s="1"/>
      <c r="U2" t="s">
        <v>1230</v>
      </c>
    </row>
    <row r="3" spans="1:21" x14ac:dyDescent="0.25">
      <c r="A3" s="22" t="s">
        <v>71</v>
      </c>
      <c r="B3" s="360">
        <v>43679</v>
      </c>
      <c r="C3" s="7">
        <v>30</v>
      </c>
      <c r="D3" s="43">
        <v>118.68</v>
      </c>
      <c r="E3" s="43">
        <v>0</v>
      </c>
      <c r="F3" s="43">
        <f>C3*D3+E3</f>
        <v>3560.4</v>
      </c>
      <c r="G3" s="360">
        <v>43713</v>
      </c>
      <c r="H3" s="77">
        <v>30</v>
      </c>
      <c r="I3" s="43">
        <v>130.80000000000001</v>
      </c>
      <c r="J3" s="43">
        <v>0.08</v>
      </c>
      <c r="K3" s="43">
        <f>H3*I3-J3</f>
        <v>3923.9200000000005</v>
      </c>
      <c r="L3" s="4"/>
      <c r="M3" s="4"/>
      <c r="O3" s="11" t="s">
        <v>58</v>
      </c>
      <c r="Q3" s="174">
        <f>IF(Q2=0, Q4, (F18-K18-M18)/Q2)</f>
        <v>131.84</v>
      </c>
      <c r="T3" s="1"/>
      <c r="U3" s="22"/>
    </row>
    <row r="4" spans="1:21" x14ac:dyDescent="0.25">
      <c r="B4" s="360">
        <v>43711</v>
      </c>
      <c r="C4" s="7">
        <v>10</v>
      </c>
      <c r="D4" s="43">
        <v>117.36</v>
      </c>
      <c r="E4" s="43">
        <v>0</v>
      </c>
      <c r="F4" s="43">
        <f>C4*D4+E4</f>
        <v>1173.5999999999999</v>
      </c>
      <c r="G4" s="360">
        <v>43753</v>
      </c>
      <c r="H4" s="77">
        <v>10</v>
      </c>
      <c r="I4" s="43">
        <v>132.6</v>
      </c>
      <c r="J4" s="43">
        <v>0.03</v>
      </c>
      <c r="K4" s="43">
        <f>H4*I4-J4</f>
        <v>1325.97</v>
      </c>
      <c r="L4" s="4"/>
      <c r="M4" s="4"/>
      <c r="O4" s="11" t="s">
        <v>66</v>
      </c>
      <c r="Q4" s="53">
        <v>131.84</v>
      </c>
      <c r="R4" s="416">
        <v>-2.4299999999999999E-2</v>
      </c>
      <c r="T4" s="680"/>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1715.6899999999996</v>
      </c>
      <c r="R7">
        <v>0</v>
      </c>
    </row>
    <row r="8" spans="1:21" x14ac:dyDescent="0.25">
      <c r="B8" s="69"/>
      <c r="C8" s="4"/>
      <c r="D8" s="3"/>
      <c r="E8" s="3"/>
      <c r="F8" s="3"/>
      <c r="G8" s="4"/>
      <c r="H8" s="158"/>
      <c r="I8" s="3"/>
      <c r="J8" s="3"/>
      <c r="K8" s="3"/>
      <c r="L8" s="4"/>
      <c r="M8" s="4"/>
      <c r="O8" s="11" t="s">
        <v>177</v>
      </c>
      <c r="P8" s="33"/>
      <c r="Q8" s="2">
        <f>K18+M18-F18+Q2*Q4</f>
        <v>567.85999999999967</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1147.83</v>
      </c>
    </row>
    <row r="11" spans="1:21" x14ac:dyDescent="0.25">
      <c r="B11" s="4"/>
      <c r="C11" s="4"/>
      <c r="D11" s="3"/>
      <c r="E11" s="3"/>
      <c r="F11" s="3"/>
      <c r="G11" s="4"/>
      <c r="H11" s="158"/>
      <c r="I11" s="3"/>
      <c r="J11" s="3"/>
      <c r="K11" s="3"/>
      <c r="L11" s="4"/>
      <c r="M11" s="4"/>
      <c r="O11" s="11" t="s">
        <v>173</v>
      </c>
      <c r="P11" s="33"/>
      <c r="Q11" s="131">
        <f>R11/Q4</f>
        <v>8.7621359223300967E-3</v>
      </c>
      <c r="R11">
        <f>0.2888*4</f>
        <v>1.1552</v>
      </c>
    </row>
    <row r="12" spans="1:21" x14ac:dyDescent="0.25">
      <c r="H12" s="67"/>
      <c r="O12" s="11" t="s">
        <v>875</v>
      </c>
      <c r="Q12" s="1" t="s">
        <v>1321</v>
      </c>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145.02400000000003</v>
      </c>
    </row>
    <row r="18" spans="1:16" x14ac:dyDescent="0.25">
      <c r="A18" s="31" t="s">
        <v>81</v>
      </c>
      <c r="B18" s="14"/>
      <c r="C18" s="14">
        <f>SUM(C2:C8)</f>
        <v>50</v>
      </c>
      <c r="D18" s="18"/>
      <c r="E18" s="18"/>
      <c r="F18" s="18">
        <f>SUM(F2:F8)</f>
        <v>5920.8000000000011</v>
      </c>
      <c r="G18" s="14"/>
      <c r="H18" s="68">
        <f>SUM(H2:H5)</f>
        <v>50</v>
      </c>
      <c r="I18" s="18"/>
      <c r="J18" s="18"/>
      <c r="K18" s="18">
        <f>SUM(K2:K5)</f>
        <v>6488.6600000000008</v>
      </c>
      <c r="L18" s="14"/>
      <c r="M18" s="18">
        <f>SUM(M2:M10)</f>
        <v>0</v>
      </c>
      <c r="O18" s="78">
        <v>1.0900000000000001</v>
      </c>
      <c r="P18" s="78">
        <f t="shared" ref="P18:P37" si="0">O18*$Q$4</f>
        <v>143.7056</v>
      </c>
    </row>
    <row r="19" spans="1:16" ht="15.75" thickBot="1" x14ac:dyDescent="0.3">
      <c r="A19" s="273" t="s">
        <v>189</v>
      </c>
      <c r="B19" s="274"/>
      <c r="C19" s="275">
        <f>SumByColor($A$19,C2:C17)</f>
        <v>50</v>
      </c>
      <c r="D19" s="275"/>
      <c r="E19" s="275"/>
      <c r="F19" s="276">
        <f>SumByColor($A$19,F2:F17)</f>
        <v>5921</v>
      </c>
      <c r="G19" s="275"/>
      <c r="H19" s="275">
        <f>SumByColor($A$19,H2:H17)</f>
        <v>50</v>
      </c>
      <c r="I19" s="275"/>
      <c r="J19" s="275"/>
      <c r="K19" s="276">
        <f>SumByColor($A$19,K2:K17)</f>
        <v>6489</v>
      </c>
      <c r="L19" s="275"/>
      <c r="M19" s="276">
        <f>SumByColor($A$19,M2:M17)</f>
        <v>0</v>
      </c>
      <c r="O19" s="78">
        <v>1.08</v>
      </c>
      <c r="P19" s="78">
        <f t="shared" si="0"/>
        <v>142.38720000000001</v>
      </c>
    </row>
    <row r="20" spans="1:16" x14ac:dyDescent="0.25">
      <c r="O20" s="78">
        <v>1.07</v>
      </c>
      <c r="P20" s="78">
        <f t="shared" si="0"/>
        <v>141.06880000000001</v>
      </c>
    </row>
    <row r="21" spans="1:16" x14ac:dyDescent="0.25">
      <c r="O21" s="78">
        <v>1.06</v>
      </c>
      <c r="P21" s="78">
        <f t="shared" si="0"/>
        <v>139.75040000000001</v>
      </c>
    </row>
    <row r="22" spans="1:16" x14ac:dyDescent="0.25">
      <c r="O22" s="78">
        <v>1.05</v>
      </c>
      <c r="P22" s="78">
        <f t="shared" si="0"/>
        <v>138.43200000000002</v>
      </c>
    </row>
    <row r="23" spans="1:16" x14ac:dyDescent="0.25">
      <c r="O23" s="78">
        <v>1.04</v>
      </c>
      <c r="P23" s="78">
        <f t="shared" si="0"/>
        <v>137.11360000000002</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135.79519999999999</v>
      </c>
    </row>
    <row r="25" spans="1:16" x14ac:dyDescent="0.25">
      <c r="B25" s="161">
        <v>43689</v>
      </c>
      <c r="C25" s="10">
        <v>40</v>
      </c>
      <c r="D25" s="39">
        <v>118.68</v>
      </c>
      <c r="E25" s="39">
        <v>118.62</v>
      </c>
      <c r="F25" s="39">
        <f t="shared" ref="F25" si="1">C25*(E25-D25)</f>
        <v>-2.4000000000000909</v>
      </c>
      <c r="G25" s="39">
        <f t="shared" ref="G25" si="2">D25*C25</f>
        <v>4747.2000000000007</v>
      </c>
      <c r="H25" s="175">
        <f t="shared" ref="H25" si="3">(E25-D25)/D25</f>
        <v>-5.0556117290194024E-4</v>
      </c>
      <c r="I25" s="39"/>
      <c r="J25" s="39">
        <f>$M$66+F25</f>
        <v>1145.4299999999998</v>
      </c>
      <c r="K25" s="39"/>
      <c r="L25" s="39"/>
      <c r="O25" s="78">
        <v>1.02</v>
      </c>
      <c r="P25" s="78">
        <f t="shared" si="0"/>
        <v>134.4768</v>
      </c>
    </row>
    <row r="26" spans="1:16" x14ac:dyDescent="0.25">
      <c r="B26" s="161">
        <v>43711</v>
      </c>
      <c r="C26" s="10">
        <v>50</v>
      </c>
      <c r="D26" s="39">
        <v>118.416</v>
      </c>
      <c r="E26" s="39">
        <v>117.36</v>
      </c>
      <c r="F26" s="39">
        <f t="shared" ref="F26" si="4">C26*(E26-D26)</f>
        <v>-52.799999999999869</v>
      </c>
      <c r="G26" s="39">
        <f t="shared" ref="G26" si="5">D26*C26</f>
        <v>5920.8</v>
      </c>
      <c r="H26" s="175">
        <f t="shared" ref="H26" si="6">(E26-D26)/D26</f>
        <v>-8.9177138224564023E-3</v>
      </c>
      <c r="I26" s="39"/>
      <c r="J26" s="39">
        <f>$M$66+F26</f>
        <v>1095.03</v>
      </c>
      <c r="K26" s="39"/>
      <c r="L26" s="39"/>
      <c r="O26" s="78">
        <v>1.01</v>
      </c>
      <c r="P26" s="78">
        <f t="shared" si="0"/>
        <v>133.1584</v>
      </c>
    </row>
    <row r="27" spans="1:16" x14ac:dyDescent="0.25">
      <c r="A27">
        <v>30</v>
      </c>
      <c r="B27" s="161">
        <v>43712</v>
      </c>
      <c r="C27" s="10">
        <v>40</v>
      </c>
      <c r="D27" s="39">
        <v>117.0493</v>
      </c>
      <c r="E27" s="39">
        <v>124.69</v>
      </c>
      <c r="F27" s="39">
        <f t="shared" ref="F27" si="7">C27*(E27-D27)</f>
        <v>305.62799999999982</v>
      </c>
      <c r="G27" s="39">
        <f t="shared" ref="G27" si="8">D27*C27</f>
        <v>4681.9719999999998</v>
      </c>
      <c r="H27" s="175">
        <f t="shared" ref="H27" si="9">(E27-D27)/D27</f>
        <v>6.5277622335204011E-2</v>
      </c>
      <c r="I27" s="39"/>
      <c r="J27" s="39">
        <f>$M$66+F27</f>
        <v>1453.4579999999996</v>
      </c>
      <c r="K27" s="39"/>
      <c r="L27" s="39"/>
      <c r="O27" s="78">
        <v>1</v>
      </c>
      <c r="P27" s="78">
        <f t="shared" si="0"/>
        <v>131.84</v>
      </c>
    </row>
    <row r="28" spans="1:16" x14ac:dyDescent="0.25">
      <c r="B28" s="161">
        <v>43713</v>
      </c>
      <c r="C28" s="10">
        <v>10</v>
      </c>
      <c r="D28" s="39">
        <v>75.811000000000007</v>
      </c>
      <c r="E28" s="39">
        <v>134.37</v>
      </c>
      <c r="F28" s="39">
        <f t="shared" ref="F28" si="10">C28*(E28-D28)</f>
        <v>585.58999999999992</v>
      </c>
      <c r="G28" s="39">
        <f t="shared" ref="G28:G29" si="11">D28*C28</f>
        <v>758.11000000000013</v>
      </c>
      <c r="H28" s="175">
        <f t="shared" ref="H28:H29" si="12">(E28-D28)/D28</f>
        <v>0.7724340794871456</v>
      </c>
      <c r="I28" s="39"/>
      <c r="J28" s="39">
        <f>$M$66+F28</f>
        <v>1733.4199999999998</v>
      </c>
      <c r="K28" s="39"/>
      <c r="L28" s="39"/>
      <c r="O28" s="78">
        <v>0.99</v>
      </c>
      <c r="P28" s="78">
        <f t="shared" si="0"/>
        <v>130.52160000000001</v>
      </c>
    </row>
    <row r="29" spans="1:16" x14ac:dyDescent="0.25">
      <c r="B29" s="161">
        <v>43753</v>
      </c>
      <c r="C29" s="10">
        <v>0</v>
      </c>
      <c r="D29" s="39">
        <v>75.81</v>
      </c>
      <c r="E29" s="39">
        <v>131.84</v>
      </c>
      <c r="F29" s="39">
        <v>567.86</v>
      </c>
      <c r="G29" s="39">
        <f t="shared" si="11"/>
        <v>0</v>
      </c>
      <c r="H29" s="175">
        <f t="shared" si="12"/>
        <v>0.73908455348898561</v>
      </c>
      <c r="I29" s="39"/>
      <c r="J29" s="98">
        <f>$M$66+F29</f>
        <v>1715.69</v>
      </c>
      <c r="K29" s="39"/>
      <c r="L29" s="39"/>
      <c r="O29" s="78">
        <v>0.98</v>
      </c>
      <c r="P29" s="78">
        <f t="shared" si="0"/>
        <v>129.20320000000001</v>
      </c>
    </row>
    <row r="30" spans="1:16" x14ac:dyDescent="0.25">
      <c r="B30" s="161"/>
      <c r="C30" s="10"/>
      <c r="D30" s="39"/>
      <c r="E30" s="39"/>
      <c r="F30" s="39"/>
      <c r="G30" s="39"/>
      <c r="H30" s="175"/>
      <c r="I30" s="39"/>
      <c r="J30" s="760"/>
      <c r="K30" s="39"/>
      <c r="L30" s="39"/>
      <c r="O30" s="78">
        <v>0.97</v>
      </c>
      <c r="P30" s="78">
        <f t="shared" si="0"/>
        <v>127.8848</v>
      </c>
    </row>
    <row r="31" spans="1:16" x14ac:dyDescent="0.25">
      <c r="B31" s="161"/>
      <c r="C31" s="10"/>
      <c r="D31" s="39"/>
      <c r="E31" s="39"/>
      <c r="F31" s="39"/>
      <c r="G31" s="39"/>
      <c r="H31" s="175"/>
      <c r="I31" s="39"/>
      <c r="J31" s="39"/>
      <c r="K31" s="39"/>
      <c r="L31" s="39"/>
      <c r="O31" s="78">
        <v>0.96</v>
      </c>
      <c r="P31" s="78">
        <f t="shared" si="0"/>
        <v>126.5664</v>
      </c>
    </row>
    <row r="32" spans="1:16" x14ac:dyDescent="0.25">
      <c r="B32" s="161"/>
      <c r="C32" s="10"/>
      <c r="D32" s="39"/>
      <c r="E32" s="39"/>
      <c r="F32" s="39"/>
      <c r="G32" s="39"/>
      <c r="H32" s="175"/>
      <c r="I32" s="39"/>
      <c r="J32" s="39"/>
      <c r="K32" s="39"/>
      <c r="L32" s="39"/>
      <c r="O32" s="78">
        <v>0.95</v>
      </c>
      <c r="P32" s="78">
        <f t="shared" si="0"/>
        <v>125.24799999999999</v>
      </c>
    </row>
    <row r="33" spans="2:17" x14ac:dyDescent="0.25">
      <c r="B33" s="161"/>
      <c r="C33" s="10"/>
      <c r="D33" s="39"/>
      <c r="E33" s="39"/>
      <c r="F33" s="39"/>
      <c r="G33" s="39"/>
      <c r="H33" s="175"/>
      <c r="I33" s="39"/>
      <c r="J33" s="39"/>
      <c r="K33" s="39"/>
      <c r="L33" s="39"/>
      <c r="O33" s="78">
        <v>0.94</v>
      </c>
      <c r="P33" s="78">
        <f t="shared" si="0"/>
        <v>123.92959999999999</v>
      </c>
    </row>
    <row r="34" spans="2:17" x14ac:dyDescent="0.25">
      <c r="B34" s="161"/>
      <c r="C34" s="10"/>
      <c r="D34" s="39"/>
      <c r="E34" s="39"/>
      <c r="F34" s="39"/>
      <c r="G34" s="39"/>
      <c r="H34" s="175"/>
      <c r="I34" s="39"/>
      <c r="J34" s="39"/>
      <c r="K34" s="39"/>
      <c r="L34" s="39"/>
      <c r="O34" s="78">
        <v>0.93</v>
      </c>
      <c r="P34" s="78">
        <f t="shared" si="0"/>
        <v>122.61120000000001</v>
      </c>
    </row>
    <row r="35" spans="2:17" x14ac:dyDescent="0.25">
      <c r="B35" s="161"/>
      <c r="C35" s="10"/>
      <c r="D35" s="39"/>
      <c r="E35" s="39"/>
      <c r="F35" s="39"/>
      <c r="G35" s="39"/>
      <c r="H35" s="175"/>
      <c r="I35" s="39"/>
      <c r="J35" s="39"/>
      <c r="K35" s="39"/>
      <c r="L35" s="39"/>
      <c r="O35" s="78">
        <v>0.92</v>
      </c>
      <c r="P35" s="78">
        <f t="shared" si="0"/>
        <v>121.29280000000001</v>
      </c>
    </row>
    <row r="36" spans="2:17" x14ac:dyDescent="0.25">
      <c r="B36" s="161"/>
      <c r="C36" s="10"/>
      <c r="D36" s="39"/>
      <c r="E36" s="39"/>
      <c r="F36" s="39"/>
      <c r="G36" s="39"/>
      <c r="H36" s="175"/>
      <c r="I36" s="39"/>
      <c r="J36" s="39"/>
      <c r="K36" s="39"/>
      <c r="L36" s="39"/>
      <c r="O36" s="78">
        <v>0.91</v>
      </c>
      <c r="P36" s="78">
        <f t="shared" si="0"/>
        <v>119.9744</v>
      </c>
    </row>
    <row r="37" spans="2:17" x14ac:dyDescent="0.25">
      <c r="B37" s="161"/>
      <c r="C37" s="10"/>
      <c r="D37" s="39"/>
      <c r="E37" s="39"/>
      <c r="F37" s="39"/>
      <c r="G37" s="39"/>
      <c r="H37" s="175"/>
      <c r="I37" s="39"/>
      <c r="J37" s="39"/>
      <c r="K37" s="39"/>
      <c r="L37" s="39"/>
      <c r="O37" s="78">
        <v>0.9</v>
      </c>
      <c r="P37" s="78">
        <f t="shared" si="0"/>
        <v>118.65600000000001</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1147.83</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360">
        <v>43440</v>
      </c>
      <c r="C68" s="7">
        <v>50</v>
      </c>
      <c r="D68" s="43">
        <v>129</v>
      </c>
      <c r="E68" s="43">
        <v>0</v>
      </c>
      <c r="F68" s="43">
        <f>C68*D68+E68</f>
        <v>6450</v>
      </c>
      <c r="G68" s="397">
        <v>43469</v>
      </c>
      <c r="H68" s="7">
        <v>50</v>
      </c>
      <c r="I68" s="43">
        <v>111.88</v>
      </c>
      <c r="J68" s="43">
        <v>7.0000000000000007E-2</v>
      </c>
      <c r="K68" s="43">
        <f>H68*I68-J68</f>
        <v>5593.93</v>
      </c>
      <c r="L68" s="69"/>
      <c r="M68" s="3"/>
    </row>
    <row r="69" spans="1:13" x14ac:dyDescent="0.25">
      <c r="A69" s="600"/>
      <c r="B69" s="360">
        <v>43468</v>
      </c>
      <c r="C69" s="7">
        <v>50</v>
      </c>
      <c r="D69" s="43">
        <v>108.8</v>
      </c>
      <c r="E69" s="43">
        <v>0</v>
      </c>
      <c r="F69" s="43">
        <f>C69*D69+E69</f>
        <v>5440</v>
      </c>
      <c r="G69" s="360">
        <v>43508</v>
      </c>
      <c r="H69" s="77">
        <v>50</v>
      </c>
      <c r="I69" s="43">
        <v>148.88</v>
      </c>
      <c r="J69" s="43">
        <v>0.1</v>
      </c>
      <c r="K69" s="43">
        <f>H69*I69-J69</f>
        <v>7443.9</v>
      </c>
      <c r="L69" s="4"/>
      <c r="M69" s="4"/>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100</v>
      </c>
      <c r="D84" s="603"/>
      <c r="E84" s="603"/>
      <c r="F84" s="603">
        <f>SUM(F68:F72)</f>
        <v>11890</v>
      </c>
      <c r="G84" s="602"/>
      <c r="H84" s="604">
        <f>SUM(H68:H71)</f>
        <v>100</v>
      </c>
      <c r="I84" s="603"/>
      <c r="J84" s="603"/>
      <c r="K84" s="603">
        <f>SUM(K68:K71)</f>
        <v>13037.83</v>
      </c>
      <c r="L84" s="602"/>
      <c r="M84" s="603">
        <f>SUM(M68:M76)</f>
        <v>0</v>
      </c>
    </row>
    <row r="85" spans="1:13" ht="15.75" thickBot="1" x14ac:dyDescent="0.3">
      <c r="A85" s="605" t="s">
        <v>189</v>
      </c>
      <c r="B85" s="637"/>
      <c r="C85" s="606">
        <f>SumByColor($A$19,C68:C83)</f>
        <v>100</v>
      </c>
      <c r="D85" s="606"/>
      <c r="E85" s="606"/>
      <c r="F85" s="607">
        <f>SumByColor($A$19,F68:F83)</f>
        <v>11890</v>
      </c>
      <c r="G85" s="606"/>
      <c r="H85" s="606">
        <f>SumByColor($A$19,H68:H83)</f>
        <v>100</v>
      </c>
      <c r="I85" s="606"/>
      <c r="J85" s="606"/>
      <c r="K85" s="607">
        <f>SumByColor($A$19,K69:K83)</f>
        <v>7444</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v>43440</v>
      </c>
      <c r="C89" s="10">
        <v>50</v>
      </c>
      <c r="D89" s="39">
        <v>129</v>
      </c>
      <c r="E89" s="39">
        <v>131.38</v>
      </c>
      <c r="F89" s="39">
        <f t="shared" ref="F89:F94" si="13">C89*(E89-D89)</f>
        <v>118.99999999999977</v>
      </c>
      <c r="G89" s="39">
        <f t="shared" ref="G89:G94" si="14">D89*C89</f>
        <v>6450</v>
      </c>
      <c r="H89" s="175">
        <f t="shared" ref="H89:H94" si="15">(E89-D89)/D89</f>
        <v>1.8449612403100741E-2</v>
      </c>
      <c r="I89" s="39"/>
      <c r="J89" s="39"/>
      <c r="K89" s="39"/>
      <c r="L89" s="39"/>
    </row>
    <row r="90" spans="1:13" x14ac:dyDescent="0.25">
      <c r="B90" s="161">
        <v>43468</v>
      </c>
      <c r="C90" s="7">
        <v>100</v>
      </c>
      <c r="D90" s="43">
        <v>118.9</v>
      </c>
      <c r="E90" s="39">
        <v>108.6</v>
      </c>
      <c r="F90" s="39">
        <f t="shared" si="13"/>
        <v>-1030.0000000000011</v>
      </c>
      <c r="G90" s="39">
        <f t="shared" si="14"/>
        <v>11890</v>
      </c>
      <c r="H90" s="175">
        <f t="shared" si="15"/>
        <v>-8.662741799831801E-2</v>
      </c>
      <c r="I90" s="39"/>
      <c r="J90" s="39"/>
      <c r="K90" s="39"/>
      <c r="L90" s="39"/>
    </row>
    <row r="91" spans="1:13" x14ac:dyDescent="0.25">
      <c r="B91" s="161">
        <v>43469</v>
      </c>
      <c r="C91" s="10">
        <v>50</v>
      </c>
      <c r="D91" s="39">
        <v>125.92140000000001</v>
      </c>
      <c r="E91" s="39">
        <v>114.72</v>
      </c>
      <c r="F91" s="39">
        <f t="shared" si="13"/>
        <v>-560.07000000000039</v>
      </c>
      <c r="G91" s="39">
        <f t="shared" si="14"/>
        <v>6296.0700000000006</v>
      </c>
      <c r="H91" s="175">
        <f t="shared" si="15"/>
        <v>-8.8955491282657326E-2</v>
      </c>
      <c r="I91" s="39"/>
      <c r="J91" s="39"/>
      <c r="K91" s="39"/>
      <c r="L91" s="39"/>
    </row>
    <row r="92" spans="1:13" x14ac:dyDescent="0.25">
      <c r="B92" s="161">
        <v>43492</v>
      </c>
      <c r="C92" s="10">
        <v>50</v>
      </c>
      <c r="D92" s="39">
        <v>125.92</v>
      </c>
      <c r="E92" s="39">
        <v>135.30000000000001</v>
      </c>
      <c r="F92" s="39">
        <f t="shared" si="13"/>
        <v>469.00000000000045</v>
      </c>
      <c r="G92" s="39">
        <f t="shared" si="14"/>
        <v>6296</v>
      </c>
      <c r="H92" s="175">
        <f t="shared" si="15"/>
        <v>7.4491740787801852E-2</v>
      </c>
      <c r="I92" s="39"/>
      <c r="J92" s="39"/>
      <c r="K92" s="39"/>
      <c r="L92" s="39"/>
    </row>
    <row r="93" spans="1:13" x14ac:dyDescent="0.25">
      <c r="B93" s="161">
        <v>43508</v>
      </c>
      <c r="C93" s="10">
        <v>0</v>
      </c>
      <c r="D93" s="39">
        <v>125.92</v>
      </c>
      <c r="E93" s="39">
        <v>147.15</v>
      </c>
      <c r="F93" s="39">
        <f t="shared" si="13"/>
        <v>0</v>
      </c>
      <c r="G93" s="39">
        <f t="shared" si="14"/>
        <v>0</v>
      </c>
      <c r="H93" s="175">
        <f t="shared" si="15"/>
        <v>0.16859911054637869</v>
      </c>
      <c r="I93" s="39"/>
      <c r="J93" s="760">
        <v>1147.83</v>
      </c>
      <c r="K93" s="39"/>
      <c r="L93" s="39"/>
    </row>
    <row r="94" spans="1:13" x14ac:dyDescent="0.25">
      <c r="B94" s="161">
        <v>43679</v>
      </c>
      <c r="C94" s="10">
        <v>40</v>
      </c>
      <c r="D94" s="39">
        <v>89.984300000000005</v>
      </c>
      <c r="E94" s="39">
        <v>118.5</v>
      </c>
      <c r="F94" s="39">
        <f t="shared" si="13"/>
        <v>1140.6279999999997</v>
      </c>
      <c r="G94" s="39">
        <f t="shared" si="14"/>
        <v>3599.3720000000003</v>
      </c>
      <c r="H94" s="175">
        <f t="shared" si="15"/>
        <v>0.31689639192614705</v>
      </c>
      <c r="I94" s="39"/>
      <c r="J94" s="760"/>
      <c r="K94" s="39"/>
      <c r="L94" s="39"/>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64">
      <colorScale>
        <cfvo type="min"/>
        <cfvo type="percentile" val="50"/>
        <cfvo type="max"/>
        <color rgb="FFF8696B"/>
        <color rgb="FFFFEB84"/>
        <color rgb="FF63BE7B"/>
      </colorScale>
    </cfRule>
  </conditionalFormatting>
  <conditionalFormatting sqref="P17:P37">
    <cfRule type="colorScale" priority="63">
      <colorScale>
        <cfvo type="min"/>
        <cfvo type="percentile" val="50"/>
        <cfvo type="max"/>
        <color rgb="FFF8696B"/>
        <color rgb="FFFFEB84"/>
        <color rgb="FF63BE7B"/>
      </colorScale>
    </cfRule>
  </conditionalFormatting>
  <conditionalFormatting sqref="F47:F63 H47:H63">
    <cfRule type="expression" dxfId="2289" priority="61">
      <formula>F47&gt;0</formula>
    </cfRule>
    <cfRule type="expression" dxfId="2288" priority="62">
      <formula>F47&lt;0</formula>
    </cfRule>
  </conditionalFormatting>
  <conditionalFormatting sqref="Q7">
    <cfRule type="expression" dxfId="2287" priority="59">
      <formula>Q7&gt;0</formula>
    </cfRule>
    <cfRule type="expression" dxfId="2286" priority="60">
      <formula>Q7&lt;0</formula>
    </cfRule>
  </conditionalFormatting>
  <conditionalFormatting sqref="Q8">
    <cfRule type="expression" dxfId="2285" priority="57">
      <formula>Q8&gt;0</formula>
    </cfRule>
    <cfRule type="expression" dxfId="2284" priority="58">
      <formula>Q8&lt;0</formula>
    </cfRule>
  </conditionalFormatting>
  <conditionalFormatting sqref="F30:F31 F33:F46">
    <cfRule type="expression" dxfId="2283" priority="55">
      <formula>F30&gt;0</formula>
    </cfRule>
    <cfRule type="expression" dxfId="2282" priority="56">
      <formula>F30&lt;0</formula>
    </cfRule>
  </conditionalFormatting>
  <conditionalFormatting sqref="H30:H31 H33:H46">
    <cfRule type="expression" dxfId="2281" priority="53">
      <formula>H30&gt;0</formula>
    </cfRule>
    <cfRule type="expression" dxfId="2280" priority="54">
      <formula>H30&lt;0</formula>
    </cfRule>
  </conditionalFormatting>
  <conditionalFormatting sqref="Q10">
    <cfRule type="expression" dxfId="2279" priority="51">
      <formula>Q10&gt;0</formula>
    </cfRule>
    <cfRule type="expression" dxfId="2278" priority="52">
      <formula>Q10&lt;0</formula>
    </cfRule>
  </conditionalFormatting>
  <conditionalFormatting sqref="J29:J38">
    <cfRule type="expression" dxfId="2277" priority="49">
      <formula>J29&gt;0</formula>
    </cfRule>
    <cfRule type="expression" dxfId="2276" priority="50">
      <formula>J29&lt;0</formula>
    </cfRule>
  </conditionalFormatting>
  <conditionalFormatting sqref="K26:K38">
    <cfRule type="expression" dxfId="2275" priority="47">
      <formula>K26&gt;0</formula>
    </cfRule>
    <cfRule type="expression" dxfId="2274" priority="48">
      <formula>K26&lt;0</formula>
    </cfRule>
  </conditionalFormatting>
  <conditionalFormatting sqref="L25 L38">
    <cfRule type="expression" dxfId="2273" priority="45">
      <formula>L25&gt;0</formula>
    </cfRule>
    <cfRule type="expression" dxfId="2272" priority="46">
      <formula>L25&lt;0</formula>
    </cfRule>
  </conditionalFormatting>
  <conditionalFormatting sqref="F95:F110">
    <cfRule type="expression" dxfId="2271" priority="43">
      <formula>F95&gt;0</formula>
    </cfRule>
    <cfRule type="expression" dxfId="2270" priority="44">
      <formula>F95&lt;0</formula>
    </cfRule>
  </conditionalFormatting>
  <conditionalFormatting sqref="H95:H110">
    <cfRule type="expression" dxfId="2269" priority="41">
      <formula>H95&gt;0</formula>
    </cfRule>
    <cfRule type="expression" dxfId="2268" priority="42">
      <formula>H95&lt;0</formula>
    </cfRule>
  </conditionalFormatting>
  <conditionalFormatting sqref="J95:J102">
    <cfRule type="expression" dxfId="2267" priority="39">
      <formula>J95&gt;0</formula>
    </cfRule>
    <cfRule type="expression" dxfId="2266" priority="40">
      <formula>J95&lt;0</formula>
    </cfRule>
  </conditionalFormatting>
  <conditionalFormatting sqref="K95:K102">
    <cfRule type="expression" dxfId="2265" priority="37">
      <formula>K95&gt;0</formula>
    </cfRule>
    <cfRule type="expression" dxfId="2264" priority="38">
      <formula>K95&lt;0</formula>
    </cfRule>
  </conditionalFormatting>
  <conditionalFormatting sqref="L95:L102">
    <cfRule type="expression" dxfId="2263" priority="35">
      <formula>L95&gt;0</formula>
    </cfRule>
    <cfRule type="expression" dxfId="2262" priority="36">
      <formula>L95&lt;0</formula>
    </cfRule>
  </conditionalFormatting>
  <conditionalFormatting sqref="F29">
    <cfRule type="expression" dxfId="2261" priority="33">
      <formula>F29&gt;0</formula>
    </cfRule>
    <cfRule type="expression" dxfId="2260" priority="34">
      <formula>F29&lt;0</formula>
    </cfRule>
  </conditionalFormatting>
  <conditionalFormatting sqref="H29">
    <cfRule type="expression" dxfId="2259" priority="31">
      <formula>H29&gt;0</formula>
    </cfRule>
    <cfRule type="expression" dxfId="2258" priority="32">
      <formula>H29&lt;0</formula>
    </cfRule>
  </conditionalFormatting>
  <conditionalFormatting sqref="F32">
    <cfRule type="expression" dxfId="2257" priority="25">
      <formula>F32&gt;0</formula>
    </cfRule>
    <cfRule type="expression" dxfId="2256" priority="26">
      <formula>F32&lt;0</formula>
    </cfRule>
  </conditionalFormatting>
  <conditionalFormatting sqref="H32">
    <cfRule type="expression" dxfId="2255" priority="23">
      <formula>H32&gt;0</formula>
    </cfRule>
    <cfRule type="expression" dxfId="2254" priority="24">
      <formula>H32&lt;0</formula>
    </cfRule>
  </conditionalFormatting>
  <conditionalFormatting sqref="F94">
    <cfRule type="expression" dxfId="2253" priority="21">
      <formula>F94&gt;0</formula>
    </cfRule>
    <cfRule type="expression" dxfId="2252" priority="22">
      <formula>F94&lt;0</formula>
    </cfRule>
  </conditionalFormatting>
  <conditionalFormatting sqref="H94">
    <cfRule type="expression" dxfId="2251" priority="19">
      <formula>H94&gt;0</formula>
    </cfRule>
    <cfRule type="expression" dxfId="2250" priority="20">
      <formula>H94&lt;0</formula>
    </cfRule>
  </conditionalFormatting>
  <conditionalFormatting sqref="J89:J94">
    <cfRule type="expression" dxfId="2249" priority="17">
      <formula>J89&gt;0</formula>
    </cfRule>
    <cfRule type="expression" dxfId="2248" priority="18">
      <formula>J89&lt;0</formula>
    </cfRule>
  </conditionalFormatting>
  <conditionalFormatting sqref="K89:K94">
    <cfRule type="expression" dxfId="2247" priority="15">
      <formula>K89&gt;0</formula>
    </cfRule>
    <cfRule type="expression" dxfId="2246" priority="16">
      <formula>K89&lt;0</formula>
    </cfRule>
  </conditionalFormatting>
  <conditionalFormatting sqref="L89">
    <cfRule type="expression" dxfId="2245" priority="13">
      <formula>L89&gt;0</formula>
    </cfRule>
    <cfRule type="expression" dxfId="2244" priority="14">
      <formula>L89&lt;0</formula>
    </cfRule>
  </conditionalFormatting>
  <conditionalFormatting sqref="F89:F93">
    <cfRule type="expression" dxfId="2243" priority="11">
      <formula>F89&gt;0</formula>
    </cfRule>
    <cfRule type="expression" dxfId="2242" priority="12">
      <formula>F89&lt;0</formula>
    </cfRule>
  </conditionalFormatting>
  <conditionalFormatting sqref="H89:H93">
    <cfRule type="expression" dxfId="2241" priority="9">
      <formula>H89&gt;0</formula>
    </cfRule>
    <cfRule type="expression" dxfId="2240" priority="10">
      <formula>H89&lt;0</formula>
    </cfRule>
  </conditionalFormatting>
  <conditionalFormatting sqref="J25:J28">
    <cfRule type="expression" dxfId="2239" priority="7">
      <formula>J25&gt;0</formula>
    </cfRule>
    <cfRule type="expression" dxfId="2238" priority="8">
      <formula>J25&lt;0</formula>
    </cfRule>
  </conditionalFormatting>
  <conditionalFormatting sqref="K25">
    <cfRule type="expression" dxfId="2237" priority="5">
      <formula>K25&gt;0</formula>
    </cfRule>
    <cfRule type="expression" dxfId="2236" priority="6">
      <formula>K25&lt;0</formula>
    </cfRule>
  </conditionalFormatting>
  <conditionalFormatting sqref="F25:F28">
    <cfRule type="expression" dxfId="2235" priority="3">
      <formula>F25&gt;0</formula>
    </cfRule>
    <cfRule type="expression" dxfId="2234" priority="4">
      <formula>F25&lt;0</formula>
    </cfRule>
  </conditionalFormatting>
  <conditionalFormatting sqref="H25:H28">
    <cfRule type="expression" dxfId="2233" priority="1">
      <formula>H25&gt;0</formula>
    </cfRule>
    <cfRule type="expression" dxfId="2232" priority="2">
      <formula>H25&lt;0</formula>
    </cfRule>
  </conditionalFormatting>
  <hyperlinks>
    <hyperlink ref="A3" location="ACTIVE!A1" display="Back"/>
  </hyperlinks>
  <pageMargins left="0.7" right="0.7" top="0.75" bottom="0.75" header="0.3" footer="0.3"/>
  <pageSetup orientation="portrait" r:id="rId1"/>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1280</v>
      </c>
      <c r="B2" s="360">
        <v>43682</v>
      </c>
      <c r="C2" s="7">
        <v>25</v>
      </c>
      <c r="D2" s="43">
        <v>144.53</v>
      </c>
      <c r="E2" s="43">
        <v>0</v>
      </c>
      <c r="F2" s="43">
        <f>C2*D2+E2</f>
        <v>3613.25</v>
      </c>
      <c r="G2" s="360">
        <v>43717</v>
      </c>
      <c r="H2" s="7">
        <v>25</v>
      </c>
      <c r="I2" s="43">
        <v>152</v>
      </c>
      <c r="J2" s="43">
        <v>0.08</v>
      </c>
      <c r="K2" s="43">
        <f>H2*I2-J2</f>
        <v>3799.92</v>
      </c>
      <c r="L2" s="69"/>
      <c r="M2" s="3"/>
      <c r="O2" s="11" t="s">
        <v>57</v>
      </c>
      <c r="Q2">
        <f>C18-H18</f>
        <v>0</v>
      </c>
      <c r="T2" s="1"/>
      <c r="U2" t="s">
        <v>1230</v>
      </c>
    </row>
    <row r="3" spans="1:21" x14ac:dyDescent="0.25">
      <c r="A3" s="22" t="s">
        <v>71</v>
      </c>
      <c r="G3" s="69"/>
      <c r="H3" s="158"/>
      <c r="I3" s="3"/>
      <c r="J3" s="3"/>
      <c r="K3" s="3"/>
      <c r="L3" s="4"/>
      <c r="M3" s="4"/>
      <c r="O3" s="11" t="s">
        <v>58</v>
      </c>
      <c r="Q3" s="174">
        <f>IF(Q2=0, Q4, (F18-K18-M18)/Q2)</f>
        <v>155.31</v>
      </c>
      <c r="T3" s="1"/>
      <c r="U3" s="22"/>
    </row>
    <row r="4" spans="1:21" x14ac:dyDescent="0.25">
      <c r="B4" s="69"/>
      <c r="C4" s="4"/>
      <c r="D4" s="3"/>
      <c r="E4" s="3"/>
      <c r="F4" s="3"/>
      <c r="G4" s="69"/>
      <c r="H4" s="158"/>
      <c r="I4" s="3"/>
      <c r="J4" s="3"/>
      <c r="K4" s="3"/>
      <c r="L4" s="4"/>
      <c r="M4" s="4"/>
      <c r="O4" s="11" t="s">
        <v>66</v>
      </c>
      <c r="Q4" s="53">
        <v>155.31</v>
      </c>
      <c r="R4" s="416">
        <v>-1.26E-2</v>
      </c>
      <c r="T4" s="680"/>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444.12000000000035</v>
      </c>
      <c r="R7">
        <v>0</v>
      </c>
    </row>
    <row r="8" spans="1:21" x14ac:dyDescent="0.25">
      <c r="B8" s="69"/>
      <c r="C8" s="4"/>
      <c r="D8" s="3"/>
      <c r="E8" s="3"/>
      <c r="F8" s="3"/>
      <c r="G8" s="4"/>
      <c r="H8" s="158"/>
      <c r="I8" s="3"/>
      <c r="J8" s="3"/>
      <c r="K8" s="3"/>
      <c r="L8" s="4"/>
      <c r="M8" s="4"/>
      <c r="O8" s="11" t="s">
        <v>177</v>
      </c>
      <c r="P8" s="33"/>
      <c r="Q8" s="2">
        <f>K18+M18-F18+Q2*Q4</f>
        <v>186.67000000000007</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257.45000000000027</v>
      </c>
    </row>
    <row r="11" spans="1:21" x14ac:dyDescent="0.25">
      <c r="B11" s="4"/>
      <c r="C11" s="4"/>
      <c r="D11" s="3"/>
      <c r="E11" s="3"/>
      <c r="F11" s="3"/>
      <c r="G11" s="4"/>
      <c r="H11" s="158"/>
      <c r="I11" s="3"/>
      <c r="J11" s="3"/>
      <c r="K11" s="3"/>
      <c r="L11" s="4"/>
      <c r="M11" s="4"/>
      <c r="O11" s="11" t="s">
        <v>173</v>
      </c>
      <c r="P11" s="33"/>
      <c r="Q11" s="131">
        <f>R11/Q4</f>
        <v>7.4380271714635246E-3</v>
      </c>
      <c r="R11">
        <f>0.2888*4</f>
        <v>1.1552</v>
      </c>
    </row>
    <row r="12" spans="1:21" x14ac:dyDescent="0.25">
      <c r="H12" s="67"/>
      <c r="O12" s="11" t="s">
        <v>875</v>
      </c>
      <c r="Q12" s="1"/>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170.84100000000001</v>
      </c>
    </row>
    <row r="18" spans="1:16" x14ac:dyDescent="0.25">
      <c r="A18" s="31" t="s">
        <v>81</v>
      </c>
      <c r="B18" s="14"/>
      <c r="C18" s="14">
        <f>SUM(C2:C8)</f>
        <v>25</v>
      </c>
      <c r="D18" s="18"/>
      <c r="E18" s="18"/>
      <c r="F18" s="18">
        <f>SUM(F2:F8)</f>
        <v>3613.25</v>
      </c>
      <c r="G18" s="14"/>
      <c r="H18" s="68">
        <f>SUM(H2:H5)</f>
        <v>25</v>
      </c>
      <c r="I18" s="18"/>
      <c r="J18" s="18"/>
      <c r="K18" s="18">
        <f>SUM(K2:K5)</f>
        <v>3799.92</v>
      </c>
      <c r="L18" s="14"/>
      <c r="M18" s="18">
        <f>SUM(M2:M10)</f>
        <v>0</v>
      </c>
      <c r="O18" s="78">
        <v>1.0900000000000001</v>
      </c>
      <c r="P18" s="78">
        <f t="shared" ref="P18:P37" si="0">O18*$Q$4</f>
        <v>169.28790000000001</v>
      </c>
    </row>
    <row r="19" spans="1:16" ht="15.75" thickBot="1" x14ac:dyDescent="0.3">
      <c r="A19" s="273" t="s">
        <v>189</v>
      </c>
      <c r="B19" s="274"/>
      <c r="C19" s="275">
        <f>SumByColor($A$19,C2:C17)</f>
        <v>25</v>
      </c>
      <c r="D19" s="275"/>
      <c r="E19" s="275"/>
      <c r="F19" s="276">
        <f>SumByColor($A$19,F2:F17)</f>
        <v>3613</v>
      </c>
      <c r="G19" s="275"/>
      <c r="H19" s="275">
        <f>SumByColor($A$19,H2:H17)</f>
        <v>25</v>
      </c>
      <c r="I19" s="275"/>
      <c r="J19" s="275"/>
      <c r="K19" s="276">
        <f>SumByColor($A$19,K2:K17)</f>
        <v>3800</v>
      </c>
      <c r="L19" s="275"/>
      <c r="M19" s="276">
        <f>SumByColor($A$19,M2:M17)</f>
        <v>0</v>
      </c>
      <c r="O19" s="78">
        <v>1.08</v>
      </c>
      <c r="P19" s="78">
        <f t="shared" si="0"/>
        <v>167.73480000000001</v>
      </c>
    </row>
    <row r="20" spans="1:16" x14ac:dyDescent="0.25">
      <c r="O20" s="78">
        <v>1.07</v>
      </c>
      <c r="P20" s="78">
        <f t="shared" si="0"/>
        <v>166.18170000000001</v>
      </c>
    </row>
    <row r="21" spans="1:16" x14ac:dyDescent="0.25">
      <c r="O21" s="78">
        <v>1.06</v>
      </c>
      <c r="P21" s="78">
        <f t="shared" si="0"/>
        <v>164.62860000000001</v>
      </c>
    </row>
    <row r="22" spans="1:16" x14ac:dyDescent="0.25">
      <c r="O22" s="78">
        <v>1.05</v>
      </c>
      <c r="P22" s="78">
        <f t="shared" si="0"/>
        <v>163.07550000000001</v>
      </c>
    </row>
    <row r="23" spans="1:16" x14ac:dyDescent="0.25">
      <c r="O23" s="78">
        <v>1.04</v>
      </c>
      <c r="P23" s="78">
        <f t="shared" si="0"/>
        <v>161.5224</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159.9693</v>
      </c>
    </row>
    <row r="25" spans="1:16" x14ac:dyDescent="0.25">
      <c r="B25" s="161">
        <v>43483</v>
      </c>
      <c r="C25" s="10">
        <v>0</v>
      </c>
      <c r="D25" s="39">
        <v>145.83000000000001</v>
      </c>
      <c r="E25" s="39">
        <v>147.30000000000001</v>
      </c>
      <c r="F25" s="39">
        <f t="shared" ref="F25" si="1">C25*(E25-D25)</f>
        <v>0</v>
      </c>
      <c r="G25" s="39">
        <f t="shared" ref="G25" si="2">D25*C25</f>
        <v>0</v>
      </c>
      <c r="H25" s="175">
        <f t="shared" ref="H25" si="3">(E25-D25)/D25</f>
        <v>1.0080230405266398E-2</v>
      </c>
      <c r="I25" s="39"/>
      <c r="J25" s="39">
        <v>257.45</v>
      </c>
      <c r="K25" s="39"/>
      <c r="L25" s="39"/>
      <c r="O25" s="78">
        <v>1.02</v>
      </c>
      <c r="P25" s="78">
        <f t="shared" si="0"/>
        <v>158.4162</v>
      </c>
    </row>
    <row r="26" spans="1:16" x14ac:dyDescent="0.25">
      <c r="B26" s="161">
        <v>43682</v>
      </c>
      <c r="C26" s="10">
        <v>25</v>
      </c>
      <c r="D26" s="39">
        <v>144.53</v>
      </c>
      <c r="E26" s="39">
        <v>147.84</v>
      </c>
      <c r="F26" s="39">
        <f t="shared" ref="F26" si="4">C26*(E26-D26)</f>
        <v>82.750000000000057</v>
      </c>
      <c r="G26" s="39">
        <f t="shared" ref="G26" si="5">D26*C26</f>
        <v>3613.25</v>
      </c>
      <c r="H26" s="175">
        <f t="shared" ref="H26" si="6">(E26-D26)/D26</f>
        <v>2.2901819691413562E-2</v>
      </c>
      <c r="I26" s="39"/>
      <c r="J26" s="39"/>
      <c r="K26" s="39"/>
      <c r="L26" s="39"/>
      <c r="O26" s="78">
        <v>1.01</v>
      </c>
      <c r="P26" s="78">
        <f t="shared" si="0"/>
        <v>156.8631</v>
      </c>
    </row>
    <row r="27" spans="1:16" x14ac:dyDescent="0.25">
      <c r="B27" s="161">
        <v>43717</v>
      </c>
      <c r="C27" s="10">
        <v>0</v>
      </c>
      <c r="D27" s="39">
        <v>144.53</v>
      </c>
      <c r="E27" s="39">
        <v>151.91</v>
      </c>
      <c r="F27" s="39">
        <f t="shared" ref="F27" si="7">C27*(E27-D27)</f>
        <v>0</v>
      </c>
      <c r="G27" s="39">
        <f t="shared" ref="G27" si="8">D27*C27</f>
        <v>0</v>
      </c>
      <c r="H27" s="175">
        <f t="shared" ref="H27" si="9">(E27-D27)/D27</f>
        <v>5.106206323946582E-2</v>
      </c>
      <c r="I27" s="39"/>
      <c r="J27" s="39">
        <v>444.12</v>
      </c>
      <c r="K27" s="39"/>
      <c r="L27" s="39"/>
      <c r="O27" s="78">
        <v>1</v>
      </c>
      <c r="P27" s="78">
        <f t="shared" si="0"/>
        <v>155.31</v>
      </c>
    </row>
    <row r="28" spans="1:16" x14ac:dyDescent="0.25">
      <c r="B28" s="161"/>
      <c r="C28" s="10"/>
      <c r="D28" s="39"/>
      <c r="E28" s="39"/>
      <c r="F28" s="39"/>
      <c r="G28" s="39"/>
      <c r="H28" s="175"/>
      <c r="I28" s="39"/>
      <c r="J28" s="39"/>
      <c r="K28" s="39"/>
      <c r="L28" s="39"/>
      <c r="O28" s="78">
        <v>0.99</v>
      </c>
      <c r="P28" s="78">
        <f t="shared" si="0"/>
        <v>153.7569</v>
      </c>
    </row>
    <row r="29" spans="1:16" x14ac:dyDescent="0.25">
      <c r="B29" s="161"/>
      <c r="C29" s="10"/>
      <c r="D29" s="39"/>
      <c r="E29" s="39"/>
      <c r="F29" s="39"/>
      <c r="G29" s="39"/>
      <c r="H29" s="175"/>
      <c r="I29" s="39"/>
      <c r="J29" s="39"/>
      <c r="K29" s="39"/>
      <c r="L29" s="39"/>
      <c r="O29" s="78">
        <v>0.98</v>
      </c>
      <c r="P29" s="78">
        <f t="shared" si="0"/>
        <v>152.2038</v>
      </c>
    </row>
    <row r="30" spans="1:16" x14ac:dyDescent="0.25">
      <c r="B30" s="161"/>
      <c r="C30" s="10"/>
      <c r="D30" s="39"/>
      <c r="E30" s="39"/>
      <c r="F30" s="39"/>
      <c r="G30" s="39"/>
      <c r="H30" s="175"/>
      <c r="I30" s="39"/>
      <c r="J30" s="39"/>
      <c r="K30" s="39"/>
      <c r="L30" s="39"/>
      <c r="O30" s="78">
        <v>0.97</v>
      </c>
      <c r="P30" s="78">
        <f t="shared" si="0"/>
        <v>150.6507</v>
      </c>
    </row>
    <row r="31" spans="1:16" x14ac:dyDescent="0.25">
      <c r="B31" s="161"/>
      <c r="C31" s="10"/>
      <c r="D31" s="39"/>
      <c r="E31" s="39"/>
      <c r="F31" s="39"/>
      <c r="G31" s="39"/>
      <c r="H31" s="175"/>
      <c r="I31" s="39"/>
      <c r="J31" s="39"/>
      <c r="K31" s="39"/>
      <c r="L31" s="39"/>
      <c r="O31" s="78">
        <v>0.96</v>
      </c>
      <c r="P31" s="78">
        <f t="shared" si="0"/>
        <v>149.0976</v>
      </c>
    </row>
    <row r="32" spans="1:16" x14ac:dyDescent="0.25">
      <c r="B32" s="161"/>
      <c r="C32" s="10"/>
      <c r="D32" s="39"/>
      <c r="E32" s="39"/>
      <c r="F32" s="39"/>
      <c r="G32" s="39"/>
      <c r="H32" s="175"/>
      <c r="I32" s="39"/>
      <c r="J32" s="39"/>
      <c r="K32" s="39"/>
      <c r="L32" s="39"/>
      <c r="O32" s="78">
        <v>0.95</v>
      </c>
      <c r="P32" s="78">
        <f t="shared" si="0"/>
        <v>147.5445</v>
      </c>
    </row>
    <row r="33" spans="2:17" x14ac:dyDescent="0.25">
      <c r="B33" s="161"/>
      <c r="C33" s="10"/>
      <c r="D33" s="39"/>
      <c r="E33" s="39"/>
      <c r="F33" s="39"/>
      <c r="G33" s="39"/>
      <c r="H33" s="175"/>
      <c r="I33" s="39"/>
      <c r="J33" s="39"/>
      <c r="K33" s="39"/>
      <c r="L33" s="39"/>
      <c r="O33" s="78">
        <v>0.94</v>
      </c>
      <c r="P33" s="78">
        <f t="shared" si="0"/>
        <v>145.9914</v>
      </c>
    </row>
    <row r="34" spans="2:17" x14ac:dyDescent="0.25">
      <c r="B34" s="161"/>
      <c r="C34" s="10"/>
      <c r="D34" s="39"/>
      <c r="E34" s="39"/>
      <c r="F34" s="39"/>
      <c r="G34" s="39"/>
      <c r="H34" s="175"/>
      <c r="I34" s="39"/>
      <c r="J34" s="39"/>
      <c r="K34" s="39"/>
      <c r="L34" s="39"/>
      <c r="O34" s="78">
        <v>0.93</v>
      </c>
      <c r="P34" s="78">
        <f t="shared" si="0"/>
        <v>144.4383</v>
      </c>
    </row>
    <row r="35" spans="2:17" x14ac:dyDescent="0.25">
      <c r="B35" s="161"/>
      <c r="C35" s="10"/>
      <c r="D35" s="39"/>
      <c r="E35" s="39"/>
      <c r="F35" s="39"/>
      <c r="G35" s="39"/>
      <c r="H35" s="175"/>
      <c r="I35" s="39"/>
      <c r="J35" s="39"/>
      <c r="K35" s="39"/>
      <c r="L35" s="39"/>
      <c r="O35" s="78">
        <v>0.92</v>
      </c>
      <c r="P35" s="78">
        <f t="shared" si="0"/>
        <v>142.8852</v>
      </c>
    </row>
    <row r="36" spans="2:17" x14ac:dyDescent="0.25">
      <c r="B36" s="161"/>
      <c r="C36" s="10"/>
      <c r="D36" s="39"/>
      <c r="E36" s="39"/>
      <c r="F36" s="39"/>
      <c r="G36" s="39"/>
      <c r="H36" s="175"/>
      <c r="I36" s="39"/>
      <c r="J36" s="39"/>
      <c r="K36" s="39"/>
      <c r="L36" s="39"/>
      <c r="O36" s="78">
        <v>0.91</v>
      </c>
      <c r="P36" s="78">
        <f t="shared" si="0"/>
        <v>141.3321</v>
      </c>
    </row>
    <row r="37" spans="2:17" x14ac:dyDescent="0.25">
      <c r="B37" s="161"/>
      <c r="C37" s="10"/>
      <c r="D37" s="39"/>
      <c r="E37" s="39"/>
      <c r="F37" s="39"/>
      <c r="G37" s="39"/>
      <c r="H37" s="175"/>
      <c r="I37" s="39"/>
      <c r="J37" s="39"/>
      <c r="K37" s="39"/>
      <c r="L37" s="39"/>
      <c r="O37" s="78">
        <v>0.9</v>
      </c>
      <c r="P37" s="78">
        <f t="shared" si="0"/>
        <v>139.779</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257.45000000000027</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360">
        <v>43451</v>
      </c>
      <c r="C68" s="7">
        <v>25</v>
      </c>
      <c r="D68" s="43">
        <v>137</v>
      </c>
      <c r="E68" s="43">
        <v>0</v>
      </c>
      <c r="F68" s="43">
        <f>C68*D68+E68</f>
        <v>3425</v>
      </c>
      <c r="G68" s="360">
        <v>43483</v>
      </c>
      <c r="H68" s="7">
        <v>25</v>
      </c>
      <c r="I68" s="43">
        <v>147.30000000000001</v>
      </c>
      <c r="J68" s="43">
        <v>0.05</v>
      </c>
      <c r="K68" s="43">
        <f>H68*I68-J68</f>
        <v>3682.4500000000003</v>
      </c>
      <c r="L68" s="69"/>
      <c r="M68" s="3"/>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25</v>
      </c>
      <c r="D84" s="603"/>
      <c r="E84" s="603"/>
      <c r="F84" s="603">
        <f>SUM(F68:F72)</f>
        <v>3425</v>
      </c>
      <c r="G84" s="602"/>
      <c r="H84" s="604">
        <f>SUM(H68:H71)</f>
        <v>25</v>
      </c>
      <c r="I84" s="603"/>
      <c r="J84" s="603"/>
      <c r="K84" s="603">
        <f>SUM(K68:K71)</f>
        <v>3682.4500000000003</v>
      </c>
      <c r="L84" s="602"/>
      <c r="M84" s="603">
        <f>SUM(M68:M76)</f>
        <v>0</v>
      </c>
    </row>
    <row r="85" spans="1:13" ht="15.75" thickBot="1" x14ac:dyDescent="0.3">
      <c r="A85" s="605" t="s">
        <v>189</v>
      </c>
      <c r="B85" s="637"/>
      <c r="C85" s="606">
        <f>SumByColor($A$19,C68:C83)</f>
        <v>25</v>
      </c>
      <c r="D85" s="606"/>
      <c r="E85" s="606"/>
      <c r="F85" s="607">
        <f>SumByColor($A$19,F68:F83)</f>
        <v>3425</v>
      </c>
      <c r="G85" s="606"/>
      <c r="H85" s="606">
        <f>SumByColor($A$19,H68:H83)</f>
        <v>25</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0">
      <colorScale>
        <cfvo type="min"/>
        <cfvo type="percentile" val="50"/>
        <cfvo type="max"/>
        <color rgb="FFF8696B"/>
        <color rgb="FFFFEB84"/>
        <color rgb="FF63BE7B"/>
      </colorScale>
    </cfRule>
  </conditionalFormatting>
  <conditionalFormatting sqref="P17:P37">
    <cfRule type="colorScale" priority="39">
      <colorScale>
        <cfvo type="min"/>
        <cfvo type="percentile" val="50"/>
        <cfvo type="max"/>
        <color rgb="FFF8696B"/>
        <color rgb="FFFFEB84"/>
        <color rgb="FF63BE7B"/>
      </colorScale>
    </cfRule>
  </conditionalFormatting>
  <conditionalFormatting sqref="F47:F63 H47:H63">
    <cfRule type="expression" dxfId="2231" priority="37">
      <formula>F47&gt;0</formula>
    </cfRule>
    <cfRule type="expression" dxfId="2230" priority="38">
      <formula>F47&lt;0</formula>
    </cfRule>
  </conditionalFormatting>
  <conditionalFormatting sqref="Q7">
    <cfRule type="expression" dxfId="2229" priority="35">
      <formula>Q7&gt;0</formula>
    </cfRule>
    <cfRule type="expression" dxfId="2228" priority="36">
      <formula>Q7&lt;0</formula>
    </cfRule>
  </conditionalFormatting>
  <conditionalFormatting sqref="Q8">
    <cfRule type="expression" dxfId="2227" priority="33">
      <formula>Q8&gt;0</formula>
    </cfRule>
    <cfRule type="expression" dxfId="2226" priority="34">
      <formula>Q8&lt;0</formula>
    </cfRule>
  </conditionalFormatting>
  <conditionalFormatting sqref="F30:F46">
    <cfRule type="expression" dxfId="2225" priority="31">
      <formula>F30&gt;0</formula>
    </cfRule>
    <cfRule type="expression" dxfId="2224" priority="32">
      <formula>F30&lt;0</formula>
    </cfRule>
  </conditionalFormatting>
  <conditionalFormatting sqref="H30:H46">
    <cfRule type="expression" dxfId="2223" priority="29">
      <formula>H30&gt;0</formula>
    </cfRule>
    <cfRule type="expression" dxfId="2222" priority="30">
      <formula>H30&lt;0</formula>
    </cfRule>
  </conditionalFormatting>
  <conditionalFormatting sqref="Q10">
    <cfRule type="expression" dxfId="2221" priority="27">
      <formula>Q10&gt;0</formula>
    </cfRule>
    <cfRule type="expression" dxfId="2220" priority="28">
      <formula>Q10&lt;0</formula>
    </cfRule>
  </conditionalFormatting>
  <conditionalFormatting sqref="J25:J38">
    <cfRule type="expression" dxfId="2219" priority="25">
      <formula>J25&gt;0</formula>
    </cfRule>
    <cfRule type="expression" dxfId="2218" priority="26">
      <formula>J25&lt;0</formula>
    </cfRule>
  </conditionalFormatting>
  <conditionalFormatting sqref="K25:K38">
    <cfRule type="expression" dxfId="2217" priority="23">
      <formula>K25&gt;0</formula>
    </cfRule>
    <cfRule type="expression" dxfId="2216" priority="24">
      <formula>K25&lt;0</formula>
    </cfRule>
  </conditionalFormatting>
  <conditionalFormatting sqref="L25 L38">
    <cfRule type="expression" dxfId="2215" priority="21">
      <formula>L25&gt;0</formula>
    </cfRule>
    <cfRule type="expression" dxfId="2214" priority="22">
      <formula>L25&lt;0</formula>
    </cfRule>
  </conditionalFormatting>
  <conditionalFormatting sqref="F89:F110">
    <cfRule type="expression" dxfId="2213" priority="19">
      <formula>F89&gt;0</formula>
    </cfRule>
    <cfRule type="expression" dxfId="2212" priority="20">
      <formula>F89&lt;0</formula>
    </cfRule>
  </conditionalFormatting>
  <conditionalFormatting sqref="H89:H110">
    <cfRule type="expression" dxfId="2211" priority="17">
      <formula>H89&gt;0</formula>
    </cfRule>
    <cfRule type="expression" dxfId="2210" priority="18">
      <formula>H89&lt;0</formula>
    </cfRule>
  </conditionalFormatting>
  <conditionalFormatting sqref="J89:J102">
    <cfRule type="expression" dxfId="2209" priority="15">
      <formula>J89&gt;0</formula>
    </cfRule>
    <cfRule type="expression" dxfId="2208" priority="16">
      <formula>J89&lt;0</formula>
    </cfRule>
  </conditionalFormatting>
  <conditionalFormatting sqref="K89:K102">
    <cfRule type="expression" dxfId="2207" priority="13">
      <formula>K89&gt;0</formula>
    </cfRule>
    <cfRule type="expression" dxfId="2206" priority="14">
      <formula>K89&lt;0</formula>
    </cfRule>
  </conditionalFormatting>
  <conditionalFormatting sqref="L89:L102">
    <cfRule type="expression" dxfId="2205" priority="11">
      <formula>L89&gt;0</formula>
    </cfRule>
    <cfRule type="expression" dxfId="2204" priority="12">
      <formula>L89&lt;0</formula>
    </cfRule>
  </conditionalFormatting>
  <conditionalFormatting sqref="F29">
    <cfRule type="expression" dxfId="2203" priority="9">
      <formula>F29&gt;0</formula>
    </cfRule>
    <cfRule type="expression" dxfId="2202" priority="10">
      <formula>F29&lt;0</formula>
    </cfRule>
  </conditionalFormatting>
  <conditionalFormatting sqref="H29">
    <cfRule type="expression" dxfId="2201" priority="7">
      <formula>H29&gt;0</formula>
    </cfRule>
    <cfRule type="expression" dxfId="2200" priority="8">
      <formula>H29&lt;0</formula>
    </cfRule>
  </conditionalFormatting>
  <conditionalFormatting sqref="F28">
    <cfRule type="expression" dxfId="2199" priority="5">
      <formula>F28&gt;0</formula>
    </cfRule>
    <cfRule type="expression" dxfId="2198" priority="6">
      <formula>F28&lt;0</formula>
    </cfRule>
  </conditionalFormatting>
  <conditionalFormatting sqref="H28">
    <cfRule type="expression" dxfId="2197" priority="3">
      <formula>H28&gt;0</formula>
    </cfRule>
    <cfRule type="expression" dxfId="2196" priority="4">
      <formula>H28&lt;0</formula>
    </cfRule>
  </conditionalFormatting>
  <conditionalFormatting sqref="F25:F27 H25:H27">
    <cfRule type="expression" dxfId="2195" priority="1">
      <formula>F25&gt;0</formula>
    </cfRule>
    <cfRule type="expression" dxfId="2194" priority="2">
      <formula>F25&lt;0</formula>
    </cfRule>
  </conditionalFormatting>
  <hyperlinks>
    <hyperlink ref="A3" location="ACTIVE!A1" display="Back"/>
  </hyperlinks>
  <pageMargins left="0.7" right="0.7" top="0.75" bottom="0.75" header="0.3" footer="0.3"/>
  <pageSetup orientation="portrait" r:id="rId1"/>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0"/>
  <dimension ref="A1:U110"/>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850</v>
      </c>
      <c r="B2" s="360">
        <v>43682</v>
      </c>
      <c r="C2" s="7">
        <v>100</v>
      </c>
      <c r="D2" s="43">
        <v>28.38</v>
      </c>
      <c r="E2" s="43">
        <v>0</v>
      </c>
      <c r="F2" s="43">
        <f>C2*D2+E2</f>
        <v>2838</v>
      </c>
      <c r="G2" s="360">
        <v>43719</v>
      </c>
      <c r="H2" s="7">
        <v>100</v>
      </c>
      <c r="I2" s="43">
        <v>31.08</v>
      </c>
      <c r="J2" s="43">
        <v>0.06</v>
      </c>
      <c r="K2" s="43">
        <f>H2*I2-J2</f>
        <v>3107.94</v>
      </c>
      <c r="L2" s="69">
        <v>43707</v>
      </c>
      <c r="M2" s="43">
        <v>14.65</v>
      </c>
      <c r="O2" s="11" t="s">
        <v>57</v>
      </c>
      <c r="Q2">
        <f>C18-H18</f>
        <v>0</v>
      </c>
      <c r="T2" s="1"/>
      <c r="U2" t="s">
        <v>855</v>
      </c>
    </row>
    <row r="3" spans="1:21" x14ac:dyDescent="0.25">
      <c r="A3" s="22" t="s">
        <v>71</v>
      </c>
      <c r="B3" s="69"/>
      <c r="C3" s="4"/>
      <c r="D3" s="3"/>
      <c r="E3" s="3"/>
      <c r="F3" s="3"/>
      <c r="G3" s="69"/>
      <c r="H3" s="158"/>
      <c r="I3" s="3"/>
      <c r="J3" s="3"/>
      <c r="K3" s="3"/>
      <c r="L3" s="69"/>
      <c r="M3" s="4"/>
      <c r="O3" s="11" t="s">
        <v>58</v>
      </c>
      <c r="Q3" s="174">
        <f>IF(Q2=0, Q4, (F18-K18-M18)/Q2)</f>
        <v>30.8</v>
      </c>
      <c r="T3" s="1"/>
    </row>
    <row r="4" spans="1:21" x14ac:dyDescent="0.25">
      <c r="B4" s="69"/>
      <c r="C4" s="4"/>
      <c r="D4" s="3"/>
      <c r="E4" s="3"/>
      <c r="F4" s="3"/>
      <c r="G4" s="69"/>
      <c r="H4" s="158"/>
      <c r="I4" s="3"/>
      <c r="J4" s="3"/>
      <c r="K4" s="3"/>
      <c r="L4" s="69"/>
      <c r="M4" s="4"/>
      <c r="O4" s="11" t="s">
        <v>66</v>
      </c>
      <c r="Q4" s="53">
        <v>30.8</v>
      </c>
      <c r="R4" s="416">
        <v>-8.0000000000000002E-3</v>
      </c>
      <c r="T4" s="680"/>
      <c r="U4" s="30"/>
    </row>
    <row r="5" spans="1:21" x14ac:dyDescent="0.25">
      <c r="B5" s="69"/>
      <c r="C5" s="4"/>
      <c r="D5" s="3"/>
      <c r="E5" s="3"/>
      <c r="F5" s="3"/>
      <c r="G5" s="69"/>
      <c r="H5" s="158"/>
      <c r="I5" s="3"/>
      <c r="J5" s="3"/>
      <c r="K5" s="3"/>
      <c r="L5" s="69"/>
      <c r="M5" s="3"/>
      <c r="O5" s="11" t="s">
        <v>67</v>
      </c>
      <c r="Q5" s="3">
        <f>Q4*Q2</f>
        <v>0</v>
      </c>
    </row>
    <row r="6" spans="1:21" x14ac:dyDescent="0.25">
      <c r="B6" s="69"/>
      <c r="C6" s="4"/>
      <c r="D6" s="3"/>
      <c r="E6" s="3"/>
      <c r="F6" s="3"/>
      <c r="G6" s="69"/>
      <c r="H6" s="158"/>
      <c r="I6" s="3"/>
      <c r="J6" s="3"/>
      <c r="K6" s="3"/>
      <c r="L6" s="69"/>
      <c r="M6" s="3"/>
      <c r="O6" s="11" t="s">
        <v>64</v>
      </c>
      <c r="Q6" s="2">
        <f>Q3*Q2</f>
        <v>0</v>
      </c>
    </row>
    <row r="7" spans="1:21" x14ac:dyDescent="0.25">
      <c r="B7" s="4"/>
      <c r="C7" s="4"/>
      <c r="D7" s="3"/>
      <c r="E7" s="3"/>
      <c r="F7" s="3"/>
      <c r="G7" s="4"/>
      <c r="H7" s="158"/>
      <c r="I7" s="3"/>
      <c r="J7" s="3"/>
      <c r="K7" s="3"/>
      <c r="L7" s="69"/>
      <c r="M7" s="3"/>
      <c r="O7" s="11" t="s">
        <v>175</v>
      </c>
      <c r="Q7" s="2">
        <f>Q10+Q8</f>
        <v>1368.8499999999985</v>
      </c>
      <c r="R7">
        <v>0</v>
      </c>
    </row>
    <row r="8" spans="1:21" x14ac:dyDescent="0.25">
      <c r="B8" s="69"/>
      <c r="C8" s="4"/>
      <c r="D8" s="3"/>
      <c r="E8" s="3"/>
      <c r="F8" s="3"/>
      <c r="G8" s="4"/>
      <c r="H8" s="158"/>
      <c r="I8" s="3"/>
      <c r="J8" s="3"/>
      <c r="K8" s="3"/>
      <c r="L8" s="4"/>
      <c r="M8" s="4"/>
      <c r="O8" s="11" t="s">
        <v>177</v>
      </c>
      <c r="P8" s="33"/>
      <c r="Q8" s="2">
        <f>K18+M18-F18+Q2*Q4</f>
        <v>284.59000000000015</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1084.2599999999984</v>
      </c>
    </row>
    <row r="11" spans="1:21" x14ac:dyDescent="0.25">
      <c r="B11" s="4"/>
      <c r="C11" s="4"/>
      <c r="D11" s="3"/>
      <c r="E11" s="3"/>
      <c r="F11" s="3"/>
      <c r="G11" s="4"/>
      <c r="H11" s="158"/>
      <c r="I11" s="3"/>
      <c r="J11" s="3"/>
      <c r="K11" s="3"/>
      <c r="L11" s="4"/>
      <c r="M11" s="4"/>
      <c r="O11" s="11" t="s">
        <v>173</v>
      </c>
      <c r="P11" s="33"/>
      <c r="Q11" s="131">
        <f>R11*12/Q4</f>
        <v>8.5714285714285715E-2</v>
      </c>
      <c r="R11">
        <f>0.22</f>
        <v>0.22</v>
      </c>
    </row>
    <row r="12" spans="1:21" x14ac:dyDescent="0.25">
      <c r="H12" s="67"/>
    </row>
    <row r="13" spans="1:21" x14ac:dyDescent="0.25">
      <c r="H13" s="67"/>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33.880000000000003</v>
      </c>
    </row>
    <row r="18" spans="1:16" x14ac:dyDescent="0.25">
      <c r="A18" s="31" t="s">
        <v>81</v>
      </c>
      <c r="B18" s="14"/>
      <c r="C18" s="14">
        <f>SUM(C2:C8)</f>
        <v>100</v>
      </c>
      <c r="D18" s="18"/>
      <c r="E18" s="18"/>
      <c r="F18" s="18">
        <f>SUM(F2:F8)</f>
        <v>2838</v>
      </c>
      <c r="G18" s="14"/>
      <c r="H18" s="68">
        <f>SUM(H2:H6)</f>
        <v>100</v>
      </c>
      <c r="I18" s="18"/>
      <c r="J18" s="18"/>
      <c r="K18" s="18">
        <f>SUM(K2:K6)</f>
        <v>3107.94</v>
      </c>
      <c r="L18" s="14"/>
      <c r="M18" s="18">
        <f>SUM(M2:M10)</f>
        <v>14.65</v>
      </c>
      <c r="O18" s="78">
        <v>1.0900000000000001</v>
      </c>
      <c r="P18" s="78">
        <f t="shared" ref="P18:P37" si="0">O18*$Q$4</f>
        <v>33.572000000000003</v>
      </c>
    </row>
    <row r="19" spans="1:16" ht="15.75" thickBot="1" x14ac:dyDescent="0.3">
      <c r="A19" s="273" t="s">
        <v>189</v>
      </c>
      <c r="B19" s="274"/>
      <c r="C19" s="275">
        <f>SumByColor($A$19,C2:C17)</f>
        <v>100</v>
      </c>
      <c r="D19" s="275"/>
      <c r="E19" s="275"/>
      <c r="F19" s="276">
        <f>SumByColor($A$19,F2:F17)</f>
        <v>2838</v>
      </c>
      <c r="G19" s="275"/>
      <c r="H19" s="275">
        <f>SumByColor($A$19,H2:H17)</f>
        <v>100</v>
      </c>
      <c r="I19" s="275"/>
      <c r="J19" s="275"/>
      <c r="K19" s="276">
        <f>SumByColor($A$19,K2:K17)</f>
        <v>3108</v>
      </c>
      <c r="L19" s="275"/>
      <c r="M19" s="276">
        <f>SumByColor($A$19,M2:M17)</f>
        <v>15</v>
      </c>
      <c r="O19" s="78">
        <v>1.08</v>
      </c>
      <c r="P19" s="78">
        <f t="shared" si="0"/>
        <v>33.264000000000003</v>
      </c>
    </row>
    <row r="20" spans="1:16" x14ac:dyDescent="0.25">
      <c r="O20" s="78">
        <v>1.07</v>
      </c>
      <c r="P20" s="78">
        <f t="shared" si="0"/>
        <v>32.956000000000003</v>
      </c>
    </row>
    <row r="21" spans="1:16" x14ac:dyDescent="0.25">
      <c r="O21" s="78">
        <v>1.06</v>
      </c>
      <c r="P21" s="78">
        <f t="shared" si="0"/>
        <v>32.648000000000003</v>
      </c>
    </row>
    <row r="22" spans="1:16" x14ac:dyDescent="0.25">
      <c r="O22" s="78">
        <v>1.05</v>
      </c>
      <c r="P22" s="78">
        <f t="shared" si="0"/>
        <v>32.340000000000003</v>
      </c>
    </row>
    <row r="23" spans="1:16" x14ac:dyDescent="0.25">
      <c r="O23" s="78">
        <v>1.04</v>
      </c>
      <c r="P23" s="78">
        <f t="shared" si="0"/>
        <v>32.032000000000004</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607</v>
      </c>
      <c r="O24" s="78">
        <v>1.03</v>
      </c>
      <c r="P24" s="78">
        <f t="shared" si="0"/>
        <v>31.724</v>
      </c>
    </row>
    <row r="25" spans="1:16" x14ac:dyDescent="0.25">
      <c r="A25">
        <v>0</v>
      </c>
      <c r="B25" s="161">
        <v>43707</v>
      </c>
      <c r="C25" s="10">
        <v>100</v>
      </c>
      <c r="D25" s="39">
        <v>28.233499999999999</v>
      </c>
      <c r="E25" s="39">
        <v>29.27</v>
      </c>
      <c r="F25" s="39">
        <f>C25*(E25-D25)</f>
        <v>103.65000000000002</v>
      </c>
      <c r="G25" s="39">
        <f>D25*C25</f>
        <v>2823.35</v>
      </c>
      <c r="H25" s="175">
        <f>(E25-D25)/D25</f>
        <v>3.6711707723094913E-2</v>
      </c>
      <c r="I25" s="39"/>
      <c r="J25" s="760">
        <f>F25+$M$66</f>
        <v>1187.9099999999985</v>
      </c>
      <c r="K25" s="39"/>
      <c r="L25" s="39"/>
      <c r="O25" s="78">
        <v>1.02</v>
      </c>
      <c r="P25" s="78">
        <f t="shared" si="0"/>
        <v>31.416</v>
      </c>
    </row>
    <row r="26" spans="1:16" x14ac:dyDescent="0.25">
      <c r="B26" s="161">
        <v>43719</v>
      </c>
      <c r="C26" s="10">
        <v>0</v>
      </c>
      <c r="D26" s="39">
        <v>28.23</v>
      </c>
      <c r="E26" s="39">
        <v>31.44</v>
      </c>
      <c r="F26" s="39"/>
      <c r="G26" s="39"/>
      <c r="H26" s="175"/>
      <c r="I26" s="39"/>
      <c r="J26" s="760">
        <v>1368.85</v>
      </c>
      <c r="K26" s="39"/>
      <c r="L26" s="39"/>
      <c r="O26" s="78">
        <v>1.01</v>
      </c>
      <c r="P26" s="78">
        <f t="shared" si="0"/>
        <v>31.108000000000001</v>
      </c>
    </row>
    <row r="27" spans="1:16" x14ac:dyDescent="0.25">
      <c r="B27" s="161"/>
      <c r="C27" s="10"/>
      <c r="D27" s="39"/>
      <c r="E27" s="39"/>
      <c r="F27" s="39"/>
      <c r="G27" s="39"/>
      <c r="H27" s="175"/>
      <c r="I27" s="39"/>
      <c r="J27" s="39"/>
      <c r="K27" s="39"/>
      <c r="L27" s="39"/>
      <c r="O27" s="78">
        <v>1</v>
      </c>
      <c r="P27" s="78">
        <f t="shared" si="0"/>
        <v>30.8</v>
      </c>
    </row>
    <row r="28" spans="1:16" x14ac:dyDescent="0.25">
      <c r="B28" s="161"/>
      <c r="C28" s="10"/>
      <c r="D28" s="39"/>
      <c r="E28" s="39"/>
      <c r="F28" s="39"/>
      <c r="G28" s="39"/>
      <c r="H28" s="175"/>
      <c r="I28" s="39"/>
      <c r="J28" s="39"/>
      <c r="K28" s="39"/>
      <c r="L28" s="39"/>
      <c r="O28" s="78">
        <v>0.99</v>
      </c>
      <c r="P28" s="78">
        <f t="shared" si="0"/>
        <v>30.492000000000001</v>
      </c>
    </row>
    <row r="29" spans="1:16" x14ac:dyDescent="0.25">
      <c r="B29" s="161"/>
      <c r="C29" s="10"/>
      <c r="D29" s="39"/>
      <c r="E29" s="39"/>
      <c r="F29" s="39"/>
      <c r="G29" s="39"/>
      <c r="H29" s="175"/>
      <c r="I29" s="39"/>
      <c r="J29" s="39"/>
      <c r="K29" s="39"/>
      <c r="L29" s="39"/>
      <c r="O29" s="78">
        <v>0.98</v>
      </c>
      <c r="P29" s="78">
        <f t="shared" si="0"/>
        <v>30.184000000000001</v>
      </c>
    </row>
    <row r="30" spans="1:16" x14ac:dyDescent="0.25">
      <c r="B30" s="161"/>
      <c r="C30" s="10"/>
      <c r="D30" s="39"/>
      <c r="E30" s="39"/>
      <c r="F30" s="39"/>
      <c r="G30" s="39"/>
      <c r="H30" s="175"/>
      <c r="I30" s="39"/>
      <c r="J30" s="39"/>
      <c r="K30" s="39"/>
      <c r="L30" s="39"/>
      <c r="O30" s="78">
        <v>0.97</v>
      </c>
      <c r="P30" s="78">
        <f t="shared" si="0"/>
        <v>29.876000000000001</v>
      </c>
    </row>
    <row r="31" spans="1:16" x14ac:dyDescent="0.25">
      <c r="B31" s="161"/>
      <c r="C31" s="10"/>
      <c r="D31" s="39"/>
      <c r="E31" s="39"/>
      <c r="F31" s="39"/>
      <c r="G31" s="39"/>
      <c r="H31" s="175"/>
      <c r="I31" s="39"/>
      <c r="J31" s="39"/>
      <c r="K31" s="39"/>
      <c r="L31" s="39"/>
      <c r="O31" s="78">
        <v>0.96</v>
      </c>
      <c r="P31" s="78">
        <f t="shared" si="0"/>
        <v>29.567999999999998</v>
      </c>
    </row>
    <row r="32" spans="1:16" x14ac:dyDescent="0.25">
      <c r="B32" s="161"/>
      <c r="C32" s="10"/>
      <c r="D32" s="39"/>
      <c r="E32" s="39"/>
      <c r="F32" s="39"/>
      <c r="G32" s="39"/>
      <c r="H32" s="175"/>
      <c r="I32" s="39"/>
      <c r="J32" s="39"/>
      <c r="K32" s="39"/>
      <c r="L32" s="39"/>
      <c r="O32" s="78">
        <v>0.95</v>
      </c>
      <c r="P32" s="78">
        <f t="shared" si="0"/>
        <v>29.259999999999998</v>
      </c>
    </row>
    <row r="33" spans="2:17" x14ac:dyDescent="0.25">
      <c r="B33" s="161"/>
      <c r="C33" s="10"/>
      <c r="D33" s="39"/>
      <c r="E33" s="39"/>
      <c r="F33" s="39"/>
      <c r="G33" s="39"/>
      <c r="H33" s="175"/>
      <c r="I33" s="39"/>
      <c r="J33" s="39"/>
      <c r="K33" s="39"/>
      <c r="L33" s="39"/>
      <c r="O33" s="78">
        <v>0.94</v>
      </c>
      <c r="P33" s="78">
        <f t="shared" si="0"/>
        <v>28.951999999999998</v>
      </c>
    </row>
    <row r="34" spans="2:17" x14ac:dyDescent="0.25">
      <c r="B34" s="161"/>
      <c r="C34" s="10"/>
      <c r="D34" s="39"/>
      <c r="E34" s="39"/>
      <c r="F34" s="39"/>
      <c r="G34" s="39"/>
      <c r="H34" s="175"/>
      <c r="I34" s="39"/>
      <c r="J34" s="39"/>
      <c r="K34" s="39"/>
      <c r="L34" s="39"/>
      <c r="O34" s="78">
        <v>0.93</v>
      </c>
      <c r="P34" s="78">
        <f t="shared" si="0"/>
        <v>28.644000000000002</v>
      </c>
    </row>
    <row r="35" spans="2:17" x14ac:dyDescent="0.25">
      <c r="B35" s="161"/>
      <c r="C35" s="10"/>
      <c r="D35" s="39"/>
      <c r="E35" s="39"/>
      <c r="F35" s="39"/>
      <c r="G35" s="39"/>
      <c r="H35" s="175"/>
      <c r="I35" s="39"/>
      <c r="J35" s="39"/>
      <c r="K35" s="39"/>
      <c r="L35" s="39"/>
      <c r="O35" s="78">
        <v>0.92</v>
      </c>
      <c r="P35" s="78">
        <f t="shared" si="0"/>
        <v>28.336000000000002</v>
      </c>
    </row>
    <row r="36" spans="2:17" x14ac:dyDescent="0.25">
      <c r="B36" s="161"/>
      <c r="C36" s="10"/>
      <c r="D36" s="39"/>
      <c r="E36" s="39"/>
      <c r="F36" s="39"/>
      <c r="G36" s="39"/>
      <c r="H36" s="175"/>
      <c r="I36" s="39"/>
      <c r="J36" s="39"/>
      <c r="K36" s="39"/>
      <c r="L36" s="39"/>
      <c r="O36" s="78">
        <v>0.91</v>
      </c>
      <c r="P36" s="78">
        <f t="shared" si="0"/>
        <v>28.028000000000002</v>
      </c>
    </row>
    <row r="37" spans="2:17" x14ac:dyDescent="0.25">
      <c r="B37" s="161"/>
      <c r="C37" s="10"/>
      <c r="D37" s="39"/>
      <c r="E37" s="39"/>
      <c r="F37" s="39"/>
      <c r="G37" s="39"/>
      <c r="H37" s="175"/>
      <c r="I37" s="39"/>
      <c r="J37" s="39"/>
      <c r="K37" s="39"/>
      <c r="L37" s="39"/>
      <c r="O37" s="78">
        <v>0.9</v>
      </c>
      <c r="P37" s="78">
        <f t="shared" si="0"/>
        <v>27.720000000000002</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1084.2599999999984</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850</v>
      </c>
      <c r="B68" s="360">
        <v>43137</v>
      </c>
      <c r="C68" s="7">
        <v>200</v>
      </c>
      <c r="D68" s="43">
        <v>30.58</v>
      </c>
      <c r="E68" s="43">
        <v>0</v>
      </c>
      <c r="F68" s="43">
        <f t="shared" ref="F68:F72" si="1">C68*D68+E68</f>
        <v>6116</v>
      </c>
      <c r="G68" s="360">
        <v>43194</v>
      </c>
      <c r="H68" s="7">
        <v>200</v>
      </c>
      <c r="I68" s="43">
        <v>31.68</v>
      </c>
      <c r="J68" s="43">
        <v>0.15</v>
      </c>
      <c r="K68" s="43">
        <f>H68*I68-J68</f>
        <v>6335.85</v>
      </c>
      <c r="L68" s="69">
        <v>43159</v>
      </c>
      <c r="M68" s="43">
        <v>44.03</v>
      </c>
    </row>
    <row r="69" spans="1:13" x14ac:dyDescent="0.25">
      <c r="A69" s="600"/>
      <c r="B69" s="360">
        <v>43167</v>
      </c>
      <c r="C69" s="7">
        <v>100</v>
      </c>
      <c r="D69" s="43">
        <v>31.44</v>
      </c>
      <c r="E69" s="43">
        <v>-0.5</v>
      </c>
      <c r="F69" s="43">
        <f t="shared" si="1"/>
        <v>3143.5</v>
      </c>
      <c r="G69" s="360">
        <v>43217</v>
      </c>
      <c r="H69" s="77">
        <v>100</v>
      </c>
      <c r="I69" s="43">
        <v>31.7</v>
      </c>
      <c r="J69" s="43">
        <v>7.0000000000000007E-2</v>
      </c>
      <c r="K69" s="43">
        <f>H69*I69-J69</f>
        <v>3169.93</v>
      </c>
      <c r="L69" s="69">
        <v>43188</v>
      </c>
      <c r="M69" s="7">
        <v>65.92</v>
      </c>
    </row>
    <row r="70" spans="1:13" x14ac:dyDescent="0.25">
      <c r="A70" s="478"/>
      <c r="B70" s="360">
        <v>43178</v>
      </c>
      <c r="C70" s="7">
        <v>100</v>
      </c>
      <c r="D70" s="43">
        <v>30.85</v>
      </c>
      <c r="E70" s="43">
        <v>0</v>
      </c>
      <c r="F70" s="43">
        <f t="shared" si="1"/>
        <v>3085</v>
      </c>
      <c r="G70" s="360">
        <v>43227</v>
      </c>
      <c r="H70" s="77">
        <v>100</v>
      </c>
      <c r="I70" s="43">
        <v>32.85</v>
      </c>
      <c r="J70" s="43">
        <v>0.08</v>
      </c>
      <c r="K70" s="43">
        <f>H70*I70-J70</f>
        <v>3284.92</v>
      </c>
      <c r="L70" s="69">
        <v>43221</v>
      </c>
      <c r="M70" s="7">
        <v>67.83</v>
      </c>
    </row>
    <row r="71" spans="1:13" x14ac:dyDescent="0.25">
      <c r="A71" s="478"/>
      <c r="B71" s="360">
        <v>43209</v>
      </c>
      <c r="C71" s="7">
        <v>100</v>
      </c>
      <c r="D71" s="43">
        <v>31.14</v>
      </c>
      <c r="E71" s="43">
        <v>0</v>
      </c>
      <c r="F71" s="43">
        <f t="shared" si="1"/>
        <v>3114</v>
      </c>
      <c r="G71" s="360">
        <v>43243</v>
      </c>
      <c r="H71" s="77">
        <v>100</v>
      </c>
      <c r="I71" s="43">
        <v>33.18</v>
      </c>
      <c r="J71" s="43">
        <v>0.04</v>
      </c>
      <c r="K71" s="43">
        <f>H71*I71-J71</f>
        <v>3317.96</v>
      </c>
      <c r="L71" s="69">
        <v>43251</v>
      </c>
      <c r="M71" s="43">
        <v>17.84</v>
      </c>
    </row>
    <row r="72" spans="1:13" x14ac:dyDescent="0.25">
      <c r="A72" s="478"/>
      <c r="B72" s="360">
        <v>43451</v>
      </c>
      <c r="C72" s="7">
        <v>100</v>
      </c>
      <c r="D72" s="43">
        <v>29.8</v>
      </c>
      <c r="E72" s="43">
        <v>0</v>
      </c>
      <c r="F72" s="43">
        <f t="shared" si="1"/>
        <v>2980</v>
      </c>
      <c r="G72" s="360">
        <v>43495</v>
      </c>
      <c r="H72" s="77">
        <v>100</v>
      </c>
      <c r="I72" s="43">
        <v>31.84</v>
      </c>
      <c r="J72" s="43">
        <v>0.04</v>
      </c>
      <c r="K72" s="43">
        <f>H72*I72-J72</f>
        <v>3183.96</v>
      </c>
      <c r="L72" s="69">
        <v>43465</v>
      </c>
      <c r="M72" s="43">
        <v>17.399999999999999</v>
      </c>
    </row>
    <row r="73" spans="1:13" x14ac:dyDescent="0.25">
      <c r="A73" s="478"/>
      <c r="B73" s="69"/>
      <c r="C73" s="4"/>
      <c r="D73" s="3"/>
      <c r="E73" s="3"/>
      <c r="F73" s="3"/>
      <c r="G73" s="4"/>
      <c r="H73" s="158"/>
      <c r="I73" s="3"/>
      <c r="J73" s="3"/>
      <c r="K73" s="3"/>
      <c r="L73" s="69">
        <v>43496</v>
      </c>
      <c r="M73" s="43">
        <v>17.12</v>
      </c>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SUM(C68:C83)</f>
        <v>600</v>
      </c>
      <c r="D84" s="603"/>
      <c r="E84" s="603"/>
      <c r="F84" s="603">
        <f>SUM(F68:F83)</f>
        <v>18438.5</v>
      </c>
      <c r="G84" s="602"/>
      <c r="H84" s="604">
        <f>SUM(H68:H83)</f>
        <v>600</v>
      </c>
      <c r="I84" s="603"/>
      <c r="J84" s="603"/>
      <c r="K84" s="603">
        <f>SUM(K68:K83)</f>
        <v>19292.62</v>
      </c>
      <c r="L84" s="602"/>
      <c r="M84" s="603">
        <f>SUM(M68:M83)</f>
        <v>230.14000000000001</v>
      </c>
    </row>
    <row r="85" spans="1:13" ht="15.75" thickBot="1" x14ac:dyDescent="0.3">
      <c r="A85" s="605" t="s">
        <v>189</v>
      </c>
      <c r="B85" s="637"/>
      <c r="C85" s="606">
        <f>SumByColor($A$19,C68:C83)</f>
        <v>600</v>
      </c>
      <c r="D85" s="606"/>
      <c r="E85" s="606"/>
      <c r="F85" s="607">
        <f>SumByColor($A$19,F68:F83)</f>
        <v>18439</v>
      </c>
      <c r="G85" s="606"/>
      <c r="H85" s="606">
        <f>SumByColor($A$19,H68:H83)</f>
        <v>600</v>
      </c>
      <c r="I85" s="606"/>
      <c r="J85" s="606"/>
      <c r="K85" s="607">
        <f>SumByColor($A$19,K68:K83)</f>
        <v>19293</v>
      </c>
      <c r="L85" s="606"/>
      <c r="M85" s="607">
        <f>SumByColor($A$19,M68:M83)</f>
        <v>230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v>43137</v>
      </c>
      <c r="C89" s="10">
        <v>200</v>
      </c>
      <c r="D89" s="39">
        <v>30.58</v>
      </c>
      <c r="E89" s="39">
        <v>31.24</v>
      </c>
      <c r="F89" s="39">
        <f t="shared" ref="F89:F100" si="2">C89*(E89-D89)</f>
        <v>132.00000000000003</v>
      </c>
      <c r="G89" s="39">
        <f t="shared" ref="G89:G100" si="3">D89*C89</f>
        <v>6116</v>
      </c>
      <c r="H89" s="175">
        <f t="shared" ref="H89:H100" si="4">(E89-D89)/D89</f>
        <v>2.1582733812949645E-2</v>
      </c>
      <c r="I89" s="39"/>
      <c r="J89" s="39">
        <f>F89</f>
        <v>132.00000000000003</v>
      </c>
      <c r="K89" s="39"/>
      <c r="L89" s="39"/>
    </row>
    <row r="90" spans="1:13" x14ac:dyDescent="0.25">
      <c r="B90" s="161">
        <v>43160</v>
      </c>
      <c r="C90" s="10">
        <v>200</v>
      </c>
      <c r="D90" s="39">
        <v>30.3599</v>
      </c>
      <c r="E90" s="39">
        <v>30.75</v>
      </c>
      <c r="F90" s="39">
        <f t="shared" si="2"/>
        <v>78.020000000000067</v>
      </c>
      <c r="G90" s="39">
        <f t="shared" si="3"/>
        <v>6071.98</v>
      </c>
      <c r="H90" s="175">
        <f t="shared" si="4"/>
        <v>1.284918593276E-2</v>
      </c>
      <c r="I90" s="39"/>
      <c r="J90" s="39">
        <f t="shared" ref="J90:J104" si="5">F90</f>
        <v>78.020000000000067</v>
      </c>
      <c r="K90" s="39"/>
      <c r="L90" s="39"/>
    </row>
    <row r="91" spans="1:13" x14ac:dyDescent="0.25">
      <c r="B91" s="161">
        <v>43167</v>
      </c>
      <c r="C91" s="7">
        <v>300</v>
      </c>
      <c r="D91" s="43">
        <v>30.718</v>
      </c>
      <c r="E91" s="39">
        <v>31.44</v>
      </c>
      <c r="F91" s="39">
        <f t="shared" si="2"/>
        <v>216.60000000000039</v>
      </c>
      <c r="G91" s="39">
        <f t="shared" si="3"/>
        <v>9215.4</v>
      </c>
      <c r="H91" s="175">
        <f t="shared" si="4"/>
        <v>2.3504134383748983E-2</v>
      </c>
      <c r="I91" s="39"/>
      <c r="J91" s="39">
        <f t="shared" si="5"/>
        <v>216.60000000000039</v>
      </c>
      <c r="K91" s="39"/>
      <c r="L91" s="152"/>
    </row>
    <row r="92" spans="1:13" x14ac:dyDescent="0.25">
      <c r="B92" s="161">
        <v>43178</v>
      </c>
      <c r="C92" s="10">
        <v>400</v>
      </c>
      <c r="D92" s="39">
        <v>30.75</v>
      </c>
      <c r="E92" s="39">
        <v>31.04</v>
      </c>
      <c r="F92" s="39">
        <f t="shared" si="2"/>
        <v>115.99999999999966</v>
      </c>
      <c r="G92" s="39">
        <f t="shared" si="3"/>
        <v>12300</v>
      </c>
      <c r="H92" s="175">
        <f t="shared" si="4"/>
        <v>9.4308943089430625E-3</v>
      </c>
      <c r="I92" s="39"/>
      <c r="J92" s="39">
        <f t="shared" si="5"/>
        <v>115.99999999999966</v>
      </c>
      <c r="K92" s="39"/>
      <c r="L92" s="152"/>
    </row>
    <row r="93" spans="1:13" x14ac:dyDescent="0.25">
      <c r="B93" s="161">
        <v>43184</v>
      </c>
      <c r="C93" s="10">
        <v>400</v>
      </c>
      <c r="D93" s="39">
        <v>30.75</v>
      </c>
      <c r="E93" s="39">
        <v>29.9</v>
      </c>
      <c r="F93" s="39">
        <f t="shared" si="2"/>
        <v>-340.00000000000057</v>
      </c>
      <c r="G93" s="39">
        <f t="shared" si="3"/>
        <v>12300</v>
      </c>
      <c r="H93" s="175">
        <f t="shared" si="4"/>
        <v>-2.7642276422764275E-2</v>
      </c>
      <c r="I93" s="39"/>
      <c r="J93" s="39">
        <f t="shared" si="5"/>
        <v>-340.00000000000057</v>
      </c>
      <c r="K93" s="39"/>
      <c r="L93" s="152"/>
    </row>
    <row r="94" spans="1:13" x14ac:dyDescent="0.25">
      <c r="B94" s="161">
        <v>43185</v>
      </c>
      <c r="C94" s="10">
        <v>400</v>
      </c>
      <c r="D94" s="39">
        <v>30.75</v>
      </c>
      <c r="E94" s="39">
        <v>30.15</v>
      </c>
      <c r="F94" s="39">
        <f t="shared" si="2"/>
        <v>-240.00000000000057</v>
      </c>
      <c r="G94" s="39">
        <f t="shared" si="3"/>
        <v>12300</v>
      </c>
      <c r="H94" s="175">
        <f t="shared" si="4"/>
        <v>-1.9512195121951265E-2</v>
      </c>
      <c r="I94" s="39"/>
      <c r="J94" s="39">
        <f t="shared" si="5"/>
        <v>-240.00000000000057</v>
      </c>
      <c r="K94" s="39"/>
      <c r="L94" s="152"/>
    </row>
    <row r="95" spans="1:13" x14ac:dyDescent="0.25">
      <c r="B95" s="161">
        <v>43191</v>
      </c>
      <c r="C95" s="10">
        <v>400</v>
      </c>
      <c r="D95" s="39">
        <v>30.586400000000001</v>
      </c>
      <c r="E95" s="39">
        <v>31.26</v>
      </c>
      <c r="F95" s="39">
        <f t="shared" si="2"/>
        <v>269.44000000000017</v>
      </c>
      <c r="G95" s="39">
        <f t="shared" si="3"/>
        <v>12234.560000000001</v>
      </c>
      <c r="H95" s="175">
        <f t="shared" si="4"/>
        <v>2.2022859833128461E-2</v>
      </c>
      <c r="I95" s="39"/>
      <c r="J95" s="39">
        <f t="shared" si="5"/>
        <v>269.44000000000017</v>
      </c>
      <c r="K95" s="39"/>
      <c r="L95" s="152"/>
    </row>
    <row r="96" spans="1:13" x14ac:dyDescent="0.25">
      <c r="A96">
        <v>0</v>
      </c>
      <c r="B96" s="161">
        <v>43194</v>
      </c>
      <c r="C96" s="10">
        <v>200</v>
      </c>
      <c r="D96" s="39">
        <v>29.493500000000001</v>
      </c>
      <c r="E96" s="39">
        <v>31.8</v>
      </c>
      <c r="F96" s="39">
        <f t="shared" si="2"/>
        <v>461.29999999999995</v>
      </c>
      <c r="G96" s="39">
        <f t="shared" si="3"/>
        <v>5898.7</v>
      </c>
      <c r="H96" s="175">
        <f t="shared" si="4"/>
        <v>7.8203671995524429E-2</v>
      </c>
      <c r="I96" s="39"/>
      <c r="J96" s="39">
        <f t="shared" si="5"/>
        <v>461.29999999999995</v>
      </c>
      <c r="K96" s="39"/>
      <c r="L96" s="152"/>
    </row>
    <row r="97" spans="1:12" x14ac:dyDescent="0.25">
      <c r="A97">
        <v>200</v>
      </c>
      <c r="B97" s="161">
        <v>43209</v>
      </c>
      <c r="C97" s="7">
        <v>300</v>
      </c>
      <c r="D97" s="43">
        <v>30.042300000000001</v>
      </c>
      <c r="E97" s="39">
        <v>31.3</v>
      </c>
      <c r="F97" s="39">
        <f t="shared" si="2"/>
        <v>377.30999999999995</v>
      </c>
      <c r="G97" s="39">
        <f t="shared" si="3"/>
        <v>9012.69</v>
      </c>
      <c r="H97" s="175">
        <f t="shared" si="4"/>
        <v>4.1864304663757429E-2</v>
      </c>
      <c r="I97" s="39">
        <v>29.5</v>
      </c>
      <c r="J97" s="39">
        <f t="shared" si="5"/>
        <v>377.30999999999995</v>
      </c>
      <c r="K97" s="39"/>
      <c r="L97" s="152"/>
    </row>
    <row r="98" spans="1:12" x14ac:dyDescent="0.25">
      <c r="A98">
        <v>100</v>
      </c>
      <c r="B98" s="161">
        <v>43217</v>
      </c>
      <c r="C98" s="10">
        <v>200</v>
      </c>
      <c r="D98" s="39">
        <v>29.213899999999999</v>
      </c>
      <c r="E98" s="39">
        <v>31.7</v>
      </c>
      <c r="F98" s="39">
        <f t="shared" si="2"/>
        <v>497.22000000000008</v>
      </c>
      <c r="G98" s="39">
        <f t="shared" si="3"/>
        <v>5842.78</v>
      </c>
      <c r="H98" s="175">
        <f t="shared" si="4"/>
        <v>8.5099901074488532E-2</v>
      </c>
      <c r="I98" s="39"/>
      <c r="J98" s="39">
        <f t="shared" si="5"/>
        <v>497.22000000000008</v>
      </c>
      <c r="K98" s="39"/>
      <c r="L98" s="152"/>
    </row>
    <row r="99" spans="1:12" x14ac:dyDescent="0.25">
      <c r="A99">
        <v>100</v>
      </c>
      <c r="B99" s="161">
        <v>43221</v>
      </c>
      <c r="C99" s="10">
        <v>200</v>
      </c>
      <c r="D99" s="39">
        <v>28.874700000000001</v>
      </c>
      <c r="E99" s="39">
        <v>31.91</v>
      </c>
      <c r="F99" s="39">
        <f t="shared" si="2"/>
        <v>607.05999999999995</v>
      </c>
      <c r="G99" s="39">
        <f t="shared" si="3"/>
        <v>5774.9400000000005</v>
      </c>
      <c r="H99" s="175">
        <f t="shared" si="4"/>
        <v>0.10511970687141337</v>
      </c>
      <c r="I99" s="39"/>
      <c r="J99" s="39">
        <f t="shared" si="5"/>
        <v>607.05999999999995</v>
      </c>
      <c r="K99" s="39"/>
      <c r="L99" s="152"/>
    </row>
    <row r="100" spans="1:12" x14ac:dyDescent="0.25">
      <c r="A100">
        <v>0</v>
      </c>
      <c r="B100" s="161">
        <v>43227</v>
      </c>
      <c r="C100" s="181">
        <v>100</v>
      </c>
      <c r="D100" s="182">
        <v>24.9</v>
      </c>
      <c r="E100" s="39">
        <v>32.85</v>
      </c>
      <c r="F100" s="39">
        <f t="shared" si="2"/>
        <v>795.00000000000023</v>
      </c>
      <c r="G100" s="39">
        <f t="shared" si="3"/>
        <v>2490</v>
      </c>
      <c r="H100" s="175">
        <f t="shared" si="4"/>
        <v>0.31927710843373508</v>
      </c>
      <c r="I100" s="39"/>
      <c r="J100" s="39">
        <f t="shared" si="5"/>
        <v>795.00000000000023</v>
      </c>
      <c r="K100" s="39"/>
      <c r="L100" s="39"/>
    </row>
    <row r="101" spans="1:12" x14ac:dyDescent="0.25">
      <c r="B101" s="161">
        <v>43243</v>
      </c>
      <c r="C101" s="10"/>
      <c r="D101" s="39"/>
      <c r="E101" s="39">
        <v>33.29</v>
      </c>
      <c r="F101" s="39">
        <v>827.94</v>
      </c>
      <c r="G101" s="39"/>
      <c r="H101" s="175"/>
      <c r="I101" s="39"/>
      <c r="J101" s="39">
        <f t="shared" si="5"/>
        <v>827.94</v>
      </c>
      <c r="K101" s="39"/>
      <c r="L101" s="39"/>
    </row>
    <row r="102" spans="1:12" x14ac:dyDescent="0.25">
      <c r="B102" s="161">
        <v>43251</v>
      </c>
      <c r="C102" s="10"/>
      <c r="D102" s="39"/>
      <c r="E102" s="39"/>
      <c r="F102" s="39">
        <v>845.78</v>
      </c>
      <c r="G102" s="39"/>
      <c r="H102" s="175"/>
      <c r="I102" s="39"/>
      <c r="J102" s="39">
        <f t="shared" si="5"/>
        <v>845.78</v>
      </c>
      <c r="K102" s="39"/>
      <c r="L102" s="39"/>
    </row>
    <row r="103" spans="1:12" x14ac:dyDescent="0.25">
      <c r="B103" s="161">
        <v>43451</v>
      </c>
      <c r="C103" s="181">
        <v>100</v>
      </c>
      <c r="D103" s="182">
        <v>21.342199999999998</v>
      </c>
      <c r="E103" s="39">
        <v>29.8</v>
      </c>
      <c r="F103" s="760">
        <f>C103*(E103-D103)</f>
        <v>845.7800000000002</v>
      </c>
      <c r="G103" s="39">
        <f>D103*C103</f>
        <v>2134.2199999999998</v>
      </c>
      <c r="H103" s="175">
        <f>(E103-D103)/D103</f>
        <v>0.39629466502984712</v>
      </c>
      <c r="I103" s="39"/>
      <c r="J103" s="39">
        <f t="shared" si="5"/>
        <v>845.7800000000002</v>
      </c>
      <c r="K103" s="39"/>
      <c r="L103" s="39"/>
    </row>
    <row r="104" spans="1:12" x14ac:dyDescent="0.25">
      <c r="B104" s="161">
        <v>43465</v>
      </c>
      <c r="C104" s="181">
        <v>100</v>
      </c>
      <c r="D104" s="182">
        <v>21.168199999999999</v>
      </c>
      <c r="E104" s="39">
        <v>26.95</v>
      </c>
      <c r="F104" s="39">
        <f>C104*(E104-D104)</f>
        <v>578.18000000000006</v>
      </c>
      <c r="G104" s="39">
        <f>D104*C104</f>
        <v>2116.8199999999997</v>
      </c>
      <c r="H104" s="175">
        <f>(E104-D104)/D104</f>
        <v>0.27313611927324954</v>
      </c>
      <c r="I104" s="39"/>
      <c r="J104" s="39">
        <f t="shared" si="5"/>
        <v>578.18000000000006</v>
      </c>
      <c r="K104" s="39"/>
      <c r="L104" s="39"/>
    </row>
    <row r="105" spans="1:12" x14ac:dyDescent="0.25">
      <c r="B105" s="161">
        <v>43496</v>
      </c>
      <c r="C105" s="10">
        <v>0</v>
      </c>
      <c r="D105" s="39">
        <v>21.17</v>
      </c>
      <c r="E105" s="39">
        <v>31.82</v>
      </c>
      <c r="F105" s="39"/>
      <c r="G105" s="39"/>
      <c r="H105" s="175"/>
      <c r="I105" s="39"/>
      <c r="J105" s="760">
        <v>1084.26</v>
      </c>
      <c r="K105" s="39" t="s">
        <v>182</v>
      </c>
      <c r="L105" s="39"/>
    </row>
    <row r="106" spans="1:12" x14ac:dyDescent="0.25">
      <c r="B106" s="161">
        <v>43682</v>
      </c>
      <c r="C106" s="10">
        <v>100</v>
      </c>
      <c r="D106" s="39">
        <v>17.537400000000002</v>
      </c>
      <c r="E106" s="39">
        <v>28.38</v>
      </c>
      <c r="F106" s="39">
        <f>C106*(E106-D106)</f>
        <v>1084.2599999999998</v>
      </c>
      <c r="G106" s="39">
        <f>D106*C106</f>
        <v>1753.7400000000002</v>
      </c>
      <c r="H106" s="175">
        <f>(E106-D106)/D106</f>
        <v>0.61825584180095094</v>
      </c>
      <c r="I106" s="39"/>
      <c r="J106" s="760">
        <v>1084.26</v>
      </c>
      <c r="K106" s="39"/>
      <c r="L106" s="39"/>
    </row>
    <row r="107" spans="1:12" x14ac:dyDescent="0.25">
      <c r="B107" s="161"/>
      <c r="C107" s="10"/>
      <c r="D107" s="39"/>
      <c r="E107" s="39"/>
      <c r="F107" s="39"/>
      <c r="G107" s="39"/>
      <c r="H107" s="175"/>
      <c r="I107" s="39"/>
      <c r="J107" s="39"/>
      <c r="K107" s="39"/>
      <c r="L107" s="39"/>
    </row>
    <row r="108" spans="1:12" x14ac:dyDescent="0.25">
      <c r="B108" s="161"/>
      <c r="C108" s="10"/>
      <c r="D108" s="39"/>
      <c r="E108" s="39"/>
      <c r="F108" s="39"/>
      <c r="G108" s="39"/>
      <c r="H108" s="175"/>
      <c r="I108" s="39"/>
      <c r="J108" s="39"/>
      <c r="K108" s="39"/>
      <c r="L108" s="39"/>
    </row>
    <row r="109" spans="1:12" x14ac:dyDescent="0.25">
      <c r="B109" s="161"/>
      <c r="C109" s="10"/>
      <c r="D109" s="39"/>
      <c r="E109" s="39"/>
      <c r="F109" s="39"/>
      <c r="G109" s="39"/>
      <c r="H109" s="175"/>
      <c r="I109" s="39"/>
      <c r="J109" s="39"/>
      <c r="K109" s="39"/>
      <c r="L109" s="39"/>
    </row>
    <row r="110" spans="1: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76">
      <colorScale>
        <cfvo type="min"/>
        <cfvo type="percentile" val="50"/>
        <cfvo type="max"/>
        <color rgb="FFF8696B"/>
        <color rgb="FFFFEB84"/>
        <color rgb="FF63BE7B"/>
      </colorScale>
    </cfRule>
  </conditionalFormatting>
  <conditionalFormatting sqref="P17:P37">
    <cfRule type="colorScale" priority="75">
      <colorScale>
        <cfvo type="min"/>
        <cfvo type="percentile" val="50"/>
        <cfvo type="max"/>
        <color rgb="FFF8696B"/>
        <color rgb="FFFFEB84"/>
        <color rgb="FF63BE7B"/>
      </colorScale>
    </cfRule>
  </conditionalFormatting>
  <conditionalFormatting sqref="F47:F63 H47:H63 F25 H25 J25">
    <cfRule type="expression" dxfId="2193" priority="73">
      <formula>F25&gt;0</formula>
    </cfRule>
    <cfRule type="expression" dxfId="2192" priority="74">
      <formula>F25&lt;0</formula>
    </cfRule>
  </conditionalFormatting>
  <conditionalFormatting sqref="Q7">
    <cfRule type="expression" dxfId="2191" priority="71">
      <formula>Q7&gt;0</formula>
    </cfRule>
    <cfRule type="expression" dxfId="2190" priority="72">
      <formula>Q7&lt;0</formula>
    </cfRule>
  </conditionalFormatting>
  <conditionalFormatting sqref="Q8">
    <cfRule type="expression" dxfId="2189" priority="69">
      <formula>Q8&gt;0</formula>
    </cfRule>
    <cfRule type="expression" dxfId="2188" priority="70">
      <formula>Q8&lt;0</formula>
    </cfRule>
  </conditionalFormatting>
  <conditionalFormatting sqref="Q10">
    <cfRule type="expression" dxfId="2187" priority="63">
      <formula>Q10&gt;0</formula>
    </cfRule>
    <cfRule type="expression" dxfId="2186" priority="64">
      <formula>Q10&lt;0</formula>
    </cfRule>
  </conditionalFormatting>
  <conditionalFormatting sqref="J26:J46">
    <cfRule type="expression" dxfId="2185" priority="61">
      <formula>J26&gt;0</formula>
    </cfRule>
    <cfRule type="expression" dxfId="2184" priority="62">
      <formula>J26&lt;0</formula>
    </cfRule>
  </conditionalFormatting>
  <conditionalFormatting sqref="K25:K46">
    <cfRule type="expression" dxfId="2183" priority="59">
      <formula>K25&gt;0</formula>
    </cfRule>
    <cfRule type="expression" dxfId="2182" priority="60">
      <formula>K25&lt;0</formula>
    </cfRule>
  </conditionalFormatting>
  <conditionalFormatting sqref="L25:L46">
    <cfRule type="expression" dxfId="2181" priority="57">
      <formula>L25&gt;0</formula>
    </cfRule>
    <cfRule type="expression" dxfId="2180" priority="58">
      <formula>L25&lt;0</formula>
    </cfRule>
  </conditionalFormatting>
  <conditionalFormatting sqref="F107:F110">
    <cfRule type="expression" dxfId="2179" priority="55">
      <formula>F107&gt;0</formula>
    </cfRule>
    <cfRule type="expression" dxfId="2178" priority="56">
      <formula>F107&lt;0</formula>
    </cfRule>
  </conditionalFormatting>
  <conditionalFormatting sqref="H107:H110">
    <cfRule type="expression" dxfId="2177" priority="53">
      <formula>H107&gt;0</formula>
    </cfRule>
    <cfRule type="expression" dxfId="2176" priority="54">
      <formula>H107&lt;0</formula>
    </cfRule>
  </conditionalFormatting>
  <conditionalFormatting sqref="J89:J105">
    <cfRule type="expression" dxfId="2175" priority="23">
      <formula>J89&gt;0</formula>
    </cfRule>
    <cfRule type="expression" dxfId="2174" priority="24">
      <formula>J89&lt;0</formula>
    </cfRule>
  </conditionalFormatting>
  <conditionalFormatting sqref="K89:K102">
    <cfRule type="expression" dxfId="2173" priority="21">
      <formula>K89&gt;0</formula>
    </cfRule>
    <cfRule type="expression" dxfId="2172" priority="22">
      <formula>K89&lt;0</formula>
    </cfRule>
  </conditionalFormatting>
  <conditionalFormatting sqref="L89:L102">
    <cfRule type="expression" dxfId="2171" priority="19">
      <formula>L89&gt;0</formula>
    </cfRule>
    <cfRule type="expression" dxfId="2170" priority="20">
      <formula>L89&lt;0</formula>
    </cfRule>
  </conditionalFormatting>
  <conditionalFormatting sqref="F26:F46">
    <cfRule type="expression" dxfId="2169" priority="45">
      <formula>F26&gt;0</formula>
    </cfRule>
    <cfRule type="expression" dxfId="2168" priority="46">
      <formula>F26&lt;0</formula>
    </cfRule>
  </conditionalFormatting>
  <conditionalFormatting sqref="H26:H46">
    <cfRule type="expression" dxfId="2167" priority="43">
      <formula>H26&gt;0</formula>
    </cfRule>
    <cfRule type="expression" dxfId="2166" priority="44">
      <formula>H26&lt;0</formula>
    </cfRule>
  </conditionalFormatting>
  <conditionalFormatting sqref="F96:F102 F105">
    <cfRule type="expression" dxfId="2165" priority="27">
      <formula>F96&gt;0</formula>
    </cfRule>
    <cfRule type="expression" dxfId="2164" priority="28">
      <formula>F96&lt;0</formula>
    </cfRule>
  </conditionalFormatting>
  <conditionalFormatting sqref="H96:H102 H105">
    <cfRule type="expression" dxfId="2163" priority="25">
      <formula>H96&gt;0</formula>
    </cfRule>
    <cfRule type="expression" dxfId="2162" priority="26">
      <formula>H96&lt;0</formula>
    </cfRule>
  </conditionalFormatting>
  <conditionalFormatting sqref="F89:F92">
    <cfRule type="expression" dxfId="2161" priority="17">
      <formula>F89&gt;0</formula>
    </cfRule>
    <cfRule type="expression" dxfId="2160" priority="18">
      <formula>F89&lt;0</formula>
    </cfRule>
  </conditionalFormatting>
  <conditionalFormatting sqref="H89:H92">
    <cfRule type="expression" dxfId="2159" priority="15">
      <formula>H89&gt;0</formula>
    </cfRule>
    <cfRule type="expression" dxfId="2158" priority="16">
      <formula>H89&lt;0</formula>
    </cfRule>
  </conditionalFormatting>
  <conditionalFormatting sqref="F93:F95">
    <cfRule type="expression" dxfId="2157" priority="13">
      <formula>F93&gt;0</formula>
    </cfRule>
    <cfRule type="expression" dxfId="2156" priority="14">
      <formula>F93&lt;0</formula>
    </cfRule>
  </conditionalFormatting>
  <conditionalFormatting sqref="H93:H95">
    <cfRule type="expression" dxfId="2155" priority="11">
      <formula>H93&gt;0</formula>
    </cfRule>
    <cfRule type="expression" dxfId="2154" priority="12">
      <formula>H93&lt;0</formula>
    </cfRule>
  </conditionalFormatting>
  <conditionalFormatting sqref="F103:F104">
    <cfRule type="expression" dxfId="2153" priority="9">
      <formula>F103&gt;0</formula>
    </cfRule>
    <cfRule type="expression" dxfId="2152" priority="10">
      <formula>F103&lt;0</formula>
    </cfRule>
  </conditionalFormatting>
  <conditionalFormatting sqref="H103:H104">
    <cfRule type="expression" dxfId="2151" priority="7">
      <formula>H103&gt;0</formula>
    </cfRule>
    <cfRule type="expression" dxfId="2150" priority="8">
      <formula>H103&lt;0</formula>
    </cfRule>
  </conditionalFormatting>
  <conditionalFormatting sqref="F106">
    <cfRule type="expression" dxfId="2149" priority="5">
      <formula>F106&gt;0</formula>
    </cfRule>
    <cfRule type="expression" dxfId="2148" priority="6">
      <formula>F106&lt;0</formula>
    </cfRule>
  </conditionalFormatting>
  <conditionalFormatting sqref="H106">
    <cfRule type="expression" dxfId="2147" priority="3">
      <formula>H106&gt;0</formula>
    </cfRule>
    <cfRule type="expression" dxfId="2146" priority="4">
      <formula>H106&lt;0</formula>
    </cfRule>
  </conditionalFormatting>
  <conditionalFormatting sqref="J106">
    <cfRule type="expression" dxfId="2145" priority="1">
      <formula>J106&gt;0</formula>
    </cfRule>
    <cfRule type="expression" dxfId="2144" priority="2">
      <formula>J106&lt;0</formula>
    </cfRule>
  </conditionalFormatting>
  <hyperlinks>
    <hyperlink ref="A3" location="ACTIVE!A1" display="Back"/>
  </hyperlinks>
  <pageMargins left="0.7" right="0.7" top="0.75" bottom="0.75" header="0.3" footer="0.3"/>
  <pageSetup orientation="portrait" r:id="rId1"/>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2"/>
  <dimension ref="A1:U131"/>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3" max="13" width="13.140625" customWidth="1"/>
    <col min="17" max="17" width="13.7109375" bestFit="1" customWidth="1"/>
    <col min="18" max="18" width="10.7109375" bestFit="1" customWidth="1"/>
    <col min="19" max="19" width="52.28515625" customWidth="1"/>
    <col min="20" max="20" width="13.7109375" customWidth="1"/>
    <col min="21" max="21" width="73.425781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870</v>
      </c>
      <c r="B2" s="360">
        <v>43151</v>
      </c>
      <c r="C2" s="4">
        <v>50</v>
      </c>
      <c r="D2" s="3">
        <v>68.22</v>
      </c>
      <c r="E2" s="3">
        <v>0</v>
      </c>
      <c r="F2" s="3">
        <f t="shared" ref="F2:F13" si="0">C2*D2+E2</f>
        <v>3411</v>
      </c>
      <c r="G2" s="485">
        <v>43287</v>
      </c>
      <c r="H2" s="7">
        <v>100</v>
      </c>
      <c r="I2" s="43">
        <v>64.5</v>
      </c>
      <c r="J2" s="43">
        <v>0.08</v>
      </c>
      <c r="K2" s="43">
        <f>H2*I2-J2</f>
        <v>6449.92</v>
      </c>
      <c r="L2" s="69">
        <v>43182</v>
      </c>
      <c r="M2" s="43">
        <v>31.25</v>
      </c>
      <c r="O2" s="11" t="s">
        <v>57</v>
      </c>
      <c r="Q2">
        <f>C18-H18</f>
        <v>600</v>
      </c>
      <c r="T2" s="1" t="s">
        <v>1156</v>
      </c>
      <c r="U2" s="767">
        <v>25.8</v>
      </c>
    </row>
    <row r="3" spans="1:21" x14ac:dyDescent="0.25">
      <c r="A3" s="22" t="s">
        <v>71</v>
      </c>
      <c r="B3" s="360">
        <v>43181</v>
      </c>
      <c r="C3" s="4">
        <v>50</v>
      </c>
      <c r="D3" s="3">
        <v>61.1</v>
      </c>
      <c r="E3" s="3">
        <v>0</v>
      </c>
      <c r="F3" s="3">
        <f t="shared" si="0"/>
        <v>3055</v>
      </c>
      <c r="G3" s="360">
        <v>43307</v>
      </c>
      <c r="H3" s="77">
        <v>100</v>
      </c>
      <c r="I3" s="43">
        <v>61.48</v>
      </c>
      <c r="J3" s="43">
        <v>0.08</v>
      </c>
      <c r="K3" s="43">
        <f>H3*I3-J3</f>
        <v>6147.92</v>
      </c>
      <c r="L3" s="69">
        <v>43266</v>
      </c>
      <c r="M3" s="43">
        <v>62.5</v>
      </c>
      <c r="O3" s="11" t="s">
        <v>58</v>
      </c>
      <c r="Q3" s="174">
        <f>IF(Q2=0, Q4, (F18-K18-M18)/Q2)</f>
        <v>52.136949999999999</v>
      </c>
      <c r="T3" t="s">
        <v>1155</v>
      </c>
      <c r="U3" t="s">
        <v>1154</v>
      </c>
    </row>
    <row r="4" spans="1:21" x14ac:dyDescent="0.25">
      <c r="A4" t="s">
        <v>712</v>
      </c>
      <c r="B4" s="360">
        <v>43299</v>
      </c>
      <c r="C4" s="7">
        <v>100</v>
      </c>
      <c r="D4" s="43">
        <v>62.25</v>
      </c>
      <c r="E4" s="43">
        <v>0</v>
      </c>
      <c r="F4" s="43">
        <f t="shared" si="0"/>
        <v>6225</v>
      </c>
      <c r="G4" s="360">
        <v>43626</v>
      </c>
      <c r="H4" s="77">
        <v>100</v>
      </c>
      <c r="I4" s="43">
        <v>30.18</v>
      </c>
      <c r="J4" s="43">
        <v>0.06</v>
      </c>
      <c r="K4" s="43">
        <f>H4*I4-J4</f>
        <v>3017.94</v>
      </c>
      <c r="L4" s="69">
        <v>43357</v>
      </c>
      <c r="M4" s="43">
        <v>125</v>
      </c>
      <c r="O4" s="11" t="s">
        <v>66</v>
      </c>
      <c r="Q4" s="53">
        <v>31.88</v>
      </c>
      <c r="R4" s="416">
        <v>0.13439999999999999</v>
      </c>
      <c r="T4" t="s">
        <v>1066</v>
      </c>
      <c r="U4" s="11" t="s">
        <v>1245</v>
      </c>
    </row>
    <row r="5" spans="1:21" x14ac:dyDescent="0.25">
      <c r="B5" s="360">
        <v>43305</v>
      </c>
      <c r="C5" s="7">
        <v>100</v>
      </c>
      <c r="D5" s="43">
        <v>59.4</v>
      </c>
      <c r="E5" s="43">
        <v>0</v>
      </c>
      <c r="F5" s="43">
        <f t="shared" si="0"/>
        <v>5940</v>
      </c>
      <c r="G5" s="360">
        <v>43644</v>
      </c>
      <c r="H5" s="158">
        <v>200</v>
      </c>
      <c r="I5" s="3">
        <v>30.962</v>
      </c>
      <c r="J5" s="3">
        <v>0.03</v>
      </c>
      <c r="K5" s="3">
        <f>H5*I5-J5</f>
        <v>6192.37</v>
      </c>
      <c r="L5" s="69">
        <v>43448</v>
      </c>
      <c r="M5" s="43">
        <v>250</v>
      </c>
      <c r="O5" s="11" t="s">
        <v>67</v>
      </c>
      <c r="Q5" s="3">
        <f>Q4*Q2</f>
        <v>19128</v>
      </c>
    </row>
    <row r="6" spans="1:21" x14ac:dyDescent="0.25">
      <c r="B6" s="360">
        <v>43313</v>
      </c>
      <c r="C6" s="4">
        <v>100</v>
      </c>
      <c r="D6" s="3">
        <v>59.28</v>
      </c>
      <c r="E6" s="3">
        <v>0</v>
      </c>
      <c r="F6" s="3">
        <f t="shared" si="0"/>
        <v>5928</v>
      </c>
      <c r="G6" s="360">
        <v>43782</v>
      </c>
      <c r="H6" s="77">
        <v>100</v>
      </c>
      <c r="I6" s="43">
        <v>33.380000000000003</v>
      </c>
      <c r="J6" s="43">
        <v>7.0000000000000007E-2</v>
      </c>
      <c r="K6" s="43">
        <f>H6*I6-J6</f>
        <v>3337.9300000000003</v>
      </c>
      <c r="L6" s="69">
        <v>43546</v>
      </c>
      <c r="M6" s="43">
        <v>280</v>
      </c>
      <c r="O6" s="11" t="s">
        <v>64</v>
      </c>
      <c r="Q6" s="2">
        <f>Q3*Q2</f>
        <v>31282.17</v>
      </c>
      <c r="T6" s="1">
        <v>43223</v>
      </c>
      <c r="U6" t="s">
        <v>980</v>
      </c>
    </row>
    <row r="7" spans="1:21" x14ac:dyDescent="0.25">
      <c r="B7" s="360">
        <v>43347</v>
      </c>
      <c r="C7" s="4">
        <v>100</v>
      </c>
      <c r="D7" s="3">
        <v>56.98</v>
      </c>
      <c r="E7" s="3">
        <v>0</v>
      </c>
      <c r="F7" s="3">
        <f t="shared" si="0"/>
        <v>5698</v>
      </c>
      <c r="G7" s="4"/>
      <c r="H7" s="158"/>
      <c r="I7" s="3"/>
      <c r="J7" s="3"/>
      <c r="K7" s="3"/>
      <c r="L7" s="69">
        <v>43631</v>
      </c>
      <c r="M7" s="43">
        <v>320</v>
      </c>
      <c r="O7" s="11" t="s">
        <v>175</v>
      </c>
      <c r="Q7" s="2">
        <f>Q10+Q8</f>
        <v>-12154.169999999998</v>
      </c>
      <c r="R7">
        <v>500</v>
      </c>
      <c r="T7" s="680"/>
      <c r="U7" s="30"/>
    </row>
    <row r="8" spans="1:21" x14ac:dyDescent="0.25">
      <c r="B8" s="360">
        <v>43367</v>
      </c>
      <c r="C8" s="4">
        <v>100</v>
      </c>
      <c r="D8" s="3">
        <v>56.28</v>
      </c>
      <c r="E8" s="3">
        <v>0</v>
      </c>
      <c r="F8" s="3">
        <f t="shared" si="0"/>
        <v>5628</v>
      </c>
      <c r="G8" s="4"/>
      <c r="H8" s="158"/>
      <c r="I8" s="3"/>
      <c r="J8" s="3"/>
      <c r="K8" s="3"/>
      <c r="L8" s="69">
        <v>43722</v>
      </c>
      <c r="M8" s="43">
        <v>200</v>
      </c>
      <c r="O8" s="11" t="s">
        <v>177</v>
      </c>
      <c r="P8" s="33"/>
      <c r="Q8" s="2">
        <f>K18+M18-F18+Q2*Q4</f>
        <v>-12154.169999999998</v>
      </c>
      <c r="T8" s="1">
        <v>43248</v>
      </c>
      <c r="U8" t="s">
        <v>1038</v>
      </c>
    </row>
    <row r="9" spans="1:21" x14ac:dyDescent="0.25">
      <c r="B9" s="69">
        <v>43424</v>
      </c>
      <c r="C9" s="4">
        <v>100</v>
      </c>
      <c r="D9" s="3">
        <v>50.89</v>
      </c>
      <c r="E9" s="3">
        <v>0</v>
      </c>
      <c r="F9" s="3">
        <f t="shared" si="0"/>
        <v>5089</v>
      </c>
      <c r="G9" s="4"/>
      <c r="H9" s="158"/>
      <c r="I9" s="3"/>
      <c r="J9" s="3"/>
      <c r="K9" s="3"/>
      <c r="L9" s="4"/>
      <c r="M9" s="4"/>
      <c r="O9" s="11" t="s">
        <v>202</v>
      </c>
      <c r="Q9" s="131">
        <f>IF(Q2=0, 0, Q8/Q6)</f>
        <v>-0.38853346810659234</v>
      </c>
    </row>
    <row r="10" spans="1:21" x14ac:dyDescent="0.25">
      <c r="B10" s="69">
        <v>43517</v>
      </c>
      <c r="C10" s="4">
        <v>200</v>
      </c>
      <c r="D10" s="3">
        <v>39.01</v>
      </c>
      <c r="E10" s="3">
        <v>0</v>
      </c>
      <c r="F10" s="3">
        <f t="shared" si="0"/>
        <v>7802</v>
      </c>
      <c r="G10" s="4"/>
      <c r="H10" s="158"/>
      <c r="I10" s="3"/>
      <c r="J10" s="3"/>
      <c r="K10" s="3"/>
      <c r="L10" s="4"/>
      <c r="M10" s="4"/>
      <c r="O10" s="11" t="s">
        <v>201</v>
      </c>
      <c r="P10" s="33"/>
      <c r="Q10" s="2">
        <f>M87</f>
        <v>0</v>
      </c>
      <c r="T10" s="1">
        <v>43300</v>
      </c>
      <c r="U10" t="s">
        <v>1136</v>
      </c>
    </row>
    <row r="11" spans="1:21" x14ac:dyDescent="0.25">
      <c r="B11" s="69">
        <v>43613</v>
      </c>
      <c r="C11" s="7">
        <v>100</v>
      </c>
      <c r="D11" s="43">
        <v>29.28</v>
      </c>
      <c r="E11" s="43">
        <v>0</v>
      </c>
      <c r="F11" s="43">
        <f t="shared" si="0"/>
        <v>2928</v>
      </c>
      <c r="G11" s="4"/>
      <c r="H11" s="158"/>
      <c r="I11" s="3"/>
      <c r="J11" s="3"/>
      <c r="K11" s="3"/>
      <c r="L11" s="4"/>
      <c r="M11" s="4"/>
      <c r="O11" s="11" t="s">
        <v>173</v>
      </c>
      <c r="P11" s="33"/>
      <c r="Q11" s="131">
        <f>R11*4/Q4</f>
        <v>7.8419071518193231E-2</v>
      </c>
      <c r="R11">
        <f>0.625</f>
        <v>0.625</v>
      </c>
    </row>
    <row r="12" spans="1:21" x14ac:dyDescent="0.25">
      <c r="B12" s="69">
        <v>43727</v>
      </c>
      <c r="C12" s="7">
        <v>100</v>
      </c>
      <c r="D12" s="43">
        <v>28.05</v>
      </c>
      <c r="E12" s="43">
        <v>0</v>
      </c>
      <c r="F12" s="43">
        <f t="shared" si="0"/>
        <v>2805</v>
      </c>
      <c r="H12" s="67"/>
      <c r="O12" s="11" t="s">
        <v>938</v>
      </c>
      <c r="Q12" s="19" t="s">
        <v>1362</v>
      </c>
      <c r="T12" s="680">
        <v>43315</v>
      </c>
      <c r="U12" t="s">
        <v>1153</v>
      </c>
    </row>
    <row r="13" spans="1:21" x14ac:dyDescent="0.25">
      <c r="B13" s="395">
        <v>43783</v>
      </c>
      <c r="C13" s="4">
        <v>100</v>
      </c>
      <c r="D13" s="2">
        <v>31.88</v>
      </c>
      <c r="E13" s="2">
        <v>0</v>
      </c>
      <c r="F13" s="2">
        <f t="shared" si="0"/>
        <v>3188</v>
      </c>
      <c r="H13" s="67"/>
      <c r="O13" s="11" t="s">
        <v>901</v>
      </c>
      <c r="Q13" s="2">
        <f>Q4/2.81</f>
        <v>11.345195729537366</v>
      </c>
    </row>
    <row r="14" spans="1:21" x14ac:dyDescent="0.25">
      <c r="C14" s="4"/>
      <c r="H14" s="67"/>
      <c r="O14" s="11" t="s">
        <v>988</v>
      </c>
      <c r="Q14" s="1">
        <v>43471</v>
      </c>
      <c r="T14" s="1">
        <v>43407</v>
      </c>
      <c r="U14" s="396" t="s">
        <v>1246</v>
      </c>
    </row>
    <row r="15" spans="1:21" x14ac:dyDescent="0.25">
      <c r="H15" s="67"/>
      <c r="U15" s="396" t="s">
        <v>1247</v>
      </c>
    </row>
    <row r="16" spans="1:21" x14ac:dyDescent="0.25">
      <c r="H16" s="67"/>
    </row>
    <row r="18" spans="1:16" x14ac:dyDescent="0.25">
      <c r="A18" s="31" t="s">
        <v>81</v>
      </c>
      <c r="B18" s="14"/>
      <c r="C18" s="14">
        <f>SUM(C2:C14)</f>
        <v>1200</v>
      </c>
      <c r="D18" s="18"/>
      <c r="E18" s="18"/>
      <c r="F18" s="18">
        <f>SUM(F2:F14)</f>
        <v>57697</v>
      </c>
      <c r="G18" s="14"/>
      <c r="H18" s="68">
        <f>SUM(H2:H16)</f>
        <v>600</v>
      </c>
      <c r="I18" s="18"/>
      <c r="J18" s="18"/>
      <c r="K18" s="18">
        <f>SUM(K2:K17)</f>
        <v>25146.080000000002</v>
      </c>
      <c r="L18" s="14"/>
      <c r="M18" s="18">
        <f>SUM(M2:M10)</f>
        <v>1268.75</v>
      </c>
    </row>
    <row r="19" spans="1:16" ht="15.75" thickBot="1" x14ac:dyDescent="0.3">
      <c r="A19" s="273" t="s">
        <v>189</v>
      </c>
      <c r="B19" s="274"/>
      <c r="C19" s="275">
        <f>SumByColor($A$19,C2:C17)</f>
        <v>400</v>
      </c>
      <c r="D19" s="275"/>
      <c r="E19" s="275"/>
      <c r="F19" s="276">
        <f>SumByColor($A$19,F2:F17)</f>
        <v>17898</v>
      </c>
      <c r="G19" s="275"/>
      <c r="H19" s="275">
        <f>SumByColor($A$19,H2:H17)</f>
        <v>400</v>
      </c>
      <c r="I19" s="275"/>
      <c r="J19" s="275"/>
      <c r="K19" s="276">
        <f>SumByColor($A$19,K2:K17)</f>
        <v>18954</v>
      </c>
      <c r="L19" s="275"/>
      <c r="M19" s="276">
        <f>SumByColor($A$19,M2:M17)</f>
        <v>1269</v>
      </c>
    </row>
    <row r="21" spans="1:16" ht="20.25" thickBot="1" x14ac:dyDescent="0.35">
      <c r="O21" s="886" t="s">
        <v>78</v>
      </c>
      <c r="P21" s="886"/>
    </row>
    <row r="22" spans="1:16" ht="15.75" thickTop="1" x14ac:dyDescent="0.25">
      <c r="O22" s="78">
        <v>1.1000000000000001</v>
      </c>
      <c r="P22" s="78">
        <f>O22*$Q$4</f>
        <v>35.068000000000005</v>
      </c>
    </row>
    <row r="23" spans="1:16" x14ac:dyDescent="0.25">
      <c r="O23" s="78">
        <v>1.0900000000000001</v>
      </c>
      <c r="P23" s="78">
        <f t="shared" ref="P23:P42" si="1">O23*$Q$4</f>
        <v>34.749200000000002</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901</v>
      </c>
      <c r="O24" s="78">
        <v>1.08</v>
      </c>
      <c r="P24" s="78">
        <f t="shared" si="1"/>
        <v>34.430399999999999</v>
      </c>
    </row>
    <row r="25" spans="1:16" x14ac:dyDescent="0.25">
      <c r="B25" s="161">
        <v>43151</v>
      </c>
      <c r="C25" s="10">
        <v>50</v>
      </c>
      <c r="D25" s="39">
        <v>68.22</v>
      </c>
      <c r="E25" s="39">
        <v>68</v>
      </c>
      <c r="F25" s="39">
        <f t="shared" ref="F25:F33" si="2">C25*(E25-D25)</f>
        <v>-10.999999999999943</v>
      </c>
      <c r="G25" s="39">
        <f t="shared" ref="G25:G33" si="3">D25*C25</f>
        <v>3411</v>
      </c>
      <c r="H25" s="175">
        <f t="shared" ref="H25:H33" si="4">(E25-D25)/D25</f>
        <v>-3.2248607446496462E-3</v>
      </c>
      <c r="I25" s="39"/>
      <c r="J25" s="39"/>
      <c r="K25" s="39"/>
      <c r="L25" s="39"/>
      <c r="O25" s="78">
        <v>1.07</v>
      </c>
      <c r="P25" s="78">
        <f t="shared" si="1"/>
        <v>34.111600000000003</v>
      </c>
    </row>
    <row r="26" spans="1:16" x14ac:dyDescent="0.25">
      <c r="B26" s="161">
        <v>43181</v>
      </c>
      <c r="C26" s="10">
        <v>100</v>
      </c>
      <c r="D26" s="39">
        <v>64.66</v>
      </c>
      <c r="E26" s="39">
        <v>61.1</v>
      </c>
      <c r="F26" s="39">
        <f t="shared" si="2"/>
        <v>-355.99999999999955</v>
      </c>
      <c r="G26" s="39">
        <f t="shared" si="3"/>
        <v>6466</v>
      </c>
      <c r="H26" s="175">
        <f t="shared" si="4"/>
        <v>-5.5057222394061169E-2</v>
      </c>
      <c r="I26" s="39"/>
      <c r="J26" s="39"/>
      <c r="K26" s="39"/>
      <c r="L26" s="39"/>
      <c r="O26" s="78">
        <v>1.06</v>
      </c>
      <c r="P26" s="78">
        <f t="shared" si="1"/>
        <v>33.7928</v>
      </c>
    </row>
    <row r="27" spans="1:16" x14ac:dyDescent="0.25">
      <c r="A27">
        <v>50</v>
      </c>
      <c r="B27" s="161">
        <v>43182</v>
      </c>
      <c r="C27" s="10">
        <v>100</v>
      </c>
      <c r="D27" s="39">
        <v>64.347499999999997</v>
      </c>
      <c r="E27" s="39">
        <v>60.03</v>
      </c>
      <c r="F27" s="39">
        <f t="shared" si="2"/>
        <v>-431.74999999999955</v>
      </c>
      <c r="G27" s="39">
        <f t="shared" si="3"/>
        <v>6434.75</v>
      </c>
      <c r="H27" s="175">
        <f t="shared" si="4"/>
        <v>-6.7096623800458374E-2</v>
      </c>
      <c r="I27" s="39"/>
      <c r="J27" s="39"/>
      <c r="K27" s="39"/>
      <c r="L27" s="152"/>
      <c r="O27" s="78">
        <v>1.05</v>
      </c>
      <c r="P27" s="78">
        <f t="shared" si="1"/>
        <v>33.474000000000004</v>
      </c>
    </row>
    <row r="28" spans="1:16" x14ac:dyDescent="0.25">
      <c r="A28">
        <v>50</v>
      </c>
      <c r="B28" s="161">
        <v>43185</v>
      </c>
      <c r="C28" s="10">
        <v>100</v>
      </c>
      <c r="D28" s="39">
        <v>64.347499999999997</v>
      </c>
      <c r="E28" s="39">
        <v>61.65</v>
      </c>
      <c r="F28" s="39">
        <f t="shared" si="2"/>
        <v>-269.74999999999977</v>
      </c>
      <c r="G28" s="39">
        <f t="shared" si="3"/>
        <v>6434.75</v>
      </c>
      <c r="H28" s="175">
        <f t="shared" si="4"/>
        <v>-4.192082054469868E-2</v>
      </c>
      <c r="I28" s="39"/>
      <c r="J28" s="39"/>
      <c r="K28" s="39"/>
      <c r="L28" s="152"/>
      <c r="O28" s="78">
        <v>1.04</v>
      </c>
      <c r="P28" s="78">
        <f t="shared" si="1"/>
        <v>33.155200000000001</v>
      </c>
    </row>
    <row r="29" spans="1:16" x14ac:dyDescent="0.25">
      <c r="A29">
        <v>50</v>
      </c>
      <c r="B29" s="161">
        <v>43186</v>
      </c>
      <c r="C29" s="10">
        <v>100</v>
      </c>
      <c r="D29" s="39">
        <v>64.347499999999997</v>
      </c>
      <c r="E29" s="39">
        <v>60.7</v>
      </c>
      <c r="F29" s="39">
        <f t="shared" si="2"/>
        <v>-364.74999999999937</v>
      </c>
      <c r="G29" s="39">
        <f t="shared" si="3"/>
        <v>6434.75</v>
      </c>
      <c r="H29" s="175">
        <f t="shared" si="4"/>
        <v>-5.6684408873693526E-2</v>
      </c>
      <c r="I29" s="39"/>
      <c r="J29" s="39"/>
      <c r="K29" s="39"/>
      <c r="L29" s="152"/>
      <c r="O29" s="78">
        <v>1.03</v>
      </c>
      <c r="P29" s="78">
        <f t="shared" si="1"/>
        <v>32.836399999999998</v>
      </c>
    </row>
    <row r="30" spans="1:16" x14ac:dyDescent="0.25">
      <c r="A30">
        <v>100</v>
      </c>
      <c r="B30" s="161">
        <v>43222</v>
      </c>
      <c r="C30" s="10">
        <v>100</v>
      </c>
      <c r="D30" s="39">
        <v>64.347499999999997</v>
      </c>
      <c r="E30" s="39">
        <v>54.2</v>
      </c>
      <c r="F30" s="39">
        <f t="shared" si="2"/>
        <v>-1014.7499999999993</v>
      </c>
      <c r="G30" s="39">
        <f t="shared" si="3"/>
        <v>6434.75</v>
      </c>
      <c r="H30" s="175">
        <f t="shared" si="4"/>
        <v>-0.15769843428260608</v>
      </c>
      <c r="I30" s="39"/>
      <c r="J30" s="39"/>
      <c r="K30" s="39"/>
      <c r="L30" s="152"/>
      <c r="O30" s="78">
        <v>1.02</v>
      </c>
      <c r="P30" s="78">
        <f t="shared" si="1"/>
        <v>32.517600000000002</v>
      </c>
    </row>
    <row r="31" spans="1:16" x14ac:dyDescent="0.25">
      <c r="B31" s="161">
        <v>43235</v>
      </c>
      <c r="C31" s="10">
        <v>100</v>
      </c>
      <c r="D31" s="39">
        <v>64.349999999999994</v>
      </c>
      <c r="E31" s="39">
        <v>59.04</v>
      </c>
      <c r="F31" s="39">
        <f t="shared" si="2"/>
        <v>-530.99999999999955</v>
      </c>
      <c r="G31" s="39">
        <f t="shared" si="3"/>
        <v>6434.9999999999991</v>
      </c>
      <c r="H31" s="175">
        <f t="shared" si="4"/>
        <v>-8.2517482517482449E-2</v>
      </c>
      <c r="I31" s="39"/>
      <c r="J31" s="39"/>
      <c r="K31" s="39"/>
      <c r="L31" s="152"/>
      <c r="O31" s="78">
        <v>1.01</v>
      </c>
      <c r="P31" s="78">
        <f t="shared" si="1"/>
        <v>32.198799999999999</v>
      </c>
    </row>
    <row r="32" spans="1:16" x14ac:dyDescent="0.25">
      <c r="A32">
        <v>100</v>
      </c>
      <c r="B32" s="161">
        <v>43241</v>
      </c>
      <c r="C32" s="10">
        <v>100</v>
      </c>
      <c r="D32" s="39">
        <v>64.347499999999997</v>
      </c>
      <c r="E32" s="39">
        <v>56.45</v>
      </c>
      <c r="F32" s="39">
        <f t="shared" si="2"/>
        <v>-789.74999999999932</v>
      </c>
      <c r="G32" s="39">
        <f t="shared" si="3"/>
        <v>6434.75</v>
      </c>
      <c r="H32" s="175">
        <f t="shared" si="4"/>
        <v>-0.12273204087182865</v>
      </c>
      <c r="I32" s="39"/>
      <c r="J32" s="39"/>
      <c r="K32" s="39"/>
      <c r="L32" s="152"/>
      <c r="O32" s="78">
        <v>1</v>
      </c>
      <c r="P32" s="78">
        <f t="shared" si="1"/>
        <v>31.88</v>
      </c>
    </row>
    <row r="33" spans="1:21" x14ac:dyDescent="0.25">
      <c r="A33">
        <v>100</v>
      </c>
      <c r="B33" s="161">
        <v>43266</v>
      </c>
      <c r="C33" s="181">
        <v>100</v>
      </c>
      <c r="D33" s="182">
        <v>63.722499999999997</v>
      </c>
      <c r="E33" s="39">
        <v>61.61</v>
      </c>
      <c r="F33" s="39">
        <f t="shared" si="2"/>
        <v>-211.24999999999972</v>
      </c>
      <c r="G33" s="39">
        <f t="shared" si="3"/>
        <v>6372.25</v>
      </c>
      <c r="H33" s="175">
        <f t="shared" si="4"/>
        <v>-3.3151555572992229E-2</v>
      </c>
      <c r="I33" s="39"/>
      <c r="J33" s="39"/>
      <c r="K33" s="39"/>
      <c r="L33" s="39">
        <v>16.2559</v>
      </c>
      <c r="O33" s="78">
        <v>0.99</v>
      </c>
      <c r="P33" s="78">
        <f t="shared" si="1"/>
        <v>31.561199999999999</v>
      </c>
    </row>
    <row r="34" spans="1:21" x14ac:dyDescent="0.25">
      <c r="A34">
        <v>0</v>
      </c>
      <c r="B34" s="161">
        <v>43299</v>
      </c>
      <c r="C34" s="181">
        <v>100</v>
      </c>
      <c r="D34" s="182">
        <v>61.473300000000002</v>
      </c>
      <c r="E34" s="39">
        <v>62.25</v>
      </c>
      <c r="F34" s="39">
        <v>77.67</v>
      </c>
      <c r="G34" s="39"/>
      <c r="H34" s="175"/>
      <c r="I34" s="39"/>
      <c r="J34" s="39"/>
      <c r="K34" s="39"/>
      <c r="L34" s="39">
        <v>16.420000000000002</v>
      </c>
      <c r="O34" s="78">
        <v>0.98</v>
      </c>
      <c r="P34" s="78">
        <f t="shared" si="1"/>
        <v>31.2424</v>
      </c>
    </row>
    <row r="35" spans="1:21" x14ac:dyDescent="0.25">
      <c r="A35">
        <v>0</v>
      </c>
      <c r="B35" s="161">
        <v>43305</v>
      </c>
      <c r="C35" s="7">
        <v>200</v>
      </c>
      <c r="D35" s="43">
        <v>60.436700000000002</v>
      </c>
      <c r="E35" s="39">
        <v>59.4</v>
      </c>
      <c r="F35" s="39">
        <f t="shared" ref="F35:F42" si="5">C35*(E35-D35)</f>
        <v>-207.34000000000066</v>
      </c>
      <c r="G35" s="39">
        <f t="shared" ref="G35:G42" si="6">D35*C35</f>
        <v>12087.34</v>
      </c>
      <c r="H35" s="175">
        <f t="shared" ref="H35:H42" si="7">(E35-D35)/D35</f>
        <v>-1.7153484554914535E-2</v>
      </c>
      <c r="I35" s="39"/>
      <c r="J35" s="39"/>
      <c r="K35" s="39"/>
      <c r="L35" s="39">
        <v>15.67</v>
      </c>
      <c r="O35" s="78">
        <v>0.97</v>
      </c>
      <c r="P35" s="78">
        <f t="shared" si="1"/>
        <v>30.923599999999997</v>
      </c>
    </row>
    <row r="36" spans="1:21" x14ac:dyDescent="0.25">
      <c r="A36">
        <v>0</v>
      </c>
      <c r="B36" s="161">
        <v>43307</v>
      </c>
      <c r="C36" s="181">
        <v>100</v>
      </c>
      <c r="D36" s="182">
        <v>59.394100000000002</v>
      </c>
      <c r="E36" s="39">
        <v>61.48</v>
      </c>
      <c r="F36" s="39">
        <f t="shared" si="5"/>
        <v>208.58999999999952</v>
      </c>
      <c r="G36" s="39">
        <f t="shared" si="6"/>
        <v>5939.41</v>
      </c>
      <c r="H36" s="175">
        <f t="shared" si="7"/>
        <v>3.5119649931558777E-2</v>
      </c>
      <c r="I36" s="39">
        <v>59</v>
      </c>
      <c r="J36" s="39"/>
      <c r="K36" s="39"/>
      <c r="L36" s="39">
        <v>15.79</v>
      </c>
      <c r="O36" s="78">
        <v>0.96</v>
      </c>
      <c r="P36" s="78">
        <f t="shared" si="1"/>
        <v>30.604799999999997</v>
      </c>
    </row>
    <row r="37" spans="1:21" x14ac:dyDescent="0.25">
      <c r="A37">
        <v>0</v>
      </c>
      <c r="B37" s="161">
        <v>43313</v>
      </c>
      <c r="C37" s="7">
        <v>200</v>
      </c>
      <c r="D37" s="43">
        <v>59.3371</v>
      </c>
      <c r="E37" s="39">
        <v>59.28</v>
      </c>
      <c r="F37" s="39">
        <f t="shared" si="5"/>
        <v>-11.419999999999675</v>
      </c>
      <c r="G37" s="39">
        <f t="shared" si="6"/>
        <v>11867.42</v>
      </c>
      <c r="H37" s="175">
        <f t="shared" si="7"/>
        <v>-9.6229846082802114E-4</v>
      </c>
      <c r="I37" s="39"/>
      <c r="J37" s="39"/>
      <c r="K37" s="39"/>
      <c r="L37" s="39">
        <v>15.64</v>
      </c>
      <c r="O37" s="78">
        <v>0.95</v>
      </c>
      <c r="P37" s="78">
        <f t="shared" si="1"/>
        <v>30.285999999999998</v>
      </c>
    </row>
    <row r="38" spans="1:21" x14ac:dyDescent="0.25">
      <c r="B38" s="161">
        <v>43315</v>
      </c>
      <c r="C38" s="10">
        <v>200</v>
      </c>
      <c r="D38" s="39">
        <v>59.3371</v>
      </c>
      <c r="E38" s="39">
        <v>64.48</v>
      </c>
      <c r="F38" s="39">
        <f t="shared" si="5"/>
        <v>1028.5800000000008</v>
      </c>
      <c r="G38" s="39">
        <f t="shared" si="6"/>
        <v>11867.42</v>
      </c>
      <c r="H38" s="175">
        <f t="shared" si="7"/>
        <v>8.6672587639099394E-2</v>
      </c>
      <c r="I38" s="39"/>
      <c r="J38" s="39"/>
      <c r="K38" s="39"/>
      <c r="L38" s="39">
        <v>17.010000000000002</v>
      </c>
      <c r="O38" s="78">
        <v>0.94</v>
      </c>
      <c r="P38" s="78">
        <f t="shared" si="1"/>
        <v>29.967199999999998</v>
      </c>
    </row>
    <row r="39" spans="1:21" x14ac:dyDescent="0.25">
      <c r="A39">
        <v>0</v>
      </c>
      <c r="B39" s="161">
        <v>43318</v>
      </c>
      <c r="C39" s="10">
        <v>200</v>
      </c>
      <c r="D39" s="39">
        <v>59.34</v>
      </c>
      <c r="E39" s="39">
        <v>62.3</v>
      </c>
      <c r="F39" s="39">
        <f t="shared" si="5"/>
        <v>591.99999999999875</v>
      </c>
      <c r="G39" s="39">
        <f t="shared" si="6"/>
        <v>11868</v>
      </c>
      <c r="H39" s="175">
        <f t="shared" si="7"/>
        <v>4.9882035726322778E-2</v>
      </c>
      <c r="I39" s="39"/>
      <c r="J39" s="39"/>
      <c r="K39" s="39"/>
      <c r="L39" s="39">
        <v>16.440000000000001</v>
      </c>
      <c r="O39" s="78">
        <v>0.93</v>
      </c>
      <c r="P39" s="78">
        <f t="shared" si="1"/>
        <v>29.648400000000002</v>
      </c>
    </row>
    <row r="40" spans="1:21" x14ac:dyDescent="0.25">
      <c r="B40" s="161">
        <v>43320</v>
      </c>
      <c r="C40" s="10">
        <v>200</v>
      </c>
      <c r="D40" s="39">
        <v>59.3371</v>
      </c>
      <c r="E40" s="39">
        <v>60.28</v>
      </c>
      <c r="F40" s="39">
        <f t="shared" si="5"/>
        <v>188.58000000000033</v>
      </c>
      <c r="G40" s="39">
        <f t="shared" si="6"/>
        <v>11867.42</v>
      </c>
      <c r="H40" s="175">
        <f t="shared" si="7"/>
        <v>1.5890564250696473E-2</v>
      </c>
      <c r="I40" s="39"/>
      <c r="J40" s="39"/>
      <c r="K40" s="39"/>
      <c r="L40" s="39">
        <v>15.9</v>
      </c>
      <c r="O40" s="78">
        <v>0.92</v>
      </c>
      <c r="P40" s="78">
        <f t="shared" si="1"/>
        <v>29.329599999999999</v>
      </c>
    </row>
    <row r="41" spans="1:21" x14ac:dyDescent="0.25">
      <c r="B41" s="161">
        <v>43324</v>
      </c>
      <c r="C41" s="10">
        <v>200</v>
      </c>
      <c r="D41" s="39">
        <v>59.34</v>
      </c>
      <c r="E41" s="39">
        <v>59.65</v>
      </c>
      <c r="F41" s="39">
        <f t="shared" si="5"/>
        <v>61.999999999999034</v>
      </c>
      <c r="G41" s="39">
        <f t="shared" si="6"/>
        <v>11868</v>
      </c>
      <c r="H41" s="175">
        <f t="shared" si="7"/>
        <v>5.2241321199864368E-3</v>
      </c>
      <c r="I41" s="39"/>
      <c r="J41" s="39"/>
      <c r="K41" s="39"/>
      <c r="L41" s="39">
        <v>15.74</v>
      </c>
      <c r="O41" s="78">
        <v>0.91</v>
      </c>
      <c r="P41" s="78">
        <f t="shared" si="1"/>
        <v>29.0108</v>
      </c>
      <c r="Q41" s="2"/>
    </row>
    <row r="42" spans="1:21" x14ac:dyDescent="0.25">
      <c r="B42" s="161">
        <v>43325</v>
      </c>
      <c r="C42" s="10">
        <v>200</v>
      </c>
      <c r="D42" s="39">
        <v>59.3371</v>
      </c>
      <c r="E42" s="39">
        <v>59.28</v>
      </c>
      <c r="F42" s="39">
        <f t="shared" si="5"/>
        <v>-11.419999999999675</v>
      </c>
      <c r="G42" s="39">
        <f t="shared" si="6"/>
        <v>11867.42</v>
      </c>
      <c r="H42" s="175">
        <f t="shared" si="7"/>
        <v>-9.6229846082802114E-4</v>
      </c>
      <c r="I42" s="39"/>
      <c r="J42" s="39"/>
      <c r="K42" s="39"/>
      <c r="L42" s="39">
        <v>15.64</v>
      </c>
      <c r="O42" s="78">
        <v>0.9</v>
      </c>
      <c r="P42" s="78">
        <f t="shared" si="1"/>
        <v>28.692</v>
      </c>
      <c r="Q42" s="2"/>
      <c r="T42" s="1">
        <v>43421</v>
      </c>
      <c r="U42" t="s">
        <v>1259</v>
      </c>
    </row>
    <row r="43" spans="1:21" x14ac:dyDescent="0.25">
      <c r="B43" s="161">
        <v>43328</v>
      </c>
      <c r="C43" s="10">
        <v>200</v>
      </c>
      <c r="D43" s="39">
        <v>59.3371</v>
      </c>
      <c r="E43" s="39">
        <v>60.03</v>
      </c>
      <c r="F43" s="39">
        <f t="shared" ref="F43:F67" si="8">C43*(E43-D43)</f>
        <v>138.58000000000033</v>
      </c>
      <c r="G43" s="39">
        <f t="shared" ref="G43:G67" si="9">D43*C43</f>
        <v>11867.42</v>
      </c>
      <c r="H43" s="175">
        <f t="shared" ref="H43:H67" si="10">(E43-D43)/D43</f>
        <v>1.167734857281535E-2</v>
      </c>
      <c r="I43" s="39"/>
      <c r="J43" s="39"/>
      <c r="K43" s="39"/>
      <c r="L43" s="39"/>
      <c r="Q43" s="2"/>
    </row>
    <row r="44" spans="1:21" x14ac:dyDescent="0.25">
      <c r="B44" s="161">
        <v>43329</v>
      </c>
      <c r="C44" s="10">
        <v>200</v>
      </c>
      <c r="D44" s="39">
        <v>59.3371</v>
      </c>
      <c r="E44" s="39">
        <v>61.02</v>
      </c>
      <c r="F44" s="39">
        <f t="shared" si="8"/>
        <v>336.58000000000072</v>
      </c>
      <c r="G44" s="39">
        <f t="shared" si="9"/>
        <v>11867.42</v>
      </c>
      <c r="H44" s="175">
        <f t="shared" si="10"/>
        <v>2.8361682657224632E-2</v>
      </c>
      <c r="I44" s="39">
        <v>59</v>
      </c>
      <c r="J44" s="39"/>
      <c r="K44" s="39"/>
      <c r="L44" s="39"/>
      <c r="Q44" s="2"/>
      <c r="T44" s="1">
        <v>43471</v>
      </c>
      <c r="U44" t="s">
        <v>1294</v>
      </c>
    </row>
    <row r="45" spans="1:21" x14ac:dyDescent="0.25">
      <c r="B45" s="161">
        <v>43341</v>
      </c>
      <c r="C45" s="7">
        <v>200</v>
      </c>
      <c r="D45" s="43">
        <v>59.34</v>
      </c>
      <c r="E45" s="39">
        <v>59.3</v>
      </c>
      <c r="F45" s="39">
        <f t="shared" si="8"/>
        <v>-8.0000000000012506</v>
      </c>
      <c r="G45" s="39">
        <f t="shared" si="9"/>
        <v>11868</v>
      </c>
      <c r="H45" s="175">
        <f t="shared" si="10"/>
        <v>-6.7408156386933348E-4</v>
      </c>
      <c r="I45" s="39"/>
      <c r="J45" s="39"/>
      <c r="K45" s="39"/>
      <c r="L45" s="39">
        <v>15.64</v>
      </c>
      <c r="Q45" s="2"/>
    </row>
    <row r="46" spans="1:21" x14ac:dyDescent="0.25">
      <c r="A46">
        <v>100</v>
      </c>
      <c r="B46" s="161">
        <v>43342</v>
      </c>
      <c r="C46" s="10">
        <v>200</v>
      </c>
      <c r="D46" s="39">
        <v>59.34</v>
      </c>
      <c r="E46" s="39">
        <v>58.22</v>
      </c>
      <c r="F46" s="39">
        <f t="shared" si="8"/>
        <v>-224.00000000000091</v>
      </c>
      <c r="G46" s="39">
        <f t="shared" si="9"/>
        <v>11868</v>
      </c>
      <c r="H46" s="175">
        <f t="shared" si="10"/>
        <v>-1.8874283788338466E-2</v>
      </c>
      <c r="I46" s="39"/>
      <c r="J46" s="39"/>
      <c r="K46" s="39"/>
      <c r="L46" s="39">
        <v>15.36</v>
      </c>
      <c r="Q46" s="2"/>
    </row>
    <row r="47" spans="1:21" x14ac:dyDescent="0.25">
      <c r="A47">
        <v>200</v>
      </c>
      <c r="B47" s="161">
        <v>43347</v>
      </c>
      <c r="C47" s="352">
        <v>300</v>
      </c>
      <c r="D47" s="353">
        <v>58.551400000000001</v>
      </c>
      <c r="E47" s="39">
        <v>56.66</v>
      </c>
      <c r="F47" s="39">
        <f t="shared" si="8"/>
        <v>-567.42000000000132</v>
      </c>
      <c r="G47" s="39">
        <f t="shared" si="9"/>
        <v>17565.420000000002</v>
      </c>
      <c r="H47" s="175">
        <f t="shared" si="10"/>
        <v>-3.2303241254692534E-2</v>
      </c>
      <c r="I47" s="39"/>
      <c r="J47" s="39"/>
      <c r="K47" s="39"/>
      <c r="L47" s="39">
        <v>14.95</v>
      </c>
      <c r="Q47" s="2"/>
    </row>
    <row r="48" spans="1:21" x14ac:dyDescent="0.25">
      <c r="A48">
        <v>200</v>
      </c>
      <c r="B48" s="161">
        <v>43352</v>
      </c>
      <c r="C48" s="10">
        <v>300</v>
      </c>
      <c r="D48" s="39">
        <v>58.551400000000001</v>
      </c>
      <c r="E48" s="39">
        <v>56.59</v>
      </c>
      <c r="F48" s="39">
        <f t="shared" si="8"/>
        <v>-588.41999999999928</v>
      </c>
      <c r="G48" s="39">
        <f t="shared" si="9"/>
        <v>17565.420000000002</v>
      </c>
      <c r="H48" s="175">
        <f t="shared" si="10"/>
        <v>-3.3498772019114789E-2</v>
      </c>
      <c r="I48" s="39"/>
      <c r="J48" s="39"/>
      <c r="K48" s="39"/>
      <c r="L48" s="39">
        <v>14.93</v>
      </c>
      <c r="Q48" s="2"/>
    </row>
    <row r="49" spans="1:17" x14ac:dyDescent="0.25">
      <c r="B49" s="161">
        <v>43355</v>
      </c>
      <c r="C49" s="10">
        <v>300</v>
      </c>
      <c r="D49" s="39">
        <v>58.551400000000001</v>
      </c>
      <c r="E49" s="39">
        <v>59.12</v>
      </c>
      <c r="F49" s="39">
        <f t="shared" si="8"/>
        <v>170.57999999999893</v>
      </c>
      <c r="G49" s="39">
        <f t="shared" si="9"/>
        <v>17565.420000000002</v>
      </c>
      <c r="H49" s="175">
        <f t="shared" si="10"/>
        <v>9.711125609293653E-3</v>
      </c>
      <c r="I49" s="39"/>
      <c r="J49" s="39"/>
      <c r="K49" s="39"/>
      <c r="L49" s="39">
        <v>15.6</v>
      </c>
      <c r="Q49" s="2"/>
    </row>
    <row r="50" spans="1:17" x14ac:dyDescent="0.25">
      <c r="B50" s="161">
        <v>43357</v>
      </c>
      <c r="C50" s="352">
        <v>300</v>
      </c>
      <c r="D50" s="353">
        <v>58.134700000000002</v>
      </c>
      <c r="E50" s="39">
        <v>58.97</v>
      </c>
      <c r="F50" s="39">
        <f t="shared" si="8"/>
        <v>250.58999999999898</v>
      </c>
      <c r="G50" s="39">
        <f t="shared" si="9"/>
        <v>17440.41</v>
      </c>
      <c r="H50" s="175">
        <f t="shared" si="10"/>
        <v>1.436835487239113E-2</v>
      </c>
      <c r="I50" s="39"/>
      <c r="J50" s="39" t="s">
        <v>182</v>
      </c>
      <c r="K50" s="39"/>
      <c r="L50" s="39">
        <v>15.56</v>
      </c>
      <c r="Q50" s="2"/>
    </row>
    <row r="51" spans="1:17" x14ac:dyDescent="0.25">
      <c r="A51">
        <v>200</v>
      </c>
      <c r="B51" s="161">
        <v>43361</v>
      </c>
      <c r="C51" s="10">
        <v>300</v>
      </c>
      <c r="D51" s="39">
        <v>58.134700000000002</v>
      </c>
      <c r="E51" s="39">
        <v>57.1</v>
      </c>
      <c r="F51" s="39">
        <f t="shared" si="8"/>
        <v>-310.41000000000025</v>
      </c>
      <c r="G51" s="39">
        <f t="shared" si="9"/>
        <v>17440.41</v>
      </c>
      <c r="H51" s="175">
        <f t="shared" si="10"/>
        <v>-1.7798320108300219E-2</v>
      </c>
      <c r="I51" s="39"/>
      <c r="J51" s="39"/>
      <c r="K51" s="39"/>
      <c r="L51" s="39">
        <v>15.07</v>
      </c>
      <c r="Q51" s="2"/>
    </row>
    <row r="52" spans="1:17" x14ac:dyDescent="0.25">
      <c r="A52">
        <v>200</v>
      </c>
      <c r="B52" s="161">
        <v>43367</v>
      </c>
      <c r="C52" s="10">
        <v>400</v>
      </c>
      <c r="D52" s="39">
        <v>57.670999999999999</v>
      </c>
      <c r="E52" s="39">
        <v>56.52</v>
      </c>
      <c r="F52" s="39">
        <f t="shared" si="8"/>
        <v>-460.3999999999985</v>
      </c>
      <c r="G52" s="39">
        <f t="shared" si="9"/>
        <v>23068.400000000001</v>
      </c>
      <c r="H52" s="175">
        <f t="shared" si="10"/>
        <v>-1.995803783530711E-2</v>
      </c>
      <c r="I52" s="39"/>
      <c r="J52" s="39"/>
      <c r="K52" s="39"/>
      <c r="L52" s="39">
        <v>14.91</v>
      </c>
      <c r="Q52" s="2"/>
    </row>
    <row r="53" spans="1:17" x14ac:dyDescent="0.25">
      <c r="A53" s="4">
        <v>400</v>
      </c>
      <c r="B53" s="161">
        <v>43402</v>
      </c>
      <c r="C53" s="10">
        <v>400</v>
      </c>
      <c r="D53" s="39">
        <v>57.67</v>
      </c>
      <c r="E53" s="39">
        <v>55.52</v>
      </c>
      <c r="F53" s="39">
        <f t="shared" si="8"/>
        <v>-859.99999999999943</v>
      </c>
      <c r="G53" s="39">
        <f t="shared" si="9"/>
        <v>23068</v>
      </c>
      <c r="H53" s="175">
        <f t="shared" si="10"/>
        <v>-3.7281082018380415E-2</v>
      </c>
      <c r="I53" s="39"/>
      <c r="J53" s="39"/>
      <c r="K53" s="39"/>
      <c r="L53" s="39">
        <v>14.65</v>
      </c>
      <c r="Q53" s="2"/>
    </row>
    <row r="54" spans="1:17" x14ac:dyDescent="0.25">
      <c r="A54" s="4">
        <v>400</v>
      </c>
      <c r="B54" s="161">
        <v>43407</v>
      </c>
      <c r="C54" s="10">
        <v>400</v>
      </c>
      <c r="D54" s="39">
        <v>57.67</v>
      </c>
      <c r="E54" s="39">
        <v>50.73</v>
      </c>
      <c r="F54" s="39">
        <f t="shared" si="8"/>
        <v>-2776.0000000000018</v>
      </c>
      <c r="G54" s="39">
        <f t="shared" si="9"/>
        <v>23068</v>
      </c>
      <c r="H54" s="175">
        <f t="shared" si="10"/>
        <v>-0.12033986474770253</v>
      </c>
      <c r="I54" s="39"/>
      <c r="J54" s="39"/>
      <c r="K54" s="39"/>
      <c r="L54" s="39">
        <v>13.9</v>
      </c>
    </row>
    <row r="55" spans="1:17" x14ac:dyDescent="0.25">
      <c r="A55" s="4">
        <v>400</v>
      </c>
      <c r="B55" s="161">
        <v>43409</v>
      </c>
      <c r="C55" s="10">
        <v>400</v>
      </c>
      <c r="D55" s="39">
        <v>57.67</v>
      </c>
      <c r="E55" s="39">
        <v>52.39</v>
      </c>
      <c r="F55" s="39">
        <f t="shared" si="8"/>
        <v>-2112.0000000000005</v>
      </c>
      <c r="G55" s="39">
        <f t="shared" si="9"/>
        <v>23068</v>
      </c>
      <c r="H55" s="175">
        <f t="shared" si="10"/>
        <v>-9.1555401421883148E-2</v>
      </c>
      <c r="I55" s="39"/>
      <c r="J55" s="39"/>
      <c r="K55" s="39"/>
      <c r="L55" s="39"/>
    </row>
    <row r="56" spans="1:17" x14ac:dyDescent="0.25">
      <c r="A56" s="4">
        <v>400</v>
      </c>
      <c r="B56" s="161">
        <v>43417</v>
      </c>
      <c r="C56" s="10">
        <v>400</v>
      </c>
      <c r="D56" s="39">
        <v>57.67</v>
      </c>
      <c r="E56" s="39">
        <v>53.38</v>
      </c>
      <c r="F56" s="39">
        <f t="shared" si="8"/>
        <v>-1715.9999999999995</v>
      </c>
      <c r="G56" s="39">
        <f t="shared" si="9"/>
        <v>23068</v>
      </c>
      <c r="H56" s="175">
        <f t="shared" si="10"/>
        <v>-7.4388763655280021E-2</v>
      </c>
      <c r="I56" s="39"/>
      <c r="J56" s="39"/>
      <c r="K56" s="39"/>
      <c r="L56" s="39">
        <v>14.62</v>
      </c>
    </row>
    <row r="57" spans="1:17" x14ac:dyDescent="0.25">
      <c r="A57" s="4">
        <v>400</v>
      </c>
      <c r="B57" s="161">
        <v>43420</v>
      </c>
      <c r="C57" s="10">
        <v>400</v>
      </c>
      <c r="D57" s="39">
        <v>57.67</v>
      </c>
      <c r="E57" s="39">
        <v>52.07</v>
      </c>
      <c r="F57" s="39">
        <f t="shared" si="8"/>
        <v>-2240.0000000000005</v>
      </c>
      <c r="G57" s="39">
        <f t="shared" si="9"/>
        <v>23068</v>
      </c>
      <c r="H57" s="175">
        <f t="shared" si="10"/>
        <v>-9.7104213629270006E-2</v>
      </c>
      <c r="I57" s="39"/>
      <c r="J57" s="39"/>
      <c r="K57" s="39"/>
      <c r="L57" s="39">
        <v>14.27</v>
      </c>
    </row>
    <row r="58" spans="1:17" x14ac:dyDescent="0.25">
      <c r="A58" s="4">
        <v>400</v>
      </c>
      <c r="B58" s="161">
        <v>43424</v>
      </c>
      <c r="C58" s="10">
        <v>500</v>
      </c>
      <c r="D58" s="39">
        <v>56.314799999999998</v>
      </c>
      <c r="E58" s="39">
        <v>50.94</v>
      </c>
      <c r="F58" s="39">
        <f t="shared" si="8"/>
        <v>-2687.4</v>
      </c>
      <c r="G58" s="39">
        <f t="shared" si="9"/>
        <v>28157.399999999998</v>
      </c>
      <c r="H58" s="175">
        <f t="shared" si="10"/>
        <v>-9.5442050757527333E-2</v>
      </c>
      <c r="I58" s="39"/>
      <c r="J58" s="39"/>
      <c r="K58" s="39"/>
      <c r="L58" s="39">
        <v>13.96</v>
      </c>
    </row>
    <row r="59" spans="1:17" x14ac:dyDescent="0.25">
      <c r="A59" s="4">
        <v>400</v>
      </c>
      <c r="B59" s="161">
        <v>43442</v>
      </c>
      <c r="C59" s="10">
        <v>500</v>
      </c>
      <c r="D59" s="39">
        <v>56.31</v>
      </c>
      <c r="E59" s="39">
        <v>48.71</v>
      </c>
      <c r="F59" s="39">
        <f t="shared" si="8"/>
        <v>-3800.0000000000009</v>
      </c>
      <c r="G59" s="39">
        <f t="shared" si="9"/>
        <v>28155</v>
      </c>
      <c r="H59" s="175">
        <f t="shared" si="10"/>
        <v>-0.13496714615521224</v>
      </c>
      <c r="I59" s="39"/>
      <c r="J59" s="39"/>
      <c r="K59" s="39"/>
      <c r="L59" s="39">
        <v>13.35</v>
      </c>
    </row>
    <row r="60" spans="1:17" x14ac:dyDescent="0.25">
      <c r="A60" s="4"/>
      <c r="B60" s="161">
        <v>43448</v>
      </c>
      <c r="C60" s="10">
        <v>500</v>
      </c>
      <c r="D60" s="39">
        <v>55.814799999999998</v>
      </c>
      <c r="E60" s="39">
        <v>47.46</v>
      </c>
      <c r="F60" s="39">
        <f t="shared" si="8"/>
        <v>-4177.3999999999987</v>
      </c>
      <c r="G60" s="39">
        <f t="shared" si="9"/>
        <v>27907.399999999998</v>
      </c>
      <c r="H60" s="175">
        <f t="shared" si="10"/>
        <v>-0.14968789640023789</v>
      </c>
      <c r="I60" s="39"/>
      <c r="J60" s="39"/>
      <c r="K60" s="39"/>
      <c r="L60" s="39">
        <v>13.28</v>
      </c>
    </row>
    <row r="61" spans="1:17" x14ac:dyDescent="0.25">
      <c r="A61" s="4">
        <v>500</v>
      </c>
      <c r="B61" s="161">
        <v>43467</v>
      </c>
      <c r="C61" s="10">
        <v>500</v>
      </c>
      <c r="D61" s="39">
        <v>55.814799999999998</v>
      </c>
      <c r="E61" s="39">
        <v>43.34</v>
      </c>
      <c r="F61" s="39">
        <f t="shared" si="8"/>
        <v>-6237.3999999999978</v>
      </c>
      <c r="G61" s="39">
        <f t="shared" si="9"/>
        <v>27907.399999999998</v>
      </c>
      <c r="H61" s="175">
        <f t="shared" si="10"/>
        <v>-0.22350344353110635</v>
      </c>
      <c r="I61" s="39"/>
      <c r="J61" s="39"/>
      <c r="K61" s="39"/>
      <c r="L61" s="39">
        <v>11.87</v>
      </c>
    </row>
    <row r="62" spans="1:17" x14ac:dyDescent="0.25">
      <c r="A62" s="4">
        <v>500</v>
      </c>
      <c r="B62" s="161">
        <v>43470</v>
      </c>
      <c r="C62" s="10">
        <v>500</v>
      </c>
      <c r="D62" s="39">
        <v>55.81</v>
      </c>
      <c r="E62" s="39">
        <v>44.49</v>
      </c>
      <c r="F62" s="39">
        <f t="shared" si="8"/>
        <v>-5660</v>
      </c>
      <c r="G62" s="39">
        <f t="shared" si="9"/>
        <v>27905</v>
      </c>
      <c r="H62" s="175">
        <f t="shared" si="10"/>
        <v>-0.20283103386489876</v>
      </c>
      <c r="I62" s="39"/>
      <c r="J62" s="39"/>
      <c r="K62" s="39"/>
      <c r="L62" s="39">
        <v>12.19</v>
      </c>
    </row>
    <row r="63" spans="1:17" x14ac:dyDescent="0.25">
      <c r="A63" s="4"/>
      <c r="B63" s="161">
        <v>43491</v>
      </c>
      <c r="C63" s="10">
        <v>500</v>
      </c>
      <c r="D63" s="39">
        <v>55.81</v>
      </c>
      <c r="E63" s="39">
        <v>46.75</v>
      </c>
      <c r="F63" s="39">
        <f t="shared" si="8"/>
        <v>-4530.0000000000009</v>
      </c>
      <c r="G63" s="39">
        <f t="shared" si="9"/>
        <v>27905</v>
      </c>
      <c r="H63" s="175">
        <f t="shared" si="10"/>
        <v>-0.16233649883533421</v>
      </c>
      <c r="I63" s="39"/>
      <c r="J63" s="39"/>
      <c r="K63" s="39"/>
      <c r="L63" s="39"/>
    </row>
    <row r="64" spans="1:17" x14ac:dyDescent="0.25">
      <c r="A64" s="4">
        <v>500</v>
      </c>
      <c r="B64" s="161">
        <v>43510</v>
      </c>
      <c r="C64" s="10">
        <v>500</v>
      </c>
      <c r="D64" s="39">
        <v>55.81</v>
      </c>
      <c r="E64" s="39">
        <v>47.74</v>
      </c>
      <c r="F64" s="39">
        <f t="shared" si="8"/>
        <v>-4035</v>
      </c>
      <c r="G64" s="39">
        <f t="shared" si="9"/>
        <v>27905</v>
      </c>
      <c r="H64" s="175">
        <f t="shared" si="10"/>
        <v>-0.14459774234008241</v>
      </c>
      <c r="I64" s="39"/>
      <c r="J64" s="39"/>
      <c r="K64" s="39"/>
      <c r="L64" s="39">
        <v>12.97</v>
      </c>
    </row>
    <row r="65" spans="1:12" x14ac:dyDescent="0.25">
      <c r="A65" s="4">
        <v>500</v>
      </c>
      <c r="B65" s="161">
        <v>43517</v>
      </c>
      <c r="C65" s="10">
        <v>700</v>
      </c>
      <c r="D65" s="39">
        <v>51.013399999999997</v>
      </c>
      <c r="E65" s="39">
        <v>39.01</v>
      </c>
      <c r="F65" s="39">
        <f t="shared" si="8"/>
        <v>-8402.3799999999992</v>
      </c>
      <c r="G65" s="39">
        <f t="shared" si="9"/>
        <v>35709.379999999997</v>
      </c>
      <c r="H65" s="175">
        <f t="shared" si="10"/>
        <v>-0.23529896066523698</v>
      </c>
      <c r="I65" s="39"/>
      <c r="J65" s="39"/>
      <c r="K65" s="39"/>
      <c r="L65" s="39">
        <v>10.99</v>
      </c>
    </row>
    <row r="66" spans="1:12" x14ac:dyDescent="0.25">
      <c r="A66" s="4">
        <v>500</v>
      </c>
      <c r="B66" s="161">
        <v>43520</v>
      </c>
      <c r="C66" s="10">
        <v>700</v>
      </c>
      <c r="D66" s="39">
        <v>51.01</v>
      </c>
      <c r="E66" s="39">
        <v>34.950000000000003</v>
      </c>
      <c r="F66" s="39">
        <f t="shared" si="8"/>
        <v>-11241.999999999996</v>
      </c>
      <c r="G66" s="39">
        <f t="shared" si="9"/>
        <v>35707</v>
      </c>
      <c r="H66" s="175">
        <f t="shared" si="10"/>
        <v>-0.31484022740639084</v>
      </c>
      <c r="I66" s="39"/>
      <c r="J66" s="39"/>
      <c r="K66" s="39"/>
      <c r="L66" s="39">
        <v>9.85</v>
      </c>
    </row>
    <row r="67" spans="1:12" x14ac:dyDescent="0.25">
      <c r="A67" s="4">
        <v>500</v>
      </c>
      <c r="B67" s="161">
        <v>43535</v>
      </c>
      <c r="C67" s="10">
        <v>700</v>
      </c>
      <c r="D67" s="39">
        <v>51.01</v>
      </c>
      <c r="E67" s="39">
        <v>32.17</v>
      </c>
      <c r="F67" s="39">
        <f t="shared" si="8"/>
        <v>-13187.999999999998</v>
      </c>
      <c r="G67" s="39">
        <f t="shared" si="9"/>
        <v>35707</v>
      </c>
      <c r="H67" s="175">
        <f t="shared" si="10"/>
        <v>-0.36933934522642614</v>
      </c>
      <c r="I67" s="39"/>
      <c r="J67" s="39"/>
      <c r="K67" s="39"/>
      <c r="L67" s="39"/>
    </row>
    <row r="68" spans="1:12" x14ac:dyDescent="0.25">
      <c r="A68" s="4">
        <v>500</v>
      </c>
      <c r="B68" s="161">
        <v>43545</v>
      </c>
      <c r="C68" s="10">
        <v>700</v>
      </c>
      <c r="D68" s="39">
        <v>51.01</v>
      </c>
      <c r="E68" s="39">
        <v>32.75</v>
      </c>
      <c r="F68" s="39">
        <f t="shared" ref="F68:F74" si="11">C68*(E68-D68)</f>
        <v>-12781.999999999998</v>
      </c>
      <c r="G68" s="39">
        <f t="shared" ref="G68:G74" si="12">D68*C68</f>
        <v>35707</v>
      </c>
      <c r="H68" s="175">
        <f t="shared" ref="H68:H74" si="13">(E68-D68)/D68</f>
        <v>-0.35796902568123895</v>
      </c>
      <c r="I68" s="39"/>
      <c r="J68" s="39"/>
      <c r="K68" s="39"/>
      <c r="L68" s="39">
        <v>11.65</v>
      </c>
    </row>
    <row r="69" spans="1:12" x14ac:dyDescent="0.25">
      <c r="A69" s="4">
        <v>500</v>
      </c>
      <c r="B69" s="161">
        <v>43546</v>
      </c>
      <c r="C69" s="10">
        <v>700</v>
      </c>
      <c r="D69" s="39">
        <v>50.613399999999999</v>
      </c>
      <c r="E69" s="39">
        <v>32.29</v>
      </c>
      <c r="F69" s="39">
        <f t="shared" si="11"/>
        <v>-12826.38</v>
      </c>
      <c r="G69" s="39">
        <f t="shared" si="12"/>
        <v>35429.379999999997</v>
      </c>
      <c r="H69" s="175">
        <f t="shared" si="13"/>
        <v>-0.36202665697226427</v>
      </c>
      <c r="I69" s="39"/>
      <c r="J69" s="39"/>
      <c r="K69" s="39"/>
      <c r="L69" s="39">
        <v>11.49</v>
      </c>
    </row>
    <row r="70" spans="1:12" x14ac:dyDescent="0.25">
      <c r="A70" s="4"/>
      <c r="B70" s="161">
        <v>43613</v>
      </c>
      <c r="C70" s="10">
        <v>800</v>
      </c>
      <c r="D70" s="39">
        <v>47.946800000000003</v>
      </c>
      <c r="E70" s="39">
        <v>29.06</v>
      </c>
      <c r="F70" s="39">
        <f t="shared" si="11"/>
        <v>-15109.440000000004</v>
      </c>
      <c r="G70" s="39">
        <f t="shared" si="12"/>
        <v>38357.440000000002</v>
      </c>
      <c r="H70" s="175">
        <f t="shared" si="13"/>
        <v>-0.39391158534041903</v>
      </c>
      <c r="I70" s="39"/>
      <c r="J70" s="39"/>
      <c r="K70" s="39"/>
      <c r="L70" s="39"/>
    </row>
    <row r="71" spans="1:12" x14ac:dyDescent="0.25">
      <c r="A71" s="4"/>
      <c r="B71" s="161">
        <v>43614</v>
      </c>
      <c r="C71" s="10">
        <v>800</v>
      </c>
      <c r="D71" s="39">
        <v>47.95</v>
      </c>
      <c r="E71" s="39">
        <v>28.68</v>
      </c>
      <c r="F71" s="39">
        <f t="shared" si="11"/>
        <v>-15416.000000000002</v>
      </c>
      <c r="G71" s="39">
        <f t="shared" si="12"/>
        <v>38360</v>
      </c>
      <c r="H71" s="175">
        <f t="shared" si="13"/>
        <v>-0.40187695516162675</v>
      </c>
      <c r="I71" s="39"/>
      <c r="J71" s="39"/>
      <c r="K71" s="39"/>
      <c r="L71" s="39"/>
    </row>
    <row r="72" spans="1:12" x14ac:dyDescent="0.25">
      <c r="A72" s="4">
        <v>600</v>
      </c>
      <c r="B72" s="161">
        <v>43626</v>
      </c>
      <c r="C72" s="10">
        <v>700</v>
      </c>
      <c r="D72" s="39">
        <v>50.484999999999999</v>
      </c>
      <c r="E72" s="39">
        <v>30.31</v>
      </c>
      <c r="F72" s="39">
        <f t="shared" si="11"/>
        <v>-14122.5</v>
      </c>
      <c r="G72" s="39">
        <f t="shared" si="12"/>
        <v>35339.5</v>
      </c>
      <c r="H72" s="175">
        <f t="shared" si="13"/>
        <v>-0.39962365058928395</v>
      </c>
      <c r="I72" s="39"/>
      <c r="J72" s="39"/>
      <c r="K72" s="39"/>
      <c r="L72" s="39">
        <v>10.79</v>
      </c>
    </row>
    <row r="73" spans="1:12" x14ac:dyDescent="0.25">
      <c r="A73" s="4">
        <v>600</v>
      </c>
      <c r="B73" s="161">
        <v>43631</v>
      </c>
      <c r="C73" s="10">
        <v>700</v>
      </c>
      <c r="D73" s="39">
        <v>50.03</v>
      </c>
      <c r="E73" s="39">
        <v>30.31</v>
      </c>
      <c r="F73" s="39">
        <f t="shared" si="11"/>
        <v>-13804.000000000002</v>
      </c>
      <c r="G73" s="39">
        <f t="shared" si="12"/>
        <v>35021</v>
      </c>
      <c r="H73" s="175">
        <f t="shared" si="13"/>
        <v>-0.39416350189886074</v>
      </c>
      <c r="I73" s="39"/>
      <c r="J73" s="39"/>
      <c r="K73" s="39"/>
      <c r="L73" s="39"/>
    </row>
    <row r="74" spans="1:12" x14ac:dyDescent="0.25">
      <c r="A74" s="4"/>
      <c r="B74" s="161">
        <v>43639</v>
      </c>
      <c r="C74" s="10">
        <v>700</v>
      </c>
      <c r="D74" s="39">
        <v>50.03</v>
      </c>
      <c r="E74" s="39">
        <v>31.5</v>
      </c>
      <c r="F74" s="39">
        <f t="shared" si="11"/>
        <v>-12971</v>
      </c>
      <c r="G74" s="39">
        <f t="shared" si="12"/>
        <v>35021</v>
      </c>
      <c r="H74" s="175">
        <f t="shared" si="13"/>
        <v>-0.37037777333599842</v>
      </c>
      <c r="I74" s="39"/>
      <c r="J74" s="39"/>
      <c r="K74" s="39"/>
      <c r="L74" s="39"/>
    </row>
    <row r="75" spans="1:12" x14ac:dyDescent="0.25">
      <c r="A75" s="4">
        <v>500</v>
      </c>
      <c r="B75" s="161">
        <v>43644</v>
      </c>
      <c r="C75" s="10">
        <v>500</v>
      </c>
      <c r="D75" s="39">
        <v>57.654200000000003</v>
      </c>
      <c r="E75" s="39">
        <v>32.5</v>
      </c>
      <c r="F75" s="39">
        <f t="shared" ref="F75:F79" si="14">C75*(E75-D75)</f>
        <v>-12577.100000000002</v>
      </c>
      <c r="G75" s="39">
        <f t="shared" ref="G75:G79" si="15">D75*C75</f>
        <v>28827.100000000002</v>
      </c>
      <c r="H75" s="175">
        <f t="shared" ref="H75:H79" si="16">(E75-D75)/D75</f>
        <v>-0.43629432027501902</v>
      </c>
      <c r="I75" s="39" t="s">
        <v>1352</v>
      </c>
      <c r="J75" s="39"/>
      <c r="K75" s="39"/>
      <c r="L75" s="39"/>
    </row>
    <row r="76" spans="1:12" x14ac:dyDescent="0.25">
      <c r="A76" s="4"/>
      <c r="B76" s="161">
        <v>43722</v>
      </c>
      <c r="C76" s="10">
        <v>500</v>
      </c>
      <c r="D76" s="39">
        <v>57.254199999999997</v>
      </c>
      <c r="E76" s="39">
        <v>29.25</v>
      </c>
      <c r="F76" s="39">
        <f t="shared" si="14"/>
        <v>-14002.099999999999</v>
      </c>
      <c r="G76" s="39">
        <f t="shared" si="15"/>
        <v>28627.1</v>
      </c>
      <c r="H76" s="175">
        <f t="shared" si="16"/>
        <v>-0.48912044880550243</v>
      </c>
      <c r="I76" s="39"/>
      <c r="J76" s="39"/>
      <c r="K76" s="39"/>
      <c r="L76" s="39"/>
    </row>
    <row r="77" spans="1:12" x14ac:dyDescent="0.25">
      <c r="A77" s="4">
        <v>500</v>
      </c>
      <c r="B77" s="161">
        <v>43727</v>
      </c>
      <c r="C77" s="470">
        <v>600</v>
      </c>
      <c r="D77" s="536">
        <v>52.386800000000001</v>
      </c>
      <c r="E77" s="39">
        <v>28.05</v>
      </c>
      <c r="F77" s="39">
        <f t="shared" si="14"/>
        <v>-14602.08</v>
      </c>
      <c r="G77" s="39">
        <f t="shared" si="15"/>
        <v>31432.080000000002</v>
      </c>
      <c r="H77" s="175">
        <f t="shared" si="16"/>
        <v>-0.46455977459970832</v>
      </c>
      <c r="I77" s="39"/>
      <c r="J77" s="39"/>
      <c r="K77" s="39"/>
      <c r="L77" s="39"/>
    </row>
    <row r="78" spans="1:12" x14ac:dyDescent="0.25">
      <c r="A78" s="4">
        <v>600</v>
      </c>
      <c r="B78" s="161">
        <v>43772</v>
      </c>
      <c r="C78" s="10">
        <v>600</v>
      </c>
      <c r="D78" s="39">
        <v>52.39</v>
      </c>
      <c r="E78" s="39">
        <v>32.61</v>
      </c>
      <c r="F78" s="39">
        <f t="shared" si="14"/>
        <v>-11868</v>
      </c>
      <c r="G78" s="39">
        <f t="shared" si="15"/>
        <v>31434</v>
      </c>
      <c r="H78" s="175">
        <f t="shared" si="16"/>
        <v>-0.37755296812368777</v>
      </c>
      <c r="I78" s="39"/>
      <c r="J78" s="39"/>
      <c r="K78" s="39"/>
      <c r="L78" s="39"/>
    </row>
    <row r="79" spans="1:12" x14ac:dyDescent="0.25">
      <c r="A79" s="4">
        <v>500</v>
      </c>
      <c r="B79" s="161">
        <v>43782</v>
      </c>
      <c r="C79" s="10">
        <v>500</v>
      </c>
      <c r="D79" s="39">
        <v>56.188299999999998</v>
      </c>
      <c r="E79" s="39">
        <v>33.299999999999997</v>
      </c>
      <c r="F79" s="39">
        <f t="shared" si="14"/>
        <v>-11444.15</v>
      </c>
      <c r="G79" s="39">
        <f t="shared" si="15"/>
        <v>28094.149999999998</v>
      </c>
      <c r="H79" s="175">
        <f t="shared" si="16"/>
        <v>-0.4073499287218158</v>
      </c>
      <c r="I79" s="39"/>
      <c r="J79" s="39"/>
      <c r="K79" s="39"/>
      <c r="L79" s="39"/>
    </row>
    <row r="80" spans="1:12" x14ac:dyDescent="0.25">
      <c r="A80" s="4">
        <v>500</v>
      </c>
      <c r="B80" s="161">
        <v>43783</v>
      </c>
      <c r="C80" s="470">
        <v>600</v>
      </c>
      <c r="D80" s="536">
        <v>52.137</v>
      </c>
      <c r="E80" s="39">
        <v>30.96</v>
      </c>
      <c r="F80" s="39">
        <f t="shared" ref="F80" si="17">C80*(E80-D80)</f>
        <v>-12706.199999999999</v>
      </c>
      <c r="G80" s="39">
        <f t="shared" ref="G80" si="18">D80*C80</f>
        <v>31282.2</v>
      </c>
      <c r="H80" s="175">
        <f t="shared" ref="H80" si="19">(E80-D80)/D80</f>
        <v>-0.40617987225962365</v>
      </c>
      <c r="I80" s="39"/>
      <c r="J80" s="39"/>
      <c r="K80" s="39"/>
      <c r="L80" s="39"/>
    </row>
    <row r="81" spans="1:13" x14ac:dyDescent="0.25">
      <c r="A81" s="4">
        <v>500</v>
      </c>
      <c r="B81" s="161">
        <v>43797</v>
      </c>
      <c r="C81" s="10">
        <v>600</v>
      </c>
      <c r="D81" s="39">
        <v>52.14</v>
      </c>
      <c r="E81" s="39">
        <v>30.37</v>
      </c>
      <c r="F81" s="39">
        <f t="shared" ref="F81" si="20">C81*(E81-D81)</f>
        <v>-13062</v>
      </c>
      <c r="G81" s="39">
        <f t="shared" ref="G81" si="21">D81*C81</f>
        <v>31284</v>
      </c>
      <c r="H81" s="175">
        <f t="shared" ref="H81" si="22">(E81-D81)/D81</f>
        <v>-0.41752972765630991</v>
      </c>
      <c r="I81" s="39"/>
      <c r="J81" s="39"/>
      <c r="K81" s="39"/>
      <c r="L81" s="39"/>
    </row>
    <row r="82" spans="1:13" x14ac:dyDescent="0.25">
      <c r="A82" s="4"/>
      <c r="B82" s="161"/>
      <c r="C82" s="10"/>
      <c r="D82" s="39"/>
      <c r="E82" s="39"/>
      <c r="F82" s="39"/>
      <c r="G82" s="39"/>
      <c r="H82" s="175"/>
      <c r="I82" s="39"/>
      <c r="J82" s="39"/>
      <c r="K82" s="39"/>
      <c r="L82" s="39"/>
    </row>
    <row r="83" spans="1:13" x14ac:dyDescent="0.25">
      <c r="A83" s="4"/>
      <c r="B83" s="161"/>
      <c r="C83" s="10"/>
      <c r="D83" s="39"/>
      <c r="E83" s="39"/>
      <c r="F83" s="39"/>
      <c r="G83" s="39"/>
      <c r="H83" s="175"/>
      <c r="I83" s="39"/>
      <c r="J83" s="39"/>
      <c r="K83" s="39"/>
      <c r="L83" s="39"/>
    </row>
    <row r="84" spans="1:13" x14ac:dyDescent="0.25">
      <c r="A84" s="4"/>
      <c r="B84" s="161"/>
      <c r="C84" s="10"/>
      <c r="D84" s="39"/>
      <c r="E84" s="39"/>
      <c r="F84" s="39"/>
      <c r="G84" s="39"/>
      <c r="H84" s="175"/>
      <c r="I84" s="39"/>
      <c r="J84" s="39"/>
      <c r="K84" s="39"/>
      <c r="L84" s="39"/>
    </row>
    <row r="85" spans="1:13" x14ac:dyDescent="0.25">
      <c r="A85" s="4"/>
      <c r="B85" s="4"/>
      <c r="C85" s="4"/>
      <c r="D85" s="3"/>
      <c r="E85" s="3"/>
      <c r="F85" s="3"/>
      <c r="G85" s="4"/>
      <c r="H85" s="4"/>
      <c r="I85" s="3"/>
      <c r="J85" s="3"/>
      <c r="K85" s="3"/>
      <c r="L85" s="4"/>
    </row>
    <row r="86" spans="1:13" x14ac:dyDescent="0.25">
      <c r="A86" s="4"/>
      <c r="B86" s="4"/>
      <c r="C86" s="4"/>
      <c r="D86" s="3"/>
      <c r="E86" s="3"/>
      <c r="F86" s="3"/>
      <c r="G86" s="4"/>
      <c r="H86" s="4"/>
      <c r="I86" s="3"/>
      <c r="J86" s="3"/>
      <c r="K86" s="3"/>
      <c r="L86" s="4"/>
    </row>
    <row r="87" spans="1:13" x14ac:dyDescent="0.25">
      <c r="A87" s="478"/>
      <c r="B87" s="478"/>
      <c r="C87" s="478"/>
      <c r="D87" s="479"/>
      <c r="E87" s="479"/>
      <c r="F87" s="479"/>
      <c r="G87" s="478"/>
      <c r="H87" s="478"/>
      <c r="I87" s="479"/>
      <c r="J87" s="479"/>
      <c r="K87" s="479"/>
      <c r="L87" s="478" t="s">
        <v>65</v>
      </c>
      <c r="M87" s="479">
        <f>M105+K105-F105</f>
        <v>0</v>
      </c>
    </row>
    <row r="88" spans="1:13" x14ac:dyDescent="0.25">
      <c r="A88" s="597" t="s">
        <v>1</v>
      </c>
      <c r="B88" s="597" t="s">
        <v>2</v>
      </c>
      <c r="C88" s="597" t="s">
        <v>4</v>
      </c>
      <c r="D88" s="598" t="s">
        <v>5</v>
      </c>
      <c r="E88" s="598" t="s">
        <v>94</v>
      </c>
      <c r="F88" s="598" t="s">
        <v>60</v>
      </c>
      <c r="G88" s="597" t="s">
        <v>3</v>
      </c>
      <c r="H88" s="597" t="s">
        <v>6</v>
      </c>
      <c r="I88" s="598" t="s">
        <v>7</v>
      </c>
      <c r="J88" s="598" t="s">
        <v>95</v>
      </c>
      <c r="K88" s="598" t="s">
        <v>61</v>
      </c>
      <c r="L88" s="597" t="s">
        <v>37</v>
      </c>
      <c r="M88" s="597" t="s">
        <v>38</v>
      </c>
    </row>
    <row r="89" spans="1:13" x14ac:dyDescent="0.25">
      <c r="A89" s="599" t="s">
        <v>870</v>
      </c>
      <c r="B89" s="481"/>
      <c r="C89" s="478"/>
      <c r="D89" s="479"/>
      <c r="E89" s="479"/>
      <c r="F89" s="479"/>
      <c r="G89" s="481"/>
      <c r="H89" s="478"/>
      <c r="I89" s="479"/>
      <c r="J89" s="479"/>
      <c r="K89" s="479"/>
      <c r="L89" s="481"/>
      <c r="M89" s="479"/>
    </row>
    <row r="90" spans="1:13" x14ac:dyDescent="0.25">
      <c r="A90" s="600"/>
      <c r="B90" s="481"/>
      <c r="C90" s="478"/>
      <c r="D90" s="479"/>
      <c r="E90" s="479"/>
      <c r="F90" s="479"/>
      <c r="G90" s="481"/>
      <c r="H90" s="480"/>
      <c r="I90" s="479"/>
      <c r="J90" s="479"/>
      <c r="K90" s="479"/>
      <c r="L90" s="478"/>
      <c r="M90" s="478"/>
    </row>
    <row r="91" spans="1:13" x14ac:dyDescent="0.25">
      <c r="A91" s="478"/>
      <c r="B91" s="481"/>
      <c r="C91" s="478"/>
      <c r="D91" s="479"/>
      <c r="E91" s="479"/>
      <c r="F91" s="479"/>
      <c r="G91" s="481"/>
      <c r="H91" s="480"/>
      <c r="I91" s="479"/>
      <c r="J91" s="479"/>
      <c r="K91" s="479"/>
      <c r="L91" s="478"/>
      <c r="M91" s="478"/>
    </row>
    <row r="92" spans="1:13" x14ac:dyDescent="0.25">
      <c r="A92" s="478"/>
      <c r="B92" s="481"/>
      <c r="C92" s="478"/>
      <c r="D92" s="479"/>
      <c r="E92" s="479"/>
      <c r="F92" s="479"/>
      <c r="G92" s="478"/>
      <c r="H92" s="480"/>
      <c r="I92" s="479"/>
      <c r="J92" s="479"/>
      <c r="K92" s="479"/>
      <c r="L92" s="478"/>
      <c r="M92" s="478"/>
    </row>
    <row r="93" spans="1:13" x14ac:dyDescent="0.25">
      <c r="A93" s="478"/>
      <c r="B93" s="481"/>
      <c r="C93" s="478"/>
      <c r="D93" s="479"/>
      <c r="E93" s="479"/>
      <c r="F93" s="479"/>
      <c r="G93" s="478"/>
      <c r="H93" s="480"/>
      <c r="I93" s="479"/>
      <c r="J93" s="479"/>
      <c r="K93" s="479"/>
      <c r="L93" s="478"/>
      <c r="M93" s="478"/>
    </row>
    <row r="94" spans="1:13" x14ac:dyDescent="0.25">
      <c r="A94" s="478"/>
      <c r="B94" s="478"/>
      <c r="C94" s="478"/>
      <c r="D94" s="479"/>
      <c r="E94" s="479"/>
      <c r="F94" s="479"/>
      <c r="G94" s="478"/>
      <c r="H94" s="480"/>
      <c r="I94" s="479"/>
      <c r="J94" s="479"/>
      <c r="K94" s="479"/>
      <c r="L94" s="478"/>
      <c r="M94" s="478"/>
    </row>
    <row r="95" spans="1:13" x14ac:dyDescent="0.25">
      <c r="A95" s="478"/>
      <c r="B95" s="478"/>
      <c r="C95" s="478"/>
      <c r="D95" s="479"/>
      <c r="E95" s="479"/>
      <c r="F95" s="479"/>
      <c r="G95" s="478"/>
      <c r="H95" s="480"/>
      <c r="I95" s="479"/>
      <c r="J95" s="479"/>
      <c r="K95" s="479"/>
      <c r="L95" s="478"/>
      <c r="M95" s="478"/>
    </row>
    <row r="96" spans="1:13" x14ac:dyDescent="0.25">
      <c r="A96" s="478"/>
      <c r="B96" s="478"/>
      <c r="C96" s="478"/>
      <c r="D96" s="479"/>
      <c r="E96" s="479"/>
      <c r="F96" s="479"/>
      <c r="G96" s="478"/>
      <c r="H96" s="480"/>
      <c r="I96" s="479"/>
      <c r="J96" s="479"/>
      <c r="K96" s="479"/>
      <c r="L96" s="478"/>
      <c r="M96" s="478"/>
    </row>
    <row r="97" spans="1:13" x14ac:dyDescent="0.25">
      <c r="A97" s="478"/>
      <c r="B97" s="478"/>
      <c r="C97" s="478"/>
      <c r="D97" s="479"/>
      <c r="E97" s="479"/>
      <c r="F97" s="479"/>
      <c r="G97" s="478"/>
      <c r="H97" s="480"/>
      <c r="I97" s="479"/>
      <c r="J97" s="479"/>
      <c r="K97" s="479"/>
      <c r="L97" s="478"/>
      <c r="M97" s="478"/>
    </row>
    <row r="98" spans="1:13" x14ac:dyDescent="0.25">
      <c r="A98" s="478"/>
      <c r="B98" s="478"/>
      <c r="C98" s="478"/>
      <c r="D98" s="479"/>
      <c r="E98" s="479"/>
      <c r="F98" s="479"/>
      <c r="G98" s="478"/>
      <c r="H98" s="480"/>
      <c r="I98" s="479"/>
      <c r="J98" s="479"/>
      <c r="K98" s="479"/>
      <c r="L98" s="478"/>
      <c r="M98" s="478"/>
    </row>
    <row r="99" spans="1:13" x14ac:dyDescent="0.25">
      <c r="A99" s="478"/>
      <c r="B99" s="478"/>
      <c r="C99" s="478"/>
      <c r="D99" s="479"/>
      <c r="E99" s="479"/>
      <c r="F99" s="479"/>
      <c r="G99" s="478"/>
      <c r="H99" s="480"/>
      <c r="I99" s="479"/>
      <c r="J99" s="479"/>
      <c r="K99" s="479"/>
      <c r="L99" s="478"/>
      <c r="M99" s="478"/>
    </row>
    <row r="100" spans="1:13" x14ac:dyDescent="0.25">
      <c r="A100" s="478"/>
      <c r="B100" s="478"/>
      <c r="C100" s="478"/>
      <c r="D100" s="479"/>
      <c r="E100" s="479"/>
      <c r="F100" s="479"/>
      <c r="G100" s="478"/>
      <c r="H100" s="480"/>
      <c r="I100" s="479"/>
      <c r="J100" s="479"/>
      <c r="K100" s="479"/>
      <c r="L100" s="478"/>
      <c r="M100" s="478"/>
    </row>
    <row r="101" spans="1:13" x14ac:dyDescent="0.25">
      <c r="A101" s="478"/>
      <c r="B101" s="478"/>
      <c r="C101" s="478"/>
      <c r="D101" s="479"/>
      <c r="E101" s="479"/>
      <c r="F101" s="479"/>
      <c r="G101" s="478"/>
      <c r="H101" s="480"/>
      <c r="I101" s="479"/>
      <c r="J101" s="479"/>
      <c r="K101" s="479"/>
      <c r="L101" s="478"/>
      <c r="M101" s="478"/>
    </row>
    <row r="102" spans="1:13" x14ac:dyDescent="0.25">
      <c r="A102" s="478"/>
      <c r="B102" s="478"/>
      <c r="C102" s="478"/>
      <c r="D102" s="479"/>
      <c r="E102" s="479"/>
      <c r="F102" s="479"/>
      <c r="G102" s="478"/>
      <c r="H102" s="480"/>
      <c r="I102" s="479"/>
      <c r="J102" s="479"/>
      <c r="K102" s="479"/>
      <c r="L102" s="478"/>
      <c r="M102" s="478"/>
    </row>
    <row r="103" spans="1:13" x14ac:dyDescent="0.25">
      <c r="A103" s="478"/>
      <c r="B103" s="478"/>
      <c r="C103" s="478"/>
      <c r="D103" s="479"/>
      <c r="E103" s="479"/>
      <c r="F103" s="479"/>
      <c r="G103" s="478"/>
      <c r="H103" s="480"/>
      <c r="I103" s="479"/>
      <c r="J103" s="479"/>
      <c r="K103" s="479"/>
      <c r="L103" s="478"/>
      <c r="M103" s="478"/>
    </row>
    <row r="104" spans="1:13" x14ac:dyDescent="0.25">
      <c r="A104" s="478"/>
      <c r="B104" s="478"/>
      <c r="C104" s="478"/>
      <c r="D104" s="479"/>
      <c r="E104" s="479"/>
      <c r="F104" s="479"/>
      <c r="G104" s="478"/>
      <c r="H104" s="478"/>
      <c r="I104" s="479"/>
      <c r="J104" s="479"/>
      <c r="K104" s="479"/>
      <c r="L104" s="478"/>
      <c r="M104" s="478"/>
    </row>
    <row r="105" spans="1:13" x14ac:dyDescent="0.25">
      <c r="A105" s="601" t="s">
        <v>81</v>
      </c>
      <c r="B105" s="602"/>
      <c r="C105" s="602">
        <f>SUM(C89:C93)</f>
        <v>0</v>
      </c>
      <c r="D105" s="603"/>
      <c r="E105" s="603"/>
      <c r="F105" s="603">
        <f>SUM(F89:F93)</f>
        <v>0</v>
      </c>
      <c r="G105" s="602"/>
      <c r="H105" s="604">
        <f>SUM(H89:H92)</f>
        <v>0</v>
      </c>
      <c r="I105" s="603"/>
      <c r="J105" s="603"/>
      <c r="K105" s="603">
        <f>SUM(K89:K92)</f>
        <v>0</v>
      </c>
      <c r="L105" s="602"/>
      <c r="M105" s="603">
        <f>SUM(M89:M97)</f>
        <v>0</v>
      </c>
    </row>
    <row r="106" spans="1:13" ht="15.75" thickBot="1" x14ac:dyDescent="0.3">
      <c r="A106" s="605" t="s">
        <v>189</v>
      </c>
      <c r="B106" s="637"/>
      <c r="C106" s="606">
        <f>SumByColor($A$19,C89:C104)</f>
        <v>0</v>
      </c>
      <c r="D106" s="606"/>
      <c r="E106" s="606"/>
      <c r="F106" s="607">
        <f>SumByColor($A$19,F89:F104)</f>
        <v>0</v>
      </c>
      <c r="G106" s="606"/>
      <c r="H106" s="606">
        <f>SumByColor($A$19,H89:H104)</f>
        <v>0</v>
      </c>
      <c r="I106" s="606"/>
      <c r="J106" s="606"/>
      <c r="K106" s="607">
        <f>SumByColor($A$19,K90:K104)</f>
        <v>0</v>
      </c>
      <c r="L106" s="606"/>
      <c r="M106" s="607">
        <f>SumByColor($A$19,M89:M104)</f>
        <v>0</v>
      </c>
    </row>
    <row r="109" spans="1:13" x14ac:dyDescent="0.25">
      <c r="B109" s="159" t="s">
        <v>113</v>
      </c>
      <c r="C109" s="159" t="s">
        <v>143</v>
      </c>
      <c r="D109" s="160" t="s">
        <v>142</v>
      </c>
      <c r="E109" s="162" t="s">
        <v>144</v>
      </c>
      <c r="F109" s="162" t="s">
        <v>65</v>
      </c>
      <c r="G109" s="173" t="s">
        <v>148</v>
      </c>
      <c r="H109" s="173" t="s">
        <v>88</v>
      </c>
      <c r="I109" s="173" t="s">
        <v>151</v>
      </c>
      <c r="J109" s="173" t="s">
        <v>147</v>
      </c>
      <c r="K109" s="173" t="s">
        <v>601</v>
      </c>
      <c r="L109" s="173" t="s">
        <v>607</v>
      </c>
    </row>
    <row r="110" spans="1:13" x14ac:dyDescent="0.25">
      <c r="B110" s="161"/>
      <c r="C110" s="10"/>
      <c r="D110" s="39"/>
      <c r="E110" s="39"/>
      <c r="F110" s="39"/>
      <c r="G110" s="39"/>
      <c r="H110" s="175"/>
      <c r="I110" s="39"/>
      <c r="J110" s="39"/>
      <c r="K110" s="39"/>
      <c r="L110" s="39"/>
    </row>
    <row r="111" spans="1:13" x14ac:dyDescent="0.25">
      <c r="B111" s="161"/>
      <c r="C111" s="10"/>
      <c r="D111" s="39"/>
      <c r="E111" s="39"/>
      <c r="F111" s="39"/>
      <c r="G111" s="39"/>
      <c r="H111" s="175"/>
      <c r="I111" s="39"/>
      <c r="J111" s="39"/>
      <c r="K111" s="39"/>
      <c r="L111" s="39"/>
    </row>
    <row r="112" spans="1:13" x14ac:dyDescent="0.25">
      <c r="B112" s="161"/>
      <c r="C112" s="10"/>
      <c r="D112" s="39"/>
      <c r="E112" s="39"/>
      <c r="F112" s="39"/>
      <c r="G112" s="39"/>
      <c r="H112" s="175"/>
      <c r="I112" s="39"/>
      <c r="J112" s="39"/>
      <c r="K112" s="39"/>
      <c r="L112" s="152"/>
    </row>
    <row r="113" spans="2:12" x14ac:dyDescent="0.25">
      <c r="B113" s="161"/>
      <c r="C113" s="10"/>
      <c r="D113" s="39"/>
      <c r="E113" s="39"/>
      <c r="F113" s="39"/>
      <c r="G113" s="39"/>
      <c r="H113" s="175"/>
      <c r="I113" s="39"/>
      <c r="J113" s="39"/>
      <c r="K113" s="39"/>
      <c r="L113" s="152"/>
    </row>
    <row r="114" spans="2:12" x14ac:dyDescent="0.25">
      <c r="B114" s="161"/>
      <c r="C114" s="10"/>
      <c r="D114" s="39"/>
      <c r="E114" s="39"/>
      <c r="F114" s="39"/>
      <c r="G114" s="39"/>
      <c r="H114" s="175"/>
      <c r="I114" s="39"/>
      <c r="J114" s="39"/>
      <c r="K114" s="39"/>
      <c r="L114" s="152"/>
    </row>
    <row r="115" spans="2:12" x14ac:dyDescent="0.25">
      <c r="B115" s="161"/>
      <c r="C115" s="10"/>
      <c r="D115" s="39"/>
      <c r="E115" s="39"/>
      <c r="F115" s="39"/>
      <c r="G115" s="39"/>
      <c r="H115" s="175"/>
      <c r="I115" s="39"/>
      <c r="J115" s="39"/>
      <c r="K115" s="39"/>
      <c r="L115" s="152"/>
    </row>
    <row r="116" spans="2:12" x14ac:dyDescent="0.25">
      <c r="B116" s="161"/>
      <c r="C116" s="10"/>
      <c r="D116" s="39"/>
      <c r="E116" s="39"/>
      <c r="F116" s="39"/>
      <c r="G116" s="39"/>
      <c r="H116" s="175"/>
      <c r="I116" s="39"/>
      <c r="J116" s="39"/>
      <c r="K116" s="39"/>
      <c r="L116" s="152"/>
    </row>
    <row r="117" spans="2:12" x14ac:dyDescent="0.25">
      <c r="B117" s="161"/>
      <c r="C117" s="10"/>
      <c r="D117" s="39"/>
      <c r="E117" s="39"/>
      <c r="F117" s="39"/>
      <c r="G117" s="39"/>
      <c r="H117" s="175"/>
      <c r="I117" s="39"/>
      <c r="J117" s="39"/>
      <c r="K117" s="39"/>
      <c r="L117" s="152"/>
    </row>
    <row r="118" spans="2:12" x14ac:dyDescent="0.25">
      <c r="B118" s="161"/>
      <c r="C118" s="10"/>
      <c r="D118" s="39"/>
      <c r="E118" s="39"/>
      <c r="F118" s="39"/>
      <c r="G118" s="39"/>
      <c r="H118" s="175"/>
      <c r="I118" s="39"/>
      <c r="J118" s="39"/>
      <c r="K118" s="39"/>
      <c r="L118" s="152"/>
    </row>
    <row r="119" spans="2:12" x14ac:dyDescent="0.25">
      <c r="B119" s="161"/>
      <c r="C119" s="10"/>
      <c r="D119" s="39"/>
      <c r="E119" s="39"/>
      <c r="F119" s="39"/>
      <c r="G119" s="39"/>
      <c r="H119" s="175"/>
      <c r="I119" s="39"/>
      <c r="J119" s="39"/>
      <c r="K119" s="39"/>
      <c r="L119" s="152"/>
    </row>
    <row r="120" spans="2:12" x14ac:dyDescent="0.25">
      <c r="B120" s="161"/>
      <c r="C120" s="10"/>
      <c r="D120" s="39"/>
      <c r="E120" s="39"/>
      <c r="F120" s="39"/>
      <c r="G120" s="39"/>
      <c r="H120" s="175"/>
      <c r="I120" s="39"/>
      <c r="J120" s="39"/>
      <c r="K120" s="39"/>
      <c r="L120" s="152"/>
    </row>
    <row r="121" spans="2:12" x14ac:dyDescent="0.25">
      <c r="B121" s="161"/>
      <c r="C121" s="10"/>
      <c r="D121" s="39"/>
      <c r="E121" s="39"/>
      <c r="F121" s="39"/>
      <c r="G121" s="39"/>
      <c r="H121" s="175"/>
      <c r="I121" s="39"/>
      <c r="J121" s="39"/>
      <c r="K121" s="39"/>
      <c r="L121" s="39"/>
    </row>
    <row r="122" spans="2:12" x14ac:dyDescent="0.25">
      <c r="B122" s="161"/>
      <c r="C122" s="10"/>
      <c r="D122" s="39"/>
      <c r="E122" s="39"/>
      <c r="F122" s="39"/>
      <c r="G122" s="39"/>
      <c r="H122" s="175"/>
      <c r="I122" s="39"/>
      <c r="J122" s="39"/>
      <c r="K122" s="39"/>
      <c r="L122" s="39"/>
    </row>
    <row r="123" spans="2:12" x14ac:dyDescent="0.25">
      <c r="B123" s="161"/>
      <c r="C123" s="10"/>
      <c r="D123" s="39"/>
      <c r="E123" s="39"/>
      <c r="F123" s="39"/>
      <c r="G123" s="39"/>
      <c r="H123" s="175"/>
      <c r="I123" s="39"/>
      <c r="J123" s="39"/>
      <c r="K123" s="39"/>
      <c r="L123" s="39"/>
    </row>
    <row r="124" spans="2:12" x14ac:dyDescent="0.25">
      <c r="B124" s="161"/>
      <c r="C124" s="10"/>
      <c r="D124" s="39"/>
      <c r="E124" s="39"/>
      <c r="F124" s="39"/>
      <c r="G124" s="39"/>
      <c r="H124" s="175"/>
      <c r="I124" s="39"/>
      <c r="J124" s="39"/>
      <c r="K124" s="39"/>
      <c r="L124" s="39"/>
    </row>
    <row r="125" spans="2:12" x14ac:dyDescent="0.25">
      <c r="B125" s="161"/>
      <c r="C125" s="10"/>
      <c r="D125" s="39"/>
      <c r="E125" s="39"/>
      <c r="F125" s="39"/>
      <c r="G125" s="39"/>
      <c r="H125" s="175"/>
      <c r="I125" s="39"/>
      <c r="J125" s="39"/>
      <c r="K125" s="39"/>
      <c r="L125" s="39"/>
    </row>
    <row r="126" spans="2:12" x14ac:dyDescent="0.25">
      <c r="B126" s="161"/>
      <c r="C126" s="10"/>
      <c r="D126" s="39"/>
      <c r="E126" s="39"/>
      <c r="F126" s="39"/>
      <c r="G126" s="39"/>
      <c r="H126" s="175"/>
      <c r="I126" s="39"/>
      <c r="J126" s="39"/>
      <c r="K126" s="39"/>
      <c r="L126" s="39"/>
    </row>
    <row r="127" spans="2:12" x14ac:dyDescent="0.25">
      <c r="B127" s="161"/>
      <c r="C127" s="10"/>
      <c r="D127" s="39"/>
      <c r="E127" s="39"/>
      <c r="F127" s="39"/>
      <c r="G127" s="39"/>
      <c r="H127" s="175"/>
      <c r="I127" s="39"/>
      <c r="J127" s="39"/>
      <c r="K127" s="39"/>
      <c r="L127" s="39"/>
    </row>
    <row r="128" spans="2:12" x14ac:dyDescent="0.25">
      <c r="B128" s="161"/>
      <c r="C128" s="10"/>
      <c r="D128" s="39"/>
      <c r="E128" s="39"/>
      <c r="F128" s="39"/>
      <c r="G128" s="39"/>
      <c r="H128" s="175"/>
      <c r="I128" s="39"/>
      <c r="J128" s="39"/>
      <c r="K128" s="39"/>
      <c r="L128" s="39"/>
    </row>
    <row r="129" spans="2:12" x14ac:dyDescent="0.25">
      <c r="B129" s="161"/>
      <c r="C129" s="10"/>
      <c r="D129" s="39"/>
      <c r="E129" s="39"/>
      <c r="F129" s="39"/>
      <c r="G129" s="39"/>
      <c r="H129" s="175"/>
      <c r="I129" s="39"/>
      <c r="J129" s="39"/>
      <c r="K129" s="39"/>
      <c r="L129" s="39"/>
    </row>
    <row r="130" spans="2:12" x14ac:dyDescent="0.25">
      <c r="B130" s="161"/>
      <c r="C130" s="10"/>
      <c r="D130" s="39"/>
      <c r="E130" s="39"/>
      <c r="F130" s="39"/>
      <c r="G130" s="39"/>
      <c r="H130" s="175"/>
      <c r="I130" s="39"/>
      <c r="J130" s="39"/>
      <c r="K130" s="39"/>
      <c r="L130" s="39"/>
    </row>
    <row r="131" spans="2:12" x14ac:dyDescent="0.25">
      <c r="B131" s="161"/>
      <c r="C131" s="10"/>
      <c r="D131" s="39"/>
      <c r="E131" s="39"/>
      <c r="F131" s="39"/>
      <c r="G131" s="39"/>
      <c r="H131" s="175"/>
      <c r="I131" s="39"/>
      <c r="J131" s="39"/>
      <c r="K131" s="39"/>
      <c r="L131" s="39"/>
    </row>
  </sheetData>
  <mergeCells count="1">
    <mergeCell ref="O21:P21"/>
  </mergeCells>
  <conditionalFormatting sqref="O22:O42">
    <cfRule type="colorScale" priority="56">
      <colorScale>
        <cfvo type="min"/>
        <cfvo type="percentile" val="50"/>
        <cfvo type="max"/>
        <color rgb="FFF8696B"/>
        <color rgb="FFFFEB84"/>
        <color rgb="FF63BE7B"/>
      </colorScale>
    </cfRule>
  </conditionalFormatting>
  <conditionalFormatting sqref="P22:P42">
    <cfRule type="colorScale" priority="55">
      <colorScale>
        <cfvo type="min"/>
        <cfvo type="percentile" val="50"/>
        <cfvo type="max"/>
        <color rgb="FFF8696B"/>
        <color rgb="FFFFEB84"/>
        <color rgb="FF63BE7B"/>
      </colorScale>
    </cfRule>
  </conditionalFormatting>
  <conditionalFormatting sqref="F30:F34 H30:H34 J25:K37 F39:F60 H39:H60 H71:H73 F71:F73 F83:F84 H83:H84">
    <cfRule type="expression" dxfId="2143" priority="53">
      <formula>F25&gt;0</formula>
    </cfRule>
    <cfRule type="expression" dxfId="2142" priority="54">
      <formula>F25&lt;0</formula>
    </cfRule>
  </conditionalFormatting>
  <conditionalFormatting sqref="Q7">
    <cfRule type="expression" dxfId="2141" priority="51">
      <formula>Q7&gt;0</formula>
    </cfRule>
    <cfRule type="expression" dxfId="2140" priority="52">
      <formula>Q7&lt;0</formula>
    </cfRule>
  </conditionalFormatting>
  <conditionalFormatting sqref="Q8">
    <cfRule type="expression" dxfId="2139" priority="49">
      <formula>Q8&gt;0</formula>
    </cfRule>
    <cfRule type="expression" dxfId="2138" priority="50">
      <formula>Q8&lt;0</formula>
    </cfRule>
  </conditionalFormatting>
  <conditionalFormatting sqref="Q10">
    <cfRule type="expression" dxfId="2137" priority="43">
      <formula>Q10&gt;0</formula>
    </cfRule>
    <cfRule type="expression" dxfId="2136" priority="44">
      <formula>Q10&lt;0</formula>
    </cfRule>
  </conditionalFormatting>
  <conditionalFormatting sqref="L25:L32">
    <cfRule type="expression" dxfId="2135" priority="37">
      <formula>L25&gt;0</formula>
    </cfRule>
    <cfRule type="expression" dxfId="2134" priority="38">
      <formula>L25&lt;0</formula>
    </cfRule>
  </conditionalFormatting>
  <conditionalFormatting sqref="F110:F131">
    <cfRule type="expression" dxfId="2133" priority="35">
      <formula>F110&gt;0</formula>
    </cfRule>
    <cfRule type="expression" dxfId="2132" priority="36">
      <formula>F110&lt;0</formula>
    </cfRule>
  </conditionalFormatting>
  <conditionalFormatting sqref="H110:H131">
    <cfRule type="expression" dxfId="2131" priority="33">
      <formula>H110&gt;0</formula>
    </cfRule>
    <cfRule type="expression" dxfId="2130" priority="34">
      <formula>H110&lt;0</formula>
    </cfRule>
  </conditionalFormatting>
  <conditionalFormatting sqref="J110:J123">
    <cfRule type="expression" dxfId="2129" priority="31">
      <formula>J110&gt;0</formula>
    </cfRule>
    <cfRule type="expression" dxfId="2128" priority="32">
      <formula>J110&lt;0</formula>
    </cfRule>
  </conditionalFormatting>
  <conditionalFormatting sqref="K110:K123">
    <cfRule type="expression" dxfId="2127" priority="29">
      <formula>K110&gt;0</formula>
    </cfRule>
    <cfRule type="expression" dxfId="2126" priority="30">
      <formula>K110&lt;0</formula>
    </cfRule>
  </conditionalFormatting>
  <conditionalFormatting sqref="L110:L123">
    <cfRule type="expression" dxfId="2125" priority="27">
      <formula>L110&gt;0</formula>
    </cfRule>
    <cfRule type="expression" dxfId="2124" priority="28">
      <formula>L110&lt;0</formula>
    </cfRule>
  </conditionalFormatting>
  <conditionalFormatting sqref="F25:F29">
    <cfRule type="expression" dxfId="2123" priority="25">
      <formula>F25&gt;0</formula>
    </cfRule>
    <cfRule type="expression" dxfId="2122" priority="26">
      <formula>F25&lt;0</formula>
    </cfRule>
  </conditionalFormatting>
  <conditionalFormatting sqref="H25:H29">
    <cfRule type="expression" dxfId="2121" priority="23">
      <formula>H25&gt;0</formula>
    </cfRule>
    <cfRule type="expression" dxfId="2120" priority="24">
      <formula>H25&lt;0</formula>
    </cfRule>
  </conditionalFormatting>
  <conditionalFormatting sqref="F35:F38">
    <cfRule type="expression" dxfId="2119" priority="21">
      <formula>F35&gt;0</formula>
    </cfRule>
    <cfRule type="expression" dxfId="2118" priority="22">
      <formula>F35&lt;0</formula>
    </cfRule>
  </conditionalFormatting>
  <conditionalFormatting sqref="H35:H38">
    <cfRule type="expression" dxfId="2117" priority="19">
      <formula>H35&gt;0</formula>
    </cfRule>
    <cfRule type="expression" dxfId="2116" priority="20">
      <formula>H35&lt;0</formula>
    </cfRule>
  </conditionalFormatting>
  <conditionalFormatting sqref="H61:H64 F61:F64">
    <cfRule type="expression" dxfId="2115" priority="17">
      <formula>F61&gt;0</formula>
    </cfRule>
    <cfRule type="expression" dxfId="2114" priority="18">
      <formula>F61&lt;0</formula>
    </cfRule>
  </conditionalFormatting>
  <conditionalFormatting sqref="H70 F70">
    <cfRule type="expression" dxfId="2113" priority="15">
      <formula>F70&gt;0</formula>
    </cfRule>
    <cfRule type="expression" dxfId="2112" priority="16">
      <formula>F70&lt;0</formula>
    </cfRule>
  </conditionalFormatting>
  <conditionalFormatting sqref="H67:H69 F67:F69">
    <cfRule type="expression" dxfId="2111" priority="13">
      <formula>F67&gt;0</formula>
    </cfRule>
    <cfRule type="expression" dxfId="2110" priority="14">
      <formula>F67&lt;0</formula>
    </cfRule>
  </conditionalFormatting>
  <conditionalFormatting sqref="H65:H66 F65:F66">
    <cfRule type="expression" dxfId="2109" priority="11">
      <formula>F65&gt;0</formula>
    </cfRule>
    <cfRule type="expression" dxfId="2108" priority="12">
      <formula>F65&lt;0</formula>
    </cfRule>
  </conditionalFormatting>
  <conditionalFormatting sqref="F74:F76 H74:H76">
    <cfRule type="expression" dxfId="2107" priority="7">
      <formula>F74&gt;0</formula>
    </cfRule>
    <cfRule type="expression" dxfId="2106" priority="8">
      <formula>F74&lt;0</formula>
    </cfRule>
  </conditionalFormatting>
  <conditionalFormatting sqref="F82 H82">
    <cfRule type="expression" dxfId="2105" priority="5">
      <formula>F82&gt;0</formula>
    </cfRule>
    <cfRule type="expression" dxfId="2104" priority="6">
      <formula>F82&lt;0</formula>
    </cfRule>
  </conditionalFormatting>
  <conditionalFormatting sqref="F79:F81 H79:H81">
    <cfRule type="expression" dxfId="2103" priority="3">
      <formula>F79&gt;0</formula>
    </cfRule>
    <cfRule type="expression" dxfId="2102" priority="4">
      <formula>F79&lt;0</formula>
    </cfRule>
  </conditionalFormatting>
  <conditionalFormatting sqref="F77:F78 H77:H78">
    <cfRule type="expression" dxfId="2101" priority="1">
      <formula>F77&gt;0</formula>
    </cfRule>
    <cfRule type="expression" dxfId="2100" priority="2">
      <formula>F77&lt;0</formula>
    </cfRule>
  </conditionalFormatting>
  <hyperlinks>
    <hyperlink ref="A3" location="ACTIVE!A1" display="Back"/>
  </hyperlinks>
  <pageMargins left="0.7" right="0.7" top="0.75" bottom="0.75" header="0.3" footer="0.3"/>
  <pageSetup orientation="portrait" r:id="rId1"/>
  <drawing r:id="rId2"/>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dimension ref="A1:AM331"/>
  <sheetViews>
    <sheetView zoomScaleNormal="100" workbookViewId="0">
      <pane ySplit="1" topLeftCell="A5" activePane="bottomLeft" state="frozen"/>
      <selection activeCell="M34" sqref="M34"/>
      <selection pane="bottomLeft" activeCell="M34" sqref="M34"/>
    </sheetView>
  </sheetViews>
  <sheetFormatPr defaultRowHeight="15" x14ac:dyDescent="0.25"/>
  <cols>
    <col min="1" max="1" width="15.5703125" bestFit="1" customWidth="1"/>
    <col min="2" max="2" width="10.7109375" bestFit="1" customWidth="1"/>
    <col min="4" max="5" width="9.140625" style="2"/>
    <col min="6" max="6" width="9.85546875" style="2" bestFit="1" customWidth="1"/>
    <col min="7" max="7" width="10.7109375" bestFit="1" customWidth="1"/>
    <col min="9" max="9" width="14.28515625" style="2" bestFit="1" customWidth="1"/>
    <col min="10" max="10" width="9.140625" style="2"/>
    <col min="11" max="11" width="10.28515625" style="2" bestFit="1" customWidth="1"/>
    <col min="12" max="12" width="11" customWidth="1"/>
    <col min="15" max="15" width="13.85546875" bestFit="1" customWidth="1"/>
    <col min="16" max="16" width="11" customWidth="1"/>
    <col min="17" max="17" width="13.140625" bestFit="1" customWidth="1"/>
    <col min="18" max="18" width="14.5703125" customWidth="1"/>
    <col min="19" max="19" width="12.28515625" customWidth="1"/>
    <col min="20" max="20" width="18.85546875" style="720" customWidth="1"/>
    <col min="21" max="21" width="127.42578125" customWidth="1"/>
    <col min="22" max="22" width="11.5703125" customWidth="1"/>
    <col min="23" max="23" width="10.85546875" customWidth="1"/>
    <col min="24" max="24" width="8.7109375" customWidth="1"/>
    <col min="25" max="25" width="10.7109375" style="29" bestFit="1" customWidth="1"/>
    <col min="26" max="26" width="6.7109375" bestFit="1" customWidth="1"/>
    <col min="27" max="27" width="7.5703125" bestFit="1" customWidth="1"/>
    <col min="28" max="28" width="10.140625" bestFit="1" customWidth="1"/>
    <col min="29" max="29" width="10.28515625" bestFit="1"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731" t="s">
        <v>70</v>
      </c>
    </row>
    <row r="2" spans="1:39" x14ac:dyDescent="0.25">
      <c r="A2" s="6" t="s">
        <v>191</v>
      </c>
      <c r="B2" s="398"/>
      <c r="C2" s="4"/>
      <c r="D2" s="3"/>
      <c r="E2" s="3"/>
      <c r="F2" s="3"/>
      <c r="G2" s="398"/>
      <c r="H2" s="4"/>
      <c r="I2" s="3"/>
      <c r="J2" s="3"/>
      <c r="K2" s="3"/>
      <c r="L2" s="69"/>
      <c r="M2" s="3"/>
      <c r="N2" s="4"/>
      <c r="O2" s="11" t="s">
        <v>57</v>
      </c>
      <c r="Q2" s="4">
        <f>C17-H17</f>
        <v>0</v>
      </c>
      <c r="T2" s="732" t="s">
        <v>327</v>
      </c>
      <c r="W2" s="131"/>
      <c r="X2" s="647"/>
      <c r="Y2"/>
      <c r="AA2" s="2"/>
      <c r="AD2" s="2"/>
      <c r="AG2" s="2"/>
      <c r="AI2" s="2"/>
      <c r="AM2" s="2"/>
    </row>
    <row r="3" spans="1:39" x14ac:dyDescent="0.25">
      <c r="A3" s="22" t="s">
        <v>71</v>
      </c>
      <c r="B3" s="398"/>
      <c r="C3" s="4"/>
      <c r="D3" s="3"/>
      <c r="E3" s="3"/>
      <c r="F3" s="3"/>
      <c r="G3" s="398"/>
      <c r="H3" s="158"/>
      <c r="I3" s="3"/>
      <c r="J3" s="3"/>
      <c r="K3" s="3"/>
      <c r="L3" s="69"/>
      <c r="M3" s="3"/>
      <c r="N3" s="4"/>
      <c r="O3" s="11" t="s">
        <v>58</v>
      </c>
      <c r="Q3" s="388">
        <f>IF(Q2=0, Q4, (F17-K17-M17)/Q2)</f>
        <v>25.72</v>
      </c>
      <c r="T3" s="720" t="s">
        <v>419</v>
      </c>
      <c r="W3" s="131"/>
      <c r="Y3"/>
      <c r="AA3" s="2"/>
      <c r="AD3" s="2"/>
      <c r="AG3" s="2"/>
      <c r="AI3" s="2"/>
    </row>
    <row r="4" spans="1:39" x14ac:dyDescent="0.25">
      <c r="B4" s="398"/>
      <c r="C4" s="4"/>
      <c r="D4" s="184"/>
      <c r="E4" s="3"/>
      <c r="F4" s="3"/>
      <c r="G4" s="398"/>
      <c r="H4" s="158"/>
      <c r="I4" s="3"/>
      <c r="J4" s="3"/>
      <c r="K4" s="3"/>
      <c r="L4" s="69"/>
      <c r="M4" s="3"/>
      <c r="N4" s="4"/>
      <c r="O4" s="11" t="s">
        <v>66</v>
      </c>
      <c r="Q4" s="390">
        <v>25.72</v>
      </c>
      <c r="R4" s="175">
        <v>7.2700000000000001E-2</v>
      </c>
      <c r="T4" s="34" t="s">
        <v>603</v>
      </c>
      <c r="U4" s="22" t="s">
        <v>602</v>
      </c>
      <c r="Y4"/>
      <c r="AA4" s="2"/>
      <c r="AD4" s="2"/>
      <c r="AG4" s="2"/>
      <c r="AI4" s="2"/>
    </row>
    <row r="5" spans="1:39" x14ac:dyDescent="0.25">
      <c r="A5" s="4"/>
      <c r="B5" s="398"/>
      <c r="C5" s="4"/>
      <c r="D5" s="184"/>
      <c r="E5" s="3"/>
      <c r="F5" s="3"/>
      <c r="G5" s="398"/>
      <c r="H5" s="4"/>
      <c r="I5" s="3"/>
      <c r="J5" s="3"/>
      <c r="K5" s="3"/>
      <c r="L5" s="4"/>
      <c r="M5" s="4"/>
      <c r="O5" s="11" t="s">
        <v>67</v>
      </c>
      <c r="Q5" s="3">
        <f>Q4*Q2</f>
        <v>0</v>
      </c>
      <c r="W5" s="131"/>
      <c r="Y5"/>
      <c r="AA5" s="2"/>
      <c r="AD5" s="2"/>
      <c r="AG5" s="2"/>
      <c r="AI5" s="2"/>
    </row>
    <row r="6" spans="1:39" x14ac:dyDescent="0.25">
      <c r="A6" s="888"/>
      <c r="B6" s="398"/>
      <c r="C6" s="4"/>
      <c r="D6" s="184"/>
      <c r="E6" s="3"/>
      <c r="F6" s="3"/>
      <c r="G6" s="398"/>
      <c r="H6" s="4"/>
      <c r="I6" s="3"/>
      <c r="J6" s="3"/>
      <c r="K6" s="3"/>
      <c r="L6" s="4"/>
      <c r="M6" s="4"/>
      <c r="O6" s="11" t="s">
        <v>64</v>
      </c>
      <c r="Q6" s="2">
        <f>Q3*Q2</f>
        <v>0</v>
      </c>
      <c r="T6" s="720" t="s">
        <v>942</v>
      </c>
      <c r="U6" t="s">
        <v>944</v>
      </c>
      <c r="W6" s="131"/>
      <c r="Y6"/>
      <c r="AA6" s="2"/>
      <c r="AD6" s="2"/>
      <c r="AG6" s="2"/>
      <c r="AI6" s="2"/>
    </row>
    <row r="7" spans="1:39" x14ac:dyDescent="0.25">
      <c r="A7" s="888"/>
      <c r="B7" s="398"/>
      <c r="C7" s="4"/>
      <c r="D7" s="3"/>
      <c r="E7" s="3"/>
      <c r="F7" s="3"/>
      <c r="G7" s="398"/>
      <c r="H7" s="4"/>
      <c r="I7" s="3"/>
      <c r="J7" s="3"/>
      <c r="K7" s="3"/>
      <c r="L7" s="4"/>
      <c r="M7" s="4"/>
      <c r="O7" s="11" t="s">
        <v>175</v>
      </c>
      <c r="Q7" s="2">
        <f>Q10+Q8</f>
        <v>7328.5800000000963</v>
      </c>
      <c r="R7">
        <v>0</v>
      </c>
      <c r="T7" s="720" t="s">
        <v>1066</v>
      </c>
      <c r="U7" t="s">
        <v>1067</v>
      </c>
      <c r="W7" s="131"/>
      <c r="Y7"/>
      <c r="AA7" s="2"/>
      <c r="AD7" s="2"/>
      <c r="AG7" s="2"/>
      <c r="AI7" s="2"/>
    </row>
    <row r="8" spans="1:39" x14ac:dyDescent="0.25">
      <c r="A8" s="888"/>
      <c r="B8" s="398"/>
      <c r="C8" s="4"/>
      <c r="D8" s="184"/>
      <c r="E8" s="3"/>
      <c r="F8" s="3"/>
      <c r="G8" s="398"/>
      <c r="H8" s="4"/>
      <c r="I8" s="3"/>
      <c r="J8" s="3"/>
      <c r="K8" s="3"/>
      <c r="L8" s="4"/>
      <c r="M8" s="4"/>
      <c r="O8" s="11" t="s">
        <v>177</v>
      </c>
      <c r="P8" s="33"/>
      <c r="Q8" s="2">
        <f>K17+M17-F17+Q2*Q4</f>
        <v>0</v>
      </c>
      <c r="T8" s="720" t="s">
        <v>1186</v>
      </c>
      <c r="U8" t="s">
        <v>1199</v>
      </c>
      <c r="W8" s="131"/>
      <c r="Y8"/>
      <c r="AA8" s="2"/>
      <c r="AD8" s="2"/>
      <c r="AG8" s="2"/>
      <c r="AI8" s="2"/>
    </row>
    <row r="9" spans="1:39" x14ac:dyDescent="0.25">
      <c r="A9" s="4"/>
      <c r="B9" s="398"/>
      <c r="C9" s="4"/>
      <c r="D9" s="3"/>
      <c r="E9" s="3"/>
      <c r="F9" s="3"/>
      <c r="G9" s="398"/>
      <c r="H9" s="4"/>
      <c r="I9" s="3"/>
      <c r="J9" s="3"/>
      <c r="K9" s="3"/>
      <c r="L9" s="4"/>
      <c r="M9" s="4"/>
      <c r="O9" s="11" t="s">
        <v>202</v>
      </c>
      <c r="Q9" s="175">
        <f>IF(Q2=0, 0, Q8/Q6)</f>
        <v>0</v>
      </c>
      <c r="T9" s="720" t="s">
        <v>470</v>
      </c>
      <c r="W9" s="131"/>
      <c r="Y9"/>
      <c r="AA9" s="2"/>
      <c r="AD9" s="2"/>
      <c r="AG9" s="2"/>
      <c r="AI9" s="2"/>
    </row>
    <row r="10" spans="1:39" x14ac:dyDescent="0.25">
      <c r="B10" s="398"/>
      <c r="C10" s="4"/>
      <c r="D10" s="184"/>
      <c r="E10" s="3"/>
      <c r="F10" s="3"/>
      <c r="G10" s="398"/>
      <c r="H10" s="4"/>
      <c r="I10" s="3"/>
      <c r="J10" s="3"/>
      <c r="K10" s="3"/>
      <c r="L10" s="4"/>
      <c r="M10" s="4"/>
      <c r="O10" s="11" t="s">
        <v>201</v>
      </c>
      <c r="P10" s="33"/>
      <c r="Q10" s="2">
        <f>M238 + M267</f>
        <v>7328.5800000000963</v>
      </c>
      <c r="W10" s="131"/>
      <c r="Y10"/>
      <c r="AA10" s="2"/>
      <c r="AD10" s="2"/>
      <c r="AG10" s="2"/>
      <c r="AI10" s="2"/>
    </row>
    <row r="11" spans="1:39" x14ac:dyDescent="0.25">
      <c r="B11" s="398"/>
      <c r="C11" s="4"/>
      <c r="D11" s="3"/>
      <c r="E11" s="3"/>
      <c r="F11" s="3"/>
      <c r="G11" s="398"/>
      <c r="H11" s="4"/>
      <c r="I11" s="3"/>
      <c r="J11" s="3"/>
      <c r="K11" s="3"/>
      <c r="L11" s="4"/>
      <c r="M11" s="4"/>
      <c r="O11" s="11" t="s">
        <v>173</v>
      </c>
      <c r="P11" s="33"/>
      <c r="Q11" s="131">
        <f>R11*4/Q4</f>
        <v>2.1772939346811824E-2</v>
      </c>
      <c r="R11">
        <v>0.14000000000000001</v>
      </c>
      <c r="T11" s="720">
        <v>43095</v>
      </c>
      <c r="U11" t="s">
        <v>713</v>
      </c>
      <c r="W11" s="131"/>
      <c r="Y11"/>
      <c r="AA11" s="2"/>
      <c r="AD11" s="2"/>
      <c r="AG11" s="2"/>
      <c r="AI11" s="2"/>
    </row>
    <row r="12" spans="1:39" x14ac:dyDescent="0.25">
      <c r="B12" s="398"/>
      <c r="C12" s="4"/>
      <c r="D12" s="184"/>
      <c r="E12" s="3"/>
      <c r="F12" s="3"/>
      <c r="G12" s="398"/>
      <c r="H12" s="4"/>
      <c r="I12" s="3"/>
      <c r="J12" s="3"/>
      <c r="K12" s="3"/>
      <c r="L12" s="4"/>
      <c r="M12" s="4"/>
      <c r="O12" s="11" t="s">
        <v>875</v>
      </c>
      <c r="Q12" s="29"/>
      <c r="U12" t="s">
        <v>719</v>
      </c>
      <c r="W12" s="131"/>
      <c r="Y12"/>
      <c r="AA12" s="2"/>
      <c r="AD12" s="2"/>
      <c r="AG12" s="2"/>
      <c r="AI12" s="2"/>
    </row>
    <row r="13" spans="1:39" x14ac:dyDescent="0.25">
      <c r="B13" s="398"/>
      <c r="C13" s="4"/>
      <c r="D13" s="3"/>
      <c r="E13" s="3"/>
      <c r="F13" s="3"/>
      <c r="G13" s="398"/>
      <c r="H13" s="4"/>
      <c r="I13" s="3"/>
      <c r="J13" s="3"/>
      <c r="K13" s="3"/>
      <c r="L13" s="4"/>
      <c r="M13" s="4"/>
      <c r="O13" s="11" t="s">
        <v>943</v>
      </c>
      <c r="Q13" s="2">
        <f>Q4/(2+2.15)*2</f>
        <v>12.395180722891565</v>
      </c>
      <c r="W13" s="131"/>
      <c r="Y13"/>
      <c r="AA13" s="2"/>
      <c r="AD13" s="2"/>
      <c r="AG13" s="2"/>
      <c r="AI13" s="2"/>
    </row>
    <row r="14" spans="1:39" x14ac:dyDescent="0.25">
      <c r="B14" s="29"/>
      <c r="D14" s="75"/>
      <c r="G14" s="29"/>
      <c r="O14" s="11" t="s">
        <v>966</v>
      </c>
      <c r="Q14" s="29">
        <v>43358</v>
      </c>
      <c r="T14" s="720">
        <v>43102</v>
      </c>
      <c r="U14" t="s">
        <v>776</v>
      </c>
      <c r="W14" s="131"/>
      <c r="Y14"/>
      <c r="AA14" s="2"/>
      <c r="AD14" s="2"/>
      <c r="AG14" s="2"/>
      <c r="AI14" s="2"/>
    </row>
    <row r="15" spans="1:39" x14ac:dyDescent="0.25">
      <c r="B15" s="29"/>
      <c r="C15" s="4"/>
      <c r="D15" s="3"/>
      <c r="E15" s="3"/>
      <c r="F15" s="3"/>
      <c r="G15" s="29"/>
      <c r="U15" t="s">
        <v>764</v>
      </c>
      <c r="W15" s="131"/>
      <c r="Y15"/>
      <c r="AA15" s="2"/>
      <c r="AD15" s="2"/>
      <c r="AG15" s="2"/>
      <c r="AI15" s="2"/>
    </row>
    <row r="16" spans="1:39" x14ac:dyDescent="0.25">
      <c r="B16" s="29"/>
      <c r="D16" s="75"/>
      <c r="G16" s="29"/>
      <c r="O16" s="596"/>
      <c r="W16" s="131"/>
      <c r="Y16"/>
      <c r="AA16" s="2"/>
      <c r="AD16" s="2"/>
      <c r="AG16" s="2"/>
      <c r="AI16" s="2"/>
    </row>
    <row r="17" spans="1:39" x14ac:dyDescent="0.25">
      <c r="A17" s="31" t="s">
        <v>81</v>
      </c>
      <c r="B17" s="14"/>
      <c r="C17" s="14">
        <f>SUM(C2:C16)</f>
        <v>0</v>
      </c>
      <c r="D17" s="18"/>
      <c r="E17" s="18"/>
      <c r="F17" s="18">
        <f>SUM(F2:F16)</f>
        <v>0</v>
      </c>
      <c r="G17" s="14"/>
      <c r="H17" s="14">
        <f>SUM(H2:H16)</f>
        <v>0</v>
      </c>
      <c r="I17" s="18"/>
      <c r="J17" s="18"/>
      <c r="K17" s="18">
        <f>SUM(K2:K16)</f>
        <v>0</v>
      </c>
      <c r="L17" s="14"/>
      <c r="M17" s="18">
        <f>SUM(M2:M16)</f>
        <v>0</v>
      </c>
      <c r="O17" s="596"/>
      <c r="T17" s="720">
        <v>43104</v>
      </c>
      <c r="U17" t="s">
        <v>774</v>
      </c>
      <c r="W17" s="131"/>
      <c r="Y17"/>
      <c r="AA17" s="2"/>
      <c r="AD17" s="2"/>
      <c r="AG17" s="2"/>
      <c r="AI17" s="2"/>
      <c r="AM17" s="2"/>
    </row>
    <row r="18" spans="1:39" ht="15.75" thickBot="1" x14ac:dyDescent="0.3">
      <c r="A18" s="273" t="s">
        <v>189</v>
      </c>
      <c r="B18" s="274"/>
      <c r="C18" s="275">
        <f>SumByColor($A$18,C3:C16)</f>
        <v>0</v>
      </c>
      <c r="D18" s="275"/>
      <c r="E18" s="275"/>
      <c r="F18" s="276">
        <f>SumByColor($A$18,F3:F16)</f>
        <v>0</v>
      </c>
      <c r="G18" s="276"/>
      <c r="H18" s="658">
        <f>SumByColor($A$18,H2:H16)</f>
        <v>0</v>
      </c>
      <c r="I18" s="275"/>
      <c r="J18" s="275"/>
      <c r="K18" s="276">
        <f>SumByColor($A$18,K2:K16)</f>
        <v>0</v>
      </c>
      <c r="L18" s="275"/>
      <c r="M18" s="276">
        <f>SumByColor($A$18,M2:M16)</f>
        <v>0</v>
      </c>
      <c r="O18" s="596"/>
      <c r="U18" t="s">
        <v>775</v>
      </c>
      <c r="W18" s="131"/>
      <c r="AA18" s="2"/>
      <c r="AD18" s="2"/>
      <c r="AG18" s="2"/>
      <c r="AI18" s="2"/>
    </row>
    <row r="19" spans="1:39" x14ac:dyDescent="0.25">
      <c r="O19" s="596"/>
      <c r="T19" s="720">
        <v>43105</v>
      </c>
      <c r="U19" t="s">
        <v>780</v>
      </c>
      <c r="W19" s="131"/>
      <c r="AA19" s="2"/>
      <c r="AD19" s="2"/>
      <c r="AG19" s="2"/>
      <c r="AI19" s="2"/>
    </row>
    <row r="20" spans="1:39" x14ac:dyDescent="0.25">
      <c r="O20" s="596"/>
      <c r="W20" s="131"/>
      <c r="AA20" s="2"/>
      <c r="AD20" s="2"/>
      <c r="AG20" s="2"/>
      <c r="AI20" s="2"/>
    </row>
    <row r="21" spans="1:39" x14ac:dyDescent="0.25">
      <c r="T21" s="720">
        <v>43112</v>
      </c>
      <c r="U21" t="s">
        <v>788</v>
      </c>
      <c r="W21" s="131"/>
      <c r="AA21" s="2"/>
      <c r="AD21" s="2"/>
      <c r="AG21" s="2"/>
      <c r="AI21" s="2"/>
    </row>
    <row r="22" spans="1:39" ht="20.25" thickBot="1" x14ac:dyDescent="0.35">
      <c r="O22" s="886" t="s">
        <v>78</v>
      </c>
      <c r="P22" s="886"/>
      <c r="U22" t="s">
        <v>789</v>
      </c>
      <c r="W22" s="131"/>
      <c r="AA22" s="2"/>
      <c r="AD22" s="2"/>
      <c r="AG22" s="2"/>
      <c r="AI22" s="2"/>
    </row>
    <row r="23" spans="1:39" ht="15.75" thickTop="1" x14ac:dyDescent="0.25">
      <c r="B23" s="159" t="s">
        <v>113</v>
      </c>
      <c r="C23" s="159" t="s">
        <v>143</v>
      </c>
      <c r="D23" s="160" t="s">
        <v>142</v>
      </c>
      <c r="E23" s="162" t="s">
        <v>144</v>
      </c>
      <c r="F23" s="162" t="s">
        <v>65</v>
      </c>
      <c r="G23" s="173" t="s">
        <v>148</v>
      </c>
      <c r="H23" s="173" t="s">
        <v>88</v>
      </c>
      <c r="I23" s="173" t="s">
        <v>151</v>
      </c>
      <c r="J23" s="173" t="s">
        <v>452</v>
      </c>
      <c r="K23" s="173" t="s">
        <v>147</v>
      </c>
      <c r="L23" s="173" t="s">
        <v>659</v>
      </c>
      <c r="O23" s="78">
        <v>1.1000000000000001</v>
      </c>
      <c r="P23" s="78">
        <f>O23*$Q$4</f>
        <v>28.292000000000002</v>
      </c>
      <c r="Q23" s="2"/>
      <c r="W23" s="131"/>
      <c r="AA23" s="2"/>
      <c r="AD23" s="2"/>
      <c r="AG23" s="2"/>
      <c r="AI23" s="2"/>
    </row>
    <row r="24" spans="1:39" x14ac:dyDescent="0.25">
      <c r="A24" t="s">
        <v>317</v>
      </c>
      <c r="B24" s="147">
        <v>42754</v>
      </c>
      <c r="C24" s="10">
        <v>400</v>
      </c>
      <c r="D24" s="39">
        <v>34.402500000000003</v>
      </c>
      <c r="E24" s="39">
        <v>34.26</v>
      </c>
      <c r="F24" s="39">
        <f t="shared" ref="F24:F30" si="0">C24*(E24-D24)</f>
        <v>-57.00000000000216</v>
      </c>
      <c r="G24" s="39">
        <f t="shared" ref="G24:G30" si="1">D24*C24</f>
        <v>13761.000000000002</v>
      </c>
      <c r="H24" s="175">
        <f t="shared" ref="H24:H30" si="2">(E24-D24)/D24</f>
        <v>-4.1421408327884717E-3</v>
      </c>
      <c r="I24" s="39">
        <v>34</v>
      </c>
      <c r="J24" s="39"/>
      <c r="K24" s="39">
        <f t="shared" ref="K24:K74" si="3">F24+$Q$10</f>
        <v>7271.5800000000945</v>
      </c>
      <c r="L24" s="39"/>
      <c r="O24" s="78">
        <v>1.0900000000000001</v>
      </c>
      <c r="P24" s="78">
        <f t="shared" ref="P24:P43" si="4">O24*$Q$4</f>
        <v>28.034800000000001</v>
      </c>
      <c r="Q24" s="2"/>
      <c r="T24" s="720">
        <v>43126</v>
      </c>
      <c r="U24" t="s">
        <v>839</v>
      </c>
      <c r="W24" s="131"/>
      <c r="AA24" s="2"/>
      <c r="AD24" s="2"/>
      <c r="AG24" s="2"/>
      <c r="AI24" s="2"/>
    </row>
    <row r="25" spans="1:39" x14ac:dyDescent="0.25">
      <c r="A25" t="s">
        <v>317</v>
      </c>
      <c r="B25" s="147">
        <v>42760</v>
      </c>
      <c r="C25" s="10">
        <v>400</v>
      </c>
      <c r="D25" s="39">
        <v>34.402500000000003</v>
      </c>
      <c r="E25" s="39">
        <v>33.47</v>
      </c>
      <c r="F25" s="39">
        <f t="shared" si="0"/>
        <v>-373.00000000000182</v>
      </c>
      <c r="G25" s="39">
        <f t="shared" si="1"/>
        <v>13761.000000000002</v>
      </c>
      <c r="H25" s="175">
        <f t="shared" si="2"/>
        <v>-2.7105588256667524E-2</v>
      </c>
      <c r="I25" s="39"/>
      <c r="J25" s="39"/>
      <c r="K25" s="39">
        <f t="shared" si="3"/>
        <v>6955.5800000000945</v>
      </c>
      <c r="L25" s="39"/>
      <c r="O25" s="78">
        <v>1.08</v>
      </c>
      <c r="P25" s="78">
        <f t="shared" si="4"/>
        <v>27.7776</v>
      </c>
      <c r="Q25" s="2"/>
      <c r="U25" t="s">
        <v>840</v>
      </c>
      <c r="W25" s="131"/>
      <c r="AA25" s="2"/>
      <c r="AD25" s="2"/>
      <c r="AG25" s="2"/>
      <c r="AI25" s="2"/>
    </row>
    <row r="26" spans="1:39" x14ac:dyDescent="0.25">
      <c r="A26" t="s">
        <v>343</v>
      </c>
      <c r="B26" s="147">
        <v>42762</v>
      </c>
      <c r="C26" s="10">
        <v>500</v>
      </c>
      <c r="D26" s="39">
        <v>34.142000000000003</v>
      </c>
      <c r="E26" s="39">
        <v>33.36</v>
      </c>
      <c r="F26" s="39">
        <f t="shared" si="0"/>
        <v>-391.00000000000182</v>
      </c>
      <c r="G26" s="39">
        <f t="shared" si="1"/>
        <v>17071</v>
      </c>
      <c r="H26" s="175">
        <f t="shared" si="2"/>
        <v>-2.2904340694745579E-2</v>
      </c>
      <c r="I26" s="39">
        <v>33.75</v>
      </c>
      <c r="J26" s="39"/>
      <c r="K26" s="39">
        <f t="shared" si="3"/>
        <v>6937.5800000000945</v>
      </c>
      <c r="L26" s="39"/>
      <c r="O26" s="78">
        <v>1.07</v>
      </c>
      <c r="P26" s="78">
        <f t="shared" si="4"/>
        <v>27.520399999999999</v>
      </c>
      <c r="Q26" s="2"/>
      <c r="W26" s="131"/>
      <c r="AA26" s="2"/>
      <c r="AD26" s="2"/>
      <c r="AG26" s="2"/>
      <c r="AI26" s="2"/>
    </row>
    <row r="27" spans="1:39" x14ac:dyDescent="0.25">
      <c r="A27" t="s">
        <v>365</v>
      </c>
      <c r="B27" s="147">
        <v>42770</v>
      </c>
      <c r="C27" s="10">
        <v>500</v>
      </c>
      <c r="D27" s="39">
        <v>34.142000000000003</v>
      </c>
      <c r="E27" s="39">
        <v>34.020000000000003</v>
      </c>
      <c r="F27" s="39">
        <f t="shared" si="0"/>
        <v>-60.999999999999943</v>
      </c>
      <c r="G27" s="39">
        <f t="shared" si="1"/>
        <v>17071</v>
      </c>
      <c r="H27" s="175">
        <f t="shared" si="2"/>
        <v>-3.5733114638861192E-3</v>
      </c>
      <c r="I27" s="39"/>
      <c r="J27" s="39"/>
      <c r="K27" s="39">
        <f t="shared" si="3"/>
        <v>7267.5800000000963</v>
      </c>
      <c r="L27" s="39"/>
      <c r="O27" s="78">
        <v>1.06</v>
      </c>
      <c r="P27" s="78">
        <f t="shared" si="4"/>
        <v>27.263200000000001</v>
      </c>
      <c r="Q27" s="2"/>
      <c r="T27" s="721">
        <v>43153</v>
      </c>
      <c r="U27" t="s">
        <v>879</v>
      </c>
      <c r="W27" s="131"/>
      <c r="AA27" s="2"/>
      <c r="AD27" s="2"/>
      <c r="AG27" s="2"/>
      <c r="AI27" s="2"/>
    </row>
    <row r="28" spans="1:39" x14ac:dyDescent="0.25">
      <c r="A28" t="s">
        <v>376</v>
      </c>
      <c r="B28" s="147">
        <v>42773</v>
      </c>
      <c r="C28" s="10">
        <v>600</v>
      </c>
      <c r="D28" s="39">
        <v>33.965000000000003</v>
      </c>
      <c r="E28" s="39">
        <v>33.08</v>
      </c>
      <c r="F28" s="39">
        <f t="shared" si="0"/>
        <v>-531.00000000000307</v>
      </c>
      <c r="G28" s="39">
        <f t="shared" si="1"/>
        <v>20379.000000000004</v>
      </c>
      <c r="H28" s="175">
        <f t="shared" si="2"/>
        <v>-2.6056234358899016E-2</v>
      </c>
      <c r="I28" s="39"/>
      <c r="J28" s="39"/>
      <c r="K28" s="39">
        <f t="shared" si="3"/>
        <v>6797.5800000000936</v>
      </c>
      <c r="L28" s="39"/>
      <c r="O28" s="78">
        <v>1.05</v>
      </c>
      <c r="P28" s="78">
        <f t="shared" si="4"/>
        <v>27.006</v>
      </c>
      <c r="Q28" s="2"/>
      <c r="T28" s="721"/>
      <c r="W28" s="131"/>
      <c r="AA28" s="2"/>
      <c r="AD28" s="2"/>
      <c r="AG28" s="2"/>
      <c r="AI28" s="2"/>
    </row>
    <row r="29" spans="1:39" x14ac:dyDescent="0.25">
      <c r="A29" t="s">
        <v>344</v>
      </c>
      <c r="B29" s="147">
        <v>42778</v>
      </c>
      <c r="C29" s="10">
        <v>600</v>
      </c>
      <c r="D29" s="39">
        <v>33.965000000000003</v>
      </c>
      <c r="E29" s="39">
        <v>33.479999999999997</v>
      </c>
      <c r="F29" s="39">
        <f t="shared" si="0"/>
        <v>-291.00000000000392</v>
      </c>
      <c r="G29" s="39">
        <f t="shared" si="1"/>
        <v>20379.000000000004</v>
      </c>
      <c r="H29" s="175">
        <f t="shared" si="2"/>
        <v>-1.4279405270131208E-2</v>
      </c>
      <c r="I29" s="39"/>
      <c r="J29" s="39"/>
      <c r="K29" s="39">
        <f t="shared" si="3"/>
        <v>7037.5800000000927</v>
      </c>
      <c r="L29" s="39"/>
      <c r="O29" s="78">
        <v>1.04</v>
      </c>
      <c r="P29" s="78">
        <f t="shared" si="4"/>
        <v>26.748799999999999</v>
      </c>
      <c r="Q29" s="2"/>
      <c r="T29" s="721">
        <v>43161</v>
      </c>
      <c r="U29" t="s">
        <v>878</v>
      </c>
      <c r="W29" s="131"/>
      <c r="AA29" s="2"/>
      <c r="AD29" s="2"/>
      <c r="AG29" s="2"/>
      <c r="AI29" s="2"/>
    </row>
    <row r="30" spans="1:39" x14ac:dyDescent="0.25">
      <c r="A30" t="s">
        <v>395</v>
      </c>
      <c r="B30" s="147">
        <v>42782</v>
      </c>
      <c r="C30" s="10">
        <v>400</v>
      </c>
      <c r="D30" s="39">
        <v>33.847900000000003</v>
      </c>
      <c r="E30" s="39">
        <v>33.94</v>
      </c>
      <c r="F30" s="39">
        <f t="shared" si="0"/>
        <v>36.839999999997985</v>
      </c>
      <c r="G30" s="39">
        <f t="shared" si="1"/>
        <v>13539.160000000002</v>
      </c>
      <c r="H30" s="175">
        <f t="shared" si="2"/>
        <v>2.7209959849797166E-3</v>
      </c>
      <c r="I30" s="39" t="s">
        <v>403</v>
      </c>
      <c r="J30" s="39"/>
      <c r="K30" s="39">
        <f t="shared" si="3"/>
        <v>7365.4200000000947</v>
      </c>
      <c r="L30" s="39"/>
      <c r="O30" s="78">
        <v>1.03</v>
      </c>
      <c r="P30" s="78">
        <f t="shared" si="4"/>
        <v>26.491599999999998</v>
      </c>
      <c r="Q30" s="2"/>
      <c r="T30" s="721"/>
      <c r="W30" s="131"/>
      <c r="AA30" s="2"/>
      <c r="AD30" s="2"/>
      <c r="AG30" s="2"/>
      <c r="AI30" s="2"/>
    </row>
    <row r="31" spans="1:39" x14ac:dyDescent="0.25">
      <c r="A31" t="s">
        <v>318</v>
      </c>
      <c r="B31" s="147">
        <v>42788</v>
      </c>
      <c r="C31" s="7">
        <v>600</v>
      </c>
      <c r="D31" s="43">
        <v>33.591920000000002</v>
      </c>
      <c r="E31" s="39">
        <v>33.229999999999997</v>
      </c>
      <c r="F31" s="39">
        <f t="shared" ref="F31:F62" si="5">C31*(E31-D31)</f>
        <v>-217.15200000000294</v>
      </c>
      <c r="G31" s="39">
        <f t="shared" ref="G31:G62" si="6">D31*C31</f>
        <v>20155.152000000002</v>
      </c>
      <c r="H31" s="175">
        <f t="shared" ref="H31:H62" si="7">(E31-D31)/D31</f>
        <v>-1.0774019466586158E-2</v>
      </c>
      <c r="I31" s="39">
        <v>33</v>
      </c>
      <c r="J31" s="39"/>
      <c r="K31" s="39">
        <f t="shared" si="3"/>
        <v>7111.4280000000936</v>
      </c>
      <c r="L31" s="39"/>
      <c r="O31" s="78">
        <v>1.02</v>
      </c>
      <c r="P31" s="78">
        <f t="shared" si="4"/>
        <v>26.234400000000001</v>
      </c>
      <c r="Q31" s="2"/>
      <c r="T31" s="721">
        <v>43167</v>
      </c>
      <c r="U31" t="s">
        <v>904</v>
      </c>
      <c r="W31" s="131"/>
      <c r="AA31" s="2"/>
      <c r="AD31" s="2"/>
      <c r="AG31" s="2"/>
      <c r="AI31" s="2"/>
    </row>
    <row r="32" spans="1:39" x14ac:dyDescent="0.25">
      <c r="A32" t="s">
        <v>420</v>
      </c>
      <c r="B32" s="147">
        <v>42793</v>
      </c>
      <c r="C32" s="10">
        <v>800</v>
      </c>
      <c r="D32" s="39">
        <v>33.238900000000001</v>
      </c>
      <c r="E32" s="39">
        <v>32.22</v>
      </c>
      <c r="F32" s="39">
        <f t="shared" si="5"/>
        <v>-815.12000000000171</v>
      </c>
      <c r="G32" s="39">
        <f t="shared" si="6"/>
        <v>26591.120000000003</v>
      </c>
      <c r="H32" s="175">
        <f t="shared" si="7"/>
        <v>-3.0653842335336072E-2</v>
      </c>
      <c r="I32" s="39"/>
      <c r="J32" s="39"/>
      <c r="K32" s="39">
        <f t="shared" si="3"/>
        <v>6513.4600000000946</v>
      </c>
      <c r="L32" s="39"/>
      <c r="O32" s="78">
        <v>1.01</v>
      </c>
      <c r="P32" s="78">
        <f t="shared" si="4"/>
        <v>25.9772</v>
      </c>
      <c r="Q32" s="2"/>
      <c r="W32" s="131"/>
      <c r="AA32" s="2"/>
      <c r="AD32" s="2"/>
      <c r="AG32" s="2"/>
      <c r="AI32" s="2"/>
      <c r="AM32" s="2"/>
    </row>
    <row r="33" spans="1:39" x14ac:dyDescent="0.25">
      <c r="A33" t="s">
        <v>425</v>
      </c>
      <c r="B33" s="147">
        <v>42796</v>
      </c>
      <c r="C33" s="10">
        <v>1400</v>
      </c>
      <c r="D33" s="39">
        <v>32.090800000000002</v>
      </c>
      <c r="E33" s="39">
        <v>30.67</v>
      </c>
      <c r="F33" s="39">
        <f t="shared" si="5"/>
        <v>-1989.12</v>
      </c>
      <c r="G33" s="39">
        <f t="shared" si="6"/>
        <v>44927.12</v>
      </c>
      <c r="H33" s="175">
        <f t="shared" si="7"/>
        <v>-4.4274371470951167E-2</v>
      </c>
      <c r="I33" s="39"/>
      <c r="J33" s="39"/>
      <c r="K33" s="39">
        <f t="shared" si="3"/>
        <v>5339.4600000000964</v>
      </c>
      <c r="L33" s="39"/>
      <c r="O33" s="78">
        <v>1</v>
      </c>
      <c r="P33" s="78">
        <f t="shared" si="4"/>
        <v>25.72</v>
      </c>
      <c r="Q33" s="2"/>
      <c r="T33" s="720">
        <v>43196</v>
      </c>
      <c r="U33" t="s">
        <v>897</v>
      </c>
      <c r="W33" s="131"/>
      <c r="AA33" s="2"/>
      <c r="AD33" s="2"/>
      <c r="AG33" s="2"/>
      <c r="AI33" s="2"/>
    </row>
    <row r="34" spans="1:39" x14ac:dyDescent="0.25">
      <c r="A34">
        <v>300</v>
      </c>
      <c r="B34" s="147">
        <v>42798</v>
      </c>
      <c r="C34" s="387">
        <v>1500</v>
      </c>
      <c r="D34" s="389">
        <v>31.954999999999998</v>
      </c>
      <c r="E34" s="39">
        <v>29.63</v>
      </c>
      <c r="F34" s="39">
        <f t="shared" si="5"/>
        <v>-3487.4999999999991</v>
      </c>
      <c r="G34" s="39">
        <f t="shared" si="6"/>
        <v>47932.5</v>
      </c>
      <c r="H34" s="175">
        <f t="shared" si="7"/>
        <v>-7.2758566734470329E-2</v>
      </c>
      <c r="I34" s="39"/>
      <c r="J34" s="39"/>
      <c r="K34" s="39">
        <f t="shared" si="3"/>
        <v>3841.0800000000972</v>
      </c>
      <c r="L34" s="39"/>
      <c r="O34" s="78">
        <v>0.99</v>
      </c>
      <c r="P34" s="78">
        <f t="shared" si="4"/>
        <v>25.462799999999998</v>
      </c>
      <c r="Q34" s="2"/>
      <c r="U34" t="s">
        <v>919</v>
      </c>
      <c r="W34" s="131"/>
      <c r="AA34" s="2"/>
      <c r="AD34" s="2"/>
      <c r="AG34" s="2"/>
      <c r="AI34" s="2"/>
    </row>
    <row r="35" spans="1:39" x14ac:dyDescent="0.25">
      <c r="A35">
        <v>400</v>
      </c>
      <c r="B35" s="147">
        <v>42808</v>
      </c>
      <c r="C35" s="10">
        <v>1700</v>
      </c>
      <c r="D35" s="39">
        <v>31.527000000000001</v>
      </c>
      <c r="E35" s="39">
        <v>28.7</v>
      </c>
      <c r="F35" s="39">
        <f t="shared" si="5"/>
        <v>-4805.9000000000033</v>
      </c>
      <c r="G35" s="39">
        <f t="shared" si="6"/>
        <v>53595.9</v>
      </c>
      <c r="H35" s="175">
        <f t="shared" si="7"/>
        <v>-8.9669172455355772E-2</v>
      </c>
      <c r="I35" s="39"/>
      <c r="J35" s="39">
        <v>23.65</v>
      </c>
      <c r="K35" s="39">
        <f t="shared" si="3"/>
        <v>2522.6800000000931</v>
      </c>
      <c r="L35" s="39"/>
      <c r="O35" s="78">
        <v>0.98</v>
      </c>
      <c r="P35" s="78">
        <f t="shared" si="4"/>
        <v>25.205599999999997</v>
      </c>
      <c r="Q35" s="2"/>
      <c r="T35" s="720">
        <v>43200</v>
      </c>
      <c r="U35" t="s">
        <v>934</v>
      </c>
      <c r="W35" s="131"/>
      <c r="AA35" s="2"/>
      <c r="AD35" s="2"/>
      <c r="AG35" s="2"/>
      <c r="AI35" s="2"/>
    </row>
    <row r="36" spans="1:39" x14ac:dyDescent="0.25">
      <c r="A36">
        <v>200</v>
      </c>
      <c r="B36" s="147">
        <v>42809</v>
      </c>
      <c r="C36" s="10">
        <v>1500</v>
      </c>
      <c r="D36" s="39">
        <v>31.861999999999998</v>
      </c>
      <c r="E36" s="39">
        <v>28.84</v>
      </c>
      <c r="F36" s="39">
        <f t="shared" si="5"/>
        <v>-4532.9999999999973</v>
      </c>
      <c r="G36" s="39">
        <f t="shared" si="6"/>
        <v>47793</v>
      </c>
      <c r="H36" s="175">
        <f t="shared" si="7"/>
        <v>-9.4846525641830354E-2</v>
      </c>
      <c r="I36" s="39"/>
      <c r="J36" s="39">
        <v>25.81</v>
      </c>
      <c r="K36" s="39">
        <f t="shared" si="3"/>
        <v>2795.5800000000991</v>
      </c>
      <c r="L36" s="39"/>
      <c r="O36" s="78">
        <v>0.97</v>
      </c>
      <c r="P36" s="78">
        <f t="shared" si="4"/>
        <v>24.948399999999999</v>
      </c>
      <c r="T36" s="720">
        <v>43203</v>
      </c>
      <c r="U36" t="s">
        <v>933</v>
      </c>
      <c r="W36" s="131"/>
      <c r="AA36" s="2"/>
      <c r="AD36" s="2"/>
      <c r="AG36" s="2"/>
      <c r="AI36" s="2"/>
    </row>
    <row r="37" spans="1:39" x14ac:dyDescent="0.25">
      <c r="A37">
        <v>400</v>
      </c>
      <c r="B37" s="147">
        <v>42819</v>
      </c>
      <c r="C37" s="10">
        <v>1500</v>
      </c>
      <c r="D37" s="39">
        <v>31.861999999999998</v>
      </c>
      <c r="E37" s="39">
        <v>29.1</v>
      </c>
      <c r="F37" s="39">
        <f t="shared" si="5"/>
        <v>-4142.9999999999955</v>
      </c>
      <c r="G37" s="39">
        <f t="shared" si="6"/>
        <v>47793</v>
      </c>
      <c r="H37" s="175">
        <f t="shared" si="7"/>
        <v>-8.6686334818906446E-2</v>
      </c>
      <c r="I37" s="39"/>
      <c r="J37" s="39"/>
      <c r="K37" s="39">
        <f t="shared" si="3"/>
        <v>3185.5800000001009</v>
      </c>
      <c r="L37" s="39"/>
      <c r="O37" s="78">
        <v>0.96</v>
      </c>
      <c r="P37" s="78">
        <f t="shared" si="4"/>
        <v>24.691199999999998</v>
      </c>
      <c r="W37" s="131"/>
      <c r="AA37" s="2"/>
      <c r="AD37" s="2"/>
      <c r="AG37" s="2"/>
      <c r="AI37" s="2"/>
    </row>
    <row r="38" spans="1:39" x14ac:dyDescent="0.25">
      <c r="A38">
        <v>1500</v>
      </c>
      <c r="B38" s="147">
        <v>42862</v>
      </c>
      <c r="C38" s="10">
        <v>1500</v>
      </c>
      <c r="D38" s="39">
        <v>31.86</v>
      </c>
      <c r="E38" s="39">
        <v>29.35</v>
      </c>
      <c r="F38" s="39">
        <f t="shared" si="5"/>
        <v>-3764.9999999999968</v>
      </c>
      <c r="G38" s="39">
        <f t="shared" si="6"/>
        <v>47790</v>
      </c>
      <c r="H38" s="175">
        <f t="shared" si="7"/>
        <v>-7.878217200251092E-2</v>
      </c>
      <c r="I38" s="39"/>
      <c r="J38" s="39"/>
      <c r="K38" s="39">
        <f t="shared" si="3"/>
        <v>3563.5800000000995</v>
      </c>
      <c r="L38" s="39"/>
      <c r="O38" s="78">
        <v>0.95</v>
      </c>
      <c r="P38" s="78">
        <f t="shared" si="4"/>
        <v>24.433999999999997</v>
      </c>
      <c r="T38" s="720">
        <v>43210</v>
      </c>
      <c r="U38" t="s">
        <v>939</v>
      </c>
      <c r="W38" s="131"/>
      <c r="AA38" s="2"/>
      <c r="AD38" s="2"/>
      <c r="AG38" s="2"/>
      <c r="AI38" s="2"/>
    </row>
    <row r="39" spans="1:39" x14ac:dyDescent="0.25">
      <c r="A39">
        <v>1500</v>
      </c>
      <c r="B39" s="147">
        <v>42877</v>
      </c>
      <c r="C39" s="10">
        <v>1500</v>
      </c>
      <c r="D39" s="39">
        <v>31.86</v>
      </c>
      <c r="E39" s="39">
        <v>29.23</v>
      </c>
      <c r="F39" s="39">
        <f t="shared" si="5"/>
        <v>-3944.9999999999986</v>
      </c>
      <c r="G39" s="39">
        <f t="shared" si="6"/>
        <v>47790</v>
      </c>
      <c r="H39" s="175">
        <f t="shared" si="7"/>
        <v>-8.2548650345260488E-2</v>
      </c>
      <c r="I39" s="39">
        <v>31</v>
      </c>
      <c r="J39" s="39"/>
      <c r="K39" s="39">
        <f t="shared" si="3"/>
        <v>3383.5800000000977</v>
      </c>
      <c r="L39" s="39"/>
      <c r="O39" s="78">
        <v>0.94</v>
      </c>
      <c r="P39" s="78">
        <f t="shared" si="4"/>
        <v>24.176799999999997</v>
      </c>
      <c r="U39" t="s">
        <v>940</v>
      </c>
      <c r="W39" s="131"/>
      <c r="AA39" s="2"/>
      <c r="AD39" s="2"/>
      <c r="AG39" s="2"/>
      <c r="AI39" s="2"/>
    </row>
    <row r="40" spans="1:39" x14ac:dyDescent="0.25">
      <c r="A40">
        <v>1500</v>
      </c>
      <c r="B40" s="147">
        <v>42901</v>
      </c>
      <c r="C40" s="10">
        <v>1800</v>
      </c>
      <c r="D40" s="39">
        <v>30.6572</v>
      </c>
      <c r="E40" s="39">
        <v>24.18</v>
      </c>
      <c r="F40" s="39">
        <f t="shared" si="5"/>
        <v>-11658.96</v>
      </c>
      <c r="G40" s="39">
        <f t="shared" si="6"/>
        <v>55182.96</v>
      </c>
      <c r="H40" s="175">
        <f t="shared" si="7"/>
        <v>-0.21127826415980586</v>
      </c>
      <c r="I40" s="39">
        <v>30</v>
      </c>
      <c r="J40" s="39"/>
      <c r="K40" s="39">
        <f t="shared" si="3"/>
        <v>-4330.3799999999028</v>
      </c>
      <c r="L40" s="39"/>
      <c r="O40" s="78">
        <v>0.93</v>
      </c>
      <c r="P40" s="78">
        <f t="shared" si="4"/>
        <v>23.919599999999999</v>
      </c>
      <c r="W40" s="131"/>
      <c r="AA40" s="2"/>
      <c r="AD40" s="2"/>
      <c r="AG40" s="2"/>
      <c r="AI40" s="2"/>
    </row>
    <row r="41" spans="1:39" x14ac:dyDescent="0.25">
      <c r="A41">
        <v>1500</v>
      </c>
      <c r="B41" s="147">
        <v>42904</v>
      </c>
      <c r="C41" s="10">
        <v>2000</v>
      </c>
      <c r="D41" s="39">
        <v>29.751439999999999</v>
      </c>
      <c r="E41" s="39">
        <v>22.29</v>
      </c>
      <c r="F41" s="39">
        <f t="shared" si="5"/>
        <v>-14922.88</v>
      </c>
      <c r="G41" s="39">
        <f t="shared" si="6"/>
        <v>59502.879999999997</v>
      </c>
      <c r="H41" s="175">
        <f t="shared" si="7"/>
        <v>-0.25079256667912547</v>
      </c>
      <c r="I41" s="39"/>
      <c r="J41" s="39"/>
      <c r="K41" s="39">
        <f t="shared" si="3"/>
        <v>-7594.2999999999029</v>
      </c>
      <c r="L41" s="39"/>
      <c r="O41" s="78">
        <v>0.92</v>
      </c>
      <c r="P41" s="78">
        <f t="shared" si="4"/>
        <v>23.662400000000002</v>
      </c>
      <c r="W41" s="131"/>
      <c r="AA41" s="2"/>
      <c r="AD41" s="2"/>
      <c r="AG41" s="2"/>
      <c r="AI41" s="2"/>
    </row>
    <row r="42" spans="1:39" x14ac:dyDescent="0.25">
      <c r="B42" s="147">
        <v>42939</v>
      </c>
      <c r="C42" s="10">
        <v>2000</v>
      </c>
      <c r="D42" s="39">
        <v>29.751439999999999</v>
      </c>
      <c r="E42" s="39">
        <v>23.26</v>
      </c>
      <c r="F42" s="39">
        <f t="shared" si="5"/>
        <v>-12982.879999999994</v>
      </c>
      <c r="G42" s="39">
        <f t="shared" si="6"/>
        <v>59502.879999999997</v>
      </c>
      <c r="H42" s="175">
        <f t="shared" si="7"/>
        <v>-0.21818910277956285</v>
      </c>
      <c r="I42" s="39"/>
      <c r="J42" s="39"/>
      <c r="K42" s="39">
        <f t="shared" si="3"/>
        <v>-5654.2999999998974</v>
      </c>
      <c r="L42" s="39"/>
      <c r="O42" s="78">
        <v>0.91</v>
      </c>
      <c r="P42" s="78">
        <f t="shared" si="4"/>
        <v>23.405200000000001</v>
      </c>
      <c r="T42" s="720">
        <v>43214</v>
      </c>
      <c r="U42" t="s">
        <v>945</v>
      </c>
      <c r="W42" s="131"/>
      <c r="AA42" s="2"/>
      <c r="AD42" s="2"/>
      <c r="AG42" s="2"/>
      <c r="AI42" s="2"/>
    </row>
    <row r="43" spans="1:39" x14ac:dyDescent="0.25">
      <c r="A43">
        <v>1900</v>
      </c>
      <c r="B43" s="147">
        <v>42944</v>
      </c>
      <c r="C43" s="10">
        <v>1900</v>
      </c>
      <c r="D43" s="39">
        <v>30.03997</v>
      </c>
      <c r="E43" s="39">
        <v>24.28</v>
      </c>
      <c r="F43" s="39">
        <f t="shared" si="5"/>
        <v>-10943.942999999997</v>
      </c>
      <c r="G43" s="39">
        <f t="shared" si="6"/>
        <v>57075.942999999999</v>
      </c>
      <c r="H43" s="175">
        <f t="shared" si="7"/>
        <v>-0.1917435336986022</v>
      </c>
      <c r="I43" s="39"/>
      <c r="J43" s="39"/>
      <c r="K43" s="39">
        <f t="shared" si="3"/>
        <v>-3615.3629999999011</v>
      </c>
      <c r="L43" s="39"/>
      <c r="O43" s="78">
        <v>0.9</v>
      </c>
      <c r="P43" s="78">
        <f t="shared" si="4"/>
        <v>23.148</v>
      </c>
      <c r="T43" s="720">
        <v>43221</v>
      </c>
      <c r="U43" t="s">
        <v>984</v>
      </c>
      <c r="W43" s="131"/>
      <c r="AA43" s="2"/>
      <c r="AD43" s="2"/>
      <c r="AG43" s="2"/>
      <c r="AI43" s="2"/>
    </row>
    <row r="44" spans="1:39" x14ac:dyDescent="0.25">
      <c r="A44">
        <v>1900</v>
      </c>
      <c r="B44" s="147">
        <v>42962</v>
      </c>
      <c r="C44" s="10">
        <v>2000</v>
      </c>
      <c r="D44" s="39">
        <v>29.7</v>
      </c>
      <c r="E44" s="39">
        <v>25.28</v>
      </c>
      <c r="F44" s="39">
        <f t="shared" si="5"/>
        <v>-8839.9999999999964</v>
      </c>
      <c r="G44" s="39">
        <f t="shared" si="6"/>
        <v>59400</v>
      </c>
      <c r="H44" s="175">
        <f t="shared" si="7"/>
        <v>-0.14882154882154877</v>
      </c>
      <c r="I44" s="39"/>
      <c r="J44" s="39"/>
      <c r="K44" s="39">
        <f t="shared" si="3"/>
        <v>-1511.4199999999</v>
      </c>
      <c r="L44" s="39"/>
      <c r="T44" s="721">
        <v>43223</v>
      </c>
      <c r="U44" t="s">
        <v>982</v>
      </c>
      <c r="W44" s="131"/>
      <c r="AA44" s="2"/>
      <c r="AD44" s="2"/>
      <c r="AG44" s="2"/>
      <c r="AI44" s="2"/>
    </row>
    <row r="45" spans="1:39" x14ac:dyDescent="0.25">
      <c r="A45">
        <v>1900</v>
      </c>
      <c r="B45" s="147">
        <v>42980</v>
      </c>
      <c r="C45" s="10">
        <v>2000</v>
      </c>
      <c r="D45" s="39">
        <v>29.582999999999998</v>
      </c>
      <c r="E45" s="39">
        <v>22.42</v>
      </c>
      <c r="F45" s="39">
        <f t="shared" si="5"/>
        <v>-14325.999999999993</v>
      </c>
      <c r="G45" s="39">
        <f t="shared" si="6"/>
        <v>59166</v>
      </c>
      <c r="H45" s="175">
        <f t="shared" si="7"/>
        <v>-0.24213230571612065</v>
      </c>
      <c r="I45" s="39"/>
      <c r="J45" s="39"/>
      <c r="K45" s="39">
        <f t="shared" si="3"/>
        <v>-6997.4199999998964</v>
      </c>
      <c r="L45" s="39"/>
      <c r="M45" t="s">
        <v>182</v>
      </c>
      <c r="W45" s="131"/>
      <c r="AA45" s="2"/>
      <c r="AD45" s="2"/>
      <c r="AG45" s="2"/>
      <c r="AI45" s="2"/>
    </row>
    <row r="46" spans="1:39" x14ac:dyDescent="0.25">
      <c r="A46">
        <v>1300</v>
      </c>
      <c r="B46" s="147">
        <v>42986</v>
      </c>
      <c r="C46" s="10">
        <v>2400</v>
      </c>
      <c r="D46" s="39">
        <v>28.047699999999999</v>
      </c>
      <c r="E46" s="39">
        <v>21.08</v>
      </c>
      <c r="F46" s="39">
        <f t="shared" si="5"/>
        <v>-16722.480000000003</v>
      </c>
      <c r="G46" s="39">
        <f t="shared" si="6"/>
        <v>67314.48</v>
      </c>
      <c r="H46" s="175">
        <f t="shared" si="7"/>
        <v>-0.24842322186845983</v>
      </c>
      <c r="I46" s="39"/>
      <c r="J46" s="39"/>
      <c r="K46" s="39">
        <f t="shared" si="3"/>
        <v>-9393.8999999999069</v>
      </c>
      <c r="L46" s="39"/>
      <c r="T46" s="720">
        <v>43224</v>
      </c>
      <c r="U46" s="396" t="s">
        <v>983</v>
      </c>
      <c r="W46" s="131"/>
      <c r="AA46" s="2"/>
      <c r="AD46" s="2"/>
      <c r="AG46" s="2"/>
      <c r="AI46" s="2"/>
    </row>
    <row r="47" spans="1:39" x14ac:dyDescent="0.25">
      <c r="A47">
        <v>900</v>
      </c>
      <c r="B47" s="147">
        <v>42986</v>
      </c>
      <c r="C47" s="10">
        <v>2000</v>
      </c>
      <c r="D47" s="39">
        <v>29.446999999999999</v>
      </c>
      <c r="E47" s="39">
        <v>21.135000000000002</v>
      </c>
      <c r="F47" s="39">
        <f t="shared" si="5"/>
        <v>-16623.999999999996</v>
      </c>
      <c r="G47" s="39">
        <f t="shared" si="6"/>
        <v>58894</v>
      </c>
      <c r="H47" s="175">
        <f t="shared" si="7"/>
        <v>-0.28226984073080441</v>
      </c>
      <c r="I47" s="39">
        <v>29</v>
      </c>
      <c r="J47" s="39"/>
      <c r="K47" s="39">
        <f t="shared" si="3"/>
        <v>-9295.4199999999</v>
      </c>
      <c r="L47" s="39">
        <f>21.06/2.025</f>
        <v>10.4</v>
      </c>
      <c r="W47" s="131"/>
      <c r="AA47" s="2"/>
      <c r="AD47" s="2"/>
      <c r="AG47" s="2"/>
      <c r="AI47" s="2"/>
      <c r="AM47" s="2"/>
    </row>
    <row r="48" spans="1:39" x14ac:dyDescent="0.25">
      <c r="A48">
        <v>1000</v>
      </c>
      <c r="B48" s="147">
        <v>42996</v>
      </c>
      <c r="C48" s="10">
        <v>2000</v>
      </c>
      <c r="D48" s="39">
        <v>29.446999999999999</v>
      </c>
      <c r="E48" s="39">
        <v>21.44</v>
      </c>
      <c r="F48" s="39">
        <f t="shared" si="5"/>
        <v>-16013.999999999996</v>
      </c>
      <c r="G48" s="39">
        <f t="shared" si="6"/>
        <v>58894</v>
      </c>
      <c r="H48" s="175">
        <f t="shared" si="7"/>
        <v>-0.27191224912554751</v>
      </c>
      <c r="I48" s="39"/>
      <c r="J48" s="39"/>
      <c r="K48" s="39">
        <f t="shared" si="3"/>
        <v>-8685.4199999999</v>
      </c>
      <c r="L48" s="39"/>
      <c r="T48" s="720">
        <v>43236</v>
      </c>
      <c r="U48" t="s">
        <v>1007</v>
      </c>
      <c r="W48" s="131"/>
      <c r="AA48" s="2"/>
      <c r="AD48" s="2"/>
      <c r="AG48" s="2"/>
      <c r="AI48" s="2"/>
    </row>
    <row r="49" spans="1:39" x14ac:dyDescent="0.25">
      <c r="A49">
        <v>1000</v>
      </c>
      <c r="B49" s="147">
        <v>42999</v>
      </c>
      <c r="C49" s="10">
        <v>2200</v>
      </c>
      <c r="D49" s="39">
        <v>28.6112</v>
      </c>
      <c r="E49" s="39">
        <v>20.22</v>
      </c>
      <c r="F49" s="39">
        <f t="shared" si="5"/>
        <v>-18460.640000000003</v>
      </c>
      <c r="G49" s="39">
        <f t="shared" si="6"/>
        <v>62944.639999999999</v>
      </c>
      <c r="H49" s="175">
        <f t="shared" si="7"/>
        <v>-0.29328374902136228</v>
      </c>
      <c r="I49" s="39"/>
      <c r="J49" s="39"/>
      <c r="K49" s="39">
        <f t="shared" si="3"/>
        <v>-11132.059999999907</v>
      </c>
      <c r="L49" s="39"/>
      <c r="T49" s="739">
        <v>43237</v>
      </c>
      <c r="U49" t="s">
        <v>941</v>
      </c>
      <c r="W49" s="131"/>
      <c r="AA49" s="2"/>
      <c r="AD49" s="2"/>
      <c r="AG49" s="2"/>
      <c r="AI49" s="2"/>
    </row>
    <row r="50" spans="1:39" x14ac:dyDescent="0.25">
      <c r="A50">
        <v>800</v>
      </c>
      <c r="B50" s="147">
        <v>43011</v>
      </c>
      <c r="C50" s="10">
        <v>2000</v>
      </c>
      <c r="D50" s="39">
        <v>29.411999999999999</v>
      </c>
      <c r="E50" s="39">
        <v>20.56</v>
      </c>
      <c r="F50" s="39">
        <f t="shared" si="5"/>
        <v>-17704</v>
      </c>
      <c r="G50" s="39">
        <f t="shared" si="6"/>
        <v>58824</v>
      </c>
      <c r="H50" s="175">
        <f t="shared" si="7"/>
        <v>-0.30096559227526182</v>
      </c>
      <c r="I50" s="39"/>
      <c r="J50" s="39"/>
      <c r="K50" s="39">
        <f t="shared" si="3"/>
        <v>-10375.419999999904</v>
      </c>
      <c r="L50" s="39"/>
      <c r="U50" t="s">
        <v>1009</v>
      </c>
      <c r="W50" s="131"/>
      <c r="AA50" s="2"/>
      <c r="AD50" s="2"/>
      <c r="AG50" s="2"/>
      <c r="AI50" s="2"/>
    </row>
    <row r="51" spans="1:39" x14ac:dyDescent="0.25">
      <c r="A51">
        <v>1800</v>
      </c>
      <c r="B51" s="147">
        <v>43023</v>
      </c>
      <c r="C51" s="10">
        <v>2000</v>
      </c>
      <c r="D51" s="39">
        <v>29.411999999999999</v>
      </c>
      <c r="E51" s="39">
        <v>21.3</v>
      </c>
      <c r="F51" s="39">
        <f t="shared" si="5"/>
        <v>-16223.999999999996</v>
      </c>
      <c r="G51" s="39">
        <f t="shared" si="6"/>
        <v>58824</v>
      </c>
      <c r="H51" s="175">
        <f t="shared" si="7"/>
        <v>-0.27580579355365153</v>
      </c>
      <c r="I51" s="39"/>
      <c r="J51" s="39">
        <v>54.85</v>
      </c>
      <c r="K51" s="39">
        <f t="shared" si="3"/>
        <v>-8895.4199999999</v>
      </c>
      <c r="L51" s="39"/>
      <c r="U51" t="s">
        <v>1011</v>
      </c>
      <c r="W51" s="131"/>
      <c r="AA51" s="2"/>
      <c r="AD51" s="2"/>
      <c r="AG51" s="2"/>
      <c r="AI51" s="2"/>
    </row>
    <row r="52" spans="1:39" x14ac:dyDescent="0.25">
      <c r="A52">
        <v>2000</v>
      </c>
      <c r="B52" s="147">
        <v>43031</v>
      </c>
      <c r="C52" s="10">
        <v>2000</v>
      </c>
      <c r="D52" s="39">
        <v>29.411999999999999</v>
      </c>
      <c r="E52" s="39">
        <v>21.35</v>
      </c>
      <c r="F52" s="39">
        <f t="shared" si="5"/>
        <v>-16123.999999999995</v>
      </c>
      <c r="G52" s="39">
        <f t="shared" si="6"/>
        <v>58824</v>
      </c>
      <c r="H52" s="175">
        <f t="shared" si="7"/>
        <v>-0.27410580715354271</v>
      </c>
      <c r="I52" s="39"/>
      <c r="J52" s="39"/>
      <c r="K52" s="39">
        <f t="shared" si="3"/>
        <v>-8795.4199999998982</v>
      </c>
      <c r="L52" s="39"/>
      <c r="AA52" s="2"/>
      <c r="AD52" s="2"/>
      <c r="AG52" s="2"/>
      <c r="AI52" s="2"/>
    </row>
    <row r="53" spans="1:39" x14ac:dyDescent="0.25">
      <c r="A53">
        <v>2000</v>
      </c>
      <c r="B53" s="147">
        <v>43050</v>
      </c>
      <c r="C53" s="10">
        <v>2000</v>
      </c>
      <c r="D53" s="39">
        <v>29.411999999999999</v>
      </c>
      <c r="E53" s="39">
        <v>22.08</v>
      </c>
      <c r="F53" s="39">
        <f t="shared" si="5"/>
        <v>-14664.000000000002</v>
      </c>
      <c r="G53" s="39">
        <f t="shared" si="6"/>
        <v>58824</v>
      </c>
      <c r="H53" s="175">
        <f t="shared" si="7"/>
        <v>-0.24928600571195433</v>
      </c>
      <c r="I53" s="39"/>
      <c r="J53" s="39"/>
      <c r="K53" s="39">
        <f t="shared" si="3"/>
        <v>-7335.4199999999055</v>
      </c>
      <c r="L53" s="39"/>
      <c r="T53" s="720">
        <v>43243</v>
      </c>
      <c r="U53" t="s">
        <v>1022</v>
      </c>
      <c r="AA53" s="2"/>
      <c r="AD53" s="2"/>
      <c r="AG53" s="2"/>
      <c r="AI53" s="2"/>
    </row>
    <row r="54" spans="1:39" x14ac:dyDescent="0.25">
      <c r="A54">
        <v>1800</v>
      </c>
      <c r="B54" s="147">
        <v>43056</v>
      </c>
      <c r="C54" s="10">
        <v>1800</v>
      </c>
      <c r="D54" s="39">
        <v>30.172000000000001</v>
      </c>
      <c r="E54" s="39">
        <v>23.41</v>
      </c>
      <c r="F54" s="39">
        <f t="shared" si="5"/>
        <v>-12171.6</v>
      </c>
      <c r="G54" s="39">
        <f t="shared" si="6"/>
        <v>54309.599999999999</v>
      </c>
      <c r="H54" s="175">
        <f t="shared" si="7"/>
        <v>-0.22411507357815194</v>
      </c>
      <c r="I54" s="39"/>
      <c r="J54" s="39"/>
      <c r="K54" s="39">
        <f t="shared" si="3"/>
        <v>-4843.019999999904</v>
      </c>
      <c r="L54" s="39"/>
      <c r="AA54" s="2"/>
      <c r="AD54" s="2"/>
      <c r="AG54" s="2"/>
      <c r="AI54" s="2"/>
    </row>
    <row r="55" spans="1:39" x14ac:dyDescent="0.25">
      <c r="A55">
        <v>1700</v>
      </c>
      <c r="B55" s="147">
        <v>43069</v>
      </c>
      <c r="C55" s="10">
        <v>1700</v>
      </c>
      <c r="D55" s="39">
        <v>30.390999999999998</v>
      </c>
      <c r="E55" s="39">
        <v>26.44</v>
      </c>
      <c r="F55" s="39">
        <f t="shared" si="5"/>
        <v>-6716.6999999999953</v>
      </c>
      <c r="G55" s="39">
        <f t="shared" si="6"/>
        <v>51664.7</v>
      </c>
      <c r="H55" s="175">
        <f t="shared" si="7"/>
        <v>-0.13000559376131082</v>
      </c>
      <c r="I55" s="39"/>
      <c r="J55" s="39"/>
      <c r="K55" s="39">
        <f t="shared" si="3"/>
        <v>611.88000000010106</v>
      </c>
      <c r="L55" s="39"/>
      <c r="AA55" s="2"/>
      <c r="AD55" s="2"/>
      <c r="AG55" s="2"/>
      <c r="AI55" s="2"/>
    </row>
    <row r="56" spans="1:39" x14ac:dyDescent="0.25">
      <c r="A56">
        <v>1600</v>
      </c>
      <c r="B56" s="147">
        <v>43069</v>
      </c>
      <c r="C56" s="10">
        <v>1600</v>
      </c>
      <c r="D56" s="39">
        <v>30.597999999999999</v>
      </c>
      <c r="E56" s="39">
        <v>27.08</v>
      </c>
      <c r="F56" s="39">
        <f t="shared" si="5"/>
        <v>-5628.8000000000011</v>
      </c>
      <c r="G56" s="39">
        <f t="shared" si="6"/>
        <v>48956.799999999996</v>
      </c>
      <c r="H56" s="175">
        <f t="shared" si="7"/>
        <v>-0.11497483495653313</v>
      </c>
      <c r="I56" s="39"/>
      <c r="J56" s="39"/>
      <c r="K56" s="39">
        <f t="shared" si="3"/>
        <v>1699.7800000000952</v>
      </c>
      <c r="L56" s="39"/>
      <c r="T56" s="721">
        <v>43272</v>
      </c>
      <c r="U56" t="s">
        <v>82</v>
      </c>
      <c r="AA56" s="2"/>
      <c r="AD56" s="2"/>
      <c r="AG56" s="2"/>
      <c r="AI56" s="2"/>
    </row>
    <row r="57" spans="1:39" x14ac:dyDescent="0.25">
      <c r="A57">
        <v>1600</v>
      </c>
      <c r="B57" s="147">
        <v>43072</v>
      </c>
      <c r="C57" s="10">
        <v>1600</v>
      </c>
      <c r="D57" s="39">
        <v>30.4419</v>
      </c>
      <c r="E57" s="39">
        <v>25.67</v>
      </c>
      <c r="F57" s="39">
        <f t="shared" si="5"/>
        <v>-7635.0399999999981</v>
      </c>
      <c r="G57" s="39">
        <f t="shared" si="6"/>
        <v>48707.040000000001</v>
      </c>
      <c r="H57" s="175">
        <f t="shared" si="7"/>
        <v>-0.15675434187747803</v>
      </c>
      <c r="I57" s="39"/>
      <c r="J57" s="39"/>
      <c r="K57" s="39">
        <f t="shared" si="3"/>
        <v>-306.45999999990181</v>
      </c>
      <c r="L57" s="39"/>
      <c r="U57" t="s">
        <v>1076</v>
      </c>
      <c r="AA57" s="2"/>
      <c r="AD57" s="2"/>
      <c r="AG57" s="2"/>
      <c r="AI57" s="2"/>
    </row>
    <row r="58" spans="1:39" x14ac:dyDescent="0.25">
      <c r="A58">
        <v>1600</v>
      </c>
      <c r="B58" s="147">
        <v>43077</v>
      </c>
      <c r="C58" s="10">
        <v>1600</v>
      </c>
      <c r="D58" s="39">
        <v>30.4419</v>
      </c>
      <c r="E58" s="39">
        <v>26.68</v>
      </c>
      <c r="F58" s="39">
        <f t="shared" si="5"/>
        <v>-6019.0400000000009</v>
      </c>
      <c r="G58" s="39">
        <f t="shared" si="6"/>
        <v>48707.040000000001</v>
      </c>
      <c r="H58" s="175">
        <f t="shared" si="7"/>
        <v>-0.12357638649361573</v>
      </c>
      <c r="I58" s="39"/>
      <c r="J58" s="39"/>
      <c r="K58" s="39">
        <f t="shared" si="3"/>
        <v>1309.5400000000955</v>
      </c>
      <c r="L58" s="39"/>
      <c r="AA58" s="2"/>
      <c r="AD58" s="2"/>
      <c r="AG58" s="2"/>
      <c r="AI58" s="2"/>
    </row>
    <row r="59" spans="1:39" x14ac:dyDescent="0.25">
      <c r="A59">
        <v>1500</v>
      </c>
      <c r="B59" s="147">
        <v>43087</v>
      </c>
      <c r="C59" s="10">
        <v>1500</v>
      </c>
      <c r="D59" s="39">
        <v>30.667999999999999</v>
      </c>
      <c r="E59" s="39">
        <v>27.05</v>
      </c>
      <c r="F59" s="39">
        <f t="shared" si="5"/>
        <v>-5426.9999999999982</v>
      </c>
      <c r="G59" s="39">
        <f t="shared" si="6"/>
        <v>46002</v>
      </c>
      <c r="H59" s="175">
        <f t="shared" si="7"/>
        <v>-0.11797313160297374</v>
      </c>
      <c r="I59" s="170" t="s">
        <v>704</v>
      </c>
      <c r="J59" s="39"/>
      <c r="K59" s="39">
        <f t="shared" si="3"/>
        <v>1901.5800000000982</v>
      </c>
      <c r="L59" s="39"/>
      <c r="T59" s="720">
        <v>43273</v>
      </c>
      <c r="U59" t="s">
        <v>1061</v>
      </c>
      <c r="AA59" s="2"/>
      <c r="AD59" s="2"/>
      <c r="AG59" s="2"/>
      <c r="AI59" s="2"/>
    </row>
    <row r="60" spans="1:39" x14ac:dyDescent="0.25">
      <c r="A60">
        <v>1400</v>
      </c>
      <c r="B60" s="147">
        <v>43089</v>
      </c>
      <c r="C60" s="10">
        <v>1400</v>
      </c>
      <c r="D60" s="39">
        <v>30.907</v>
      </c>
      <c r="E60" s="39">
        <v>27.32</v>
      </c>
      <c r="F60" s="39">
        <f t="shared" si="5"/>
        <v>-5021.7999999999993</v>
      </c>
      <c r="G60" s="39">
        <f t="shared" si="6"/>
        <v>43269.8</v>
      </c>
      <c r="H60" s="175">
        <f t="shared" si="7"/>
        <v>-0.11605785097227164</v>
      </c>
      <c r="I60" s="39"/>
      <c r="J60" s="39"/>
      <c r="K60" s="39">
        <f t="shared" si="3"/>
        <v>2306.7800000000971</v>
      </c>
      <c r="L60" s="39"/>
      <c r="AA60" s="2"/>
      <c r="AD60" s="2"/>
      <c r="AG60" s="2"/>
      <c r="AI60" s="2"/>
    </row>
    <row r="61" spans="1:39" x14ac:dyDescent="0.25">
      <c r="A61">
        <v>1300</v>
      </c>
      <c r="B61" s="147">
        <v>43091</v>
      </c>
      <c r="C61" s="10">
        <v>1300</v>
      </c>
      <c r="D61" s="39">
        <v>31.114999999999998</v>
      </c>
      <c r="E61" s="39">
        <v>28.25</v>
      </c>
      <c r="F61" s="39">
        <f t="shared" si="5"/>
        <v>-3724.4999999999982</v>
      </c>
      <c r="G61" s="39">
        <f t="shared" si="6"/>
        <v>40449.5</v>
      </c>
      <c r="H61" s="175">
        <f t="shared" si="7"/>
        <v>-9.2077775992286628E-2</v>
      </c>
      <c r="I61" s="39"/>
      <c r="J61" s="39"/>
      <c r="K61" s="39">
        <f t="shared" si="3"/>
        <v>3604.0800000000982</v>
      </c>
      <c r="L61" s="39"/>
      <c r="T61" s="720">
        <v>43274</v>
      </c>
      <c r="U61" t="s">
        <v>1062</v>
      </c>
      <c r="AA61" s="2"/>
      <c r="AD61" s="2"/>
      <c r="AG61" s="2"/>
      <c r="AI61" s="2"/>
    </row>
    <row r="62" spans="1:39" x14ac:dyDescent="0.25">
      <c r="A62">
        <v>1300</v>
      </c>
      <c r="B62" s="147">
        <v>43095</v>
      </c>
      <c r="C62" s="10">
        <v>1400</v>
      </c>
      <c r="D62" s="39">
        <v>30.864999999999998</v>
      </c>
      <c r="E62" s="39">
        <v>27.8</v>
      </c>
      <c r="F62" s="39">
        <f t="shared" si="5"/>
        <v>-4290.9999999999964</v>
      </c>
      <c r="G62" s="39">
        <f t="shared" si="6"/>
        <v>43211</v>
      </c>
      <c r="H62" s="175">
        <f t="shared" si="7"/>
        <v>-9.9303418111129041E-2</v>
      </c>
      <c r="I62" s="39"/>
      <c r="J62" s="39">
        <v>68.33</v>
      </c>
      <c r="K62" s="39">
        <f t="shared" si="3"/>
        <v>3037.5800000001</v>
      </c>
      <c r="L62" s="39"/>
      <c r="U62" t="s">
        <v>1063</v>
      </c>
      <c r="AA62" s="2"/>
      <c r="AD62" s="2"/>
      <c r="AG62" s="2"/>
      <c r="AI62" s="2"/>
      <c r="AM62" s="2"/>
    </row>
    <row r="63" spans="1:39" x14ac:dyDescent="0.25">
      <c r="A63">
        <v>1200</v>
      </c>
      <c r="B63" s="147">
        <v>43102</v>
      </c>
      <c r="C63" s="10">
        <v>1300</v>
      </c>
      <c r="D63" s="39">
        <v>31.079000000000001</v>
      </c>
      <c r="E63" s="39">
        <v>28.3</v>
      </c>
      <c r="F63" s="39">
        <f t="shared" ref="F63:F94" si="8">C63*(E63-D63)</f>
        <v>-3612.7</v>
      </c>
      <c r="G63" s="39">
        <f t="shared" ref="G63:G94" si="9">D63*C63</f>
        <v>40402.700000000004</v>
      </c>
      <c r="H63" s="175">
        <f t="shared" ref="H63:H94" si="10">(E63-D63)/D63</f>
        <v>-8.9417291418642811E-2</v>
      </c>
      <c r="I63" s="39"/>
      <c r="J63" s="39"/>
      <c r="K63" s="39">
        <f t="shared" si="3"/>
        <v>3715.8800000000965</v>
      </c>
      <c r="L63" s="39"/>
      <c r="AA63" s="2"/>
      <c r="AD63" s="2"/>
      <c r="AG63" s="2"/>
      <c r="AI63" s="2"/>
    </row>
    <row r="64" spans="1:39" x14ac:dyDescent="0.25">
      <c r="A64">
        <v>1200</v>
      </c>
      <c r="B64" s="147">
        <v>43103</v>
      </c>
      <c r="C64" s="10">
        <v>1300</v>
      </c>
      <c r="D64" s="39">
        <v>31.079000000000001</v>
      </c>
      <c r="E64" s="39">
        <v>27.85</v>
      </c>
      <c r="F64" s="39">
        <f t="shared" si="8"/>
        <v>-4197.6999999999989</v>
      </c>
      <c r="G64" s="39">
        <f t="shared" si="9"/>
        <v>40402.700000000004</v>
      </c>
      <c r="H64" s="175">
        <f t="shared" si="10"/>
        <v>-0.10389652176710959</v>
      </c>
      <c r="I64" s="39"/>
      <c r="J64" s="39">
        <v>64.55</v>
      </c>
      <c r="K64" s="39">
        <f t="shared" si="3"/>
        <v>3130.8800000000974</v>
      </c>
      <c r="L64" s="39"/>
      <c r="T64" s="720">
        <v>43284</v>
      </c>
      <c r="U64" t="s">
        <v>1073</v>
      </c>
    </row>
    <row r="65" spans="1:21" x14ac:dyDescent="0.25">
      <c r="A65">
        <v>1200</v>
      </c>
      <c r="B65" s="147">
        <v>43104</v>
      </c>
      <c r="C65" s="387">
        <v>1500</v>
      </c>
      <c r="D65" s="389">
        <v>30.548999999999999</v>
      </c>
      <c r="E65" s="39">
        <v>27.11</v>
      </c>
      <c r="F65" s="39">
        <f t="shared" si="8"/>
        <v>-5158.5</v>
      </c>
      <c r="G65" s="39">
        <f t="shared" si="9"/>
        <v>45823.5</v>
      </c>
      <c r="H65" s="175">
        <f t="shared" si="10"/>
        <v>-0.11257324298667715</v>
      </c>
      <c r="I65" s="39">
        <v>30.5</v>
      </c>
      <c r="J65" s="39"/>
      <c r="K65" s="39">
        <f t="shared" si="3"/>
        <v>2170.0800000000963</v>
      </c>
      <c r="L65" s="39"/>
      <c r="U65" t="s">
        <v>1074</v>
      </c>
    </row>
    <row r="66" spans="1:21" x14ac:dyDescent="0.25">
      <c r="A66">
        <v>1200</v>
      </c>
      <c r="B66" s="147">
        <v>43104</v>
      </c>
      <c r="C66" s="10">
        <v>1700</v>
      </c>
      <c r="D66" s="39">
        <v>30.1</v>
      </c>
      <c r="E66" s="39">
        <v>26.73</v>
      </c>
      <c r="F66" s="39">
        <f t="shared" si="8"/>
        <v>-5729.0000000000018</v>
      </c>
      <c r="G66" s="39">
        <f t="shared" si="9"/>
        <v>51170</v>
      </c>
      <c r="H66" s="175">
        <f t="shared" si="10"/>
        <v>-0.11196013289036548</v>
      </c>
      <c r="I66" s="39"/>
      <c r="J66" s="39"/>
      <c r="K66" s="39">
        <f t="shared" si="3"/>
        <v>1599.5800000000945</v>
      </c>
      <c r="L66" s="39"/>
    </row>
    <row r="67" spans="1:21" x14ac:dyDescent="0.25">
      <c r="A67">
        <v>800</v>
      </c>
      <c r="B67" s="147">
        <v>43105</v>
      </c>
      <c r="C67" s="10">
        <v>1300</v>
      </c>
      <c r="D67" s="39">
        <v>30.925000000000001</v>
      </c>
      <c r="E67" s="39">
        <v>27.32</v>
      </c>
      <c r="F67" s="39">
        <f t="shared" si="8"/>
        <v>-4686.5000000000009</v>
      </c>
      <c r="G67" s="39">
        <f t="shared" si="9"/>
        <v>40202.5</v>
      </c>
      <c r="H67" s="175">
        <f t="shared" si="10"/>
        <v>-0.1165723524656427</v>
      </c>
      <c r="I67" s="39"/>
      <c r="J67" s="39"/>
      <c r="K67" s="39">
        <f t="shared" si="3"/>
        <v>2642.0800000000954</v>
      </c>
      <c r="L67" s="39"/>
      <c r="M67" t="s">
        <v>777</v>
      </c>
      <c r="T67" s="720">
        <v>43307</v>
      </c>
      <c r="U67" t="s">
        <v>1147</v>
      </c>
    </row>
    <row r="68" spans="1:21" x14ac:dyDescent="0.25">
      <c r="A68">
        <v>800</v>
      </c>
      <c r="B68" s="147">
        <v>43108</v>
      </c>
      <c r="C68" s="10">
        <v>1300</v>
      </c>
      <c r="D68" s="39">
        <v>30.925000000000001</v>
      </c>
      <c r="E68" s="39">
        <v>27.97</v>
      </c>
      <c r="F68" s="39">
        <f t="shared" si="8"/>
        <v>-3841.5000000000023</v>
      </c>
      <c r="G68" s="39">
        <f t="shared" si="9"/>
        <v>40202.5</v>
      </c>
      <c r="H68" s="175">
        <f t="shared" si="10"/>
        <v>-9.5553759094583732E-2</v>
      </c>
      <c r="I68" s="39"/>
      <c r="J68" s="39"/>
      <c r="K68" s="39">
        <f t="shared" si="3"/>
        <v>3487.0800000000941</v>
      </c>
      <c r="L68" s="39"/>
    </row>
    <row r="69" spans="1:21" x14ac:dyDescent="0.25">
      <c r="A69">
        <v>700</v>
      </c>
      <c r="B69" s="147">
        <v>43112</v>
      </c>
      <c r="C69" s="10">
        <v>1300</v>
      </c>
      <c r="D69" s="39">
        <v>30.893000000000001</v>
      </c>
      <c r="E69" s="39">
        <v>28.14</v>
      </c>
      <c r="F69" s="39">
        <f t="shared" si="8"/>
        <v>-3578.9</v>
      </c>
      <c r="G69" s="39">
        <f t="shared" si="9"/>
        <v>40160.9</v>
      </c>
      <c r="H69" s="175">
        <f t="shared" si="10"/>
        <v>-8.9114038779011431E-2</v>
      </c>
      <c r="I69" s="39"/>
      <c r="J69" s="39">
        <v>62.75</v>
      </c>
      <c r="K69" s="39">
        <f t="shared" si="3"/>
        <v>3749.6800000000962</v>
      </c>
      <c r="L69" s="39"/>
      <c r="T69" s="720">
        <v>43320</v>
      </c>
      <c r="U69" t="s">
        <v>1170</v>
      </c>
    </row>
    <row r="70" spans="1:21" x14ac:dyDescent="0.25">
      <c r="A70">
        <v>700</v>
      </c>
      <c r="B70" s="147">
        <v>43117</v>
      </c>
      <c r="C70" s="10">
        <v>1300</v>
      </c>
      <c r="D70" s="39">
        <v>30.893000000000001</v>
      </c>
      <c r="E70" s="39">
        <v>28.67</v>
      </c>
      <c r="F70" s="39">
        <f t="shared" si="8"/>
        <v>-2889.8999999999987</v>
      </c>
      <c r="G70" s="39">
        <f t="shared" si="9"/>
        <v>40160.9</v>
      </c>
      <c r="H70" s="175">
        <f t="shared" si="10"/>
        <v>-7.1958048748907488E-2</v>
      </c>
      <c r="I70" s="39"/>
      <c r="J70" s="39"/>
      <c r="K70" s="39">
        <f t="shared" si="3"/>
        <v>4438.6800000000976</v>
      </c>
      <c r="L70" s="39"/>
    </row>
    <row r="71" spans="1:21" x14ac:dyDescent="0.25">
      <c r="A71">
        <v>400</v>
      </c>
      <c r="B71" s="147">
        <v>43119</v>
      </c>
      <c r="C71" s="10">
        <v>1000</v>
      </c>
      <c r="D71" s="39">
        <v>31.22</v>
      </c>
      <c r="E71" s="39">
        <v>29.72</v>
      </c>
      <c r="F71" s="39">
        <f t="shared" si="8"/>
        <v>-1500</v>
      </c>
      <c r="G71" s="39">
        <f t="shared" si="9"/>
        <v>31220</v>
      </c>
      <c r="H71" s="175">
        <f t="shared" si="10"/>
        <v>-4.8046124279308135E-2</v>
      </c>
      <c r="I71" s="39"/>
      <c r="J71" s="39">
        <v>73.25</v>
      </c>
      <c r="K71" s="39">
        <f t="shared" si="3"/>
        <v>5828.5800000000963</v>
      </c>
      <c r="L71" s="39"/>
      <c r="T71" s="720">
        <v>43356</v>
      </c>
      <c r="U71" t="s">
        <v>1220</v>
      </c>
    </row>
    <row r="72" spans="1:21" x14ac:dyDescent="0.25">
      <c r="A72">
        <v>400</v>
      </c>
      <c r="B72" s="147">
        <v>43122</v>
      </c>
      <c r="C72" s="10">
        <v>1300</v>
      </c>
      <c r="D72" s="39">
        <v>30.7728</v>
      </c>
      <c r="E72" s="39">
        <v>29.63</v>
      </c>
      <c r="F72" s="39">
        <f t="shared" si="8"/>
        <v>-1485.6400000000015</v>
      </c>
      <c r="G72" s="39">
        <f t="shared" si="9"/>
        <v>40004.639999999999</v>
      </c>
      <c r="H72" s="175">
        <f t="shared" si="10"/>
        <v>-3.7136692143711368E-2</v>
      </c>
      <c r="I72" s="39"/>
      <c r="J72" s="39"/>
      <c r="K72" s="39">
        <f t="shared" si="3"/>
        <v>5842.9400000000951</v>
      </c>
      <c r="L72" s="39"/>
      <c r="T72" s="721">
        <v>43377</v>
      </c>
      <c r="U72" t="s">
        <v>1106</v>
      </c>
    </row>
    <row r="73" spans="1:21" x14ac:dyDescent="0.25">
      <c r="A73">
        <v>400</v>
      </c>
      <c r="B73" s="147">
        <v>43123</v>
      </c>
      <c r="C73" s="10">
        <v>1300</v>
      </c>
      <c r="D73" s="39">
        <v>30.7728</v>
      </c>
      <c r="E73" s="39">
        <v>29.31</v>
      </c>
      <c r="F73" s="39">
        <f t="shared" si="8"/>
        <v>-1901.6400000000019</v>
      </c>
      <c r="G73" s="39">
        <f t="shared" si="9"/>
        <v>40004.639999999999</v>
      </c>
      <c r="H73" s="175">
        <f t="shared" si="10"/>
        <v>-4.7535485883637547E-2</v>
      </c>
      <c r="I73" s="39"/>
      <c r="J73" s="39">
        <v>67.23</v>
      </c>
      <c r="K73" s="39">
        <f t="shared" si="3"/>
        <v>5426.9400000000942</v>
      </c>
      <c r="L73" s="39"/>
    </row>
    <row r="74" spans="1:21" x14ac:dyDescent="0.25">
      <c r="A74">
        <v>100</v>
      </c>
      <c r="B74" s="147">
        <v>43125</v>
      </c>
      <c r="C74" s="10">
        <v>1000</v>
      </c>
      <c r="D74" s="39">
        <v>30.855</v>
      </c>
      <c r="E74" s="39">
        <v>30.26</v>
      </c>
      <c r="F74" s="39">
        <f t="shared" si="8"/>
        <v>-594.99999999999886</v>
      </c>
      <c r="G74" s="39">
        <f t="shared" si="9"/>
        <v>30855</v>
      </c>
      <c r="H74" s="175">
        <f t="shared" si="10"/>
        <v>-1.9283746556473792E-2</v>
      </c>
      <c r="I74" s="39"/>
      <c r="J74" s="39"/>
      <c r="K74" s="39">
        <f t="shared" si="3"/>
        <v>6733.5800000000972</v>
      </c>
      <c r="L74" s="39"/>
      <c r="T74" s="739">
        <v>43402</v>
      </c>
      <c r="U74" t="s">
        <v>1238</v>
      </c>
    </row>
    <row r="75" spans="1:21" x14ac:dyDescent="0.25">
      <c r="A75">
        <v>0</v>
      </c>
      <c r="B75" s="147">
        <v>43126</v>
      </c>
      <c r="C75" s="10">
        <v>800</v>
      </c>
      <c r="D75" s="39">
        <v>30.868680000000001</v>
      </c>
      <c r="E75" s="39">
        <v>30.88</v>
      </c>
      <c r="F75" s="39">
        <f t="shared" si="8"/>
        <v>9.055999999998221</v>
      </c>
      <c r="G75" s="39">
        <f t="shared" si="9"/>
        <v>24694.944</v>
      </c>
      <c r="H75" s="175">
        <f t="shared" si="10"/>
        <v>3.6671474128462171E-4</v>
      </c>
      <c r="I75" s="39"/>
      <c r="J75" s="39">
        <v>76.23</v>
      </c>
      <c r="K75" s="39">
        <f t="shared" ref="K75:K112" si="11">F75+$Q$10</f>
        <v>7337.636000000095</v>
      </c>
      <c r="L75" s="39"/>
    </row>
    <row r="76" spans="1:21" x14ac:dyDescent="0.25">
      <c r="A76">
        <v>0</v>
      </c>
      <c r="B76" s="147">
        <v>43131</v>
      </c>
      <c r="C76" s="10">
        <v>1300</v>
      </c>
      <c r="D76" s="39">
        <v>30.63</v>
      </c>
      <c r="E76" s="39">
        <v>30.36</v>
      </c>
      <c r="F76" s="39">
        <f t="shared" si="8"/>
        <v>-350.99999999999943</v>
      </c>
      <c r="G76" s="39">
        <f t="shared" si="9"/>
        <v>39819</v>
      </c>
      <c r="H76" s="175">
        <f t="shared" si="10"/>
        <v>-8.8148873653280963E-3</v>
      </c>
      <c r="I76" s="39"/>
      <c r="J76" s="39"/>
      <c r="K76" s="39">
        <f t="shared" si="11"/>
        <v>6977.5800000000972</v>
      </c>
      <c r="L76" s="39"/>
    </row>
    <row r="77" spans="1:21" x14ac:dyDescent="0.25">
      <c r="B77" s="147">
        <v>43133</v>
      </c>
      <c r="C77" s="387">
        <v>1500</v>
      </c>
      <c r="D77" s="389">
        <v>30.452999999999999</v>
      </c>
      <c r="E77" s="39">
        <v>29.34</v>
      </c>
      <c r="F77" s="39">
        <f t="shared" si="8"/>
        <v>-1669.4999999999993</v>
      </c>
      <c r="G77" s="39">
        <f t="shared" si="9"/>
        <v>45679.5</v>
      </c>
      <c r="H77" s="175">
        <f t="shared" si="10"/>
        <v>-3.6548123337602191E-2</v>
      </c>
      <c r="I77" s="170" t="s">
        <v>848</v>
      </c>
      <c r="J77" s="39"/>
      <c r="K77" s="39">
        <f t="shared" si="11"/>
        <v>5659.0800000000972</v>
      </c>
      <c r="L77" s="39"/>
    </row>
    <row r="78" spans="1:21" x14ac:dyDescent="0.25">
      <c r="A78">
        <v>400</v>
      </c>
      <c r="B78" s="147">
        <v>43137</v>
      </c>
      <c r="C78" s="10">
        <v>1800</v>
      </c>
      <c r="D78" s="39">
        <v>29.96</v>
      </c>
      <c r="E78" s="39">
        <v>29.07</v>
      </c>
      <c r="F78" s="39">
        <f t="shared" si="8"/>
        <v>-1602.0000000000009</v>
      </c>
      <c r="G78" s="39">
        <f t="shared" si="9"/>
        <v>53928</v>
      </c>
      <c r="H78" s="175">
        <f t="shared" si="10"/>
        <v>-2.9706275033377857E-2</v>
      </c>
      <c r="I78" s="39"/>
      <c r="J78" s="39"/>
      <c r="K78" s="39">
        <f t="shared" si="11"/>
        <v>5726.5800000000954</v>
      </c>
      <c r="L78" s="39"/>
    </row>
    <row r="79" spans="1:21" x14ac:dyDescent="0.25">
      <c r="A79">
        <v>400</v>
      </c>
      <c r="B79" s="147">
        <v>43139</v>
      </c>
      <c r="C79" s="10">
        <v>1800</v>
      </c>
      <c r="D79" s="39">
        <v>29.96</v>
      </c>
      <c r="E79" s="39">
        <v>27.57</v>
      </c>
      <c r="F79" s="39">
        <f t="shared" si="8"/>
        <v>-4302.0000000000009</v>
      </c>
      <c r="G79" s="39">
        <f t="shared" si="9"/>
        <v>53928</v>
      </c>
      <c r="H79" s="175">
        <f t="shared" si="10"/>
        <v>-7.977303070761016E-2</v>
      </c>
      <c r="I79" s="39"/>
      <c r="J79" s="39"/>
      <c r="K79" s="39">
        <f t="shared" si="11"/>
        <v>3026.5800000000954</v>
      </c>
      <c r="L79" s="39"/>
    </row>
    <row r="80" spans="1:21" x14ac:dyDescent="0.25">
      <c r="A80">
        <v>500</v>
      </c>
      <c r="B80" s="147">
        <v>43146</v>
      </c>
      <c r="C80" s="10">
        <v>1800</v>
      </c>
      <c r="D80" s="39">
        <v>29.96</v>
      </c>
      <c r="E80" s="39">
        <v>28.79</v>
      </c>
      <c r="F80" s="39">
        <f t="shared" si="8"/>
        <v>-2106.0000000000032</v>
      </c>
      <c r="G80" s="39">
        <f t="shared" si="9"/>
        <v>53928</v>
      </c>
      <c r="H80" s="175">
        <f t="shared" si="10"/>
        <v>-3.905206942590126E-2</v>
      </c>
      <c r="I80" s="39"/>
      <c r="J80" s="39"/>
      <c r="K80" s="39">
        <f t="shared" si="11"/>
        <v>5222.5800000000927</v>
      </c>
      <c r="L80" s="39"/>
    </row>
    <row r="81" spans="1:12" x14ac:dyDescent="0.25">
      <c r="A81">
        <v>500</v>
      </c>
      <c r="B81" s="147">
        <v>43151</v>
      </c>
      <c r="C81" s="10">
        <v>1800</v>
      </c>
      <c r="D81" s="39">
        <v>29.96</v>
      </c>
      <c r="E81" s="39">
        <v>27.49</v>
      </c>
      <c r="F81" s="39">
        <f t="shared" si="8"/>
        <v>-4446.0000000000045</v>
      </c>
      <c r="G81" s="39">
        <f t="shared" si="9"/>
        <v>53928</v>
      </c>
      <c r="H81" s="175">
        <f t="shared" si="10"/>
        <v>-8.2443257676902609E-2</v>
      </c>
      <c r="I81" s="39"/>
      <c r="J81" s="39"/>
      <c r="K81" s="39">
        <f t="shared" si="11"/>
        <v>2882.5800000000918</v>
      </c>
      <c r="L81" s="39"/>
    </row>
    <row r="82" spans="1:12" x14ac:dyDescent="0.25">
      <c r="A82">
        <v>1500</v>
      </c>
      <c r="B82" s="147">
        <v>43165</v>
      </c>
      <c r="C82" s="10">
        <v>1800</v>
      </c>
      <c r="D82" s="39">
        <v>29.835999999999999</v>
      </c>
      <c r="E82" s="39">
        <v>28.01</v>
      </c>
      <c r="F82" s="39">
        <f t="shared" si="8"/>
        <v>-3286.7999999999947</v>
      </c>
      <c r="G82" s="39">
        <f t="shared" si="9"/>
        <v>53704.799999999996</v>
      </c>
      <c r="H82" s="175">
        <f t="shared" si="10"/>
        <v>-6.1201233409304098E-2</v>
      </c>
      <c r="I82" s="39"/>
      <c r="J82" s="39"/>
      <c r="K82" s="39">
        <f t="shared" si="11"/>
        <v>4041.7800000001016</v>
      </c>
      <c r="L82" s="39"/>
    </row>
    <row r="83" spans="1:12" x14ac:dyDescent="0.25">
      <c r="B83" s="147">
        <v>43166</v>
      </c>
      <c r="C83" s="10">
        <v>2000</v>
      </c>
      <c r="D83" s="39">
        <v>29.48</v>
      </c>
      <c r="E83" s="39">
        <v>26.59</v>
      </c>
      <c r="F83" s="39">
        <f t="shared" si="8"/>
        <v>-5780.0000000000009</v>
      </c>
      <c r="G83" s="39">
        <f t="shared" si="9"/>
        <v>58960</v>
      </c>
      <c r="H83" s="175">
        <f t="shared" si="10"/>
        <v>-9.803256445047491E-2</v>
      </c>
      <c r="I83" s="39"/>
      <c r="J83" s="39"/>
      <c r="K83" s="39">
        <f t="shared" si="11"/>
        <v>1548.5800000000954</v>
      </c>
      <c r="L83" s="39"/>
    </row>
    <row r="84" spans="1:12" x14ac:dyDescent="0.25">
      <c r="B84" s="147">
        <v>43167</v>
      </c>
      <c r="C84" s="10">
        <v>2300</v>
      </c>
      <c r="D84" s="39">
        <v>28.782</v>
      </c>
      <c r="E84" s="39">
        <v>22.98</v>
      </c>
      <c r="F84" s="39">
        <f t="shared" si="8"/>
        <v>-13344.599999999999</v>
      </c>
      <c r="G84" s="39">
        <f t="shared" si="9"/>
        <v>66198.600000000006</v>
      </c>
      <c r="H84" s="175">
        <f t="shared" si="10"/>
        <v>-0.20158432353554304</v>
      </c>
      <c r="I84" s="39"/>
      <c r="J84" s="39"/>
      <c r="K84" s="39">
        <f t="shared" si="11"/>
        <v>-6016.0199999999022</v>
      </c>
      <c r="L84" s="39"/>
    </row>
    <row r="85" spans="1:12" x14ac:dyDescent="0.25">
      <c r="B85" s="147">
        <v>43167</v>
      </c>
      <c r="C85" s="10">
        <v>2500</v>
      </c>
      <c r="D85" s="39">
        <v>28.326000000000001</v>
      </c>
      <c r="E85" s="39">
        <v>22.98</v>
      </c>
      <c r="F85" s="39">
        <f t="shared" si="8"/>
        <v>-13365</v>
      </c>
      <c r="G85" s="39">
        <f t="shared" si="9"/>
        <v>70815</v>
      </c>
      <c r="H85" s="175">
        <f t="shared" si="10"/>
        <v>-0.18873120101673374</v>
      </c>
      <c r="I85" s="39"/>
      <c r="J85" s="39"/>
      <c r="K85" s="39">
        <f t="shared" si="11"/>
        <v>-6036.4199999999037</v>
      </c>
      <c r="L85" s="39"/>
    </row>
    <row r="86" spans="1:12" x14ac:dyDescent="0.25">
      <c r="A86">
        <v>1500</v>
      </c>
      <c r="B86" s="147">
        <v>43167</v>
      </c>
      <c r="C86" s="10">
        <v>3000</v>
      </c>
      <c r="D86" s="39">
        <v>27.43</v>
      </c>
      <c r="E86" s="39">
        <v>22.98</v>
      </c>
      <c r="F86" s="39">
        <f t="shared" si="8"/>
        <v>-13349.999999999998</v>
      </c>
      <c r="G86" s="39">
        <f t="shared" si="9"/>
        <v>82290</v>
      </c>
      <c r="H86" s="175">
        <f t="shared" si="10"/>
        <v>-0.16223113379511481</v>
      </c>
      <c r="I86" s="39"/>
      <c r="J86" s="39"/>
      <c r="K86" s="39">
        <f t="shared" si="11"/>
        <v>-6021.4199999999018</v>
      </c>
      <c r="L86" s="39"/>
    </row>
    <row r="87" spans="1:12" x14ac:dyDescent="0.25">
      <c r="A87">
        <v>1800</v>
      </c>
      <c r="B87" s="147">
        <v>43168</v>
      </c>
      <c r="C87" s="10">
        <v>3000</v>
      </c>
      <c r="D87" s="39">
        <v>27.43</v>
      </c>
      <c r="E87" s="39">
        <v>24.08</v>
      </c>
      <c r="F87" s="39">
        <f t="shared" si="8"/>
        <v>-10050.000000000004</v>
      </c>
      <c r="G87" s="39">
        <f t="shared" si="9"/>
        <v>82290</v>
      </c>
      <c r="H87" s="175">
        <f t="shared" si="10"/>
        <v>-0.12212905577834493</v>
      </c>
      <c r="I87" s="39"/>
      <c r="J87" s="39"/>
      <c r="K87" s="39">
        <f t="shared" si="11"/>
        <v>-2721.4199999999073</v>
      </c>
      <c r="L87" s="39"/>
    </row>
    <row r="88" spans="1:12" x14ac:dyDescent="0.25">
      <c r="A88">
        <v>800</v>
      </c>
      <c r="B88" s="147">
        <v>43182</v>
      </c>
      <c r="C88" s="10">
        <v>3000</v>
      </c>
      <c r="D88" s="39">
        <v>27.152999999999999</v>
      </c>
      <c r="E88" s="39">
        <v>23.28</v>
      </c>
      <c r="F88" s="39">
        <f t="shared" si="8"/>
        <v>-11618.999999999993</v>
      </c>
      <c r="G88" s="39">
        <f t="shared" si="9"/>
        <v>81459</v>
      </c>
      <c r="H88" s="175">
        <f t="shared" si="10"/>
        <v>-0.1426361727985857</v>
      </c>
      <c r="I88" s="39">
        <v>27</v>
      </c>
      <c r="J88" s="39"/>
      <c r="K88" s="39">
        <f t="shared" si="11"/>
        <v>-4290.4199999998964</v>
      </c>
      <c r="L88" s="39"/>
    </row>
    <row r="89" spans="1:12" x14ac:dyDescent="0.25">
      <c r="A89">
        <v>600</v>
      </c>
      <c r="B89" s="147">
        <v>43188</v>
      </c>
      <c r="C89" s="10">
        <v>2800</v>
      </c>
      <c r="D89" s="39">
        <v>27.385000000000002</v>
      </c>
      <c r="E89" s="39">
        <v>23.94</v>
      </c>
      <c r="F89" s="39">
        <f t="shared" si="8"/>
        <v>-9646</v>
      </c>
      <c r="G89" s="39">
        <f t="shared" si="9"/>
        <v>76678</v>
      </c>
      <c r="H89" s="175">
        <f t="shared" si="10"/>
        <v>-0.12579879496074495</v>
      </c>
      <c r="I89" s="39"/>
      <c r="J89" s="39"/>
      <c r="K89" s="39">
        <f t="shared" si="11"/>
        <v>-2317.4199999999037</v>
      </c>
      <c r="L89" s="39"/>
    </row>
    <row r="90" spans="1:12" x14ac:dyDescent="0.25">
      <c r="A90">
        <v>300</v>
      </c>
      <c r="B90" s="147">
        <v>43194</v>
      </c>
      <c r="C90" s="10">
        <v>2500</v>
      </c>
      <c r="D90" s="39">
        <v>27.78</v>
      </c>
      <c r="E90" s="39">
        <v>24.08</v>
      </c>
      <c r="F90" s="39">
        <f t="shared" si="8"/>
        <v>-9250.0000000000073</v>
      </c>
      <c r="G90" s="39">
        <f t="shared" si="9"/>
        <v>69450</v>
      </c>
      <c r="H90" s="175">
        <f t="shared" si="10"/>
        <v>-0.13318934485241191</v>
      </c>
      <c r="I90" s="39"/>
      <c r="J90" s="39"/>
      <c r="K90" s="39">
        <f t="shared" si="11"/>
        <v>-1921.4199999999109</v>
      </c>
      <c r="L90" s="39"/>
    </row>
    <row r="91" spans="1:12" x14ac:dyDescent="0.25">
      <c r="A91">
        <v>1500</v>
      </c>
      <c r="B91" s="147">
        <v>43196</v>
      </c>
      <c r="C91" s="10">
        <v>2500</v>
      </c>
      <c r="D91" s="39">
        <v>27.78</v>
      </c>
      <c r="E91" s="39">
        <v>23.77</v>
      </c>
      <c r="F91" s="39">
        <f t="shared" si="8"/>
        <v>-10025.000000000004</v>
      </c>
      <c r="G91" s="39">
        <f t="shared" si="9"/>
        <v>69450</v>
      </c>
      <c r="H91" s="175">
        <f t="shared" si="10"/>
        <v>-0.14434845212383016</v>
      </c>
      <c r="I91" s="39"/>
      <c r="J91" s="39">
        <v>42</v>
      </c>
      <c r="K91" s="39">
        <f t="shared" si="11"/>
        <v>-2696.4199999999073</v>
      </c>
      <c r="L91" s="39">
        <v>11.6</v>
      </c>
    </row>
    <row r="92" spans="1:12" x14ac:dyDescent="0.25">
      <c r="A92">
        <v>1000</v>
      </c>
      <c r="B92" s="147">
        <v>43208</v>
      </c>
      <c r="C92" s="10">
        <v>2000</v>
      </c>
      <c r="D92" s="39">
        <v>28.556999999999999</v>
      </c>
      <c r="E92" s="39">
        <v>24.58</v>
      </c>
      <c r="F92" s="39">
        <f t="shared" si="8"/>
        <v>-7954.0000000000009</v>
      </c>
      <c r="G92" s="39">
        <f t="shared" si="9"/>
        <v>57114</v>
      </c>
      <c r="H92" s="175">
        <f t="shared" si="10"/>
        <v>-0.13926532899114055</v>
      </c>
      <c r="I92" s="39"/>
      <c r="J92" s="39"/>
      <c r="K92" s="39">
        <f t="shared" si="11"/>
        <v>-625.41999999990458</v>
      </c>
      <c r="L92" s="39"/>
    </row>
    <row r="93" spans="1:12" x14ac:dyDescent="0.25">
      <c r="A93">
        <v>1000</v>
      </c>
      <c r="B93" s="147">
        <v>43209</v>
      </c>
      <c r="C93" s="10">
        <v>2500</v>
      </c>
      <c r="D93" s="39">
        <v>27.681999999999999</v>
      </c>
      <c r="E93" s="39">
        <v>24.18</v>
      </c>
      <c r="F93" s="39">
        <f t="shared" si="8"/>
        <v>-8754.9999999999964</v>
      </c>
      <c r="G93" s="39">
        <f t="shared" si="9"/>
        <v>69205</v>
      </c>
      <c r="H93" s="175">
        <f t="shared" si="10"/>
        <v>-0.12650820027454659</v>
      </c>
      <c r="I93" s="39"/>
      <c r="J93" s="39"/>
      <c r="K93" s="39">
        <f t="shared" si="11"/>
        <v>-1426.4199999999</v>
      </c>
      <c r="L93" s="39"/>
    </row>
    <row r="94" spans="1:12" x14ac:dyDescent="0.25">
      <c r="A94">
        <v>500</v>
      </c>
      <c r="B94" s="147">
        <v>43210</v>
      </c>
      <c r="C94" s="10">
        <v>2000</v>
      </c>
      <c r="D94" s="39">
        <v>28.3826</v>
      </c>
      <c r="E94" s="39">
        <v>24.88</v>
      </c>
      <c r="F94" s="39">
        <f t="shared" si="8"/>
        <v>-7005.2000000000025</v>
      </c>
      <c r="G94" s="39">
        <f t="shared" si="9"/>
        <v>56765.2</v>
      </c>
      <c r="H94" s="175">
        <f t="shared" si="10"/>
        <v>-0.12340659418094188</v>
      </c>
      <c r="I94" s="39"/>
      <c r="J94" s="39"/>
      <c r="K94" s="39">
        <f t="shared" si="11"/>
        <v>323.38000000009379</v>
      </c>
      <c r="L94" s="39"/>
    </row>
    <row r="95" spans="1:12" x14ac:dyDescent="0.25">
      <c r="A95">
        <v>1500</v>
      </c>
      <c r="B95" s="147">
        <v>43211</v>
      </c>
      <c r="C95" s="10">
        <v>2500</v>
      </c>
      <c r="D95" s="39">
        <v>27.562000000000001</v>
      </c>
      <c r="E95" s="39">
        <v>24.28</v>
      </c>
      <c r="F95" s="39">
        <f t="shared" ref="F95:F117" si="12">C95*(E95-D95)</f>
        <v>-8205</v>
      </c>
      <c r="G95" s="39">
        <f t="shared" ref="G95:G117" si="13">D95*C95</f>
        <v>68905</v>
      </c>
      <c r="H95" s="175">
        <f t="shared" ref="H95:H117" si="14">(E95-D95)/D95</f>
        <v>-0.11907699005877657</v>
      </c>
      <c r="I95" s="39">
        <v>27</v>
      </c>
      <c r="J95" s="39"/>
      <c r="K95" s="39">
        <f t="shared" si="11"/>
        <v>-876.41999999990367</v>
      </c>
      <c r="L95" s="39">
        <v>11.77</v>
      </c>
    </row>
    <row r="96" spans="1:12" x14ac:dyDescent="0.25">
      <c r="A96">
        <v>1200</v>
      </c>
      <c r="B96" s="147">
        <v>43213</v>
      </c>
      <c r="C96" s="10">
        <v>2200</v>
      </c>
      <c r="D96" s="39">
        <v>27.94</v>
      </c>
      <c r="E96" s="39">
        <v>24.79</v>
      </c>
      <c r="F96" s="39">
        <f t="shared" si="12"/>
        <v>-6930.0000000000045</v>
      </c>
      <c r="G96" s="39">
        <f t="shared" si="13"/>
        <v>61468</v>
      </c>
      <c r="H96" s="175">
        <f t="shared" si="14"/>
        <v>-0.11274158911954195</v>
      </c>
      <c r="I96" s="39"/>
      <c r="J96" s="39"/>
      <c r="K96" s="39">
        <f t="shared" si="11"/>
        <v>398.58000000009179</v>
      </c>
      <c r="L96" s="39"/>
    </row>
    <row r="97" spans="1:12" x14ac:dyDescent="0.25">
      <c r="A97">
        <v>700</v>
      </c>
      <c r="B97" s="147">
        <v>43214</v>
      </c>
      <c r="C97" s="10">
        <v>1700</v>
      </c>
      <c r="D97" s="39">
        <v>28.72</v>
      </c>
      <c r="E97" s="39">
        <v>25.38</v>
      </c>
      <c r="F97" s="39">
        <f t="shared" si="12"/>
        <v>-5678</v>
      </c>
      <c r="G97" s="39">
        <f t="shared" si="13"/>
        <v>48824</v>
      </c>
      <c r="H97" s="175">
        <f t="shared" si="14"/>
        <v>-0.11629526462395544</v>
      </c>
      <c r="I97" s="39"/>
      <c r="J97" s="39"/>
      <c r="K97" s="39">
        <f t="shared" si="11"/>
        <v>1650.5800000000963</v>
      </c>
      <c r="L97" s="39"/>
    </row>
    <row r="98" spans="1:12" x14ac:dyDescent="0.25">
      <c r="A98">
        <v>500</v>
      </c>
      <c r="B98" s="147">
        <v>43220</v>
      </c>
      <c r="C98" s="387">
        <v>1500</v>
      </c>
      <c r="D98" s="389">
        <v>29.102</v>
      </c>
      <c r="E98" s="39">
        <v>25.19</v>
      </c>
      <c r="F98" s="39">
        <f t="shared" si="12"/>
        <v>-5867.9999999999982</v>
      </c>
      <c r="G98" s="39">
        <f t="shared" si="13"/>
        <v>43653</v>
      </c>
      <c r="H98" s="175">
        <f t="shared" si="14"/>
        <v>-0.13442375094495221</v>
      </c>
      <c r="I98" s="39"/>
      <c r="J98" s="39"/>
      <c r="K98" s="39">
        <f t="shared" si="11"/>
        <v>1460.5800000000982</v>
      </c>
      <c r="L98" s="39"/>
    </row>
    <row r="99" spans="1:12" x14ac:dyDescent="0.25">
      <c r="A99">
        <v>500</v>
      </c>
      <c r="B99" s="147">
        <v>43220</v>
      </c>
      <c r="C99" s="10">
        <v>1700</v>
      </c>
      <c r="D99" s="39">
        <v>28.666</v>
      </c>
      <c r="E99" s="39">
        <v>25.19</v>
      </c>
      <c r="F99" s="39">
        <f t="shared" si="12"/>
        <v>-5909.1999999999989</v>
      </c>
      <c r="G99" s="39">
        <f t="shared" si="13"/>
        <v>48732.2</v>
      </c>
      <c r="H99" s="175">
        <f t="shared" si="14"/>
        <v>-0.12125863392171908</v>
      </c>
      <c r="I99" s="39"/>
      <c r="J99" s="39"/>
      <c r="K99" s="39">
        <f t="shared" si="11"/>
        <v>1419.3800000000974</v>
      </c>
      <c r="L99" s="39"/>
    </row>
    <row r="100" spans="1:12" x14ac:dyDescent="0.25">
      <c r="A100">
        <v>500</v>
      </c>
      <c r="B100" s="147">
        <v>43221</v>
      </c>
      <c r="C100" s="10">
        <v>2000</v>
      </c>
      <c r="D100" s="39">
        <v>28.064</v>
      </c>
      <c r="E100" s="39">
        <v>24.76</v>
      </c>
      <c r="F100" s="39">
        <f t="shared" si="12"/>
        <v>-6607.9999999999973</v>
      </c>
      <c r="G100" s="39">
        <f t="shared" si="13"/>
        <v>56128</v>
      </c>
      <c r="H100" s="175">
        <f t="shared" si="14"/>
        <v>-0.11773090079817554</v>
      </c>
      <c r="I100" s="39"/>
      <c r="J100" s="39"/>
      <c r="K100" s="39">
        <f t="shared" si="11"/>
        <v>720.58000000009906</v>
      </c>
      <c r="L100" s="39">
        <v>12.08</v>
      </c>
    </row>
    <row r="101" spans="1:12" x14ac:dyDescent="0.25">
      <c r="A101">
        <v>500</v>
      </c>
      <c r="B101" s="147">
        <v>43226</v>
      </c>
      <c r="C101" s="10">
        <v>2000</v>
      </c>
      <c r="D101" s="39">
        <v>28.06</v>
      </c>
      <c r="E101" s="39">
        <v>24.14</v>
      </c>
      <c r="F101" s="39">
        <f t="shared" si="12"/>
        <v>-7839.9999999999964</v>
      </c>
      <c r="G101" s="39">
        <f t="shared" si="13"/>
        <v>56120</v>
      </c>
      <c r="H101" s="175">
        <f t="shared" si="14"/>
        <v>-0.13970064148253736</v>
      </c>
      <c r="I101" s="39"/>
      <c r="J101" s="39">
        <v>44.98</v>
      </c>
      <c r="K101" s="39">
        <f t="shared" si="11"/>
        <v>-511.41999999990003</v>
      </c>
      <c r="L101" s="39">
        <v>11.78</v>
      </c>
    </row>
    <row r="102" spans="1:12" x14ac:dyDescent="0.25">
      <c r="A102">
        <v>500</v>
      </c>
      <c r="B102" s="147">
        <v>43233</v>
      </c>
      <c r="C102" s="10">
        <v>2000</v>
      </c>
      <c r="D102" s="39">
        <v>28.06</v>
      </c>
      <c r="E102" s="39">
        <v>24.57</v>
      </c>
      <c r="F102" s="39">
        <f t="shared" si="12"/>
        <v>-6979.9999999999973</v>
      </c>
      <c r="G102" s="39">
        <f t="shared" si="13"/>
        <v>56120</v>
      </c>
      <c r="H102" s="175">
        <f t="shared" si="14"/>
        <v>-0.12437633642195291</v>
      </c>
      <c r="I102" s="39"/>
      <c r="J102" s="39">
        <v>51.33</v>
      </c>
      <c r="K102" s="39">
        <f t="shared" si="11"/>
        <v>348.58000000009906</v>
      </c>
      <c r="L102" s="39">
        <v>11.99</v>
      </c>
    </row>
    <row r="103" spans="1:12" x14ac:dyDescent="0.25">
      <c r="A103">
        <v>200</v>
      </c>
      <c r="B103" s="147">
        <v>43237</v>
      </c>
      <c r="C103" s="10">
        <v>2000</v>
      </c>
      <c r="D103" s="39">
        <v>27.992000000000001</v>
      </c>
      <c r="E103" s="39">
        <v>25.3</v>
      </c>
      <c r="F103" s="39">
        <f t="shared" si="12"/>
        <v>-5384</v>
      </c>
      <c r="G103" s="39">
        <f t="shared" si="13"/>
        <v>55984</v>
      </c>
      <c r="H103" s="175">
        <f t="shared" si="14"/>
        <v>-9.617033438125179E-2</v>
      </c>
      <c r="I103" s="39"/>
      <c r="J103" s="39"/>
      <c r="K103" s="39">
        <f t="shared" si="11"/>
        <v>1944.5800000000963</v>
      </c>
      <c r="L103" s="39"/>
    </row>
    <row r="104" spans="1:12" x14ac:dyDescent="0.25">
      <c r="A104">
        <v>1200</v>
      </c>
      <c r="B104" s="147">
        <v>43239</v>
      </c>
      <c r="C104" s="10">
        <v>2000</v>
      </c>
      <c r="D104" s="39">
        <v>27.992000000000001</v>
      </c>
      <c r="E104" s="39">
        <v>24.89</v>
      </c>
      <c r="F104" s="39">
        <f t="shared" si="12"/>
        <v>-6204.0000000000009</v>
      </c>
      <c r="G104" s="39">
        <f t="shared" si="13"/>
        <v>55984</v>
      </c>
      <c r="H104" s="175">
        <f t="shared" si="14"/>
        <v>-0.11081737639325523</v>
      </c>
      <c r="I104" s="39"/>
      <c r="J104" s="39"/>
      <c r="K104" s="39">
        <f t="shared" si="11"/>
        <v>1124.5800000000954</v>
      </c>
      <c r="L104" s="39">
        <v>12.14</v>
      </c>
    </row>
    <row r="105" spans="1:12" x14ac:dyDescent="0.25">
      <c r="A105">
        <v>1200</v>
      </c>
      <c r="B105" s="147">
        <v>43241</v>
      </c>
      <c r="C105" s="10">
        <v>2000</v>
      </c>
      <c r="D105" s="39">
        <v>27.992000000000001</v>
      </c>
      <c r="E105" s="39">
        <v>24.77</v>
      </c>
      <c r="F105" s="39">
        <f t="shared" si="12"/>
        <v>-6444.0000000000027</v>
      </c>
      <c r="G105" s="39">
        <f t="shared" si="13"/>
        <v>55984</v>
      </c>
      <c r="H105" s="175">
        <f t="shared" si="14"/>
        <v>-0.11510431551871968</v>
      </c>
      <c r="I105" s="39"/>
      <c r="J105" s="39"/>
      <c r="K105" s="39">
        <f t="shared" si="11"/>
        <v>884.58000000009361</v>
      </c>
      <c r="L105" s="39">
        <v>12.08</v>
      </c>
    </row>
    <row r="106" spans="1:12" x14ac:dyDescent="0.25">
      <c r="A106">
        <v>1200</v>
      </c>
      <c r="B106" s="147">
        <v>43243</v>
      </c>
      <c r="C106" s="10">
        <v>2200</v>
      </c>
      <c r="D106" s="39">
        <v>27.68</v>
      </c>
      <c r="E106" s="39">
        <v>24.57</v>
      </c>
      <c r="F106" s="39">
        <f t="shared" si="12"/>
        <v>-6841.9999999999991</v>
      </c>
      <c r="G106" s="39">
        <f t="shared" si="13"/>
        <v>60896</v>
      </c>
      <c r="H106" s="175">
        <f t="shared" si="14"/>
        <v>-0.11235549132947975</v>
      </c>
      <c r="I106" s="39"/>
      <c r="J106" s="39"/>
      <c r="K106" s="39">
        <f t="shared" si="11"/>
        <v>486.58000000009724</v>
      </c>
      <c r="L106" s="39">
        <v>11.99</v>
      </c>
    </row>
    <row r="107" spans="1:12" x14ac:dyDescent="0.25">
      <c r="A107">
        <v>1700</v>
      </c>
      <c r="B107" s="147">
        <v>43252</v>
      </c>
      <c r="C107" s="10">
        <v>2200</v>
      </c>
      <c r="D107" s="39">
        <v>27.567</v>
      </c>
      <c r="E107" s="39">
        <v>24.42</v>
      </c>
      <c r="F107" s="39">
        <f t="shared" si="12"/>
        <v>-6923.3999999999969</v>
      </c>
      <c r="G107" s="39">
        <f t="shared" si="13"/>
        <v>60647.4</v>
      </c>
      <c r="H107" s="175">
        <f t="shared" si="14"/>
        <v>-0.11415823266949608</v>
      </c>
      <c r="I107" s="39"/>
      <c r="J107" s="39"/>
      <c r="K107" s="39">
        <f t="shared" si="11"/>
        <v>405.18000000009943</v>
      </c>
      <c r="L107" s="39">
        <v>11.91</v>
      </c>
    </row>
    <row r="108" spans="1:12" x14ac:dyDescent="0.25">
      <c r="A108">
        <v>1500</v>
      </c>
      <c r="B108" s="147">
        <v>43259</v>
      </c>
      <c r="C108" s="10">
        <v>2000</v>
      </c>
      <c r="D108" s="39">
        <v>27.788</v>
      </c>
      <c r="E108" s="39">
        <v>25.36</v>
      </c>
      <c r="F108" s="39">
        <f t="shared" si="12"/>
        <v>-4856.0000000000018</v>
      </c>
      <c r="G108" s="39">
        <f t="shared" si="13"/>
        <v>55576</v>
      </c>
      <c r="H108" s="175">
        <f t="shared" si="14"/>
        <v>-8.7375845688786549E-2</v>
      </c>
      <c r="I108" s="39"/>
      <c r="J108" s="39"/>
      <c r="K108" s="39">
        <f t="shared" si="11"/>
        <v>2472.5800000000945</v>
      </c>
      <c r="L108" s="39">
        <v>12.37</v>
      </c>
    </row>
    <row r="109" spans="1:12" x14ac:dyDescent="0.25">
      <c r="A109">
        <v>1000</v>
      </c>
      <c r="B109" s="147">
        <v>43264</v>
      </c>
      <c r="C109" s="387">
        <v>1500</v>
      </c>
      <c r="D109" s="389">
        <v>28.324000000000002</v>
      </c>
      <c r="E109" s="39">
        <v>26.01</v>
      </c>
      <c r="F109" s="39">
        <f t="shared" si="12"/>
        <v>-3471</v>
      </c>
      <c r="G109" s="39">
        <f t="shared" si="13"/>
        <v>42486</v>
      </c>
      <c r="H109" s="175">
        <f t="shared" si="14"/>
        <v>-8.1697500353057478E-2</v>
      </c>
      <c r="I109" s="743" t="s">
        <v>1052</v>
      </c>
      <c r="J109" s="39"/>
      <c r="K109" s="39">
        <f t="shared" si="11"/>
        <v>3857.5800000000963</v>
      </c>
      <c r="L109" s="39">
        <v>12.69</v>
      </c>
    </row>
    <row r="110" spans="1:12" x14ac:dyDescent="0.25">
      <c r="A110">
        <v>1000</v>
      </c>
      <c r="B110" s="147">
        <v>43266</v>
      </c>
      <c r="C110" s="10">
        <v>1720</v>
      </c>
      <c r="D110" s="39">
        <v>27.998699999999999</v>
      </c>
      <c r="E110" s="39">
        <v>25.88</v>
      </c>
      <c r="F110" s="39">
        <f t="shared" si="12"/>
        <v>-3644.1640000000007</v>
      </c>
      <c r="G110" s="39">
        <f t="shared" si="13"/>
        <v>48157.763999999996</v>
      </c>
      <c r="H110" s="175">
        <f t="shared" si="14"/>
        <v>-7.5671370456485504E-2</v>
      </c>
      <c r="I110" s="39"/>
      <c r="J110" s="39"/>
      <c r="K110" s="39">
        <f t="shared" si="11"/>
        <v>3684.4160000000957</v>
      </c>
      <c r="L110" s="39">
        <v>12.62</v>
      </c>
    </row>
    <row r="111" spans="1:12" x14ac:dyDescent="0.25">
      <c r="A111">
        <v>1080</v>
      </c>
      <c r="B111" s="147">
        <v>43269</v>
      </c>
      <c r="C111" s="387">
        <v>1500</v>
      </c>
      <c r="D111" s="389">
        <v>28.265499999999999</v>
      </c>
      <c r="E111" s="39">
        <v>26.009899999999998</v>
      </c>
      <c r="F111" s="39">
        <f t="shared" si="12"/>
        <v>-3383.4000000000019</v>
      </c>
      <c r="G111" s="39">
        <f t="shared" si="13"/>
        <v>42398.25</v>
      </c>
      <c r="H111" s="175">
        <f t="shared" si="14"/>
        <v>-7.9800463462525034E-2</v>
      </c>
      <c r="I111" s="39"/>
      <c r="J111" s="39"/>
      <c r="K111" s="39">
        <f t="shared" si="11"/>
        <v>3945.1800000000944</v>
      </c>
      <c r="L111" s="39">
        <v>12.69</v>
      </c>
    </row>
    <row r="112" spans="1:12" x14ac:dyDescent="0.25">
      <c r="A112">
        <v>780</v>
      </c>
      <c r="B112" s="147">
        <v>43271</v>
      </c>
      <c r="C112" s="387">
        <v>1500</v>
      </c>
      <c r="D112" s="389">
        <v>28.0626</v>
      </c>
      <c r="E112" s="39">
        <v>28.73</v>
      </c>
      <c r="F112" s="39">
        <f t="shared" si="12"/>
        <v>1001.100000000001</v>
      </c>
      <c r="G112" s="39">
        <f t="shared" si="13"/>
        <v>42093.9</v>
      </c>
      <c r="H112" s="175">
        <f t="shared" si="14"/>
        <v>2.3782543313876855E-2</v>
      </c>
      <c r="I112" s="39"/>
      <c r="J112" s="39"/>
      <c r="K112" s="39">
        <f t="shared" si="11"/>
        <v>8329.6800000000967</v>
      </c>
      <c r="L112" s="39">
        <v>14.01</v>
      </c>
    </row>
    <row r="113" spans="1:12" x14ac:dyDescent="0.25">
      <c r="A113">
        <v>-220</v>
      </c>
      <c r="B113" s="147">
        <v>43273</v>
      </c>
      <c r="C113" s="387">
        <v>1500</v>
      </c>
      <c r="D113" s="389">
        <v>27.71583</v>
      </c>
      <c r="E113" s="39">
        <v>29.69</v>
      </c>
      <c r="F113" s="39">
        <f t="shared" si="12"/>
        <v>2961.2550000000015</v>
      </c>
      <c r="G113" s="39">
        <f t="shared" si="13"/>
        <v>41573.745000000003</v>
      </c>
      <c r="H113" s="175">
        <f t="shared" si="14"/>
        <v>7.1228969148677879E-2</v>
      </c>
      <c r="I113" s="39"/>
      <c r="J113" s="39"/>
      <c r="K113" s="39">
        <f t="shared" ref="K113:K120" si="15">F113+$Q$10</f>
        <v>10289.835000000097</v>
      </c>
      <c r="L113" s="39">
        <v>14.48</v>
      </c>
    </row>
    <row r="114" spans="1:12" x14ac:dyDescent="0.25">
      <c r="A114">
        <v>0</v>
      </c>
      <c r="B114" s="147">
        <v>43278</v>
      </c>
      <c r="C114" s="10">
        <v>1500</v>
      </c>
      <c r="D114" s="39">
        <v>27.72</v>
      </c>
      <c r="E114" s="39">
        <v>29.01</v>
      </c>
      <c r="F114" s="39">
        <f t="shared" si="12"/>
        <v>1935.0000000000041</v>
      </c>
      <c r="G114" s="39">
        <f t="shared" si="13"/>
        <v>41580</v>
      </c>
      <c r="H114" s="175">
        <f t="shared" si="14"/>
        <v>4.6536796536796633E-2</v>
      </c>
      <c r="I114" s="39"/>
      <c r="J114" s="39"/>
      <c r="K114" s="39">
        <f t="shared" si="15"/>
        <v>9263.5800000001</v>
      </c>
      <c r="L114" s="39">
        <v>14.15</v>
      </c>
    </row>
    <row r="115" spans="1:12" x14ac:dyDescent="0.25">
      <c r="A115">
        <v>0</v>
      </c>
      <c r="B115" s="147">
        <v>43285</v>
      </c>
      <c r="C115" s="10">
        <v>1500</v>
      </c>
      <c r="D115" s="39">
        <v>27.72</v>
      </c>
      <c r="E115" s="39">
        <v>28.7</v>
      </c>
      <c r="F115" s="39">
        <f t="shared" si="12"/>
        <v>1470.0000000000007</v>
      </c>
      <c r="G115" s="39">
        <f t="shared" si="13"/>
        <v>41580</v>
      </c>
      <c r="H115" s="175">
        <f t="shared" si="14"/>
        <v>3.5353535353535373E-2</v>
      </c>
      <c r="I115" s="39"/>
      <c r="J115" s="39"/>
      <c r="K115" s="39">
        <f t="shared" si="15"/>
        <v>8798.5800000000963</v>
      </c>
      <c r="L115" s="39">
        <v>13.88</v>
      </c>
    </row>
    <row r="116" spans="1:12" x14ac:dyDescent="0.25">
      <c r="A116">
        <v>0</v>
      </c>
      <c r="B116" s="147">
        <v>43288</v>
      </c>
      <c r="C116" s="10">
        <v>1500</v>
      </c>
      <c r="D116" s="39">
        <v>27.72</v>
      </c>
      <c r="E116" s="39">
        <v>29.1</v>
      </c>
      <c r="F116" s="39">
        <f t="shared" si="12"/>
        <v>2070.0000000000036</v>
      </c>
      <c r="G116" s="39">
        <f t="shared" si="13"/>
        <v>41580</v>
      </c>
      <c r="H116" s="175">
        <f t="shared" si="14"/>
        <v>4.9783549783549881E-2</v>
      </c>
      <c r="I116" s="39"/>
      <c r="J116" s="39"/>
      <c r="K116" s="39">
        <f t="shared" si="15"/>
        <v>9398.5800000001</v>
      </c>
      <c r="L116" s="39">
        <v>14.03</v>
      </c>
    </row>
    <row r="117" spans="1:12" x14ac:dyDescent="0.25">
      <c r="A117">
        <v>200</v>
      </c>
      <c r="B117" s="147">
        <v>43296</v>
      </c>
      <c r="C117" s="10">
        <v>1500</v>
      </c>
      <c r="D117" s="39">
        <v>27.72</v>
      </c>
      <c r="E117" s="39">
        <v>28.05</v>
      </c>
      <c r="F117" s="39">
        <f t="shared" si="12"/>
        <v>495.00000000000279</v>
      </c>
      <c r="G117" s="39">
        <f t="shared" si="13"/>
        <v>41580</v>
      </c>
      <c r="H117" s="175">
        <f t="shared" si="14"/>
        <v>1.1904761904761972E-2</v>
      </c>
      <c r="I117" s="39"/>
      <c r="J117" s="39"/>
      <c r="K117" s="39">
        <f t="shared" si="15"/>
        <v>7823.5800000000991</v>
      </c>
      <c r="L117" s="39">
        <v>13.52</v>
      </c>
    </row>
    <row r="118" spans="1:12" x14ac:dyDescent="0.25">
      <c r="A118">
        <v>1500</v>
      </c>
      <c r="B118" s="147">
        <v>43310</v>
      </c>
      <c r="C118" s="10">
        <v>1500</v>
      </c>
      <c r="D118" s="39">
        <v>27.72</v>
      </c>
      <c r="E118" s="39">
        <v>28.7</v>
      </c>
      <c r="F118" s="39">
        <f t="shared" ref="F118:F123" si="16">C118*(E118-D118)</f>
        <v>1470.0000000000007</v>
      </c>
      <c r="G118" s="39">
        <f t="shared" ref="G118:G123" si="17">D118*C118</f>
        <v>41580</v>
      </c>
      <c r="H118" s="175">
        <f t="shared" ref="H118:H123" si="18">(E118-D118)/D118</f>
        <v>3.5353535353535373E-2</v>
      </c>
      <c r="I118" s="39"/>
      <c r="J118" s="39"/>
      <c r="K118" s="39">
        <f t="shared" si="15"/>
        <v>8798.5800000000963</v>
      </c>
      <c r="L118" s="39">
        <v>13.83</v>
      </c>
    </row>
    <row r="119" spans="1:12" x14ac:dyDescent="0.25">
      <c r="A119">
        <v>1500</v>
      </c>
      <c r="B119" s="147">
        <v>43312</v>
      </c>
      <c r="C119" s="10">
        <v>1500</v>
      </c>
      <c r="D119" s="39">
        <v>27.72</v>
      </c>
      <c r="E119" s="39">
        <v>29</v>
      </c>
      <c r="F119" s="39">
        <f t="shared" si="16"/>
        <v>1920.0000000000018</v>
      </c>
      <c r="G119" s="39">
        <f t="shared" si="17"/>
        <v>41580</v>
      </c>
      <c r="H119" s="175">
        <f t="shared" si="18"/>
        <v>4.6176046176046218E-2</v>
      </c>
      <c r="I119" s="39"/>
      <c r="J119" s="39"/>
      <c r="K119" s="39">
        <f t="shared" si="15"/>
        <v>9248.5800000000982</v>
      </c>
      <c r="L119" s="39">
        <v>13.98</v>
      </c>
    </row>
    <row r="120" spans="1:12" x14ac:dyDescent="0.25">
      <c r="A120">
        <v>1500</v>
      </c>
      <c r="B120" s="147">
        <v>43316</v>
      </c>
      <c r="C120" s="10">
        <v>1500</v>
      </c>
      <c r="D120" s="39">
        <v>27.72</v>
      </c>
      <c r="E120" s="39">
        <v>29.93</v>
      </c>
      <c r="F120" s="39">
        <f t="shared" si="16"/>
        <v>3315.0000000000014</v>
      </c>
      <c r="G120" s="39">
        <f t="shared" si="17"/>
        <v>41580</v>
      </c>
      <c r="H120" s="175">
        <f t="shared" si="18"/>
        <v>7.9725829725829755E-2</v>
      </c>
      <c r="I120" s="39"/>
      <c r="J120" s="39"/>
      <c r="K120" s="39">
        <f t="shared" si="15"/>
        <v>10643.580000000098</v>
      </c>
      <c r="L120" s="39">
        <v>14.42</v>
      </c>
    </row>
    <row r="121" spans="1:12" x14ac:dyDescent="0.25">
      <c r="A121">
        <v>0</v>
      </c>
      <c r="B121" s="147">
        <v>43320</v>
      </c>
      <c r="C121" s="10">
        <v>0</v>
      </c>
      <c r="D121" s="39">
        <v>27.72</v>
      </c>
      <c r="E121" s="39">
        <v>30.61</v>
      </c>
      <c r="F121" s="39">
        <f t="shared" si="16"/>
        <v>0</v>
      </c>
      <c r="G121" s="39">
        <f t="shared" si="17"/>
        <v>0</v>
      </c>
      <c r="H121" s="175">
        <f t="shared" si="18"/>
        <v>0.10425685425685428</v>
      </c>
      <c r="I121" s="39"/>
      <c r="J121" s="39"/>
      <c r="K121" s="39">
        <v>5063</v>
      </c>
      <c r="L121" s="39">
        <v>14.75</v>
      </c>
    </row>
    <row r="122" spans="1:12" x14ac:dyDescent="0.25">
      <c r="A122">
        <v>0</v>
      </c>
      <c r="B122" s="147">
        <v>43321</v>
      </c>
      <c r="C122" s="181">
        <v>300</v>
      </c>
      <c r="D122" s="182">
        <v>16.07</v>
      </c>
      <c r="E122" s="39">
        <v>29.82</v>
      </c>
      <c r="F122" s="39">
        <f t="shared" si="16"/>
        <v>4125</v>
      </c>
      <c r="G122" s="39">
        <f t="shared" si="17"/>
        <v>4821</v>
      </c>
      <c r="H122" s="175">
        <f t="shared" si="18"/>
        <v>0.85563161169881763</v>
      </c>
      <c r="I122" s="39"/>
      <c r="J122" s="39"/>
      <c r="K122" s="39"/>
      <c r="L122" s="39">
        <v>14.37</v>
      </c>
    </row>
    <row r="123" spans="1:12" x14ac:dyDescent="0.25">
      <c r="A123">
        <v>0</v>
      </c>
      <c r="B123" s="147">
        <v>43328</v>
      </c>
      <c r="C123" s="10">
        <v>300</v>
      </c>
      <c r="D123" s="39">
        <v>16.07</v>
      </c>
      <c r="E123" s="39">
        <v>30.53</v>
      </c>
      <c r="F123" s="39">
        <f t="shared" si="16"/>
        <v>4338</v>
      </c>
      <c r="G123" s="39">
        <f t="shared" si="17"/>
        <v>4821</v>
      </c>
      <c r="H123" s="175">
        <f t="shared" si="18"/>
        <v>0.89981331673926579</v>
      </c>
      <c r="I123" s="39"/>
      <c r="J123" s="39"/>
      <c r="K123" s="39"/>
      <c r="L123" s="39"/>
    </row>
    <row r="124" spans="1:12" x14ac:dyDescent="0.25">
      <c r="A124">
        <v>0</v>
      </c>
      <c r="B124" s="147">
        <v>43329</v>
      </c>
      <c r="C124" s="10">
        <v>300</v>
      </c>
      <c r="D124" s="39">
        <v>16.07</v>
      </c>
      <c r="E124" s="39">
        <v>31.35</v>
      </c>
      <c r="F124" s="39">
        <f t="shared" ref="F124:F136" si="19">C124*(E124-D124)</f>
        <v>4584</v>
      </c>
      <c r="G124" s="39">
        <f t="shared" ref="G124:G136" si="20">D124*C124</f>
        <v>4821</v>
      </c>
      <c r="H124" s="175">
        <f t="shared" ref="H124:H136" si="21">(E124-D124)/D124</f>
        <v>0.95084007467330434</v>
      </c>
      <c r="I124" s="39"/>
      <c r="J124" s="39"/>
      <c r="K124" s="39"/>
      <c r="L124" s="39"/>
    </row>
    <row r="125" spans="1:12" x14ac:dyDescent="0.25">
      <c r="A125">
        <v>0</v>
      </c>
      <c r="B125" s="147">
        <v>43341</v>
      </c>
      <c r="C125" s="10">
        <v>300</v>
      </c>
      <c r="D125" s="39">
        <v>16.07</v>
      </c>
      <c r="E125" s="39">
        <v>30.68</v>
      </c>
      <c r="F125" s="39">
        <f t="shared" si="19"/>
        <v>4383</v>
      </c>
      <c r="G125" s="39">
        <f t="shared" si="20"/>
        <v>4821</v>
      </c>
      <c r="H125" s="175">
        <f t="shared" si="21"/>
        <v>0.90914747977597998</v>
      </c>
      <c r="I125" s="39"/>
      <c r="J125" s="39"/>
      <c r="K125" s="39"/>
      <c r="L125" s="39">
        <v>14.79</v>
      </c>
    </row>
    <row r="126" spans="1:12" x14ac:dyDescent="0.25">
      <c r="A126" s="1">
        <v>43353</v>
      </c>
      <c r="B126" s="147">
        <v>43343</v>
      </c>
      <c r="C126" s="10">
        <v>300</v>
      </c>
      <c r="D126" s="39">
        <v>16.07</v>
      </c>
      <c r="E126" s="39">
        <v>31.5</v>
      </c>
      <c r="F126" s="39">
        <f t="shared" si="19"/>
        <v>4629</v>
      </c>
      <c r="G126" s="39">
        <f t="shared" si="20"/>
        <v>4821</v>
      </c>
      <c r="H126" s="175">
        <f t="shared" si="21"/>
        <v>0.96017423771001864</v>
      </c>
      <c r="I126" s="39"/>
      <c r="J126" s="39"/>
      <c r="K126" s="760"/>
      <c r="L126" s="39">
        <v>15.18</v>
      </c>
    </row>
    <row r="127" spans="1:12" x14ac:dyDescent="0.25">
      <c r="A127" s="1">
        <v>43353</v>
      </c>
      <c r="B127" s="147">
        <v>43347</v>
      </c>
      <c r="C127" s="10">
        <v>300</v>
      </c>
      <c r="D127" s="39">
        <v>15.930999999999999</v>
      </c>
      <c r="E127" s="39">
        <v>31.9</v>
      </c>
      <c r="F127" s="39">
        <f t="shared" si="19"/>
        <v>4790.7</v>
      </c>
      <c r="G127" s="39">
        <f t="shared" si="20"/>
        <v>4779.3</v>
      </c>
      <c r="H127" s="175">
        <f t="shared" si="21"/>
        <v>1.0023852865482392</v>
      </c>
      <c r="I127" s="39"/>
      <c r="J127" s="39"/>
      <c r="K127" s="760"/>
      <c r="L127" s="39">
        <v>15.37</v>
      </c>
    </row>
    <row r="128" spans="1:12" x14ac:dyDescent="0.25">
      <c r="A128">
        <v>300</v>
      </c>
      <c r="B128" s="147">
        <v>43355</v>
      </c>
      <c r="C128" s="181">
        <v>300</v>
      </c>
      <c r="D128" s="182">
        <v>15.930999999999999</v>
      </c>
      <c r="E128" s="39">
        <v>31.73</v>
      </c>
      <c r="F128" s="39">
        <f t="shared" si="19"/>
        <v>4739.7000000000007</v>
      </c>
      <c r="G128" s="39">
        <f t="shared" si="20"/>
        <v>4779.3</v>
      </c>
      <c r="H128" s="175">
        <f t="shared" si="21"/>
        <v>0.99171426777980054</v>
      </c>
      <c r="I128" s="39"/>
      <c r="J128" s="39"/>
      <c r="K128" s="760"/>
      <c r="L128" s="39"/>
    </row>
    <row r="129" spans="1:12" x14ac:dyDescent="0.25">
      <c r="A129">
        <v>300</v>
      </c>
      <c r="B129" s="147">
        <v>43356</v>
      </c>
      <c r="C129" s="10">
        <v>500</v>
      </c>
      <c r="D129" s="39">
        <v>20.9587</v>
      </c>
      <c r="E129" s="39">
        <v>28.58</v>
      </c>
      <c r="F129" s="39">
        <f t="shared" si="19"/>
        <v>3810.6499999999992</v>
      </c>
      <c r="G129" s="39">
        <f t="shared" si="20"/>
        <v>10479.35</v>
      </c>
      <c r="H129" s="175">
        <f t="shared" si="21"/>
        <v>0.36363419486895648</v>
      </c>
      <c r="I129" s="39"/>
      <c r="J129" s="39"/>
      <c r="K129" s="39"/>
      <c r="L129" s="39">
        <v>13.77</v>
      </c>
    </row>
    <row r="130" spans="1:12" x14ac:dyDescent="0.25">
      <c r="A130">
        <v>300</v>
      </c>
      <c r="B130" s="147">
        <v>43357</v>
      </c>
      <c r="C130" s="7">
        <v>600</v>
      </c>
      <c r="D130" s="43">
        <v>22.106999999999999</v>
      </c>
      <c r="E130" s="39">
        <v>27.8</v>
      </c>
      <c r="F130" s="39">
        <f t="shared" si="19"/>
        <v>3415.8000000000006</v>
      </c>
      <c r="G130" s="39">
        <f t="shared" si="20"/>
        <v>13264.199999999999</v>
      </c>
      <c r="H130" s="175">
        <f t="shared" si="21"/>
        <v>0.25752024245714034</v>
      </c>
      <c r="I130" s="39"/>
      <c r="J130" s="39"/>
      <c r="K130" s="39"/>
      <c r="L130" s="39">
        <v>13.4</v>
      </c>
    </row>
    <row r="131" spans="1:12" x14ac:dyDescent="0.25">
      <c r="A131">
        <v>200</v>
      </c>
      <c r="B131" s="147">
        <v>43360</v>
      </c>
      <c r="C131" s="10">
        <v>500</v>
      </c>
      <c r="D131" s="39">
        <v>20.748999999999999</v>
      </c>
      <c r="E131" s="39">
        <v>28.84</v>
      </c>
      <c r="F131" s="39">
        <f t="shared" si="19"/>
        <v>4045.5000000000005</v>
      </c>
      <c r="G131" s="39">
        <f t="shared" si="20"/>
        <v>10374.5</v>
      </c>
      <c r="H131" s="175">
        <f t="shared" si="21"/>
        <v>0.38994650344594928</v>
      </c>
      <c r="I131" s="39"/>
      <c r="J131" s="39"/>
      <c r="K131" s="39"/>
      <c r="L131" s="39">
        <v>13.9</v>
      </c>
    </row>
    <row r="132" spans="1:12" x14ac:dyDescent="0.25">
      <c r="A132">
        <v>100</v>
      </c>
      <c r="B132" s="147">
        <v>43361</v>
      </c>
      <c r="C132" s="10">
        <v>400</v>
      </c>
      <c r="D132" s="39">
        <v>18.616</v>
      </c>
      <c r="E132" s="39">
        <v>29.29</v>
      </c>
      <c r="F132" s="39">
        <f t="shared" si="19"/>
        <v>4269.5999999999995</v>
      </c>
      <c r="G132" s="39">
        <f t="shared" si="20"/>
        <v>7446.4</v>
      </c>
      <c r="H132" s="175">
        <f t="shared" si="21"/>
        <v>0.57337773957885685</v>
      </c>
      <c r="I132" s="39"/>
      <c r="J132" s="39"/>
      <c r="K132" s="39"/>
      <c r="L132" s="39">
        <v>14.12</v>
      </c>
    </row>
    <row r="133" spans="1:12" x14ac:dyDescent="0.25">
      <c r="A133">
        <v>0</v>
      </c>
      <c r="B133" s="147">
        <v>43364</v>
      </c>
      <c r="C133" s="181">
        <v>300</v>
      </c>
      <c r="D133" s="182">
        <v>14.8482</v>
      </c>
      <c r="E133" s="39">
        <v>29.95</v>
      </c>
      <c r="F133" s="39">
        <f t="shared" si="19"/>
        <v>4530.54</v>
      </c>
      <c r="G133" s="39">
        <f t="shared" si="20"/>
        <v>4454.46</v>
      </c>
      <c r="H133" s="175">
        <f t="shared" si="21"/>
        <v>1.0170795113212374</v>
      </c>
      <c r="I133" s="39">
        <v>14</v>
      </c>
      <c r="J133" s="39"/>
      <c r="K133" s="39"/>
      <c r="L133" s="39">
        <v>14.43</v>
      </c>
    </row>
    <row r="134" spans="1:12" x14ac:dyDescent="0.25">
      <c r="A134">
        <v>0</v>
      </c>
      <c r="B134" s="147">
        <v>43377</v>
      </c>
      <c r="C134" s="10">
        <v>400</v>
      </c>
      <c r="D134" s="39">
        <v>18.356000000000002</v>
      </c>
      <c r="E134" s="39">
        <v>28.88</v>
      </c>
      <c r="F134" s="39">
        <f t="shared" si="19"/>
        <v>4209.5999999999985</v>
      </c>
      <c r="G134" s="39">
        <f t="shared" si="20"/>
        <v>7342.4000000000005</v>
      </c>
      <c r="H134" s="175">
        <f t="shared" si="21"/>
        <v>0.57332752233602069</v>
      </c>
      <c r="I134" s="39"/>
      <c r="J134" s="39"/>
      <c r="K134" s="39"/>
      <c r="L134" s="39">
        <v>13.92</v>
      </c>
    </row>
    <row r="135" spans="1:12" x14ac:dyDescent="0.25">
      <c r="A135">
        <v>0</v>
      </c>
      <c r="B135" s="147">
        <v>43382</v>
      </c>
      <c r="C135" s="10">
        <v>500</v>
      </c>
      <c r="D135" s="39">
        <v>20.228999999999999</v>
      </c>
      <c r="E135" s="39">
        <v>27.92</v>
      </c>
      <c r="F135" s="39">
        <f t="shared" si="19"/>
        <v>3845.5000000000014</v>
      </c>
      <c r="G135" s="39">
        <f t="shared" si="20"/>
        <v>10114.5</v>
      </c>
      <c r="H135" s="175">
        <f t="shared" si="21"/>
        <v>0.38019674724405572</v>
      </c>
      <c r="I135" s="39"/>
      <c r="J135" s="39"/>
      <c r="K135" s="39"/>
      <c r="L135" s="39">
        <v>13.46</v>
      </c>
    </row>
    <row r="136" spans="1:12" x14ac:dyDescent="0.25">
      <c r="A136">
        <v>0</v>
      </c>
      <c r="B136" s="147">
        <v>43384</v>
      </c>
      <c r="C136" s="7">
        <v>600</v>
      </c>
      <c r="D136" s="43">
        <v>21.315999999999999</v>
      </c>
      <c r="E136" s="39">
        <v>26.74</v>
      </c>
      <c r="F136" s="39">
        <f t="shared" si="19"/>
        <v>3254.3999999999996</v>
      </c>
      <c r="G136" s="39">
        <f t="shared" si="20"/>
        <v>12789.599999999999</v>
      </c>
      <c r="H136" s="175">
        <f t="shared" si="21"/>
        <v>0.25445674610621127</v>
      </c>
      <c r="I136" s="39"/>
      <c r="J136" s="39"/>
      <c r="K136" s="39"/>
      <c r="L136" s="39">
        <v>12.89</v>
      </c>
    </row>
    <row r="137" spans="1:12" x14ac:dyDescent="0.25">
      <c r="A137">
        <v>0</v>
      </c>
      <c r="B137" s="147">
        <v>43402</v>
      </c>
      <c r="C137" s="181">
        <v>300</v>
      </c>
      <c r="D137" s="182">
        <v>13.852</v>
      </c>
      <c r="E137" s="39">
        <v>28.23</v>
      </c>
      <c r="F137" s="39">
        <f>C137*(E137-D137)</f>
        <v>4313.3999999999996</v>
      </c>
      <c r="G137" s="39">
        <f t="shared" ref="G137:G142" si="22">D137*C137</f>
        <v>4155.6000000000004</v>
      </c>
      <c r="H137" s="175">
        <f t="shared" ref="H137:H142" si="23">(E137-D137)/D137</f>
        <v>1.0379728559052843</v>
      </c>
      <c r="I137" s="39"/>
      <c r="J137" s="39"/>
      <c r="K137" s="39"/>
      <c r="L137" s="39">
        <v>13.6</v>
      </c>
    </row>
    <row r="138" spans="1:12" x14ac:dyDescent="0.25">
      <c r="A138">
        <v>0</v>
      </c>
      <c r="B138" s="147">
        <v>43410</v>
      </c>
      <c r="C138" s="10">
        <v>200</v>
      </c>
      <c r="D138" s="39">
        <v>5.3531000000000004</v>
      </c>
      <c r="E138" s="39">
        <v>30.83</v>
      </c>
      <c r="F138" s="39">
        <f>C138*(E138-D138)</f>
        <v>5095.3799999999992</v>
      </c>
      <c r="G138" s="39">
        <f t="shared" si="22"/>
        <v>1070.6200000000001</v>
      </c>
      <c r="H138" s="175">
        <f t="shared" si="23"/>
        <v>4.7592796697240844</v>
      </c>
      <c r="I138" s="39"/>
      <c r="J138" s="39"/>
      <c r="K138" s="760"/>
      <c r="L138" s="39">
        <v>14.86</v>
      </c>
    </row>
    <row r="139" spans="1:12" x14ac:dyDescent="0.25">
      <c r="A139">
        <v>0</v>
      </c>
      <c r="B139" s="147">
        <v>43416</v>
      </c>
      <c r="C139" s="10">
        <v>0</v>
      </c>
      <c r="D139" s="39">
        <v>5.35</v>
      </c>
      <c r="E139" s="39">
        <v>31.37</v>
      </c>
      <c r="F139" s="39">
        <f>C139*(E139-D139)</f>
        <v>0</v>
      </c>
      <c r="G139" s="39">
        <f t="shared" si="22"/>
        <v>0</v>
      </c>
      <c r="H139" s="175">
        <f t="shared" si="23"/>
        <v>4.8635514018691595</v>
      </c>
      <c r="I139" s="39"/>
      <c r="J139" s="39"/>
      <c r="K139" s="760"/>
      <c r="L139" s="39">
        <v>15.12</v>
      </c>
    </row>
    <row r="140" spans="1:12" x14ac:dyDescent="0.25">
      <c r="A140">
        <v>0</v>
      </c>
      <c r="B140" s="147">
        <v>43641</v>
      </c>
      <c r="C140" s="181">
        <v>300</v>
      </c>
      <c r="D140" s="182">
        <v>21.82</v>
      </c>
      <c r="E140" s="39">
        <v>21.85</v>
      </c>
      <c r="F140" s="39">
        <f>C140*(E140-D140)</f>
        <v>9.0000000000003411</v>
      </c>
      <c r="G140" s="39">
        <f t="shared" si="22"/>
        <v>6546</v>
      </c>
      <c r="H140" s="175">
        <f t="shared" si="23"/>
        <v>1.3748854262145341E-3</v>
      </c>
      <c r="I140" s="39"/>
      <c r="J140" s="39"/>
      <c r="K140" s="760">
        <f t="shared" ref="K140:K142" si="24">F140+$Q$10</f>
        <v>7337.5800000000963</v>
      </c>
      <c r="L140" s="39">
        <v>10.53</v>
      </c>
    </row>
    <row r="141" spans="1:12" x14ac:dyDescent="0.25">
      <c r="B141" s="147">
        <v>43658</v>
      </c>
      <c r="C141" s="10">
        <v>150</v>
      </c>
      <c r="D141" s="39">
        <v>21.577000000000002</v>
      </c>
      <c r="E141" s="39">
        <v>21.89</v>
      </c>
      <c r="F141" s="39">
        <f>C141*(E141-D141)</f>
        <v>46.949999999999825</v>
      </c>
      <c r="G141" s="39">
        <f t="shared" si="22"/>
        <v>3236.55</v>
      </c>
      <c r="H141" s="175">
        <f t="shared" si="23"/>
        <v>1.4506187143717793E-2</v>
      </c>
      <c r="I141" s="39"/>
      <c r="J141" s="39"/>
      <c r="K141" s="760">
        <f t="shared" si="24"/>
        <v>7375.5300000000962</v>
      </c>
      <c r="L141" s="39">
        <v>11.53</v>
      </c>
    </row>
    <row r="142" spans="1:12" x14ac:dyDescent="0.25">
      <c r="A142">
        <v>0</v>
      </c>
      <c r="B142" s="147">
        <v>43684</v>
      </c>
      <c r="C142" s="10">
        <v>0</v>
      </c>
      <c r="D142" s="39">
        <v>21.58</v>
      </c>
      <c r="E142" s="39">
        <v>23.9</v>
      </c>
      <c r="F142" s="39">
        <v>255.31</v>
      </c>
      <c r="G142" s="39">
        <f t="shared" si="22"/>
        <v>0</v>
      </c>
      <c r="H142" s="175">
        <f t="shared" si="23"/>
        <v>0.10750695088044487</v>
      </c>
      <c r="I142" s="39"/>
      <c r="J142" s="39"/>
      <c r="K142" s="760">
        <f t="shared" si="24"/>
        <v>7583.8900000000967</v>
      </c>
      <c r="L142" s="39"/>
    </row>
    <row r="143" spans="1:12" x14ac:dyDescent="0.25">
      <c r="B143" s="147"/>
      <c r="C143" s="10"/>
      <c r="D143" s="39"/>
      <c r="E143" s="39"/>
      <c r="F143" s="39"/>
      <c r="G143" s="39"/>
      <c r="H143" s="175"/>
      <c r="I143" s="39"/>
      <c r="J143" s="39"/>
      <c r="K143" s="39"/>
      <c r="L143" s="39"/>
    </row>
    <row r="144" spans="1:12" x14ac:dyDescent="0.25">
      <c r="B144" s="147"/>
      <c r="C144" s="10"/>
      <c r="D144" s="39"/>
      <c r="E144" s="39"/>
      <c r="F144" s="39"/>
      <c r="G144" s="39"/>
      <c r="H144" s="175"/>
      <c r="I144" s="39"/>
      <c r="J144" s="39"/>
      <c r="K144" s="39"/>
      <c r="L144" s="39"/>
    </row>
    <row r="145" spans="2:12" x14ac:dyDescent="0.25">
      <c r="B145" s="147"/>
      <c r="C145" s="10"/>
      <c r="D145" s="39"/>
      <c r="E145" s="39"/>
      <c r="F145" s="39"/>
      <c r="G145" s="39"/>
      <c r="H145" s="175"/>
      <c r="I145" s="39"/>
      <c r="J145" s="39"/>
      <c r="K145" s="39"/>
      <c r="L145" s="39"/>
    </row>
    <row r="147" spans="2:12" x14ac:dyDescent="0.25">
      <c r="B147" s="290">
        <v>42484</v>
      </c>
      <c r="C147" s="291">
        <v>100</v>
      </c>
      <c r="D147" s="292">
        <v>35.917999999999999</v>
      </c>
      <c r="E147" s="292">
        <v>35.58</v>
      </c>
      <c r="F147" s="292">
        <f t="shared" ref="F147:F160" si="25">C147*(E147-D147)</f>
        <v>-33.800000000000097</v>
      </c>
      <c r="G147" s="292">
        <f t="shared" ref="G147:G160" si="26">D147*C147</f>
        <v>3591.7999999999997</v>
      </c>
      <c r="H147" s="293">
        <f t="shared" ref="H147:H160" si="27">(E147-D147)/D147</f>
        <v>-9.410323514672336E-3</v>
      </c>
      <c r="I147" s="292"/>
    </row>
    <row r="148" spans="2:12" x14ac:dyDescent="0.25">
      <c r="B148" s="290">
        <v>42485</v>
      </c>
      <c r="C148" s="291">
        <v>100</v>
      </c>
      <c r="D148" s="292">
        <v>35.917999999999999</v>
      </c>
      <c r="E148" s="292">
        <v>36.770000000000003</v>
      </c>
      <c r="F148" s="292">
        <f t="shared" si="25"/>
        <v>85.200000000000387</v>
      </c>
      <c r="G148" s="292">
        <f t="shared" si="26"/>
        <v>3591.7999999999997</v>
      </c>
      <c r="H148" s="293">
        <f t="shared" si="27"/>
        <v>2.3720697143493622E-2</v>
      </c>
      <c r="I148" s="292"/>
    </row>
    <row r="149" spans="2:12" x14ac:dyDescent="0.25">
      <c r="B149" s="290">
        <v>42498</v>
      </c>
      <c r="C149" s="291">
        <v>100</v>
      </c>
      <c r="D149" s="292">
        <v>35.917999999999999</v>
      </c>
      <c r="E149" s="292">
        <v>34.549999999999997</v>
      </c>
      <c r="F149" s="292">
        <f t="shared" si="25"/>
        <v>-136.80000000000021</v>
      </c>
      <c r="G149" s="292">
        <f t="shared" si="26"/>
        <v>3591.7999999999997</v>
      </c>
      <c r="H149" s="293">
        <f t="shared" si="27"/>
        <v>-3.8086753159975562E-2</v>
      </c>
      <c r="I149" s="292"/>
    </row>
    <row r="150" spans="2:12" x14ac:dyDescent="0.25">
      <c r="B150" s="290">
        <v>42508</v>
      </c>
      <c r="C150" s="291">
        <v>140</v>
      </c>
      <c r="D150" s="292">
        <v>35.423999999999999</v>
      </c>
      <c r="E150" s="292">
        <v>34.369999999999997</v>
      </c>
      <c r="F150" s="292">
        <f t="shared" si="25"/>
        <v>-147.56000000000029</v>
      </c>
      <c r="G150" s="292">
        <f t="shared" si="26"/>
        <v>4959.3599999999997</v>
      </c>
      <c r="H150" s="293">
        <f t="shared" si="27"/>
        <v>-2.9753839205058776E-2</v>
      </c>
      <c r="I150" s="292"/>
    </row>
    <row r="151" spans="2:12" x14ac:dyDescent="0.25">
      <c r="B151" s="290">
        <v>42509</v>
      </c>
      <c r="C151" s="291">
        <v>240</v>
      </c>
      <c r="D151" s="292">
        <v>35.034999999999997</v>
      </c>
      <c r="E151" s="292">
        <v>34.83</v>
      </c>
      <c r="F151" s="292">
        <f t="shared" si="25"/>
        <v>-49.199999999999591</v>
      </c>
      <c r="G151" s="292">
        <f t="shared" si="26"/>
        <v>8408.4</v>
      </c>
      <c r="H151" s="293">
        <f t="shared" si="27"/>
        <v>-5.8512915655772315E-3</v>
      </c>
      <c r="I151" s="292"/>
    </row>
    <row r="152" spans="2:12" x14ac:dyDescent="0.25">
      <c r="B152" s="290">
        <v>42514</v>
      </c>
      <c r="C152" s="291">
        <v>200</v>
      </c>
      <c r="D152" s="292">
        <v>34.972000000000001</v>
      </c>
      <c r="E152" s="292">
        <v>35.520000000000003</v>
      </c>
      <c r="F152" s="292">
        <f t="shared" si="25"/>
        <v>109.60000000000036</v>
      </c>
      <c r="G152" s="292">
        <f t="shared" si="26"/>
        <v>6994.4000000000005</v>
      </c>
      <c r="H152" s="293">
        <f t="shared" si="27"/>
        <v>1.5669678600022927E-2</v>
      </c>
      <c r="I152" s="292"/>
    </row>
    <row r="153" spans="2:12" x14ac:dyDescent="0.25">
      <c r="B153" s="290">
        <v>42515</v>
      </c>
      <c r="C153" s="291">
        <v>200</v>
      </c>
      <c r="D153" s="292">
        <v>34.972000000000001</v>
      </c>
      <c r="E153" s="292">
        <v>34.94</v>
      </c>
      <c r="F153" s="292">
        <f t="shared" si="25"/>
        <v>-6.4000000000007162</v>
      </c>
      <c r="G153" s="292">
        <f t="shared" si="26"/>
        <v>6994.4000000000005</v>
      </c>
      <c r="H153" s="293">
        <f t="shared" si="27"/>
        <v>-9.150177284685914E-4</v>
      </c>
      <c r="I153" s="292"/>
    </row>
    <row r="154" spans="2:12" x14ac:dyDescent="0.25">
      <c r="B154" s="290">
        <v>42521</v>
      </c>
      <c r="C154" s="291">
        <v>160</v>
      </c>
      <c r="D154" s="292">
        <v>34.718000000000004</v>
      </c>
      <c r="E154" s="292">
        <v>35.76</v>
      </c>
      <c r="F154" s="292">
        <f t="shared" si="25"/>
        <v>166.71999999999912</v>
      </c>
      <c r="G154" s="292">
        <f t="shared" si="26"/>
        <v>5554.880000000001</v>
      </c>
      <c r="H154" s="293">
        <f t="shared" si="27"/>
        <v>3.0013249611152554E-2</v>
      </c>
      <c r="I154" s="292"/>
    </row>
    <row r="155" spans="2:12" x14ac:dyDescent="0.25">
      <c r="B155" s="290">
        <v>42527</v>
      </c>
      <c r="C155" s="291">
        <v>160</v>
      </c>
      <c r="D155" s="292">
        <v>34.652000000000001</v>
      </c>
      <c r="E155" s="292">
        <v>36.020000000000003</v>
      </c>
      <c r="F155" s="292">
        <f t="shared" si="25"/>
        <v>218.88000000000034</v>
      </c>
      <c r="G155" s="292">
        <f t="shared" si="26"/>
        <v>5544.32</v>
      </c>
      <c r="H155" s="293">
        <f t="shared" si="27"/>
        <v>3.9478240794182211E-2</v>
      </c>
      <c r="I155" s="292"/>
    </row>
    <row r="156" spans="2:12" x14ac:dyDescent="0.25">
      <c r="B156" s="290">
        <v>42498</v>
      </c>
      <c r="C156" s="291">
        <v>160</v>
      </c>
      <c r="D156" s="292">
        <v>34.652000000000001</v>
      </c>
      <c r="E156" s="292">
        <v>36.520000000000003</v>
      </c>
      <c r="F156" s="292">
        <f t="shared" si="25"/>
        <v>298.88000000000034</v>
      </c>
      <c r="G156" s="292">
        <f t="shared" si="26"/>
        <v>5544.32</v>
      </c>
      <c r="H156" s="293">
        <f t="shared" si="27"/>
        <v>5.3907422371003176E-2</v>
      </c>
      <c r="I156" s="292"/>
    </row>
    <row r="157" spans="2:12" x14ac:dyDescent="0.25">
      <c r="B157" s="290">
        <v>42531</v>
      </c>
      <c r="C157" s="291">
        <v>60</v>
      </c>
      <c r="D157" s="292">
        <v>30.757000000000001</v>
      </c>
      <c r="E157" s="292">
        <v>36.81</v>
      </c>
      <c r="F157" s="292">
        <f t="shared" si="25"/>
        <v>363.18000000000006</v>
      </c>
      <c r="G157" s="292">
        <f t="shared" si="26"/>
        <v>1845.42</v>
      </c>
      <c r="H157" s="293">
        <f t="shared" si="27"/>
        <v>0.1968007282894951</v>
      </c>
      <c r="I157" s="292"/>
    </row>
    <row r="158" spans="2:12" x14ac:dyDescent="0.25">
      <c r="B158" s="290">
        <v>42536</v>
      </c>
      <c r="C158" s="291">
        <v>160</v>
      </c>
      <c r="D158" s="292">
        <v>33.652999999999999</v>
      </c>
      <c r="E158" s="292">
        <v>35.71</v>
      </c>
      <c r="F158" s="292">
        <f t="shared" si="25"/>
        <v>329.12000000000035</v>
      </c>
      <c r="G158" s="292">
        <f t="shared" si="26"/>
        <v>5384.48</v>
      </c>
      <c r="H158" s="293">
        <f t="shared" si="27"/>
        <v>6.1123822541823976E-2</v>
      </c>
      <c r="I158" s="292"/>
    </row>
    <row r="159" spans="2:12" x14ac:dyDescent="0.25">
      <c r="B159" s="290">
        <v>42542</v>
      </c>
      <c r="C159" s="291">
        <v>160</v>
      </c>
      <c r="D159" s="292">
        <v>33.65</v>
      </c>
      <c r="E159" s="292">
        <v>34.71</v>
      </c>
      <c r="F159" s="292">
        <f t="shared" si="25"/>
        <v>169.60000000000036</v>
      </c>
      <c r="G159" s="292">
        <f t="shared" si="26"/>
        <v>5384</v>
      </c>
      <c r="H159" s="293">
        <f t="shared" si="27"/>
        <v>3.1500742942050589E-2</v>
      </c>
      <c r="I159" s="292"/>
    </row>
    <row r="160" spans="2:12" x14ac:dyDescent="0.25">
      <c r="B160" s="290">
        <v>42548</v>
      </c>
      <c r="C160" s="291">
        <v>160</v>
      </c>
      <c r="D160" s="292">
        <v>33.652999999999999</v>
      </c>
      <c r="E160" s="292">
        <v>36.619999999999997</v>
      </c>
      <c r="F160" s="292">
        <f t="shared" si="25"/>
        <v>474.7199999999998</v>
      </c>
      <c r="G160" s="292">
        <f t="shared" si="26"/>
        <v>5384.48</v>
      </c>
      <c r="H160" s="293">
        <f t="shared" si="27"/>
        <v>8.8164502421775148E-2</v>
      </c>
      <c r="I160" s="292"/>
    </row>
    <row r="161" spans="2:9" x14ac:dyDescent="0.25">
      <c r="B161" s="290">
        <v>42556</v>
      </c>
      <c r="C161" s="291">
        <v>160</v>
      </c>
      <c r="D161" s="292">
        <v>33.652999999999999</v>
      </c>
      <c r="E161" s="292">
        <v>37.33</v>
      </c>
      <c r="F161" s="292">
        <f t="shared" ref="F161:F203" si="28">C161*(E161-D161)</f>
        <v>588.31999999999994</v>
      </c>
      <c r="G161" s="292">
        <f t="shared" ref="G161:G174" si="29">D161*C161</f>
        <v>5384.48</v>
      </c>
      <c r="H161" s="293">
        <f t="shared" ref="H161:H203" si="30">(E161-D161)/D161</f>
        <v>0.10926217573470418</v>
      </c>
      <c r="I161" s="292"/>
    </row>
    <row r="162" spans="2:9" x14ac:dyDescent="0.25">
      <c r="B162" s="290">
        <v>42559</v>
      </c>
      <c r="C162" s="291">
        <v>160</v>
      </c>
      <c r="D162" s="292">
        <v>33.652999999999999</v>
      </c>
      <c r="E162" s="292">
        <v>37.86</v>
      </c>
      <c r="F162" s="292">
        <f t="shared" si="28"/>
        <v>673.12000000000012</v>
      </c>
      <c r="G162" s="292">
        <f t="shared" si="29"/>
        <v>5384.48</v>
      </c>
      <c r="H162" s="293">
        <f t="shared" si="30"/>
        <v>0.12501114313731318</v>
      </c>
      <c r="I162" s="292"/>
    </row>
    <row r="163" spans="2:9" x14ac:dyDescent="0.25">
      <c r="B163" s="290">
        <v>42563</v>
      </c>
      <c r="C163" s="291">
        <v>160</v>
      </c>
      <c r="D163" s="292">
        <v>33.652999999999999</v>
      </c>
      <c r="E163" s="292">
        <v>37.39</v>
      </c>
      <c r="F163" s="292">
        <f t="shared" si="28"/>
        <v>597.9200000000003</v>
      </c>
      <c r="G163" s="292">
        <f t="shared" si="29"/>
        <v>5384.48</v>
      </c>
      <c r="H163" s="293">
        <f t="shared" si="30"/>
        <v>0.11104507770481092</v>
      </c>
      <c r="I163" s="292"/>
    </row>
    <row r="164" spans="2:9" x14ac:dyDescent="0.25">
      <c r="B164" s="290">
        <v>42566</v>
      </c>
      <c r="C164" s="291">
        <v>160</v>
      </c>
      <c r="D164" s="292">
        <v>33.652999999999999</v>
      </c>
      <c r="E164" s="292">
        <v>36.71</v>
      </c>
      <c r="F164" s="292">
        <f t="shared" si="28"/>
        <v>489.12000000000035</v>
      </c>
      <c r="G164" s="292">
        <f t="shared" si="29"/>
        <v>5384.48</v>
      </c>
      <c r="H164" s="293">
        <f t="shared" si="30"/>
        <v>9.0838855376935257E-2</v>
      </c>
      <c r="I164" s="292"/>
    </row>
    <row r="165" spans="2:9" x14ac:dyDescent="0.25">
      <c r="B165" s="290">
        <v>42570</v>
      </c>
      <c r="C165" s="291">
        <v>160</v>
      </c>
      <c r="D165" s="292">
        <v>33.652999999999999</v>
      </c>
      <c r="E165" s="292">
        <v>36.21</v>
      </c>
      <c r="F165" s="292">
        <f t="shared" si="28"/>
        <v>409.12000000000035</v>
      </c>
      <c r="G165" s="292">
        <f t="shared" si="29"/>
        <v>5384.48</v>
      </c>
      <c r="H165" s="293">
        <f t="shared" si="30"/>
        <v>7.5981338959379613E-2</v>
      </c>
      <c r="I165" s="292"/>
    </row>
    <row r="166" spans="2:9" x14ac:dyDescent="0.25">
      <c r="B166" s="290">
        <v>42571</v>
      </c>
      <c r="C166" s="291">
        <v>160</v>
      </c>
      <c r="D166" s="292">
        <v>33.652999999999999</v>
      </c>
      <c r="E166" s="292">
        <v>36.4</v>
      </c>
      <c r="F166" s="292">
        <f t="shared" si="28"/>
        <v>439.52</v>
      </c>
      <c r="G166" s="292">
        <f t="shared" si="29"/>
        <v>5384.48</v>
      </c>
      <c r="H166" s="293">
        <f t="shared" si="30"/>
        <v>8.16271951980507E-2</v>
      </c>
      <c r="I166" s="292"/>
    </row>
    <row r="167" spans="2:9" x14ac:dyDescent="0.25">
      <c r="B167" s="290">
        <v>42572</v>
      </c>
      <c r="C167" s="291">
        <v>160</v>
      </c>
      <c r="D167" s="292">
        <v>33.652999999999999</v>
      </c>
      <c r="E167" s="292">
        <v>35.96</v>
      </c>
      <c r="F167" s="292">
        <f t="shared" si="28"/>
        <v>369.12000000000035</v>
      </c>
      <c r="G167" s="292">
        <f t="shared" si="29"/>
        <v>5384.48</v>
      </c>
      <c r="H167" s="293">
        <f t="shared" si="30"/>
        <v>6.8552580750601791E-2</v>
      </c>
      <c r="I167" s="292"/>
    </row>
    <row r="168" spans="2:9" x14ac:dyDescent="0.25">
      <c r="B168" s="290">
        <v>42576</v>
      </c>
      <c r="C168" s="291">
        <v>160</v>
      </c>
      <c r="D168" s="292">
        <v>33.652999999999999</v>
      </c>
      <c r="E168" s="292">
        <v>35.79</v>
      </c>
      <c r="F168" s="292">
        <f t="shared" si="28"/>
        <v>341.92000000000007</v>
      </c>
      <c r="G168" s="292">
        <f t="shared" si="29"/>
        <v>5384.48</v>
      </c>
      <c r="H168" s="293">
        <f t="shared" si="30"/>
        <v>6.3501025168632833E-2</v>
      </c>
      <c r="I168" s="292"/>
    </row>
    <row r="169" spans="2:9" x14ac:dyDescent="0.25">
      <c r="B169" s="290">
        <v>42577</v>
      </c>
      <c r="C169" s="291">
        <v>160</v>
      </c>
      <c r="D169" s="292">
        <v>33.652999999999999</v>
      </c>
      <c r="E169" s="292">
        <v>36.42</v>
      </c>
      <c r="F169" s="292">
        <f t="shared" si="28"/>
        <v>442.72000000000048</v>
      </c>
      <c r="G169" s="292">
        <f t="shared" si="29"/>
        <v>5384.48</v>
      </c>
      <c r="H169" s="293">
        <f t="shared" si="30"/>
        <v>8.222149585475301E-2</v>
      </c>
      <c r="I169" s="292"/>
    </row>
    <row r="170" spans="2:9" x14ac:dyDescent="0.25">
      <c r="B170" s="290">
        <v>42579</v>
      </c>
      <c r="C170" s="291">
        <v>230</v>
      </c>
      <c r="D170" s="292">
        <v>34.006</v>
      </c>
      <c r="E170" s="292">
        <v>34.4</v>
      </c>
      <c r="F170" s="292">
        <f t="shared" si="28"/>
        <v>90.619999999999621</v>
      </c>
      <c r="G170" s="292">
        <f t="shared" si="29"/>
        <v>7821.38</v>
      </c>
      <c r="H170" s="293">
        <f t="shared" si="30"/>
        <v>1.1586190672234263E-2</v>
      </c>
      <c r="I170" s="292"/>
    </row>
    <row r="171" spans="2:9" x14ac:dyDescent="0.25">
      <c r="B171" s="290">
        <v>42580</v>
      </c>
      <c r="C171" s="291">
        <v>260</v>
      </c>
      <c r="D171" s="292">
        <v>33.991999999999997</v>
      </c>
      <c r="E171" s="292">
        <v>34.19</v>
      </c>
      <c r="F171" s="292">
        <f t="shared" si="28"/>
        <v>51.480000000000103</v>
      </c>
      <c r="G171" s="292">
        <f t="shared" si="29"/>
        <v>8837.92</v>
      </c>
      <c r="H171" s="293">
        <f t="shared" si="30"/>
        <v>5.824899976465063E-3</v>
      </c>
      <c r="I171" s="292"/>
    </row>
    <row r="172" spans="2:9" x14ac:dyDescent="0.25">
      <c r="B172" s="290">
        <v>42584</v>
      </c>
      <c r="C172" s="291">
        <v>300</v>
      </c>
      <c r="D172" s="292">
        <v>33.866</v>
      </c>
      <c r="E172" s="292">
        <v>32.61</v>
      </c>
      <c r="F172" s="292">
        <f t="shared" si="28"/>
        <v>-376.80000000000007</v>
      </c>
      <c r="G172" s="292">
        <f t="shared" si="29"/>
        <v>10159.799999999999</v>
      </c>
      <c r="H172" s="293">
        <f t="shared" si="30"/>
        <v>-3.7087344239059829E-2</v>
      </c>
      <c r="I172" s="292"/>
    </row>
    <row r="173" spans="2:9" x14ac:dyDescent="0.25">
      <c r="B173" s="290">
        <v>42586</v>
      </c>
      <c r="C173" s="291">
        <v>400</v>
      </c>
      <c r="D173" s="292">
        <v>33.520000000000003</v>
      </c>
      <c r="E173" s="292">
        <v>32.549999999999997</v>
      </c>
      <c r="F173" s="292">
        <f t="shared" si="28"/>
        <v>-388.00000000000239</v>
      </c>
      <c r="G173" s="292">
        <f t="shared" si="29"/>
        <v>13408.000000000002</v>
      </c>
      <c r="H173" s="293">
        <f t="shared" si="30"/>
        <v>-2.8937947494033587E-2</v>
      </c>
      <c r="I173" s="292"/>
    </row>
    <row r="174" spans="2:9" x14ac:dyDescent="0.25">
      <c r="B174" s="290">
        <v>42587</v>
      </c>
      <c r="C174" s="291">
        <v>400</v>
      </c>
      <c r="D174" s="292">
        <v>33.387349999999998</v>
      </c>
      <c r="E174" s="292">
        <v>32.729999999999997</v>
      </c>
      <c r="F174" s="292">
        <f t="shared" si="28"/>
        <v>-262.9400000000004</v>
      </c>
      <c r="G174" s="292">
        <f t="shared" si="29"/>
        <v>13354.939999999999</v>
      </c>
      <c r="H174" s="293">
        <f t="shared" si="30"/>
        <v>-1.9688594632398231E-2</v>
      </c>
      <c r="I174" s="292"/>
    </row>
    <row r="175" spans="2:9" x14ac:dyDescent="0.25">
      <c r="B175" s="290">
        <v>42598</v>
      </c>
      <c r="C175" s="291">
        <v>400</v>
      </c>
      <c r="D175" s="292">
        <v>33.387349999999998</v>
      </c>
      <c r="E175" s="292">
        <v>32.1</v>
      </c>
      <c r="F175" s="292">
        <f t="shared" si="28"/>
        <v>-514.93999999999858</v>
      </c>
      <c r="G175" s="292">
        <f t="shared" ref="G175:G180" si="31">D175*C175</f>
        <v>13354.939999999999</v>
      </c>
      <c r="H175" s="293">
        <f t="shared" si="30"/>
        <v>-3.8558016733882636E-2</v>
      </c>
      <c r="I175" s="292"/>
    </row>
    <row r="176" spans="2:9" x14ac:dyDescent="0.25">
      <c r="B176" s="290">
        <v>42599</v>
      </c>
      <c r="C176" s="291">
        <v>500</v>
      </c>
      <c r="D176" s="292">
        <v>33.045879999999997</v>
      </c>
      <c r="E176" s="292">
        <v>31.88</v>
      </c>
      <c r="F176" s="292">
        <f t="shared" si="28"/>
        <v>-582.93999999999892</v>
      </c>
      <c r="G176" s="292">
        <f t="shared" si="31"/>
        <v>16522.939999999999</v>
      </c>
      <c r="H176" s="293">
        <f t="shared" si="30"/>
        <v>-3.5280646180401248E-2</v>
      </c>
      <c r="I176" s="292"/>
    </row>
    <row r="177" spans="2:9" x14ac:dyDescent="0.25">
      <c r="B177" s="290">
        <v>42600</v>
      </c>
      <c r="C177" s="291">
        <v>500</v>
      </c>
      <c r="D177" s="292">
        <v>33.045879999999997</v>
      </c>
      <c r="E177" s="292">
        <v>32.46</v>
      </c>
      <c r="F177" s="292">
        <f t="shared" si="28"/>
        <v>-292.93999999999801</v>
      </c>
      <c r="G177" s="292">
        <f t="shared" si="31"/>
        <v>16522.939999999999</v>
      </c>
      <c r="H177" s="293">
        <f t="shared" si="30"/>
        <v>-1.7729290307899079E-2</v>
      </c>
      <c r="I177" s="292"/>
    </row>
    <row r="178" spans="2:9" x14ac:dyDescent="0.25">
      <c r="B178" s="290">
        <v>42601</v>
      </c>
      <c r="C178" s="291">
        <v>500</v>
      </c>
      <c r="D178" s="292">
        <v>33.045879999999997</v>
      </c>
      <c r="E178" s="292">
        <v>32.61</v>
      </c>
      <c r="F178" s="292">
        <f t="shared" si="28"/>
        <v>-217.93999999999869</v>
      </c>
      <c r="G178" s="292">
        <f t="shared" si="31"/>
        <v>16522.939999999999</v>
      </c>
      <c r="H178" s="293">
        <f t="shared" si="30"/>
        <v>-1.3190146547769266E-2</v>
      </c>
      <c r="I178" s="292"/>
    </row>
    <row r="179" spans="2:9" x14ac:dyDescent="0.25">
      <c r="B179" s="290">
        <v>42604</v>
      </c>
      <c r="C179" s="291">
        <v>500</v>
      </c>
      <c r="D179" s="292">
        <v>33.045879999999997</v>
      </c>
      <c r="E179" s="292">
        <v>32.86</v>
      </c>
      <c r="F179" s="292">
        <f t="shared" si="28"/>
        <v>-92.93999999999869</v>
      </c>
      <c r="G179" s="292">
        <f t="shared" si="31"/>
        <v>16522.939999999999</v>
      </c>
      <c r="H179" s="293">
        <f t="shared" si="30"/>
        <v>-5.624906947552839E-3</v>
      </c>
      <c r="I179" s="292"/>
    </row>
    <row r="180" spans="2:9" x14ac:dyDescent="0.25">
      <c r="B180" s="290">
        <v>42605</v>
      </c>
      <c r="C180" s="291">
        <v>500</v>
      </c>
      <c r="D180" s="292">
        <v>33.045879999999997</v>
      </c>
      <c r="E180" s="292">
        <v>32.25</v>
      </c>
      <c r="F180" s="292">
        <f t="shared" si="28"/>
        <v>-397.93999999999841</v>
      </c>
      <c r="G180" s="292">
        <f t="shared" si="31"/>
        <v>16522.939999999999</v>
      </c>
      <c r="H180" s="293">
        <f t="shared" si="30"/>
        <v>-2.4084091572080902E-2</v>
      </c>
      <c r="I180" s="292"/>
    </row>
    <row r="181" spans="2:9" x14ac:dyDescent="0.25">
      <c r="B181" s="290">
        <v>42606</v>
      </c>
      <c r="C181" s="291">
        <v>500</v>
      </c>
      <c r="D181" s="292">
        <v>33.045879999999997</v>
      </c>
      <c r="E181" s="292">
        <v>32.99</v>
      </c>
      <c r="F181" s="292">
        <f t="shared" si="28"/>
        <v>-27.939999999997411</v>
      </c>
      <c r="G181" s="292">
        <f t="shared" ref="G181:G203" si="32">D181*C181</f>
        <v>16522.939999999999</v>
      </c>
      <c r="H181" s="293">
        <f t="shared" si="30"/>
        <v>-1.6909823554402191E-3</v>
      </c>
      <c r="I181" s="292"/>
    </row>
    <row r="182" spans="2:9" x14ac:dyDescent="0.25">
      <c r="B182" s="290">
        <v>42607</v>
      </c>
      <c r="C182" s="291">
        <v>500</v>
      </c>
      <c r="D182" s="292">
        <v>33.045879999999997</v>
      </c>
      <c r="E182" s="292">
        <v>32.76</v>
      </c>
      <c r="F182" s="292">
        <f t="shared" si="28"/>
        <v>-142.9399999999994</v>
      </c>
      <c r="G182" s="292">
        <f t="shared" si="32"/>
        <v>16522.939999999999</v>
      </c>
      <c r="H182" s="293">
        <f t="shared" si="30"/>
        <v>-8.6510027876394533E-3</v>
      </c>
      <c r="I182" s="292"/>
    </row>
    <row r="183" spans="2:9" x14ac:dyDescent="0.25">
      <c r="B183" s="290">
        <v>42611</v>
      </c>
      <c r="C183" s="291">
        <v>500</v>
      </c>
      <c r="D183" s="292">
        <v>33.045879999999997</v>
      </c>
      <c r="E183" s="292">
        <v>32.33</v>
      </c>
      <c r="F183" s="292">
        <f t="shared" si="28"/>
        <v>-357.93999999999926</v>
      </c>
      <c r="G183" s="292">
        <f t="shared" si="32"/>
        <v>16522.939999999999</v>
      </c>
      <c r="H183" s="293">
        <f t="shared" si="30"/>
        <v>-2.1663214900011697E-2</v>
      </c>
      <c r="I183" s="292"/>
    </row>
    <row r="184" spans="2:9" x14ac:dyDescent="0.25">
      <c r="B184" s="290">
        <v>42612</v>
      </c>
      <c r="C184" s="291">
        <v>500</v>
      </c>
      <c r="D184" s="292">
        <v>33.045879999999997</v>
      </c>
      <c r="E184" s="292">
        <v>32.159999999999997</v>
      </c>
      <c r="F184" s="292">
        <f t="shared" si="28"/>
        <v>-442.94000000000011</v>
      </c>
      <c r="G184" s="292">
        <f t="shared" si="32"/>
        <v>16522.939999999999</v>
      </c>
      <c r="H184" s="293">
        <f t="shared" si="30"/>
        <v>-2.6807577828158919E-2</v>
      </c>
      <c r="I184" s="292"/>
    </row>
    <row r="185" spans="2:9" x14ac:dyDescent="0.25">
      <c r="B185" s="290">
        <v>42614</v>
      </c>
      <c r="C185" s="291">
        <v>500</v>
      </c>
      <c r="D185" s="292">
        <v>33.045879999999997</v>
      </c>
      <c r="E185" s="292">
        <v>31.96</v>
      </c>
      <c r="F185" s="292">
        <f t="shared" si="28"/>
        <v>-542.93999999999801</v>
      </c>
      <c r="G185" s="292">
        <f t="shared" si="32"/>
        <v>16522.939999999999</v>
      </c>
      <c r="H185" s="293">
        <f t="shared" si="30"/>
        <v>-3.2859769508331936E-2</v>
      </c>
      <c r="I185" s="292"/>
    </row>
    <row r="186" spans="2:9" x14ac:dyDescent="0.25">
      <c r="B186" s="290">
        <v>42615</v>
      </c>
      <c r="C186" s="291">
        <v>500</v>
      </c>
      <c r="D186" s="292">
        <v>32.94988</v>
      </c>
      <c r="E186" s="292">
        <v>32.5</v>
      </c>
      <c r="F186" s="292">
        <f t="shared" si="28"/>
        <v>-224.94000000000014</v>
      </c>
      <c r="G186" s="292">
        <f t="shared" si="32"/>
        <v>16474.939999999999</v>
      </c>
      <c r="H186" s="293">
        <f t="shared" si="30"/>
        <v>-1.3653463988336233E-2</v>
      </c>
      <c r="I186" s="292" t="s">
        <v>182</v>
      </c>
    </row>
    <row r="187" spans="2:9" x14ac:dyDescent="0.25">
      <c r="B187" s="290">
        <v>42619</v>
      </c>
      <c r="C187" s="291">
        <v>500</v>
      </c>
      <c r="D187" s="292">
        <v>32.94988</v>
      </c>
      <c r="E187" s="292">
        <v>32.67</v>
      </c>
      <c r="F187" s="292">
        <f t="shared" si="28"/>
        <v>-139.93999999999929</v>
      </c>
      <c r="G187" s="292">
        <f t="shared" si="32"/>
        <v>16474.939999999999</v>
      </c>
      <c r="H187" s="293">
        <f t="shared" si="30"/>
        <v>-8.4941128768905548E-3</v>
      </c>
      <c r="I187" s="292"/>
    </row>
    <row r="188" spans="2:9" x14ac:dyDescent="0.25">
      <c r="B188" s="290">
        <v>42620</v>
      </c>
      <c r="C188" s="291">
        <v>600</v>
      </c>
      <c r="D188" s="292">
        <v>32.733229999999999</v>
      </c>
      <c r="E188" s="292">
        <v>31.32</v>
      </c>
      <c r="F188" s="292">
        <f t="shared" si="28"/>
        <v>-847.93799999999919</v>
      </c>
      <c r="G188" s="292">
        <f t="shared" si="32"/>
        <v>19639.937999999998</v>
      </c>
      <c r="H188" s="293">
        <f t="shared" si="30"/>
        <v>-4.3174168879759153E-2</v>
      </c>
      <c r="I188" s="292"/>
    </row>
    <row r="189" spans="2:9" x14ac:dyDescent="0.25">
      <c r="B189" s="290">
        <v>42620</v>
      </c>
      <c r="C189" s="291">
        <v>700</v>
      </c>
      <c r="D189" s="292">
        <v>32.511339999999997</v>
      </c>
      <c r="E189" s="292">
        <v>31.32</v>
      </c>
      <c r="F189" s="292">
        <f t="shared" si="28"/>
        <v>-833.93799999999771</v>
      </c>
      <c r="G189" s="292">
        <f t="shared" si="32"/>
        <v>22757.937999999998</v>
      </c>
      <c r="H189" s="293">
        <f t="shared" si="30"/>
        <v>-3.6643829506873504E-2</v>
      </c>
      <c r="I189" s="292"/>
    </row>
    <row r="190" spans="2:9" x14ac:dyDescent="0.25">
      <c r="B190" s="290">
        <v>42621</v>
      </c>
      <c r="C190" s="291">
        <v>700</v>
      </c>
      <c r="D190" s="292">
        <v>32.511339999999997</v>
      </c>
      <c r="E190" s="292">
        <v>31.31</v>
      </c>
      <c r="F190" s="292">
        <f t="shared" si="28"/>
        <v>-840.93799999999885</v>
      </c>
      <c r="G190" s="292">
        <f t="shared" si="32"/>
        <v>22757.937999999998</v>
      </c>
      <c r="H190" s="293">
        <f t="shared" si="30"/>
        <v>-3.6951414491066759E-2</v>
      </c>
      <c r="I190" s="292"/>
    </row>
    <row r="191" spans="2:9" x14ac:dyDescent="0.25">
      <c r="B191" s="290">
        <v>42622</v>
      </c>
      <c r="C191" s="291">
        <v>700</v>
      </c>
      <c r="D191" s="292">
        <v>32.511339999999997</v>
      </c>
      <c r="E191" s="292">
        <v>31.51</v>
      </c>
      <c r="F191" s="292">
        <f t="shared" si="28"/>
        <v>-700.9379999999968</v>
      </c>
      <c r="G191" s="292">
        <f t="shared" si="32"/>
        <v>22757.937999999998</v>
      </c>
      <c r="H191" s="293">
        <f t="shared" si="30"/>
        <v>-3.0799714807202519E-2</v>
      </c>
      <c r="I191" s="292"/>
    </row>
    <row r="192" spans="2:9" x14ac:dyDescent="0.25">
      <c r="B192" s="290">
        <v>42625</v>
      </c>
      <c r="C192" s="291">
        <v>800</v>
      </c>
      <c r="D192" s="292">
        <v>32.297429999999999</v>
      </c>
      <c r="E192" s="292">
        <v>30.89</v>
      </c>
      <c r="F192" s="292">
        <f t="shared" si="28"/>
        <v>-1125.9439999999984</v>
      </c>
      <c r="G192" s="292">
        <f t="shared" si="32"/>
        <v>25837.944</v>
      </c>
      <c r="H192" s="293">
        <f t="shared" si="30"/>
        <v>-4.3577151494716394E-2</v>
      </c>
      <c r="I192" s="292"/>
    </row>
    <row r="193" spans="2:9" x14ac:dyDescent="0.25">
      <c r="B193" s="290">
        <v>42632</v>
      </c>
      <c r="C193" s="291">
        <v>800</v>
      </c>
      <c r="D193" s="292">
        <v>32.297429999999999</v>
      </c>
      <c r="E193" s="292">
        <v>30.79</v>
      </c>
      <c r="F193" s="292">
        <f t="shared" si="28"/>
        <v>-1205.9439999999995</v>
      </c>
      <c r="G193" s="292">
        <f t="shared" si="32"/>
        <v>25837.944</v>
      </c>
      <c r="H193" s="293">
        <f t="shared" si="30"/>
        <v>-4.6673373082626063E-2</v>
      </c>
      <c r="I193" s="292"/>
    </row>
    <row r="194" spans="2:9" x14ac:dyDescent="0.25">
      <c r="B194" s="290">
        <v>42633</v>
      </c>
      <c r="C194" s="291">
        <v>800</v>
      </c>
      <c r="D194" s="292">
        <v>32.297429999999999</v>
      </c>
      <c r="E194" s="292">
        <v>31.09</v>
      </c>
      <c r="F194" s="292">
        <f t="shared" si="28"/>
        <v>-965.94399999999894</v>
      </c>
      <c r="G194" s="292">
        <f t="shared" si="32"/>
        <v>25837.944</v>
      </c>
      <c r="H194" s="293">
        <f t="shared" si="30"/>
        <v>-3.7384708318897161E-2</v>
      </c>
      <c r="I194" s="292"/>
    </row>
    <row r="195" spans="2:9" x14ac:dyDescent="0.25">
      <c r="B195" s="290">
        <v>42605</v>
      </c>
      <c r="C195" s="291">
        <v>800</v>
      </c>
      <c r="D195" s="292">
        <v>32.297429999999999</v>
      </c>
      <c r="E195" s="292">
        <v>30.45</v>
      </c>
      <c r="F195" s="292">
        <f t="shared" si="28"/>
        <v>-1477.9439999999995</v>
      </c>
      <c r="G195" s="292">
        <f t="shared" si="32"/>
        <v>25837.944</v>
      </c>
      <c r="H195" s="293">
        <f t="shared" si="30"/>
        <v>-5.7200526481518785E-2</v>
      </c>
      <c r="I195" s="292"/>
    </row>
    <row r="196" spans="2:9" x14ac:dyDescent="0.25">
      <c r="B196" s="290">
        <v>42639</v>
      </c>
      <c r="C196" s="291">
        <v>900</v>
      </c>
      <c r="D196" s="292">
        <v>32.05104</v>
      </c>
      <c r="E196" s="292">
        <v>30.08</v>
      </c>
      <c r="F196" s="292">
        <f t="shared" si="28"/>
        <v>-1773.936000000002</v>
      </c>
      <c r="G196" s="292">
        <f t="shared" si="32"/>
        <v>28845.936000000002</v>
      </c>
      <c r="H196" s="293">
        <f t="shared" si="30"/>
        <v>-6.14969124246827E-2</v>
      </c>
      <c r="I196" s="292"/>
    </row>
    <row r="197" spans="2:9" x14ac:dyDescent="0.25">
      <c r="B197" s="290">
        <v>42640</v>
      </c>
      <c r="C197" s="291">
        <v>900</v>
      </c>
      <c r="D197" s="292">
        <v>32.05104</v>
      </c>
      <c r="E197" s="292">
        <v>29.9</v>
      </c>
      <c r="F197" s="292">
        <f t="shared" si="28"/>
        <v>-1935.9360000000017</v>
      </c>
      <c r="G197" s="292">
        <f t="shared" si="32"/>
        <v>28845.936000000002</v>
      </c>
      <c r="H197" s="293">
        <f t="shared" si="30"/>
        <v>-6.7112954837034985E-2</v>
      </c>
      <c r="I197" s="292"/>
    </row>
    <row r="198" spans="2:9" x14ac:dyDescent="0.25">
      <c r="B198" s="290">
        <v>42641</v>
      </c>
      <c r="C198" s="291">
        <v>900</v>
      </c>
      <c r="D198" s="292">
        <v>32.05104</v>
      </c>
      <c r="E198" s="292">
        <v>29.84</v>
      </c>
      <c r="F198" s="292">
        <f t="shared" si="28"/>
        <v>-1989.9360000000006</v>
      </c>
      <c r="G198" s="292">
        <f t="shared" si="32"/>
        <v>28845.936000000002</v>
      </c>
      <c r="H198" s="293">
        <f t="shared" si="30"/>
        <v>-6.8984968974485708E-2</v>
      </c>
      <c r="I198" s="292"/>
    </row>
    <row r="199" spans="2:9" x14ac:dyDescent="0.25">
      <c r="B199" s="290">
        <v>42643</v>
      </c>
      <c r="C199" s="291">
        <v>900</v>
      </c>
      <c r="D199" s="292">
        <v>32.05104</v>
      </c>
      <c r="E199" s="292">
        <v>29.68</v>
      </c>
      <c r="F199" s="292">
        <f t="shared" si="28"/>
        <v>-2133.9360000000006</v>
      </c>
      <c r="G199" s="292">
        <f t="shared" si="32"/>
        <v>28845.936000000002</v>
      </c>
      <c r="H199" s="293">
        <f t="shared" si="30"/>
        <v>-7.3977006674354431E-2</v>
      </c>
      <c r="I199" s="292"/>
    </row>
    <row r="200" spans="2:9" x14ac:dyDescent="0.25">
      <c r="B200" s="290">
        <v>42646</v>
      </c>
      <c r="C200" s="291">
        <v>1000</v>
      </c>
      <c r="D200" s="292">
        <v>31.78594</v>
      </c>
      <c r="E200" s="292">
        <v>29.28</v>
      </c>
      <c r="F200" s="292">
        <f t="shared" si="28"/>
        <v>-2505.9399999999991</v>
      </c>
      <c r="G200" s="292">
        <f t="shared" si="32"/>
        <v>31785.94</v>
      </c>
      <c r="H200" s="293">
        <f t="shared" si="30"/>
        <v>-7.8838001959356835E-2</v>
      </c>
      <c r="I200" s="292"/>
    </row>
    <row r="201" spans="2:9" x14ac:dyDescent="0.25">
      <c r="B201" s="290">
        <v>42648</v>
      </c>
      <c r="C201" s="291">
        <v>1000</v>
      </c>
      <c r="D201" s="292">
        <v>31.78594</v>
      </c>
      <c r="E201" s="292">
        <v>28.84</v>
      </c>
      <c r="F201" s="292">
        <f t="shared" si="28"/>
        <v>-2945.94</v>
      </c>
      <c r="G201" s="292">
        <f t="shared" si="32"/>
        <v>31785.94</v>
      </c>
      <c r="H201" s="293">
        <f t="shared" si="30"/>
        <v>-9.2680600290568724E-2</v>
      </c>
      <c r="I201" s="292"/>
    </row>
    <row r="202" spans="2:9" x14ac:dyDescent="0.25">
      <c r="B202" s="290">
        <v>42649</v>
      </c>
      <c r="C202" s="291">
        <v>1000</v>
      </c>
      <c r="D202" s="292">
        <v>31.78594</v>
      </c>
      <c r="E202" s="292">
        <v>29.37</v>
      </c>
      <c r="F202" s="292">
        <f t="shared" si="28"/>
        <v>-2415.9399999999991</v>
      </c>
      <c r="G202" s="292">
        <f t="shared" si="32"/>
        <v>31785.94</v>
      </c>
      <c r="H202" s="293">
        <f t="shared" si="30"/>
        <v>-7.6006561391608968E-2</v>
      </c>
      <c r="I202" s="292"/>
    </row>
    <row r="203" spans="2:9" x14ac:dyDescent="0.25">
      <c r="B203" s="290">
        <v>42650</v>
      </c>
      <c r="C203" s="291">
        <v>1000</v>
      </c>
      <c r="D203" s="292">
        <v>31.78594</v>
      </c>
      <c r="E203" s="292">
        <v>29</v>
      </c>
      <c r="F203" s="292">
        <f t="shared" si="28"/>
        <v>-2785.94</v>
      </c>
      <c r="G203" s="292">
        <f t="shared" si="32"/>
        <v>31785.94</v>
      </c>
      <c r="H203" s="293">
        <f t="shared" si="30"/>
        <v>-8.7646928170128049E-2</v>
      </c>
      <c r="I203" s="292"/>
    </row>
    <row r="204" spans="2:9" x14ac:dyDescent="0.25">
      <c r="B204" s="290">
        <v>42661</v>
      </c>
      <c r="C204" s="291">
        <v>1000</v>
      </c>
      <c r="D204" s="292">
        <v>31.78594</v>
      </c>
      <c r="E204" s="292">
        <v>30.64</v>
      </c>
      <c r="F204" s="292">
        <f t="shared" ref="F204:F209" si="33">C204*(E204-D204)</f>
        <v>-1145.9399999999996</v>
      </c>
      <c r="G204" s="292">
        <f t="shared" ref="G204:G209" si="34">D204*C204</f>
        <v>31785.94</v>
      </c>
      <c r="H204" s="293">
        <f t="shared" ref="H204:H209" si="35">(E204-D204)/D204</f>
        <v>-3.6051788935611138E-2</v>
      </c>
      <c r="I204" s="292"/>
    </row>
    <row r="205" spans="2:9" x14ac:dyDescent="0.25">
      <c r="B205" s="290">
        <v>42671</v>
      </c>
      <c r="C205" s="291">
        <v>900</v>
      </c>
      <c r="D205" s="292">
        <v>31.837789999999998</v>
      </c>
      <c r="E205" s="292">
        <v>31.26</v>
      </c>
      <c r="F205" s="292">
        <f t="shared" si="33"/>
        <v>-520.01099999999701</v>
      </c>
      <c r="G205" s="292">
        <f t="shared" si="34"/>
        <v>28654.010999999999</v>
      </c>
      <c r="H205" s="293">
        <f t="shared" si="35"/>
        <v>-1.8147930493919232E-2</v>
      </c>
      <c r="I205" s="292"/>
    </row>
    <row r="206" spans="2:9" x14ac:dyDescent="0.25">
      <c r="B206" s="290">
        <v>42674</v>
      </c>
      <c r="C206" s="291">
        <v>1000</v>
      </c>
      <c r="D206" s="292">
        <v>31.763999999999999</v>
      </c>
      <c r="E206" s="292">
        <v>30.98</v>
      </c>
      <c r="F206" s="292">
        <f t="shared" si="33"/>
        <v>-783.99999999999886</v>
      </c>
      <c r="G206" s="292">
        <f t="shared" si="34"/>
        <v>31764</v>
      </c>
      <c r="H206" s="293">
        <f t="shared" si="35"/>
        <v>-2.468202997103636E-2</v>
      </c>
      <c r="I206" s="292"/>
    </row>
    <row r="207" spans="2:9" x14ac:dyDescent="0.25">
      <c r="B207" s="290">
        <v>42676</v>
      </c>
      <c r="C207" s="291">
        <v>500</v>
      </c>
      <c r="D207" s="292">
        <v>31.518719999999998</v>
      </c>
      <c r="E207" s="292">
        <v>32.22</v>
      </c>
      <c r="F207" s="292">
        <f t="shared" si="33"/>
        <v>350.64000000000027</v>
      </c>
      <c r="G207" s="292">
        <f t="shared" si="34"/>
        <v>15759.359999999999</v>
      </c>
      <c r="H207" s="293">
        <f t="shared" si="35"/>
        <v>2.2249634502923995E-2</v>
      </c>
      <c r="I207" s="292">
        <v>31</v>
      </c>
    </row>
    <row r="208" spans="2:9" x14ac:dyDescent="0.25">
      <c r="B208" s="290">
        <v>42677</v>
      </c>
      <c r="C208" s="291">
        <v>800</v>
      </c>
      <c r="D208" s="292">
        <v>31.51858</v>
      </c>
      <c r="E208" s="292">
        <v>31.02</v>
      </c>
      <c r="F208" s="292">
        <f t="shared" si="33"/>
        <v>-398.86400000000037</v>
      </c>
      <c r="G208" s="292">
        <f t="shared" si="34"/>
        <v>25214.864000000001</v>
      </c>
      <c r="H208" s="293">
        <f t="shared" si="35"/>
        <v>-1.5818606041262027E-2</v>
      </c>
      <c r="I208" s="292"/>
    </row>
    <row r="209" spans="2:9" x14ac:dyDescent="0.25">
      <c r="B209" s="290">
        <v>42701</v>
      </c>
      <c r="C209" s="291">
        <v>400</v>
      </c>
      <c r="D209" s="292">
        <v>30.677849999999999</v>
      </c>
      <c r="E209" s="292">
        <v>33.880000000000003</v>
      </c>
      <c r="F209" s="292">
        <f t="shared" si="33"/>
        <v>1280.8600000000013</v>
      </c>
      <c r="G209" s="292">
        <f t="shared" si="34"/>
        <v>12271.14</v>
      </c>
      <c r="H209" s="293">
        <f t="shared" si="35"/>
        <v>0.10437987016691207</v>
      </c>
      <c r="I209" s="292"/>
    </row>
    <row r="210" spans="2:9" x14ac:dyDescent="0.25">
      <c r="B210" s="290">
        <v>42704</v>
      </c>
      <c r="C210" s="291">
        <v>400</v>
      </c>
      <c r="D210" s="292">
        <v>30.677849999999999</v>
      </c>
      <c r="E210" s="292">
        <v>32.299999999999997</v>
      </c>
      <c r="F210" s="292">
        <f t="shared" ref="F210:F216" si="36">C210*(E210-D210)</f>
        <v>648.8599999999991</v>
      </c>
      <c r="G210" s="292">
        <f t="shared" ref="G210:G216" si="37">D210*C210</f>
        <v>12271.14</v>
      </c>
      <c r="H210" s="293">
        <f t="shared" ref="H210:H216" si="38">(E210-D210)/D210</f>
        <v>5.2876912821465581E-2</v>
      </c>
      <c r="I210" s="292"/>
    </row>
    <row r="211" spans="2:9" x14ac:dyDescent="0.25">
      <c r="B211" s="290">
        <v>42706</v>
      </c>
      <c r="C211" s="291">
        <v>400</v>
      </c>
      <c r="D211" s="292">
        <v>30.527850000000001</v>
      </c>
      <c r="E211" s="292">
        <v>33.299999999999997</v>
      </c>
      <c r="F211" s="292">
        <f t="shared" si="36"/>
        <v>1108.8599999999985</v>
      </c>
      <c r="G211" s="292">
        <f t="shared" si="37"/>
        <v>12211.14</v>
      </c>
      <c r="H211" s="293">
        <f t="shared" si="38"/>
        <v>9.0807246497869851E-2</v>
      </c>
      <c r="I211" s="292"/>
    </row>
    <row r="212" spans="2:9" x14ac:dyDescent="0.25">
      <c r="B212" s="290">
        <v>42712</v>
      </c>
      <c r="C212" s="291">
        <v>300</v>
      </c>
      <c r="D212" s="292">
        <v>29.297370000000001</v>
      </c>
      <c r="E212" s="292">
        <v>34.19</v>
      </c>
      <c r="F212" s="292">
        <f t="shared" si="36"/>
        <v>1467.7889999999991</v>
      </c>
      <c r="G212" s="292">
        <f t="shared" si="37"/>
        <v>8789.2109999999993</v>
      </c>
      <c r="H212" s="293">
        <f t="shared" si="38"/>
        <v>0.16699894905242338</v>
      </c>
      <c r="I212" s="292"/>
    </row>
    <row r="213" spans="2:9" x14ac:dyDescent="0.25">
      <c r="B213" s="290">
        <v>42713</v>
      </c>
      <c r="C213" s="291">
        <v>200</v>
      </c>
      <c r="D213" s="292">
        <v>26.551449999999999</v>
      </c>
      <c r="E213" s="292">
        <v>34.78</v>
      </c>
      <c r="F213" s="292">
        <f t="shared" si="36"/>
        <v>1645.7100000000005</v>
      </c>
      <c r="G213" s="292">
        <f t="shared" si="37"/>
        <v>5310.29</v>
      </c>
      <c r="H213" s="293">
        <f t="shared" si="38"/>
        <v>0.30990962828772073</v>
      </c>
      <c r="I213" s="292"/>
    </row>
    <row r="214" spans="2:9" x14ac:dyDescent="0.25">
      <c r="B214" s="290">
        <v>42716</v>
      </c>
      <c r="C214" s="291">
        <v>300</v>
      </c>
      <c r="D214" s="292">
        <v>29.0943</v>
      </c>
      <c r="E214" s="292">
        <v>34.22</v>
      </c>
      <c r="F214" s="292">
        <f t="shared" si="36"/>
        <v>1537.7099999999996</v>
      </c>
      <c r="G214" s="292">
        <f t="shared" si="37"/>
        <v>8728.2900000000009</v>
      </c>
      <c r="H214" s="293">
        <f t="shared" si="38"/>
        <v>0.17617540205469795</v>
      </c>
      <c r="I214" s="292"/>
    </row>
    <row r="215" spans="2:9" x14ac:dyDescent="0.25">
      <c r="B215" s="290">
        <v>42718</v>
      </c>
      <c r="C215" s="291">
        <v>100</v>
      </c>
      <c r="D215" s="292">
        <v>17.179500000000001</v>
      </c>
      <c r="E215" s="292">
        <v>34.72</v>
      </c>
      <c r="F215" s="292">
        <f t="shared" si="36"/>
        <v>1754.0499999999997</v>
      </c>
      <c r="G215" s="292">
        <f t="shared" si="37"/>
        <v>1717.95</v>
      </c>
      <c r="H215" s="293">
        <f t="shared" si="38"/>
        <v>1.021013417154166</v>
      </c>
      <c r="I215" s="292"/>
    </row>
    <row r="216" spans="2:9" x14ac:dyDescent="0.25">
      <c r="B216" s="290">
        <v>42718</v>
      </c>
      <c r="C216" s="291">
        <v>300</v>
      </c>
      <c r="D216" s="292">
        <v>28.9132</v>
      </c>
      <c r="E216" s="292">
        <v>34.72</v>
      </c>
      <c r="F216" s="292">
        <f t="shared" si="36"/>
        <v>1742.0399999999997</v>
      </c>
      <c r="G216" s="292">
        <f t="shared" si="37"/>
        <v>8673.9599999999991</v>
      </c>
      <c r="H216" s="293">
        <f t="shared" si="38"/>
        <v>0.20083560449898313</v>
      </c>
      <c r="I216" s="292"/>
    </row>
    <row r="217" spans="2:9" x14ac:dyDescent="0.25">
      <c r="B217" s="290">
        <v>42729</v>
      </c>
      <c r="C217" s="291">
        <v>300</v>
      </c>
      <c r="D217" s="292">
        <v>28.9132</v>
      </c>
      <c r="E217" s="292">
        <v>35.08</v>
      </c>
      <c r="F217" s="292">
        <f>C217*(E217-D217)</f>
        <v>1850.0399999999995</v>
      </c>
      <c r="G217" s="292">
        <f>D217*C217</f>
        <v>8673.9599999999991</v>
      </c>
      <c r="H217" s="293">
        <f>(E217-D217)/D217</f>
        <v>0.21328666491429515</v>
      </c>
      <c r="I217" s="292"/>
    </row>
    <row r="218" spans="2:9" x14ac:dyDescent="0.25">
      <c r="B218" s="290">
        <v>42745</v>
      </c>
      <c r="C218" s="291">
        <v>400</v>
      </c>
      <c r="D218" s="292">
        <v>30.12988</v>
      </c>
      <c r="E218" s="292">
        <v>33.19</v>
      </c>
      <c r="F218" s="292">
        <f>C218*(E218-D218)</f>
        <v>1224.0479999999991</v>
      </c>
      <c r="G218" s="292">
        <f>D218*C218</f>
        <v>12051.951999999999</v>
      </c>
      <c r="H218" s="293">
        <f>(E218-D218)/D218</f>
        <v>0.1015642943151449</v>
      </c>
      <c r="I218" s="292"/>
    </row>
    <row r="219" spans="2:9" x14ac:dyDescent="0.25">
      <c r="B219" s="290">
        <v>42752</v>
      </c>
      <c r="C219" s="291">
        <v>300</v>
      </c>
      <c r="D219" s="292">
        <v>28.620100000000001</v>
      </c>
      <c r="E219" s="292">
        <v>34.840000000000003</v>
      </c>
      <c r="F219" s="292">
        <f>C219*(E219-D219)</f>
        <v>1865.9700000000007</v>
      </c>
      <c r="G219" s="292">
        <f>D219*C219</f>
        <v>8586.0300000000007</v>
      </c>
      <c r="H219" s="293">
        <f>(E219-D219)/D219</f>
        <v>0.21732628467405782</v>
      </c>
      <c r="I219" s="292">
        <v>28.25</v>
      </c>
    </row>
    <row r="220" spans="2:9" x14ac:dyDescent="0.25">
      <c r="B220" s="290">
        <v>42754</v>
      </c>
      <c r="C220" s="291">
        <v>400</v>
      </c>
      <c r="D220" s="292">
        <v>30.032579999999999</v>
      </c>
      <c r="E220" s="292">
        <v>34.26</v>
      </c>
      <c r="F220" s="292">
        <f>C220*(E220-D220)</f>
        <v>1690.9679999999994</v>
      </c>
      <c r="G220" s="292">
        <f>D220*C220</f>
        <v>12013.031999999999</v>
      </c>
      <c r="H220" s="293">
        <f>(E220-D220)/D220</f>
        <v>0.14076113340911767</v>
      </c>
      <c r="I220" s="292"/>
    </row>
    <row r="238" spans="1:13" x14ac:dyDescent="0.25">
      <c r="L238" t="s">
        <v>65</v>
      </c>
      <c r="M238" s="2">
        <f>M266+K266-F266</f>
        <v>1747.9699999999939</v>
      </c>
    </row>
    <row r="239" spans="1:13" x14ac:dyDescent="0.25">
      <c r="A239" s="195" t="s">
        <v>1</v>
      </c>
      <c r="B239" s="195" t="s">
        <v>2</v>
      </c>
      <c r="C239" s="195" t="s">
        <v>4</v>
      </c>
      <c r="D239" s="196" t="s">
        <v>5</v>
      </c>
      <c r="E239" s="196" t="s">
        <v>94</v>
      </c>
      <c r="F239" s="196" t="s">
        <v>60</v>
      </c>
      <c r="G239" s="195" t="s">
        <v>3</v>
      </c>
      <c r="H239" s="195" t="s">
        <v>6</v>
      </c>
      <c r="I239" s="196" t="s">
        <v>7</v>
      </c>
      <c r="J239" s="196" t="s">
        <v>95</v>
      </c>
      <c r="K239" s="196" t="s">
        <v>61</v>
      </c>
      <c r="L239" s="195" t="s">
        <v>37</v>
      </c>
      <c r="M239" s="195" t="s">
        <v>38</v>
      </c>
    </row>
    <row r="240" spans="1:13" x14ac:dyDescent="0.25">
      <c r="A240" s="197" t="s">
        <v>191</v>
      </c>
      <c r="B240" s="198">
        <v>42482</v>
      </c>
      <c r="C240" s="193">
        <v>80</v>
      </c>
      <c r="D240" s="194">
        <v>36.01</v>
      </c>
      <c r="E240" s="194">
        <v>0</v>
      </c>
      <c r="F240" s="194">
        <f t="shared" ref="F240:F260" si="39">D240*C240+E240</f>
        <v>2880.7999999999997</v>
      </c>
      <c r="G240" s="198">
        <v>42514</v>
      </c>
      <c r="H240" s="193">
        <v>40</v>
      </c>
      <c r="I240" s="194">
        <v>35.35</v>
      </c>
      <c r="J240" s="194">
        <v>0.03</v>
      </c>
      <c r="K240" s="194">
        <f>I240*H240-J240</f>
        <v>1413.97</v>
      </c>
      <c r="L240" s="198">
        <v>42522</v>
      </c>
      <c r="M240" s="194">
        <v>10.5</v>
      </c>
    </row>
    <row r="241" spans="1:13" x14ac:dyDescent="0.25">
      <c r="A241" s="200" t="s">
        <v>71</v>
      </c>
      <c r="B241" s="198">
        <v>42482</v>
      </c>
      <c r="C241" s="193">
        <v>20</v>
      </c>
      <c r="D241" s="194">
        <v>35.549999999999997</v>
      </c>
      <c r="E241" s="194">
        <v>0</v>
      </c>
      <c r="F241" s="194">
        <f t="shared" si="39"/>
        <v>711</v>
      </c>
      <c r="G241" s="193"/>
      <c r="H241" s="193"/>
      <c r="I241" s="194"/>
      <c r="J241" s="194"/>
      <c r="K241" s="194"/>
      <c r="L241" s="198">
        <v>42614</v>
      </c>
      <c r="M241" s="194">
        <v>48</v>
      </c>
    </row>
    <row r="242" spans="1:13" x14ac:dyDescent="0.25">
      <c r="A242" s="193"/>
      <c r="B242" s="198">
        <v>42508</v>
      </c>
      <c r="C242" s="193">
        <v>40</v>
      </c>
      <c r="D242" s="194">
        <v>34.19</v>
      </c>
      <c r="E242" s="194">
        <v>0</v>
      </c>
      <c r="F242" s="194">
        <f t="shared" si="39"/>
        <v>1367.6</v>
      </c>
      <c r="G242" s="198">
        <v>42521</v>
      </c>
      <c r="H242" s="199">
        <v>40</v>
      </c>
      <c r="I242" s="194">
        <v>35.99</v>
      </c>
      <c r="J242" s="194">
        <v>0.03</v>
      </c>
      <c r="K242" s="194">
        <f t="shared" ref="K242:K257" si="40">I242*H242-J242</f>
        <v>1439.5700000000002</v>
      </c>
      <c r="L242" s="198">
        <v>42706</v>
      </c>
      <c r="M242" s="194">
        <v>60</v>
      </c>
    </row>
    <row r="243" spans="1:13" x14ac:dyDescent="0.25">
      <c r="A243" s="193"/>
      <c r="B243" s="198">
        <v>42509</v>
      </c>
      <c r="C243" s="193">
        <v>100</v>
      </c>
      <c r="D243" s="194">
        <v>34.49</v>
      </c>
      <c r="E243" s="194">
        <v>0</v>
      </c>
      <c r="F243" s="194">
        <f t="shared" si="39"/>
        <v>3449</v>
      </c>
      <c r="G243" s="198">
        <v>42531</v>
      </c>
      <c r="H243" s="199">
        <v>100</v>
      </c>
      <c r="I243" s="194">
        <v>36.99</v>
      </c>
      <c r="J243" s="194">
        <v>0.08</v>
      </c>
      <c r="K243" s="194">
        <f t="shared" si="40"/>
        <v>3698.92</v>
      </c>
      <c r="L243" s="193"/>
      <c r="M243" s="193"/>
    </row>
    <row r="244" spans="1:13" x14ac:dyDescent="0.25">
      <c r="A244" s="193"/>
      <c r="B244" s="198">
        <v>42536</v>
      </c>
      <c r="C244" s="193">
        <v>100</v>
      </c>
      <c r="D244" s="194">
        <v>35.39</v>
      </c>
      <c r="E244" s="194">
        <v>0</v>
      </c>
      <c r="F244" s="194">
        <f t="shared" si="39"/>
        <v>3539</v>
      </c>
      <c r="G244" s="198">
        <v>42594</v>
      </c>
      <c r="H244" s="199">
        <v>100</v>
      </c>
      <c r="I244" s="194">
        <v>32.58</v>
      </c>
      <c r="J244" s="194">
        <v>7.0000000000000007E-2</v>
      </c>
      <c r="K244" s="194">
        <f t="shared" si="40"/>
        <v>3257.93</v>
      </c>
      <c r="L244" s="193"/>
      <c r="M244" s="193"/>
    </row>
    <row r="245" spans="1:13" x14ac:dyDescent="0.25">
      <c r="A245" s="193"/>
      <c r="B245" s="198">
        <v>42579</v>
      </c>
      <c r="C245" s="193">
        <v>40</v>
      </c>
      <c r="D245" s="194">
        <v>35</v>
      </c>
      <c r="E245" s="194">
        <v>0</v>
      </c>
      <c r="F245" s="194">
        <f t="shared" si="39"/>
        <v>1400</v>
      </c>
      <c r="G245" s="198">
        <v>42671</v>
      </c>
      <c r="H245" s="199">
        <v>100</v>
      </c>
      <c r="I245" s="194">
        <v>31.32</v>
      </c>
      <c r="J245" s="194">
        <v>7.0000000000000007E-2</v>
      </c>
      <c r="K245" s="194">
        <f t="shared" si="40"/>
        <v>3131.93</v>
      </c>
      <c r="L245" s="193"/>
      <c r="M245" s="193"/>
    </row>
    <row r="246" spans="1:13" x14ac:dyDescent="0.25">
      <c r="A246" s="193"/>
      <c r="B246" s="198">
        <v>42579</v>
      </c>
      <c r="C246" s="193">
        <v>30</v>
      </c>
      <c r="D246" s="194">
        <v>34.57</v>
      </c>
      <c r="E246" s="194">
        <v>-7.0000000000000007E-2</v>
      </c>
      <c r="F246" s="194">
        <f t="shared" si="39"/>
        <v>1037.03</v>
      </c>
      <c r="G246" s="198">
        <v>42676</v>
      </c>
      <c r="H246" s="199">
        <v>200</v>
      </c>
      <c r="I246" s="194">
        <v>31.83</v>
      </c>
      <c r="J246" s="194">
        <v>0.14000000000000001</v>
      </c>
      <c r="K246" s="194">
        <f t="shared" si="40"/>
        <v>6365.86</v>
      </c>
      <c r="L246" s="193"/>
      <c r="M246" s="193"/>
    </row>
    <row r="247" spans="1:13" x14ac:dyDescent="0.25">
      <c r="A247" s="193"/>
      <c r="B247" s="198">
        <v>42580</v>
      </c>
      <c r="C247" s="193">
        <v>30</v>
      </c>
      <c r="D247" s="194">
        <v>33.880000000000003</v>
      </c>
      <c r="E247" s="194">
        <v>0</v>
      </c>
      <c r="F247" s="194">
        <f t="shared" si="39"/>
        <v>1016.4000000000001</v>
      </c>
      <c r="G247" s="198">
        <v>42676</v>
      </c>
      <c r="H247" s="199">
        <v>100</v>
      </c>
      <c r="I247" s="194">
        <v>31.98</v>
      </c>
      <c r="J247" s="194">
        <v>7.0000000000000007E-2</v>
      </c>
      <c r="K247" s="194">
        <f t="shared" si="40"/>
        <v>3197.93</v>
      </c>
      <c r="L247" s="193"/>
      <c r="M247" s="193"/>
    </row>
    <row r="248" spans="1:13" x14ac:dyDescent="0.25">
      <c r="A248" s="193"/>
      <c r="B248" s="198">
        <v>42584</v>
      </c>
      <c r="C248" s="193">
        <v>40</v>
      </c>
      <c r="D248" s="194">
        <v>33.049999999999997</v>
      </c>
      <c r="E248" s="194">
        <v>0</v>
      </c>
      <c r="F248" s="194">
        <f t="shared" si="39"/>
        <v>1322</v>
      </c>
      <c r="G248" s="198">
        <v>42676</v>
      </c>
      <c r="H248" s="199">
        <v>100</v>
      </c>
      <c r="I248" s="194">
        <v>32.18</v>
      </c>
      <c r="J248" s="194">
        <v>7.0000000000000007E-2</v>
      </c>
      <c r="K248" s="194">
        <f t="shared" si="40"/>
        <v>3217.93</v>
      </c>
      <c r="L248" s="193"/>
      <c r="M248" s="193"/>
    </row>
    <row r="249" spans="1:13" x14ac:dyDescent="0.25">
      <c r="A249" s="193"/>
      <c r="B249" s="198">
        <v>42586</v>
      </c>
      <c r="C249" s="193">
        <v>100</v>
      </c>
      <c r="D249" s="194">
        <v>32.479999999999997</v>
      </c>
      <c r="E249" s="194">
        <v>0</v>
      </c>
      <c r="F249" s="194">
        <f t="shared" si="39"/>
        <v>3247.9999999999995</v>
      </c>
      <c r="G249" s="198">
        <v>42676</v>
      </c>
      <c r="H249" s="199">
        <v>100</v>
      </c>
      <c r="I249" s="194">
        <v>32.229999999999997</v>
      </c>
      <c r="J249" s="194">
        <v>7.0000000000000007E-2</v>
      </c>
      <c r="K249" s="194">
        <f t="shared" si="40"/>
        <v>3222.9299999999994</v>
      </c>
      <c r="L249" s="193"/>
      <c r="M249" s="193"/>
    </row>
    <row r="250" spans="1:13" x14ac:dyDescent="0.25">
      <c r="A250" s="193"/>
      <c r="B250" s="198">
        <v>42593</v>
      </c>
      <c r="C250" s="193">
        <v>100</v>
      </c>
      <c r="D250" s="194">
        <v>32.049999999999997</v>
      </c>
      <c r="E250" s="194">
        <v>0</v>
      </c>
      <c r="F250" s="194">
        <f t="shared" si="39"/>
        <v>3204.9999999999995</v>
      </c>
      <c r="G250" s="198">
        <v>42683</v>
      </c>
      <c r="H250" s="199">
        <v>100</v>
      </c>
      <c r="I250" s="194">
        <v>32.33</v>
      </c>
      <c r="J250" s="194">
        <v>7.0000000000000007E-2</v>
      </c>
      <c r="K250" s="194">
        <f t="shared" si="40"/>
        <v>3232.93</v>
      </c>
      <c r="L250" s="193"/>
      <c r="M250" s="193"/>
    </row>
    <row r="251" spans="1:13" x14ac:dyDescent="0.25">
      <c r="A251" s="193"/>
      <c r="B251" s="198">
        <v>42599</v>
      </c>
      <c r="C251" s="193">
        <v>100</v>
      </c>
      <c r="D251" s="194">
        <v>31.68</v>
      </c>
      <c r="E251" s="194">
        <v>0</v>
      </c>
      <c r="F251" s="194">
        <f t="shared" si="39"/>
        <v>3168</v>
      </c>
      <c r="G251" s="198">
        <v>42683</v>
      </c>
      <c r="H251" s="199">
        <v>200</v>
      </c>
      <c r="I251" s="194">
        <v>32.08</v>
      </c>
      <c r="J251" s="194">
        <v>0.14000000000000001</v>
      </c>
      <c r="K251" s="194">
        <f t="shared" si="40"/>
        <v>6415.86</v>
      </c>
      <c r="L251" s="193"/>
      <c r="M251" s="193"/>
    </row>
    <row r="252" spans="1:13" x14ac:dyDescent="0.25">
      <c r="A252" s="193"/>
      <c r="B252" s="198">
        <v>42620</v>
      </c>
      <c r="C252" s="193">
        <v>100</v>
      </c>
      <c r="D252" s="194">
        <v>31.65</v>
      </c>
      <c r="E252" s="194">
        <v>0</v>
      </c>
      <c r="F252" s="194">
        <f t="shared" si="39"/>
        <v>3165</v>
      </c>
      <c r="G252" s="198">
        <v>42684</v>
      </c>
      <c r="H252" s="199">
        <v>100</v>
      </c>
      <c r="I252" s="194">
        <v>32.950000000000003</v>
      </c>
      <c r="J252" s="194">
        <v>7.0000000000000007E-2</v>
      </c>
      <c r="K252" s="194">
        <f t="shared" si="40"/>
        <v>3294.9300000000003</v>
      </c>
      <c r="L252" s="193"/>
      <c r="M252" s="193"/>
    </row>
    <row r="253" spans="1:13" x14ac:dyDescent="0.25">
      <c r="A253" s="193"/>
      <c r="B253" s="198">
        <v>42620</v>
      </c>
      <c r="C253" s="193">
        <v>100</v>
      </c>
      <c r="D253" s="194">
        <v>31.18</v>
      </c>
      <c r="E253" s="194">
        <v>0</v>
      </c>
      <c r="F253" s="194">
        <f t="shared" si="39"/>
        <v>3118</v>
      </c>
      <c r="G253" s="198">
        <v>42712</v>
      </c>
      <c r="H253" s="199">
        <v>100</v>
      </c>
      <c r="I253" s="194">
        <v>34.22</v>
      </c>
      <c r="J253" s="194">
        <v>7.0000000000000007E-2</v>
      </c>
      <c r="K253" s="194">
        <f t="shared" si="40"/>
        <v>3421.93</v>
      </c>
      <c r="L253" s="193"/>
      <c r="M253" s="193"/>
    </row>
    <row r="254" spans="1:13" x14ac:dyDescent="0.25">
      <c r="A254" s="193"/>
      <c r="B254" s="198">
        <v>42625</v>
      </c>
      <c r="C254" s="193">
        <v>100</v>
      </c>
      <c r="D254" s="194">
        <v>30.8</v>
      </c>
      <c r="E254" s="194">
        <v>0</v>
      </c>
      <c r="F254" s="194">
        <f t="shared" si="39"/>
        <v>3080</v>
      </c>
      <c r="G254" s="198">
        <v>42713</v>
      </c>
      <c r="H254" s="199">
        <v>100</v>
      </c>
      <c r="I254" s="194">
        <v>34.79</v>
      </c>
      <c r="J254" s="194">
        <v>0.08</v>
      </c>
      <c r="K254" s="194">
        <f t="shared" si="40"/>
        <v>3478.92</v>
      </c>
      <c r="L254" s="193"/>
      <c r="M254" s="193"/>
    </row>
    <row r="255" spans="1:13" x14ac:dyDescent="0.25">
      <c r="A255" s="193"/>
      <c r="B255" s="198">
        <v>42639</v>
      </c>
      <c r="C255" s="193">
        <v>100</v>
      </c>
      <c r="D255" s="194">
        <v>30.08</v>
      </c>
      <c r="E255" s="194">
        <v>0</v>
      </c>
      <c r="F255" s="194">
        <f t="shared" si="39"/>
        <v>3008</v>
      </c>
      <c r="G255" s="198">
        <v>42718</v>
      </c>
      <c r="H255" s="199">
        <v>100</v>
      </c>
      <c r="I255" s="194">
        <v>35.21</v>
      </c>
      <c r="J255" s="194">
        <v>0.57999999999999996</v>
      </c>
      <c r="K255" s="194">
        <f t="shared" si="40"/>
        <v>3520.42</v>
      </c>
      <c r="L255" s="193"/>
      <c r="M255" s="193"/>
    </row>
    <row r="256" spans="1:13" x14ac:dyDescent="0.25">
      <c r="A256" s="193"/>
      <c r="B256" s="198">
        <v>42646</v>
      </c>
      <c r="C256" s="193">
        <v>100</v>
      </c>
      <c r="D256" s="194">
        <v>29.4</v>
      </c>
      <c r="E256" s="194">
        <v>0</v>
      </c>
      <c r="F256" s="194">
        <f t="shared" si="39"/>
        <v>2940</v>
      </c>
      <c r="G256" s="198">
        <v>42718</v>
      </c>
      <c r="H256" s="199">
        <v>100</v>
      </c>
      <c r="I256" s="194">
        <v>34.9</v>
      </c>
      <c r="J256" s="194">
        <v>0.08</v>
      </c>
      <c r="K256" s="194">
        <f t="shared" si="40"/>
        <v>3489.92</v>
      </c>
      <c r="L256" s="193"/>
      <c r="M256" s="193"/>
    </row>
    <row r="257" spans="1:13" x14ac:dyDescent="0.25">
      <c r="A257" s="193"/>
      <c r="B257" s="198">
        <v>42674</v>
      </c>
      <c r="C257" s="193">
        <v>100</v>
      </c>
      <c r="D257" s="194">
        <v>31.1</v>
      </c>
      <c r="E257" s="194">
        <v>0</v>
      </c>
      <c r="F257" s="194">
        <f t="shared" si="39"/>
        <v>3110</v>
      </c>
      <c r="G257" s="198">
        <v>42752</v>
      </c>
      <c r="H257" s="199">
        <v>100</v>
      </c>
      <c r="I257" s="194">
        <v>34.659999999999997</v>
      </c>
      <c r="J257" s="194">
        <v>0.08</v>
      </c>
      <c r="K257" s="194">
        <f t="shared" si="40"/>
        <v>3465.9199999999996</v>
      </c>
      <c r="L257" s="193"/>
      <c r="M257" s="193"/>
    </row>
    <row r="258" spans="1:13" x14ac:dyDescent="0.25">
      <c r="A258" s="193"/>
      <c r="B258" s="198">
        <v>42677</v>
      </c>
      <c r="C258" s="193">
        <v>200</v>
      </c>
      <c r="D258" s="194">
        <v>31.68</v>
      </c>
      <c r="E258" s="194">
        <v>0</v>
      </c>
      <c r="F258" s="194">
        <f t="shared" si="39"/>
        <v>6336</v>
      </c>
      <c r="G258" s="193"/>
      <c r="H258" s="193"/>
      <c r="I258" s="194"/>
      <c r="J258" s="194"/>
      <c r="K258" s="194"/>
      <c r="L258" s="193"/>
      <c r="M258" s="193"/>
    </row>
    <row r="259" spans="1:13" x14ac:dyDescent="0.25">
      <c r="A259" s="193"/>
      <c r="B259" s="198">
        <v>42677</v>
      </c>
      <c r="C259" s="193">
        <v>100</v>
      </c>
      <c r="D259" s="194">
        <v>31.2</v>
      </c>
      <c r="E259" s="194">
        <v>-0.5</v>
      </c>
      <c r="F259" s="194">
        <f t="shared" si="39"/>
        <v>3119.5</v>
      </c>
      <c r="G259" s="193"/>
      <c r="H259" s="193"/>
      <c r="I259" s="194"/>
      <c r="J259" s="194"/>
      <c r="K259" s="194"/>
      <c r="L259" s="193"/>
      <c r="M259" s="193"/>
    </row>
    <row r="260" spans="1:13" x14ac:dyDescent="0.25">
      <c r="A260" s="193"/>
      <c r="B260" s="198">
        <v>42716</v>
      </c>
      <c r="C260" s="193">
        <v>100</v>
      </c>
      <c r="D260" s="194">
        <v>34.18</v>
      </c>
      <c r="E260" s="194">
        <v>0</v>
      </c>
      <c r="F260" s="194">
        <f t="shared" si="39"/>
        <v>3418</v>
      </c>
      <c r="G260" s="193"/>
      <c r="H260" s="193"/>
      <c r="I260" s="194"/>
      <c r="J260" s="194"/>
      <c r="K260" s="194"/>
      <c r="L260" s="193"/>
      <c r="M260" s="193"/>
    </row>
    <row r="261" spans="1:13" x14ac:dyDescent="0.25">
      <c r="A261" s="193"/>
      <c r="B261" s="198"/>
      <c r="C261" s="193"/>
      <c r="D261" s="194"/>
      <c r="E261" s="194"/>
      <c r="F261" s="194"/>
      <c r="G261" s="193"/>
      <c r="H261" s="193"/>
      <c r="I261" s="194"/>
      <c r="J261" s="194"/>
      <c r="K261" s="194"/>
      <c r="L261" s="193"/>
      <c r="M261" s="193"/>
    </row>
    <row r="262" spans="1:13" x14ac:dyDescent="0.25">
      <c r="A262" s="193"/>
      <c r="B262" s="198"/>
      <c r="C262" s="193"/>
      <c r="D262" s="194"/>
      <c r="E262" s="194"/>
      <c r="F262" s="194"/>
      <c r="G262" s="193"/>
      <c r="H262" s="193"/>
      <c r="I262" s="194"/>
      <c r="J262" s="194"/>
      <c r="K262" s="194"/>
      <c r="L262" s="193"/>
      <c r="M262" s="193"/>
    </row>
    <row r="263" spans="1:13" x14ac:dyDescent="0.25">
      <c r="A263" s="193"/>
      <c r="B263" s="198"/>
      <c r="C263" s="193"/>
      <c r="D263" s="194"/>
      <c r="E263" s="194"/>
      <c r="F263" s="194"/>
      <c r="G263" s="193"/>
      <c r="H263" s="193"/>
      <c r="I263" s="194"/>
      <c r="J263" s="194"/>
      <c r="K263" s="194"/>
      <c r="L263" s="193"/>
      <c r="M263" s="193"/>
    </row>
    <row r="264" spans="1:13" x14ac:dyDescent="0.25">
      <c r="A264" s="193"/>
      <c r="B264" s="193"/>
      <c r="C264" s="193"/>
      <c r="D264" s="194"/>
      <c r="E264" s="194"/>
      <c r="F264" s="194"/>
      <c r="G264" s="193"/>
      <c r="H264" s="193"/>
      <c r="I264" s="194"/>
      <c r="J264" s="194"/>
      <c r="K264" s="194"/>
      <c r="L264" s="193"/>
      <c r="M264" s="193"/>
    </row>
    <row r="265" spans="1:13" x14ac:dyDescent="0.25">
      <c r="A265" s="193"/>
      <c r="B265" s="193"/>
      <c r="C265" s="193"/>
      <c r="D265" s="194"/>
      <c r="E265" s="194"/>
      <c r="F265" s="194"/>
      <c r="G265" s="193"/>
      <c r="H265" s="193"/>
      <c r="I265" s="194"/>
      <c r="J265" s="194"/>
      <c r="K265" s="194"/>
      <c r="L265" s="193"/>
      <c r="M265" s="193"/>
    </row>
    <row r="266" spans="1:13" x14ac:dyDescent="0.25">
      <c r="A266" s="31" t="s">
        <v>81</v>
      </c>
      <c r="B266" s="14"/>
      <c r="C266" s="14">
        <f>SUM(C240:C263)</f>
        <v>1780</v>
      </c>
      <c r="D266" s="18"/>
      <c r="E266" s="18"/>
      <c r="F266" s="18">
        <f>SUM(F240:F263)</f>
        <v>57638.33</v>
      </c>
      <c r="G266" s="14"/>
      <c r="H266" s="14">
        <f>SUM(H240:H265)</f>
        <v>1780</v>
      </c>
      <c r="I266" s="18"/>
      <c r="J266" s="18"/>
      <c r="K266" s="18">
        <f>SUM(K240:K265)</f>
        <v>59267.799999999996</v>
      </c>
      <c r="L266" s="14"/>
      <c r="M266" s="18">
        <f>SUM(M240:M265)</f>
        <v>118.5</v>
      </c>
    </row>
    <row r="267" spans="1:13" x14ac:dyDescent="0.25">
      <c r="M267" s="2">
        <f>M330+K330-F330</f>
        <v>5580.6100000001024</v>
      </c>
    </row>
    <row r="268" spans="1:13" x14ac:dyDescent="0.25">
      <c r="A268" s="297" t="s">
        <v>1</v>
      </c>
      <c r="B268" s="297" t="s">
        <v>2</v>
      </c>
      <c r="C268" s="297" t="s">
        <v>4</v>
      </c>
      <c r="D268" s="299" t="s">
        <v>5</v>
      </c>
      <c r="E268" s="299" t="s">
        <v>94</v>
      </c>
      <c r="F268" s="299" t="s">
        <v>60</v>
      </c>
      <c r="G268" s="297" t="s">
        <v>3</v>
      </c>
      <c r="H268" s="297" t="s">
        <v>6</v>
      </c>
      <c r="I268" s="299" t="s">
        <v>7</v>
      </c>
      <c r="J268" s="299" t="s">
        <v>95</v>
      </c>
      <c r="K268" s="299" t="s">
        <v>61</v>
      </c>
      <c r="L268" s="297" t="s">
        <v>37</v>
      </c>
      <c r="M268" s="297" t="s">
        <v>38</v>
      </c>
    </row>
    <row r="269" spans="1:13" x14ac:dyDescent="0.25">
      <c r="A269" s="300" t="s">
        <v>191</v>
      </c>
      <c r="B269" s="533">
        <v>42718</v>
      </c>
      <c r="C269" s="291">
        <v>200</v>
      </c>
      <c r="D269" s="296">
        <v>34.78</v>
      </c>
      <c r="E269" s="292">
        <v>0</v>
      </c>
      <c r="F269" s="292">
        <f t="shared" ref="F269:F321" si="41">D269*C269+E269</f>
        <v>6956</v>
      </c>
      <c r="G269" s="533">
        <v>42782</v>
      </c>
      <c r="H269" s="291">
        <v>200</v>
      </c>
      <c r="I269" s="292">
        <v>34.200000000000003</v>
      </c>
      <c r="J269" s="292">
        <v>0.15</v>
      </c>
      <c r="K269" s="292">
        <f t="shared" ref="K269:K308" si="42">I269*H269-J269</f>
        <v>6839.8500000000013</v>
      </c>
      <c r="L269" s="290">
        <v>42795</v>
      </c>
      <c r="M269" s="292">
        <v>72</v>
      </c>
    </row>
    <row r="270" spans="1:13" x14ac:dyDescent="0.25">
      <c r="A270" s="301" t="s">
        <v>71</v>
      </c>
      <c r="B270" s="533">
        <v>42738</v>
      </c>
      <c r="C270" s="291">
        <v>100</v>
      </c>
      <c r="D270" s="296">
        <v>33.78</v>
      </c>
      <c r="E270" s="292">
        <v>0</v>
      </c>
      <c r="F270" s="292">
        <f t="shared" si="41"/>
        <v>3378</v>
      </c>
      <c r="G270" s="290">
        <v>42809</v>
      </c>
      <c r="H270" s="291">
        <v>200</v>
      </c>
      <c r="I270" s="292">
        <v>29.02</v>
      </c>
      <c r="J270" s="292">
        <v>0.13</v>
      </c>
      <c r="K270" s="292">
        <f t="shared" si="42"/>
        <v>5803.87</v>
      </c>
      <c r="L270" s="290">
        <v>42846</v>
      </c>
      <c r="M270" s="292">
        <v>3.9</v>
      </c>
    </row>
    <row r="271" spans="1:13" x14ac:dyDescent="0.25">
      <c r="A271" s="291"/>
      <c r="B271" s="533">
        <v>42754</v>
      </c>
      <c r="C271" s="291">
        <v>100</v>
      </c>
      <c r="D271" s="296">
        <v>34.270000000000003</v>
      </c>
      <c r="E271" s="292">
        <v>0</v>
      </c>
      <c r="F271" s="292">
        <f t="shared" si="41"/>
        <v>3427.0000000000005</v>
      </c>
      <c r="G271" s="290">
        <v>42944</v>
      </c>
      <c r="H271" s="295">
        <v>100</v>
      </c>
      <c r="I271" s="292">
        <v>24.27</v>
      </c>
      <c r="J271" s="292">
        <v>0.06</v>
      </c>
      <c r="K271" s="292">
        <f t="shared" si="42"/>
        <v>2426.94</v>
      </c>
      <c r="L271" s="290">
        <v>42888</v>
      </c>
      <c r="M271" s="292">
        <v>180</v>
      </c>
    </row>
    <row r="272" spans="1:13" x14ac:dyDescent="0.25">
      <c r="A272" s="291"/>
      <c r="B272" s="533">
        <v>42762</v>
      </c>
      <c r="C272" s="291">
        <v>100</v>
      </c>
      <c r="D272" s="296">
        <v>33.1</v>
      </c>
      <c r="E272" s="292">
        <v>0</v>
      </c>
      <c r="F272" s="292">
        <f t="shared" si="41"/>
        <v>3310</v>
      </c>
      <c r="G272" s="290">
        <v>42986</v>
      </c>
      <c r="H272" s="295">
        <v>1000</v>
      </c>
      <c r="I272" s="292">
        <v>21.13</v>
      </c>
      <c r="J272" s="292">
        <v>2.4900000000000002</v>
      </c>
      <c r="K272" s="292">
        <f t="shared" si="42"/>
        <v>21127.51</v>
      </c>
      <c r="L272" s="290">
        <v>42979</v>
      </c>
      <c r="M272" s="292">
        <v>237.5</v>
      </c>
    </row>
    <row r="273" spans="1:13" x14ac:dyDescent="0.25">
      <c r="A273" s="291"/>
      <c r="B273" s="533">
        <v>42773</v>
      </c>
      <c r="C273" s="291">
        <v>100</v>
      </c>
      <c r="D273" s="296">
        <v>33.08</v>
      </c>
      <c r="E273" s="292">
        <v>0</v>
      </c>
      <c r="F273" s="292">
        <f t="shared" si="41"/>
        <v>3308</v>
      </c>
      <c r="G273" s="290">
        <v>43011</v>
      </c>
      <c r="H273" s="295">
        <v>200</v>
      </c>
      <c r="I273" s="292">
        <v>20.6</v>
      </c>
      <c r="J273" s="292">
        <v>0.1</v>
      </c>
      <c r="K273" s="292">
        <f t="shared" si="42"/>
        <v>4119.8999999999996</v>
      </c>
      <c r="L273" s="290">
        <v>43070</v>
      </c>
      <c r="M273" s="292">
        <v>250</v>
      </c>
    </row>
    <row r="274" spans="1:13" x14ac:dyDescent="0.25">
      <c r="A274" s="291"/>
      <c r="B274" s="533">
        <v>42788</v>
      </c>
      <c r="C274" s="291">
        <v>200</v>
      </c>
      <c r="D274" s="296">
        <v>33.08</v>
      </c>
      <c r="E274" s="292">
        <v>0</v>
      </c>
      <c r="F274" s="292">
        <f t="shared" si="41"/>
        <v>6616</v>
      </c>
      <c r="G274" s="290">
        <v>43056</v>
      </c>
      <c r="H274" s="295">
        <v>200</v>
      </c>
      <c r="I274" s="292">
        <v>22.58</v>
      </c>
      <c r="J274" s="292">
        <v>0.1</v>
      </c>
      <c r="K274" s="292">
        <f t="shared" si="42"/>
        <v>4515.8999999999996</v>
      </c>
      <c r="L274" s="290">
        <v>43160</v>
      </c>
      <c r="M274" s="292">
        <v>225</v>
      </c>
    </row>
    <row r="275" spans="1:13" x14ac:dyDescent="0.25">
      <c r="A275" s="291"/>
      <c r="B275" s="533">
        <v>42793</v>
      </c>
      <c r="C275" s="291">
        <v>200</v>
      </c>
      <c r="D275" s="296">
        <v>32.18</v>
      </c>
      <c r="E275" s="292">
        <v>0</v>
      </c>
      <c r="F275" s="292">
        <f t="shared" si="41"/>
        <v>6436</v>
      </c>
      <c r="G275" s="533">
        <v>43069</v>
      </c>
      <c r="H275" s="295">
        <v>100</v>
      </c>
      <c r="I275" s="292">
        <v>26.44</v>
      </c>
      <c r="J275" s="292">
        <v>0.06</v>
      </c>
      <c r="K275" s="292">
        <f t="shared" si="42"/>
        <v>2643.94</v>
      </c>
      <c r="L275" s="290">
        <v>43252</v>
      </c>
      <c r="M275" s="292">
        <v>250</v>
      </c>
    </row>
    <row r="276" spans="1:13" x14ac:dyDescent="0.25">
      <c r="A276" s="291"/>
      <c r="B276" s="533">
        <v>42796</v>
      </c>
      <c r="C276" s="291">
        <v>200</v>
      </c>
      <c r="D276" s="296">
        <v>31.08</v>
      </c>
      <c r="E276" s="292">
        <v>0</v>
      </c>
      <c r="F276" s="292">
        <f t="shared" si="41"/>
        <v>6216</v>
      </c>
      <c r="G276" s="533">
        <v>43069</v>
      </c>
      <c r="H276" s="295">
        <v>100</v>
      </c>
      <c r="I276" s="292">
        <v>27.08</v>
      </c>
      <c r="J276" s="292">
        <v>0.06</v>
      </c>
      <c r="K276" s="292">
        <f t="shared" si="42"/>
        <v>2707.94</v>
      </c>
      <c r="L276" s="290">
        <v>43347</v>
      </c>
      <c r="M276" s="292">
        <v>42</v>
      </c>
    </row>
    <row r="277" spans="1:13" x14ac:dyDescent="0.25">
      <c r="A277" s="291"/>
      <c r="B277" s="533">
        <v>42796</v>
      </c>
      <c r="C277" s="291">
        <v>200</v>
      </c>
      <c r="D277" s="296">
        <v>30.58</v>
      </c>
      <c r="E277" s="292">
        <v>0</v>
      </c>
      <c r="F277" s="292">
        <f t="shared" si="41"/>
        <v>6116</v>
      </c>
      <c r="G277" s="533">
        <v>43087</v>
      </c>
      <c r="H277" s="295">
        <v>100</v>
      </c>
      <c r="I277" s="292">
        <v>27.05</v>
      </c>
      <c r="J277" s="292">
        <v>0.06</v>
      </c>
      <c r="K277" s="292">
        <f t="shared" si="42"/>
        <v>2704.94</v>
      </c>
      <c r="L277" s="291"/>
      <c r="M277" s="291"/>
    </row>
    <row r="278" spans="1:13" x14ac:dyDescent="0.25">
      <c r="A278" s="291"/>
      <c r="B278" s="533">
        <v>42796</v>
      </c>
      <c r="C278" s="291">
        <v>200</v>
      </c>
      <c r="D278" s="296">
        <v>30.38</v>
      </c>
      <c r="E278" s="292">
        <v>0</v>
      </c>
      <c r="F278" s="292">
        <f t="shared" si="41"/>
        <v>6076</v>
      </c>
      <c r="G278" s="533">
        <v>43089</v>
      </c>
      <c r="H278" s="295">
        <v>100</v>
      </c>
      <c r="I278" s="292">
        <v>27.32</v>
      </c>
      <c r="J278" s="292">
        <v>-0.12</v>
      </c>
      <c r="K278" s="292">
        <f t="shared" si="42"/>
        <v>2732.12</v>
      </c>
      <c r="L278" s="291"/>
      <c r="M278" s="291"/>
    </row>
    <row r="279" spans="1:13" x14ac:dyDescent="0.25">
      <c r="A279" s="291"/>
      <c r="B279" s="533">
        <v>42797</v>
      </c>
      <c r="C279" s="291">
        <v>100</v>
      </c>
      <c r="D279" s="296">
        <v>30.055</v>
      </c>
      <c r="E279" s="292">
        <v>0</v>
      </c>
      <c r="F279" s="292">
        <f t="shared" si="41"/>
        <v>3005.5</v>
      </c>
      <c r="G279" s="533">
        <v>43091</v>
      </c>
      <c r="H279" s="295">
        <v>100</v>
      </c>
      <c r="I279" s="292">
        <v>28.2</v>
      </c>
      <c r="J279" s="292">
        <v>7.0000000000000007E-2</v>
      </c>
      <c r="K279" s="292">
        <f t="shared" si="42"/>
        <v>2819.93</v>
      </c>
      <c r="L279" s="291"/>
      <c r="M279" s="291"/>
    </row>
    <row r="280" spans="1:13" x14ac:dyDescent="0.25">
      <c r="A280" s="291"/>
      <c r="B280" s="533">
        <v>42808</v>
      </c>
      <c r="C280" s="291">
        <v>200</v>
      </c>
      <c r="D280" s="296">
        <v>28.32</v>
      </c>
      <c r="E280" s="292">
        <v>0</v>
      </c>
      <c r="F280" s="292">
        <f t="shared" si="41"/>
        <v>5664</v>
      </c>
      <c r="G280" s="533">
        <v>43102</v>
      </c>
      <c r="H280" s="295">
        <v>100</v>
      </c>
      <c r="I280" s="292">
        <v>28.08</v>
      </c>
      <c r="J280" s="292">
        <v>0.06</v>
      </c>
      <c r="K280" s="292">
        <f t="shared" si="42"/>
        <v>2807.94</v>
      </c>
      <c r="L280" s="291"/>
      <c r="M280" s="291"/>
    </row>
    <row r="281" spans="1:13" x14ac:dyDescent="0.25">
      <c r="A281" s="291"/>
      <c r="B281" s="533">
        <v>42901</v>
      </c>
      <c r="C281" s="291">
        <v>100</v>
      </c>
      <c r="D281" s="296">
        <v>26.98</v>
      </c>
      <c r="E281" s="292">
        <v>0</v>
      </c>
      <c r="F281" s="292">
        <f t="shared" si="41"/>
        <v>2698</v>
      </c>
      <c r="G281" s="533">
        <v>43105</v>
      </c>
      <c r="H281" s="295">
        <v>400</v>
      </c>
      <c r="I281" s="292">
        <v>27.42</v>
      </c>
      <c r="J281" s="292">
        <v>0.25</v>
      </c>
      <c r="K281" s="292">
        <f t="shared" si="42"/>
        <v>10967.75</v>
      </c>
      <c r="L281" s="291"/>
      <c r="M281" s="291"/>
    </row>
    <row r="282" spans="1:13" x14ac:dyDescent="0.25">
      <c r="A282" s="291"/>
      <c r="B282" s="533">
        <v>42901</v>
      </c>
      <c r="C282" s="291">
        <v>200</v>
      </c>
      <c r="D282" s="296">
        <v>24.38</v>
      </c>
      <c r="E282" s="292">
        <v>0</v>
      </c>
      <c r="F282" s="292">
        <f t="shared" si="41"/>
        <v>4876</v>
      </c>
      <c r="G282" s="533">
        <v>43112</v>
      </c>
      <c r="H282" s="295">
        <v>100</v>
      </c>
      <c r="I282" s="292">
        <v>28.6</v>
      </c>
      <c r="J282" s="292">
        <v>7.0000000000000007E-2</v>
      </c>
      <c r="K282" s="292">
        <f t="shared" si="42"/>
        <v>2859.93</v>
      </c>
      <c r="L282" s="291"/>
      <c r="M282" s="291"/>
    </row>
    <row r="283" spans="1:13" x14ac:dyDescent="0.25">
      <c r="A283" s="291"/>
      <c r="B283" s="533">
        <v>42904</v>
      </c>
      <c r="C283" s="291">
        <v>200</v>
      </c>
      <c r="D283" s="296">
        <v>21.6</v>
      </c>
      <c r="E283" s="292">
        <v>0</v>
      </c>
      <c r="F283" s="292">
        <f t="shared" si="41"/>
        <v>4320</v>
      </c>
      <c r="G283" s="533">
        <v>43119</v>
      </c>
      <c r="H283" s="295">
        <v>300</v>
      </c>
      <c r="I283" s="292">
        <v>29.8</v>
      </c>
      <c r="J283" s="292">
        <v>0.21</v>
      </c>
      <c r="K283" s="292">
        <f t="shared" si="42"/>
        <v>8939.7900000000009</v>
      </c>
      <c r="L283" s="291"/>
      <c r="M283" s="291"/>
    </row>
    <row r="284" spans="1:13" x14ac:dyDescent="0.25">
      <c r="A284" s="291"/>
      <c r="B284" s="533">
        <v>42962</v>
      </c>
      <c r="C284" s="291">
        <v>100</v>
      </c>
      <c r="D284" s="296">
        <v>23.27</v>
      </c>
      <c r="E284" s="292">
        <v>-0.26</v>
      </c>
      <c r="F284" s="292">
        <f t="shared" si="41"/>
        <v>2326.7399999999998</v>
      </c>
      <c r="G284" s="533">
        <v>43125</v>
      </c>
      <c r="H284" s="295">
        <v>300</v>
      </c>
      <c r="I284" s="292">
        <v>30.5</v>
      </c>
      <c r="J284" s="292">
        <v>0.21</v>
      </c>
      <c r="K284" s="292">
        <f t="shared" si="42"/>
        <v>9149.7900000000009</v>
      </c>
      <c r="L284" s="291"/>
      <c r="M284" s="291"/>
    </row>
    <row r="285" spans="1:13" x14ac:dyDescent="0.25">
      <c r="A285" s="291"/>
      <c r="B285" s="533">
        <v>42986</v>
      </c>
      <c r="C285" s="291">
        <v>100</v>
      </c>
      <c r="D285" s="296">
        <v>21.62</v>
      </c>
      <c r="E285" s="292">
        <v>0</v>
      </c>
      <c r="F285" s="292">
        <f t="shared" si="41"/>
        <v>2162</v>
      </c>
      <c r="G285" s="533">
        <v>43126</v>
      </c>
      <c r="H285" s="295">
        <v>200</v>
      </c>
      <c r="I285" s="292">
        <v>30.8</v>
      </c>
      <c r="J285" s="292">
        <v>0.14000000000000001</v>
      </c>
      <c r="K285" s="292">
        <f t="shared" si="42"/>
        <v>6159.86</v>
      </c>
      <c r="L285" s="291"/>
      <c r="M285" s="291"/>
    </row>
    <row r="286" spans="1:13" x14ac:dyDescent="0.25">
      <c r="A286" s="291"/>
      <c r="B286" s="533">
        <v>42986</v>
      </c>
      <c r="C286" s="291">
        <v>200</v>
      </c>
      <c r="D286" s="296">
        <v>20.85</v>
      </c>
      <c r="E286" s="292">
        <v>0</v>
      </c>
      <c r="F286" s="292">
        <f t="shared" si="41"/>
        <v>4170</v>
      </c>
      <c r="G286" s="533">
        <v>43182</v>
      </c>
      <c r="H286" s="295">
        <v>1000</v>
      </c>
      <c r="I286" s="292">
        <v>24.22</v>
      </c>
      <c r="J286" s="292">
        <v>0.56000000000000005</v>
      </c>
      <c r="K286" s="292">
        <f t="shared" si="42"/>
        <v>24219.439999999999</v>
      </c>
      <c r="L286" s="291"/>
      <c r="M286" s="291"/>
    </row>
    <row r="287" spans="1:13" x14ac:dyDescent="0.25">
      <c r="A287" s="291"/>
      <c r="B287" s="533">
        <v>42986</v>
      </c>
      <c r="C287" s="291">
        <v>700</v>
      </c>
      <c r="D287" s="296">
        <v>20.75</v>
      </c>
      <c r="E287" s="292">
        <v>0</v>
      </c>
      <c r="F287" s="292">
        <f t="shared" si="41"/>
        <v>14525</v>
      </c>
      <c r="G287" s="533">
        <v>43188</v>
      </c>
      <c r="H287" s="295">
        <v>200</v>
      </c>
      <c r="I287" s="292">
        <v>23.91</v>
      </c>
      <c r="J287" s="292">
        <v>0.11</v>
      </c>
      <c r="K287" s="292">
        <f t="shared" si="42"/>
        <v>4781.8900000000003</v>
      </c>
      <c r="L287" s="291"/>
      <c r="M287" s="291"/>
    </row>
    <row r="288" spans="1:13" x14ac:dyDescent="0.25">
      <c r="A288" s="291"/>
      <c r="B288" s="533">
        <v>42999</v>
      </c>
      <c r="C288" s="291">
        <v>200</v>
      </c>
      <c r="D288" s="296">
        <v>20.25</v>
      </c>
      <c r="E288" s="292">
        <v>0</v>
      </c>
      <c r="F288" s="292">
        <f t="shared" si="41"/>
        <v>4050</v>
      </c>
      <c r="G288" s="533">
        <v>43194</v>
      </c>
      <c r="H288" s="295">
        <v>300</v>
      </c>
      <c r="I288" s="292">
        <v>24.08</v>
      </c>
      <c r="J288" s="292">
        <v>0.17</v>
      </c>
      <c r="K288" s="292">
        <f t="shared" si="42"/>
        <v>7223.829999999999</v>
      </c>
      <c r="L288" s="291"/>
      <c r="M288" s="291"/>
    </row>
    <row r="289" spans="1:13" x14ac:dyDescent="0.25">
      <c r="A289" s="291"/>
      <c r="B289" s="533">
        <v>43095</v>
      </c>
      <c r="C289" s="291">
        <v>100</v>
      </c>
      <c r="D289" s="296">
        <v>27.61</v>
      </c>
      <c r="E289" s="292">
        <v>0</v>
      </c>
      <c r="F289" s="292">
        <f t="shared" si="41"/>
        <v>2761</v>
      </c>
      <c r="G289" s="533">
        <v>43208</v>
      </c>
      <c r="H289" s="295">
        <v>500</v>
      </c>
      <c r="I289" s="292">
        <v>24.68</v>
      </c>
      <c r="J289" s="292">
        <v>0.28999999999999998</v>
      </c>
      <c r="K289" s="292">
        <f t="shared" si="42"/>
        <v>12339.71</v>
      </c>
      <c r="L289" s="291"/>
      <c r="M289" s="291"/>
    </row>
    <row r="290" spans="1:13" x14ac:dyDescent="0.25">
      <c r="A290" s="291"/>
      <c r="B290" s="533">
        <v>43104</v>
      </c>
      <c r="C290" s="291">
        <v>200</v>
      </c>
      <c r="D290" s="296">
        <v>27.105</v>
      </c>
      <c r="E290" s="292">
        <v>0</v>
      </c>
      <c r="F290" s="292">
        <f t="shared" si="41"/>
        <v>5421</v>
      </c>
      <c r="G290" s="533">
        <v>43210</v>
      </c>
      <c r="H290" s="295">
        <v>500</v>
      </c>
      <c r="I290" s="292">
        <v>24.88</v>
      </c>
      <c r="J290" s="292">
        <v>0.28999999999999998</v>
      </c>
      <c r="K290" s="292">
        <f t="shared" si="42"/>
        <v>12439.71</v>
      </c>
      <c r="L290" s="291"/>
      <c r="M290" s="291"/>
    </row>
    <row r="291" spans="1:13" x14ac:dyDescent="0.25">
      <c r="A291" s="291"/>
      <c r="B291" s="533">
        <v>43104</v>
      </c>
      <c r="C291" s="291">
        <v>200</v>
      </c>
      <c r="D291" s="296">
        <v>26.73</v>
      </c>
      <c r="E291" s="292">
        <v>0</v>
      </c>
      <c r="F291" s="292">
        <f t="shared" si="41"/>
        <v>5346</v>
      </c>
      <c r="G291" s="533">
        <v>43213</v>
      </c>
      <c r="H291" s="295">
        <v>300</v>
      </c>
      <c r="I291" s="292">
        <v>24.79</v>
      </c>
      <c r="J291" s="292">
        <v>0.17</v>
      </c>
      <c r="K291" s="292">
        <f t="shared" si="42"/>
        <v>7436.83</v>
      </c>
      <c r="L291" s="291"/>
      <c r="M291" s="291"/>
    </row>
    <row r="292" spans="1:13" x14ac:dyDescent="0.25">
      <c r="A292" s="291"/>
      <c r="B292" s="533">
        <v>43112</v>
      </c>
      <c r="C292" s="291">
        <v>100</v>
      </c>
      <c r="D292" s="296">
        <v>28.18</v>
      </c>
      <c r="E292" s="292">
        <v>0</v>
      </c>
      <c r="F292" s="292">
        <f t="shared" si="41"/>
        <v>2818</v>
      </c>
      <c r="G292" s="533">
        <v>43214</v>
      </c>
      <c r="H292" s="295">
        <v>500</v>
      </c>
      <c r="I292" s="292">
        <v>25.28</v>
      </c>
      <c r="J292" s="292">
        <v>0.28999999999999998</v>
      </c>
      <c r="K292" s="292">
        <f t="shared" si="42"/>
        <v>12639.71</v>
      </c>
      <c r="L292" s="291"/>
      <c r="M292" s="291"/>
    </row>
    <row r="293" spans="1:13" x14ac:dyDescent="0.25">
      <c r="A293" s="291"/>
      <c r="B293" s="533">
        <v>43122</v>
      </c>
      <c r="C293" s="291">
        <v>300</v>
      </c>
      <c r="D293" s="296">
        <v>29.28</v>
      </c>
      <c r="E293" s="292">
        <v>0</v>
      </c>
      <c r="F293" s="292">
        <f t="shared" si="41"/>
        <v>8784</v>
      </c>
      <c r="G293" s="533">
        <v>43220</v>
      </c>
      <c r="H293" s="295">
        <v>200</v>
      </c>
      <c r="I293" s="292">
        <v>25.88</v>
      </c>
      <c r="J293" s="292">
        <v>0.12</v>
      </c>
      <c r="K293" s="292">
        <f t="shared" si="42"/>
        <v>5175.88</v>
      </c>
      <c r="L293" s="291"/>
      <c r="M293" s="291"/>
    </row>
    <row r="294" spans="1:13" x14ac:dyDescent="0.25">
      <c r="A294" s="291"/>
      <c r="B294" s="533">
        <v>43131</v>
      </c>
      <c r="C294" s="291">
        <v>500</v>
      </c>
      <c r="D294" s="292">
        <v>30.25</v>
      </c>
      <c r="E294" s="292">
        <v>0</v>
      </c>
      <c r="F294" s="292">
        <f t="shared" si="41"/>
        <v>15125</v>
      </c>
      <c r="G294" s="533">
        <v>43237</v>
      </c>
      <c r="H294" s="295">
        <v>300</v>
      </c>
      <c r="I294" s="292">
        <v>25.75</v>
      </c>
      <c r="J294" s="292">
        <v>0.18</v>
      </c>
      <c r="K294" s="292">
        <f t="shared" si="42"/>
        <v>7724.82</v>
      </c>
      <c r="L294" s="291"/>
      <c r="M294" s="291"/>
    </row>
    <row r="295" spans="1:13" x14ac:dyDescent="0.25">
      <c r="A295" s="291"/>
      <c r="B295" s="533">
        <v>43133</v>
      </c>
      <c r="C295" s="291">
        <v>200</v>
      </c>
      <c r="D295" s="292">
        <v>29.3</v>
      </c>
      <c r="E295" s="292">
        <v>0</v>
      </c>
      <c r="F295" s="292">
        <f t="shared" si="41"/>
        <v>5860</v>
      </c>
      <c r="G295" s="533">
        <v>43259</v>
      </c>
      <c r="H295" s="295">
        <v>200</v>
      </c>
      <c r="I295" s="292">
        <v>25.36</v>
      </c>
      <c r="J295" s="292">
        <v>7.0000000000000007E-2</v>
      </c>
      <c r="K295" s="292">
        <f t="shared" si="42"/>
        <v>5071.93</v>
      </c>
      <c r="L295" s="291"/>
      <c r="M295" s="291"/>
    </row>
    <row r="296" spans="1:13" x14ac:dyDescent="0.25">
      <c r="A296" s="291"/>
      <c r="B296" s="533">
        <v>43137</v>
      </c>
      <c r="C296" s="291">
        <v>300</v>
      </c>
      <c r="D296" s="292">
        <v>27.5</v>
      </c>
      <c r="E296" s="292">
        <v>0</v>
      </c>
      <c r="F296" s="292">
        <f t="shared" si="41"/>
        <v>8250</v>
      </c>
      <c r="G296" s="533">
        <v>43264</v>
      </c>
      <c r="H296" s="295">
        <v>500</v>
      </c>
      <c r="I296" s="292">
        <v>26.18</v>
      </c>
      <c r="J296" s="292">
        <v>0.17</v>
      </c>
      <c r="K296" s="292">
        <f t="shared" si="42"/>
        <v>13089.83</v>
      </c>
      <c r="L296" s="291"/>
      <c r="M296" s="291"/>
    </row>
    <row r="297" spans="1:13" x14ac:dyDescent="0.25">
      <c r="A297" s="291"/>
      <c r="B297" s="533">
        <v>43166</v>
      </c>
      <c r="C297" s="291">
        <v>200</v>
      </c>
      <c r="D297" s="292">
        <v>26.28</v>
      </c>
      <c r="E297" s="292">
        <v>0</v>
      </c>
      <c r="F297" s="292">
        <f t="shared" si="41"/>
        <v>5256</v>
      </c>
      <c r="G297" s="533">
        <v>43269</v>
      </c>
      <c r="H297" s="295">
        <v>220</v>
      </c>
      <c r="I297" s="292">
        <v>26.18</v>
      </c>
      <c r="J297" s="292">
        <v>7.0000000000000007E-2</v>
      </c>
      <c r="K297" s="292">
        <f t="shared" si="42"/>
        <v>5759.5300000000007</v>
      </c>
      <c r="L297" s="291"/>
      <c r="M297" s="291"/>
    </row>
    <row r="298" spans="1:13" x14ac:dyDescent="0.25">
      <c r="A298" s="291"/>
      <c r="B298" s="533">
        <v>43167</v>
      </c>
      <c r="C298" s="291">
        <v>300</v>
      </c>
      <c r="D298" s="292">
        <v>24.13</v>
      </c>
      <c r="E298" s="292">
        <v>-1.17</v>
      </c>
      <c r="F298" s="292">
        <f t="shared" si="41"/>
        <v>7237.83</v>
      </c>
      <c r="G298" s="533">
        <v>43272</v>
      </c>
      <c r="H298" s="295">
        <v>300</v>
      </c>
      <c r="I298" s="292">
        <v>28.98</v>
      </c>
      <c r="J298" s="292">
        <v>0.11</v>
      </c>
      <c r="K298" s="292">
        <f t="shared" si="42"/>
        <v>8693.89</v>
      </c>
      <c r="L298" s="291"/>
      <c r="M298" s="291"/>
    </row>
    <row r="299" spans="1:13" x14ac:dyDescent="0.25">
      <c r="A299" s="291"/>
      <c r="B299" s="533">
        <v>43167</v>
      </c>
      <c r="C299" s="291">
        <v>200</v>
      </c>
      <c r="D299" s="292">
        <v>23.08</v>
      </c>
      <c r="E299" s="292">
        <v>0</v>
      </c>
      <c r="F299" s="292">
        <f t="shared" si="41"/>
        <v>4616</v>
      </c>
      <c r="G299" s="533">
        <v>43273</v>
      </c>
      <c r="H299" s="295">
        <v>500</v>
      </c>
      <c r="I299" s="292">
        <v>29.98</v>
      </c>
      <c r="J299" s="292">
        <v>0.19</v>
      </c>
      <c r="K299" s="292">
        <f t="shared" si="42"/>
        <v>14989.81</v>
      </c>
      <c r="L299" s="291"/>
      <c r="M299" s="291"/>
    </row>
    <row r="300" spans="1:13" x14ac:dyDescent="0.25">
      <c r="A300" s="291"/>
      <c r="B300" s="533">
        <v>43167</v>
      </c>
      <c r="C300" s="291">
        <v>500</v>
      </c>
      <c r="D300" s="292">
        <v>22.95</v>
      </c>
      <c r="E300" s="292">
        <v>0</v>
      </c>
      <c r="F300" s="292">
        <f t="shared" si="41"/>
        <v>11475</v>
      </c>
      <c r="G300" s="533">
        <v>43273</v>
      </c>
      <c r="H300" s="295">
        <v>500</v>
      </c>
      <c r="I300" s="292">
        <v>29.19</v>
      </c>
      <c r="J300" s="292">
        <v>0.19</v>
      </c>
      <c r="K300" s="292">
        <f t="shared" si="42"/>
        <v>14594.81</v>
      </c>
      <c r="L300" s="291"/>
      <c r="M300" s="291"/>
    </row>
    <row r="301" spans="1:13" x14ac:dyDescent="0.25">
      <c r="A301" s="291"/>
      <c r="B301" s="533">
        <v>43182</v>
      </c>
      <c r="C301" s="291">
        <v>500</v>
      </c>
      <c r="D301" s="292">
        <v>23.5</v>
      </c>
      <c r="E301" s="292">
        <v>0</v>
      </c>
      <c r="F301" s="292">
        <f t="shared" si="41"/>
        <v>11750</v>
      </c>
      <c r="G301" s="533">
        <v>43320</v>
      </c>
      <c r="H301" s="295">
        <v>600</v>
      </c>
      <c r="I301" s="292">
        <v>30.37</v>
      </c>
      <c r="J301" s="292">
        <v>0.24</v>
      </c>
      <c r="K301" s="292">
        <f t="shared" si="42"/>
        <v>18221.759999999998</v>
      </c>
      <c r="L301" s="291"/>
      <c r="M301" s="291"/>
    </row>
    <row r="302" spans="1:13" x14ac:dyDescent="0.25">
      <c r="A302" s="291"/>
      <c r="B302" s="533">
        <v>43182</v>
      </c>
      <c r="C302" s="291">
        <v>500</v>
      </c>
      <c r="D302" s="292">
        <v>23.28</v>
      </c>
      <c r="E302" s="292">
        <v>0</v>
      </c>
      <c r="F302" s="292">
        <f t="shared" si="41"/>
        <v>11640</v>
      </c>
      <c r="G302" s="533">
        <v>43320</v>
      </c>
      <c r="H302" s="295">
        <v>900</v>
      </c>
      <c r="I302" s="292">
        <v>30.55</v>
      </c>
      <c r="J302" s="292">
        <v>0.36</v>
      </c>
      <c r="K302" s="292">
        <f t="shared" si="42"/>
        <v>27494.639999999999</v>
      </c>
      <c r="L302" s="291"/>
      <c r="M302" s="291"/>
    </row>
    <row r="303" spans="1:13" x14ac:dyDescent="0.25">
      <c r="A303" s="291"/>
      <c r="B303" s="533">
        <v>43209</v>
      </c>
      <c r="C303" s="291">
        <v>500</v>
      </c>
      <c r="D303" s="292">
        <v>24.18</v>
      </c>
      <c r="E303" s="292">
        <v>0</v>
      </c>
      <c r="F303" s="292">
        <f t="shared" si="41"/>
        <v>12090</v>
      </c>
      <c r="G303" s="533">
        <v>43360</v>
      </c>
      <c r="H303" s="295">
        <v>100</v>
      </c>
      <c r="I303" s="292">
        <v>28.9</v>
      </c>
      <c r="J303" s="292">
        <v>0.04</v>
      </c>
      <c r="K303" s="292">
        <f t="shared" si="42"/>
        <v>2889.96</v>
      </c>
      <c r="L303" s="291"/>
      <c r="M303" s="291"/>
    </row>
    <row r="304" spans="1:13" x14ac:dyDescent="0.25">
      <c r="A304" s="291"/>
      <c r="B304" s="533">
        <v>43210</v>
      </c>
      <c r="C304" s="291">
        <v>220</v>
      </c>
      <c r="D304" s="292">
        <v>24.28</v>
      </c>
      <c r="E304" s="292">
        <v>0</v>
      </c>
      <c r="F304" s="292">
        <f t="shared" si="41"/>
        <v>5341.6</v>
      </c>
      <c r="G304" s="533">
        <v>43361</v>
      </c>
      <c r="H304" s="295">
        <v>100</v>
      </c>
      <c r="I304" s="292">
        <v>29.28</v>
      </c>
      <c r="J304" s="292">
        <v>0.04</v>
      </c>
      <c r="K304" s="292">
        <f t="shared" si="42"/>
        <v>2927.96</v>
      </c>
      <c r="L304" s="291"/>
      <c r="M304" s="291"/>
    </row>
    <row r="305" spans="1:13" x14ac:dyDescent="0.25">
      <c r="A305" s="291"/>
      <c r="B305" s="533">
        <v>43210</v>
      </c>
      <c r="C305" s="291">
        <v>80</v>
      </c>
      <c r="D305" s="292">
        <v>24.28</v>
      </c>
      <c r="E305" s="292">
        <v>0</v>
      </c>
      <c r="F305" s="292">
        <f t="shared" si="41"/>
        <v>1942.4</v>
      </c>
      <c r="G305" s="533">
        <v>43364</v>
      </c>
      <c r="H305" s="295">
        <v>100</v>
      </c>
      <c r="I305" s="292">
        <v>29.92</v>
      </c>
      <c r="J305" s="292">
        <v>0.04</v>
      </c>
      <c r="K305" s="292">
        <f t="shared" si="42"/>
        <v>2991.96</v>
      </c>
      <c r="L305" s="291"/>
      <c r="M305" s="291"/>
    </row>
    <row r="306" spans="1:13" x14ac:dyDescent="0.25">
      <c r="A306" s="291"/>
      <c r="B306" s="533">
        <v>43210</v>
      </c>
      <c r="C306" s="291">
        <v>200</v>
      </c>
      <c r="D306" s="292">
        <v>24.28</v>
      </c>
      <c r="E306" s="292">
        <v>0</v>
      </c>
      <c r="F306" s="292">
        <f t="shared" si="41"/>
        <v>4856</v>
      </c>
      <c r="G306" s="533">
        <v>43402</v>
      </c>
      <c r="H306" s="295">
        <v>300</v>
      </c>
      <c r="I306" s="292">
        <v>28.78</v>
      </c>
      <c r="J306" s="292">
        <v>0.11</v>
      </c>
      <c r="K306" s="292">
        <f t="shared" si="42"/>
        <v>8633.89</v>
      </c>
      <c r="L306" s="291"/>
      <c r="M306" s="291"/>
    </row>
    <row r="307" spans="1:13" x14ac:dyDescent="0.25">
      <c r="A307" s="291"/>
      <c r="B307" s="533">
        <v>43220</v>
      </c>
      <c r="C307" s="291">
        <v>200</v>
      </c>
      <c r="D307" s="292">
        <v>25.4</v>
      </c>
      <c r="E307" s="292">
        <v>0</v>
      </c>
      <c r="F307" s="292">
        <f t="shared" si="41"/>
        <v>5080</v>
      </c>
      <c r="G307" s="878">
        <v>43410</v>
      </c>
      <c r="H307" s="295">
        <v>100</v>
      </c>
      <c r="I307" s="292">
        <v>30.85</v>
      </c>
      <c r="J307" s="292">
        <v>0.04</v>
      </c>
      <c r="K307" s="292">
        <f t="shared" si="42"/>
        <v>3084.96</v>
      </c>
      <c r="L307" s="291"/>
      <c r="M307" s="291"/>
    </row>
    <row r="308" spans="1:13" x14ac:dyDescent="0.25">
      <c r="A308" s="291"/>
      <c r="B308" s="533">
        <v>43221</v>
      </c>
      <c r="C308" s="291">
        <v>300</v>
      </c>
      <c r="D308" s="296">
        <v>24.65</v>
      </c>
      <c r="E308" s="292">
        <v>0</v>
      </c>
      <c r="F308" s="292">
        <f t="shared" si="41"/>
        <v>7395</v>
      </c>
      <c r="G308" s="533">
        <v>43416</v>
      </c>
      <c r="H308" s="295">
        <v>200</v>
      </c>
      <c r="I308" s="292">
        <v>31.98</v>
      </c>
      <c r="J308" s="292">
        <v>0.08</v>
      </c>
      <c r="K308" s="292">
        <f t="shared" si="42"/>
        <v>6395.92</v>
      </c>
      <c r="L308" s="291"/>
      <c r="M308" s="291"/>
    </row>
    <row r="309" spans="1:13" x14ac:dyDescent="0.25">
      <c r="A309" s="291"/>
      <c r="B309" s="533">
        <v>43237</v>
      </c>
      <c r="C309" s="291">
        <v>300</v>
      </c>
      <c r="D309" s="292">
        <v>25.27</v>
      </c>
      <c r="E309" s="292">
        <v>0</v>
      </c>
      <c r="F309" s="292">
        <f t="shared" si="41"/>
        <v>7581</v>
      </c>
      <c r="G309" s="533"/>
      <c r="H309" s="291"/>
      <c r="I309" s="292"/>
      <c r="J309" s="292"/>
      <c r="K309" s="292"/>
      <c r="L309" s="291"/>
      <c r="M309" s="291"/>
    </row>
    <row r="310" spans="1:13" x14ac:dyDescent="0.25">
      <c r="A310" s="291"/>
      <c r="B310" s="533">
        <v>43243</v>
      </c>
      <c r="C310" s="291">
        <v>200</v>
      </c>
      <c r="D310" s="296">
        <v>24.57</v>
      </c>
      <c r="E310" s="292">
        <v>0</v>
      </c>
      <c r="F310" s="292">
        <f t="shared" si="41"/>
        <v>4914</v>
      </c>
      <c r="G310" s="533"/>
      <c r="H310" s="291"/>
      <c r="I310" s="292"/>
      <c r="J310" s="292"/>
      <c r="K310" s="292"/>
      <c r="L310" s="291"/>
      <c r="M310" s="291"/>
    </row>
    <row r="311" spans="1:13" x14ac:dyDescent="0.25">
      <c r="A311" s="291" t="s">
        <v>1060</v>
      </c>
      <c r="B311" s="533">
        <v>43266</v>
      </c>
      <c r="C311" s="291">
        <v>20</v>
      </c>
      <c r="D311" s="292">
        <v>25.78</v>
      </c>
      <c r="E311" s="292">
        <v>0</v>
      </c>
      <c r="F311" s="292">
        <f t="shared" si="41"/>
        <v>515.6</v>
      </c>
      <c r="G311" s="533"/>
      <c r="H311" s="291"/>
      <c r="I311" s="292"/>
      <c r="J311" s="292"/>
      <c r="K311" s="292"/>
      <c r="L311" s="291"/>
      <c r="M311" s="291"/>
    </row>
    <row r="312" spans="1:13" x14ac:dyDescent="0.25">
      <c r="A312" s="291"/>
      <c r="B312" s="533">
        <v>43266</v>
      </c>
      <c r="C312" s="291">
        <v>200</v>
      </c>
      <c r="D312" s="292">
        <v>25.78</v>
      </c>
      <c r="E312" s="292">
        <v>0</v>
      </c>
      <c r="F312" s="292">
        <f t="shared" si="41"/>
        <v>5156</v>
      </c>
      <c r="G312" s="533"/>
      <c r="H312" s="291"/>
      <c r="I312" s="292"/>
      <c r="J312" s="292"/>
      <c r="K312" s="292"/>
      <c r="L312" s="291"/>
      <c r="M312" s="291"/>
    </row>
    <row r="313" spans="1:13" x14ac:dyDescent="0.25">
      <c r="A313" s="291"/>
      <c r="B313" s="533">
        <v>43272</v>
      </c>
      <c r="C313" s="291">
        <v>300</v>
      </c>
      <c r="D313" s="292">
        <v>27.98</v>
      </c>
      <c r="E313" s="292">
        <v>0</v>
      </c>
      <c r="F313" s="292">
        <f t="shared" si="41"/>
        <v>8394</v>
      </c>
      <c r="G313" s="533"/>
      <c r="H313" s="291"/>
      <c r="I313" s="292"/>
      <c r="J313" s="292"/>
      <c r="K313" s="292"/>
      <c r="L313" s="291"/>
      <c r="M313" s="291"/>
    </row>
    <row r="314" spans="1:13" x14ac:dyDescent="0.25">
      <c r="A314" s="291"/>
      <c r="B314" s="533">
        <v>43273</v>
      </c>
      <c r="C314" s="295">
        <v>1000</v>
      </c>
      <c r="D314" s="292">
        <v>29.06</v>
      </c>
      <c r="E314" s="292">
        <v>0</v>
      </c>
      <c r="F314" s="292">
        <f t="shared" si="41"/>
        <v>29060</v>
      </c>
      <c r="G314" s="533"/>
      <c r="H314" s="291"/>
      <c r="I314" s="292"/>
      <c r="J314" s="292"/>
      <c r="K314" s="292"/>
      <c r="L314" s="291"/>
      <c r="M314" s="291"/>
    </row>
    <row r="315" spans="1:13" x14ac:dyDescent="0.25">
      <c r="A315" s="291"/>
      <c r="B315" s="533">
        <v>43321</v>
      </c>
      <c r="C315" s="291">
        <v>200</v>
      </c>
      <c r="D315" s="296">
        <v>29.88</v>
      </c>
      <c r="E315" s="292">
        <v>0</v>
      </c>
      <c r="F315" s="292">
        <f t="shared" si="41"/>
        <v>5976</v>
      </c>
      <c r="G315" s="533"/>
      <c r="H315" s="291"/>
      <c r="I315" s="292"/>
      <c r="J315" s="292"/>
      <c r="K315" s="292"/>
      <c r="L315" s="291"/>
      <c r="M315" s="291"/>
    </row>
    <row r="316" spans="1:13" x14ac:dyDescent="0.25">
      <c r="A316" s="291"/>
      <c r="B316" s="533">
        <v>43321</v>
      </c>
      <c r="C316" s="291">
        <v>100</v>
      </c>
      <c r="D316" s="296">
        <v>29.88</v>
      </c>
      <c r="E316" s="292">
        <v>0</v>
      </c>
      <c r="F316" s="292">
        <f t="shared" si="41"/>
        <v>2988</v>
      </c>
      <c r="G316" s="533"/>
      <c r="H316" s="291"/>
      <c r="I316" s="292"/>
      <c r="J316" s="292"/>
      <c r="K316" s="292"/>
      <c r="L316" s="291"/>
      <c r="M316" s="291"/>
    </row>
    <row r="317" spans="1:13" x14ac:dyDescent="0.25">
      <c r="A317" s="291"/>
      <c r="B317" s="533">
        <v>43356</v>
      </c>
      <c r="C317" s="291">
        <v>200</v>
      </c>
      <c r="D317" s="292">
        <v>28.5</v>
      </c>
      <c r="E317" s="292">
        <v>0</v>
      </c>
      <c r="F317" s="292">
        <f t="shared" si="41"/>
        <v>5700</v>
      </c>
      <c r="G317" s="533"/>
      <c r="H317" s="291"/>
      <c r="I317" s="292"/>
      <c r="J317" s="292"/>
      <c r="K317" s="292"/>
      <c r="L317" s="291"/>
      <c r="M317" s="291"/>
    </row>
    <row r="318" spans="1:13" x14ac:dyDescent="0.25">
      <c r="A318" s="291"/>
      <c r="B318" s="533">
        <v>43357</v>
      </c>
      <c r="C318" s="291">
        <v>100</v>
      </c>
      <c r="D318" s="296">
        <v>27.85</v>
      </c>
      <c r="E318" s="292">
        <v>0</v>
      </c>
      <c r="F318" s="292">
        <f t="shared" si="41"/>
        <v>2785</v>
      </c>
      <c r="G318" s="533"/>
      <c r="H318" s="291"/>
      <c r="I318" s="292"/>
      <c r="J318" s="292"/>
      <c r="K318" s="292"/>
      <c r="L318" s="291"/>
      <c r="M318" s="291"/>
    </row>
    <row r="319" spans="1:13" x14ac:dyDescent="0.25">
      <c r="A319" s="889" t="s">
        <v>1236</v>
      </c>
      <c r="B319" s="533">
        <v>43377</v>
      </c>
      <c r="C319" s="291">
        <v>100</v>
      </c>
      <c r="D319" s="296">
        <v>28.88</v>
      </c>
      <c r="E319" s="292">
        <v>0</v>
      </c>
      <c r="F319" s="292">
        <f t="shared" si="41"/>
        <v>2888</v>
      </c>
      <c r="G319" s="533"/>
      <c r="H319" s="291"/>
      <c r="I319" s="292"/>
      <c r="J319" s="292"/>
      <c r="K319" s="292"/>
      <c r="L319" s="291"/>
      <c r="M319" s="291"/>
    </row>
    <row r="320" spans="1:13" x14ac:dyDescent="0.25">
      <c r="A320" s="889"/>
      <c r="B320" s="533">
        <v>43382</v>
      </c>
      <c r="C320" s="291">
        <v>100</v>
      </c>
      <c r="D320" s="292">
        <v>27.72</v>
      </c>
      <c r="E320" s="292">
        <v>0</v>
      </c>
      <c r="F320" s="292">
        <f t="shared" si="41"/>
        <v>2772</v>
      </c>
      <c r="G320" s="533"/>
      <c r="H320" s="291"/>
      <c r="I320" s="292"/>
      <c r="J320" s="292"/>
      <c r="K320" s="292"/>
      <c r="L320" s="291"/>
      <c r="M320" s="291"/>
    </row>
    <row r="321" spans="1:13" x14ac:dyDescent="0.25">
      <c r="A321" s="889"/>
      <c r="B321" s="533">
        <v>43384</v>
      </c>
      <c r="C321" s="291">
        <v>100</v>
      </c>
      <c r="D321" s="296">
        <v>26.75</v>
      </c>
      <c r="E321" s="292">
        <v>0</v>
      </c>
      <c r="F321" s="292">
        <f t="shared" si="41"/>
        <v>2675</v>
      </c>
      <c r="G321" s="533"/>
      <c r="H321" s="291"/>
      <c r="I321" s="292"/>
      <c r="J321" s="292"/>
      <c r="K321" s="292"/>
      <c r="L321" s="291"/>
      <c r="M321" s="291"/>
    </row>
    <row r="322" spans="1:13" x14ac:dyDescent="0.25">
      <c r="A322" s="291"/>
      <c r="B322" s="533"/>
      <c r="C322" s="291"/>
      <c r="D322" s="292"/>
      <c r="E322" s="292"/>
      <c r="F322" s="292"/>
      <c r="G322" s="533"/>
      <c r="H322" s="291"/>
      <c r="I322" s="292"/>
      <c r="J322" s="292"/>
      <c r="K322" s="292"/>
      <c r="L322" s="291"/>
      <c r="M322" s="291"/>
    </row>
    <row r="323" spans="1:13" x14ac:dyDescent="0.25">
      <c r="A323" s="291"/>
      <c r="B323" s="397">
        <v>43640</v>
      </c>
      <c r="C323" s="7">
        <v>150</v>
      </c>
      <c r="D323" s="43">
        <v>22.08</v>
      </c>
      <c r="E323" s="43">
        <v>0</v>
      </c>
      <c r="F323" s="43">
        <f>D323*C323+E323</f>
        <v>3311.9999999999995</v>
      </c>
      <c r="G323" s="397">
        <v>43658</v>
      </c>
      <c r="H323" s="7">
        <v>150</v>
      </c>
      <c r="I323" s="43">
        <v>22.07</v>
      </c>
      <c r="J323" s="43">
        <v>7.0000000000000007E-2</v>
      </c>
      <c r="K323" s="43">
        <f>I323*H323-J323</f>
        <v>3310.43</v>
      </c>
      <c r="L323" s="69"/>
      <c r="M323" s="3"/>
    </row>
    <row r="324" spans="1:13" x14ac:dyDescent="0.25">
      <c r="A324" s="291"/>
      <c r="B324" s="397">
        <v>43640</v>
      </c>
      <c r="C324" s="7">
        <v>15</v>
      </c>
      <c r="D324" s="43">
        <v>22.08</v>
      </c>
      <c r="E324" s="43">
        <v>0</v>
      </c>
      <c r="F324" s="43">
        <f>D324*C324+E324</f>
        <v>331.2</v>
      </c>
      <c r="G324" s="397">
        <v>43684</v>
      </c>
      <c r="H324" s="77">
        <v>150</v>
      </c>
      <c r="I324" s="43">
        <v>23.28</v>
      </c>
      <c r="J324" s="43">
        <v>7.0000000000000007E-2</v>
      </c>
      <c r="K324" s="43">
        <f>I324*H324-J324</f>
        <v>3491.93</v>
      </c>
      <c r="L324" s="69"/>
      <c r="M324" s="3"/>
    </row>
    <row r="325" spans="1:13" x14ac:dyDescent="0.25">
      <c r="A325" s="291"/>
      <c r="B325" s="397">
        <v>43641</v>
      </c>
      <c r="C325" s="7">
        <v>135</v>
      </c>
      <c r="D325" s="74">
        <v>21.51</v>
      </c>
      <c r="E325" s="43">
        <v>0</v>
      </c>
      <c r="F325" s="43">
        <f>D325*C325+E325</f>
        <v>2903.8500000000004</v>
      </c>
      <c r="G325" s="398"/>
      <c r="H325" s="158"/>
      <c r="I325" s="3"/>
      <c r="J325" s="3"/>
      <c r="K325" s="3"/>
      <c r="L325" s="69"/>
      <c r="M325" s="3"/>
    </row>
    <row r="326" spans="1:13" x14ac:dyDescent="0.25">
      <c r="A326" s="291"/>
      <c r="B326" s="398"/>
      <c r="C326" s="4"/>
      <c r="D326" s="184"/>
      <c r="E326" s="3"/>
      <c r="F326" s="3"/>
      <c r="G326" s="398"/>
      <c r="H326" s="4"/>
      <c r="I326" s="3"/>
      <c r="J326" s="3"/>
      <c r="K326" s="3"/>
      <c r="L326" s="4"/>
      <c r="M326" s="4"/>
    </row>
    <row r="327" spans="1:13" x14ac:dyDescent="0.25">
      <c r="A327" s="291"/>
      <c r="B327" s="398"/>
      <c r="C327" s="4"/>
      <c r="D327" s="184"/>
      <c r="E327" s="3"/>
      <c r="F327" s="3"/>
      <c r="G327" s="398"/>
      <c r="H327" s="4"/>
      <c r="I327" s="3"/>
      <c r="J327" s="3"/>
      <c r="K327" s="3"/>
      <c r="L327" s="4"/>
      <c r="M327" s="4"/>
    </row>
    <row r="328" spans="1:13" x14ac:dyDescent="0.25">
      <c r="A328" s="291"/>
      <c r="B328" s="533"/>
      <c r="C328" s="291"/>
      <c r="D328" s="292"/>
      <c r="E328" s="292"/>
      <c r="F328" s="292"/>
      <c r="G328" s="533"/>
      <c r="H328" s="291"/>
      <c r="I328" s="292"/>
      <c r="J328" s="292"/>
      <c r="K328" s="292"/>
      <c r="L328" s="291"/>
      <c r="M328" s="291"/>
    </row>
    <row r="329" spans="1:13" x14ac:dyDescent="0.25">
      <c r="A329" s="291"/>
      <c r="B329" s="533"/>
      <c r="C329" s="291"/>
      <c r="D329" s="296"/>
      <c r="E329" s="292"/>
      <c r="F329" s="292"/>
      <c r="G329" s="533"/>
      <c r="H329" s="291"/>
      <c r="I329" s="292"/>
      <c r="J329" s="292"/>
      <c r="K329" s="292"/>
      <c r="L329" s="291"/>
      <c r="M329" s="291"/>
    </row>
    <row r="330" spans="1:13" x14ac:dyDescent="0.25">
      <c r="A330" s="21" t="s">
        <v>81</v>
      </c>
      <c r="B330" s="12"/>
      <c r="C330" s="12">
        <f>SUM(C269:C329)</f>
        <v>12520</v>
      </c>
      <c r="D330" s="13"/>
      <c r="E330" s="13"/>
      <c r="F330" s="13">
        <f>SUM(F269:F329)</f>
        <v>330632.71999999997</v>
      </c>
      <c r="G330" s="12"/>
      <c r="H330" s="12">
        <f>SUM(H269:H329)</f>
        <v>12520</v>
      </c>
      <c r="I330" s="13"/>
      <c r="J330" s="13"/>
      <c r="K330" s="13">
        <f>SUM(K269:K329)</f>
        <v>334952.93000000005</v>
      </c>
      <c r="L330" s="12"/>
      <c r="M330" s="13">
        <f>SUM(M269:M329)</f>
        <v>1260.4000000000001</v>
      </c>
    </row>
    <row r="331" spans="1:13" ht="15.75" thickBot="1" x14ac:dyDescent="0.3">
      <c r="A331" s="273"/>
      <c r="B331" s="274"/>
      <c r="C331" s="275"/>
      <c r="D331" s="275"/>
      <c r="E331" s="275"/>
      <c r="F331" s="276"/>
      <c r="G331" s="276"/>
      <c r="H331" s="658"/>
      <c r="I331" s="275"/>
      <c r="J331" s="275"/>
      <c r="K331" s="276"/>
      <c r="L331" s="275"/>
      <c r="M331" s="276"/>
    </row>
  </sheetData>
  <mergeCells count="3">
    <mergeCell ref="O22:P22"/>
    <mergeCell ref="A6:A8"/>
    <mergeCell ref="A319:A321"/>
  </mergeCells>
  <conditionalFormatting sqref="O23:O43">
    <cfRule type="colorScale" priority="134">
      <colorScale>
        <cfvo type="min"/>
        <cfvo type="percentile" val="50"/>
        <cfvo type="max"/>
        <color rgb="FFF8696B"/>
        <color rgb="FFFFEB84"/>
        <color rgb="FF63BE7B"/>
      </colorScale>
    </cfRule>
  </conditionalFormatting>
  <conditionalFormatting sqref="P23:P43">
    <cfRule type="colorScale" priority="133">
      <colorScale>
        <cfvo type="min"/>
        <cfvo type="percentile" val="50"/>
        <cfvo type="max"/>
        <color rgb="FFF8696B"/>
        <color rgb="FFFFEB84"/>
        <color rgb="FF63BE7B"/>
      </colorScale>
    </cfRule>
  </conditionalFormatting>
  <conditionalFormatting sqref="F151:F155 F99:F102 H99:H102 H110:H112 F110:F112 K131:K133 F144:F145 H144:H145 K144:K145">
    <cfRule type="expression" dxfId="2099" priority="129">
      <formula>F99&gt;0</formula>
    </cfRule>
    <cfRule type="expression" dxfId="2098" priority="130">
      <formula>F99&lt;0</formula>
    </cfRule>
  </conditionalFormatting>
  <conditionalFormatting sqref="F156:F169 F172:F216 F219:F220">
    <cfRule type="expression" dxfId="2097" priority="125">
      <formula>F156&gt;0</formula>
    </cfRule>
    <cfRule type="expression" dxfId="2096" priority="126">
      <formula>F156&lt;0</formula>
    </cfRule>
  </conditionalFormatting>
  <conditionalFormatting sqref="F156:F169 F172:F216 F219:F220">
    <cfRule type="expression" dxfId="2095" priority="127">
      <formula>F156&gt;0</formula>
    </cfRule>
    <cfRule type="expression" dxfId="2094" priority="128">
      <formula>F156&lt;0</formula>
    </cfRule>
  </conditionalFormatting>
  <conditionalFormatting sqref="H151:H169 H172:H216 H219:H220">
    <cfRule type="expression" dxfId="2093" priority="123">
      <formula>H151&gt;0</formula>
    </cfRule>
    <cfRule type="expression" dxfId="2092" priority="124">
      <formula>H151&lt;0</formula>
    </cfRule>
  </conditionalFormatting>
  <conditionalFormatting sqref="F147:F150">
    <cfRule type="expression" dxfId="2091" priority="117">
      <formula>F147&gt;0</formula>
    </cfRule>
    <cfRule type="expression" dxfId="2090" priority="118">
      <formula>F147&lt;0</formula>
    </cfRule>
  </conditionalFormatting>
  <conditionalFormatting sqref="H147:H150">
    <cfRule type="expression" dxfId="2089" priority="115">
      <formula>H147&gt;0</formula>
    </cfRule>
    <cfRule type="expression" dxfId="2088" priority="116">
      <formula>H147&lt;0</formula>
    </cfRule>
  </conditionalFormatting>
  <conditionalFormatting sqref="Q8">
    <cfRule type="expression" dxfId="2087" priority="111">
      <formula>Q8&gt;0</formula>
    </cfRule>
    <cfRule type="expression" dxfId="2086" priority="112">
      <formula>Q8&lt;0</formula>
    </cfRule>
  </conditionalFormatting>
  <conditionalFormatting sqref="Q7">
    <cfRule type="expression" dxfId="2085" priority="113">
      <formula>Q7&gt;0</formula>
    </cfRule>
    <cfRule type="expression" dxfId="2084" priority="114">
      <formula>Q7&lt;0</formula>
    </cfRule>
  </conditionalFormatting>
  <conditionalFormatting sqref="F170">
    <cfRule type="expression" dxfId="2083" priority="107">
      <formula>F170&gt;0</formula>
    </cfRule>
    <cfRule type="expression" dxfId="2082" priority="108">
      <formula>F170&lt;0</formula>
    </cfRule>
  </conditionalFormatting>
  <conditionalFormatting sqref="F170">
    <cfRule type="expression" dxfId="2081" priority="109">
      <formula>F170&gt;0</formula>
    </cfRule>
    <cfRule type="expression" dxfId="2080" priority="110">
      <formula>F170&lt;0</formula>
    </cfRule>
  </conditionalFormatting>
  <conditionalFormatting sqref="H170">
    <cfRule type="expression" dxfId="2079" priority="105">
      <formula>H170&gt;0</formula>
    </cfRule>
    <cfRule type="expression" dxfId="2078" priority="106">
      <formula>H170&lt;0</formula>
    </cfRule>
  </conditionalFormatting>
  <conditionalFormatting sqref="F171">
    <cfRule type="expression" dxfId="2077" priority="101">
      <formula>F171&gt;0</formula>
    </cfRule>
    <cfRule type="expression" dxfId="2076" priority="102">
      <formula>F171&lt;0</formula>
    </cfRule>
  </conditionalFormatting>
  <conditionalFormatting sqref="F171">
    <cfRule type="expression" dxfId="2075" priority="103">
      <formula>F171&gt;0</formula>
    </cfRule>
    <cfRule type="expression" dxfId="2074" priority="104">
      <formula>F171&lt;0</formula>
    </cfRule>
  </conditionalFormatting>
  <conditionalFormatting sqref="H171">
    <cfRule type="expression" dxfId="2073" priority="99">
      <formula>H171&gt;0</formula>
    </cfRule>
    <cfRule type="expression" dxfId="2072" priority="100">
      <formula>H171&lt;0</formula>
    </cfRule>
  </conditionalFormatting>
  <conditionalFormatting sqref="F217:F218">
    <cfRule type="expression" dxfId="2071" priority="95">
      <formula>F217&gt;0</formula>
    </cfRule>
    <cfRule type="expression" dxfId="2070" priority="96">
      <formula>F217&lt;0</formula>
    </cfRule>
  </conditionalFormatting>
  <conditionalFormatting sqref="F217:F218">
    <cfRule type="expression" dxfId="2069" priority="97">
      <formula>F217&gt;0</formula>
    </cfRule>
    <cfRule type="expression" dxfId="2068" priority="98">
      <formula>F217&lt;0</formula>
    </cfRule>
  </conditionalFormatting>
  <conditionalFormatting sqref="H217:H218">
    <cfRule type="expression" dxfId="2067" priority="93">
      <formula>H217&gt;0</formula>
    </cfRule>
    <cfRule type="expression" dxfId="2066" priority="94">
      <formula>H217&lt;0</formula>
    </cfRule>
  </conditionalFormatting>
  <conditionalFormatting sqref="F24:F39">
    <cfRule type="expression" dxfId="2065" priority="91">
      <formula>F24&gt;0</formula>
    </cfRule>
    <cfRule type="expression" dxfId="2064" priority="92">
      <formula>F24&lt;0</formula>
    </cfRule>
  </conditionalFormatting>
  <conditionalFormatting sqref="H24:H39">
    <cfRule type="expression" dxfId="2063" priority="89">
      <formula>H24&gt;0</formula>
    </cfRule>
    <cfRule type="expression" dxfId="2062" priority="90">
      <formula>H24&lt;0</formula>
    </cfRule>
  </conditionalFormatting>
  <conditionalFormatting sqref="Q10">
    <cfRule type="expression" dxfId="2061" priority="87">
      <formula>Q10&gt;0</formula>
    </cfRule>
    <cfRule type="expression" dxfId="2060" priority="88">
      <formula>Q10&lt;0</formula>
    </cfRule>
  </conditionalFormatting>
  <conditionalFormatting sqref="J34">
    <cfRule type="expression" dxfId="2059" priority="85">
      <formula>J34&gt;0</formula>
    </cfRule>
    <cfRule type="expression" dxfId="2058" priority="86">
      <formula>J34&lt;0</formula>
    </cfRule>
  </conditionalFormatting>
  <conditionalFormatting sqref="F41:F49">
    <cfRule type="expression" dxfId="2057" priority="79">
      <formula>F41&gt;0</formula>
    </cfRule>
    <cfRule type="expression" dxfId="2056" priority="80">
      <formula>F41&lt;0</formula>
    </cfRule>
  </conditionalFormatting>
  <conditionalFormatting sqref="H41:H49">
    <cfRule type="expression" dxfId="2055" priority="77">
      <formula>H41&gt;0</formula>
    </cfRule>
    <cfRule type="expression" dxfId="2054" priority="78">
      <formula>H41&lt;0</formula>
    </cfRule>
  </conditionalFormatting>
  <conditionalFormatting sqref="R4">
    <cfRule type="expression" dxfId="2053" priority="75">
      <formula>R4&gt;0</formula>
    </cfRule>
    <cfRule type="expression" dxfId="2052" priority="76">
      <formula>R4&lt;0</formula>
    </cfRule>
  </conditionalFormatting>
  <conditionalFormatting sqref="Q9">
    <cfRule type="expression" dxfId="2051" priority="73">
      <formula>Q9&gt;0</formula>
    </cfRule>
    <cfRule type="expression" dxfId="2050" priority="74">
      <formula>Q9&lt;0</formula>
    </cfRule>
  </conditionalFormatting>
  <conditionalFormatting sqref="F50:F73">
    <cfRule type="expression" dxfId="2049" priority="69">
      <formula>F50&gt;0</formula>
    </cfRule>
    <cfRule type="expression" dxfId="2048" priority="70">
      <formula>F50&lt;0</formula>
    </cfRule>
  </conditionalFormatting>
  <conditionalFormatting sqref="H50:H73">
    <cfRule type="expression" dxfId="2047" priority="67">
      <formula>H50&gt;0</formula>
    </cfRule>
    <cfRule type="expression" dxfId="2046" priority="68">
      <formula>H50&lt;0</formula>
    </cfRule>
  </conditionalFormatting>
  <conditionalFormatting sqref="W1:W3 W5:W6">
    <cfRule type="iconSet" priority="65">
      <iconSet iconSet="3Arrows">
        <cfvo type="percent" val="0"/>
        <cfvo type="num" val="0"/>
        <cfvo type="num" val="0"/>
      </iconSet>
    </cfRule>
  </conditionalFormatting>
  <conditionalFormatting sqref="W7:W51">
    <cfRule type="iconSet" priority="721">
      <iconSet iconSet="3Arrows">
        <cfvo type="percent" val="0"/>
        <cfvo type="num" val="0"/>
        <cfvo type="num" val="0"/>
      </iconSet>
    </cfRule>
  </conditionalFormatting>
  <conditionalFormatting sqref="F74:F98">
    <cfRule type="expression" dxfId="2045" priority="63">
      <formula>F74&gt;0</formula>
    </cfRule>
    <cfRule type="expression" dxfId="2044" priority="64">
      <formula>F74&lt;0</formula>
    </cfRule>
  </conditionalFormatting>
  <conditionalFormatting sqref="H74:H98">
    <cfRule type="expression" dxfId="2043" priority="61">
      <formula>H74&gt;0</formula>
    </cfRule>
    <cfRule type="expression" dxfId="2042" priority="62">
      <formula>H74&lt;0</formula>
    </cfRule>
  </conditionalFormatting>
  <conditionalFormatting sqref="H108:H109 F108:F109">
    <cfRule type="expression" dxfId="2041" priority="43">
      <formula>F108&gt;0</formula>
    </cfRule>
    <cfRule type="expression" dxfId="2040" priority="44">
      <formula>F108&lt;0</formula>
    </cfRule>
  </conditionalFormatting>
  <conditionalFormatting sqref="H103:H107 F103:F107">
    <cfRule type="expression" dxfId="2039" priority="41">
      <formula>F103&gt;0</formula>
    </cfRule>
    <cfRule type="expression" dxfId="2038" priority="42">
      <formula>F103&lt;0</formula>
    </cfRule>
  </conditionalFormatting>
  <conditionalFormatting sqref="F40">
    <cfRule type="expression" dxfId="2037" priority="39">
      <formula>F40&gt;0</formula>
    </cfRule>
    <cfRule type="expression" dxfId="2036" priority="40">
      <formula>F40&lt;0</formula>
    </cfRule>
  </conditionalFormatting>
  <conditionalFormatting sqref="H40">
    <cfRule type="expression" dxfId="2035" priority="37">
      <formula>H40&gt;0</formula>
    </cfRule>
    <cfRule type="expression" dxfId="2034" priority="38">
      <formula>H40&lt;0</formula>
    </cfRule>
  </conditionalFormatting>
  <conditionalFormatting sqref="F131:F133 H131:H133">
    <cfRule type="expression" dxfId="2033" priority="35">
      <formula>F131&gt;0</formula>
    </cfRule>
    <cfRule type="expression" dxfId="2032" priority="36">
      <formula>F131&lt;0</formula>
    </cfRule>
  </conditionalFormatting>
  <conditionalFormatting sqref="F120:F124 H120:H124">
    <cfRule type="expression" dxfId="2031" priority="31">
      <formula>F120&gt;0</formula>
    </cfRule>
    <cfRule type="expression" dxfId="2030" priority="32">
      <formula>F120&lt;0</formula>
    </cfRule>
  </conditionalFormatting>
  <conditionalFormatting sqref="F117:F119 H117:H119">
    <cfRule type="expression" dxfId="2029" priority="27">
      <formula>F117&gt;0</formula>
    </cfRule>
    <cfRule type="expression" dxfId="2028" priority="28">
      <formula>F117&lt;0</formula>
    </cfRule>
  </conditionalFormatting>
  <conditionalFormatting sqref="F114:F116 H114:H116">
    <cfRule type="expression" dxfId="2027" priority="25">
      <formula>F114&gt;0</formula>
    </cfRule>
    <cfRule type="expression" dxfId="2026" priority="26">
      <formula>F114&lt;0</formula>
    </cfRule>
  </conditionalFormatting>
  <conditionalFormatting sqref="F113 H113">
    <cfRule type="expression" dxfId="2025" priority="23">
      <formula>F113&gt;0</formula>
    </cfRule>
    <cfRule type="expression" dxfId="2024" priority="24">
      <formula>F113&lt;0</formula>
    </cfRule>
  </conditionalFormatting>
  <conditionalFormatting sqref="F126:F128 H126:H128 K24:K128">
    <cfRule type="expression" dxfId="2023" priority="21">
      <formula>F24&gt;0</formula>
    </cfRule>
    <cfRule type="expression" dxfId="2022" priority="22">
      <formula>F24&lt;0</formula>
    </cfRule>
  </conditionalFormatting>
  <conditionalFormatting sqref="F125 H125">
    <cfRule type="expression" dxfId="2021" priority="19">
      <formula>F125&gt;0</formula>
    </cfRule>
    <cfRule type="expression" dxfId="2020" priority="20">
      <formula>F125&lt;0</formula>
    </cfRule>
  </conditionalFormatting>
  <conditionalFormatting sqref="F129:F130 H129:H130 K129:K130">
    <cfRule type="expression" dxfId="2019" priority="17">
      <formula>F129&gt;0</formula>
    </cfRule>
    <cfRule type="expression" dxfId="2018" priority="18">
      <formula>F129&lt;0</formula>
    </cfRule>
  </conditionalFormatting>
  <conditionalFormatting sqref="F136:F138 H136:H138 K136:K138">
    <cfRule type="expression" dxfId="2017" priority="13">
      <formula>F136&gt;0</formula>
    </cfRule>
    <cfRule type="expression" dxfId="2016" priority="14">
      <formula>F136&lt;0</formula>
    </cfRule>
  </conditionalFormatting>
  <conditionalFormatting sqref="F134:F135 H134:H135 K134:K135">
    <cfRule type="expression" dxfId="2015" priority="11">
      <formula>F134&gt;0</formula>
    </cfRule>
    <cfRule type="expression" dxfId="2014" priority="12">
      <formula>F134&lt;0</formula>
    </cfRule>
  </conditionalFormatting>
  <conditionalFormatting sqref="F143 H143 K143">
    <cfRule type="expression" dxfId="2013" priority="7">
      <formula>F143&gt;0</formula>
    </cfRule>
    <cfRule type="expression" dxfId="2012" priority="8">
      <formula>F143&lt;0</formula>
    </cfRule>
  </conditionalFormatting>
  <conditionalFormatting sqref="F140:F142 H140:H142">
    <cfRule type="expression" dxfId="2011" priority="5">
      <formula>F140&gt;0</formula>
    </cfRule>
    <cfRule type="expression" dxfId="2010" priority="6">
      <formula>F140&lt;0</formula>
    </cfRule>
  </conditionalFormatting>
  <conditionalFormatting sqref="F139 H139 K139">
    <cfRule type="expression" dxfId="2009" priority="3">
      <formula>F139&gt;0</formula>
    </cfRule>
    <cfRule type="expression" dxfId="2008" priority="4">
      <formula>F139&lt;0</formula>
    </cfRule>
  </conditionalFormatting>
  <conditionalFormatting sqref="K140:K142">
    <cfRule type="expression" dxfId="2007" priority="1">
      <formula>K140&gt;0</formula>
    </cfRule>
    <cfRule type="expression" dxfId="2006" priority="2">
      <formula>K140&lt;0</formula>
    </cfRule>
  </conditionalFormatting>
  <hyperlinks>
    <hyperlink ref="A3" location="ACTIVE!A1" display="Back"/>
    <hyperlink ref="A241" location="ACTIVE!A1" display="Back"/>
    <hyperlink ref="U4" r:id="rId1"/>
    <hyperlink ref="T2" r:id="rId2"/>
    <hyperlink ref="A270" location="ACTIVE!A1" display="Back"/>
  </hyperlinks>
  <pageMargins left="0.7" right="0.7" top="0.75" bottom="0.75" header="0.3" footer="0.3"/>
  <pageSetup orientation="portrait" r:id="rId3"/>
  <drawing r:id="rId4"/>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10.7109375" bestFit="1" customWidth="1"/>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873</v>
      </c>
      <c r="B2" s="397">
        <v>43161</v>
      </c>
      <c r="C2" s="7">
        <v>20</v>
      </c>
      <c r="D2" s="43">
        <v>198</v>
      </c>
      <c r="E2" s="43">
        <v>0</v>
      </c>
      <c r="F2" s="43">
        <f t="shared" ref="F2:F7" si="0">C2*D2+E2</f>
        <v>3960</v>
      </c>
      <c r="G2" s="397">
        <v>43227</v>
      </c>
      <c r="H2" s="7">
        <v>20</v>
      </c>
      <c r="I2" s="43">
        <v>204.88</v>
      </c>
      <c r="J2" s="43">
        <v>0.09</v>
      </c>
      <c r="K2" s="43">
        <f t="shared" ref="K2:K7" si="1">H2*I2-J2</f>
        <v>4097.51</v>
      </c>
      <c r="L2" s="69">
        <v>43465</v>
      </c>
      <c r="M2" s="43">
        <v>14.4</v>
      </c>
      <c r="O2" s="11" t="s">
        <v>57</v>
      </c>
      <c r="Q2">
        <f>C18-H18</f>
        <v>0</v>
      </c>
      <c r="T2" s="1" t="s">
        <v>891</v>
      </c>
      <c r="U2" t="s">
        <v>1222</v>
      </c>
    </row>
    <row r="3" spans="1:21" x14ac:dyDescent="0.25">
      <c r="A3" s="22" t="s">
        <v>71</v>
      </c>
      <c r="B3" s="397">
        <v>43343</v>
      </c>
      <c r="C3" s="7">
        <v>30</v>
      </c>
      <c r="D3" s="43">
        <v>198.6</v>
      </c>
      <c r="E3" s="43">
        <v>0</v>
      </c>
      <c r="F3" s="43">
        <f t="shared" si="0"/>
        <v>5958</v>
      </c>
      <c r="G3" s="397">
        <v>43388</v>
      </c>
      <c r="H3" s="77">
        <v>30</v>
      </c>
      <c r="I3" s="43">
        <v>169.38</v>
      </c>
      <c r="J3" s="43">
        <v>7.0000000000000007E-2</v>
      </c>
      <c r="K3" s="43">
        <f t="shared" si="1"/>
        <v>5081.33</v>
      </c>
      <c r="L3" s="69">
        <v>43555</v>
      </c>
      <c r="M3" s="43">
        <v>14.4</v>
      </c>
      <c r="O3" s="11" t="s">
        <v>58</v>
      </c>
      <c r="Q3" s="174">
        <f>IF(Q2=0, Q4, (F18-K18-M18)/Q2)</f>
        <v>266.85000000000002</v>
      </c>
      <c r="T3" s="1"/>
    </row>
    <row r="4" spans="1:21" x14ac:dyDescent="0.25">
      <c r="B4" s="397">
        <v>43353</v>
      </c>
      <c r="C4" s="7">
        <v>30</v>
      </c>
      <c r="D4" s="43">
        <v>189.28</v>
      </c>
      <c r="E4" s="43">
        <v>0</v>
      </c>
      <c r="F4" s="43">
        <f t="shared" si="0"/>
        <v>5678.4</v>
      </c>
      <c r="G4" s="397">
        <v>43411</v>
      </c>
      <c r="H4" s="77">
        <v>30</v>
      </c>
      <c r="I4" s="43">
        <v>193</v>
      </c>
      <c r="J4" s="43">
        <v>0.08</v>
      </c>
      <c r="K4" s="43">
        <f t="shared" si="1"/>
        <v>5789.92</v>
      </c>
      <c r="L4" s="4"/>
      <c r="M4" s="4"/>
      <c r="O4" s="11" t="s">
        <v>66</v>
      </c>
      <c r="Q4" s="53">
        <v>266.85000000000002</v>
      </c>
      <c r="R4" s="416">
        <v>1.12E-2</v>
      </c>
      <c r="T4" s="680"/>
      <c r="U4" s="30"/>
    </row>
    <row r="5" spans="1:21" x14ac:dyDescent="0.25">
      <c r="B5" s="397">
        <v>43388</v>
      </c>
      <c r="C5" s="7">
        <v>30</v>
      </c>
      <c r="D5" s="43">
        <v>167.88</v>
      </c>
      <c r="E5" s="43">
        <v>0</v>
      </c>
      <c r="F5" s="43">
        <f t="shared" si="0"/>
        <v>5036.3999999999996</v>
      </c>
      <c r="G5" s="397">
        <v>43432</v>
      </c>
      <c r="H5" s="77">
        <v>30</v>
      </c>
      <c r="I5" s="43">
        <v>193</v>
      </c>
      <c r="J5" s="43">
        <v>0.08</v>
      </c>
      <c r="K5" s="43">
        <f t="shared" si="1"/>
        <v>5789.92</v>
      </c>
      <c r="L5" s="4"/>
      <c r="M5" s="4"/>
      <c r="O5" s="11" t="s">
        <v>67</v>
      </c>
      <c r="Q5" s="3">
        <f>Q4*Q2</f>
        <v>0</v>
      </c>
    </row>
    <row r="6" spans="1:21" x14ac:dyDescent="0.25">
      <c r="B6" s="397">
        <v>43413</v>
      </c>
      <c r="C6" s="7">
        <v>30</v>
      </c>
      <c r="D6" s="43">
        <v>182.47</v>
      </c>
      <c r="E6" s="43">
        <v>0</v>
      </c>
      <c r="F6" s="43">
        <f t="shared" si="0"/>
        <v>5474.1</v>
      </c>
      <c r="G6" s="397">
        <v>43516</v>
      </c>
      <c r="H6" s="77">
        <v>30</v>
      </c>
      <c r="I6" s="43">
        <v>193.58</v>
      </c>
      <c r="J6" s="43">
        <v>0.08</v>
      </c>
      <c r="K6" s="43">
        <f t="shared" si="1"/>
        <v>5807.3200000000006</v>
      </c>
      <c r="L6" s="4"/>
      <c r="M6" s="4"/>
      <c r="O6" s="11" t="s">
        <v>64</v>
      </c>
      <c r="Q6" s="2">
        <f>Q3*Q2</f>
        <v>0</v>
      </c>
    </row>
    <row r="7" spans="1:21" x14ac:dyDescent="0.25">
      <c r="B7" s="397">
        <v>43434</v>
      </c>
      <c r="C7" s="7">
        <v>30</v>
      </c>
      <c r="D7" s="43">
        <v>191.08</v>
      </c>
      <c r="E7" s="43">
        <v>0</v>
      </c>
      <c r="F7" s="43">
        <f t="shared" si="0"/>
        <v>5732.4000000000005</v>
      </c>
      <c r="G7" s="397">
        <v>43535</v>
      </c>
      <c r="H7" s="77">
        <v>30</v>
      </c>
      <c r="I7" s="43">
        <v>199</v>
      </c>
      <c r="J7" s="43">
        <v>0.08</v>
      </c>
      <c r="K7" s="43">
        <f t="shared" si="1"/>
        <v>5969.92</v>
      </c>
      <c r="L7" s="4"/>
      <c r="M7" s="4"/>
      <c r="O7" s="11" t="s">
        <v>175</v>
      </c>
      <c r="Q7" s="2">
        <f>Q10+Q8</f>
        <v>725.41999999999462</v>
      </c>
      <c r="R7">
        <v>0</v>
      </c>
    </row>
    <row r="8" spans="1:21" x14ac:dyDescent="0.25">
      <c r="B8" s="398"/>
      <c r="C8" s="4"/>
      <c r="D8" s="3"/>
      <c r="E8" s="3"/>
      <c r="F8" s="3"/>
      <c r="G8" s="398"/>
      <c r="H8" s="158"/>
      <c r="I8" s="3"/>
      <c r="J8" s="3"/>
      <c r="K8" s="3"/>
      <c r="L8" s="4"/>
      <c r="M8" s="4"/>
      <c r="O8" s="11" t="s">
        <v>177</v>
      </c>
      <c r="P8" s="33"/>
      <c r="Q8" s="2">
        <f>K18+M18-F18+Q2*Q4</f>
        <v>725.41999999999462</v>
      </c>
    </row>
    <row r="9" spans="1:21" x14ac:dyDescent="0.25">
      <c r="B9" s="398"/>
      <c r="C9" s="4"/>
      <c r="D9" s="3"/>
      <c r="E9" s="3"/>
      <c r="F9" s="3"/>
      <c r="G9" s="398"/>
      <c r="H9" s="158"/>
      <c r="I9" s="3"/>
      <c r="J9" s="3"/>
      <c r="K9" s="3"/>
      <c r="L9" s="4"/>
      <c r="M9" s="4"/>
      <c r="O9" s="11" t="s">
        <v>202</v>
      </c>
      <c r="Q9" s="131">
        <f>IF(Q2=0, 0, Q8/Q6)</f>
        <v>0</v>
      </c>
      <c r="T9" s="153"/>
    </row>
    <row r="10" spans="1:21" x14ac:dyDescent="0.25">
      <c r="B10" s="398"/>
      <c r="C10" s="4"/>
      <c r="D10" s="3"/>
      <c r="E10" s="3"/>
      <c r="F10" s="3"/>
      <c r="G10" s="398"/>
      <c r="H10" s="158"/>
      <c r="I10" s="3"/>
      <c r="J10" s="3"/>
      <c r="K10" s="3"/>
      <c r="L10" s="4"/>
      <c r="M10" s="4"/>
      <c r="O10" s="11" t="s">
        <v>201</v>
      </c>
      <c r="P10" s="33"/>
      <c r="Q10" s="2">
        <f>M66</f>
        <v>0</v>
      </c>
    </row>
    <row r="11" spans="1:21" x14ac:dyDescent="0.25">
      <c r="B11" s="398"/>
      <c r="C11" s="4"/>
      <c r="D11" s="3"/>
      <c r="E11" s="3"/>
      <c r="F11" s="3"/>
      <c r="G11" s="398"/>
      <c r="H11" s="158"/>
      <c r="I11" s="3"/>
      <c r="J11" s="3"/>
      <c r="K11" s="3"/>
      <c r="L11" s="4"/>
      <c r="M11" s="4"/>
      <c r="O11" s="11" t="s">
        <v>173</v>
      </c>
      <c r="P11" s="33"/>
      <c r="Q11" s="131">
        <f>R11/Q4 *4</f>
        <v>7.1950534007869582E-3</v>
      </c>
      <c r="R11">
        <v>0.48</v>
      </c>
    </row>
    <row r="12" spans="1:21" x14ac:dyDescent="0.25">
      <c r="B12" s="29"/>
      <c r="G12" s="29"/>
      <c r="H12" s="67"/>
      <c r="O12" s="11" t="s">
        <v>923</v>
      </c>
      <c r="Q12" s="29" t="s">
        <v>1323</v>
      </c>
    </row>
    <row r="13" spans="1:21" x14ac:dyDescent="0.25">
      <c r="B13" s="29"/>
      <c r="G13" s="29"/>
      <c r="H13" s="67"/>
      <c r="O13" s="11" t="s">
        <v>901</v>
      </c>
      <c r="Q13" s="2">
        <f>Q4/8.62</f>
        <v>30.957076566125295</v>
      </c>
    </row>
    <row r="14" spans="1:21" x14ac:dyDescent="0.25">
      <c r="B14" s="29"/>
      <c r="G14" s="29"/>
      <c r="H14" s="67"/>
      <c r="O14" s="11" t="s">
        <v>988</v>
      </c>
      <c r="Q14" s="29">
        <v>43426</v>
      </c>
    </row>
    <row r="15" spans="1:21" x14ac:dyDescent="0.25">
      <c r="B15" s="29"/>
      <c r="G15" s="29"/>
      <c r="H15" s="67"/>
    </row>
    <row r="16" spans="1:21" x14ac:dyDescent="0.25">
      <c r="B16" s="29"/>
      <c r="G16" s="29"/>
      <c r="H16" s="67"/>
    </row>
    <row r="17" spans="1:16" x14ac:dyDescent="0.25">
      <c r="B17" s="29"/>
      <c r="G17" s="29"/>
    </row>
    <row r="18" spans="1:16" x14ac:dyDescent="0.25">
      <c r="A18" s="31" t="s">
        <v>81</v>
      </c>
      <c r="B18" s="14"/>
      <c r="C18" s="14">
        <f>SUM(C2:C8)</f>
        <v>170</v>
      </c>
      <c r="D18" s="18"/>
      <c r="E18" s="18"/>
      <c r="F18" s="18">
        <f>SUM(F2:F8)</f>
        <v>31839.300000000003</v>
      </c>
      <c r="G18" s="14"/>
      <c r="H18" s="68">
        <f>SUM(H2:H7)</f>
        <v>170</v>
      </c>
      <c r="I18" s="18"/>
      <c r="J18" s="18"/>
      <c r="K18" s="18">
        <f>SUM(K2:K7)</f>
        <v>32535.919999999998</v>
      </c>
      <c r="L18" s="14"/>
      <c r="M18" s="18">
        <f>SUM(M2:M10)</f>
        <v>28.8</v>
      </c>
    </row>
    <row r="19" spans="1:16" ht="15.75" thickBot="1" x14ac:dyDescent="0.3">
      <c r="A19" s="273" t="s">
        <v>189</v>
      </c>
      <c r="B19" s="274"/>
      <c r="C19" s="275">
        <f>SumByColor($A$19,C2:C17)</f>
        <v>170</v>
      </c>
      <c r="D19" s="275"/>
      <c r="E19" s="275"/>
      <c r="F19" s="276">
        <f>SumByColor($A$19,F2:F17)</f>
        <v>31838</v>
      </c>
      <c r="G19" s="275"/>
      <c r="H19" s="275">
        <f>SumByColor($A$19,H2:H17)</f>
        <v>170</v>
      </c>
      <c r="I19" s="275"/>
      <c r="J19" s="275"/>
      <c r="K19" s="276">
        <f>SumByColor($A$19,K2:K17)</f>
        <v>32536</v>
      </c>
      <c r="L19" s="275"/>
      <c r="M19" s="276">
        <f>SumByColor($A$19,M2:M17)</f>
        <v>28</v>
      </c>
    </row>
    <row r="21" spans="1:16" ht="20.25" thickBot="1" x14ac:dyDescent="0.35">
      <c r="O21" s="766" t="s">
        <v>78</v>
      </c>
      <c r="P21" s="766"/>
    </row>
    <row r="22" spans="1:16" ht="15.75" thickTop="1" x14ac:dyDescent="0.25">
      <c r="O22" s="78">
        <v>1.1000000000000001</v>
      </c>
      <c r="P22" s="78">
        <f>O22*$Q$4</f>
        <v>293.53500000000003</v>
      </c>
    </row>
    <row r="23" spans="1:16" x14ac:dyDescent="0.25">
      <c r="O23" s="78">
        <v>1.0900000000000001</v>
      </c>
      <c r="P23" s="78">
        <f t="shared" ref="P23:P42" si="2">O23*$Q$4</f>
        <v>290.86650000000003</v>
      </c>
    </row>
    <row r="24" spans="1:16" x14ac:dyDescent="0.25">
      <c r="B24" s="159" t="s">
        <v>113</v>
      </c>
      <c r="C24" s="159" t="s">
        <v>143</v>
      </c>
      <c r="D24" s="160" t="s">
        <v>142</v>
      </c>
      <c r="E24" s="162" t="s">
        <v>144</v>
      </c>
      <c r="F24" s="162" t="s">
        <v>65</v>
      </c>
      <c r="G24" s="173" t="s">
        <v>148</v>
      </c>
      <c r="H24" s="173" t="s">
        <v>88</v>
      </c>
      <c r="I24" s="173" t="s">
        <v>151</v>
      </c>
      <c r="J24" s="173" t="s">
        <v>147</v>
      </c>
      <c r="K24" s="173" t="s">
        <v>452</v>
      </c>
      <c r="L24" s="173" t="s">
        <v>1290</v>
      </c>
      <c r="O24" s="78">
        <v>1.08</v>
      </c>
      <c r="P24" s="78">
        <f t="shared" si="2"/>
        <v>288.19800000000004</v>
      </c>
    </row>
    <row r="25" spans="1:16" x14ac:dyDescent="0.25">
      <c r="B25" s="161">
        <v>43161</v>
      </c>
      <c r="C25" s="10">
        <v>20</v>
      </c>
      <c r="D25" s="39">
        <v>198</v>
      </c>
      <c r="E25" s="39"/>
      <c r="F25" s="39"/>
      <c r="G25" s="39"/>
      <c r="H25" s="175"/>
      <c r="I25" s="39"/>
      <c r="J25" s="39"/>
      <c r="K25" s="39"/>
      <c r="L25" s="39"/>
      <c r="O25" s="78">
        <v>1.07</v>
      </c>
      <c r="P25" s="78">
        <f t="shared" si="2"/>
        <v>285.52950000000004</v>
      </c>
    </row>
    <row r="26" spans="1:16" x14ac:dyDescent="0.25">
      <c r="A26" s="1">
        <v>43192</v>
      </c>
      <c r="B26" s="161">
        <v>43172</v>
      </c>
      <c r="C26" s="10">
        <v>20</v>
      </c>
      <c r="D26" s="39">
        <v>198</v>
      </c>
      <c r="E26" s="39">
        <v>210.32</v>
      </c>
      <c r="F26" s="39">
        <f>(E26-D26)*C26</f>
        <v>246.39999999999986</v>
      </c>
      <c r="G26" s="39"/>
      <c r="H26" s="175"/>
      <c r="I26" s="39"/>
      <c r="J26" s="39">
        <v>246.39999999999986</v>
      </c>
      <c r="K26" s="39"/>
      <c r="L26" s="39"/>
      <c r="O26" s="78">
        <v>1.06</v>
      </c>
      <c r="P26" s="78">
        <f t="shared" si="2"/>
        <v>282.86100000000005</v>
      </c>
    </row>
    <row r="27" spans="1:16" x14ac:dyDescent="0.25">
      <c r="B27" s="161">
        <v>43227</v>
      </c>
      <c r="C27" s="10">
        <v>0</v>
      </c>
      <c r="D27" s="39"/>
      <c r="E27" s="39"/>
      <c r="F27" s="39">
        <v>137.51</v>
      </c>
      <c r="G27" s="39"/>
      <c r="H27" s="175"/>
      <c r="I27" s="39"/>
      <c r="J27" s="39">
        <v>137.51</v>
      </c>
      <c r="K27" s="39"/>
      <c r="L27" s="152"/>
      <c r="O27" s="78">
        <v>1.05</v>
      </c>
      <c r="P27" s="78">
        <f t="shared" si="2"/>
        <v>280.19250000000005</v>
      </c>
    </row>
    <row r="28" spans="1:16" x14ac:dyDescent="0.25">
      <c r="B28" s="161">
        <v>43343</v>
      </c>
      <c r="C28" s="181">
        <v>30</v>
      </c>
      <c r="D28" s="182">
        <v>194.0163</v>
      </c>
      <c r="E28" s="39">
        <v>198.72</v>
      </c>
      <c r="F28" s="39">
        <f t="shared" ref="F28:F35" si="3">C28*(E28-D28)</f>
        <v>141.11099999999993</v>
      </c>
      <c r="G28" s="39">
        <f t="shared" ref="G28:G35" si="4">D28*C28</f>
        <v>5820.4889999999996</v>
      </c>
      <c r="H28" s="175">
        <f t="shared" ref="H28:H48" si="5">(E28-D28)/D28</f>
        <v>2.424383930628508E-2</v>
      </c>
      <c r="I28" s="39"/>
      <c r="J28" s="39">
        <v>141.11099999999993</v>
      </c>
      <c r="K28" s="39"/>
      <c r="L28" s="152"/>
      <c r="O28" s="78">
        <v>1.04</v>
      </c>
      <c r="P28" s="78">
        <f t="shared" si="2"/>
        <v>277.52400000000006</v>
      </c>
    </row>
    <row r="29" spans="1:16" x14ac:dyDescent="0.25">
      <c r="A29" s="1">
        <v>43374</v>
      </c>
      <c r="B29" s="161">
        <v>43353</v>
      </c>
      <c r="C29" s="10">
        <v>60</v>
      </c>
      <c r="D29" s="39">
        <v>191.6482</v>
      </c>
      <c r="E29" s="39">
        <v>190.54</v>
      </c>
      <c r="F29" s="39">
        <f t="shared" si="3"/>
        <v>-66.492000000000644</v>
      </c>
      <c r="G29" s="39">
        <f t="shared" si="4"/>
        <v>11498.892</v>
      </c>
      <c r="H29" s="175">
        <f t="shared" si="5"/>
        <v>-5.7824701719087932E-3</v>
      </c>
      <c r="I29" s="39"/>
      <c r="J29" s="39">
        <v>-66.492000000000644</v>
      </c>
      <c r="K29" s="39"/>
      <c r="L29" s="152"/>
      <c r="O29" s="78">
        <v>1.03</v>
      </c>
      <c r="P29" s="78">
        <f t="shared" si="2"/>
        <v>274.85550000000001</v>
      </c>
    </row>
    <row r="30" spans="1:16" x14ac:dyDescent="0.25">
      <c r="B30" s="161">
        <v>43354</v>
      </c>
      <c r="C30" s="10">
        <v>60</v>
      </c>
      <c r="D30" s="39">
        <v>191.6482</v>
      </c>
      <c r="E30" s="39">
        <v>192.5</v>
      </c>
      <c r="F30" s="39">
        <f t="shared" si="3"/>
        <v>51.107999999999834</v>
      </c>
      <c r="G30" s="39">
        <f t="shared" si="4"/>
        <v>11498.892</v>
      </c>
      <c r="H30" s="175">
        <f t="shared" si="5"/>
        <v>4.4446021407975513E-3</v>
      </c>
      <c r="I30" s="39"/>
      <c r="J30" s="39">
        <v>51.107999999999834</v>
      </c>
      <c r="K30" s="39">
        <v>35.840000000000003</v>
      </c>
      <c r="L30" s="152"/>
      <c r="O30" s="78">
        <v>1.02</v>
      </c>
      <c r="P30" s="78">
        <f t="shared" si="2"/>
        <v>272.18700000000001</v>
      </c>
    </row>
    <row r="31" spans="1:16" x14ac:dyDescent="0.25">
      <c r="B31" s="161">
        <v>43358</v>
      </c>
      <c r="C31" s="10">
        <v>60</v>
      </c>
      <c r="D31" s="39">
        <v>191.6482</v>
      </c>
      <c r="E31" s="39">
        <v>194</v>
      </c>
      <c r="F31" s="39">
        <f t="shared" si="3"/>
        <v>141.10799999999983</v>
      </c>
      <c r="G31" s="39">
        <f t="shared" si="4"/>
        <v>11498.892</v>
      </c>
      <c r="H31" s="175">
        <f t="shared" si="5"/>
        <v>1.227144319644013E-2</v>
      </c>
      <c r="I31" s="39"/>
      <c r="J31" s="39">
        <v>141.10799999999983</v>
      </c>
      <c r="K31" s="39"/>
      <c r="L31" s="152"/>
      <c r="O31" s="78">
        <v>1.01</v>
      </c>
      <c r="P31" s="78">
        <f t="shared" si="2"/>
        <v>269.51850000000002</v>
      </c>
    </row>
    <row r="32" spans="1:16" x14ac:dyDescent="0.25">
      <c r="B32" s="161">
        <v>43362</v>
      </c>
      <c r="C32" s="10">
        <v>60</v>
      </c>
      <c r="D32" s="39">
        <v>191.6482</v>
      </c>
      <c r="E32" s="39">
        <v>196.1</v>
      </c>
      <c r="F32" s="760">
        <f t="shared" si="3"/>
        <v>267.10799999999949</v>
      </c>
      <c r="G32" s="39">
        <f t="shared" si="4"/>
        <v>11498.892</v>
      </c>
      <c r="H32" s="175">
        <f t="shared" si="5"/>
        <v>2.3229020674339709E-2</v>
      </c>
      <c r="I32" s="39"/>
      <c r="J32" s="760">
        <v>267.10799999999949</v>
      </c>
      <c r="K32" s="39"/>
      <c r="L32" s="152"/>
      <c r="O32" s="78">
        <v>1</v>
      </c>
      <c r="P32" s="78">
        <f t="shared" si="2"/>
        <v>266.85000000000002</v>
      </c>
    </row>
    <row r="33" spans="1:17" x14ac:dyDescent="0.25">
      <c r="B33" s="161">
        <v>43364</v>
      </c>
      <c r="C33" s="10">
        <v>60</v>
      </c>
      <c r="D33" s="39">
        <v>191.6482</v>
      </c>
      <c r="E33" s="39">
        <v>192.18</v>
      </c>
      <c r="F33" s="98">
        <f t="shared" si="3"/>
        <v>31.908000000000243</v>
      </c>
      <c r="G33" s="39">
        <f t="shared" si="4"/>
        <v>11498.892</v>
      </c>
      <c r="H33" s="175">
        <f t="shared" si="5"/>
        <v>2.7748760489271699E-3</v>
      </c>
      <c r="I33" s="39"/>
      <c r="J33" s="98">
        <v>31.908000000000243</v>
      </c>
      <c r="K33" s="39"/>
      <c r="L33" s="152"/>
      <c r="O33" s="78">
        <v>0.99</v>
      </c>
      <c r="P33" s="78">
        <f t="shared" si="2"/>
        <v>264.18150000000003</v>
      </c>
    </row>
    <row r="34" spans="1:17" x14ac:dyDescent="0.25">
      <c r="B34" s="161">
        <v>43383</v>
      </c>
      <c r="C34" s="10">
        <v>60</v>
      </c>
      <c r="D34" s="39">
        <v>191.65</v>
      </c>
      <c r="E34" s="39">
        <v>176</v>
      </c>
      <c r="F34" s="760">
        <f t="shared" si="3"/>
        <v>-939.00000000000034</v>
      </c>
      <c r="G34" s="39">
        <f t="shared" si="4"/>
        <v>11499</v>
      </c>
      <c r="H34" s="175">
        <f t="shared" si="5"/>
        <v>-8.1659274719540861E-2</v>
      </c>
      <c r="I34" s="39"/>
      <c r="J34" s="760">
        <v>-939.00000000000034</v>
      </c>
      <c r="K34" s="39"/>
      <c r="L34" s="152"/>
      <c r="O34" s="78">
        <v>0.98</v>
      </c>
      <c r="P34" s="78">
        <f t="shared" si="2"/>
        <v>261.51300000000003</v>
      </c>
    </row>
    <row r="35" spans="1:17" x14ac:dyDescent="0.25">
      <c r="B35" s="161">
        <v>43385</v>
      </c>
      <c r="C35" s="7">
        <v>60</v>
      </c>
      <c r="D35" s="43">
        <v>191.6482</v>
      </c>
      <c r="E35" s="39">
        <v>169.58</v>
      </c>
      <c r="F35" s="760">
        <f t="shared" si="3"/>
        <v>-1324.0919999999994</v>
      </c>
      <c r="G35" s="39">
        <f t="shared" si="4"/>
        <v>11498.892</v>
      </c>
      <c r="H35" s="175">
        <f t="shared" si="5"/>
        <v>-0.11514952918942098</v>
      </c>
      <c r="I35" s="39"/>
      <c r="J35" s="760">
        <v>-1324.0919999999994</v>
      </c>
      <c r="K35" s="39"/>
      <c r="L35" s="152"/>
      <c r="O35" s="78">
        <v>0.97</v>
      </c>
      <c r="P35" s="78">
        <f t="shared" si="2"/>
        <v>258.84450000000004</v>
      </c>
    </row>
    <row r="36" spans="1:17" x14ac:dyDescent="0.25">
      <c r="B36" s="161">
        <v>43388</v>
      </c>
      <c r="C36" s="10">
        <v>90</v>
      </c>
      <c r="D36" s="39">
        <v>183.72540000000001</v>
      </c>
      <c r="E36" s="39">
        <v>167.88</v>
      </c>
      <c r="F36" s="760">
        <f t="shared" ref="F36:F48" si="6">C36*(E36-D36)</f>
        <v>-1426.0860000000011</v>
      </c>
      <c r="G36" s="39">
        <f t="shared" ref="G36:G47" si="7">D36*C36</f>
        <v>16535.286</v>
      </c>
      <c r="H36" s="175">
        <f t="shared" si="5"/>
        <v>-8.6245015659239338E-2</v>
      </c>
      <c r="I36" s="39"/>
      <c r="J36" s="760">
        <v>-1426.0860000000011</v>
      </c>
      <c r="K36" s="39"/>
      <c r="L36" s="39"/>
      <c r="O36" s="78">
        <v>0.96</v>
      </c>
      <c r="P36" s="78">
        <f t="shared" si="2"/>
        <v>256.17599999999999</v>
      </c>
    </row>
    <row r="37" spans="1:17" x14ac:dyDescent="0.25">
      <c r="B37" s="161">
        <v>43388</v>
      </c>
      <c r="C37" s="7">
        <v>60</v>
      </c>
      <c r="D37" s="43">
        <v>190.89930000000001</v>
      </c>
      <c r="E37" s="39">
        <v>169.38</v>
      </c>
      <c r="F37" s="39">
        <f t="shared" si="6"/>
        <v>-1291.1580000000008</v>
      </c>
      <c r="G37" s="39">
        <f t="shared" si="7"/>
        <v>11453.958000000001</v>
      </c>
      <c r="H37" s="175">
        <f t="shared" si="5"/>
        <v>-0.11272592408667824</v>
      </c>
      <c r="I37" s="39"/>
      <c r="J37" s="39">
        <v>-1291.1580000000008</v>
      </c>
      <c r="K37" s="39"/>
      <c r="L37" s="39"/>
      <c r="O37" s="78">
        <v>0.95</v>
      </c>
      <c r="P37" s="78">
        <f t="shared" si="2"/>
        <v>253.50750000000002</v>
      </c>
    </row>
    <row r="38" spans="1:17" x14ac:dyDescent="0.25">
      <c r="B38" s="161">
        <v>43410</v>
      </c>
      <c r="C38" s="10">
        <v>60</v>
      </c>
      <c r="D38" s="39">
        <v>190.9</v>
      </c>
      <c r="E38" s="39">
        <v>189.55</v>
      </c>
      <c r="F38" s="39">
        <f t="shared" si="6"/>
        <v>-80.999999999999659</v>
      </c>
      <c r="G38" s="39">
        <f t="shared" si="7"/>
        <v>11454</v>
      </c>
      <c r="H38" s="175">
        <f t="shared" si="5"/>
        <v>-7.071765322158168E-3</v>
      </c>
      <c r="I38" s="39"/>
      <c r="J38" s="39">
        <v>-80.999999999999659</v>
      </c>
      <c r="K38" s="39"/>
      <c r="L38" s="39"/>
      <c r="O38" s="78">
        <v>0.94</v>
      </c>
      <c r="P38" s="78">
        <f t="shared" si="2"/>
        <v>250.839</v>
      </c>
    </row>
    <row r="39" spans="1:17" x14ac:dyDescent="0.25">
      <c r="A39">
        <v>0</v>
      </c>
      <c r="B39" s="161">
        <v>43411</v>
      </c>
      <c r="C39" s="181">
        <v>30</v>
      </c>
      <c r="D39" s="182">
        <v>188.8013</v>
      </c>
      <c r="E39" s="39">
        <v>189.76</v>
      </c>
      <c r="F39" s="39">
        <f t="shared" si="6"/>
        <v>28.760999999999797</v>
      </c>
      <c r="G39" s="39">
        <f t="shared" si="7"/>
        <v>5664.0389999999998</v>
      </c>
      <c r="H39" s="175">
        <f t="shared" si="5"/>
        <v>5.0778252056526791E-3</v>
      </c>
      <c r="I39" s="39"/>
      <c r="J39" s="39">
        <v>28.760999999999797</v>
      </c>
      <c r="K39" s="39"/>
      <c r="L39" s="39"/>
      <c r="O39" s="78">
        <v>0.93</v>
      </c>
      <c r="P39" s="78">
        <f t="shared" si="2"/>
        <v>248.17050000000003</v>
      </c>
    </row>
    <row r="40" spans="1:17" x14ac:dyDescent="0.25">
      <c r="A40">
        <v>0</v>
      </c>
      <c r="B40" s="161">
        <v>43415</v>
      </c>
      <c r="C40" s="7">
        <v>60</v>
      </c>
      <c r="D40" s="43">
        <v>185.63570000000001</v>
      </c>
      <c r="E40" s="39">
        <v>184.29</v>
      </c>
      <c r="F40" s="39">
        <f t="shared" si="6"/>
        <v>-80.742000000001326</v>
      </c>
      <c r="G40" s="39">
        <f t="shared" si="7"/>
        <v>11138.142000000002</v>
      </c>
      <c r="H40" s="175">
        <f t="shared" si="5"/>
        <v>-7.2491444264224068E-3</v>
      </c>
      <c r="I40" s="39"/>
      <c r="J40" s="39">
        <v>-80.742000000001326</v>
      </c>
      <c r="K40" s="39"/>
      <c r="L40" s="39"/>
      <c r="O40" s="78">
        <v>0.92</v>
      </c>
      <c r="P40" s="78">
        <f t="shared" si="2"/>
        <v>245.50200000000004</v>
      </c>
    </row>
    <row r="41" spans="1:17" x14ac:dyDescent="0.25">
      <c r="A41">
        <v>30</v>
      </c>
      <c r="B41" s="161">
        <v>43430</v>
      </c>
      <c r="C41" s="10">
        <v>60</v>
      </c>
      <c r="D41" s="39">
        <v>185.64</v>
      </c>
      <c r="E41" s="39">
        <v>191.74</v>
      </c>
      <c r="F41" s="39">
        <f t="shared" si="6"/>
        <v>366.00000000000136</v>
      </c>
      <c r="G41" s="39">
        <f t="shared" si="7"/>
        <v>11138.4</v>
      </c>
      <c r="H41" s="175">
        <f t="shared" si="5"/>
        <v>3.2859297565180044E-2</v>
      </c>
      <c r="I41" s="39"/>
      <c r="J41" s="39">
        <v>366.00000000000136</v>
      </c>
      <c r="K41" s="39"/>
      <c r="L41" s="39"/>
      <c r="O41" s="78">
        <v>0.91</v>
      </c>
      <c r="P41" s="78">
        <f t="shared" si="2"/>
        <v>242.83350000000002</v>
      </c>
      <c r="Q41" s="2"/>
    </row>
    <row r="42" spans="1:17" x14ac:dyDescent="0.25">
      <c r="A42">
        <v>0</v>
      </c>
      <c r="B42" s="161">
        <v>43432</v>
      </c>
      <c r="C42" s="181">
        <v>30</v>
      </c>
      <c r="D42" s="182">
        <v>178.274</v>
      </c>
      <c r="E42" s="39">
        <v>198.26</v>
      </c>
      <c r="F42" s="760">
        <f t="shared" si="6"/>
        <v>599.5799999999997</v>
      </c>
      <c r="G42" s="39">
        <f t="shared" si="7"/>
        <v>5348.22</v>
      </c>
      <c r="H42" s="175">
        <f t="shared" si="5"/>
        <v>0.11210832763050131</v>
      </c>
      <c r="I42" s="39"/>
      <c r="J42" s="760">
        <v>599.5799999999997</v>
      </c>
      <c r="K42" s="39"/>
      <c r="L42" s="39"/>
      <c r="O42" s="78">
        <v>0.9</v>
      </c>
      <c r="P42" s="78">
        <f t="shared" si="2"/>
        <v>240.16500000000002</v>
      </c>
      <c r="Q42" s="2"/>
    </row>
    <row r="43" spans="1:17" x14ac:dyDescent="0.25">
      <c r="B43" s="161">
        <v>43434</v>
      </c>
      <c r="C43" s="7">
        <v>60</v>
      </c>
      <c r="D43" s="43">
        <v>184.67699999999999</v>
      </c>
      <c r="E43" s="39">
        <v>190.69</v>
      </c>
      <c r="F43" s="39">
        <f t="shared" si="6"/>
        <v>360.78000000000031</v>
      </c>
      <c r="G43" s="39">
        <f t="shared" si="7"/>
        <v>11080.619999999999</v>
      </c>
      <c r="H43" s="175">
        <f t="shared" si="5"/>
        <v>3.2559549916881939E-2</v>
      </c>
      <c r="I43" s="39"/>
      <c r="J43" s="39">
        <v>360.78000000000031</v>
      </c>
      <c r="K43" s="39"/>
      <c r="L43" s="39"/>
      <c r="Q43" s="2"/>
    </row>
    <row r="44" spans="1:17" x14ac:dyDescent="0.25">
      <c r="A44">
        <v>0</v>
      </c>
      <c r="B44" s="161">
        <v>43442</v>
      </c>
      <c r="C44" s="10">
        <v>60</v>
      </c>
      <c r="D44" s="39">
        <v>184.68</v>
      </c>
      <c r="E44" s="39">
        <v>181.48</v>
      </c>
      <c r="F44" s="39">
        <f t="shared" si="6"/>
        <v>-192.00000000000102</v>
      </c>
      <c r="G44" s="39">
        <f t="shared" si="7"/>
        <v>11080.800000000001</v>
      </c>
      <c r="H44" s="175">
        <f t="shared" si="5"/>
        <v>-1.7327268789257184E-2</v>
      </c>
      <c r="I44" s="39"/>
      <c r="J44" s="39">
        <v>-192.00000000000102</v>
      </c>
      <c r="K44" s="39"/>
      <c r="L44" s="39"/>
      <c r="Q44" s="2"/>
    </row>
    <row r="45" spans="1:17" x14ac:dyDescent="0.25">
      <c r="A45">
        <v>60</v>
      </c>
      <c r="B45" s="161">
        <v>43465</v>
      </c>
      <c r="C45" s="7">
        <v>60</v>
      </c>
      <c r="D45" s="43">
        <v>184.43700000000001</v>
      </c>
      <c r="E45" s="39">
        <v>171.87</v>
      </c>
      <c r="F45" s="39">
        <f t="shared" si="6"/>
        <v>-754.02000000000044</v>
      </c>
      <c r="G45" s="39">
        <f t="shared" si="7"/>
        <v>11066.220000000001</v>
      </c>
      <c r="H45" s="175">
        <f t="shared" si="5"/>
        <v>-6.8137087460758999E-2</v>
      </c>
      <c r="I45" s="39"/>
      <c r="J45" s="39">
        <v>-754.02000000000044</v>
      </c>
      <c r="K45" s="39"/>
      <c r="L45" s="39">
        <v>19.940000000000001</v>
      </c>
      <c r="Q45" s="2"/>
    </row>
    <row r="46" spans="1:17" x14ac:dyDescent="0.25">
      <c r="B46" s="161">
        <v>43513</v>
      </c>
      <c r="C46" s="10">
        <v>60</v>
      </c>
      <c r="D46" s="39">
        <v>184.44</v>
      </c>
      <c r="E46" s="39">
        <v>190.06</v>
      </c>
      <c r="F46" s="39">
        <f t="shared" si="6"/>
        <v>337.20000000000027</v>
      </c>
      <c r="G46" s="39">
        <f t="shared" si="7"/>
        <v>11066.4</v>
      </c>
      <c r="H46" s="175">
        <f t="shared" si="5"/>
        <v>3.0470613749728936E-2</v>
      </c>
      <c r="I46" s="39"/>
      <c r="J46" s="39">
        <v>337.20000000000027</v>
      </c>
      <c r="K46" s="39"/>
      <c r="L46" s="39"/>
      <c r="Q46" s="2"/>
    </row>
    <row r="47" spans="1:17" x14ac:dyDescent="0.25">
      <c r="A47">
        <v>30</v>
      </c>
      <c r="B47" s="161">
        <v>43516</v>
      </c>
      <c r="C47" s="181">
        <v>30</v>
      </c>
      <c r="D47" s="182">
        <v>175.3</v>
      </c>
      <c r="E47" s="39">
        <v>193.58</v>
      </c>
      <c r="F47" s="39">
        <f t="shared" si="6"/>
        <v>548.40000000000009</v>
      </c>
      <c r="G47" s="39">
        <f t="shared" si="7"/>
        <v>5259</v>
      </c>
      <c r="H47" s="175">
        <f t="shared" si="5"/>
        <v>0.1042783799201369</v>
      </c>
      <c r="I47" s="39"/>
      <c r="J47" s="39">
        <v>548.40000000000009</v>
      </c>
      <c r="K47" s="39"/>
      <c r="L47" s="39"/>
      <c r="Q47" s="2"/>
    </row>
    <row r="48" spans="1:17" x14ac:dyDescent="0.25">
      <c r="B48" s="161">
        <v>43535</v>
      </c>
      <c r="C48" s="10">
        <v>0</v>
      </c>
      <c r="D48" s="39">
        <v>175.3</v>
      </c>
      <c r="E48" s="39">
        <v>198.63</v>
      </c>
      <c r="F48" s="39">
        <f t="shared" si="6"/>
        <v>0</v>
      </c>
      <c r="G48" s="39"/>
      <c r="H48" s="175">
        <f t="shared" si="5"/>
        <v>0.13308613804905867</v>
      </c>
      <c r="I48" s="39"/>
      <c r="J48" s="760">
        <v>711.02</v>
      </c>
      <c r="K48" s="39"/>
      <c r="L48" s="39"/>
      <c r="Q48" s="2"/>
    </row>
    <row r="49" spans="1:17" x14ac:dyDescent="0.25">
      <c r="B49" s="161">
        <v>43555</v>
      </c>
      <c r="C49" s="10">
        <v>0</v>
      </c>
      <c r="D49" s="39"/>
      <c r="E49" s="39"/>
      <c r="F49" s="39"/>
      <c r="G49" s="39"/>
      <c r="H49" s="175"/>
      <c r="I49" s="39"/>
      <c r="J49" s="760">
        <v>725.42</v>
      </c>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873</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22:O42">
    <cfRule type="colorScale" priority="52">
      <colorScale>
        <cfvo type="min"/>
        <cfvo type="percentile" val="50"/>
        <cfvo type="max"/>
        <color rgb="FFF8696B"/>
        <color rgb="FFFFEB84"/>
        <color rgb="FF63BE7B"/>
      </colorScale>
    </cfRule>
  </conditionalFormatting>
  <conditionalFormatting sqref="P22:P42">
    <cfRule type="colorScale" priority="51">
      <colorScale>
        <cfvo type="min"/>
        <cfvo type="percentile" val="50"/>
        <cfvo type="max"/>
        <color rgb="FFF8696B"/>
        <color rgb="FFFFEB84"/>
        <color rgb="FF63BE7B"/>
      </colorScale>
    </cfRule>
  </conditionalFormatting>
  <conditionalFormatting sqref="F52:F63 H52:H63">
    <cfRule type="expression" dxfId="2005" priority="49">
      <formula>F52&gt;0</formula>
    </cfRule>
    <cfRule type="expression" dxfId="2004" priority="50">
      <formula>F52&lt;0</formula>
    </cfRule>
  </conditionalFormatting>
  <conditionalFormatting sqref="Q7">
    <cfRule type="expression" dxfId="2003" priority="47">
      <formula>Q7&gt;0</formula>
    </cfRule>
    <cfRule type="expression" dxfId="2002" priority="48">
      <formula>Q7&lt;0</formula>
    </cfRule>
  </conditionalFormatting>
  <conditionalFormatting sqref="Q8">
    <cfRule type="expression" dxfId="2001" priority="45">
      <formula>Q8&gt;0</formula>
    </cfRule>
    <cfRule type="expression" dxfId="2000" priority="46">
      <formula>Q8&lt;0</formula>
    </cfRule>
  </conditionalFormatting>
  <conditionalFormatting sqref="F34:F41 F43:F51">
    <cfRule type="expression" dxfId="1999" priority="43">
      <formula>F34&gt;0</formula>
    </cfRule>
    <cfRule type="expression" dxfId="1998" priority="44">
      <formula>F34&lt;0</formula>
    </cfRule>
  </conditionalFormatting>
  <conditionalFormatting sqref="H34:H51">
    <cfRule type="expression" dxfId="1997" priority="41">
      <formula>H34&gt;0</formula>
    </cfRule>
    <cfRule type="expression" dxfId="1996" priority="42">
      <formula>H34&lt;0</formula>
    </cfRule>
  </conditionalFormatting>
  <conditionalFormatting sqref="Q10">
    <cfRule type="expression" dxfId="1995" priority="39">
      <formula>Q10&gt;0</formula>
    </cfRule>
    <cfRule type="expression" dxfId="1994" priority="40">
      <formula>Q10&lt;0</formula>
    </cfRule>
  </conditionalFormatting>
  <conditionalFormatting sqref="J25">
    <cfRule type="expression" dxfId="1993" priority="37">
      <formula>J25&gt;0</formula>
    </cfRule>
    <cfRule type="expression" dxfId="1992" priority="38">
      <formula>J25&lt;0</formula>
    </cfRule>
  </conditionalFormatting>
  <conditionalFormatting sqref="K25:K29 K31:K38">
    <cfRule type="expression" dxfId="1991" priority="35">
      <formula>K25&gt;0</formula>
    </cfRule>
    <cfRule type="expression" dxfId="1990" priority="36">
      <formula>K25&lt;0</formula>
    </cfRule>
  </conditionalFormatting>
  <conditionalFormatting sqref="L25:L38">
    <cfRule type="expression" dxfId="1989" priority="33">
      <formula>L25&gt;0</formula>
    </cfRule>
    <cfRule type="expression" dxfId="1988" priority="34">
      <formula>L25&lt;0</formula>
    </cfRule>
  </conditionalFormatting>
  <conditionalFormatting sqref="F89:F110">
    <cfRule type="expression" dxfId="1987" priority="31">
      <formula>F89&gt;0</formula>
    </cfRule>
    <cfRule type="expression" dxfId="1986" priority="32">
      <formula>F89&lt;0</formula>
    </cfRule>
  </conditionalFormatting>
  <conditionalFormatting sqref="H89:H110">
    <cfRule type="expression" dxfId="1985" priority="29">
      <formula>H89&gt;0</formula>
    </cfRule>
    <cfRule type="expression" dxfId="1984" priority="30">
      <formula>H89&lt;0</formula>
    </cfRule>
  </conditionalFormatting>
  <conditionalFormatting sqref="J89:J102">
    <cfRule type="expression" dxfId="1983" priority="27">
      <formula>J89&gt;0</formula>
    </cfRule>
    <cfRule type="expression" dxfId="1982" priority="28">
      <formula>J89&lt;0</formula>
    </cfRule>
  </conditionalFormatting>
  <conditionalFormatting sqref="K89:K102">
    <cfRule type="expression" dxfId="1981" priority="25">
      <formula>K89&gt;0</formula>
    </cfRule>
    <cfRule type="expression" dxfId="1980" priority="26">
      <formula>K89&lt;0</formula>
    </cfRule>
  </conditionalFormatting>
  <conditionalFormatting sqref="L89:L102">
    <cfRule type="expression" dxfId="1979" priority="23">
      <formula>L89&gt;0</formula>
    </cfRule>
    <cfRule type="expression" dxfId="1978" priority="24">
      <formula>L89&lt;0</formula>
    </cfRule>
  </conditionalFormatting>
  <conditionalFormatting sqref="F25:F27">
    <cfRule type="expression" dxfId="1977" priority="21">
      <formula>F25&gt;0</formula>
    </cfRule>
    <cfRule type="expression" dxfId="1976" priority="22">
      <formula>F25&lt;0</formula>
    </cfRule>
  </conditionalFormatting>
  <conditionalFormatting sqref="H25:H27">
    <cfRule type="expression" dxfId="1975" priority="19">
      <formula>H25&gt;0</formula>
    </cfRule>
    <cfRule type="expression" dxfId="1974" priority="20">
      <formula>H25&lt;0</formula>
    </cfRule>
  </conditionalFormatting>
  <conditionalFormatting sqref="F28:F33">
    <cfRule type="expression" dxfId="1973" priority="17">
      <formula>F28&gt;0</formula>
    </cfRule>
    <cfRule type="expression" dxfId="1972" priority="18">
      <formula>F28&lt;0</formula>
    </cfRule>
  </conditionalFormatting>
  <conditionalFormatting sqref="H28:H33">
    <cfRule type="expression" dxfId="1971" priority="15">
      <formula>H28&gt;0</formula>
    </cfRule>
    <cfRule type="expression" dxfId="1970" priority="16">
      <formula>H28&lt;0</formula>
    </cfRule>
  </conditionalFormatting>
  <conditionalFormatting sqref="F42">
    <cfRule type="expression" dxfId="1969" priority="13">
      <formula>F42&gt;0</formula>
    </cfRule>
    <cfRule type="expression" dxfId="1968" priority="14">
      <formula>F42&lt;0</formula>
    </cfRule>
  </conditionalFormatting>
  <conditionalFormatting sqref="J48">
    <cfRule type="expression" dxfId="1967" priority="11">
      <formula>J48&gt;0</formula>
    </cfRule>
    <cfRule type="expression" dxfId="1966" priority="12">
      <formula>J48&lt;0</formula>
    </cfRule>
  </conditionalFormatting>
  <conditionalFormatting sqref="J34:J41 J43:J47">
    <cfRule type="expression" dxfId="1965" priority="9">
      <formula>J34&gt;0</formula>
    </cfRule>
    <cfRule type="expression" dxfId="1964" priority="10">
      <formula>J34&lt;0</formula>
    </cfRule>
  </conditionalFormatting>
  <conditionalFormatting sqref="J26:J27">
    <cfRule type="expression" dxfId="1963" priority="7">
      <formula>J26&gt;0</formula>
    </cfRule>
    <cfRule type="expression" dxfId="1962" priority="8">
      <formula>J26&lt;0</formula>
    </cfRule>
  </conditionalFormatting>
  <conditionalFormatting sqref="J28:J33">
    <cfRule type="expression" dxfId="1961" priority="5">
      <formula>J28&gt;0</formula>
    </cfRule>
    <cfRule type="expression" dxfId="1960" priority="6">
      <formula>J28&lt;0</formula>
    </cfRule>
  </conditionalFormatting>
  <conditionalFormatting sqref="J42">
    <cfRule type="expression" dxfId="1959" priority="3">
      <formula>J42&gt;0</formula>
    </cfRule>
    <cfRule type="expression" dxfId="1958" priority="4">
      <formula>J42&lt;0</formula>
    </cfRule>
  </conditionalFormatting>
  <conditionalFormatting sqref="J49">
    <cfRule type="expression" dxfId="1957" priority="1">
      <formula>J49&gt;0</formula>
    </cfRule>
    <cfRule type="expression" dxfId="1956" priority="2">
      <formula>J49&lt;0</formula>
    </cfRule>
  </conditionalFormatting>
  <hyperlinks>
    <hyperlink ref="A3" location="ACTIVE!A1" display="Back"/>
  </hyperlinks>
  <pageMargins left="0.7" right="0.7" top="0.75" bottom="0.75" header="0.3" footer="0.3"/>
  <pageSetup orientation="portrait" r:id="rId1"/>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851</v>
      </c>
      <c r="B2" s="360">
        <v>43139</v>
      </c>
      <c r="C2" s="7">
        <v>40</v>
      </c>
      <c r="D2" s="43">
        <v>67.58</v>
      </c>
      <c r="E2" s="43">
        <v>0</v>
      </c>
      <c r="F2" s="43">
        <f>C2*D2+E2</f>
        <v>2703.2</v>
      </c>
      <c r="G2" s="360">
        <v>43256</v>
      </c>
      <c r="H2" s="7">
        <v>40</v>
      </c>
      <c r="I2" s="43">
        <v>72.989999999999995</v>
      </c>
      <c r="J2" s="43">
        <v>0.04</v>
      </c>
      <c r="K2" s="43">
        <f>H2*I2-J2</f>
        <v>2919.56</v>
      </c>
      <c r="L2" s="69">
        <v>43191</v>
      </c>
      <c r="M2" s="43">
        <v>9.6</v>
      </c>
      <c r="O2" s="11" t="s">
        <v>57</v>
      </c>
      <c r="Q2">
        <f>C18-H18</f>
        <v>0</v>
      </c>
      <c r="T2" s="1">
        <v>43080</v>
      </c>
      <c r="U2" t="s">
        <v>746</v>
      </c>
    </row>
    <row r="3" spans="1:21" x14ac:dyDescent="0.25">
      <c r="A3" s="22" t="s">
        <v>71</v>
      </c>
      <c r="B3" s="360">
        <v>43249</v>
      </c>
      <c r="C3" s="7">
        <v>60</v>
      </c>
      <c r="D3" s="43">
        <v>69.599999999999994</v>
      </c>
      <c r="E3" s="43">
        <v>0</v>
      </c>
      <c r="F3" s="43">
        <f>C3*D3+E3</f>
        <v>4176</v>
      </c>
      <c r="G3" s="360">
        <v>43299</v>
      </c>
      <c r="H3" s="77">
        <v>60</v>
      </c>
      <c r="I3" s="43">
        <v>76.28</v>
      </c>
      <c r="J3" s="43">
        <v>0.06</v>
      </c>
      <c r="K3" s="43">
        <f>H3*I3-J3</f>
        <v>4576.74</v>
      </c>
      <c r="L3" s="69">
        <v>43281</v>
      </c>
      <c r="M3" s="43">
        <v>14.4</v>
      </c>
      <c r="O3" s="11" t="s">
        <v>58</v>
      </c>
      <c r="Q3" s="174">
        <f>IF(Q2=0, Q4, (F18-K18-M18)/Q2)</f>
        <v>92.5</v>
      </c>
      <c r="T3" s="1"/>
    </row>
    <row r="4" spans="1:21" x14ac:dyDescent="0.25">
      <c r="B4" s="360">
        <v>43300</v>
      </c>
      <c r="C4" s="7">
        <v>60</v>
      </c>
      <c r="D4" s="43">
        <v>75.7</v>
      </c>
      <c r="E4" s="43">
        <v>0</v>
      </c>
      <c r="F4" s="43">
        <f>C4*D4+E4</f>
        <v>4542</v>
      </c>
      <c r="G4" s="360">
        <v>43412</v>
      </c>
      <c r="H4" s="77">
        <v>60</v>
      </c>
      <c r="I4" s="43">
        <v>79.28</v>
      </c>
      <c r="J4" s="43">
        <v>0.06</v>
      </c>
      <c r="K4" s="43">
        <f>H4*I4-J4</f>
        <v>4756.74</v>
      </c>
      <c r="L4" s="69">
        <v>43371</v>
      </c>
      <c r="M4" s="43">
        <v>14.4</v>
      </c>
      <c r="O4" s="11" t="s">
        <v>66</v>
      </c>
      <c r="Q4" s="53">
        <v>92.5</v>
      </c>
      <c r="R4" s="416">
        <v>1.18E-2</v>
      </c>
      <c r="T4" s="680">
        <v>43103</v>
      </c>
      <c r="U4" s="30" t="s">
        <v>769</v>
      </c>
    </row>
    <row r="5" spans="1:21" x14ac:dyDescent="0.25">
      <c r="B5" s="69"/>
      <c r="C5" s="4"/>
      <c r="D5" s="3"/>
      <c r="E5" s="3"/>
      <c r="F5" s="3"/>
      <c r="G5" s="4"/>
      <c r="H5" s="158"/>
      <c r="I5" s="3"/>
      <c r="J5" s="3"/>
      <c r="K5" s="3"/>
      <c r="L5" s="4"/>
      <c r="M5" s="4"/>
      <c r="O5" s="11" t="s">
        <v>67</v>
      </c>
      <c r="Q5" s="3">
        <f>Q4*Q2</f>
        <v>0</v>
      </c>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870.23999999999796</v>
      </c>
      <c r="R7">
        <v>0</v>
      </c>
      <c r="T7" s="1">
        <v>43223</v>
      </c>
      <c r="U7" t="s">
        <v>82</v>
      </c>
    </row>
    <row r="8" spans="1:21" x14ac:dyDescent="0.25">
      <c r="B8" s="69"/>
      <c r="C8" s="4"/>
      <c r="D8" s="3"/>
      <c r="E8" s="3"/>
      <c r="F8" s="3"/>
      <c r="G8" s="4"/>
      <c r="H8" s="158"/>
      <c r="I8" s="3"/>
      <c r="J8" s="3"/>
      <c r="K8" s="3"/>
      <c r="L8" s="4"/>
      <c r="M8" s="4"/>
      <c r="O8" s="11" t="s">
        <v>177</v>
      </c>
      <c r="P8" s="33"/>
      <c r="Q8" s="2">
        <f>K18+M18-F18+Q2*Q4</f>
        <v>870.23999999999796</v>
      </c>
    </row>
    <row r="9" spans="1:21" x14ac:dyDescent="0.25">
      <c r="B9" s="4"/>
      <c r="C9" s="4"/>
      <c r="D9" s="3"/>
      <c r="E9" s="3"/>
      <c r="F9" s="3"/>
      <c r="G9" s="4"/>
      <c r="H9" s="158"/>
      <c r="I9" s="3"/>
      <c r="J9" s="3"/>
      <c r="K9" s="3"/>
      <c r="L9" s="4"/>
      <c r="M9" s="4"/>
      <c r="O9" s="11" t="s">
        <v>202</v>
      </c>
      <c r="Q9" s="131">
        <f>IF(Q2=0, 0, Q8/Q6)</f>
        <v>0</v>
      </c>
      <c r="T9" s="680">
        <v>43249</v>
      </c>
      <c r="U9" t="s">
        <v>1041</v>
      </c>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R11*4/Q4</f>
        <v>1.0378378378378378E-2</v>
      </c>
      <c r="R11">
        <v>0.24</v>
      </c>
    </row>
    <row r="12" spans="1:21" x14ac:dyDescent="0.25">
      <c r="H12" s="67"/>
      <c r="O12" s="11" t="s">
        <v>875</v>
      </c>
      <c r="Q12" s="1"/>
    </row>
    <row r="13" spans="1:21" x14ac:dyDescent="0.25">
      <c r="H13" s="67"/>
      <c r="O13" s="11" t="s">
        <v>901</v>
      </c>
      <c r="Q13" s="2">
        <f>Q4/3.55</f>
        <v>26.056338028169016</v>
      </c>
    </row>
    <row r="14" spans="1:21" x14ac:dyDescent="0.25">
      <c r="H14" s="67"/>
      <c r="O14" s="11" t="s">
        <v>988</v>
      </c>
    </row>
    <row r="15" spans="1:21" x14ac:dyDescent="0.25">
      <c r="H15" s="67"/>
    </row>
    <row r="16" spans="1:21" x14ac:dyDescent="0.25">
      <c r="H16" s="67"/>
    </row>
    <row r="18" spans="1:17" x14ac:dyDescent="0.25">
      <c r="A18" s="31" t="s">
        <v>81</v>
      </c>
      <c r="B18" s="14"/>
      <c r="C18" s="14">
        <f>SUM(C2:C8)</f>
        <v>160</v>
      </c>
      <c r="D18" s="18"/>
      <c r="E18" s="18"/>
      <c r="F18" s="18">
        <f>SUM(F2:F8)</f>
        <v>11421.2</v>
      </c>
      <c r="G18" s="14"/>
      <c r="H18" s="68">
        <f>SUM(H2:H5)</f>
        <v>160</v>
      </c>
      <c r="I18" s="18"/>
      <c r="J18" s="18"/>
      <c r="K18" s="18">
        <f>SUM(K2:K5)</f>
        <v>12253.039999999999</v>
      </c>
      <c r="L18" s="14"/>
      <c r="M18" s="18">
        <f>SUM(M2:M10)</f>
        <v>38.4</v>
      </c>
    </row>
    <row r="19" spans="1:17" ht="15.75" thickBot="1" x14ac:dyDescent="0.3">
      <c r="A19" s="273" t="s">
        <v>189</v>
      </c>
      <c r="B19" s="274"/>
      <c r="C19" s="275">
        <f>SumByColor($A$19,C2:C17)</f>
        <v>160</v>
      </c>
      <c r="D19" s="275"/>
      <c r="E19" s="275"/>
      <c r="F19" s="276">
        <f>SumByColor($A$19,F2:F17)</f>
        <v>11421</v>
      </c>
      <c r="G19" s="275"/>
      <c r="H19" s="275">
        <f>SumByColor($A$19,H2:H17)</f>
        <v>160</v>
      </c>
      <c r="I19" s="275"/>
      <c r="J19" s="275"/>
      <c r="K19" s="276">
        <f>SumByColor($A$19,K2:K17)</f>
        <v>12254</v>
      </c>
      <c r="L19" s="275"/>
      <c r="M19" s="276">
        <f>SumByColor($A$19,M2:M17)</f>
        <v>38</v>
      </c>
    </row>
    <row r="22" spans="1:17" ht="20.25" thickBot="1" x14ac:dyDescent="0.35">
      <c r="O22" s="688" t="s">
        <v>78</v>
      </c>
      <c r="P22" s="688"/>
    </row>
    <row r="23" spans="1:17" ht="15.75" thickTop="1" x14ac:dyDescent="0.25">
      <c r="O23" s="78">
        <v>1.1000000000000001</v>
      </c>
      <c r="P23" s="78">
        <f>O23*$Q$4</f>
        <v>101.75000000000001</v>
      </c>
      <c r="Q23" s="2"/>
    </row>
    <row r="24" spans="1:17" x14ac:dyDescent="0.25">
      <c r="B24" s="159" t="s">
        <v>113</v>
      </c>
      <c r="C24" s="159" t="s">
        <v>143</v>
      </c>
      <c r="D24" s="160" t="s">
        <v>142</v>
      </c>
      <c r="E24" s="162" t="s">
        <v>144</v>
      </c>
      <c r="F24" s="162" t="s">
        <v>65</v>
      </c>
      <c r="G24" s="173" t="s">
        <v>148</v>
      </c>
      <c r="H24" s="173" t="s">
        <v>88</v>
      </c>
      <c r="I24" s="173" t="s">
        <v>151</v>
      </c>
      <c r="J24" s="173" t="s">
        <v>147</v>
      </c>
      <c r="K24" s="173" t="s">
        <v>601</v>
      </c>
      <c r="L24" s="173" t="s">
        <v>607</v>
      </c>
      <c r="O24" s="78">
        <v>1.0900000000000001</v>
      </c>
      <c r="P24" s="78">
        <f t="shared" ref="P24:P43" si="0">O24*$Q$4</f>
        <v>100.825</v>
      </c>
      <c r="Q24" s="2"/>
    </row>
    <row r="25" spans="1:17" x14ac:dyDescent="0.25">
      <c r="B25" s="161">
        <v>43133</v>
      </c>
      <c r="C25" s="10">
        <v>40</v>
      </c>
      <c r="D25" s="39">
        <v>67.58</v>
      </c>
      <c r="E25" s="39">
        <v>67</v>
      </c>
      <c r="F25" s="39">
        <f t="shared" ref="F25:F32" si="1">C25*(E25-D25)</f>
        <v>-23.199999999999932</v>
      </c>
      <c r="G25" s="39">
        <f t="shared" ref="G25:G32" si="2">D25*C25</f>
        <v>2703.2</v>
      </c>
      <c r="H25" s="175">
        <f t="shared" ref="H25:H32" si="3">(E25-D25)/D25</f>
        <v>-8.5824208345664146E-3</v>
      </c>
      <c r="I25" s="39"/>
      <c r="J25" s="98">
        <v>-23.199999999999932</v>
      </c>
      <c r="K25" s="39"/>
      <c r="L25" s="39"/>
      <c r="O25" s="78">
        <v>1.08</v>
      </c>
      <c r="P25" s="78">
        <f t="shared" si="0"/>
        <v>99.9</v>
      </c>
      <c r="Q25" s="2"/>
    </row>
    <row r="26" spans="1:17" x14ac:dyDescent="0.25">
      <c r="B26" s="161">
        <v>43151</v>
      </c>
      <c r="C26" s="10">
        <v>40</v>
      </c>
      <c r="D26" s="39">
        <v>67.58</v>
      </c>
      <c r="E26" s="39">
        <v>72.86</v>
      </c>
      <c r="F26" s="39">
        <f t="shared" si="1"/>
        <v>211.20000000000005</v>
      </c>
      <c r="G26" s="39">
        <f t="shared" si="2"/>
        <v>2703.2</v>
      </c>
      <c r="H26" s="175">
        <f t="shared" si="3"/>
        <v>7.8129624149156571E-2</v>
      </c>
      <c r="I26" s="39"/>
      <c r="J26" s="98">
        <v>211.20000000000005</v>
      </c>
      <c r="K26" s="39"/>
      <c r="L26" s="39"/>
      <c r="O26" s="78">
        <v>1.07</v>
      </c>
      <c r="P26" s="78">
        <f t="shared" si="0"/>
        <v>98.975000000000009</v>
      </c>
      <c r="Q26" s="2"/>
    </row>
    <row r="27" spans="1:17" x14ac:dyDescent="0.25">
      <c r="B27" s="161">
        <v>43191</v>
      </c>
      <c r="C27" s="10">
        <v>40</v>
      </c>
      <c r="D27" s="39">
        <v>67.34</v>
      </c>
      <c r="E27" s="39">
        <v>72.52</v>
      </c>
      <c r="F27" s="39">
        <f t="shared" si="1"/>
        <v>207.1999999999997</v>
      </c>
      <c r="G27" s="39">
        <f t="shared" si="2"/>
        <v>2693.6000000000004</v>
      </c>
      <c r="H27" s="175">
        <f t="shared" si="3"/>
        <v>7.6923076923076816E-2</v>
      </c>
      <c r="I27" s="39"/>
      <c r="J27" s="98">
        <v>207.1999999999997</v>
      </c>
      <c r="K27" s="39"/>
      <c r="L27" s="152"/>
      <c r="O27" s="78">
        <v>1.06</v>
      </c>
      <c r="P27" s="78">
        <f t="shared" si="0"/>
        <v>98.050000000000011</v>
      </c>
      <c r="Q27" s="2"/>
    </row>
    <row r="28" spans="1:17" x14ac:dyDescent="0.25">
      <c r="B28" s="161">
        <v>43240</v>
      </c>
      <c r="C28" s="10">
        <v>40</v>
      </c>
      <c r="D28" s="39">
        <v>67.34</v>
      </c>
      <c r="E28" s="39">
        <v>71.55</v>
      </c>
      <c r="F28" s="39">
        <f t="shared" si="1"/>
        <v>168.39999999999975</v>
      </c>
      <c r="G28" s="39">
        <f t="shared" si="2"/>
        <v>2693.6000000000004</v>
      </c>
      <c r="H28" s="175">
        <f t="shared" si="3"/>
        <v>6.2518562518562429E-2</v>
      </c>
      <c r="I28" s="39"/>
      <c r="J28" s="98">
        <v>168.39999999999975</v>
      </c>
      <c r="K28" s="39"/>
      <c r="L28" s="152"/>
      <c r="O28" s="78">
        <v>1.05</v>
      </c>
      <c r="P28" s="78">
        <f t="shared" si="0"/>
        <v>97.125</v>
      </c>
      <c r="Q28" s="2"/>
    </row>
    <row r="29" spans="1:17" x14ac:dyDescent="0.25">
      <c r="A29">
        <v>40</v>
      </c>
      <c r="B29" s="161">
        <v>43249</v>
      </c>
      <c r="C29" s="10">
        <v>100</v>
      </c>
      <c r="D29" s="39">
        <v>68.695999999999998</v>
      </c>
      <c r="E29" s="39">
        <v>69.819999999999993</v>
      </c>
      <c r="F29" s="39">
        <f t="shared" si="1"/>
        <v>112.39999999999952</v>
      </c>
      <c r="G29" s="39">
        <f t="shared" si="2"/>
        <v>6869.5999999999995</v>
      </c>
      <c r="H29" s="175">
        <f t="shared" si="3"/>
        <v>1.6361942471177292E-2</v>
      </c>
      <c r="I29" s="39"/>
      <c r="J29" s="98">
        <v>112.39999999999952</v>
      </c>
      <c r="K29" s="39"/>
      <c r="L29" s="152"/>
      <c r="O29" s="78">
        <v>1.04</v>
      </c>
      <c r="P29" s="78">
        <f t="shared" si="0"/>
        <v>96.2</v>
      </c>
      <c r="Q29" s="2"/>
    </row>
    <row r="30" spans="1:17" x14ac:dyDescent="0.25">
      <c r="A30">
        <v>0</v>
      </c>
      <c r="B30" s="161">
        <v>43256</v>
      </c>
      <c r="C30" s="181">
        <v>60</v>
      </c>
      <c r="D30" s="182">
        <v>65.834000000000003</v>
      </c>
      <c r="E30" s="39">
        <v>73.78</v>
      </c>
      <c r="F30" s="39">
        <f t="shared" si="1"/>
        <v>476.75999999999988</v>
      </c>
      <c r="G30" s="39">
        <f t="shared" si="2"/>
        <v>3950.04</v>
      </c>
      <c r="H30" s="175">
        <f t="shared" si="3"/>
        <v>0.12069751192392984</v>
      </c>
      <c r="I30" s="39"/>
      <c r="J30" s="98">
        <v>476.75999999999988</v>
      </c>
      <c r="K30" s="39"/>
      <c r="L30" s="152"/>
      <c r="O30" s="78">
        <v>1.03</v>
      </c>
      <c r="P30" s="78">
        <f t="shared" si="0"/>
        <v>95.275000000000006</v>
      </c>
      <c r="Q30" s="2"/>
    </row>
    <row r="31" spans="1:17" x14ac:dyDescent="0.25">
      <c r="B31" s="161">
        <v>43262</v>
      </c>
      <c r="C31" s="10">
        <v>60</v>
      </c>
      <c r="D31" s="39">
        <v>65.834000000000003</v>
      </c>
      <c r="E31" s="39">
        <v>75.33</v>
      </c>
      <c r="F31" s="39">
        <f t="shared" si="1"/>
        <v>569.75999999999976</v>
      </c>
      <c r="G31" s="39">
        <f t="shared" si="2"/>
        <v>3950.04</v>
      </c>
      <c r="H31" s="175">
        <f t="shared" si="3"/>
        <v>0.14424157730048295</v>
      </c>
      <c r="I31" s="39"/>
      <c r="J31" s="98">
        <v>569.75999999999976</v>
      </c>
      <c r="K31" s="39"/>
      <c r="L31" s="152"/>
      <c r="O31" s="78">
        <v>1.02</v>
      </c>
      <c r="P31" s="78">
        <f t="shared" si="0"/>
        <v>94.350000000000009</v>
      </c>
      <c r="Q31" s="2"/>
    </row>
    <row r="32" spans="1:17" x14ac:dyDescent="0.25">
      <c r="A32">
        <v>60</v>
      </c>
      <c r="B32" s="161">
        <v>43281</v>
      </c>
      <c r="C32" s="10">
        <v>60</v>
      </c>
      <c r="D32" s="39">
        <v>65.593999999999994</v>
      </c>
      <c r="E32" s="39">
        <v>73.55</v>
      </c>
      <c r="F32" s="39">
        <f t="shared" si="1"/>
        <v>477.36000000000018</v>
      </c>
      <c r="G32" s="39">
        <f t="shared" si="2"/>
        <v>3935.6399999999994</v>
      </c>
      <c r="H32" s="175">
        <f t="shared" si="3"/>
        <v>0.12129158154709278</v>
      </c>
      <c r="I32" s="39"/>
      <c r="J32" s="98">
        <v>477.36000000000018</v>
      </c>
      <c r="K32" s="39"/>
      <c r="L32" s="152"/>
      <c r="O32" s="78">
        <v>1.01</v>
      </c>
      <c r="P32" s="78">
        <f t="shared" si="0"/>
        <v>93.424999999999997</v>
      </c>
      <c r="Q32" s="2"/>
    </row>
    <row r="33" spans="1:17" x14ac:dyDescent="0.25">
      <c r="B33" s="161">
        <v>43299</v>
      </c>
      <c r="C33" s="10">
        <v>0</v>
      </c>
      <c r="D33" s="39"/>
      <c r="E33" s="39">
        <v>76.28</v>
      </c>
      <c r="F33" s="39">
        <v>641.1</v>
      </c>
      <c r="G33" s="39"/>
      <c r="H33" s="175"/>
      <c r="I33" s="39"/>
      <c r="J33" s="98">
        <v>641.1</v>
      </c>
      <c r="K33" s="39"/>
      <c r="L33" s="152"/>
      <c r="O33" s="78">
        <v>1</v>
      </c>
      <c r="P33" s="78">
        <f t="shared" si="0"/>
        <v>92.5</v>
      </c>
      <c r="Q33" s="2"/>
    </row>
    <row r="34" spans="1:17" x14ac:dyDescent="0.25">
      <c r="B34" s="161">
        <v>43300</v>
      </c>
      <c r="C34" s="181">
        <v>60</v>
      </c>
      <c r="D34" s="182">
        <v>65.015000000000001</v>
      </c>
      <c r="E34" s="39">
        <v>75.760000000000005</v>
      </c>
      <c r="F34" s="39">
        <f t="shared" ref="F34:F39" si="4">C34*(E34-D34)</f>
        <v>644.70000000000027</v>
      </c>
      <c r="G34" s="39">
        <f t="shared" ref="G34:G39" si="5">D34*C34</f>
        <v>3900.9</v>
      </c>
      <c r="H34" s="175">
        <f t="shared" ref="H34:H39" si="6">(E34-D34)/D34</f>
        <v>0.16526955318003544</v>
      </c>
      <c r="I34" s="39"/>
      <c r="J34" s="98">
        <v>644.70000000000027</v>
      </c>
      <c r="K34" s="39"/>
      <c r="L34" s="152"/>
      <c r="O34" s="78">
        <v>0.99</v>
      </c>
      <c r="P34" s="78">
        <f t="shared" si="0"/>
        <v>91.575000000000003</v>
      </c>
      <c r="Q34" s="2"/>
    </row>
    <row r="35" spans="1:17" x14ac:dyDescent="0.25">
      <c r="A35">
        <v>0</v>
      </c>
      <c r="B35" s="161">
        <v>43301</v>
      </c>
      <c r="C35" s="10">
        <v>60</v>
      </c>
      <c r="D35" s="39">
        <v>65.015000000000001</v>
      </c>
      <c r="E35" s="39">
        <v>72.81</v>
      </c>
      <c r="F35" s="39">
        <f t="shared" si="4"/>
        <v>467.7000000000001</v>
      </c>
      <c r="G35" s="39">
        <f t="shared" si="5"/>
        <v>3900.9</v>
      </c>
      <c r="H35" s="175">
        <f t="shared" si="6"/>
        <v>0.11989540875182653</v>
      </c>
      <c r="I35" s="39"/>
      <c r="J35" s="98">
        <v>467.7000000000001</v>
      </c>
      <c r="K35" s="39"/>
      <c r="L35" s="152"/>
      <c r="O35" s="78">
        <v>0.98</v>
      </c>
      <c r="P35" s="78">
        <f t="shared" si="0"/>
        <v>90.649999999999991</v>
      </c>
      <c r="Q35" s="2"/>
    </row>
    <row r="36" spans="1:17" x14ac:dyDescent="0.25">
      <c r="B36" s="161">
        <v>43365</v>
      </c>
      <c r="C36" s="10">
        <v>60</v>
      </c>
      <c r="D36" s="39">
        <v>65.015000000000001</v>
      </c>
      <c r="E36" s="39">
        <v>77.819999999999993</v>
      </c>
      <c r="F36" s="760">
        <f t="shared" si="4"/>
        <v>768.2999999999995</v>
      </c>
      <c r="G36" s="39">
        <f t="shared" si="5"/>
        <v>3900.9</v>
      </c>
      <c r="H36" s="175">
        <f t="shared" si="6"/>
        <v>0.19695454895024214</v>
      </c>
      <c r="I36" s="39"/>
      <c r="J36" s="98">
        <v>768.2999999999995</v>
      </c>
      <c r="K36" s="39"/>
      <c r="L36" s="39"/>
      <c r="O36" s="78">
        <v>0.97</v>
      </c>
      <c r="P36" s="78">
        <f t="shared" si="0"/>
        <v>89.724999999999994</v>
      </c>
    </row>
    <row r="37" spans="1:17" x14ac:dyDescent="0.25">
      <c r="A37">
        <v>60</v>
      </c>
      <c r="B37" s="161">
        <v>43371</v>
      </c>
      <c r="C37" s="181">
        <v>60</v>
      </c>
      <c r="D37" s="182">
        <v>64.775000000000006</v>
      </c>
      <c r="E37" s="39">
        <v>74.89</v>
      </c>
      <c r="F37" s="98">
        <f t="shared" si="4"/>
        <v>606.89999999999964</v>
      </c>
      <c r="G37" s="39">
        <f t="shared" si="5"/>
        <v>3886.5000000000005</v>
      </c>
      <c r="H37" s="175">
        <f t="shared" si="6"/>
        <v>0.15615592435353137</v>
      </c>
      <c r="I37" s="39"/>
      <c r="J37" s="98">
        <v>606.89999999999964</v>
      </c>
      <c r="K37" s="39"/>
      <c r="L37" s="39"/>
      <c r="O37" s="78">
        <v>0.96</v>
      </c>
      <c r="P37" s="78">
        <f t="shared" si="0"/>
        <v>88.8</v>
      </c>
    </row>
    <row r="38" spans="1:17" x14ac:dyDescent="0.25">
      <c r="B38" s="161">
        <v>43407</v>
      </c>
      <c r="C38" s="10">
        <v>60</v>
      </c>
      <c r="D38" s="39">
        <v>64.78</v>
      </c>
      <c r="E38" s="39">
        <v>76.91</v>
      </c>
      <c r="F38" s="39">
        <f t="shared" si="4"/>
        <v>727.79999999999973</v>
      </c>
      <c r="G38" s="39">
        <f t="shared" si="5"/>
        <v>3886.8</v>
      </c>
      <c r="H38" s="175">
        <f t="shared" si="6"/>
        <v>0.18724915097252232</v>
      </c>
      <c r="I38" s="39"/>
      <c r="J38" s="98">
        <v>727.79999999999973</v>
      </c>
      <c r="K38" s="39"/>
      <c r="L38" s="39"/>
      <c r="O38" s="78">
        <v>0.95</v>
      </c>
      <c r="P38" s="78">
        <f t="shared" si="0"/>
        <v>87.875</v>
      </c>
    </row>
    <row r="39" spans="1:17" x14ac:dyDescent="0.25">
      <c r="B39" s="161">
        <v>43412</v>
      </c>
      <c r="C39" s="10">
        <v>0</v>
      </c>
      <c r="D39" s="39">
        <v>64.78</v>
      </c>
      <c r="E39" s="39">
        <v>79.08</v>
      </c>
      <c r="F39" s="39">
        <f t="shared" si="4"/>
        <v>0</v>
      </c>
      <c r="G39" s="39">
        <f t="shared" si="5"/>
        <v>0</v>
      </c>
      <c r="H39" s="175">
        <f t="shared" si="6"/>
        <v>0.2207471441803025</v>
      </c>
      <c r="I39" s="39"/>
      <c r="J39" s="760">
        <v>870.24</v>
      </c>
      <c r="K39" s="39"/>
      <c r="L39" s="39"/>
      <c r="O39" s="78">
        <v>0.94</v>
      </c>
      <c r="P39" s="78">
        <f t="shared" si="0"/>
        <v>86.949999999999989</v>
      </c>
    </row>
    <row r="40" spans="1:17" x14ac:dyDescent="0.25">
      <c r="B40" s="161"/>
      <c r="C40" s="10"/>
      <c r="D40" s="39"/>
      <c r="E40" s="39"/>
      <c r="F40" s="39"/>
      <c r="G40" s="39"/>
      <c r="H40" s="175"/>
      <c r="I40" s="39"/>
      <c r="J40" s="39"/>
      <c r="K40" s="39"/>
      <c r="L40" s="39"/>
      <c r="O40" s="78">
        <v>0.93</v>
      </c>
      <c r="P40" s="78">
        <f t="shared" si="0"/>
        <v>86.025000000000006</v>
      </c>
    </row>
    <row r="41" spans="1:17" x14ac:dyDescent="0.25">
      <c r="B41" s="161"/>
      <c r="C41" s="10"/>
      <c r="D41" s="39"/>
      <c r="E41" s="39"/>
      <c r="F41" s="39"/>
      <c r="G41" s="39"/>
      <c r="H41" s="175"/>
      <c r="I41" s="39"/>
      <c r="J41" s="39"/>
      <c r="K41" s="39"/>
      <c r="L41" s="39"/>
      <c r="O41" s="78">
        <v>0.92</v>
      </c>
      <c r="P41" s="78">
        <f t="shared" si="0"/>
        <v>85.100000000000009</v>
      </c>
    </row>
    <row r="42" spans="1:17" x14ac:dyDescent="0.25">
      <c r="B42" s="161"/>
      <c r="C42" s="10"/>
      <c r="D42" s="39"/>
      <c r="E42" s="39"/>
      <c r="F42" s="39"/>
      <c r="G42" s="39"/>
      <c r="H42" s="175"/>
      <c r="I42" s="39"/>
      <c r="J42" s="39"/>
      <c r="K42" s="39"/>
      <c r="L42" s="39"/>
      <c r="O42" s="78">
        <v>0.91</v>
      </c>
      <c r="P42" s="78">
        <f t="shared" si="0"/>
        <v>84.174999999999997</v>
      </c>
    </row>
    <row r="43" spans="1:17" x14ac:dyDescent="0.25">
      <c r="B43" s="161"/>
      <c r="C43" s="10"/>
      <c r="D43" s="39"/>
      <c r="E43" s="39"/>
      <c r="F43" s="39"/>
      <c r="G43" s="39"/>
      <c r="H43" s="175"/>
      <c r="I43" s="39"/>
      <c r="J43" s="39"/>
      <c r="K43" s="39"/>
      <c r="L43" s="39"/>
      <c r="O43" s="78">
        <v>0.9</v>
      </c>
      <c r="P43" s="78">
        <f t="shared" si="0"/>
        <v>83.25</v>
      </c>
    </row>
    <row r="44" spans="1:17" x14ac:dyDescent="0.25">
      <c r="B44" s="161"/>
      <c r="C44" s="10"/>
      <c r="D44" s="39"/>
      <c r="E44" s="39"/>
      <c r="F44" s="39"/>
      <c r="G44" s="39"/>
      <c r="H44" s="175"/>
      <c r="I44" s="39"/>
      <c r="J44" s="39"/>
      <c r="K44" s="39"/>
      <c r="L44" s="39"/>
    </row>
    <row r="45" spans="1:17" x14ac:dyDescent="0.25">
      <c r="B45" s="161"/>
      <c r="C45" s="10"/>
      <c r="D45" s="39"/>
      <c r="E45" s="39"/>
      <c r="F45" s="39"/>
      <c r="G45" s="39"/>
      <c r="H45" s="175"/>
      <c r="I45" s="39"/>
      <c r="J45" s="39"/>
      <c r="K45" s="39"/>
      <c r="L45" s="39"/>
    </row>
    <row r="46" spans="1:17" x14ac:dyDescent="0.25">
      <c r="B46" s="161"/>
      <c r="C46" s="10"/>
      <c r="D46" s="39"/>
      <c r="E46" s="39"/>
      <c r="F46" s="39"/>
      <c r="G46" s="39"/>
      <c r="H46" s="175"/>
      <c r="I46" s="39"/>
      <c r="J46" s="39"/>
      <c r="K46" s="39"/>
      <c r="L46" s="39"/>
    </row>
    <row r="47" spans="1:17" x14ac:dyDescent="0.25">
      <c r="B47" s="69"/>
      <c r="C47" s="4"/>
      <c r="D47" s="3"/>
      <c r="E47" s="3"/>
      <c r="F47" s="3"/>
      <c r="G47" s="3"/>
      <c r="H47" s="212"/>
      <c r="I47" s="210"/>
    </row>
    <row r="48" spans="1:17" x14ac:dyDescent="0.25">
      <c r="B48" s="69"/>
      <c r="C48" s="4"/>
      <c r="D48" s="3"/>
      <c r="E48" s="3"/>
      <c r="F48" s="3"/>
      <c r="G48" s="3"/>
      <c r="H48" s="212"/>
      <c r="I48" s="3"/>
    </row>
    <row r="49" spans="1:12" x14ac:dyDescent="0.25">
      <c r="B49" s="69"/>
      <c r="C49" s="4"/>
      <c r="D49" s="3"/>
      <c r="E49" s="3"/>
      <c r="F49" s="3"/>
      <c r="G49" s="3"/>
      <c r="H49" s="212"/>
      <c r="I49" s="3"/>
    </row>
    <row r="50" spans="1:12" x14ac:dyDescent="0.25">
      <c r="B50" s="69"/>
      <c r="C50" s="4"/>
      <c r="D50" s="3"/>
      <c r="E50" s="3"/>
      <c r="F50" s="3"/>
      <c r="G50" s="3"/>
      <c r="H50" s="212"/>
      <c r="I50" s="3"/>
    </row>
    <row r="51" spans="1:12" x14ac:dyDescent="0.25">
      <c r="B51" s="69"/>
      <c r="C51" s="4"/>
      <c r="D51" s="3"/>
      <c r="E51" s="3"/>
      <c r="F51" s="3"/>
      <c r="G51" s="3"/>
      <c r="H51" s="212"/>
      <c r="I51" s="3"/>
    </row>
    <row r="52" spans="1:12" x14ac:dyDescent="0.25">
      <c r="B52" s="69"/>
      <c r="C52" s="4"/>
      <c r="D52" s="3"/>
      <c r="E52" s="3"/>
      <c r="F52" s="3"/>
      <c r="G52" s="3"/>
      <c r="H52" s="212"/>
      <c r="I52" s="3"/>
    </row>
    <row r="53" spans="1:12" x14ac:dyDescent="0.25">
      <c r="B53" s="69"/>
      <c r="C53" s="4"/>
      <c r="D53" s="3"/>
      <c r="E53" s="3"/>
      <c r="F53" s="3"/>
      <c r="G53" s="3"/>
      <c r="H53" s="212"/>
      <c r="I53" s="3"/>
    </row>
    <row r="54" spans="1:12" x14ac:dyDescent="0.25">
      <c r="A54" s="4"/>
      <c r="B54" s="69"/>
      <c r="C54" s="4"/>
      <c r="D54" s="3"/>
      <c r="E54" s="3"/>
      <c r="F54" s="3"/>
      <c r="G54" s="3"/>
      <c r="H54" s="212"/>
      <c r="I54" s="3"/>
      <c r="J54" s="3"/>
      <c r="K54" s="3"/>
      <c r="L54" s="4"/>
    </row>
    <row r="55" spans="1:12" x14ac:dyDescent="0.25">
      <c r="A55" s="4"/>
      <c r="B55" s="69"/>
      <c r="C55" s="4"/>
      <c r="D55" s="3"/>
      <c r="E55" s="3"/>
      <c r="F55" s="3"/>
      <c r="G55" s="3"/>
      <c r="H55" s="212"/>
      <c r="I55" s="3"/>
      <c r="J55" s="3"/>
      <c r="K55" s="3"/>
      <c r="L55" s="4"/>
    </row>
    <row r="56" spans="1:12" x14ac:dyDescent="0.25">
      <c r="A56" s="4"/>
      <c r="B56" s="69"/>
      <c r="C56" s="4"/>
      <c r="D56" s="3"/>
      <c r="E56" s="3"/>
      <c r="F56" s="3"/>
      <c r="G56" s="3"/>
      <c r="H56" s="212"/>
      <c r="I56" s="3"/>
      <c r="J56" s="3"/>
      <c r="K56" s="3"/>
      <c r="L56" s="4"/>
    </row>
    <row r="57" spans="1:12" x14ac:dyDescent="0.25">
      <c r="A57" s="4"/>
      <c r="B57" s="69"/>
      <c r="C57" s="4"/>
      <c r="D57" s="3"/>
      <c r="E57" s="3"/>
      <c r="F57" s="3"/>
      <c r="G57" s="3"/>
      <c r="H57" s="212"/>
      <c r="I57" s="3"/>
      <c r="J57" s="3"/>
      <c r="K57" s="3"/>
      <c r="L57" s="4"/>
    </row>
    <row r="58" spans="1:12" x14ac:dyDescent="0.25">
      <c r="A58" s="4"/>
      <c r="B58" s="69"/>
      <c r="C58" s="4"/>
      <c r="D58" s="3"/>
      <c r="E58" s="3"/>
      <c r="F58" s="3"/>
      <c r="G58" s="3"/>
      <c r="H58" s="212"/>
      <c r="I58" s="3"/>
      <c r="J58" s="3"/>
      <c r="K58" s="3"/>
      <c r="L58" s="4"/>
    </row>
    <row r="59" spans="1:12" x14ac:dyDescent="0.25">
      <c r="A59" s="4"/>
      <c r="B59" s="69"/>
      <c r="C59" s="4"/>
      <c r="D59" s="3"/>
      <c r="E59" s="3"/>
      <c r="F59" s="3"/>
      <c r="G59" s="3"/>
      <c r="H59" s="212"/>
      <c r="I59" s="3"/>
      <c r="J59" s="3"/>
      <c r="K59" s="3"/>
      <c r="L59" s="4"/>
    </row>
    <row r="60" spans="1:12" x14ac:dyDescent="0.25">
      <c r="A60" s="4"/>
      <c r="B60" s="69"/>
      <c r="C60" s="4"/>
      <c r="D60" s="3"/>
      <c r="E60" s="3"/>
      <c r="F60" s="3"/>
      <c r="G60" s="3"/>
      <c r="H60" s="212"/>
      <c r="I60" s="3"/>
      <c r="J60" s="3"/>
      <c r="K60" s="3"/>
      <c r="L60" s="4"/>
    </row>
    <row r="61" spans="1:12" x14ac:dyDescent="0.25">
      <c r="A61" s="4"/>
      <c r="B61" s="69"/>
      <c r="C61" s="4"/>
      <c r="D61" s="3"/>
      <c r="E61" s="3"/>
      <c r="F61" s="3"/>
      <c r="G61" s="3"/>
      <c r="H61" s="212"/>
      <c r="I61" s="3"/>
      <c r="J61" s="3"/>
      <c r="K61" s="3"/>
      <c r="L61" s="4"/>
    </row>
    <row r="62" spans="1:12" x14ac:dyDescent="0.25">
      <c r="A62" s="4"/>
      <c r="B62" s="69"/>
      <c r="C62" s="4"/>
      <c r="D62" s="3"/>
      <c r="E62" s="3"/>
      <c r="F62" s="3"/>
      <c r="G62" s="3"/>
      <c r="H62" s="212"/>
      <c r="I62" s="3"/>
      <c r="J62" s="3"/>
      <c r="K62" s="3"/>
      <c r="L62" s="4"/>
    </row>
    <row r="63" spans="1:12" x14ac:dyDescent="0.25">
      <c r="A63" s="4"/>
      <c r="B63" s="69"/>
      <c r="C63" s="4"/>
      <c r="D63" s="3"/>
      <c r="E63" s="3"/>
      <c r="F63" s="3"/>
      <c r="G63" s="3"/>
      <c r="H63" s="212"/>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851</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F47:F63 H47:H63">
    <cfRule type="expression" dxfId="1955" priority="39">
      <formula>F47&gt;0</formula>
    </cfRule>
    <cfRule type="expression" dxfId="1954" priority="40">
      <formula>F47&lt;0</formula>
    </cfRule>
  </conditionalFormatting>
  <conditionalFormatting sqref="Q7">
    <cfRule type="expression" dxfId="1953" priority="37">
      <formula>Q7&gt;0</formula>
    </cfRule>
    <cfRule type="expression" dxfId="1952" priority="38">
      <formula>Q7&lt;0</formula>
    </cfRule>
  </conditionalFormatting>
  <conditionalFormatting sqref="Q8">
    <cfRule type="expression" dxfId="1951" priority="35">
      <formula>Q8&gt;0</formula>
    </cfRule>
    <cfRule type="expression" dxfId="1950" priority="36">
      <formula>Q8&lt;0</formula>
    </cfRule>
  </conditionalFormatting>
  <conditionalFormatting sqref="F30:F33 F38:F46">
    <cfRule type="expression" dxfId="1949" priority="33">
      <formula>F30&gt;0</formula>
    </cfRule>
    <cfRule type="expression" dxfId="1948" priority="34">
      <formula>F30&lt;0</formula>
    </cfRule>
  </conditionalFormatting>
  <conditionalFormatting sqref="H30:H33 H37:H46">
    <cfRule type="expression" dxfId="1947" priority="31">
      <formula>H30&gt;0</formula>
    </cfRule>
    <cfRule type="expression" dxfId="1946" priority="32">
      <formula>H30&lt;0</formula>
    </cfRule>
  </conditionalFormatting>
  <conditionalFormatting sqref="Q10">
    <cfRule type="expression" dxfId="1945" priority="29">
      <formula>Q10&gt;0</formula>
    </cfRule>
    <cfRule type="expression" dxfId="1944" priority="30">
      <formula>Q10&lt;0</formula>
    </cfRule>
  </conditionalFormatting>
  <conditionalFormatting sqref="K25:K38">
    <cfRule type="expression" dxfId="1943" priority="25">
      <formula>K25&gt;0</formula>
    </cfRule>
    <cfRule type="expression" dxfId="1942" priority="26">
      <formula>K25&lt;0</formula>
    </cfRule>
  </conditionalFormatting>
  <conditionalFormatting sqref="L25:L38">
    <cfRule type="expression" dxfId="1941" priority="23">
      <formula>L25&gt;0</formula>
    </cfRule>
    <cfRule type="expression" dxfId="1940" priority="24">
      <formula>L25&lt;0</formula>
    </cfRule>
  </conditionalFormatting>
  <conditionalFormatting sqref="F89:F110">
    <cfRule type="expression" dxfId="1939" priority="21">
      <formula>F89&gt;0</formula>
    </cfRule>
    <cfRule type="expression" dxfId="1938" priority="22">
      <formula>F89&lt;0</formula>
    </cfRule>
  </conditionalFormatting>
  <conditionalFormatting sqref="H89:H110">
    <cfRule type="expression" dxfId="1937" priority="19">
      <formula>H89&gt;0</formula>
    </cfRule>
    <cfRule type="expression" dxfId="1936" priority="20">
      <formula>H89&lt;0</formula>
    </cfRule>
  </conditionalFormatting>
  <conditionalFormatting sqref="J89:J102">
    <cfRule type="expression" dxfId="1935" priority="17">
      <formula>J89&gt;0</formula>
    </cfRule>
    <cfRule type="expression" dxfId="1934" priority="18">
      <formula>J89&lt;0</formula>
    </cfRule>
  </conditionalFormatting>
  <conditionalFormatting sqref="K89:K102">
    <cfRule type="expression" dxfId="1933" priority="15">
      <formula>K89&gt;0</formula>
    </cfRule>
    <cfRule type="expression" dxfId="1932" priority="16">
      <formula>K89&lt;0</formula>
    </cfRule>
  </conditionalFormatting>
  <conditionalFormatting sqref="L89:L102">
    <cfRule type="expression" dxfId="1931" priority="13">
      <formula>L89&gt;0</formula>
    </cfRule>
    <cfRule type="expression" dxfId="1930" priority="14">
      <formula>L89&lt;0</formula>
    </cfRule>
  </conditionalFormatting>
  <conditionalFormatting sqref="F25:F29">
    <cfRule type="expression" dxfId="1929" priority="11">
      <formula>F25&gt;0</formula>
    </cfRule>
    <cfRule type="expression" dxfId="1928" priority="12">
      <formula>F25&lt;0</formula>
    </cfRule>
  </conditionalFormatting>
  <conditionalFormatting sqref="H25:H29">
    <cfRule type="expression" dxfId="1927" priority="9">
      <formula>H25&gt;0</formula>
    </cfRule>
    <cfRule type="expression" dxfId="1926" priority="10">
      <formula>H25&lt;0</formula>
    </cfRule>
  </conditionalFormatting>
  <conditionalFormatting sqref="F34:F37">
    <cfRule type="expression" dxfId="1925" priority="7">
      <formula>F34&gt;0</formula>
    </cfRule>
    <cfRule type="expression" dxfId="1924" priority="8">
      <formula>F34&lt;0</formula>
    </cfRule>
  </conditionalFormatting>
  <conditionalFormatting sqref="H34:H36">
    <cfRule type="expression" dxfId="1923" priority="5">
      <formula>H34&gt;0</formula>
    </cfRule>
    <cfRule type="expression" dxfId="1922" priority="6">
      <formula>H34&lt;0</formula>
    </cfRule>
  </conditionalFormatting>
  <conditionalFormatting sqref="J39">
    <cfRule type="expression" dxfId="1921" priority="3">
      <formula>J39&gt;0</formula>
    </cfRule>
    <cfRule type="expression" dxfId="1920" priority="4">
      <formula>J39&lt;0</formula>
    </cfRule>
  </conditionalFormatting>
  <conditionalFormatting sqref="J25:J38">
    <cfRule type="expression" dxfId="1919" priority="1">
      <formula>J25&gt;0</formula>
    </cfRule>
    <cfRule type="expression" dxfId="1918" priority="2">
      <formula>J25&lt;0</formula>
    </cfRule>
  </conditionalFormatting>
  <hyperlinks>
    <hyperlink ref="A3" location="ACTIVE!A1" display="Back"/>
  </hyperlinks>
  <pageMargins left="0.7" right="0.7" top="0.75" bottom="0.75" header="0.3" footer="0.3"/>
  <pageSetup orientation="portrait" r:id="rId1"/>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P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4" max="4" width="9.5703125" bestFit="1" customWidth="1"/>
    <col min="6" max="6" width="10.5703125" bestFit="1" customWidth="1"/>
    <col min="7" max="7" width="10.7109375" bestFit="1" customWidth="1"/>
    <col min="8" max="8" width="9.5703125" bestFit="1" customWidth="1"/>
    <col min="9" max="9" width="10.42578125" style="2" bestFit="1" customWidth="1"/>
    <col min="10" max="10" width="9.140625" style="2"/>
    <col min="11" max="11" width="11.7109375" style="2" customWidth="1"/>
    <col min="17" max="17" width="9.5703125" bestFit="1" customWidth="1"/>
    <col min="18" max="18" width="16.42578125" customWidth="1"/>
    <col min="20" max="20" width="13.7109375" customWidth="1"/>
    <col min="21" max="21" width="18.7109375" style="33" customWidth="1"/>
    <col min="23" max="23" width="17.5703125" customWidth="1"/>
    <col min="24" max="24" width="13.140625" bestFit="1" customWidth="1"/>
    <col min="25" max="27" width="6" bestFit="1" customWidth="1"/>
    <col min="28" max="28" width="10.140625" bestFit="1"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42" s="16" customFormat="1" x14ac:dyDescent="0.25">
      <c r="A1" s="15" t="s">
        <v>1</v>
      </c>
      <c r="B1" s="15" t="s">
        <v>2</v>
      </c>
      <c r="C1" s="15" t="s">
        <v>4</v>
      </c>
      <c r="D1" s="15" t="s">
        <v>5</v>
      </c>
      <c r="E1" s="15" t="s">
        <v>94</v>
      </c>
      <c r="F1" s="15" t="s">
        <v>60</v>
      </c>
      <c r="G1" s="15" t="s">
        <v>3</v>
      </c>
      <c r="H1" s="15" t="s">
        <v>6</v>
      </c>
      <c r="I1" s="44" t="s">
        <v>7</v>
      </c>
      <c r="J1" s="44" t="s">
        <v>95</v>
      </c>
      <c r="K1" s="44" t="s">
        <v>61</v>
      </c>
      <c r="L1" s="15" t="s">
        <v>37</v>
      </c>
      <c r="M1" s="15" t="s">
        <v>38</v>
      </c>
      <c r="U1" s="121"/>
      <c r="W1" s="126" t="s">
        <v>113</v>
      </c>
      <c r="X1" s="126" t="s">
        <v>114</v>
      </c>
      <c r="Y1" s="126" t="s">
        <v>115</v>
      </c>
      <c r="Z1" s="126" t="s">
        <v>116</v>
      </c>
      <c r="AA1" s="126" t="s">
        <v>117</v>
      </c>
      <c r="AB1" s="126" t="s">
        <v>118</v>
      </c>
      <c r="AC1" s="126" t="s">
        <v>119</v>
      </c>
      <c r="AD1" s="16" t="s">
        <v>125</v>
      </c>
      <c r="AE1" s="16" t="s">
        <v>127</v>
      </c>
    </row>
    <row r="2" spans="1:42" x14ac:dyDescent="0.25">
      <c r="A2" s="6" t="s">
        <v>190</v>
      </c>
      <c r="B2" s="69"/>
      <c r="C2" s="4"/>
      <c r="D2" s="3"/>
      <c r="E2" s="3"/>
      <c r="F2" s="3"/>
      <c r="G2" s="69"/>
      <c r="H2" s="4"/>
      <c r="I2" s="3"/>
      <c r="J2" s="3"/>
      <c r="K2" s="3"/>
      <c r="L2" s="69"/>
      <c r="M2" s="3"/>
      <c r="O2" s="11" t="s">
        <v>57</v>
      </c>
      <c r="Q2">
        <f>C18-H18</f>
        <v>0</v>
      </c>
      <c r="T2" s="16"/>
      <c r="U2" s="121"/>
      <c r="V2" s="16"/>
      <c r="W2" s="134">
        <v>42830</v>
      </c>
      <c r="X2" s="135">
        <v>54.97</v>
      </c>
      <c r="Y2" s="135">
        <v>55.8</v>
      </c>
      <c r="Z2" s="10">
        <v>54.5</v>
      </c>
      <c r="AA2" s="10">
        <v>54.98</v>
      </c>
      <c r="AB2" s="90">
        <v>7658500</v>
      </c>
      <c r="AC2" s="10">
        <v>54.98</v>
      </c>
      <c r="AE2" s="131"/>
    </row>
    <row r="3" spans="1:42" x14ac:dyDescent="0.25">
      <c r="A3" s="22" t="s">
        <v>71</v>
      </c>
      <c r="B3" s="69"/>
      <c r="C3" s="4"/>
      <c r="D3" s="3"/>
      <c r="E3" s="3"/>
      <c r="F3" s="3"/>
      <c r="G3" s="69"/>
      <c r="H3" s="158"/>
      <c r="I3" s="3"/>
      <c r="J3" s="3"/>
      <c r="K3" s="3"/>
      <c r="L3" s="4"/>
      <c r="M3" s="4"/>
      <c r="O3" s="11" t="s">
        <v>58</v>
      </c>
      <c r="Q3" s="174">
        <f>IF(Q2=0, Q4, (F18-K18-M18)/Q2)</f>
        <v>87.69</v>
      </c>
      <c r="W3" s="127">
        <v>42829</v>
      </c>
      <c r="X3" s="10">
        <v>55.15</v>
      </c>
      <c r="Y3" s="10">
        <v>55.3</v>
      </c>
      <c r="Z3" s="10">
        <v>54.83</v>
      </c>
      <c r="AA3" s="10">
        <v>55.04</v>
      </c>
      <c r="AB3" s="90">
        <v>8829800</v>
      </c>
      <c r="AC3" s="10">
        <v>55.04</v>
      </c>
      <c r="AE3" s="131"/>
      <c r="AL3" s="178"/>
      <c r="AO3" s="178"/>
    </row>
    <row r="4" spans="1:42" x14ac:dyDescent="0.25">
      <c r="B4" s="4"/>
      <c r="C4" s="4"/>
      <c r="D4" s="4"/>
      <c r="E4" s="4"/>
      <c r="F4" s="4"/>
      <c r="G4" s="69"/>
      <c r="H4" s="158"/>
      <c r="I4" s="3"/>
      <c r="J4" s="3"/>
      <c r="K4" s="3"/>
      <c r="L4" s="4"/>
      <c r="M4" s="4"/>
      <c r="O4" s="11" t="s">
        <v>66</v>
      </c>
      <c r="Q4" s="169">
        <v>87.69</v>
      </c>
      <c r="R4" s="396">
        <v>1.12E-2</v>
      </c>
      <c r="T4" s="1"/>
      <c r="W4" s="127">
        <v>42828</v>
      </c>
      <c r="X4" s="10">
        <v>55.74</v>
      </c>
      <c r="Y4" s="10">
        <v>55.8</v>
      </c>
      <c r="Z4" s="10">
        <v>55.15</v>
      </c>
      <c r="AA4" s="10">
        <v>55.56</v>
      </c>
      <c r="AB4" s="90">
        <v>7078000</v>
      </c>
      <c r="AC4" s="10">
        <v>55.56</v>
      </c>
      <c r="AE4" s="131"/>
      <c r="AL4" s="178"/>
      <c r="AO4" s="178"/>
    </row>
    <row r="5" spans="1:42" x14ac:dyDescent="0.25">
      <c r="B5" s="69"/>
      <c r="C5" s="4"/>
      <c r="D5" s="3"/>
      <c r="E5" s="3"/>
      <c r="F5" s="3"/>
      <c r="G5" s="69"/>
      <c r="H5" s="158"/>
      <c r="I5" s="3"/>
      <c r="J5" s="3"/>
      <c r="K5" s="3"/>
      <c r="L5" s="4"/>
      <c r="M5" s="4"/>
      <c r="O5" s="11" t="s">
        <v>67</v>
      </c>
      <c r="Q5" s="3">
        <f>Q4*Q2</f>
        <v>0</v>
      </c>
      <c r="W5" s="127">
        <v>42825</v>
      </c>
      <c r="X5" s="10">
        <v>56</v>
      </c>
      <c r="Y5" s="10">
        <v>56.03</v>
      </c>
      <c r="Z5" s="10">
        <v>55.65</v>
      </c>
      <c r="AA5" s="10">
        <v>55.73</v>
      </c>
      <c r="AB5" s="90">
        <v>5903600</v>
      </c>
      <c r="AC5" s="10">
        <v>55.73</v>
      </c>
      <c r="AE5" s="131"/>
      <c r="AL5" s="178"/>
      <c r="AO5" s="178"/>
    </row>
    <row r="6" spans="1:42" x14ac:dyDescent="0.25">
      <c r="B6" s="69"/>
      <c r="C6" s="4"/>
      <c r="D6" s="3"/>
      <c r="E6" s="3"/>
      <c r="F6" s="3"/>
      <c r="G6" s="69"/>
      <c r="H6" s="158"/>
      <c r="I6" s="3"/>
      <c r="J6" s="3"/>
      <c r="K6" s="3"/>
      <c r="L6" s="4"/>
      <c r="M6" s="4"/>
      <c r="O6" s="11" t="s">
        <v>64</v>
      </c>
      <c r="Q6" s="2">
        <f>Q3*Q2</f>
        <v>0</v>
      </c>
      <c r="W6" s="127">
        <v>42824</v>
      </c>
      <c r="X6" s="10">
        <v>56.48</v>
      </c>
      <c r="Y6" s="10">
        <v>56.6</v>
      </c>
      <c r="Z6" s="10">
        <v>55.81</v>
      </c>
      <c r="AA6" s="10">
        <v>56.04</v>
      </c>
      <c r="AB6" s="90">
        <v>7193300</v>
      </c>
      <c r="AC6" s="10">
        <v>56.04</v>
      </c>
      <c r="AE6" s="131"/>
      <c r="AL6" s="178"/>
      <c r="AO6" s="178"/>
    </row>
    <row r="7" spans="1:42" x14ac:dyDescent="0.25">
      <c r="B7" s="4"/>
      <c r="C7" s="4"/>
      <c r="D7" s="3"/>
      <c r="E7" s="3"/>
      <c r="F7" s="3"/>
      <c r="G7" s="4"/>
      <c r="H7" s="158"/>
      <c r="I7" s="3"/>
      <c r="J7" s="3"/>
      <c r="K7" s="3"/>
      <c r="L7" s="4"/>
      <c r="M7" s="4"/>
      <c r="O7" s="11" t="s">
        <v>175</v>
      </c>
      <c r="Q7" s="2">
        <f>Q10+Q8</f>
        <v>785.90999999999985</v>
      </c>
      <c r="R7">
        <v>0</v>
      </c>
      <c r="W7" s="127">
        <v>42823</v>
      </c>
      <c r="X7" s="10">
        <v>56.41</v>
      </c>
      <c r="Y7" s="10">
        <v>57.1</v>
      </c>
      <c r="Z7" s="10">
        <v>56.35</v>
      </c>
      <c r="AA7" s="10">
        <v>56.68</v>
      </c>
      <c r="AB7" s="90">
        <v>7407000</v>
      </c>
      <c r="AC7" s="10">
        <v>56.68</v>
      </c>
      <c r="AE7" s="131"/>
    </row>
    <row r="8" spans="1:42" x14ac:dyDescent="0.25">
      <c r="B8" s="4"/>
      <c r="C8" s="4"/>
      <c r="D8" s="4"/>
      <c r="E8" s="4"/>
      <c r="F8" s="4"/>
      <c r="G8" s="4"/>
      <c r="H8" s="158"/>
      <c r="I8" s="3"/>
      <c r="J8" s="3"/>
      <c r="K8" s="3"/>
      <c r="L8" s="4"/>
      <c r="M8" s="4"/>
      <c r="O8" s="11" t="s">
        <v>177</v>
      </c>
      <c r="P8" s="33"/>
      <c r="Q8" s="2">
        <f>K18+M18-F18+Q2*Q4</f>
        <v>0</v>
      </c>
      <c r="W8" s="127">
        <v>42822</v>
      </c>
      <c r="X8" s="10">
        <v>55.99</v>
      </c>
      <c r="Y8" s="10">
        <v>56.78</v>
      </c>
      <c r="Z8" s="10">
        <v>55.79</v>
      </c>
      <c r="AA8" s="10">
        <v>56.62</v>
      </c>
      <c r="AB8" s="90">
        <v>7772900</v>
      </c>
      <c r="AC8" s="10">
        <v>56.62</v>
      </c>
      <c r="AE8" s="131"/>
      <c r="AL8" s="178"/>
      <c r="AO8" s="178"/>
      <c r="AP8" s="178"/>
    </row>
    <row r="9" spans="1:42" x14ac:dyDescent="0.25">
      <c r="H9" s="67"/>
      <c r="O9" s="11" t="s">
        <v>202</v>
      </c>
      <c r="Q9" s="131">
        <f>IF(Q2=0, 0, Q8/Q6)</f>
        <v>0</v>
      </c>
      <c r="W9" s="127">
        <v>42821</v>
      </c>
      <c r="X9" s="10">
        <v>55.64</v>
      </c>
      <c r="Y9" s="10">
        <v>56.25</v>
      </c>
      <c r="Z9" s="10">
        <v>55.54</v>
      </c>
      <c r="AA9" s="10">
        <v>55.93</v>
      </c>
      <c r="AB9" s="90">
        <v>8557200</v>
      </c>
      <c r="AC9" s="10">
        <v>55.93</v>
      </c>
      <c r="AE9" s="131"/>
    </row>
    <row r="10" spans="1:42" x14ac:dyDescent="0.25">
      <c r="H10" s="67"/>
      <c r="O10" s="11" t="s">
        <v>201</v>
      </c>
      <c r="P10" s="33"/>
      <c r="Q10" s="2">
        <f>M36</f>
        <v>785.90999999999985</v>
      </c>
      <c r="T10" s="11"/>
      <c r="W10" s="127">
        <v>42818</v>
      </c>
      <c r="X10" s="10">
        <v>55.29</v>
      </c>
      <c r="Y10" s="10">
        <v>56.64</v>
      </c>
      <c r="Z10" s="10">
        <v>55.12</v>
      </c>
      <c r="AA10" s="10">
        <v>56.36</v>
      </c>
      <c r="AB10" s="90">
        <v>14042600</v>
      </c>
      <c r="AC10" s="10">
        <v>56.36</v>
      </c>
      <c r="AE10" s="131"/>
      <c r="AL10" s="178"/>
      <c r="AO10" s="178"/>
    </row>
    <row r="11" spans="1:42" x14ac:dyDescent="0.25">
      <c r="H11" s="67"/>
      <c r="O11" s="11" t="s">
        <v>173</v>
      </c>
      <c r="P11" s="33"/>
      <c r="Q11" s="131">
        <f>IF(U58="N/A (N/A)", 0, VALUE(TRIM(CLEAN(MID(U58, FIND("(", U58)+1, 5)))))</f>
        <v>1.29E-2</v>
      </c>
      <c r="T11" s="1"/>
      <c r="W11" s="127">
        <v>42817</v>
      </c>
      <c r="X11" s="10">
        <v>54.61</v>
      </c>
      <c r="Y11" s="10">
        <v>55.55</v>
      </c>
      <c r="Z11" s="10">
        <v>54.52</v>
      </c>
      <c r="AA11" s="10">
        <v>55.37</v>
      </c>
      <c r="AB11" s="90">
        <v>22472800</v>
      </c>
      <c r="AC11" s="10">
        <v>55.37</v>
      </c>
      <c r="AE11" s="131"/>
    </row>
    <row r="12" spans="1:42" x14ac:dyDescent="0.25">
      <c r="H12" s="67"/>
      <c r="W12" s="127">
        <v>42816</v>
      </c>
      <c r="X12" s="10">
        <v>54.76</v>
      </c>
      <c r="Y12" s="10">
        <v>55</v>
      </c>
      <c r="Z12" s="10">
        <v>53.76</v>
      </c>
      <c r="AA12" s="10">
        <v>53.92</v>
      </c>
      <c r="AB12" s="90">
        <v>37267800</v>
      </c>
      <c r="AC12" s="10">
        <v>53.92</v>
      </c>
      <c r="AE12" s="131"/>
      <c r="AL12" s="178"/>
      <c r="AO12" s="178"/>
    </row>
    <row r="13" spans="1:42" x14ac:dyDescent="0.25">
      <c r="H13" s="67"/>
      <c r="T13" s="1"/>
      <c r="W13" s="127">
        <v>42815</v>
      </c>
      <c r="X13" s="10">
        <v>58.78</v>
      </c>
      <c r="Y13" s="10">
        <v>59</v>
      </c>
      <c r="Z13" s="10">
        <v>57.72</v>
      </c>
      <c r="AA13" s="10">
        <v>58.01</v>
      </c>
      <c r="AB13" s="90">
        <v>14001200</v>
      </c>
      <c r="AC13" s="10">
        <v>58.01</v>
      </c>
      <c r="AE13" s="131"/>
    </row>
    <row r="14" spans="1:42" x14ac:dyDescent="0.25">
      <c r="H14" s="67"/>
      <c r="W14" s="127">
        <v>42814</v>
      </c>
      <c r="X14" s="10">
        <v>58</v>
      </c>
      <c r="Y14" s="10">
        <v>58.81</v>
      </c>
      <c r="Z14" s="10">
        <v>57.96</v>
      </c>
      <c r="AA14" s="10">
        <v>58.68</v>
      </c>
      <c r="AB14" s="90">
        <v>13165000</v>
      </c>
      <c r="AC14" s="10">
        <v>58.68</v>
      </c>
      <c r="AE14" s="131"/>
      <c r="AL14" s="178"/>
      <c r="AO14" s="178"/>
      <c r="AP14" s="178"/>
    </row>
    <row r="15" spans="1:42" x14ac:dyDescent="0.25">
      <c r="H15" s="67"/>
      <c r="W15" s="127">
        <v>42811</v>
      </c>
      <c r="X15" s="10">
        <v>57.77</v>
      </c>
      <c r="Y15" s="10">
        <v>57.89</v>
      </c>
      <c r="Z15" s="10">
        <v>57.31</v>
      </c>
      <c r="AA15" s="10">
        <v>57.8</v>
      </c>
      <c r="AB15" s="90">
        <v>10738200</v>
      </c>
      <c r="AC15" s="10">
        <v>57.8</v>
      </c>
      <c r="AE15" s="131"/>
    </row>
    <row r="16" spans="1:42" x14ac:dyDescent="0.25">
      <c r="H16" s="67"/>
      <c r="O16" s="2"/>
      <c r="P16" s="2"/>
      <c r="Q16" s="2"/>
      <c r="T16" s="65"/>
      <c r="W16" s="127">
        <v>42810</v>
      </c>
      <c r="X16" s="10">
        <v>57.43</v>
      </c>
      <c r="Y16" s="10">
        <v>57.72</v>
      </c>
      <c r="Z16" s="10">
        <v>56.83</v>
      </c>
      <c r="AA16" s="10">
        <v>57.6</v>
      </c>
      <c r="AB16" s="90">
        <v>9882200</v>
      </c>
      <c r="AC16" s="10">
        <v>57.6</v>
      </c>
      <c r="AE16" s="131"/>
    </row>
    <row r="17" spans="1:41" x14ac:dyDescent="0.25">
      <c r="H17" s="67"/>
      <c r="O17" s="2"/>
      <c r="P17" s="2"/>
      <c r="Q17" s="2"/>
      <c r="W17" s="127">
        <v>42809</v>
      </c>
      <c r="X17" s="10">
        <v>57.63</v>
      </c>
      <c r="Y17" s="10">
        <v>57.99</v>
      </c>
      <c r="Z17" s="10">
        <v>56.75</v>
      </c>
      <c r="AA17" s="10">
        <v>57.66</v>
      </c>
      <c r="AB17" s="90">
        <v>9925300</v>
      </c>
      <c r="AC17" s="10">
        <v>57.66</v>
      </c>
      <c r="AE17" s="131"/>
    </row>
    <row r="18" spans="1:41" x14ac:dyDescent="0.25">
      <c r="A18" s="21" t="s">
        <v>81</v>
      </c>
      <c r="B18" s="12"/>
      <c r="C18" s="12">
        <f>SUM(C2:C17)</f>
        <v>0</v>
      </c>
      <c r="D18" s="12"/>
      <c r="E18" s="12"/>
      <c r="F18" s="13">
        <f>SUM(F2:F17)</f>
        <v>0</v>
      </c>
      <c r="G18" s="12"/>
      <c r="H18" s="12">
        <f>SUM(H2:H17)</f>
        <v>0</v>
      </c>
      <c r="I18" s="13"/>
      <c r="J18" s="13"/>
      <c r="K18" s="13">
        <f>SUM(K2:K17)</f>
        <v>0</v>
      </c>
      <c r="L18" s="13"/>
      <c r="M18" s="13">
        <f>SUM(M2:M17)</f>
        <v>0</v>
      </c>
      <c r="O18" s="2"/>
      <c r="P18" s="2"/>
      <c r="Q18" s="2"/>
      <c r="W18" s="127">
        <v>42808</v>
      </c>
      <c r="X18" s="10">
        <v>56.87</v>
      </c>
      <c r="Y18" s="10">
        <v>58.01</v>
      </c>
      <c r="Z18" s="10">
        <v>56.72</v>
      </c>
      <c r="AA18" s="10">
        <v>57.28</v>
      </c>
      <c r="AB18" s="90">
        <v>9266500</v>
      </c>
      <c r="AC18" s="10">
        <v>57.28</v>
      </c>
      <c r="AE18" s="131"/>
      <c r="AL18" s="178"/>
      <c r="AO18" s="178"/>
    </row>
    <row r="19" spans="1:41" ht="15.75" thickBot="1" x14ac:dyDescent="0.3">
      <c r="A19" s="273" t="s">
        <v>189</v>
      </c>
      <c r="B19" s="274"/>
      <c r="C19" s="275">
        <f>SumByColor($A$19,C2:C17)</f>
        <v>0</v>
      </c>
      <c r="D19" s="275"/>
      <c r="E19" s="275"/>
      <c r="F19" s="276">
        <f>SumByColor($A$19,F2:F5)</f>
        <v>0</v>
      </c>
      <c r="G19" s="275"/>
      <c r="H19" s="275">
        <f>SumByColor($A$19,H2:H17)</f>
        <v>0</v>
      </c>
      <c r="I19" s="275"/>
      <c r="J19" s="275"/>
      <c r="K19" s="276">
        <f>SumByColor($A$19,K2:K17)</f>
        <v>0</v>
      </c>
      <c r="L19" s="275"/>
      <c r="M19" s="276">
        <f>SumByColor($A$19,M2:M17)</f>
        <v>0</v>
      </c>
      <c r="O19" s="2"/>
      <c r="P19" s="2"/>
      <c r="Q19" s="2"/>
      <c r="W19" s="127">
        <v>42807</v>
      </c>
      <c r="X19" s="10">
        <v>56.43</v>
      </c>
      <c r="Y19" s="10">
        <v>56.82</v>
      </c>
      <c r="Z19" s="10">
        <v>56.11</v>
      </c>
      <c r="AA19" s="10">
        <v>56.67</v>
      </c>
      <c r="AB19" s="90">
        <v>7172400</v>
      </c>
      <c r="AC19" s="10">
        <v>56.67</v>
      </c>
      <c r="AE19" s="131"/>
    </row>
    <row r="20" spans="1:41" x14ac:dyDescent="0.25">
      <c r="O20" s="2"/>
      <c r="P20" s="2"/>
      <c r="Q20" s="2"/>
      <c r="W20" s="127">
        <v>42804</v>
      </c>
      <c r="X20" s="10">
        <v>56.49</v>
      </c>
      <c r="Y20" s="10">
        <v>56.99</v>
      </c>
      <c r="Z20" s="10">
        <v>56.26</v>
      </c>
      <c r="AA20" s="10">
        <v>56.43</v>
      </c>
      <c r="AB20" s="90">
        <v>8819900</v>
      </c>
      <c r="AC20" s="10">
        <v>56.43</v>
      </c>
      <c r="AE20" s="131"/>
    </row>
    <row r="21" spans="1:41" x14ac:dyDescent="0.25">
      <c r="O21" s="2"/>
      <c r="P21" s="2"/>
      <c r="Q21" s="2"/>
      <c r="W21" s="127">
        <v>42803</v>
      </c>
      <c r="X21" s="10">
        <v>56.61</v>
      </c>
      <c r="Y21" s="10">
        <v>56.66</v>
      </c>
      <c r="Z21" s="10">
        <v>56.09</v>
      </c>
      <c r="AA21" s="10">
        <v>56.36</v>
      </c>
      <c r="AB21" s="90">
        <v>6139800</v>
      </c>
      <c r="AC21" s="10">
        <v>56.36</v>
      </c>
      <c r="AE21" s="131"/>
    </row>
    <row r="22" spans="1:41" x14ac:dyDescent="0.25">
      <c r="B22" s="159" t="s">
        <v>113</v>
      </c>
      <c r="C22" s="159" t="s">
        <v>143</v>
      </c>
      <c r="D22" s="160" t="s">
        <v>142</v>
      </c>
      <c r="E22" s="162" t="s">
        <v>144</v>
      </c>
      <c r="F22" s="163" t="s">
        <v>65</v>
      </c>
      <c r="G22" s="173" t="s">
        <v>148</v>
      </c>
      <c r="H22" s="173" t="s">
        <v>151</v>
      </c>
      <c r="I22" s="173" t="s">
        <v>452</v>
      </c>
      <c r="J22" s="173" t="s">
        <v>147</v>
      </c>
      <c r="K22" s="173" t="s">
        <v>601</v>
      </c>
      <c r="O22" s="2"/>
      <c r="P22" s="2"/>
      <c r="Q22" s="2"/>
      <c r="W22" s="127">
        <v>42802</v>
      </c>
      <c r="X22" s="10">
        <v>56.94</v>
      </c>
      <c r="Y22" s="10">
        <v>56.94</v>
      </c>
      <c r="Z22" s="10">
        <v>56.31</v>
      </c>
      <c r="AA22" s="10">
        <v>56.51</v>
      </c>
      <c r="AB22" s="90">
        <v>7585000</v>
      </c>
      <c r="AC22" s="10">
        <v>56.51</v>
      </c>
      <c r="AE22" s="131"/>
    </row>
    <row r="23" spans="1:41" x14ac:dyDescent="0.25">
      <c r="B23" s="161">
        <v>42873</v>
      </c>
      <c r="C23" s="10">
        <v>50</v>
      </c>
      <c r="D23" s="168">
        <v>51.65</v>
      </c>
      <c r="E23" s="39">
        <v>51.8</v>
      </c>
      <c r="F23" s="39">
        <f>C23*(E23-D23)</f>
        <v>7.4999999999999289</v>
      </c>
      <c r="G23" s="39">
        <f>IF(C23=0, 0,D23*C23)</f>
        <v>2582.5</v>
      </c>
      <c r="H23" s="39"/>
      <c r="I23" s="39"/>
      <c r="J23" s="39">
        <v>483</v>
      </c>
      <c r="K23" s="10">
        <f>(G23-J23)/C23</f>
        <v>41.99</v>
      </c>
      <c r="O23" s="2"/>
      <c r="P23" s="2"/>
      <c r="Q23" s="2"/>
      <c r="W23" s="127">
        <v>42801</v>
      </c>
      <c r="X23" s="10">
        <v>56.71</v>
      </c>
      <c r="Y23" s="10">
        <v>56.99</v>
      </c>
      <c r="Z23" s="10">
        <v>56.02</v>
      </c>
      <c r="AA23" s="10">
        <v>56.55</v>
      </c>
      <c r="AB23" s="90">
        <v>7061500</v>
      </c>
      <c r="AC23" s="10">
        <v>56.55</v>
      </c>
      <c r="AE23" s="131"/>
    </row>
    <row r="24" spans="1:41" x14ac:dyDescent="0.25">
      <c r="B24" s="161"/>
      <c r="C24" s="10"/>
      <c r="D24" s="168"/>
      <c r="E24" s="39"/>
      <c r="F24" s="39"/>
      <c r="G24" s="39"/>
      <c r="H24" s="39"/>
      <c r="I24" s="39"/>
      <c r="J24" s="39"/>
      <c r="K24" s="39"/>
      <c r="O24" s="2"/>
      <c r="P24" s="2"/>
      <c r="Q24" s="2"/>
      <c r="W24" s="127">
        <v>42800</v>
      </c>
      <c r="X24" s="10">
        <v>56.7</v>
      </c>
      <c r="Y24" s="10">
        <v>56.93</v>
      </c>
      <c r="Z24" s="10">
        <v>56.53</v>
      </c>
      <c r="AA24" s="10">
        <v>56.77</v>
      </c>
      <c r="AB24" s="90">
        <v>6890100</v>
      </c>
      <c r="AC24" s="10">
        <v>56.77</v>
      </c>
      <c r="AE24" s="131"/>
    </row>
    <row r="25" spans="1:41" x14ac:dyDescent="0.25">
      <c r="B25" s="161"/>
      <c r="C25" s="10"/>
      <c r="D25" s="168"/>
      <c r="E25" s="39"/>
      <c r="F25" s="39"/>
      <c r="G25" s="39"/>
      <c r="H25" s="39"/>
      <c r="I25" s="39"/>
      <c r="J25" s="39"/>
      <c r="K25" s="39"/>
      <c r="O25" s="2"/>
      <c r="P25" s="2"/>
      <c r="Q25" s="2"/>
      <c r="W25" s="127">
        <v>42797</v>
      </c>
      <c r="X25" s="10">
        <v>57.8</v>
      </c>
      <c r="Y25" s="10">
        <v>57.8</v>
      </c>
      <c r="Z25" s="10">
        <v>56.51</v>
      </c>
      <c r="AA25" s="10">
        <v>56.7</v>
      </c>
      <c r="AB25" s="90">
        <v>9181600</v>
      </c>
      <c r="AC25" s="10">
        <v>56.7</v>
      </c>
      <c r="AE25" s="131"/>
    </row>
    <row r="26" spans="1:41" x14ac:dyDescent="0.25">
      <c r="B26" s="161"/>
      <c r="C26" s="10"/>
      <c r="D26" s="168"/>
      <c r="E26" s="39"/>
      <c r="F26" s="39"/>
      <c r="G26" s="39"/>
      <c r="H26" s="39"/>
      <c r="I26" s="39"/>
      <c r="J26" s="39"/>
      <c r="K26" s="39"/>
      <c r="O26" s="2"/>
      <c r="P26" s="2"/>
      <c r="Q26" s="2"/>
      <c r="W26" s="127">
        <v>42796</v>
      </c>
      <c r="X26" s="10">
        <v>57.9</v>
      </c>
      <c r="Y26" s="10">
        <v>58.25</v>
      </c>
      <c r="Z26" s="10">
        <v>57.65</v>
      </c>
      <c r="AA26" s="10">
        <v>57.8</v>
      </c>
      <c r="AB26" s="90">
        <v>6438400</v>
      </c>
      <c r="AC26" s="10">
        <v>57.8</v>
      </c>
      <c r="AE26" s="131"/>
    </row>
    <row r="27" spans="1:41" x14ac:dyDescent="0.25">
      <c r="B27" s="161"/>
      <c r="C27" s="10"/>
      <c r="D27" s="168"/>
      <c r="E27" s="39"/>
      <c r="F27" s="39"/>
      <c r="G27" s="39"/>
      <c r="H27" s="39"/>
      <c r="I27" s="39"/>
      <c r="J27" s="39"/>
      <c r="K27" s="39"/>
      <c r="O27" s="2"/>
      <c r="P27" s="2"/>
      <c r="Q27" s="2"/>
      <c r="W27" s="127">
        <v>42796</v>
      </c>
      <c r="X27" s="10" t="s">
        <v>264</v>
      </c>
      <c r="Y27" s="10"/>
      <c r="Z27" s="10"/>
      <c r="AA27" s="10"/>
      <c r="AB27" s="90"/>
      <c r="AC27" s="10"/>
      <c r="AE27" s="131"/>
    </row>
    <row r="28" spans="1:41" x14ac:dyDescent="0.25">
      <c r="B28" s="161"/>
      <c r="C28" s="10"/>
      <c r="D28" s="168"/>
      <c r="E28" s="39"/>
      <c r="F28" s="39"/>
      <c r="G28" s="39"/>
      <c r="H28" s="176"/>
      <c r="I28" s="39"/>
      <c r="J28" s="39"/>
      <c r="K28" s="39"/>
      <c r="O28" s="2"/>
      <c r="P28" s="2"/>
      <c r="Q28" s="2"/>
      <c r="W28" s="127">
        <v>42795</v>
      </c>
      <c r="X28" s="10">
        <v>57.86</v>
      </c>
      <c r="Y28" s="10">
        <v>58.03</v>
      </c>
      <c r="Z28" s="10">
        <v>57.33</v>
      </c>
      <c r="AA28" s="10">
        <v>57.95</v>
      </c>
      <c r="AB28" s="90">
        <v>8558900</v>
      </c>
      <c r="AC28" s="10">
        <v>57.77</v>
      </c>
      <c r="AE28" s="131"/>
    </row>
    <row r="29" spans="1:41" x14ac:dyDescent="0.25">
      <c r="B29" s="161"/>
      <c r="C29" s="10"/>
      <c r="D29" s="168"/>
      <c r="E29" s="39"/>
      <c r="F29" s="39"/>
      <c r="G29" s="39"/>
      <c r="H29" s="176"/>
      <c r="I29" s="39"/>
      <c r="J29" s="39"/>
      <c r="K29" s="39"/>
      <c r="W29" s="127">
        <v>42794</v>
      </c>
      <c r="X29" s="10">
        <v>57.37</v>
      </c>
      <c r="Y29" s="10">
        <v>57.55</v>
      </c>
      <c r="Z29" s="10">
        <v>56.86</v>
      </c>
      <c r="AA29" s="10">
        <v>57.16</v>
      </c>
      <c r="AB29" s="90">
        <v>7951300</v>
      </c>
      <c r="AC29" s="10">
        <v>56.98</v>
      </c>
      <c r="AE29" s="131"/>
    </row>
    <row r="30" spans="1:41" x14ac:dyDescent="0.25">
      <c r="B30" s="161"/>
      <c r="C30" s="10"/>
      <c r="D30" s="168"/>
      <c r="E30" s="39"/>
      <c r="F30" s="39"/>
      <c r="G30" s="39"/>
      <c r="H30" s="176"/>
      <c r="I30" s="39"/>
      <c r="J30" s="39"/>
      <c r="K30" s="39"/>
      <c r="W30" s="127">
        <v>42793</v>
      </c>
      <c r="X30" s="10">
        <v>57.65</v>
      </c>
      <c r="Y30" s="10">
        <v>57.83</v>
      </c>
      <c r="Z30" s="10">
        <v>57.35</v>
      </c>
      <c r="AA30" s="10">
        <v>57.69</v>
      </c>
      <c r="AB30" s="90">
        <v>4375700</v>
      </c>
      <c r="AC30" s="10">
        <v>57.51</v>
      </c>
      <c r="AE30" s="131"/>
    </row>
    <row r="31" spans="1:41" x14ac:dyDescent="0.25">
      <c r="B31" s="161"/>
      <c r="C31" s="10"/>
      <c r="D31" s="168"/>
      <c r="E31" s="39"/>
      <c r="F31" s="39"/>
      <c r="G31" s="39"/>
      <c r="H31" s="176"/>
      <c r="I31" s="39"/>
      <c r="J31" s="39"/>
      <c r="K31" s="39"/>
      <c r="W31" s="127">
        <v>42790</v>
      </c>
      <c r="X31" s="10">
        <v>57.39</v>
      </c>
      <c r="Y31" s="10">
        <v>58.42</v>
      </c>
      <c r="Z31" s="10">
        <v>57.07</v>
      </c>
      <c r="AA31" s="10">
        <v>57.86</v>
      </c>
      <c r="AB31" s="90">
        <v>9684500</v>
      </c>
      <c r="AC31" s="10">
        <v>57.68</v>
      </c>
      <c r="AE31" s="131"/>
    </row>
    <row r="32" spans="1:41" x14ac:dyDescent="0.25">
      <c r="B32" s="161"/>
      <c r="C32" s="10"/>
      <c r="D32" s="168"/>
      <c r="E32" s="39"/>
      <c r="F32" s="39"/>
      <c r="G32" s="39"/>
      <c r="H32" s="176"/>
      <c r="I32" s="39"/>
      <c r="J32" s="39"/>
      <c r="K32" s="39"/>
      <c r="W32" s="127">
        <v>42789</v>
      </c>
      <c r="X32" s="10">
        <v>58.11</v>
      </c>
      <c r="Y32" s="10">
        <v>58.4</v>
      </c>
      <c r="Z32" s="10">
        <v>57.27</v>
      </c>
      <c r="AA32" s="10">
        <v>57.39</v>
      </c>
      <c r="AB32" s="90">
        <v>12316300</v>
      </c>
      <c r="AC32" s="10">
        <v>57.21</v>
      </c>
      <c r="AE32" s="131"/>
    </row>
    <row r="33" spans="1:41" x14ac:dyDescent="0.25">
      <c r="B33" s="161"/>
      <c r="C33" s="10"/>
      <c r="D33" s="168"/>
      <c r="E33" s="39"/>
      <c r="F33" s="39"/>
      <c r="G33" s="39"/>
      <c r="H33" s="176"/>
      <c r="I33" s="39"/>
      <c r="J33" s="39"/>
      <c r="K33" s="39"/>
      <c r="W33" s="127">
        <v>42788</v>
      </c>
      <c r="X33" s="10">
        <v>57.48</v>
      </c>
      <c r="Y33" s="10">
        <v>58.38</v>
      </c>
      <c r="Z33" s="10">
        <v>57.36</v>
      </c>
      <c r="AA33" s="10">
        <v>58.24</v>
      </c>
      <c r="AB33" s="90">
        <v>10914100</v>
      </c>
      <c r="AC33" s="10">
        <v>58.06</v>
      </c>
      <c r="AE33" s="131"/>
    </row>
    <row r="34" spans="1:41" x14ac:dyDescent="0.25">
      <c r="B34" s="161"/>
      <c r="C34" s="10"/>
      <c r="D34" s="168"/>
      <c r="E34" s="39"/>
      <c r="F34" s="39"/>
      <c r="G34" s="39"/>
      <c r="H34" s="176"/>
      <c r="I34" s="39"/>
      <c r="J34" s="39"/>
      <c r="K34" s="39"/>
      <c r="W34" s="127">
        <v>42787</v>
      </c>
      <c r="X34" s="10">
        <v>56.38</v>
      </c>
      <c r="Y34" s="10">
        <v>57.45</v>
      </c>
      <c r="Z34" s="10">
        <v>56.2</v>
      </c>
      <c r="AA34" s="10">
        <v>57.36</v>
      </c>
      <c r="AB34" s="90">
        <v>10955000</v>
      </c>
      <c r="AC34" s="10">
        <v>57.18</v>
      </c>
      <c r="AE34" s="131"/>
    </row>
    <row r="35" spans="1:41" x14ac:dyDescent="0.25">
      <c r="W35" s="127">
        <v>42783</v>
      </c>
      <c r="X35" s="10">
        <v>56.12</v>
      </c>
      <c r="Y35" s="10">
        <v>56.8</v>
      </c>
      <c r="Z35" s="10">
        <v>55.86</v>
      </c>
      <c r="AA35" s="10">
        <v>56.75</v>
      </c>
      <c r="AB35" s="90">
        <v>12638000</v>
      </c>
      <c r="AC35" s="10">
        <v>56.57</v>
      </c>
      <c r="AE35" s="131"/>
    </row>
    <row r="36" spans="1:41" x14ac:dyDescent="0.25">
      <c r="L36" t="s">
        <v>65</v>
      </c>
      <c r="M36" s="2">
        <f>M54+K54-F54</f>
        <v>785.90999999999985</v>
      </c>
      <c r="W36" s="127">
        <v>42782</v>
      </c>
      <c r="X36" s="10">
        <v>56.88</v>
      </c>
      <c r="Y36" s="10">
        <v>56.92</v>
      </c>
      <c r="Z36" s="10">
        <v>56.1</v>
      </c>
      <c r="AA36" s="10">
        <v>56.29</v>
      </c>
      <c r="AB36" s="90">
        <v>8374200</v>
      </c>
      <c r="AC36" s="10">
        <v>56.12</v>
      </c>
      <c r="AE36" s="131"/>
      <c r="AL36" s="178"/>
    </row>
    <row r="37" spans="1:41" x14ac:dyDescent="0.25">
      <c r="A37" s="31" t="s">
        <v>1</v>
      </c>
      <c r="B37" s="31" t="s">
        <v>2</v>
      </c>
      <c r="C37" s="31" t="s">
        <v>4</v>
      </c>
      <c r="D37" s="31" t="s">
        <v>5</v>
      </c>
      <c r="E37" s="31" t="s">
        <v>94</v>
      </c>
      <c r="F37" s="31" t="s">
        <v>60</v>
      </c>
      <c r="G37" s="31" t="s">
        <v>3</v>
      </c>
      <c r="H37" s="31" t="s">
        <v>6</v>
      </c>
      <c r="I37" s="391" t="s">
        <v>7</v>
      </c>
      <c r="J37" s="391" t="s">
        <v>95</v>
      </c>
      <c r="K37" s="391" t="s">
        <v>61</v>
      </c>
      <c r="L37" s="31" t="s">
        <v>37</v>
      </c>
      <c r="M37" s="31" t="s">
        <v>38</v>
      </c>
      <c r="W37" s="127">
        <v>42781</v>
      </c>
      <c r="X37" s="10">
        <v>56.29</v>
      </c>
      <c r="Y37" s="10">
        <v>56.76</v>
      </c>
      <c r="Z37" s="10">
        <v>56.21</v>
      </c>
      <c r="AA37" s="10">
        <v>56.64</v>
      </c>
      <c r="AB37" s="90">
        <v>6652000</v>
      </c>
      <c r="AC37" s="10">
        <v>56.46</v>
      </c>
      <c r="AE37" s="131"/>
    </row>
    <row r="38" spans="1:41" x14ac:dyDescent="0.25">
      <c r="A38" s="197" t="s">
        <v>190</v>
      </c>
      <c r="B38" s="465">
        <v>42472</v>
      </c>
      <c r="C38" s="193">
        <v>50</v>
      </c>
      <c r="D38" s="194">
        <v>56.99</v>
      </c>
      <c r="E38" s="194">
        <v>0</v>
      </c>
      <c r="F38" s="194">
        <f t="shared" ref="F38:F46" si="0">C38*D38+E38</f>
        <v>2849.5</v>
      </c>
      <c r="G38" s="465">
        <v>42550</v>
      </c>
      <c r="H38" s="199">
        <v>50</v>
      </c>
      <c r="I38" s="194">
        <v>54.95</v>
      </c>
      <c r="J38" s="194">
        <v>7.01</v>
      </c>
      <c r="K38" s="194">
        <f>I38*H38-J38</f>
        <v>2740.49</v>
      </c>
      <c r="L38" s="198">
        <v>42556</v>
      </c>
      <c r="M38" s="194">
        <v>11.2</v>
      </c>
      <c r="W38" s="127">
        <v>42780</v>
      </c>
      <c r="X38" s="10">
        <v>55.92</v>
      </c>
      <c r="Y38" s="10">
        <v>56.69</v>
      </c>
      <c r="Z38" s="10">
        <v>55.83</v>
      </c>
      <c r="AA38" s="10">
        <v>56.45</v>
      </c>
      <c r="AB38" s="90">
        <v>8891400</v>
      </c>
      <c r="AC38" s="10">
        <v>56.27</v>
      </c>
      <c r="AE38" s="131"/>
    </row>
    <row r="39" spans="1:41" x14ac:dyDescent="0.25">
      <c r="A39" s="200" t="s">
        <v>71</v>
      </c>
      <c r="B39" s="465">
        <v>42521</v>
      </c>
      <c r="C39" s="193">
        <v>20</v>
      </c>
      <c r="D39" s="194">
        <v>55.21</v>
      </c>
      <c r="E39" s="194">
        <v>0</v>
      </c>
      <c r="F39" s="194">
        <f t="shared" si="0"/>
        <v>1104.2</v>
      </c>
      <c r="G39" s="465"/>
      <c r="H39" s="199"/>
      <c r="I39" s="194"/>
      <c r="J39" s="194"/>
      <c r="K39" s="194"/>
      <c r="L39" s="193"/>
      <c r="M39" s="193"/>
      <c r="W39" s="127">
        <v>42779</v>
      </c>
      <c r="X39" s="10">
        <v>56.17</v>
      </c>
      <c r="Y39" s="10">
        <v>56.34</v>
      </c>
      <c r="Z39" s="10">
        <v>55.75</v>
      </c>
      <c r="AA39" s="10">
        <v>56.09</v>
      </c>
      <c r="AB39" s="90">
        <v>7679800</v>
      </c>
      <c r="AC39" s="10">
        <v>55.92</v>
      </c>
      <c r="AE39" s="131"/>
    </row>
    <row r="40" spans="1:41" x14ac:dyDescent="0.25">
      <c r="A40" s="193"/>
      <c r="B40" s="465">
        <v>42524</v>
      </c>
      <c r="C40" s="193">
        <v>30</v>
      </c>
      <c r="D40" s="194">
        <v>53.75</v>
      </c>
      <c r="E40" s="194">
        <v>0</v>
      </c>
      <c r="F40" s="194">
        <f t="shared" si="0"/>
        <v>1612.5</v>
      </c>
      <c r="G40" s="465"/>
      <c r="H40" s="199"/>
      <c r="I40" s="194"/>
      <c r="J40" s="194"/>
      <c r="K40" s="194"/>
      <c r="L40" s="193"/>
      <c r="M40" s="193"/>
      <c r="W40" s="127">
        <v>42776</v>
      </c>
      <c r="X40" s="10">
        <v>55.63</v>
      </c>
      <c r="Y40" s="10">
        <v>56.47</v>
      </c>
      <c r="Z40" s="10">
        <v>55.63</v>
      </c>
      <c r="AA40" s="10">
        <v>56.22</v>
      </c>
      <c r="AB40" s="90">
        <v>14973400</v>
      </c>
      <c r="AC40" s="10">
        <v>56.05</v>
      </c>
      <c r="AE40" s="131"/>
    </row>
    <row r="41" spans="1:41" x14ac:dyDescent="0.25">
      <c r="A41" s="193"/>
      <c r="B41" s="465">
        <v>42524</v>
      </c>
      <c r="C41" s="193">
        <v>20</v>
      </c>
      <c r="D41" s="194">
        <v>53.4</v>
      </c>
      <c r="E41" s="194">
        <v>0</v>
      </c>
      <c r="F41" s="194">
        <f t="shared" si="0"/>
        <v>1068</v>
      </c>
      <c r="G41" s="465">
        <v>42563</v>
      </c>
      <c r="H41" s="199">
        <v>70</v>
      </c>
      <c r="I41" s="194">
        <v>57.78</v>
      </c>
      <c r="J41" s="194">
        <v>0.09</v>
      </c>
      <c r="K41" s="194">
        <f>I41*H41-J41</f>
        <v>4044.5099999999998</v>
      </c>
      <c r="L41" s="193"/>
      <c r="M41" s="193"/>
      <c r="W41" s="127">
        <v>42775</v>
      </c>
      <c r="X41" s="10">
        <v>53.88</v>
      </c>
      <c r="Y41" s="10">
        <v>55.7</v>
      </c>
      <c r="Z41" s="10">
        <v>53.88</v>
      </c>
      <c r="AA41" s="10">
        <v>55.31</v>
      </c>
      <c r="AB41" s="90">
        <v>14345400</v>
      </c>
      <c r="AC41" s="10">
        <v>55.14</v>
      </c>
      <c r="AE41" s="131"/>
    </row>
    <row r="42" spans="1:41" ht="20.25" thickBot="1" x14ac:dyDescent="0.35">
      <c r="A42" s="193"/>
      <c r="B42" s="465">
        <v>42545</v>
      </c>
      <c r="C42" s="193">
        <v>30</v>
      </c>
      <c r="D42" s="194">
        <v>52.38</v>
      </c>
      <c r="E42" s="194">
        <v>0</v>
      </c>
      <c r="F42" s="194">
        <f t="shared" si="0"/>
        <v>1571.4</v>
      </c>
      <c r="G42" s="465">
        <v>42593</v>
      </c>
      <c r="H42" s="199">
        <v>30</v>
      </c>
      <c r="I42" s="194">
        <v>56.38</v>
      </c>
      <c r="J42" s="194">
        <v>0.04</v>
      </c>
      <c r="K42" s="194">
        <f>I42*H42-J42</f>
        <v>1691.3600000000001</v>
      </c>
      <c r="L42" s="193"/>
      <c r="M42" s="193"/>
      <c r="T42" s="86" t="s">
        <v>112</v>
      </c>
      <c r="W42" s="127">
        <v>42774</v>
      </c>
      <c r="X42" s="10">
        <v>52.74</v>
      </c>
      <c r="Y42" s="10">
        <v>53.94</v>
      </c>
      <c r="Z42" s="10">
        <v>52.7</v>
      </c>
      <c r="AA42" s="10">
        <v>53.88</v>
      </c>
      <c r="AB42" s="90">
        <v>9281100</v>
      </c>
      <c r="AC42" s="10">
        <v>53.71</v>
      </c>
      <c r="AE42" s="131"/>
      <c r="AL42" s="178"/>
      <c r="AO42" s="178"/>
    </row>
    <row r="43" spans="1:41" ht="15.75" thickTop="1" x14ac:dyDescent="0.25">
      <c r="A43" s="193"/>
      <c r="B43" s="533">
        <v>42640</v>
      </c>
      <c r="C43" s="291">
        <v>20</v>
      </c>
      <c r="D43" s="292">
        <v>52.68</v>
      </c>
      <c r="E43" s="292">
        <v>0</v>
      </c>
      <c r="F43" s="292">
        <f t="shared" si="0"/>
        <v>1053.5999999999999</v>
      </c>
      <c r="G43" s="533">
        <v>42724</v>
      </c>
      <c r="H43" s="291">
        <v>20</v>
      </c>
      <c r="I43" s="292">
        <v>54.68</v>
      </c>
      <c r="J43" s="292">
        <v>0.02</v>
      </c>
      <c r="K43" s="292">
        <f>H43*I43-J43</f>
        <v>1093.58</v>
      </c>
      <c r="L43" s="290">
        <v>42739</v>
      </c>
      <c r="M43" s="292">
        <v>7.2</v>
      </c>
      <c r="T43" s="122" t="s">
        <v>97</v>
      </c>
      <c r="U43" s="123">
        <v>55.04</v>
      </c>
      <c r="W43" s="127">
        <v>42773</v>
      </c>
      <c r="X43" s="10">
        <v>53.07</v>
      </c>
      <c r="Y43" s="10">
        <v>53.28</v>
      </c>
      <c r="Z43" s="10">
        <v>52.67</v>
      </c>
      <c r="AA43" s="10">
        <v>52.81</v>
      </c>
      <c r="AB43" s="90">
        <v>6446900</v>
      </c>
      <c r="AC43" s="10">
        <v>52.65</v>
      </c>
      <c r="AE43" s="131"/>
    </row>
    <row r="44" spans="1:41" ht="20.25" thickBot="1" x14ac:dyDescent="0.35">
      <c r="A44" s="193"/>
      <c r="B44" s="533">
        <v>42640</v>
      </c>
      <c r="C44" s="291">
        <v>20</v>
      </c>
      <c r="D44" s="292">
        <v>52.68</v>
      </c>
      <c r="E44" s="292">
        <v>0</v>
      </c>
      <c r="F44" s="292">
        <f t="shared" si="0"/>
        <v>1053.5999999999999</v>
      </c>
      <c r="G44" s="533">
        <v>42741</v>
      </c>
      <c r="H44" s="295">
        <v>20</v>
      </c>
      <c r="I44" s="292">
        <v>53.94</v>
      </c>
      <c r="J44" s="292">
        <v>0.12</v>
      </c>
      <c r="K44" s="292">
        <f>H44*I44-J44</f>
        <v>1078.68</v>
      </c>
      <c r="L44" s="291"/>
      <c r="M44" s="291"/>
      <c r="O44" s="886" t="s">
        <v>78</v>
      </c>
      <c r="P44" s="886"/>
      <c r="T44" s="88" t="s">
        <v>98</v>
      </c>
      <c r="U44" s="124">
        <v>54.97</v>
      </c>
      <c r="W44" s="127">
        <v>42772</v>
      </c>
      <c r="X44" s="10">
        <v>52.09</v>
      </c>
      <c r="Y44" s="10">
        <v>52.8</v>
      </c>
      <c r="Z44" s="10">
        <v>52.05</v>
      </c>
      <c r="AA44" s="10">
        <v>52.8</v>
      </c>
      <c r="AB44" s="90">
        <v>7355200</v>
      </c>
      <c r="AC44" s="10">
        <v>52.64</v>
      </c>
      <c r="AE44" s="131"/>
    </row>
    <row r="45" spans="1:41" ht="15.75" thickTop="1" x14ac:dyDescent="0.25">
      <c r="A45" s="193"/>
      <c r="B45" s="552">
        <v>42724</v>
      </c>
      <c r="C45" s="447">
        <v>20</v>
      </c>
      <c r="D45" s="448">
        <v>52.68</v>
      </c>
      <c r="E45" s="448">
        <v>0</v>
      </c>
      <c r="F45" s="448">
        <f t="shared" si="0"/>
        <v>1053.5999999999999</v>
      </c>
      <c r="G45" s="552">
        <v>42774</v>
      </c>
      <c r="H45" s="449">
        <v>20</v>
      </c>
      <c r="I45" s="448">
        <v>53.88</v>
      </c>
      <c r="J45" s="448">
        <v>0.02</v>
      </c>
      <c r="K45" s="448">
        <f>I45*H45-J45</f>
        <v>1077.5800000000002</v>
      </c>
      <c r="L45" s="443"/>
      <c r="M45" s="448"/>
      <c r="O45" s="78">
        <v>1.1000000000000001</v>
      </c>
      <c r="P45" s="78">
        <f>O45*$Q$4</f>
        <v>96.459000000000003</v>
      </c>
      <c r="T45" s="88" t="s">
        <v>99</v>
      </c>
      <c r="U45" s="124" t="s">
        <v>128</v>
      </c>
      <c r="W45" s="127">
        <v>42769</v>
      </c>
      <c r="X45" s="10">
        <v>52.62</v>
      </c>
      <c r="Y45" s="10">
        <v>52.81</v>
      </c>
      <c r="Z45" s="10">
        <v>52.25</v>
      </c>
      <c r="AA45" s="10">
        <v>52.36</v>
      </c>
      <c r="AB45" s="90">
        <v>8850400</v>
      </c>
      <c r="AC45" s="10">
        <v>52.2</v>
      </c>
      <c r="AE45" s="131"/>
    </row>
    <row r="46" spans="1:41" x14ac:dyDescent="0.25">
      <c r="A46" s="193"/>
      <c r="B46" s="552">
        <v>42766</v>
      </c>
      <c r="C46" s="447">
        <v>20</v>
      </c>
      <c r="D46" s="448">
        <v>51.72</v>
      </c>
      <c r="E46" s="448">
        <v>0</v>
      </c>
      <c r="F46" s="448">
        <f t="shared" si="0"/>
        <v>1034.4000000000001</v>
      </c>
      <c r="G46" s="552">
        <v>42803</v>
      </c>
      <c r="H46" s="449">
        <v>20</v>
      </c>
      <c r="I46" s="448">
        <v>56.41</v>
      </c>
      <c r="J46" s="448">
        <v>0.12</v>
      </c>
      <c r="K46" s="448">
        <f>I46*H46-J46</f>
        <v>1128.08</v>
      </c>
      <c r="L46" s="447"/>
      <c r="M46" s="447"/>
      <c r="O46" s="78">
        <v>1.0900000000000001</v>
      </c>
      <c r="P46" s="78">
        <f t="shared" ref="P46:P65" si="1">O46*$Q$4</f>
        <v>95.582100000000011</v>
      </c>
      <c r="T46" s="88" t="s">
        <v>100</v>
      </c>
      <c r="U46" s="124" t="s">
        <v>128</v>
      </c>
      <c r="W46" s="127">
        <v>42768</v>
      </c>
      <c r="X46" s="10">
        <v>53</v>
      </c>
      <c r="Y46" s="10">
        <v>53.01</v>
      </c>
      <c r="Z46" s="10">
        <v>52.48</v>
      </c>
      <c r="AA46" s="10">
        <v>52.8</v>
      </c>
      <c r="AB46" s="90">
        <v>7874200</v>
      </c>
      <c r="AC46" s="10">
        <v>52.64</v>
      </c>
      <c r="AE46" s="131"/>
    </row>
    <row r="47" spans="1:41" x14ac:dyDescent="0.25">
      <c r="A47" s="193"/>
      <c r="B47" s="465"/>
      <c r="C47" s="193"/>
      <c r="D47" s="193"/>
      <c r="E47" s="193"/>
      <c r="F47" s="193"/>
      <c r="G47" s="465"/>
      <c r="H47" s="199"/>
      <c r="I47" s="194"/>
      <c r="J47" s="194"/>
      <c r="K47" s="194"/>
      <c r="L47" s="198">
        <v>42829</v>
      </c>
      <c r="M47" s="194">
        <v>3.6</v>
      </c>
      <c r="O47" s="78">
        <v>1.08</v>
      </c>
      <c r="P47" s="78">
        <f t="shared" si="1"/>
        <v>94.705200000000005</v>
      </c>
      <c r="T47" s="88" t="s">
        <v>101</v>
      </c>
      <c r="U47" s="124">
        <v>62.36</v>
      </c>
      <c r="W47" s="127">
        <v>42767</v>
      </c>
      <c r="X47" s="10">
        <v>52.98</v>
      </c>
      <c r="Y47" s="10">
        <v>53.26</v>
      </c>
      <c r="Z47" s="10">
        <v>52.61</v>
      </c>
      <c r="AA47" s="10">
        <v>53.02</v>
      </c>
      <c r="AB47" s="90">
        <v>8810900</v>
      </c>
      <c r="AC47" s="10">
        <v>52.86</v>
      </c>
      <c r="AE47" s="131"/>
    </row>
    <row r="48" spans="1:41" x14ac:dyDescent="0.25">
      <c r="A48" s="193"/>
      <c r="B48" s="69">
        <v>42873</v>
      </c>
      <c r="C48" s="4">
        <v>50</v>
      </c>
      <c r="D48" s="3">
        <v>51.65</v>
      </c>
      <c r="E48" s="3">
        <v>0</v>
      </c>
      <c r="F48" s="3">
        <f>C48*D48+E48</f>
        <v>2582.5</v>
      </c>
      <c r="G48" s="69">
        <v>42916</v>
      </c>
      <c r="H48" s="4">
        <v>50</v>
      </c>
      <c r="I48" s="3">
        <v>57.68</v>
      </c>
      <c r="J48" s="3">
        <v>7.0000000000000007E-2</v>
      </c>
      <c r="K48" s="3">
        <f>H48*I48-J48</f>
        <v>2883.93</v>
      </c>
      <c r="L48" s="198">
        <v>42921</v>
      </c>
      <c r="M48" s="194">
        <v>9</v>
      </c>
      <c r="O48" s="78">
        <v>1.07</v>
      </c>
      <c r="P48" s="78">
        <f t="shared" si="1"/>
        <v>93.828299999999999</v>
      </c>
      <c r="T48" s="88" t="s">
        <v>102</v>
      </c>
      <c r="U48" s="124">
        <v>0.43128899999999998</v>
      </c>
      <c r="W48" s="127">
        <v>42766</v>
      </c>
      <c r="X48" s="10">
        <v>51.68</v>
      </c>
      <c r="Y48" s="10">
        <v>52.9</v>
      </c>
      <c r="Z48" s="10">
        <v>51.63</v>
      </c>
      <c r="AA48" s="10">
        <v>52.9</v>
      </c>
      <c r="AB48" s="90">
        <v>12342900</v>
      </c>
      <c r="AC48" s="10">
        <v>52.74</v>
      </c>
      <c r="AE48" s="131"/>
    </row>
    <row r="49" spans="1:41" x14ac:dyDescent="0.25">
      <c r="A49" s="193"/>
      <c r="B49" s="465"/>
      <c r="C49" s="193"/>
      <c r="D49" s="193"/>
      <c r="E49" s="193"/>
      <c r="F49" s="193"/>
      <c r="G49" s="465"/>
      <c r="H49" s="199"/>
      <c r="I49" s="194"/>
      <c r="J49" s="194"/>
      <c r="K49" s="194"/>
      <c r="L49" s="193"/>
      <c r="M49" s="193"/>
      <c r="O49" s="78">
        <v>1.06</v>
      </c>
      <c r="P49" s="78">
        <f t="shared" si="1"/>
        <v>92.951400000000007</v>
      </c>
      <c r="T49" s="88" t="s">
        <v>121</v>
      </c>
      <c r="U49" s="124" t="s">
        <v>474</v>
      </c>
      <c r="W49" s="127">
        <v>42765</v>
      </c>
      <c r="X49" s="10">
        <v>52.78</v>
      </c>
      <c r="Y49" s="10">
        <v>53.22</v>
      </c>
      <c r="Z49" s="10">
        <v>52.41</v>
      </c>
      <c r="AA49" s="10">
        <v>53.08</v>
      </c>
      <c r="AB49" s="90">
        <v>9770800</v>
      </c>
      <c r="AC49" s="10">
        <v>52.92</v>
      </c>
      <c r="AE49" s="131"/>
    </row>
    <row r="50" spans="1:41" x14ac:dyDescent="0.25">
      <c r="A50" s="193"/>
      <c r="B50" s="465"/>
      <c r="C50" s="193"/>
      <c r="D50" s="193"/>
      <c r="E50" s="193"/>
      <c r="F50" s="193"/>
      <c r="G50" s="465"/>
      <c r="H50" s="199"/>
      <c r="I50" s="194"/>
      <c r="J50" s="194"/>
      <c r="K50" s="194"/>
      <c r="L50" s="193"/>
      <c r="M50" s="193"/>
      <c r="O50" s="78">
        <v>1.05</v>
      </c>
      <c r="P50" s="78">
        <f t="shared" si="1"/>
        <v>92.0745</v>
      </c>
      <c r="T50" s="88"/>
      <c r="U50" s="124"/>
      <c r="W50" s="127">
        <v>42762</v>
      </c>
      <c r="X50" s="10">
        <v>53.68</v>
      </c>
      <c r="Y50" s="10">
        <v>54.08</v>
      </c>
      <c r="Z50" s="10">
        <v>53.03</v>
      </c>
      <c r="AA50" s="10">
        <v>53.19</v>
      </c>
      <c r="AB50" s="90">
        <v>7362000</v>
      </c>
      <c r="AC50" s="10">
        <v>53.02</v>
      </c>
      <c r="AE50" s="131"/>
      <c r="AL50" s="178"/>
      <c r="AO50" s="178"/>
    </row>
    <row r="51" spans="1:41" x14ac:dyDescent="0.25">
      <c r="A51" s="193"/>
      <c r="B51" s="465"/>
      <c r="C51" s="193"/>
      <c r="D51" s="193"/>
      <c r="E51" s="193"/>
      <c r="F51" s="193"/>
      <c r="G51" s="465"/>
      <c r="H51" s="199"/>
      <c r="I51" s="194"/>
      <c r="J51" s="194"/>
      <c r="K51" s="194"/>
      <c r="L51" s="193"/>
      <c r="M51" s="193"/>
      <c r="O51" s="78">
        <v>1.04</v>
      </c>
      <c r="P51" s="78">
        <f t="shared" si="1"/>
        <v>91.197599999999994</v>
      </c>
      <c r="T51" s="88" t="s">
        <v>104</v>
      </c>
      <c r="U51" s="124" t="s">
        <v>536</v>
      </c>
      <c r="W51" s="127">
        <v>42761</v>
      </c>
      <c r="X51" s="10">
        <v>54.11</v>
      </c>
      <c r="Y51" s="10">
        <v>54.12</v>
      </c>
      <c r="Z51" s="10">
        <v>53.36</v>
      </c>
      <c r="AA51" s="10">
        <v>53.65</v>
      </c>
      <c r="AB51" s="90">
        <v>6202000</v>
      </c>
      <c r="AC51" s="10">
        <v>53.48</v>
      </c>
      <c r="AE51" s="131"/>
    </row>
    <row r="52" spans="1:41" x14ac:dyDescent="0.25">
      <c r="A52" s="193"/>
      <c r="B52" s="465"/>
      <c r="C52" s="193"/>
      <c r="D52" s="193"/>
      <c r="E52" s="193"/>
      <c r="F52" s="193"/>
      <c r="G52" s="465"/>
      <c r="H52" s="199"/>
      <c r="I52" s="194"/>
      <c r="J52" s="194"/>
      <c r="K52" s="194"/>
      <c r="L52" s="193"/>
      <c r="M52" s="193"/>
      <c r="O52" s="78">
        <v>1.03</v>
      </c>
      <c r="P52" s="78">
        <f t="shared" si="1"/>
        <v>90.320700000000002</v>
      </c>
      <c r="T52" s="88" t="s">
        <v>105</v>
      </c>
      <c r="U52" s="124" t="s">
        <v>537</v>
      </c>
      <c r="W52" s="127">
        <v>42760</v>
      </c>
      <c r="X52" s="10">
        <v>53.73</v>
      </c>
      <c r="Y52" s="10">
        <v>54.12</v>
      </c>
      <c r="Z52" s="10">
        <v>53.69</v>
      </c>
      <c r="AA52" s="10">
        <v>53.86</v>
      </c>
      <c r="AB52" s="90">
        <v>6675000</v>
      </c>
      <c r="AC52" s="10">
        <v>53.69</v>
      </c>
      <c r="AE52" s="131"/>
    </row>
    <row r="53" spans="1:41" x14ac:dyDescent="0.25">
      <c r="A53" s="193"/>
      <c r="B53" s="465"/>
      <c r="C53" s="193"/>
      <c r="D53" s="193"/>
      <c r="E53" s="193"/>
      <c r="F53" s="193"/>
      <c r="G53" s="465"/>
      <c r="H53" s="199"/>
      <c r="I53" s="194"/>
      <c r="J53" s="194"/>
      <c r="K53" s="194"/>
      <c r="L53" s="193"/>
      <c r="M53" s="193"/>
      <c r="O53" s="78">
        <v>1.02</v>
      </c>
      <c r="P53" s="78">
        <f t="shared" si="1"/>
        <v>89.443799999999996</v>
      </c>
      <c r="T53" s="88" t="s">
        <v>106</v>
      </c>
      <c r="U53" s="125">
        <v>7722093</v>
      </c>
      <c r="W53" s="127">
        <v>42759</v>
      </c>
      <c r="X53" s="10">
        <v>53.02</v>
      </c>
      <c r="Y53" s="10">
        <v>53.57</v>
      </c>
      <c r="Z53" s="10">
        <v>52.99</v>
      </c>
      <c r="AA53" s="10">
        <v>53.45</v>
      </c>
      <c r="AB53" s="90">
        <v>6321300</v>
      </c>
      <c r="AC53" s="10">
        <v>53.28</v>
      </c>
      <c r="AE53" s="131"/>
    </row>
    <row r="54" spans="1:41" x14ac:dyDescent="0.25">
      <c r="A54" s="31" t="s">
        <v>81</v>
      </c>
      <c r="B54" s="14"/>
      <c r="C54" s="14">
        <f>SUM(C38:C53)</f>
        <v>280</v>
      </c>
      <c r="D54" s="14"/>
      <c r="E54" s="14"/>
      <c r="F54" s="18">
        <f>SUM(F38:F53)</f>
        <v>14983.300000000001</v>
      </c>
      <c r="G54" s="14"/>
      <c r="H54" s="14">
        <f>SUM(H38:H53)</f>
        <v>280</v>
      </c>
      <c r="I54" s="18"/>
      <c r="J54" s="18"/>
      <c r="K54" s="18">
        <f>SUM(K38:K53)</f>
        <v>15738.210000000001</v>
      </c>
      <c r="L54" s="18"/>
      <c r="M54" s="18">
        <f>SUM(M38:M53)</f>
        <v>31</v>
      </c>
      <c r="O54" s="78">
        <v>1.01</v>
      </c>
      <c r="P54" s="78">
        <f t="shared" si="1"/>
        <v>88.566900000000004</v>
      </c>
      <c r="T54" s="88" t="s">
        <v>109</v>
      </c>
      <c r="U54" s="125">
        <v>9541230</v>
      </c>
      <c r="W54" s="127">
        <v>42758</v>
      </c>
      <c r="X54" s="10">
        <v>53.02</v>
      </c>
      <c r="Y54" s="10">
        <v>53.26</v>
      </c>
      <c r="Z54" s="10">
        <v>52.72</v>
      </c>
      <c r="AA54" s="10">
        <v>53.24</v>
      </c>
      <c r="AB54" s="90">
        <v>7025700</v>
      </c>
      <c r="AC54" s="10">
        <v>53.07</v>
      </c>
      <c r="AE54" s="131"/>
      <c r="AL54" s="178"/>
      <c r="AO54" s="178"/>
    </row>
    <row r="55" spans="1:41" ht="15.75" thickBot="1" x14ac:dyDescent="0.3">
      <c r="A55" s="365" t="s">
        <v>189</v>
      </c>
      <c r="B55" s="366"/>
      <c r="C55" s="367">
        <f>SumByColor($A$19,C38:C53)</f>
        <v>0</v>
      </c>
      <c r="D55" s="367"/>
      <c r="E55" s="367"/>
      <c r="F55" s="368">
        <f>SumByColor($A$19,F38:F41)</f>
        <v>0</v>
      </c>
      <c r="G55" s="367"/>
      <c r="H55" s="367">
        <f>SumByColor($A$19,H38:H53)</f>
        <v>0</v>
      </c>
      <c r="I55" s="367"/>
      <c r="J55" s="367"/>
      <c r="K55" s="368">
        <f>SumByColor($A$19,K38:K53)</f>
        <v>0</v>
      </c>
      <c r="L55" s="367"/>
      <c r="M55" s="368">
        <f>SumByColor($A$19,M38:M53)</f>
        <v>0</v>
      </c>
      <c r="O55" s="78">
        <v>1</v>
      </c>
      <c r="P55" s="78">
        <f t="shared" si="1"/>
        <v>87.69</v>
      </c>
      <c r="T55" s="88" t="s">
        <v>107</v>
      </c>
      <c r="U55" s="124" t="s">
        <v>538</v>
      </c>
      <c r="W55" s="127">
        <v>42755</v>
      </c>
      <c r="X55" s="10">
        <v>53.22</v>
      </c>
      <c r="Y55" s="10">
        <v>53.35</v>
      </c>
      <c r="Z55" s="10">
        <v>52.9</v>
      </c>
      <c r="AA55" s="10">
        <v>53.2</v>
      </c>
      <c r="AB55" s="90">
        <v>7861000</v>
      </c>
      <c r="AC55" s="10">
        <v>53.03</v>
      </c>
      <c r="AE55" s="131"/>
    </row>
    <row r="56" spans="1:41" x14ac:dyDescent="0.25">
      <c r="O56" s="78">
        <v>0.99</v>
      </c>
      <c r="P56" s="78">
        <f t="shared" si="1"/>
        <v>86.813099999999991</v>
      </c>
      <c r="T56" s="88" t="s">
        <v>110</v>
      </c>
      <c r="U56" s="124">
        <v>22.94</v>
      </c>
      <c r="W56" s="127">
        <v>42754</v>
      </c>
      <c r="X56" s="10">
        <v>53.84</v>
      </c>
      <c r="Y56" s="10">
        <v>53.94</v>
      </c>
      <c r="Z56" s="10">
        <v>52.89</v>
      </c>
      <c r="AA56" s="10">
        <v>52.93</v>
      </c>
      <c r="AB56" s="90">
        <v>8320600</v>
      </c>
      <c r="AC56" s="10">
        <v>52.77</v>
      </c>
      <c r="AE56" s="131"/>
    </row>
    <row r="57" spans="1:41" x14ac:dyDescent="0.25">
      <c r="O57" s="78">
        <v>0.98</v>
      </c>
      <c r="P57" s="78">
        <f t="shared" si="1"/>
        <v>85.936199999999999</v>
      </c>
      <c r="T57" s="88" t="s">
        <v>111</v>
      </c>
      <c r="U57" s="124">
        <v>2.4</v>
      </c>
      <c r="W57" s="127">
        <v>42753</v>
      </c>
      <c r="X57" s="10">
        <v>53.86</v>
      </c>
      <c r="Y57" s="10">
        <v>53.89</v>
      </c>
      <c r="Z57" s="10">
        <v>52.86</v>
      </c>
      <c r="AA57" s="10">
        <v>53.27</v>
      </c>
      <c r="AB57" s="90">
        <v>6743100</v>
      </c>
      <c r="AC57" s="10">
        <v>53.1</v>
      </c>
      <c r="AE57" s="131"/>
    </row>
    <row r="58" spans="1:41" x14ac:dyDescent="0.25">
      <c r="O58" s="78">
        <v>0.97</v>
      </c>
      <c r="P58" s="78">
        <f t="shared" si="1"/>
        <v>85.059299999999993</v>
      </c>
      <c r="T58" s="88" t="s">
        <v>108</v>
      </c>
      <c r="U58" s="124" t="s">
        <v>490</v>
      </c>
      <c r="W58" s="127">
        <v>42752</v>
      </c>
      <c r="X58" s="10">
        <v>53.4</v>
      </c>
      <c r="Y58" s="10">
        <v>53.95</v>
      </c>
      <c r="Z58" s="10">
        <v>53.01</v>
      </c>
      <c r="AA58" s="10">
        <v>53.65</v>
      </c>
      <c r="AB58" s="90">
        <v>9888500</v>
      </c>
      <c r="AC58" s="10">
        <v>53.48</v>
      </c>
      <c r="AE58" s="131"/>
      <c r="AL58" s="178"/>
      <c r="AO58" s="178"/>
    </row>
    <row r="59" spans="1:41" x14ac:dyDescent="0.25">
      <c r="O59" s="78">
        <v>0.96</v>
      </c>
      <c r="P59" s="78">
        <f t="shared" si="1"/>
        <v>84.182400000000001</v>
      </c>
      <c r="W59" s="127">
        <v>42748</v>
      </c>
      <c r="X59" s="10">
        <v>52.59</v>
      </c>
      <c r="Y59" s="10">
        <v>52.93</v>
      </c>
      <c r="Z59" s="10">
        <v>52.23</v>
      </c>
      <c r="AA59" s="10">
        <v>52.92</v>
      </c>
      <c r="AB59" s="90">
        <v>6694400</v>
      </c>
      <c r="AC59" s="10">
        <v>52.76</v>
      </c>
      <c r="AE59" s="131"/>
    </row>
    <row r="60" spans="1:41" x14ac:dyDescent="0.25">
      <c r="O60" s="78">
        <v>0.95</v>
      </c>
      <c r="P60" s="78">
        <f t="shared" si="1"/>
        <v>83.305499999999995</v>
      </c>
      <c r="W60" s="127">
        <v>42747</v>
      </c>
      <c r="X60" s="10">
        <v>52.51</v>
      </c>
      <c r="Y60" s="10">
        <v>52.69</v>
      </c>
      <c r="Z60" s="10">
        <v>52.16</v>
      </c>
      <c r="AA60" s="10">
        <v>52.4</v>
      </c>
      <c r="AB60" s="90">
        <v>7368700</v>
      </c>
      <c r="AC60" s="10">
        <v>52.24</v>
      </c>
      <c r="AE60" s="131"/>
    </row>
    <row r="61" spans="1:41" x14ac:dyDescent="0.25">
      <c r="O61" s="78">
        <v>0.94</v>
      </c>
      <c r="P61" s="78">
        <f t="shared" si="1"/>
        <v>82.428599999999989</v>
      </c>
      <c r="W61" s="127">
        <v>42746</v>
      </c>
      <c r="X61" s="10">
        <v>53.12</v>
      </c>
      <c r="Y61" s="10">
        <v>53.29</v>
      </c>
      <c r="Z61" s="10">
        <v>52.67</v>
      </c>
      <c r="AA61" s="10">
        <v>52.69</v>
      </c>
      <c r="AB61" s="90">
        <v>8208300</v>
      </c>
      <c r="AC61" s="10">
        <v>52.53</v>
      </c>
      <c r="AE61" s="131"/>
    </row>
    <row r="62" spans="1:41" x14ac:dyDescent="0.25">
      <c r="O62" s="78">
        <v>0.93</v>
      </c>
      <c r="P62" s="78">
        <f t="shared" si="1"/>
        <v>81.551699999999997</v>
      </c>
      <c r="W62" s="127">
        <v>42745</v>
      </c>
      <c r="X62" s="10">
        <v>53.55</v>
      </c>
      <c r="Y62" s="10">
        <v>53.73</v>
      </c>
      <c r="Z62" s="10">
        <v>53.11</v>
      </c>
      <c r="AA62" s="10">
        <v>53.11</v>
      </c>
      <c r="AB62" s="90">
        <v>8041900</v>
      </c>
      <c r="AC62" s="10">
        <v>52.95</v>
      </c>
      <c r="AE62" s="131"/>
    </row>
    <row r="63" spans="1:41" x14ac:dyDescent="0.25">
      <c r="O63" s="78">
        <v>0.92</v>
      </c>
      <c r="P63" s="78">
        <f t="shared" si="1"/>
        <v>80.674800000000005</v>
      </c>
      <c r="W63" s="127">
        <v>42744</v>
      </c>
      <c r="X63" s="10">
        <v>53.96</v>
      </c>
      <c r="Y63" s="10">
        <v>53.99</v>
      </c>
      <c r="Z63" s="10">
        <v>53.22</v>
      </c>
      <c r="AA63" s="10">
        <v>53.38</v>
      </c>
      <c r="AB63" s="90">
        <v>8724800</v>
      </c>
      <c r="AC63" s="10">
        <v>53.21</v>
      </c>
      <c r="AE63" s="131"/>
    </row>
    <row r="64" spans="1:41" x14ac:dyDescent="0.25">
      <c r="O64" s="78">
        <v>0.91</v>
      </c>
      <c r="P64" s="78">
        <f t="shared" si="1"/>
        <v>79.797899999999998</v>
      </c>
      <c r="W64" s="127">
        <v>42741</v>
      </c>
      <c r="X64" s="10">
        <v>53.09</v>
      </c>
      <c r="Y64" s="10">
        <v>54.09</v>
      </c>
      <c r="Z64" s="10">
        <v>52.98</v>
      </c>
      <c r="AA64" s="10">
        <v>53.91</v>
      </c>
      <c r="AB64" s="90">
        <v>12532400</v>
      </c>
      <c r="AC64" s="10">
        <v>53.74</v>
      </c>
      <c r="AE64" s="131"/>
    </row>
    <row r="65" spans="15:31" x14ac:dyDescent="0.25">
      <c r="O65" s="78">
        <v>0.9</v>
      </c>
      <c r="P65" s="78">
        <f t="shared" si="1"/>
        <v>78.921000000000006</v>
      </c>
      <c r="W65" s="127">
        <v>42740</v>
      </c>
      <c r="X65" s="10">
        <v>52.92</v>
      </c>
      <c r="Y65" s="10">
        <v>53.1</v>
      </c>
      <c r="Z65" s="10">
        <v>52.44</v>
      </c>
      <c r="AA65" s="10">
        <v>53.06</v>
      </c>
      <c r="AB65" s="90">
        <v>8682200</v>
      </c>
      <c r="AC65" s="10">
        <v>52.9</v>
      </c>
      <c r="AE65" s="131"/>
    </row>
    <row r="66" spans="15:31" x14ac:dyDescent="0.25">
      <c r="W66" s="127">
        <v>42739</v>
      </c>
      <c r="X66" s="10">
        <v>52.23</v>
      </c>
      <c r="Y66" s="10">
        <v>53.35</v>
      </c>
      <c r="Z66" s="10">
        <v>52.09</v>
      </c>
      <c r="AA66" s="10">
        <v>53.07</v>
      </c>
      <c r="AB66" s="90">
        <v>13759500</v>
      </c>
      <c r="AC66" s="10">
        <v>52.91</v>
      </c>
      <c r="AE66" s="131"/>
    </row>
    <row r="67" spans="15:31" x14ac:dyDescent="0.25">
      <c r="W67" s="127">
        <v>42738</v>
      </c>
      <c r="X67" s="10">
        <v>51.99</v>
      </c>
      <c r="Y67" s="10">
        <v>52.5</v>
      </c>
      <c r="Z67" s="10">
        <v>51.77</v>
      </c>
      <c r="AA67" s="10">
        <v>51.98</v>
      </c>
      <c r="AB67" s="90">
        <v>13295600</v>
      </c>
      <c r="AC67" s="10">
        <v>51.82</v>
      </c>
      <c r="AE67" s="131"/>
    </row>
    <row r="68" spans="15:31" x14ac:dyDescent="0.25">
      <c r="W68" s="127">
        <v>42734</v>
      </c>
      <c r="X68" s="10">
        <v>51.1</v>
      </c>
      <c r="Y68" s="10">
        <v>51.33</v>
      </c>
      <c r="Z68" s="10">
        <v>50.7</v>
      </c>
      <c r="AA68" s="10">
        <v>50.83</v>
      </c>
      <c r="AB68" s="90">
        <v>7384300</v>
      </c>
      <c r="AC68" s="10">
        <v>50.67</v>
      </c>
      <c r="AE68" s="131"/>
    </row>
    <row r="69" spans="15:31" x14ac:dyDescent="0.25">
      <c r="W69" s="216" t="s">
        <v>120</v>
      </c>
      <c r="AB69" s="179"/>
    </row>
  </sheetData>
  <mergeCells count="1">
    <mergeCell ref="O44:P44"/>
  </mergeCells>
  <conditionalFormatting sqref="P16:P28">
    <cfRule type="colorScale" priority="63">
      <colorScale>
        <cfvo type="min"/>
        <cfvo type="percentile" val="50"/>
        <cfvo type="max"/>
        <color rgb="FFF8696B"/>
        <color rgb="FFFFEB84"/>
        <color rgb="FF63BE7B"/>
      </colorScale>
    </cfRule>
  </conditionalFormatting>
  <conditionalFormatting sqref="O45:O65">
    <cfRule type="colorScale" priority="62">
      <colorScale>
        <cfvo type="min"/>
        <cfvo type="percentile" val="50"/>
        <cfvo type="max"/>
        <color rgb="FFF8696B"/>
        <color rgb="FFFFEB84"/>
        <color rgb="FF63BE7B"/>
      </colorScale>
    </cfRule>
  </conditionalFormatting>
  <conditionalFormatting sqref="P45:P65">
    <cfRule type="colorScale" priority="61">
      <colorScale>
        <cfvo type="min"/>
        <cfvo type="percentile" val="50"/>
        <cfvo type="max"/>
        <color rgb="FFF8696B"/>
        <color rgb="FFFFEB84"/>
        <color rgb="FF63BE7B"/>
      </colorScale>
    </cfRule>
  </conditionalFormatting>
  <conditionalFormatting sqref="AD1:AD1048576">
    <cfRule type="dataBar" priority="60">
      <dataBar>
        <cfvo type="min"/>
        <cfvo type="max"/>
        <color rgb="FFFF555A"/>
      </dataBar>
      <extLst>
        <ext xmlns:x14="http://schemas.microsoft.com/office/spreadsheetml/2009/9/main" uri="{B025F937-C7B1-47D3-B67F-A62EFF666E3E}">
          <x14:id>{766012B6-7D80-4816-9BE9-F20876098E86}</x14:id>
        </ext>
      </extLst>
    </cfRule>
  </conditionalFormatting>
  <conditionalFormatting sqref="AE1:AE1048576">
    <cfRule type="iconSet" priority="59">
      <iconSet iconSet="3Arrows">
        <cfvo type="percent" val="0"/>
        <cfvo type="num" val="0"/>
        <cfvo type="num" val="0"/>
      </iconSet>
    </cfRule>
  </conditionalFormatting>
  <conditionalFormatting sqref="F27:F33">
    <cfRule type="expression" dxfId="1917" priority="57">
      <formula>F27&gt;0</formula>
    </cfRule>
    <cfRule type="expression" dxfId="1916" priority="58">
      <formula>F27&lt;0</formula>
    </cfRule>
  </conditionalFormatting>
  <conditionalFormatting sqref="H28:H33">
    <cfRule type="expression" dxfId="1915" priority="53">
      <formula>H28&gt;0</formula>
    </cfRule>
    <cfRule type="expression" dxfId="1914" priority="54">
      <formula>H28&lt;0</formula>
    </cfRule>
  </conditionalFormatting>
  <conditionalFormatting sqref="F24:F26">
    <cfRule type="expression" dxfId="1913" priority="39">
      <formula>F24&gt;0</formula>
    </cfRule>
    <cfRule type="expression" dxfId="1912" priority="40">
      <formula>F24&lt;0</formula>
    </cfRule>
  </conditionalFormatting>
  <conditionalFormatting sqref="Q8">
    <cfRule type="expression" dxfId="1911" priority="33">
      <formula>Q8&gt;0</formula>
    </cfRule>
    <cfRule type="expression" dxfId="1910" priority="34">
      <formula>Q8&lt;0</formula>
    </cfRule>
  </conditionalFormatting>
  <conditionalFormatting sqref="Q7">
    <cfRule type="expression" dxfId="1909" priority="35">
      <formula>Q7&gt;0</formula>
    </cfRule>
    <cfRule type="expression" dxfId="1908" priority="36">
      <formula>Q7&lt;0</formula>
    </cfRule>
  </conditionalFormatting>
  <conditionalFormatting sqref="F34">
    <cfRule type="expression" dxfId="1907" priority="31">
      <formula>F34&gt;0</formula>
    </cfRule>
    <cfRule type="expression" dxfId="1906" priority="32">
      <formula>F34&lt;0</formula>
    </cfRule>
  </conditionalFormatting>
  <conditionalFormatting sqref="H34">
    <cfRule type="expression" dxfId="1905" priority="29">
      <formula>H34&gt;0</formula>
    </cfRule>
    <cfRule type="expression" dxfId="1904" priority="30">
      <formula>H34&lt;0</formula>
    </cfRule>
  </conditionalFormatting>
  <conditionalFormatting sqref="M36">
    <cfRule type="expression" dxfId="1903" priority="19">
      <formula>M36&gt;0</formula>
    </cfRule>
    <cfRule type="expression" dxfId="1902" priority="20">
      <formula>M36&lt;0</formula>
    </cfRule>
  </conditionalFormatting>
  <conditionalFormatting sqref="Q10">
    <cfRule type="expression" dxfId="1901" priority="15">
      <formula>Q10&gt;0</formula>
    </cfRule>
    <cfRule type="expression" dxfId="1900" priority="16">
      <formula>Q10&lt;0</formula>
    </cfRule>
  </conditionalFormatting>
  <conditionalFormatting sqref="F23">
    <cfRule type="expression" dxfId="1899" priority="13">
      <formula>F23&gt;0</formula>
    </cfRule>
    <cfRule type="expression" dxfId="1898" priority="14">
      <formula>F23&lt;0</formula>
    </cfRule>
  </conditionalFormatting>
  <conditionalFormatting sqref="I25:J25">
    <cfRule type="expression" dxfId="1897" priority="9">
      <formula>I25&gt;0</formula>
    </cfRule>
    <cfRule type="expression" dxfId="1896" priority="10">
      <formula>I25&lt;0</formula>
    </cfRule>
  </conditionalFormatting>
  <conditionalFormatting sqref="I26:J27">
    <cfRule type="expression" dxfId="1895" priority="7">
      <formula>I26&gt;0</formula>
    </cfRule>
    <cfRule type="expression" dxfId="1894" priority="8">
      <formula>I26&lt;0</formula>
    </cfRule>
  </conditionalFormatting>
  <conditionalFormatting sqref="K25:K27">
    <cfRule type="expression" dxfId="1893" priority="5">
      <formula>K25&gt;0</formula>
    </cfRule>
    <cfRule type="expression" dxfId="1892" priority="6">
      <formula>K25&lt;0</formula>
    </cfRule>
  </conditionalFormatting>
  <conditionalFormatting sqref="I23:J23">
    <cfRule type="expression" dxfId="1891" priority="3">
      <formula>I23&gt;0</formula>
    </cfRule>
    <cfRule type="expression" dxfId="1890" priority="4">
      <formula>I23&lt;0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766012B6-7D80-4816-9BE9-F20876098E86}">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1282</v>
      </c>
      <c r="B2" s="360">
        <v>43682</v>
      </c>
      <c r="C2" s="7">
        <v>100</v>
      </c>
      <c r="D2" s="43">
        <v>38.5</v>
      </c>
      <c r="E2" s="43">
        <v>0</v>
      </c>
      <c r="F2" s="43">
        <f>C2*D2+E2</f>
        <v>3850</v>
      </c>
      <c r="G2" s="360">
        <v>43719</v>
      </c>
      <c r="H2" s="7">
        <v>100</v>
      </c>
      <c r="I2" s="43">
        <v>44.08</v>
      </c>
      <c r="J2" s="43">
        <v>0.09</v>
      </c>
      <c r="K2" s="43">
        <f>H2*I2-J2</f>
        <v>4407.91</v>
      </c>
      <c r="L2" s="69"/>
      <c r="M2" s="3"/>
      <c r="O2" s="11" t="s">
        <v>57</v>
      </c>
      <c r="Q2">
        <f>C18-H18</f>
        <v>0</v>
      </c>
      <c r="T2" s="1"/>
    </row>
    <row r="3" spans="1:21" x14ac:dyDescent="0.25">
      <c r="A3" s="22" t="s">
        <v>71</v>
      </c>
      <c r="G3" s="69"/>
      <c r="H3" s="158"/>
      <c r="I3" s="3"/>
      <c r="J3" s="3"/>
      <c r="K3" s="3"/>
      <c r="L3" s="69"/>
      <c r="M3" s="3"/>
      <c r="O3" s="11" t="s">
        <v>58</v>
      </c>
      <c r="Q3" s="174">
        <f>IF(Q2=0, Q4, (F18-K18-M18)/Q2)</f>
        <v>43.42</v>
      </c>
      <c r="T3" s="1"/>
      <c r="U3" s="22"/>
    </row>
    <row r="4" spans="1:21" x14ac:dyDescent="0.25">
      <c r="B4" s="69"/>
      <c r="C4" s="4"/>
      <c r="D4" s="3"/>
      <c r="E4" s="3"/>
      <c r="F4" s="3"/>
      <c r="G4" s="69"/>
      <c r="H4" s="158"/>
      <c r="I4" s="3"/>
      <c r="J4" s="3"/>
      <c r="K4" s="3"/>
      <c r="L4" s="4"/>
      <c r="M4" s="4"/>
      <c r="O4" s="11" t="s">
        <v>66</v>
      </c>
      <c r="Q4" s="53">
        <v>43.42</v>
      </c>
      <c r="R4" s="416">
        <v>-1.61E-2</v>
      </c>
      <c r="T4" s="680"/>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905.33999999999878</v>
      </c>
      <c r="R7">
        <v>0</v>
      </c>
    </row>
    <row r="8" spans="1:21" x14ac:dyDescent="0.25">
      <c r="B8" s="69"/>
      <c r="C8" s="4"/>
      <c r="D8" s="3"/>
      <c r="E8" s="3"/>
      <c r="F8" s="3"/>
      <c r="G8" s="4"/>
      <c r="H8" s="158"/>
      <c r="I8" s="3"/>
      <c r="J8" s="3"/>
      <c r="K8" s="3"/>
      <c r="L8" s="4"/>
      <c r="M8" s="4"/>
      <c r="O8" s="11" t="s">
        <v>177</v>
      </c>
      <c r="P8" s="33"/>
      <c r="Q8" s="2">
        <f>K18+M18-F18+Q2*Q4</f>
        <v>557.90999999999985</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347.42999999999893</v>
      </c>
    </row>
    <row r="11" spans="1:21" x14ac:dyDescent="0.25">
      <c r="B11" s="4"/>
      <c r="C11" s="4"/>
      <c r="D11" s="3"/>
      <c r="E11" s="3"/>
      <c r="F11" s="3"/>
      <c r="G11" s="4"/>
      <c r="H11" s="158"/>
      <c r="I11" s="3"/>
      <c r="J11" s="3"/>
      <c r="K11" s="3"/>
      <c r="L11" s="4"/>
      <c r="M11" s="4"/>
      <c r="O11" s="11" t="s">
        <v>173</v>
      </c>
      <c r="P11" s="33"/>
      <c r="Q11" s="131">
        <f>R11/Q4</f>
        <v>2.660525103638876E-2</v>
      </c>
      <c r="R11">
        <f>0.2888*4</f>
        <v>1.1552</v>
      </c>
    </row>
    <row r="12" spans="1:21" x14ac:dyDescent="0.25">
      <c r="H12" s="67"/>
      <c r="O12" s="11" t="s">
        <v>875</v>
      </c>
      <c r="Q12" s="1"/>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47.762000000000008</v>
      </c>
    </row>
    <row r="18" spans="1:16" x14ac:dyDescent="0.25">
      <c r="A18" s="31" t="s">
        <v>81</v>
      </c>
      <c r="B18" s="14"/>
      <c r="C18" s="14">
        <f>SUM(C2:C8)</f>
        <v>100</v>
      </c>
      <c r="D18" s="18"/>
      <c r="E18" s="18"/>
      <c r="F18" s="18">
        <f>SUM(F2:F8)</f>
        <v>3850</v>
      </c>
      <c r="G18" s="14"/>
      <c r="H18" s="68">
        <f>SUM(H2:H5)</f>
        <v>100</v>
      </c>
      <c r="I18" s="18"/>
      <c r="J18" s="18"/>
      <c r="K18" s="18">
        <f>SUM(K2:K5)</f>
        <v>4407.91</v>
      </c>
      <c r="L18" s="14"/>
      <c r="M18" s="18">
        <f>SUM(M2:M10)</f>
        <v>0</v>
      </c>
      <c r="O18" s="78">
        <v>1.0900000000000001</v>
      </c>
      <c r="P18" s="78">
        <f t="shared" ref="P18:P37" si="0">O18*$Q$4</f>
        <v>47.327800000000003</v>
      </c>
    </row>
    <row r="19" spans="1:16" ht="15.75" thickBot="1" x14ac:dyDescent="0.3">
      <c r="A19" s="273" t="s">
        <v>189</v>
      </c>
      <c r="B19" s="274"/>
      <c r="C19" s="275">
        <f>SumByColor($A$19,C2:C17)</f>
        <v>100</v>
      </c>
      <c r="D19" s="275"/>
      <c r="E19" s="275"/>
      <c r="F19" s="276">
        <f>SumByColor($A$19,F2:F17)</f>
        <v>3850</v>
      </c>
      <c r="G19" s="275"/>
      <c r="H19" s="275">
        <f>SumByColor($A$19,H2:H17)</f>
        <v>100</v>
      </c>
      <c r="I19" s="275"/>
      <c r="J19" s="275"/>
      <c r="K19" s="276">
        <f>SumByColor($A$19,K2:K17)</f>
        <v>4408</v>
      </c>
      <c r="L19" s="275"/>
      <c r="M19" s="276">
        <f>SumByColor($A$19,M2:M17)</f>
        <v>0</v>
      </c>
      <c r="O19" s="78">
        <v>1.08</v>
      </c>
      <c r="P19" s="78">
        <f t="shared" si="0"/>
        <v>46.893600000000006</v>
      </c>
    </row>
    <row r="20" spans="1:16" x14ac:dyDescent="0.25">
      <c r="O20" s="78">
        <v>1.07</v>
      </c>
      <c r="P20" s="78">
        <f t="shared" si="0"/>
        <v>46.459400000000002</v>
      </c>
    </row>
    <row r="21" spans="1:16" x14ac:dyDescent="0.25">
      <c r="O21" s="78">
        <v>1.06</v>
      </c>
      <c r="P21" s="78">
        <f t="shared" si="0"/>
        <v>46.025200000000005</v>
      </c>
    </row>
    <row r="22" spans="1:16" x14ac:dyDescent="0.25">
      <c r="O22" s="78">
        <v>1.05</v>
      </c>
      <c r="P22" s="78">
        <f t="shared" si="0"/>
        <v>45.591000000000001</v>
      </c>
    </row>
    <row r="23" spans="1:16" x14ac:dyDescent="0.25">
      <c r="O23" s="78">
        <v>1.04</v>
      </c>
      <c r="P23" s="78">
        <f t="shared" si="0"/>
        <v>45.156800000000004</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44.7226</v>
      </c>
    </row>
    <row r="25" spans="1:16" x14ac:dyDescent="0.25">
      <c r="B25" s="161">
        <v>43464</v>
      </c>
      <c r="C25" s="10">
        <v>100</v>
      </c>
      <c r="D25" s="39">
        <v>38.425199999999997</v>
      </c>
      <c r="E25" s="39">
        <v>37.99</v>
      </c>
      <c r="F25" s="39">
        <f xml:space="preserve"> - C25*(D25-E25)</f>
        <v>-43.51999999999947</v>
      </c>
      <c r="G25" s="39">
        <f>D25*C25</f>
        <v>3842.5199999999995</v>
      </c>
      <c r="H25" s="175">
        <f>F25/G25</f>
        <v>-1.1325900710991609E-2</v>
      </c>
      <c r="I25" s="39">
        <v>38</v>
      </c>
      <c r="J25" s="39"/>
      <c r="K25" s="39"/>
      <c r="L25" s="39"/>
      <c r="O25" s="78">
        <v>1.02</v>
      </c>
      <c r="P25" s="78">
        <f t="shared" si="0"/>
        <v>44.288400000000003</v>
      </c>
    </row>
    <row r="26" spans="1:16" x14ac:dyDescent="0.25">
      <c r="B26" s="161">
        <v>43483</v>
      </c>
      <c r="C26" s="10">
        <v>0</v>
      </c>
      <c r="D26" s="39">
        <v>38.43</v>
      </c>
      <c r="E26" s="39">
        <v>41.9</v>
      </c>
      <c r="F26" s="39"/>
      <c r="G26" s="39"/>
      <c r="H26" s="175"/>
      <c r="I26" s="39"/>
      <c r="J26" s="39">
        <v>347.43</v>
      </c>
      <c r="K26" s="39"/>
      <c r="L26" s="39"/>
      <c r="O26" s="78">
        <v>1.01</v>
      </c>
      <c r="P26" s="78">
        <f t="shared" si="0"/>
        <v>43.854199999999999</v>
      </c>
    </row>
    <row r="27" spans="1:16" x14ac:dyDescent="0.25">
      <c r="B27" s="161">
        <v>43682</v>
      </c>
      <c r="C27" s="10">
        <v>100</v>
      </c>
      <c r="D27" s="39">
        <v>35.025700000000001</v>
      </c>
      <c r="E27" s="39">
        <v>38.5</v>
      </c>
      <c r="F27" s="39">
        <f xml:space="preserve"> - C27*(D27-E27)</f>
        <v>347.42999999999995</v>
      </c>
      <c r="G27" s="39">
        <f>D27*C27</f>
        <v>3502.57</v>
      </c>
      <c r="H27" s="175">
        <f>F27/G27</f>
        <v>9.9192878372166698E-2</v>
      </c>
      <c r="I27" s="39"/>
      <c r="J27" s="39"/>
      <c r="K27" s="39"/>
      <c r="L27" s="39"/>
      <c r="O27" s="78">
        <v>1</v>
      </c>
      <c r="P27" s="78">
        <f t="shared" si="0"/>
        <v>43.42</v>
      </c>
    </row>
    <row r="28" spans="1:16" x14ac:dyDescent="0.25">
      <c r="B28" s="161">
        <v>43719</v>
      </c>
      <c r="C28" s="10">
        <v>0</v>
      </c>
      <c r="D28" s="39">
        <v>35.03</v>
      </c>
      <c r="E28" s="39">
        <v>44.5</v>
      </c>
      <c r="F28" s="39">
        <v>557.91</v>
      </c>
      <c r="G28" s="39"/>
      <c r="H28" s="175"/>
      <c r="I28" s="39"/>
      <c r="J28" s="39">
        <f>F28+$Q$10</f>
        <v>905.33999999999889</v>
      </c>
      <c r="K28" s="39"/>
      <c r="L28" s="39"/>
      <c r="O28" s="78">
        <v>0.99</v>
      </c>
      <c r="P28" s="78">
        <f t="shared" si="0"/>
        <v>42.985800000000005</v>
      </c>
    </row>
    <row r="29" spans="1:16" x14ac:dyDescent="0.25">
      <c r="B29" s="161"/>
      <c r="C29" s="10"/>
      <c r="D29" s="39"/>
      <c r="E29" s="39"/>
      <c r="F29" s="39"/>
      <c r="G29" s="39"/>
      <c r="H29" s="175"/>
      <c r="I29" s="39"/>
      <c r="J29" s="39"/>
      <c r="K29" s="39"/>
      <c r="L29" s="39"/>
      <c r="O29" s="78">
        <v>0.98</v>
      </c>
      <c r="P29" s="78">
        <f t="shared" si="0"/>
        <v>42.551600000000001</v>
      </c>
    </row>
    <row r="30" spans="1:16" x14ac:dyDescent="0.25">
      <c r="B30" s="161"/>
      <c r="C30" s="10"/>
      <c r="D30" s="39"/>
      <c r="E30" s="39"/>
      <c r="F30" s="39"/>
      <c r="G30" s="39"/>
      <c r="H30" s="175"/>
      <c r="I30" s="39"/>
      <c r="J30" s="39"/>
      <c r="K30" s="39"/>
      <c r="L30" s="39"/>
      <c r="O30" s="78">
        <v>0.97</v>
      </c>
      <c r="P30" s="78">
        <f t="shared" si="0"/>
        <v>42.117400000000004</v>
      </c>
    </row>
    <row r="31" spans="1:16" x14ac:dyDescent="0.25">
      <c r="B31" s="161"/>
      <c r="C31" s="10"/>
      <c r="D31" s="39"/>
      <c r="E31" s="39"/>
      <c r="F31" s="39"/>
      <c r="G31" s="39"/>
      <c r="H31" s="175"/>
      <c r="I31" s="39"/>
      <c r="J31" s="39"/>
      <c r="K31" s="39"/>
      <c r="L31" s="39"/>
      <c r="O31" s="78">
        <v>0.96</v>
      </c>
      <c r="P31" s="78">
        <f t="shared" si="0"/>
        <v>41.683199999999999</v>
      </c>
    </row>
    <row r="32" spans="1:16" x14ac:dyDescent="0.25">
      <c r="B32" s="161"/>
      <c r="C32" s="10"/>
      <c r="D32" s="39"/>
      <c r="E32" s="39"/>
      <c r="F32" s="39"/>
      <c r="G32" s="39"/>
      <c r="H32" s="175"/>
      <c r="I32" s="39"/>
      <c r="J32" s="39"/>
      <c r="K32" s="39"/>
      <c r="L32" s="39"/>
      <c r="O32" s="78">
        <v>0.95</v>
      </c>
      <c r="P32" s="78">
        <f t="shared" si="0"/>
        <v>41.249000000000002</v>
      </c>
    </row>
    <row r="33" spans="2:17" x14ac:dyDescent="0.25">
      <c r="B33" s="161"/>
      <c r="C33" s="10"/>
      <c r="D33" s="39"/>
      <c r="E33" s="39"/>
      <c r="F33" s="39"/>
      <c r="G33" s="39"/>
      <c r="H33" s="175"/>
      <c r="I33" s="39"/>
      <c r="J33" s="39"/>
      <c r="K33" s="39"/>
      <c r="L33" s="39"/>
      <c r="O33" s="78">
        <v>0.94</v>
      </c>
      <c r="P33" s="78">
        <f t="shared" si="0"/>
        <v>40.814799999999998</v>
      </c>
    </row>
    <row r="34" spans="2:17" x14ac:dyDescent="0.25">
      <c r="B34" s="161"/>
      <c r="C34" s="10"/>
      <c r="D34" s="39"/>
      <c r="E34" s="39"/>
      <c r="F34" s="39"/>
      <c r="G34" s="39"/>
      <c r="H34" s="175"/>
      <c r="I34" s="39"/>
      <c r="J34" s="39"/>
      <c r="K34" s="39"/>
      <c r="L34" s="39"/>
      <c r="O34" s="78">
        <v>0.93</v>
      </c>
      <c r="P34" s="78">
        <f t="shared" si="0"/>
        <v>40.380600000000001</v>
      </c>
    </row>
    <row r="35" spans="2:17" x14ac:dyDescent="0.25">
      <c r="B35" s="161"/>
      <c r="C35" s="10"/>
      <c r="D35" s="39"/>
      <c r="E35" s="39"/>
      <c r="F35" s="39"/>
      <c r="G35" s="39"/>
      <c r="H35" s="175"/>
      <c r="I35" s="39"/>
      <c r="J35" s="39"/>
      <c r="K35" s="39"/>
      <c r="L35" s="39"/>
      <c r="O35" s="78">
        <v>0.92</v>
      </c>
      <c r="P35" s="78">
        <f t="shared" si="0"/>
        <v>39.946400000000004</v>
      </c>
    </row>
    <row r="36" spans="2:17" x14ac:dyDescent="0.25">
      <c r="B36" s="161"/>
      <c r="C36" s="10"/>
      <c r="D36" s="39"/>
      <c r="E36" s="39"/>
      <c r="F36" s="39"/>
      <c r="G36" s="39"/>
      <c r="H36" s="175"/>
      <c r="I36" s="39"/>
      <c r="J36" s="39"/>
      <c r="K36" s="39"/>
      <c r="L36" s="39"/>
      <c r="O36" s="78">
        <v>0.91</v>
      </c>
      <c r="P36" s="78">
        <f t="shared" si="0"/>
        <v>39.5122</v>
      </c>
    </row>
    <row r="37" spans="2:17" x14ac:dyDescent="0.25">
      <c r="B37" s="161"/>
      <c r="C37" s="10"/>
      <c r="D37" s="39"/>
      <c r="E37" s="39"/>
      <c r="F37" s="39"/>
      <c r="G37" s="39"/>
      <c r="H37" s="175"/>
      <c r="I37" s="39"/>
      <c r="J37" s="39"/>
      <c r="K37" s="39"/>
      <c r="L37" s="39"/>
      <c r="O37" s="78">
        <v>0.9</v>
      </c>
      <c r="P37" s="78">
        <f t="shared" si="0"/>
        <v>39.078000000000003</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347.42999999999893</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1282</v>
      </c>
      <c r="B68" s="360">
        <v>43453</v>
      </c>
      <c r="C68" s="7">
        <v>100</v>
      </c>
      <c r="D68" s="43">
        <v>39.700000000000003</v>
      </c>
      <c r="E68" s="43">
        <v>0</v>
      </c>
      <c r="F68" s="43">
        <f>C68*D68+E68</f>
        <v>3970.0000000000005</v>
      </c>
      <c r="G68" s="360">
        <v>43483</v>
      </c>
      <c r="H68" s="7">
        <v>100</v>
      </c>
      <c r="I68" s="43">
        <v>41.9</v>
      </c>
      <c r="J68" s="43">
        <v>0.05</v>
      </c>
      <c r="K68" s="43">
        <f>H68*I68-J68</f>
        <v>4189.95</v>
      </c>
      <c r="L68" s="69">
        <v>43464</v>
      </c>
      <c r="M68" s="43">
        <v>125.98</v>
      </c>
    </row>
    <row r="69" spans="1:13" x14ac:dyDescent="0.25">
      <c r="A69" s="600"/>
      <c r="B69" s="69"/>
      <c r="C69" s="4"/>
      <c r="D69" s="3"/>
      <c r="E69" s="3"/>
      <c r="F69" s="3"/>
      <c r="G69" s="69"/>
      <c r="H69" s="158"/>
      <c r="I69" s="3"/>
      <c r="J69" s="3"/>
      <c r="K69" s="3"/>
      <c r="L69" s="69">
        <v>43464</v>
      </c>
      <c r="M69" s="43">
        <v>1.5</v>
      </c>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100</v>
      </c>
      <c r="D84" s="603"/>
      <c r="E84" s="603"/>
      <c r="F84" s="603">
        <f>SUM(F68:F72)</f>
        <v>3970.0000000000005</v>
      </c>
      <c r="G84" s="602"/>
      <c r="H84" s="604">
        <f>SUM(H68:H71)</f>
        <v>100</v>
      </c>
      <c r="I84" s="603"/>
      <c r="J84" s="603"/>
      <c r="K84" s="603">
        <f>SUM(K68:K71)</f>
        <v>4189.95</v>
      </c>
      <c r="L84" s="602"/>
      <c r="M84" s="603">
        <f>SUM(M68:M76)</f>
        <v>127.48</v>
      </c>
    </row>
    <row r="85" spans="1:13" ht="15.75" thickBot="1" x14ac:dyDescent="0.3">
      <c r="A85" s="605" t="s">
        <v>189</v>
      </c>
      <c r="B85" s="637"/>
      <c r="C85" s="606">
        <f>SumByColor($A$19,C68:C83)</f>
        <v>100</v>
      </c>
      <c r="D85" s="606"/>
      <c r="E85" s="606"/>
      <c r="F85" s="607">
        <f>SumByColor($A$19,F68:F83)</f>
        <v>3970</v>
      </c>
      <c r="G85" s="606"/>
      <c r="H85" s="606">
        <f>SumByColor($A$19,H68:H83)</f>
        <v>100</v>
      </c>
      <c r="I85" s="606"/>
      <c r="J85" s="606"/>
      <c r="K85" s="607">
        <f>SumByColor($A$19,K69:K83)</f>
        <v>0</v>
      </c>
      <c r="L85" s="606"/>
      <c r="M85" s="607">
        <f>SumByColor($A$19,M68:M83)</f>
        <v>128</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1889" priority="39">
      <formula>F47&gt;0</formula>
    </cfRule>
    <cfRule type="expression" dxfId="1888" priority="40">
      <formula>F47&lt;0</formula>
    </cfRule>
  </conditionalFormatting>
  <conditionalFormatting sqref="Q7">
    <cfRule type="expression" dxfId="1887" priority="37">
      <formula>Q7&gt;0</formula>
    </cfRule>
    <cfRule type="expression" dxfId="1886" priority="38">
      <formula>Q7&lt;0</formula>
    </cfRule>
  </conditionalFormatting>
  <conditionalFormatting sqref="Q8">
    <cfRule type="expression" dxfId="1885" priority="35">
      <formula>Q8&gt;0</formula>
    </cfRule>
    <cfRule type="expression" dxfId="1884" priority="36">
      <formula>Q8&lt;0</formula>
    </cfRule>
  </conditionalFormatting>
  <conditionalFormatting sqref="F30:F46">
    <cfRule type="expression" dxfId="1883" priority="33">
      <formula>F30&gt;0</formula>
    </cfRule>
    <cfRule type="expression" dxfId="1882" priority="34">
      <formula>F30&lt;0</formula>
    </cfRule>
  </conditionalFormatting>
  <conditionalFormatting sqref="H30:H46">
    <cfRule type="expression" dxfId="1881" priority="31">
      <formula>H30&gt;0</formula>
    </cfRule>
    <cfRule type="expression" dxfId="1880" priority="32">
      <formula>H30&lt;0</formula>
    </cfRule>
  </conditionalFormatting>
  <conditionalFormatting sqref="Q10">
    <cfRule type="expression" dxfId="1879" priority="29">
      <formula>Q10&gt;0</formula>
    </cfRule>
    <cfRule type="expression" dxfId="1878" priority="30">
      <formula>Q10&lt;0</formula>
    </cfRule>
  </conditionalFormatting>
  <conditionalFormatting sqref="J25:J38">
    <cfRule type="expression" dxfId="1877" priority="27">
      <formula>J25&gt;0</formula>
    </cfRule>
    <cfRule type="expression" dxfId="1876" priority="28">
      <formula>J25&lt;0</formula>
    </cfRule>
  </conditionalFormatting>
  <conditionalFormatting sqref="K25:K38">
    <cfRule type="expression" dxfId="1875" priority="25">
      <formula>K25&gt;0</formula>
    </cfRule>
    <cfRule type="expression" dxfId="1874" priority="26">
      <formula>K25&lt;0</formula>
    </cfRule>
  </conditionalFormatting>
  <conditionalFormatting sqref="L25 L38">
    <cfRule type="expression" dxfId="1873" priority="23">
      <formula>L25&gt;0</formula>
    </cfRule>
    <cfRule type="expression" dxfId="1872" priority="24">
      <formula>L25&lt;0</formula>
    </cfRule>
  </conditionalFormatting>
  <conditionalFormatting sqref="F89:F110">
    <cfRule type="expression" dxfId="1871" priority="21">
      <formula>F89&gt;0</formula>
    </cfRule>
    <cfRule type="expression" dxfId="1870" priority="22">
      <formula>F89&lt;0</formula>
    </cfRule>
  </conditionalFormatting>
  <conditionalFormatting sqref="H89:H110">
    <cfRule type="expression" dxfId="1869" priority="19">
      <formula>H89&gt;0</formula>
    </cfRule>
    <cfRule type="expression" dxfId="1868" priority="20">
      <formula>H89&lt;0</formula>
    </cfRule>
  </conditionalFormatting>
  <conditionalFormatting sqref="J89:J102">
    <cfRule type="expression" dxfId="1867" priority="17">
      <formula>J89&gt;0</formula>
    </cfRule>
    <cfRule type="expression" dxfId="1866" priority="18">
      <formula>J89&lt;0</formula>
    </cfRule>
  </conditionalFormatting>
  <conditionalFormatting sqref="K89:K102">
    <cfRule type="expression" dxfId="1865" priority="15">
      <formula>K89&gt;0</formula>
    </cfRule>
    <cfRule type="expression" dxfId="1864" priority="16">
      <formula>K89&lt;0</formula>
    </cfRule>
  </conditionalFormatting>
  <conditionalFormatting sqref="L89:L102">
    <cfRule type="expression" dxfId="1863" priority="13">
      <formula>L89&gt;0</formula>
    </cfRule>
    <cfRule type="expression" dxfId="1862" priority="14">
      <formula>L89&lt;0</formula>
    </cfRule>
  </conditionalFormatting>
  <conditionalFormatting sqref="F29 F25:F26">
    <cfRule type="expression" dxfId="1861" priority="11">
      <formula>F25&gt;0</formula>
    </cfRule>
    <cfRule type="expression" dxfId="1860" priority="12">
      <formula>F25&lt;0</formula>
    </cfRule>
  </conditionalFormatting>
  <conditionalFormatting sqref="H29 H25:H26">
    <cfRule type="expression" dxfId="1859" priority="9">
      <formula>H25&gt;0</formula>
    </cfRule>
    <cfRule type="expression" dxfId="1858" priority="10">
      <formula>H25&lt;0</formula>
    </cfRule>
  </conditionalFormatting>
  <conditionalFormatting sqref="F28">
    <cfRule type="expression" dxfId="1857" priority="7">
      <formula>F28&gt;0</formula>
    </cfRule>
    <cfRule type="expression" dxfId="1856" priority="8">
      <formula>F28&lt;0</formula>
    </cfRule>
  </conditionalFormatting>
  <conditionalFormatting sqref="F27">
    <cfRule type="expression" dxfId="1855" priority="3">
      <formula>F27&gt;0</formula>
    </cfRule>
    <cfRule type="expression" dxfId="1854" priority="4">
      <formula>F27&lt;0</formula>
    </cfRule>
  </conditionalFormatting>
  <conditionalFormatting sqref="H27:H28">
    <cfRule type="expression" dxfId="1853" priority="1">
      <formula>H27&gt;0</formula>
    </cfRule>
    <cfRule type="expression" dxfId="1852" priority="2">
      <formula>H27&lt;0</formula>
    </cfRule>
  </conditionalFormatting>
  <hyperlinks>
    <hyperlink ref="A3" location="ACTIVE!A1" display="Back"/>
  </hyperlinks>
  <pageMargins left="0.7" right="0.7" top="0.75" bottom="0.75" header="0.3" footer="0.3"/>
  <pageSetup orientation="portrait" r:id="rId1"/>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8"/>
  <dimension ref="A1:U12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14</v>
      </c>
      <c r="B2" s="360">
        <v>43180</v>
      </c>
      <c r="C2" s="7">
        <v>100</v>
      </c>
      <c r="D2" s="43">
        <v>60.57</v>
      </c>
      <c r="E2" s="43">
        <v>0</v>
      </c>
      <c r="F2" s="43">
        <f t="shared" ref="F2:F11" si="0">C2*D2+E2</f>
        <v>6057</v>
      </c>
      <c r="G2" s="360">
        <v>43287</v>
      </c>
      <c r="H2" s="7">
        <v>50</v>
      </c>
      <c r="I2" s="43">
        <v>58.38</v>
      </c>
      <c r="J2" s="43">
        <v>0.04</v>
      </c>
      <c r="K2" s="43">
        <f t="shared" ref="K2:K11" si="1">H2*I2-J2</f>
        <v>2918.96</v>
      </c>
      <c r="L2" s="69">
        <v>43291</v>
      </c>
      <c r="M2" s="43">
        <v>105</v>
      </c>
      <c r="O2" s="11" t="s">
        <v>57</v>
      </c>
      <c r="Q2">
        <f>C18-H18</f>
        <v>100</v>
      </c>
      <c r="T2" s="1"/>
      <c r="U2" t="s">
        <v>1085</v>
      </c>
    </row>
    <row r="3" spans="1:21" x14ac:dyDescent="0.25">
      <c r="A3" s="22" t="s">
        <v>71</v>
      </c>
      <c r="B3" s="360">
        <v>43209</v>
      </c>
      <c r="C3" s="7">
        <v>50</v>
      </c>
      <c r="D3" s="43">
        <v>58.38</v>
      </c>
      <c r="E3" s="43">
        <v>0</v>
      </c>
      <c r="F3" s="43">
        <f t="shared" si="0"/>
        <v>2919</v>
      </c>
      <c r="G3" s="360">
        <v>43291</v>
      </c>
      <c r="H3" s="77">
        <v>50</v>
      </c>
      <c r="I3" s="43">
        <v>58.77</v>
      </c>
      <c r="J3" s="43">
        <v>0.04</v>
      </c>
      <c r="K3" s="43">
        <f t="shared" si="1"/>
        <v>2938.46</v>
      </c>
      <c r="L3" s="69">
        <v>43475</v>
      </c>
      <c r="M3" s="43">
        <v>160</v>
      </c>
      <c r="O3" s="11" t="s">
        <v>58</v>
      </c>
      <c r="Q3" s="75">
        <f>IF(Q2=0, Q4, (F18-K18-M18)/Q2)</f>
        <v>47.352299999999957</v>
      </c>
      <c r="T3" s="1"/>
    </row>
    <row r="4" spans="1:21" x14ac:dyDescent="0.25">
      <c r="B4" s="360">
        <v>43283</v>
      </c>
      <c r="C4" s="7">
        <v>50</v>
      </c>
      <c r="D4" s="43">
        <v>55.8</v>
      </c>
      <c r="E4" s="43">
        <v>0</v>
      </c>
      <c r="F4" s="43">
        <f t="shared" si="0"/>
        <v>2790</v>
      </c>
      <c r="G4" s="360">
        <v>43300</v>
      </c>
      <c r="H4" s="77">
        <v>50</v>
      </c>
      <c r="I4" s="43">
        <v>56.45</v>
      </c>
      <c r="J4" s="43">
        <v>0.04</v>
      </c>
      <c r="K4" s="43">
        <f t="shared" si="1"/>
        <v>2822.46</v>
      </c>
      <c r="L4" s="69">
        <v>43585</v>
      </c>
      <c r="M4" s="43">
        <v>160</v>
      </c>
      <c r="O4" s="11" t="s">
        <v>66</v>
      </c>
      <c r="Q4" s="53">
        <v>50.05</v>
      </c>
      <c r="R4" s="416">
        <v>-2.5499999999999998E-2</v>
      </c>
      <c r="T4" s="680"/>
      <c r="U4" s="30"/>
    </row>
    <row r="5" spans="1:21" x14ac:dyDescent="0.25">
      <c r="B5" s="360">
        <v>43297</v>
      </c>
      <c r="C5" s="7">
        <v>100</v>
      </c>
      <c r="D5" s="43">
        <v>57.43</v>
      </c>
      <c r="E5" s="43">
        <v>0</v>
      </c>
      <c r="F5" s="43">
        <f t="shared" si="0"/>
        <v>5743</v>
      </c>
      <c r="G5" s="360">
        <v>43314</v>
      </c>
      <c r="H5" s="77">
        <v>50</v>
      </c>
      <c r="I5" s="43">
        <v>58.78</v>
      </c>
      <c r="J5" s="43">
        <v>0.04</v>
      </c>
      <c r="K5" s="43">
        <f t="shared" si="1"/>
        <v>2938.96</v>
      </c>
      <c r="L5" s="69">
        <v>43656</v>
      </c>
      <c r="M5" s="43">
        <v>160</v>
      </c>
      <c r="O5" s="11" t="s">
        <v>67</v>
      </c>
      <c r="Q5" s="3">
        <f>Q4*Q2</f>
        <v>5005</v>
      </c>
      <c r="T5" s="1">
        <v>43209</v>
      </c>
      <c r="U5" t="s">
        <v>935</v>
      </c>
    </row>
    <row r="6" spans="1:21" x14ac:dyDescent="0.25">
      <c r="B6" s="360">
        <v>43300</v>
      </c>
      <c r="C6" s="7">
        <v>100</v>
      </c>
      <c r="D6" s="43">
        <v>55.38</v>
      </c>
      <c r="E6" s="43">
        <v>0</v>
      </c>
      <c r="F6" s="43">
        <f t="shared" si="0"/>
        <v>5538</v>
      </c>
      <c r="G6" s="360">
        <v>43355</v>
      </c>
      <c r="H6" s="77">
        <v>100</v>
      </c>
      <c r="I6" s="43">
        <v>63.85</v>
      </c>
      <c r="J6" s="43">
        <v>0.08</v>
      </c>
      <c r="K6" s="43">
        <f t="shared" si="1"/>
        <v>6384.92</v>
      </c>
      <c r="L6" s="69">
        <v>43748</v>
      </c>
      <c r="M6" s="43">
        <v>168</v>
      </c>
      <c r="O6" s="11" t="s">
        <v>64</v>
      </c>
      <c r="Q6" s="2">
        <f>Q3*Q2</f>
        <v>4735.2299999999959</v>
      </c>
      <c r="U6" t="s">
        <v>936</v>
      </c>
    </row>
    <row r="7" spans="1:21" x14ac:dyDescent="0.25">
      <c r="B7" s="360">
        <v>43367</v>
      </c>
      <c r="C7" s="7">
        <v>100</v>
      </c>
      <c r="D7" s="43">
        <v>61.08</v>
      </c>
      <c r="E7" s="43">
        <v>0</v>
      </c>
      <c r="F7" s="43">
        <f t="shared" si="0"/>
        <v>6108</v>
      </c>
      <c r="G7" s="360">
        <v>43355</v>
      </c>
      <c r="H7" s="77">
        <v>100</v>
      </c>
      <c r="I7" s="43">
        <v>62</v>
      </c>
      <c r="J7" s="43">
        <v>0.08</v>
      </c>
      <c r="K7" s="43">
        <f t="shared" si="1"/>
        <v>6199.92</v>
      </c>
      <c r="L7" s="4"/>
      <c r="M7" s="4"/>
      <c r="O7" s="11" t="s">
        <v>175</v>
      </c>
      <c r="Q7" s="2">
        <f>Q10+Q8</f>
        <v>269.77000000000407</v>
      </c>
      <c r="R7">
        <v>100</v>
      </c>
    </row>
    <row r="8" spans="1:21" x14ac:dyDescent="0.25">
      <c r="B8" s="360">
        <v>43416</v>
      </c>
      <c r="C8" s="4">
        <v>100</v>
      </c>
      <c r="D8" s="3">
        <v>60.38</v>
      </c>
      <c r="E8" s="3">
        <v>0</v>
      </c>
      <c r="F8" s="3">
        <f t="shared" si="0"/>
        <v>6038</v>
      </c>
      <c r="G8" s="360">
        <v>43402</v>
      </c>
      <c r="H8" s="77">
        <v>100</v>
      </c>
      <c r="I8" s="43">
        <v>64.88</v>
      </c>
      <c r="J8" s="43">
        <v>0.08</v>
      </c>
      <c r="K8" s="43">
        <f t="shared" si="1"/>
        <v>6487.92</v>
      </c>
      <c r="L8" s="4"/>
      <c r="M8" s="4"/>
      <c r="O8" s="11" t="s">
        <v>177</v>
      </c>
      <c r="P8" s="33"/>
      <c r="Q8" s="2">
        <f>K18+M18-F18+Q2*Q4</f>
        <v>269.77000000000407</v>
      </c>
      <c r="T8" s="1">
        <v>43216</v>
      </c>
      <c r="U8" t="s">
        <v>959</v>
      </c>
    </row>
    <row r="9" spans="1:21" x14ac:dyDescent="0.25">
      <c r="B9" s="360">
        <v>43423</v>
      </c>
      <c r="C9" s="4">
        <v>100</v>
      </c>
      <c r="D9" s="3">
        <v>55.45</v>
      </c>
      <c r="E9" s="3">
        <v>0</v>
      </c>
      <c r="F9" s="3">
        <f t="shared" si="0"/>
        <v>5545</v>
      </c>
      <c r="G9" s="360">
        <v>43493</v>
      </c>
      <c r="H9" s="77">
        <v>100</v>
      </c>
      <c r="I9" s="43">
        <v>45.42</v>
      </c>
      <c r="J9" s="43">
        <v>-0.34</v>
      </c>
      <c r="K9" s="43">
        <f t="shared" si="1"/>
        <v>4542.34</v>
      </c>
      <c r="L9" s="4"/>
      <c r="M9" s="4"/>
      <c r="O9" s="11" t="s">
        <v>202</v>
      </c>
      <c r="Q9" s="131">
        <f>IF(Q2=0, 0, Q8/Q6)</f>
        <v>5.6970833518119351E-2</v>
      </c>
      <c r="T9" s="153"/>
      <c r="U9" t="s">
        <v>960</v>
      </c>
    </row>
    <row r="10" spans="1:21" x14ac:dyDescent="0.25">
      <c r="B10" s="69">
        <v>43489</v>
      </c>
      <c r="C10" s="7">
        <v>100</v>
      </c>
      <c r="D10" s="43">
        <v>43.48</v>
      </c>
      <c r="E10" s="43">
        <v>0</v>
      </c>
      <c r="F10" s="43">
        <f t="shared" si="0"/>
        <v>4348</v>
      </c>
      <c r="G10" s="360">
        <v>43731</v>
      </c>
      <c r="H10" s="77">
        <v>100</v>
      </c>
      <c r="I10" s="43">
        <v>40.94</v>
      </c>
      <c r="J10" s="43">
        <v>0.08</v>
      </c>
      <c r="K10" s="43">
        <f t="shared" si="1"/>
        <v>4093.92</v>
      </c>
      <c r="L10" s="4"/>
      <c r="M10" s="4"/>
      <c r="O10" s="11" t="s">
        <v>201</v>
      </c>
      <c r="P10" s="33"/>
      <c r="Q10" s="2">
        <f>M76</f>
        <v>0</v>
      </c>
    </row>
    <row r="11" spans="1:21" x14ac:dyDescent="0.25">
      <c r="B11" s="69">
        <v>43727</v>
      </c>
      <c r="C11" s="7">
        <v>100</v>
      </c>
      <c r="D11" s="43">
        <v>40.299999999999997</v>
      </c>
      <c r="E11" s="43">
        <v>0</v>
      </c>
      <c r="F11" s="43">
        <f t="shared" si="0"/>
        <v>4029.9999999999995</v>
      </c>
      <c r="G11" s="69">
        <v>43748</v>
      </c>
      <c r="H11" s="158">
        <v>100</v>
      </c>
      <c r="I11" s="3">
        <v>43</v>
      </c>
      <c r="J11" s="3">
        <v>0.09</v>
      </c>
      <c r="K11" s="3">
        <f t="shared" si="1"/>
        <v>4299.91</v>
      </c>
      <c r="L11" s="4"/>
      <c r="M11" s="4"/>
      <c r="O11" s="11" t="s">
        <v>173</v>
      </c>
      <c r="P11" s="33"/>
      <c r="Q11" s="131">
        <f>R11*4/Q4</f>
        <v>5.5944055944055944E-2</v>
      </c>
      <c r="R11">
        <v>0.7</v>
      </c>
      <c r="T11" s="1">
        <v>43285</v>
      </c>
      <c r="U11" t="s">
        <v>1084</v>
      </c>
    </row>
    <row r="12" spans="1:21" x14ac:dyDescent="0.25">
      <c r="H12" s="67"/>
      <c r="O12" s="11" t="s">
        <v>875</v>
      </c>
      <c r="Q12" s="1" t="s">
        <v>1354</v>
      </c>
    </row>
    <row r="13" spans="1:21" x14ac:dyDescent="0.25">
      <c r="H13" s="67"/>
      <c r="O13" s="11" t="s">
        <v>901</v>
      </c>
      <c r="Q13" s="2">
        <f>Q4/(3.94+4.03)*2</f>
        <v>12.559598494353825</v>
      </c>
    </row>
    <row r="14" spans="1:21" x14ac:dyDescent="0.25">
      <c r="H14" s="67"/>
      <c r="O14" s="11" t="s">
        <v>988</v>
      </c>
      <c r="Q14" s="1">
        <v>43426</v>
      </c>
      <c r="T14" s="680">
        <v>43300</v>
      </c>
      <c r="U14" t="s">
        <v>1108</v>
      </c>
    </row>
    <row r="15" spans="1:21" x14ac:dyDescent="0.25">
      <c r="H15" s="67"/>
      <c r="U15" t="s">
        <v>1133</v>
      </c>
    </row>
    <row r="16" spans="1:21" ht="20.25" thickBot="1" x14ac:dyDescent="0.35">
      <c r="H16" s="67"/>
      <c r="O16" s="886" t="s">
        <v>78</v>
      </c>
      <c r="P16" s="886"/>
    </row>
    <row r="17" spans="1:21" ht="15.75" thickTop="1" x14ac:dyDescent="0.25">
      <c r="O17" s="78">
        <v>1.1000000000000001</v>
      </c>
      <c r="P17" s="78">
        <f>O17*$Q$4</f>
        <v>55.055</v>
      </c>
    </row>
    <row r="18" spans="1:21" x14ac:dyDescent="0.25">
      <c r="A18" s="31" t="s">
        <v>81</v>
      </c>
      <c r="B18" s="14"/>
      <c r="C18" s="14">
        <f>SUM(C2:C11)</f>
        <v>900</v>
      </c>
      <c r="D18" s="18"/>
      <c r="E18" s="18"/>
      <c r="F18" s="18">
        <f>SUM(F2:F11)</f>
        <v>49116</v>
      </c>
      <c r="G18" s="14"/>
      <c r="H18" s="68">
        <f>SUM(H2:H11)</f>
        <v>800</v>
      </c>
      <c r="I18" s="18"/>
      <c r="J18" s="18"/>
      <c r="K18" s="18">
        <f>SUM(K2:K11)</f>
        <v>43627.770000000004</v>
      </c>
      <c r="L18" s="14"/>
      <c r="M18" s="18">
        <f>SUM(M2:M10)</f>
        <v>753</v>
      </c>
      <c r="O18" s="78">
        <v>1.0900000000000001</v>
      </c>
      <c r="P18" s="78">
        <f t="shared" ref="P18:P37" si="2">O18*$Q$4</f>
        <v>54.554500000000004</v>
      </c>
      <c r="T18" s="1">
        <v>43307</v>
      </c>
      <c r="U18" t="s">
        <v>1145</v>
      </c>
    </row>
    <row r="19" spans="1:21" ht="15.75" thickBot="1" x14ac:dyDescent="0.3">
      <c r="A19" s="273" t="s">
        <v>189</v>
      </c>
      <c r="B19" s="274"/>
      <c r="C19" s="275">
        <f>SumByColor($A$19,C2:C17)</f>
        <v>700</v>
      </c>
      <c r="D19" s="275"/>
      <c r="E19" s="275"/>
      <c r="F19" s="276">
        <f>SumByColor($A$19,F2:F17)</f>
        <v>37533</v>
      </c>
      <c r="G19" s="275"/>
      <c r="H19" s="275">
        <f>SumByColor($A$19,H2:H17)</f>
        <v>700</v>
      </c>
      <c r="I19" s="275"/>
      <c r="J19" s="275"/>
      <c r="K19" s="276">
        <f>SumByColor($A$19,K2:K17)</f>
        <v>39327</v>
      </c>
      <c r="L19" s="275"/>
      <c r="M19" s="276">
        <f>SumByColor($A$19,M2:M17)</f>
        <v>753</v>
      </c>
      <c r="O19" s="78">
        <v>1.08</v>
      </c>
      <c r="P19" s="78">
        <f t="shared" si="2"/>
        <v>54.054000000000002</v>
      </c>
    </row>
    <row r="20" spans="1:21" x14ac:dyDescent="0.25">
      <c r="O20" s="78">
        <v>1.07</v>
      </c>
      <c r="P20" s="78">
        <f t="shared" si="2"/>
        <v>53.5535</v>
      </c>
      <c r="T20" s="1">
        <v>43416</v>
      </c>
      <c r="U20" t="s">
        <v>1250</v>
      </c>
    </row>
    <row r="21" spans="1:21" x14ac:dyDescent="0.25">
      <c r="O21" s="78">
        <v>1.06</v>
      </c>
      <c r="P21" s="78">
        <f t="shared" si="2"/>
        <v>53.052999999999997</v>
      </c>
    </row>
    <row r="22" spans="1:21" x14ac:dyDescent="0.25">
      <c r="O22" s="78">
        <v>1.05</v>
      </c>
      <c r="P22" s="78">
        <f t="shared" si="2"/>
        <v>52.552500000000002</v>
      </c>
    </row>
    <row r="23" spans="1:21" x14ac:dyDescent="0.25">
      <c r="O23" s="78">
        <v>1.04</v>
      </c>
      <c r="P23" s="78">
        <f t="shared" si="2"/>
        <v>52.052</v>
      </c>
    </row>
    <row r="24" spans="1:21" x14ac:dyDescent="0.25">
      <c r="B24" s="159" t="s">
        <v>113</v>
      </c>
      <c r="C24" s="159" t="s">
        <v>143</v>
      </c>
      <c r="D24" s="160" t="s">
        <v>142</v>
      </c>
      <c r="E24" s="162" t="s">
        <v>144</v>
      </c>
      <c r="F24" s="162" t="s">
        <v>65</v>
      </c>
      <c r="G24" s="173" t="s">
        <v>148</v>
      </c>
      <c r="H24" s="173" t="s">
        <v>88</v>
      </c>
      <c r="I24" s="173" t="s">
        <v>151</v>
      </c>
      <c r="J24" s="173" t="s">
        <v>147</v>
      </c>
      <c r="K24" s="173" t="s">
        <v>452</v>
      </c>
      <c r="L24" s="173" t="s">
        <v>452</v>
      </c>
      <c r="O24" s="78">
        <v>1.03</v>
      </c>
      <c r="P24" s="78">
        <f t="shared" si="2"/>
        <v>51.551499999999997</v>
      </c>
    </row>
    <row r="25" spans="1:21" x14ac:dyDescent="0.25">
      <c r="B25" s="161">
        <v>43180</v>
      </c>
      <c r="C25" s="10">
        <v>100</v>
      </c>
      <c r="D25" s="39">
        <v>60.57</v>
      </c>
      <c r="E25" s="39">
        <v>60.57</v>
      </c>
      <c r="F25" s="39">
        <f t="shared" ref="F25:F38" si="3">C25*(E25-D25)</f>
        <v>0</v>
      </c>
      <c r="G25" s="39">
        <f t="shared" ref="G25:G38" si="4">D25*C25</f>
        <v>6057</v>
      </c>
      <c r="H25" s="175">
        <f t="shared" ref="H25:H38" si="5">(E25-D25)/D25</f>
        <v>0</v>
      </c>
      <c r="I25" s="39"/>
      <c r="J25" s="39">
        <v>0</v>
      </c>
      <c r="K25" s="39"/>
      <c r="L25" s="39"/>
      <c r="O25" s="78">
        <v>1.02</v>
      </c>
      <c r="P25" s="78">
        <f t="shared" si="2"/>
        <v>51.050999999999995</v>
      </c>
    </row>
    <row r="26" spans="1:21" x14ac:dyDescent="0.25">
      <c r="B26" s="161">
        <v>43184</v>
      </c>
      <c r="C26" s="181">
        <v>100</v>
      </c>
      <c r="D26" s="182">
        <v>60.57</v>
      </c>
      <c r="E26" s="39">
        <v>59.27</v>
      </c>
      <c r="F26" s="39">
        <f t="shared" si="3"/>
        <v>-129.99999999999972</v>
      </c>
      <c r="G26" s="39">
        <f t="shared" si="4"/>
        <v>6057</v>
      </c>
      <c r="H26" s="175">
        <f t="shared" si="5"/>
        <v>-2.1462770348357224E-2</v>
      </c>
      <c r="I26" s="39"/>
      <c r="J26" s="39">
        <v>-129.99999999999972</v>
      </c>
      <c r="K26" s="39"/>
      <c r="L26" s="39"/>
      <c r="O26" s="78">
        <v>1.01</v>
      </c>
      <c r="P26" s="78">
        <f t="shared" si="2"/>
        <v>50.5505</v>
      </c>
    </row>
    <row r="27" spans="1:21" x14ac:dyDescent="0.25">
      <c r="B27" s="161">
        <v>43209</v>
      </c>
      <c r="C27" s="10">
        <v>150</v>
      </c>
      <c r="D27" s="39">
        <v>59.84</v>
      </c>
      <c r="E27" s="39">
        <v>57.78</v>
      </c>
      <c r="F27" s="39">
        <f t="shared" si="3"/>
        <v>-309.00000000000034</v>
      </c>
      <c r="G27" s="39">
        <f t="shared" si="4"/>
        <v>8976</v>
      </c>
      <c r="H27" s="175">
        <f t="shared" si="5"/>
        <v>-3.4425133689839606E-2</v>
      </c>
      <c r="I27" s="39"/>
      <c r="J27" s="39">
        <v>-309.00000000000034</v>
      </c>
      <c r="K27" s="39"/>
      <c r="L27" s="39"/>
      <c r="O27" s="78">
        <v>1</v>
      </c>
      <c r="P27" s="78">
        <f t="shared" si="2"/>
        <v>50.05</v>
      </c>
    </row>
    <row r="28" spans="1:21" x14ac:dyDescent="0.25">
      <c r="A28">
        <v>100</v>
      </c>
      <c r="B28" s="161">
        <v>43216</v>
      </c>
      <c r="C28" s="10">
        <v>150</v>
      </c>
      <c r="D28" s="39">
        <v>59.84</v>
      </c>
      <c r="E28" s="39">
        <v>54.77</v>
      </c>
      <c r="F28" s="39">
        <f t="shared" si="3"/>
        <v>-760.5</v>
      </c>
      <c r="G28" s="39">
        <f t="shared" si="4"/>
        <v>8976</v>
      </c>
      <c r="H28" s="175">
        <f t="shared" si="5"/>
        <v>-8.4725935828877011E-2</v>
      </c>
      <c r="I28" s="39"/>
      <c r="J28" s="39">
        <v>-760.5</v>
      </c>
      <c r="K28" s="39"/>
      <c r="L28" s="39">
        <v>13.81</v>
      </c>
      <c r="O28" s="78">
        <v>0.99</v>
      </c>
      <c r="P28" s="78">
        <f t="shared" si="2"/>
        <v>49.549499999999995</v>
      </c>
    </row>
    <row r="29" spans="1:21" x14ac:dyDescent="0.25">
      <c r="A29">
        <v>150</v>
      </c>
      <c r="B29" s="161">
        <v>43278</v>
      </c>
      <c r="C29" s="10">
        <v>150</v>
      </c>
      <c r="D29" s="39">
        <v>59.84</v>
      </c>
      <c r="E29" s="39">
        <v>55.99</v>
      </c>
      <c r="F29" s="39">
        <f t="shared" si="3"/>
        <v>-577.50000000000023</v>
      </c>
      <c r="G29" s="39">
        <f t="shared" si="4"/>
        <v>8976</v>
      </c>
      <c r="H29" s="175">
        <f t="shared" si="5"/>
        <v>-6.4338235294117668E-2</v>
      </c>
      <c r="I29" s="39"/>
      <c r="J29" s="39">
        <v>-577.50000000000023</v>
      </c>
      <c r="K29" s="39"/>
      <c r="L29" s="39">
        <v>14.12</v>
      </c>
      <c r="O29" s="78">
        <v>0.98</v>
      </c>
      <c r="P29" s="78">
        <f t="shared" si="2"/>
        <v>49.048999999999999</v>
      </c>
    </row>
    <row r="30" spans="1:21" x14ac:dyDescent="0.25">
      <c r="A30">
        <v>150</v>
      </c>
      <c r="B30" s="161">
        <v>43283</v>
      </c>
      <c r="C30" s="7">
        <v>200</v>
      </c>
      <c r="D30" s="43">
        <v>58.83</v>
      </c>
      <c r="E30" s="39">
        <v>55.87</v>
      </c>
      <c r="F30" s="39">
        <f t="shared" si="3"/>
        <v>-592.00000000000023</v>
      </c>
      <c r="G30" s="39">
        <f t="shared" si="4"/>
        <v>11766</v>
      </c>
      <c r="H30" s="175">
        <f t="shared" si="5"/>
        <v>-5.0314465408805048E-2</v>
      </c>
      <c r="I30" s="39"/>
      <c r="J30" s="39">
        <v>-592.00000000000023</v>
      </c>
      <c r="K30" s="39"/>
      <c r="L30" s="39">
        <v>14.09</v>
      </c>
      <c r="O30" s="78">
        <v>0.97</v>
      </c>
      <c r="P30" s="78">
        <f t="shared" si="2"/>
        <v>48.548499999999997</v>
      </c>
    </row>
    <row r="31" spans="1:21" x14ac:dyDescent="0.25">
      <c r="A31">
        <v>150</v>
      </c>
      <c r="B31" s="161">
        <v>43285</v>
      </c>
      <c r="C31" s="10">
        <v>200</v>
      </c>
      <c r="D31" s="39">
        <v>58.83</v>
      </c>
      <c r="E31" s="39">
        <v>56.46</v>
      </c>
      <c r="F31" s="39">
        <f t="shared" si="3"/>
        <v>-473.99999999999949</v>
      </c>
      <c r="G31" s="39">
        <f t="shared" si="4"/>
        <v>11766</v>
      </c>
      <c r="H31" s="175">
        <f t="shared" si="5"/>
        <v>-4.0285568587455335E-2</v>
      </c>
      <c r="I31" s="39"/>
      <c r="J31" s="39">
        <v>-473.99999999999949</v>
      </c>
      <c r="K31" s="39"/>
      <c r="L31" s="39">
        <v>14.24</v>
      </c>
      <c r="O31" s="78">
        <v>0.96</v>
      </c>
      <c r="P31" s="78">
        <f t="shared" si="2"/>
        <v>48.047999999999995</v>
      </c>
    </row>
    <row r="32" spans="1:21" x14ac:dyDescent="0.25">
      <c r="B32" s="161">
        <v>43287</v>
      </c>
      <c r="C32" s="10">
        <v>150</v>
      </c>
      <c r="D32" s="39">
        <v>58.98</v>
      </c>
      <c r="E32" s="39">
        <v>57.63</v>
      </c>
      <c r="F32" s="39">
        <f t="shared" si="3"/>
        <v>-202.49999999999915</v>
      </c>
      <c r="G32" s="39">
        <f t="shared" si="4"/>
        <v>8847</v>
      </c>
      <c r="H32" s="175">
        <f t="shared" si="5"/>
        <v>-2.2889114954221676E-2</v>
      </c>
      <c r="I32" s="39"/>
      <c r="J32" s="39">
        <v>-202.49999999999915</v>
      </c>
      <c r="K32" s="39"/>
      <c r="L32" s="39">
        <v>14.53</v>
      </c>
      <c r="O32" s="78">
        <v>0.95</v>
      </c>
      <c r="P32" s="78">
        <f t="shared" si="2"/>
        <v>47.547499999999992</v>
      </c>
    </row>
    <row r="33" spans="1:17" x14ac:dyDescent="0.25">
      <c r="A33" t="s">
        <v>1117</v>
      </c>
      <c r="B33" s="161">
        <v>43291</v>
      </c>
      <c r="C33" s="10">
        <v>150</v>
      </c>
      <c r="D33" s="39">
        <v>58.28</v>
      </c>
      <c r="E33" s="39">
        <v>58.75</v>
      </c>
      <c r="F33" s="39">
        <f t="shared" si="3"/>
        <v>70.499999999999829</v>
      </c>
      <c r="G33" s="39">
        <f t="shared" si="4"/>
        <v>8742</v>
      </c>
      <c r="H33" s="175">
        <f t="shared" si="5"/>
        <v>8.0645161290322388E-3</v>
      </c>
      <c r="I33" s="39"/>
      <c r="J33" s="39">
        <v>70.499999999999829</v>
      </c>
      <c r="K33" s="39"/>
      <c r="L33" s="39">
        <v>14.63</v>
      </c>
      <c r="O33" s="78">
        <v>0.94</v>
      </c>
      <c r="P33" s="78">
        <f t="shared" si="2"/>
        <v>47.046999999999997</v>
      </c>
    </row>
    <row r="34" spans="1:17" x14ac:dyDescent="0.25">
      <c r="A34">
        <v>50</v>
      </c>
      <c r="B34" s="161">
        <v>43291</v>
      </c>
      <c r="C34" s="10">
        <v>100</v>
      </c>
      <c r="D34" s="39">
        <v>58.04</v>
      </c>
      <c r="E34" s="39">
        <v>58.77</v>
      </c>
      <c r="F34" s="39">
        <f t="shared" si="3"/>
        <v>73.000000000000398</v>
      </c>
      <c r="G34" s="39">
        <f t="shared" si="4"/>
        <v>5804</v>
      </c>
      <c r="H34" s="175">
        <f t="shared" si="5"/>
        <v>1.2577532736044176E-2</v>
      </c>
      <c r="I34" s="39"/>
      <c r="J34" s="39">
        <v>73.000000000000398</v>
      </c>
      <c r="K34" s="39"/>
      <c r="L34" s="39">
        <v>14.824999999999999</v>
      </c>
      <c r="O34" s="78">
        <v>0.93</v>
      </c>
      <c r="P34" s="78">
        <f t="shared" si="2"/>
        <v>46.546500000000002</v>
      </c>
    </row>
    <row r="35" spans="1:17" x14ac:dyDescent="0.25">
      <c r="A35">
        <v>50</v>
      </c>
      <c r="B35" s="161">
        <v>43297</v>
      </c>
      <c r="C35" s="7">
        <v>200</v>
      </c>
      <c r="D35" s="43">
        <v>57.732999999999997</v>
      </c>
      <c r="E35" s="39">
        <v>57.43</v>
      </c>
      <c r="F35" s="39">
        <f t="shared" si="3"/>
        <v>-60.599999999999454</v>
      </c>
      <c r="G35" s="39">
        <f t="shared" si="4"/>
        <v>11546.599999999999</v>
      </c>
      <c r="H35" s="175">
        <f t="shared" si="5"/>
        <v>-5.2482982003359824E-3</v>
      </c>
      <c r="I35" s="39"/>
      <c r="J35" s="39">
        <v>-60.599999999999454</v>
      </c>
      <c r="K35" s="39"/>
      <c r="L35" s="39">
        <v>14.48</v>
      </c>
      <c r="O35" s="78">
        <v>0.92</v>
      </c>
      <c r="P35" s="78">
        <f t="shared" si="2"/>
        <v>46.045999999999999</v>
      </c>
    </row>
    <row r="36" spans="1:17" x14ac:dyDescent="0.25">
      <c r="B36" s="161">
        <v>43300</v>
      </c>
      <c r="C36" s="352">
        <v>300</v>
      </c>
      <c r="D36" s="353">
        <v>56.948999999999998</v>
      </c>
      <c r="E36" s="39">
        <v>55.38</v>
      </c>
      <c r="F36" s="39">
        <f t="shared" si="3"/>
        <v>-470.69999999999868</v>
      </c>
      <c r="G36" s="39">
        <f t="shared" si="4"/>
        <v>17084.7</v>
      </c>
      <c r="H36" s="175">
        <f t="shared" si="5"/>
        <v>-2.7550966654374891E-2</v>
      </c>
      <c r="I36" s="39"/>
      <c r="J36" s="39">
        <v>-470.69999999999868</v>
      </c>
      <c r="K36" s="39"/>
      <c r="L36" s="39"/>
      <c r="O36" s="78">
        <v>0.91</v>
      </c>
      <c r="P36" s="78">
        <f t="shared" si="2"/>
        <v>45.545499999999997</v>
      </c>
    </row>
    <row r="37" spans="1:17" x14ac:dyDescent="0.25">
      <c r="A37">
        <v>0</v>
      </c>
      <c r="B37" s="161">
        <v>43300</v>
      </c>
      <c r="C37" s="10">
        <v>250</v>
      </c>
      <c r="D37" s="39">
        <v>57.048000000000002</v>
      </c>
      <c r="E37" s="39">
        <v>56.45</v>
      </c>
      <c r="F37" s="39">
        <f t="shared" si="3"/>
        <v>-149.49999999999974</v>
      </c>
      <c r="G37" s="39">
        <f t="shared" si="4"/>
        <v>14262</v>
      </c>
      <c r="H37" s="175">
        <f t="shared" si="5"/>
        <v>-1.0482400785303585E-2</v>
      </c>
      <c r="I37" s="39"/>
      <c r="J37" s="39">
        <v>-149.49999999999974</v>
      </c>
      <c r="K37" s="39"/>
      <c r="L37" s="39">
        <v>14.24</v>
      </c>
      <c r="O37" s="78">
        <v>0.9</v>
      </c>
      <c r="P37" s="78">
        <f t="shared" si="2"/>
        <v>45.045000000000002</v>
      </c>
    </row>
    <row r="38" spans="1:17" x14ac:dyDescent="0.25">
      <c r="A38">
        <v>0</v>
      </c>
      <c r="B38" s="161">
        <v>43303</v>
      </c>
      <c r="C38" s="10">
        <v>250</v>
      </c>
      <c r="D38" s="39">
        <v>57.05</v>
      </c>
      <c r="E38" s="39">
        <v>57.64</v>
      </c>
      <c r="F38" s="39">
        <f t="shared" si="3"/>
        <v>147.50000000000085</v>
      </c>
      <c r="G38" s="39">
        <f t="shared" si="4"/>
        <v>14262.5</v>
      </c>
      <c r="H38" s="175">
        <f t="shared" si="5"/>
        <v>1.0341805433830033E-2</v>
      </c>
      <c r="I38" s="39"/>
      <c r="J38" s="39">
        <v>147.50000000000085</v>
      </c>
      <c r="K38" s="39"/>
      <c r="L38" s="39">
        <v>14.54</v>
      </c>
    </row>
    <row r="39" spans="1:17" x14ac:dyDescent="0.25">
      <c r="A39">
        <v>0</v>
      </c>
      <c r="B39" s="161">
        <v>43307</v>
      </c>
      <c r="C39" s="10">
        <v>250</v>
      </c>
      <c r="D39" s="39">
        <v>57.05</v>
      </c>
      <c r="E39" s="39">
        <v>56.1</v>
      </c>
      <c r="F39" s="39">
        <f t="shared" ref="F39:F44" si="6">C39*(E39-D39)</f>
        <v>-237.49999999999892</v>
      </c>
      <c r="G39" s="39">
        <f t="shared" ref="G39:G44" si="7">D39*C39</f>
        <v>14262.5</v>
      </c>
      <c r="H39" s="175">
        <f t="shared" ref="H39:H44" si="8">(E39-D39)/D39</f>
        <v>-1.66520595968448E-2</v>
      </c>
      <c r="I39" s="39"/>
      <c r="J39" s="39">
        <v>-237.49999999999892</v>
      </c>
      <c r="K39" s="39"/>
      <c r="L39" s="39">
        <v>14.08</v>
      </c>
    </row>
    <row r="40" spans="1:17" x14ac:dyDescent="0.25">
      <c r="A40">
        <v>0</v>
      </c>
      <c r="B40" s="161">
        <v>43312</v>
      </c>
      <c r="C40" s="10">
        <v>250</v>
      </c>
      <c r="D40" s="39">
        <v>57.05</v>
      </c>
      <c r="E40" s="39">
        <v>58.68</v>
      </c>
      <c r="F40" s="39">
        <f t="shared" si="6"/>
        <v>407.50000000000063</v>
      </c>
      <c r="G40" s="39">
        <f t="shared" si="7"/>
        <v>14262.5</v>
      </c>
      <c r="H40" s="175">
        <f t="shared" si="8"/>
        <v>2.8571428571428619E-2</v>
      </c>
      <c r="I40" s="39"/>
      <c r="J40" s="39">
        <v>407.50000000000063</v>
      </c>
      <c r="K40" s="39"/>
      <c r="L40" s="39">
        <v>14.73</v>
      </c>
    </row>
    <row r="41" spans="1:17" x14ac:dyDescent="0.25">
      <c r="B41" s="161">
        <v>43314</v>
      </c>
      <c r="C41" s="7">
        <v>200</v>
      </c>
      <c r="D41" s="43">
        <v>56.616</v>
      </c>
      <c r="E41" s="39">
        <v>58.78</v>
      </c>
      <c r="F41" s="39">
        <f t="shared" si="6"/>
        <v>432.8000000000003</v>
      </c>
      <c r="G41" s="39">
        <f t="shared" si="7"/>
        <v>11323.2</v>
      </c>
      <c r="H41" s="175">
        <f t="shared" si="8"/>
        <v>3.8222410625971481E-2</v>
      </c>
      <c r="I41" s="39"/>
      <c r="J41" s="39">
        <v>432.8000000000003</v>
      </c>
      <c r="K41" s="39"/>
      <c r="L41" s="39">
        <v>14.75</v>
      </c>
      <c r="Q41" s="2"/>
    </row>
    <row r="42" spans="1:17" x14ac:dyDescent="0.25">
      <c r="B42" s="161">
        <v>43316</v>
      </c>
      <c r="C42" s="10">
        <v>200</v>
      </c>
      <c r="D42" s="39">
        <v>56.62</v>
      </c>
      <c r="E42" s="39">
        <v>59.73</v>
      </c>
      <c r="F42" s="39">
        <f t="shared" si="6"/>
        <v>621.99999999999989</v>
      </c>
      <c r="G42" s="39">
        <f t="shared" si="7"/>
        <v>11324</v>
      </c>
      <c r="H42" s="175">
        <f t="shared" si="8"/>
        <v>5.4927587424938175E-2</v>
      </c>
      <c r="I42" s="39"/>
      <c r="J42" s="39">
        <v>621.99999999999989</v>
      </c>
      <c r="K42" s="39"/>
      <c r="L42" s="39">
        <v>14.99</v>
      </c>
      <c r="Q42" s="2"/>
    </row>
    <row r="43" spans="1:17" x14ac:dyDescent="0.25">
      <c r="B43" s="161">
        <v>43320</v>
      </c>
      <c r="C43" s="10">
        <v>200</v>
      </c>
      <c r="D43" s="39">
        <v>56.62</v>
      </c>
      <c r="E43" s="39">
        <v>58.61</v>
      </c>
      <c r="F43" s="39">
        <f t="shared" si="6"/>
        <v>398.0000000000004</v>
      </c>
      <c r="G43" s="39">
        <f t="shared" si="7"/>
        <v>11324</v>
      </c>
      <c r="H43" s="175">
        <f t="shared" si="8"/>
        <v>3.5146591310491027E-2</v>
      </c>
      <c r="I43" s="39">
        <v>56</v>
      </c>
      <c r="J43" s="39">
        <v>398.0000000000004</v>
      </c>
      <c r="K43" s="39"/>
      <c r="L43" s="39">
        <v>15.99</v>
      </c>
      <c r="Q43" s="2"/>
    </row>
    <row r="44" spans="1:17" x14ac:dyDescent="0.25">
      <c r="B44" s="161">
        <v>43324</v>
      </c>
      <c r="C44" s="10">
        <v>200</v>
      </c>
      <c r="D44" s="39">
        <v>56.62</v>
      </c>
      <c r="E44" s="39">
        <v>59.05</v>
      </c>
      <c r="F44" s="39">
        <f t="shared" si="6"/>
        <v>485.99999999999994</v>
      </c>
      <c r="G44" s="39">
        <f t="shared" si="7"/>
        <v>11324</v>
      </c>
      <c r="H44" s="175">
        <f t="shared" si="8"/>
        <v>4.2917696926880959E-2</v>
      </c>
      <c r="I44" s="39"/>
      <c r="J44" s="39">
        <v>485.99999999999994</v>
      </c>
      <c r="K44" s="39"/>
      <c r="L44" s="39">
        <v>14.82</v>
      </c>
      <c r="Q44" s="2"/>
    </row>
    <row r="45" spans="1:17" x14ac:dyDescent="0.25">
      <c r="B45" s="161">
        <v>43328</v>
      </c>
      <c r="C45" s="10">
        <v>200</v>
      </c>
      <c r="D45" s="39">
        <v>56.62</v>
      </c>
      <c r="E45" s="39">
        <v>60.83</v>
      </c>
      <c r="F45" s="39">
        <f t="shared" ref="F45:F55" si="9">C45*(E45-D45)</f>
        <v>842.00000000000023</v>
      </c>
      <c r="G45" s="39">
        <f t="shared" ref="G45:G55" si="10">D45*C45</f>
        <v>11324</v>
      </c>
      <c r="H45" s="175">
        <f t="shared" ref="H45:H55" si="11">(E45-D45)/D45</f>
        <v>7.4355351465913128E-2</v>
      </c>
      <c r="I45" s="39"/>
      <c r="J45" s="39">
        <v>842.00000000000023</v>
      </c>
      <c r="K45" s="39"/>
      <c r="L45" s="39"/>
      <c r="Q45" s="2"/>
    </row>
    <row r="46" spans="1:17" x14ac:dyDescent="0.25">
      <c r="A46">
        <v>100</v>
      </c>
      <c r="B46" s="161">
        <v>43329</v>
      </c>
      <c r="C46" s="10">
        <v>200</v>
      </c>
      <c r="D46" s="39">
        <v>56.616</v>
      </c>
      <c r="E46" s="39">
        <v>61</v>
      </c>
      <c r="F46" s="760">
        <f t="shared" si="9"/>
        <v>876.80000000000007</v>
      </c>
      <c r="G46" s="39">
        <f t="shared" si="10"/>
        <v>11323.2</v>
      </c>
      <c r="H46" s="175">
        <f t="shared" si="11"/>
        <v>7.7433940935424619E-2</v>
      </c>
      <c r="I46" s="39"/>
      <c r="J46" s="39">
        <v>876.80000000000007</v>
      </c>
      <c r="K46" s="39"/>
      <c r="L46" s="39">
        <v>15.31</v>
      </c>
      <c r="Q46" s="2"/>
    </row>
    <row r="47" spans="1:17" x14ac:dyDescent="0.25">
      <c r="A47">
        <v>200</v>
      </c>
      <c r="B47" s="161">
        <v>43344</v>
      </c>
      <c r="C47" s="10">
        <v>200</v>
      </c>
      <c r="D47" s="39">
        <v>56.616</v>
      </c>
      <c r="E47" s="39">
        <v>58.52</v>
      </c>
      <c r="F47" s="39">
        <f t="shared" si="9"/>
        <v>380.80000000000069</v>
      </c>
      <c r="G47" s="39">
        <f t="shared" si="10"/>
        <v>11323.2</v>
      </c>
      <c r="H47" s="175">
        <f t="shared" si="11"/>
        <v>3.3630069238377906E-2</v>
      </c>
      <c r="I47" s="39"/>
      <c r="J47" s="39">
        <v>380.80000000000069</v>
      </c>
      <c r="K47" s="39">
        <v>46.55</v>
      </c>
      <c r="L47" s="39">
        <v>14.69</v>
      </c>
      <c r="Q47" s="2"/>
    </row>
    <row r="48" spans="1:17" x14ac:dyDescent="0.25">
      <c r="A48">
        <v>200</v>
      </c>
      <c r="B48" s="161">
        <v>43348</v>
      </c>
      <c r="C48" s="10">
        <v>200</v>
      </c>
      <c r="D48" s="39">
        <v>56.616</v>
      </c>
      <c r="E48" s="39">
        <v>60.65</v>
      </c>
      <c r="F48" s="39">
        <f t="shared" si="9"/>
        <v>806.79999999999973</v>
      </c>
      <c r="G48" s="39">
        <f t="shared" si="10"/>
        <v>11323.2</v>
      </c>
      <c r="H48" s="175">
        <f t="shared" si="11"/>
        <v>7.1251942913663963E-2</v>
      </c>
      <c r="I48" s="39"/>
      <c r="J48" s="39">
        <v>806.79999999999973</v>
      </c>
      <c r="K48" s="39"/>
      <c r="L48" s="39">
        <v>15.22</v>
      </c>
      <c r="Q48" s="2"/>
    </row>
    <row r="49" spans="1:17" x14ac:dyDescent="0.25">
      <c r="B49" s="161">
        <v>43355</v>
      </c>
      <c r="C49" s="10">
        <v>0</v>
      </c>
      <c r="D49" s="39">
        <v>56.62</v>
      </c>
      <c r="E49" s="39">
        <v>63.43</v>
      </c>
      <c r="F49" s="39">
        <f t="shared" si="9"/>
        <v>0</v>
      </c>
      <c r="G49" s="39">
        <f t="shared" si="10"/>
        <v>0</v>
      </c>
      <c r="H49" s="175">
        <f t="shared" si="11"/>
        <v>0.12027552101730841</v>
      </c>
      <c r="I49" s="39"/>
      <c r="J49" s="760">
        <v>1261.68</v>
      </c>
      <c r="K49" s="39"/>
      <c r="L49" s="39">
        <v>15.92</v>
      </c>
      <c r="Q49" s="2"/>
    </row>
    <row r="50" spans="1:17" x14ac:dyDescent="0.25">
      <c r="A50">
        <v>0</v>
      </c>
      <c r="B50" s="161">
        <v>43367</v>
      </c>
      <c r="C50" s="10">
        <v>100</v>
      </c>
      <c r="D50" s="39">
        <v>48.463000000000001</v>
      </c>
      <c r="E50" s="39">
        <v>61.06</v>
      </c>
      <c r="F50" s="39">
        <f t="shared" si="9"/>
        <v>1259.7</v>
      </c>
      <c r="G50" s="39">
        <f t="shared" si="10"/>
        <v>4846.3</v>
      </c>
      <c r="H50" s="175">
        <f t="shared" si="11"/>
        <v>0.25993025607164233</v>
      </c>
      <c r="I50" s="39"/>
      <c r="J50" s="39">
        <f>F50+$Q$10</f>
        <v>1259.7</v>
      </c>
      <c r="K50" s="39"/>
      <c r="L50" s="39">
        <v>15.32</v>
      </c>
      <c r="Q50" s="2"/>
    </row>
    <row r="51" spans="1:17" x14ac:dyDescent="0.25">
      <c r="B51" s="161">
        <v>43383</v>
      </c>
      <c r="C51" s="181">
        <v>100</v>
      </c>
      <c r="D51" s="182">
        <v>48.46</v>
      </c>
      <c r="E51" s="39">
        <v>62.91</v>
      </c>
      <c r="F51" s="39">
        <f t="shared" si="9"/>
        <v>1444.9999999999995</v>
      </c>
      <c r="G51" s="39">
        <f t="shared" si="10"/>
        <v>4846</v>
      </c>
      <c r="H51" s="175">
        <f t="shared" si="11"/>
        <v>0.29818406933553437</v>
      </c>
      <c r="I51" s="39"/>
      <c r="J51" s="39">
        <f t="shared" ref="J51:J64" si="12">F51+$Q$10</f>
        <v>1444.9999999999995</v>
      </c>
      <c r="K51" s="39"/>
      <c r="L51" s="39"/>
      <c r="Q51" s="2"/>
    </row>
    <row r="52" spans="1:17" x14ac:dyDescent="0.25">
      <c r="A52">
        <v>0</v>
      </c>
      <c r="B52" s="161">
        <v>43402</v>
      </c>
      <c r="C52" s="10">
        <v>0</v>
      </c>
      <c r="D52" s="39">
        <v>48.46</v>
      </c>
      <c r="E52" s="39">
        <v>64.88</v>
      </c>
      <c r="F52" s="39">
        <f t="shared" si="9"/>
        <v>0</v>
      </c>
      <c r="G52" s="39">
        <f t="shared" si="10"/>
        <v>0</v>
      </c>
      <c r="H52" s="175">
        <f t="shared" si="11"/>
        <v>0.33883615352868335</v>
      </c>
      <c r="I52" s="39"/>
      <c r="J52" s="39">
        <f t="shared" si="12"/>
        <v>0</v>
      </c>
      <c r="K52" s="39"/>
      <c r="L52" s="39">
        <v>16.21</v>
      </c>
      <c r="Q52" s="2"/>
    </row>
    <row r="53" spans="1:17" x14ac:dyDescent="0.25">
      <c r="A53">
        <v>0</v>
      </c>
      <c r="B53" s="161">
        <v>43416</v>
      </c>
      <c r="C53" s="181">
        <v>100</v>
      </c>
      <c r="D53" s="182">
        <v>43.963999999999999</v>
      </c>
      <c r="E53" s="39">
        <v>61.2</v>
      </c>
      <c r="F53" s="39">
        <f t="shared" si="9"/>
        <v>1723.6000000000004</v>
      </c>
      <c r="G53" s="39">
        <f t="shared" si="10"/>
        <v>4396.3999999999996</v>
      </c>
      <c r="H53" s="175">
        <f t="shared" si="11"/>
        <v>0.39204803930488591</v>
      </c>
      <c r="I53" s="39"/>
      <c r="J53" s="760">
        <f t="shared" si="12"/>
        <v>1723.6000000000004</v>
      </c>
      <c r="K53" s="39"/>
      <c r="L53" s="39">
        <v>15.36</v>
      </c>
      <c r="Q53" s="2"/>
    </row>
    <row r="54" spans="1:17" x14ac:dyDescent="0.25">
      <c r="A54">
        <v>0</v>
      </c>
      <c r="B54" s="161">
        <v>43423</v>
      </c>
      <c r="C54" s="7">
        <v>200</v>
      </c>
      <c r="D54" s="43">
        <v>49.707000000000001</v>
      </c>
      <c r="E54" s="39">
        <v>55.68</v>
      </c>
      <c r="F54" s="39">
        <f t="shared" si="9"/>
        <v>1194.5999999999999</v>
      </c>
      <c r="G54" s="39">
        <f t="shared" si="10"/>
        <v>9941.4</v>
      </c>
      <c r="H54" s="175">
        <f t="shared" si="11"/>
        <v>0.12016416198925703</v>
      </c>
      <c r="I54" s="39"/>
      <c r="J54" s="39">
        <f t="shared" si="12"/>
        <v>1194.5999999999999</v>
      </c>
      <c r="K54" s="39"/>
      <c r="L54" s="39">
        <v>13.97</v>
      </c>
    </row>
    <row r="55" spans="1:17" x14ac:dyDescent="0.25">
      <c r="A55">
        <v>0</v>
      </c>
      <c r="B55" s="161">
        <v>43430</v>
      </c>
      <c r="C55" s="10">
        <v>200</v>
      </c>
      <c r="D55" s="39">
        <v>49.71</v>
      </c>
      <c r="E55" s="39">
        <v>53.21</v>
      </c>
      <c r="F55" s="39">
        <f t="shared" si="9"/>
        <v>700</v>
      </c>
      <c r="G55" s="39">
        <f t="shared" si="10"/>
        <v>9942</v>
      </c>
      <c r="H55" s="175">
        <f t="shared" si="11"/>
        <v>7.0408368537517599E-2</v>
      </c>
      <c r="I55" s="39"/>
      <c r="J55" s="39">
        <f t="shared" si="12"/>
        <v>700</v>
      </c>
      <c r="K55" s="39"/>
      <c r="L55" s="39">
        <v>13.35</v>
      </c>
    </row>
    <row r="56" spans="1:17" x14ac:dyDescent="0.25">
      <c r="A56">
        <v>0</v>
      </c>
      <c r="B56" s="161">
        <v>43442</v>
      </c>
      <c r="C56" s="10">
        <v>200</v>
      </c>
      <c r="D56" s="39">
        <v>49.707000000000001</v>
      </c>
      <c r="E56" s="39">
        <v>54.18</v>
      </c>
      <c r="F56" s="39">
        <f t="shared" ref="F56:F64" si="13">C56*(E56-D56)</f>
        <v>894.5999999999998</v>
      </c>
      <c r="G56" s="39">
        <f t="shared" ref="G56:G64" si="14">D56*C56</f>
        <v>9941.4</v>
      </c>
      <c r="H56" s="175">
        <f t="shared" ref="H56:H64" si="15">(E56-D56)/D56</f>
        <v>8.9987325728770579E-2</v>
      </c>
      <c r="I56" s="39"/>
      <c r="J56" s="39">
        <f t="shared" si="12"/>
        <v>894.5999999999998</v>
      </c>
      <c r="K56" s="39"/>
      <c r="L56" s="39">
        <v>13.6</v>
      </c>
    </row>
    <row r="57" spans="1:17" x14ac:dyDescent="0.25">
      <c r="A57">
        <v>200</v>
      </c>
      <c r="B57" s="161">
        <v>43473</v>
      </c>
      <c r="C57" s="10">
        <v>200</v>
      </c>
      <c r="D57" s="39">
        <v>49.71</v>
      </c>
      <c r="E57" s="39">
        <v>49.06</v>
      </c>
      <c r="F57" s="39">
        <f t="shared" si="13"/>
        <v>-129.99999999999972</v>
      </c>
      <c r="G57" s="39">
        <f t="shared" si="14"/>
        <v>9942</v>
      </c>
      <c r="H57" s="175">
        <f t="shared" si="15"/>
        <v>-1.307583987125324E-2</v>
      </c>
      <c r="I57" s="39"/>
      <c r="J57" s="39">
        <f t="shared" si="12"/>
        <v>-129.99999999999972</v>
      </c>
      <c r="K57" s="39"/>
      <c r="L57" s="39">
        <v>12.31</v>
      </c>
    </row>
    <row r="58" spans="1:17" x14ac:dyDescent="0.25">
      <c r="A58" s="4">
        <v>200</v>
      </c>
      <c r="B58" s="161">
        <v>43475</v>
      </c>
      <c r="C58" s="7">
        <v>200</v>
      </c>
      <c r="D58" s="43">
        <v>48.906999999999996</v>
      </c>
      <c r="E58" s="39">
        <v>49.66</v>
      </c>
      <c r="F58" s="39">
        <f t="shared" si="13"/>
        <v>150.60000000000002</v>
      </c>
      <c r="G58" s="39">
        <f t="shared" si="14"/>
        <v>9781.4</v>
      </c>
      <c r="H58" s="175">
        <f t="shared" si="15"/>
        <v>1.5396568998302905E-2</v>
      </c>
      <c r="I58" s="39" t="s">
        <v>182</v>
      </c>
      <c r="J58" s="39">
        <f t="shared" si="12"/>
        <v>150.60000000000002</v>
      </c>
      <c r="K58" s="39"/>
      <c r="L58" s="39">
        <v>12.46</v>
      </c>
    </row>
    <row r="59" spans="1:17" x14ac:dyDescent="0.25">
      <c r="A59" s="4">
        <v>200</v>
      </c>
      <c r="B59" s="161">
        <v>43489</v>
      </c>
      <c r="C59" s="352">
        <v>300</v>
      </c>
      <c r="D59" s="353">
        <v>47.097999999999999</v>
      </c>
      <c r="E59" s="39">
        <v>43.33</v>
      </c>
      <c r="F59" s="39">
        <f t="shared" si="13"/>
        <v>-1130.4000000000001</v>
      </c>
      <c r="G59" s="39">
        <f t="shared" si="14"/>
        <v>14129.4</v>
      </c>
      <c r="H59" s="175">
        <f t="shared" si="15"/>
        <v>-8.0003397171854451E-2</v>
      </c>
      <c r="I59" s="39"/>
      <c r="J59" s="39">
        <f t="shared" si="12"/>
        <v>-1130.4000000000001</v>
      </c>
      <c r="K59" s="39"/>
      <c r="L59" s="39">
        <v>10.87</v>
      </c>
    </row>
    <row r="60" spans="1:17" x14ac:dyDescent="0.25">
      <c r="A60" s="4">
        <v>100</v>
      </c>
      <c r="B60" s="161">
        <v>43493</v>
      </c>
      <c r="C60" s="7">
        <v>200</v>
      </c>
      <c r="D60" s="43">
        <v>47.935000000000002</v>
      </c>
      <c r="E60" s="39">
        <v>45.3</v>
      </c>
      <c r="F60" s="39">
        <f t="shared" si="13"/>
        <v>-527.00000000000102</v>
      </c>
      <c r="G60" s="39">
        <f t="shared" si="14"/>
        <v>9587</v>
      </c>
      <c r="H60" s="175">
        <f t="shared" si="15"/>
        <v>-5.4970272243663396E-2</v>
      </c>
      <c r="I60" s="39"/>
      <c r="J60" s="39">
        <f t="shared" si="12"/>
        <v>-527.00000000000102</v>
      </c>
      <c r="K60" s="39"/>
      <c r="L60" s="39">
        <v>11.37</v>
      </c>
    </row>
    <row r="61" spans="1:17" x14ac:dyDescent="0.25">
      <c r="A61" s="4">
        <v>100</v>
      </c>
      <c r="B61" s="161">
        <v>43499</v>
      </c>
      <c r="C61" s="10">
        <v>200</v>
      </c>
      <c r="D61" s="39">
        <v>47.94</v>
      </c>
      <c r="E61" s="39">
        <v>49.2</v>
      </c>
      <c r="F61" s="39">
        <f t="shared" si="13"/>
        <v>252.00000000000102</v>
      </c>
      <c r="G61" s="39">
        <f t="shared" si="14"/>
        <v>9588</v>
      </c>
      <c r="H61" s="175">
        <f t="shared" si="15"/>
        <v>2.6282853566958805E-2</v>
      </c>
      <c r="I61" s="39"/>
      <c r="J61" s="39">
        <f t="shared" si="12"/>
        <v>252.00000000000102</v>
      </c>
      <c r="K61" s="39"/>
      <c r="L61" s="39">
        <v>12.35</v>
      </c>
    </row>
    <row r="62" spans="1:17" x14ac:dyDescent="0.25">
      <c r="A62" s="4">
        <v>200</v>
      </c>
      <c r="B62" s="161">
        <v>43535</v>
      </c>
      <c r="C62" s="10">
        <v>200</v>
      </c>
      <c r="D62" s="39">
        <v>47.94</v>
      </c>
      <c r="E62" s="39">
        <v>56.01</v>
      </c>
      <c r="F62" s="39">
        <f t="shared" si="13"/>
        <v>1614</v>
      </c>
      <c r="G62" s="39">
        <f t="shared" si="14"/>
        <v>9588</v>
      </c>
      <c r="H62" s="175">
        <f t="shared" si="15"/>
        <v>0.16833541927409262</v>
      </c>
      <c r="I62" s="39"/>
      <c r="J62" s="39">
        <f t="shared" si="12"/>
        <v>1614</v>
      </c>
      <c r="K62" s="39"/>
      <c r="L62" s="39">
        <v>14.06</v>
      </c>
    </row>
    <row r="63" spans="1:17" x14ac:dyDescent="0.25">
      <c r="A63" s="4">
        <v>200</v>
      </c>
      <c r="B63" s="161">
        <v>43585</v>
      </c>
      <c r="C63" s="7">
        <v>200</v>
      </c>
      <c r="D63" s="43">
        <v>47.134999999999998</v>
      </c>
      <c r="E63" s="39">
        <v>54.33</v>
      </c>
      <c r="F63" s="39">
        <f t="shared" si="13"/>
        <v>1439</v>
      </c>
      <c r="G63" s="39">
        <f t="shared" si="14"/>
        <v>9427</v>
      </c>
      <c r="H63" s="175">
        <f t="shared" si="15"/>
        <v>0.15264665323008381</v>
      </c>
      <c r="I63" s="39"/>
      <c r="J63" s="39">
        <f t="shared" si="12"/>
        <v>1439</v>
      </c>
      <c r="K63" s="39"/>
      <c r="L63" s="39"/>
    </row>
    <row r="64" spans="1:17" x14ac:dyDescent="0.25">
      <c r="A64" s="4">
        <v>200</v>
      </c>
      <c r="B64" s="161">
        <v>43614</v>
      </c>
      <c r="C64" s="10">
        <v>200</v>
      </c>
      <c r="D64" s="39">
        <v>47.14</v>
      </c>
      <c r="E64" s="39">
        <v>50.19</v>
      </c>
      <c r="F64" s="39">
        <f t="shared" si="13"/>
        <v>609.99999999999943</v>
      </c>
      <c r="G64" s="39">
        <f t="shared" si="14"/>
        <v>9428</v>
      </c>
      <c r="H64" s="175">
        <f t="shared" si="15"/>
        <v>6.4700890963088606E-2</v>
      </c>
      <c r="I64" s="39"/>
      <c r="J64" s="39">
        <f t="shared" si="12"/>
        <v>609.99999999999943</v>
      </c>
      <c r="K64" s="39"/>
      <c r="L64" s="39">
        <v>12.59</v>
      </c>
    </row>
    <row r="65" spans="1:13" x14ac:dyDescent="0.25">
      <c r="A65" s="4">
        <v>200</v>
      </c>
      <c r="B65" s="161">
        <v>43656</v>
      </c>
      <c r="C65" s="7">
        <v>200</v>
      </c>
      <c r="D65" s="43">
        <v>46.335000000000001</v>
      </c>
      <c r="E65" s="39">
        <v>49</v>
      </c>
      <c r="F65" s="39">
        <f t="shared" ref="F65:F66" si="16">C65*(E65-D65)</f>
        <v>532.99999999999977</v>
      </c>
      <c r="G65" s="39">
        <f t="shared" ref="G65:G66" si="17">D65*C65</f>
        <v>9267</v>
      </c>
      <c r="H65" s="175">
        <f t="shared" ref="H65:H66" si="18">(E65-D65)/D65</f>
        <v>5.7515916693644094E-2</v>
      </c>
      <c r="I65" s="39"/>
      <c r="J65" s="39">
        <f t="shared" ref="J65:J66" si="19">F65+$Q$10</f>
        <v>532.99999999999977</v>
      </c>
      <c r="K65" s="39"/>
      <c r="L65" s="39">
        <v>12.13</v>
      </c>
    </row>
    <row r="66" spans="1:13" x14ac:dyDescent="0.25">
      <c r="A66" s="4">
        <v>200</v>
      </c>
      <c r="B66" s="161">
        <v>43723</v>
      </c>
      <c r="C66" s="10">
        <v>200</v>
      </c>
      <c r="D66" s="39">
        <v>46.34</v>
      </c>
      <c r="E66" s="39">
        <v>42</v>
      </c>
      <c r="F66" s="39">
        <f t="shared" si="16"/>
        <v>-868.00000000000068</v>
      </c>
      <c r="G66" s="39">
        <f t="shared" si="17"/>
        <v>9268</v>
      </c>
      <c r="H66" s="175">
        <f t="shared" si="18"/>
        <v>-9.3655589123867136E-2</v>
      </c>
      <c r="I66" s="39"/>
      <c r="J66" s="39">
        <f t="shared" si="19"/>
        <v>-868.00000000000068</v>
      </c>
      <c r="K66" s="39"/>
      <c r="L66" s="39"/>
    </row>
    <row r="67" spans="1:13" x14ac:dyDescent="0.25">
      <c r="A67" s="4">
        <v>200</v>
      </c>
      <c r="B67" s="161">
        <v>43727</v>
      </c>
      <c r="C67" s="352">
        <v>300</v>
      </c>
      <c r="D67" s="353">
        <v>44.323999999999998</v>
      </c>
      <c r="E67" s="39">
        <v>40.299999999999997</v>
      </c>
      <c r="F67" s="39">
        <f t="shared" ref="F67" si="20">C67*(E67-D67)</f>
        <v>-1207.2000000000003</v>
      </c>
      <c r="G67" s="39">
        <f t="shared" ref="G67" si="21">D67*C67</f>
        <v>13297.199999999999</v>
      </c>
      <c r="H67" s="175">
        <f t="shared" ref="H67" si="22">(E67-D67)/D67</f>
        <v>-9.0786030141683988E-2</v>
      </c>
      <c r="I67" s="39"/>
      <c r="J67" s="39">
        <f t="shared" ref="J67" si="23">F67+$Q$10</f>
        <v>-1207.2000000000003</v>
      </c>
      <c r="K67" s="39"/>
      <c r="L67" s="39"/>
    </row>
    <row r="68" spans="1:13" x14ac:dyDescent="0.25">
      <c r="A68" s="4">
        <v>100</v>
      </c>
      <c r="B68" s="161">
        <v>43731</v>
      </c>
      <c r="C68" s="7">
        <v>200</v>
      </c>
      <c r="D68" s="43">
        <v>46.015999999999998</v>
      </c>
      <c r="E68" s="39">
        <v>40.94</v>
      </c>
      <c r="F68" s="39">
        <f t="shared" ref="F68:F70" si="24">C68*(E68-D68)</f>
        <v>-1015.2</v>
      </c>
      <c r="G68" s="39">
        <f t="shared" ref="G68" si="25">D68*C68</f>
        <v>9203.1999999999989</v>
      </c>
      <c r="H68" s="175">
        <f t="shared" ref="H68:H70" si="26">(E68-D68)/D68</f>
        <v>-0.11030945757997219</v>
      </c>
      <c r="I68" s="39"/>
      <c r="J68" s="39">
        <f t="shared" ref="J68:J70" si="27">F68+$Q$10</f>
        <v>-1015.2</v>
      </c>
      <c r="K68" s="39"/>
      <c r="L68" s="39"/>
    </row>
    <row r="69" spans="1:13" x14ac:dyDescent="0.25">
      <c r="A69" s="4">
        <v>0</v>
      </c>
      <c r="B69" s="161">
        <v>43748</v>
      </c>
      <c r="C69" s="10">
        <v>100</v>
      </c>
      <c r="D69" s="39">
        <v>47.351999999999997</v>
      </c>
      <c r="E69" s="39">
        <v>42.98</v>
      </c>
      <c r="F69" s="39">
        <f t="shared" si="24"/>
        <v>-437.2</v>
      </c>
      <c r="G69" s="39">
        <f>D69*C69</f>
        <v>4735.2</v>
      </c>
      <c r="H69" s="175">
        <f t="shared" si="26"/>
        <v>-9.2329785436729178E-2</v>
      </c>
      <c r="I69" s="39" t="s">
        <v>1360</v>
      </c>
      <c r="J69" s="39">
        <f t="shared" si="27"/>
        <v>-437.2</v>
      </c>
      <c r="K69" s="39"/>
      <c r="L69" s="39"/>
    </row>
    <row r="70" spans="1:13" x14ac:dyDescent="0.25">
      <c r="A70" s="4">
        <v>100</v>
      </c>
      <c r="B70" s="161">
        <v>43797</v>
      </c>
      <c r="C70" s="10">
        <v>100</v>
      </c>
      <c r="D70" s="39">
        <v>47.35</v>
      </c>
      <c r="E70" s="39">
        <v>49.75</v>
      </c>
      <c r="F70" s="39">
        <f t="shared" si="24"/>
        <v>239.99999999999986</v>
      </c>
      <c r="G70" s="39">
        <f>D70*C70</f>
        <v>4735</v>
      </c>
      <c r="H70" s="175">
        <f t="shared" si="26"/>
        <v>5.068637803590282E-2</v>
      </c>
      <c r="I70" s="39"/>
      <c r="J70" s="39">
        <f t="shared" si="27"/>
        <v>239.99999999999986</v>
      </c>
      <c r="K70" s="39"/>
      <c r="L70" s="39"/>
    </row>
    <row r="71" spans="1:13" x14ac:dyDescent="0.25">
      <c r="A71" s="4"/>
      <c r="B71" s="161"/>
      <c r="C71" s="10"/>
      <c r="D71" s="39"/>
      <c r="E71" s="39"/>
      <c r="F71" s="39"/>
      <c r="G71" s="39"/>
      <c r="H71" s="175"/>
      <c r="I71" s="39"/>
      <c r="J71" s="39"/>
      <c r="K71" s="39"/>
      <c r="L71" s="39"/>
    </row>
    <row r="72" spans="1:13" x14ac:dyDescent="0.25">
      <c r="A72" s="4"/>
      <c r="B72" s="161"/>
      <c r="C72" s="10"/>
      <c r="D72" s="39"/>
      <c r="E72" s="39"/>
      <c r="F72" s="39"/>
      <c r="G72" s="39"/>
      <c r="H72" s="175"/>
      <c r="I72" s="39"/>
      <c r="J72" s="39"/>
      <c r="K72" s="39"/>
      <c r="L72" s="39"/>
    </row>
    <row r="73" spans="1:13" x14ac:dyDescent="0.25">
      <c r="A73" s="4"/>
      <c r="B73" s="161"/>
      <c r="C73" s="10"/>
      <c r="D73" s="39"/>
      <c r="E73" s="39"/>
      <c r="F73" s="39"/>
      <c r="G73" s="39"/>
      <c r="H73" s="175"/>
      <c r="I73" s="39"/>
      <c r="J73" s="39"/>
      <c r="K73" s="39"/>
      <c r="L73" s="39"/>
    </row>
    <row r="74" spans="1:13" x14ac:dyDescent="0.25">
      <c r="A74" s="4"/>
      <c r="B74" s="4"/>
      <c r="C74" s="4"/>
      <c r="D74" s="3"/>
      <c r="E74" s="3"/>
      <c r="F74" s="3"/>
      <c r="G74" s="4"/>
      <c r="H74" s="4"/>
      <c r="I74" s="3"/>
      <c r="J74" s="3"/>
      <c r="K74" s="3"/>
      <c r="L74" s="4"/>
    </row>
    <row r="75" spans="1:13" x14ac:dyDescent="0.25">
      <c r="A75" s="4"/>
      <c r="B75" s="4"/>
      <c r="C75" s="4"/>
      <c r="D75" s="3"/>
      <c r="E75" s="3"/>
      <c r="F75" s="3"/>
      <c r="G75" s="4"/>
      <c r="H75" s="4"/>
      <c r="I75" s="3"/>
      <c r="J75" s="3"/>
      <c r="K75" s="3"/>
      <c r="L75" s="4"/>
    </row>
    <row r="76" spans="1:13" x14ac:dyDescent="0.25">
      <c r="A76" s="478"/>
      <c r="B76" s="478"/>
      <c r="C76" s="478"/>
      <c r="D76" s="479"/>
      <c r="E76" s="479"/>
      <c r="F76" s="479"/>
      <c r="G76" s="478"/>
      <c r="H76" s="478"/>
      <c r="I76" s="479"/>
      <c r="J76" s="479"/>
      <c r="K76" s="479"/>
      <c r="L76" s="478" t="s">
        <v>65</v>
      </c>
      <c r="M76" s="479">
        <f>M94+K94-F94</f>
        <v>0</v>
      </c>
    </row>
    <row r="77" spans="1:13" x14ac:dyDescent="0.25">
      <c r="A77" s="597" t="s">
        <v>1</v>
      </c>
      <c r="B77" s="597" t="s">
        <v>2</v>
      </c>
      <c r="C77" s="597" t="s">
        <v>4</v>
      </c>
      <c r="D77" s="598" t="s">
        <v>5</v>
      </c>
      <c r="E77" s="598" t="s">
        <v>94</v>
      </c>
      <c r="F77" s="598" t="s">
        <v>60</v>
      </c>
      <c r="G77" s="597" t="s">
        <v>3</v>
      </c>
      <c r="H77" s="597" t="s">
        <v>6</v>
      </c>
      <c r="I77" s="598" t="s">
        <v>7</v>
      </c>
      <c r="J77" s="598" t="s">
        <v>95</v>
      </c>
      <c r="K77" s="598" t="s">
        <v>61</v>
      </c>
      <c r="L77" s="597" t="s">
        <v>37</v>
      </c>
      <c r="M77" s="597" t="s">
        <v>38</v>
      </c>
    </row>
    <row r="78" spans="1:13" x14ac:dyDescent="0.25">
      <c r="A78" s="599" t="s">
        <v>14</v>
      </c>
      <c r="B78" s="481"/>
      <c r="C78" s="478"/>
      <c r="D78" s="479"/>
      <c r="E78" s="479"/>
      <c r="F78" s="479"/>
      <c r="G78" s="481"/>
      <c r="H78" s="478"/>
      <c r="I78" s="479"/>
      <c r="J78" s="479"/>
      <c r="K78" s="479"/>
      <c r="L78" s="481"/>
      <c r="M78" s="479"/>
    </row>
    <row r="79" spans="1:13" x14ac:dyDescent="0.25">
      <c r="A79" s="600"/>
      <c r="B79" s="481"/>
      <c r="C79" s="478"/>
      <c r="D79" s="479"/>
      <c r="E79" s="479"/>
      <c r="F79" s="479"/>
      <c r="G79" s="481"/>
      <c r="H79" s="480"/>
      <c r="I79" s="479"/>
      <c r="J79" s="479"/>
      <c r="K79" s="479"/>
      <c r="L79" s="478"/>
      <c r="M79" s="478"/>
    </row>
    <row r="80" spans="1:13" x14ac:dyDescent="0.25">
      <c r="A80" s="478"/>
      <c r="B80" s="481"/>
      <c r="C80" s="478"/>
      <c r="D80" s="479"/>
      <c r="E80" s="479"/>
      <c r="F80" s="479"/>
      <c r="G80" s="481"/>
      <c r="H80" s="480"/>
      <c r="I80" s="479"/>
      <c r="J80" s="479"/>
      <c r="K80" s="479"/>
      <c r="L80" s="478"/>
      <c r="M80" s="478"/>
    </row>
    <row r="81" spans="1:13" x14ac:dyDescent="0.25">
      <c r="A81" s="478"/>
      <c r="B81" s="481"/>
      <c r="C81" s="478"/>
      <c r="D81" s="479"/>
      <c r="E81" s="479"/>
      <c r="F81" s="479"/>
      <c r="G81" s="478"/>
      <c r="H81" s="480"/>
      <c r="I81" s="479"/>
      <c r="J81" s="479"/>
      <c r="K81" s="479"/>
      <c r="L81" s="478"/>
      <c r="M81" s="478"/>
    </row>
    <row r="82" spans="1:13" x14ac:dyDescent="0.25">
      <c r="A82" s="478"/>
      <c r="B82" s="481"/>
      <c r="C82" s="478"/>
      <c r="D82" s="479"/>
      <c r="E82" s="479"/>
      <c r="F82" s="479"/>
      <c r="G82" s="478"/>
      <c r="H82" s="480"/>
      <c r="I82" s="479"/>
      <c r="J82" s="479"/>
      <c r="K82" s="479"/>
      <c r="L82" s="478"/>
      <c r="M82" s="478"/>
    </row>
    <row r="83" spans="1:13" x14ac:dyDescent="0.25">
      <c r="A83" s="478"/>
      <c r="B83" s="478"/>
      <c r="C83" s="478"/>
      <c r="D83" s="479"/>
      <c r="E83" s="479"/>
      <c r="F83" s="479"/>
      <c r="G83" s="478"/>
      <c r="H83" s="480"/>
      <c r="I83" s="479"/>
      <c r="J83" s="479"/>
      <c r="K83" s="479"/>
      <c r="L83" s="478"/>
      <c r="M83" s="478"/>
    </row>
    <row r="84" spans="1:13" x14ac:dyDescent="0.25">
      <c r="A84" s="478"/>
      <c r="B84" s="478"/>
      <c r="C84" s="478"/>
      <c r="D84" s="479"/>
      <c r="E84" s="479"/>
      <c r="F84" s="479"/>
      <c r="G84" s="478"/>
      <c r="H84" s="480"/>
      <c r="I84" s="479"/>
      <c r="J84" s="479"/>
      <c r="K84" s="479"/>
      <c r="L84" s="478"/>
      <c r="M84" s="478"/>
    </row>
    <row r="85" spans="1:13" x14ac:dyDescent="0.25">
      <c r="A85" s="478"/>
      <c r="B85" s="478"/>
      <c r="C85" s="478"/>
      <c r="D85" s="479"/>
      <c r="E85" s="479"/>
      <c r="F85" s="479"/>
      <c r="G85" s="478"/>
      <c r="H85" s="480"/>
      <c r="I85" s="479"/>
      <c r="J85" s="479"/>
      <c r="K85" s="479"/>
      <c r="L85" s="478"/>
      <c r="M85" s="478"/>
    </row>
    <row r="86" spans="1:13" x14ac:dyDescent="0.25">
      <c r="A86" s="478"/>
      <c r="B86" s="478"/>
      <c r="C86" s="478"/>
      <c r="D86" s="479"/>
      <c r="E86" s="479"/>
      <c r="F86" s="479"/>
      <c r="G86" s="478"/>
      <c r="H86" s="480"/>
      <c r="I86" s="479"/>
      <c r="J86" s="479"/>
      <c r="K86" s="479"/>
      <c r="L86" s="478"/>
      <c r="M86" s="478"/>
    </row>
    <row r="87" spans="1:13" x14ac:dyDescent="0.25">
      <c r="A87" s="478"/>
      <c r="B87" s="478"/>
      <c r="C87" s="478"/>
      <c r="D87" s="479"/>
      <c r="E87" s="479"/>
      <c r="F87" s="479"/>
      <c r="G87" s="478"/>
      <c r="H87" s="480"/>
      <c r="I87" s="479"/>
      <c r="J87" s="479"/>
      <c r="K87" s="479"/>
      <c r="L87" s="478"/>
      <c r="M87" s="478"/>
    </row>
    <row r="88" spans="1:13" x14ac:dyDescent="0.25">
      <c r="A88" s="478"/>
      <c r="B88" s="478"/>
      <c r="C88" s="478"/>
      <c r="D88" s="479"/>
      <c r="E88" s="479"/>
      <c r="F88" s="479"/>
      <c r="G88" s="478"/>
      <c r="H88" s="480"/>
      <c r="I88" s="479"/>
      <c r="J88" s="479"/>
      <c r="K88" s="479"/>
      <c r="L88" s="478"/>
      <c r="M88" s="478"/>
    </row>
    <row r="89" spans="1:13" x14ac:dyDescent="0.25">
      <c r="A89" s="478"/>
      <c r="B89" s="478"/>
      <c r="C89" s="478"/>
      <c r="D89" s="479"/>
      <c r="E89" s="479"/>
      <c r="F89" s="479"/>
      <c r="G89" s="478"/>
      <c r="H89" s="480"/>
      <c r="I89" s="479"/>
      <c r="J89" s="479"/>
      <c r="K89" s="479"/>
      <c r="L89" s="478"/>
      <c r="M89" s="478"/>
    </row>
    <row r="90" spans="1:13" x14ac:dyDescent="0.25">
      <c r="A90" s="478"/>
      <c r="B90" s="478"/>
      <c r="C90" s="478"/>
      <c r="D90" s="479"/>
      <c r="E90" s="479"/>
      <c r="F90" s="479"/>
      <c r="G90" s="478"/>
      <c r="H90" s="480"/>
      <c r="I90" s="479"/>
      <c r="J90" s="479"/>
      <c r="K90" s="479"/>
      <c r="L90" s="478"/>
      <c r="M90" s="478"/>
    </row>
    <row r="91" spans="1:13" x14ac:dyDescent="0.25">
      <c r="A91" s="478"/>
      <c r="B91" s="478"/>
      <c r="C91" s="478"/>
      <c r="D91" s="479"/>
      <c r="E91" s="479"/>
      <c r="F91" s="479"/>
      <c r="G91" s="478"/>
      <c r="H91" s="480"/>
      <c r="I91" s="479"/>
      <c r="J91" s="479"/>
      <c r="K91" s="479"/>
      <c r="L91" s="478"/>
      <c r="M91" s="478"/>
    </row>
    <row r="92" spans="1:13" x14ac:dyDescent="0.25">
      <c r="A92" s="478"/>
      <c r="B92" s="478"/>
      <c r="C92" s="478"/>
      <c r="D92" s="479"/>
      <c r="E92" s="479"/>
      <c r="F92" s="479"/>
      <c r="G92" s="478"/>
      <c r="H92" s="480"/>
      <c r="I92" s="479"/>
      <c r="J92" s="479"/>
      <c r="K92" s="479"/>
      <c r="L92" s="478"/>
      <c r="M92" s="478"/>
    </row>
    <row r="93" spans="1:13" x14ac:dyDescent="0.25">
      <c r="A93" s="478"/>
      <c r="B93" s="478"/>
      <c r="C93" s="478"/>
      <c r="D93" s="479"/>
      <c r="E93" s="479"/>
      <c r="F93" s="479"/>
      <c r="G93" s="478"/>
      <c r="H93" s="478"/>
      <c r="I93" s="479"/>
      <c r="J93" s="479"/>
      <c r="K93" s="479"/>
      <c r="L93" s="478"/>
      <c r="M93" s="478"/>
    </row>
    <row r="94" spans="1:13" x14ac:dyDescent="0.25">
      <c r="A94" s="601" t="s">
        <v>81</v>
      </c>
      <c r="B94" s="602"/>
      <c r="C94" s="602">
        <f>SUM(C78:C82)</f>
        <v>0</v>
      </c>
      <c r="D94" s="603"/>
      <c r="E94" s="603"/>
      <c r="F94" s="603">
        <f>SUM(F78:F82)</f>
        <v>0</v>
      </c>
      <c r="G94" s="602"/>
      <c r="H94" s="604">
        <f>SUM(H78:H81)</f>
        <v>0</v>
      </c>
      <c r="I94" s="603"/>
      <c r="J94" s="603"/>
      <c r="K94" s="603">
        <f>SUM(K78:K81)</f>
        <v>0</v>
      </c>
      <c r="L94" s="602"/>
      <c r="M94" s="603">
        <f>SUM(M78:M86)</f>
        <v>0</v>
      </c>
    </row>
    <row r="95" spans="1:13" ht="15.75" thickBot="1" x14ac:dyDescent="0.3">
      <c r="A95" s="605" t="s">
        <v>189</v>
      </c>
      <c r="B95" s="637"/>
      <c r="C95" s="606">
        <f>SumByColor($A$19,C78:C93)</f>
        <v>0</v>
      </c>
      <c r="D95" s="606"/>
      <c r="E95" s="606"/>
      <c r="F95" s="607">
        <f>SumByColor($A$19,F78:F93)</f>
        <v>0</v>
      </c>
      <c r="G95" s="606"/>
      <c r="H95" s="606">
        <f>SumByColor($A$19,H78:H93)</f>
        <v>0</v>
      </c>
      <c r="I95" s="606"/>
      <c r="J95" s="606"/>
      <c r="K95" s="607">
        <f>SumByColor($A$19,K79:K93)</f>
        <v>0</v>
      </c>
      <c r="L95" s="606"/>
      <c r="M95" s="607">
        <f>SumByColor($A$19,M78:M93)</f>
        <v>0</v>
      </c>
    </row>
    <row r="98" spans="2:12" x14ac:dyDescent="0.25">
      <c r="B98" s="159" t="s">
        <v>113</v>
      </c>
      <c r="C98" s="159" t="s">
        <v>143</v>
      </c>
      <c r="D98" s="160" t="s">
        <v>142</v>
      </c>
      <c r="E98" s="162" t="s">
        <v>144</v>
      </c>
      <c r="F98" s="162" t="s">
        <v>65</v>
      </c>
      <c r="G98" s="173" t="s">
        <v>148</v>
      </c>
      <c r="H98" s="173" t="s">
        <v>88</v>
      </c>
      <c r="I98" s="173" t="s">
        <v>151</v>
      </c>
      <c r="J98" s="173" t="s">
        <v>147</v>
      </c>
      <c r="K98" s="173" t="s">
        <v>601</v>
      </c>
      <c r="L98" s="173" t="s">
        <v>607</v>
      </c>
    </row>
    <row r="99" spans="2:12" x14ac:dyDescent="0.25">
      <c r="B99" s="161"/>
      <c r="C99" s="10"/>
      <c r="D99" s="39"/>
      <c r="E99" s="39"/>
      <c r="F99" s="39"/>
      <c r="G99" s="39"/>
      <c r="H99" s="175"/>
      <c r="I99" s="39"/>
      <c r="J99" s="39"/>
      <c r="K99" s="39"/>
      <c r="L99" s="39"/>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152"/>
    </row>
    <row r="102" spans="2:12" x14ac:dyDescent="0.25">
      <c r="B102" s="161"/>
      <c r="C102" s="10"/>
      <c r="D102" s="39"/>
      <c r="E102" s="39"/>
      <c r="F102" s="39"/>
      <c r="G102" s="39"/>
      <c r="H102" s="175"/>
      <c r="I102" s="39"/>
      <c r="J102" s="39"/>
      <c r="K102" s="39"/>
      <c r="L102" s="152"/>
    </row>
    <row r="103" spans="2:12" x14ac:dyDescent="0.25">
      <c r="B103" s="161"/>
      <c r="C103" s="10"/>
      <c r="D103" s="39"/>
      <c r="E103" s="39"/>
      <c r="F103" s="39"/>
      <c r="G103" s="39"/>
      <c r="H103" s="175"/>
      <c r="I103" s="39"/>
      <c r="J103" s="39"/>
      <c r="K103" s="39"/>
      <c r="L103" s="152"/>
    </row>
    <row r="104" spans="2:12" x14ac:dyDescent="0.25">
      <c r="B104" s="161"/>
      <c r="C104" s="10"/>
      <c r="D104" s="39"/>
      <c r="E104" s="39"/>
      <c r="F104" s="39"/>
      <c r="G104" s="39"/>
      <c r="H104" s="175"/>
      <c r="I104" s="39"/>
      <c r="J104" s="39"/>
      <c r="K104" s="39"/>
      <c r="L104" s="152"/>
    </row>
    <row r="105" spans="2:12" x14ac:dyDescent="0.25">
      <c r="B105" s="161"/>
      <c r="C105" s="10"/>
      <c r="D105" s="39"/>
      <c r="E105" s="39"/>
      <c r="F105" s="39"/>
      <c r="G105" s="39"/>
      <c r="H105" s="175"/>
      <c r="I105" s="39"/>
      <c r="J105" s="39"/>
      <c r="K105" s="39"/>
      <c r="L105" s="152"/>
    </row>
    <row r="106" spans="2:12" x14ac:dyDescent="0.25">
      <c r="B106" s="161"/>
      <c r="C106" s="10"/>
      <c r="D106" s="39"/>
      <c r="E106" s="39"/>
      <c r="F106" s="39"/>
      <c r="G106" s="39"/>
      <c r="H106" s="175"/>
      <c r="I106" s="39"/>
      <c r="J106" s="39"/>
      <c r="K106" s="39"/>
      <c r="L106" s="152"/>
    </row>
    <row r="107" spans="2:12" x14ac:dyDescent="0.25">
      <c r="B107" s="161"/>
      <c r="C107" s="10"/>
      <c r="D107" s="39"/>
      <c r="E107" s="39"/>
      <c r="F107" s="39"/>
      <c r="G107" s="39"/>
      <c r="H107" s="175"/>
      <c r="I107" s="39"/>
      <c r="J107" s="39"/>
      <c r="K107" s="39"/>
      <c r="L107" s="152"/>
    </row>
    <row r="108" spans="2:12" x14ac:dyDescent="0.25">
      <c r="B108" s="161"/>
      <c r="C108" s="10"/>
      <c r="D108" s="39"/>
      <c r="E108" s="39"/>
      <c r="F108" s="39"/>
      <c r="G108" s="39"/>
      <c r="H108" s="175"/>
      <c r="I108" s="39"/>
      <c r="J108" s="39"/>
      <c r="K108" s="39"/>
      <c r="L108" s="152"/>
    </row>
    <row r="109" spans="2:12" x14ac:dyDescent="0.25">
      <c r="B109" s="161"/>
      <c r="C109" s="10"/>
      <c r="D109" s="39"/>
      <c r="E109" s="39"/>
      <c r="F109" s="39"/>
      <c r="G109" s="39"/>
      <c r="H109" s="175"/>
      <c r="I109" s="39"/>
      <c r="J109" s="39"/>
      <c r="K109" s="39"/>
      <c r="L109" s="152"/>
    </row>
    <row r="110" spans="2:12" x14ac:dyDescent="0.25">
      <c r="B110" s="161"/>
      <c r="C110" s="10"/>
      <c r="D110" s="39"/>
      <c r="E110" s="39"/>
      <c r="F110" s="39"/>
      <c r="G110" s="39"/>
      <c r="H110" s="175"/>
      <c r="I110" s="39"/>
      <c r="J110" s="39"/>
      <c r="K110" s="39"/>
      <c r="L110" s="39"/>
    </row>
    <row r="111" spans="2:12" x14ac:dyDescent="0.25">
      <c r="B111" s="161"/>
      <c r="C111" s="10"/>
      <c r="D111" s="39"/>
      <c r="E111" s="39"/>
      <c r="F111" s="39"/>
      <c r="G111" s="39"/>
      <c r="H111" s="175"/>
      <c r="I111" s="39"/>
      <c r="J111" s="39"/>
      <c r="K111" s="39"/>
      <c r="L111" s="39"/>
    </row>
    <row r="112" spans="2:12" x14ac:dyDescent="0.25">
      <c r="B112" s="161"/>
      <c r="C112" s="10"/>
      <c r="D112" s="39"/>
      <c r="E112" s="39"/>
      <c r="F112" s="39"/>
      <c r="G112" s="39"/>
      <c r="H112" s="175"/>
      <c r="I112" s="39"/>
      <c r="J112" s="39"/>
      <c r="K112" s="39"/>
      <c r="L112" s="39"/>
    </row>
    <row r="113" spans="2:12" x14ac:dyDescent="0.25">
      <c r="B113" s="161"/>
      <c r="C113" s="10"/>
      <c r="D113" s="39"/>
      <c r="E113" s="39"/>
      <c r="F113" s="39"/>
      <c r="G113" s="39"/>
      <c r="H113" s="175"/>
      <c r="I113" s="39"/>
      <c r="J113" s="39"/>
      <c r="K113" s="39"/>
      <c r="L113" s="39"/>
    </row>
    <row r="114" spans="2:12" x14ac:dyDescent="0.25">
      <c r="B114" s="161"/>
      <c r="C114" s="10"/>
      <c r="D114" s="39"/>
      <c r="E114" s="39"/>
      <c r="F114" s="39"/>
      <c r="G114" s="39"/>
      <c r="H114" s="175"/>
      <c r="I114" s="39"/>
      <c r="J114" s="39"/>
      <c r="K114" s="39"/>
      <c r="L114" s="39"/>
    </row>
    <row r="115" spans="2:12" x14ac:dyDescent="0.25">
      <c r="B115" s="161"/>
      <c r="C115" s="10"/>
      <c r="D115" s="39"/>
      <c r="E115" s="39"/>
      <c r="F115" s="39"/>
      <c r="G115" s="39"/>
      <c r="H115" s="175"/>
      <c r="I115" s="39"/>
      <c r="J115" s="39"/>
      <c r="K115" s="39"/>
      <c r="L115" s="39"/>
    </row>
    <row r="116" spans="2:12" x14ac:dyDescent="0.25">
      <c r="B116" s="161"/>
      <c r="C116" s="10"/>
      <c r="D116" s="39"/>
      <c r="E116" s="39"/>
      <c r="F116" s="39"/>
      <c r="G116" s="39"/>
      <c r="H116" s="175"/>
      <c r="I116" s="39"/>
      <c r="J116" s="39"/>
      <c r="K116" s="39"/>
      <c r="L116" s="39"/>
    </row>
    <row r="117" spans="2:12" x14ac:dyDescent="0.25">
      <c r="B117" s="161"/>
      <c r="C117" s="10"/>
      <c r="D117" s="39"/>
      <c r="E117" s="39"/>
      <c r="F117" s="39"/>
      <c r="G117" s="39"/>
      <c r="H117" s="175"/>
      <c r="I117" s="39"/>
      <c r="J117" s="39"/>
      <c r="K117" s="39"/>
      <c r="L117" s="39"/>
    </row>
    <row r="118" spans="2:12" x14ac:dyDescent="0.25">
      <c r="B118" s="161"/>
      <c r="C118" s="10"/>
      <c r="D118" s="39"/>
      <c r="E118" s="39"/>
      <c r="F118" s="39"/>
      <c r="G118" s="39"/>
      <c r="H118" s="175"/>
      <c r="I118" s="39"/>
      <c r="J118" s="39"/>
      <c r="K118" s="39"/>
      <c r="L118" s="39"/>
    </row>
    <row r="119" spans="2:12" x14ac:dyDescent="0.25">
      <c r="B119" s="161"/>
      <c r="C119" s="10"/>
      <c r="D119" s="39"/>
      <c r="E119" s="39"/>
      <c r="F119" s="39"/>
      <c r="G119" s="39"/>
      <c r="H119" s="175"/>
      <c r="I119" s="39"/>
      <c r="J119" s="39"/>
      <c r="K119" s="39"/>
      <c r="L119" s="39"/>
    </row>
    <row r="120" spans="2:12" x14ac:dyDescent="0.25">
      <c r="B120" s="161"/>
      <c r="C120" s="10"/>
      <c r="D120" s="39"/>
      <c r="E120" s="39"/>
      <c r="F120" s="39"/>
      <c r="G120" s="39"/>
      <c r="H120" s="175"/>
      <c r="I120" s="39"/>
      <c r="J120" s="39"/>
      <c r="K120" s="39"/>
      <c r="L120" s="39"/>
    </row>
  </sheetData>
  <mergeCells count="1">
    <mergeCell ref="O16:P16"/>
  </mergeCells>
  <conditionalFormatting sqref="O17:O37">
    <cfRule type="colorScale" priority="58">
      <colorScale>
        <cfvo type="min"/>
        <cfvo type="percentile" val="50"/>
        <cfvo type="max"/>
        <color rgb="FFF8696B"/>
        <color rgb="FFFFEB84"/>
        <color rgb="FF63BE7B"/>
      </colorScale>
    </cfRule>
  </conditionalFormatting>
  <conditionalFormatting sqref="P17:P37">
    <cfRule type="colorScale" priority="57">
      <colorScale>
        <cfvo type="min"/>
        <cfvo type="percentile" val="50"/>
        <cfvo type="max"/>
        <color rgb="FFF8696B"/>
        <color rgb="FFFFEB84"/>
        <color rgb="FF63BE7B"/>
      </colorScale>
    </cfRule>
  </conditionalFormatting>
  <conditionalFormatting sqref="Q7 F30:F61 H30:H61 H64:H65 F64:F65 F70:F73 H70:H73">
    <cfRule type="expression" dxfId="1851" priority="53">
      <formula>F7&gt;0</formula>
    </cfRule>
    <cfRule type="expression" dxfId="1850" priority="54">
      <formula>F7&lt;0</formula>
    </cfRule>
  </conditionalFormatting>
  <conditionalFormatting sqref="Q8">
    <cfRule type="expression" dxfId="1849" priority="51">
      <formula>Q8&gt;0</formula>
    </cfRule>
    <cfRule type="expression" dxfId="1848" priority="52">
      <formula>Q8&lt;0</formula>
    </cfRule>
  </conditionalFormatting>
  <conditionalFormatting sqref="Q10">
    <cfRule type="expression" dxfId="1847" priority="45">
      <formula>Q10&gt;0</formula>
    </cfRule>
    <cfRule type="expression" dxfId="1846" priority="46">
      <formula>Q10&lt;0</formula>
    </cfRule>
  </conditionalFormatting>
  <conditionalFormatting sqref="K25:K39">
    <cfRule type="expression" dxfId="1845" priority="41">
      <formula>K25&gt;0</formula>
    </cfRule>
    <cfRule type="expression" dxfId="1844" priority="42">
      <formula>K25&lt;0</formula>
    </cfRule>
  </conditionalFormatting>
  <conditionalFormatting sqref="L25">
    <cfRule type="expression" dxfId="1843" priority="39">
      <formula>L25&gt;0</formula>
    </cfRule>
    <cfRule type="expression" dxfId="1842" priority="40">
      <formula>L25&lt;0</formula>
    </cfRule>
  </conditionalFormatting>
  <conditionalFormatting sqref="F99:F120">
    <cfRule type="expression" dxfId="1841" priority="37">
      <formula>F99&gt;0</formula>
    </cfRule>
    <cfRule type="expression" dxfId="1840" priority="38">
      <formula>F99&lt;0</formula>
    </cfRule>
  </conditionalFormatting>
  <conditionalFormatting sqref="H99:H120">
    <cfRule type="expression" dxfId="1839" priority="35">
      <formula>H99&gt;0</formula>
    </cfRule>
    <cfRule type="expression" dxfId="1838" priority="36">
      <formula>H99&lt;0</formula>
    </cfRule>
  </conditionalFormatting>
  <conditionalFormatting sqref="J99:J112">
    <cfRule type="expression" dxfId="1837" priority="33">
      <formula>J99&gt;0</formula>
    </cfRule>
    <cfRule type="expression" dxfId="1836" priority="34">
      <formula>J99&lt;0</formula>
    </cfRule>
  </conditionalFormatting>
  <conditionalFormatting sqref="K99:K112">
    <cfRule type="expression" dxfId="1835" priority="31">
      <formula>K99&gt;0</formula>
    </cfRule>
    <cfRule type="expression" dxfId="1834" priority="32">
      <formula>K99&lt;0</formula>
    </cfRule>
  </conditionalFormatting>
  <conditionalFormatting sqref="L99:L112">
    <cfRule type="expression" dxfId="1833" priority="29">
      <formula>L99&gt;0</formula>
    </cfRule>
    <cfRule type="expression" dxfId="1832" priority="30">
      <formula>L99&lt;0</formula>
    </cfRule>
  </conditionalFormatting>
  <conditionalFormatting sqref="F25 F29">
    <cfRule type="expression" dxfId="1831" priority="27">
      <formula>F25&gt;0</formula>
    </cfRule>
    <cfRule type="expression" dxfId="1830" priority="28">
      <formula>F25&lt;0</formula>
    </cfRule>
  </conditionalFormatting>
  <conditionalFormatting sqref="H25 H29">
    <cfRule type="expression" dxfId="1829" priority="25">
      <formula>H25&gt;0</formula>
    </cfRule>
    <cfRule type="expression" dxfId="1828" priority="26">
      <formula>H25&lt;0</formula>
    </cfRule>
  </conditionalFormatting>
  <conditionalFormatting sqref="F26:F28">
    <cfRule type="expression" dxfId="1827" priority="23">
      <formula>F26&gt;0</formula>
    </cfRule>
    <cfRule type="expression" dxfId="1826" priority="24">
      <formula>F26&lt;0</formula>
    </cfRule>
  </conditionalFormatting>
  <conditionalFormatting sqref="H26:H28">
    <cfRule type="expression" dxfId="1825" priority="21">
      <formula>H26&gt;0</formula>
    </cfRule>
    <cfRule type="expression" dxfId="1824" priority="22">
      <formula>H26&lt;0</formula>
    </cfRule>
  </conditionalFormatting>
  <conditionalFormatting sqref="J25:J49">
    <cfRule type="expression" dxfId="1823" priority="17">
      <formula>J25&gt;0</formula>
    </cfRule>
    <cfRule type="expression" dxfId="1822" priority="18">
      <formula>J25&lt;0</formula>
    </cfRule>
  </conditionalFormatting>
  <conditionalFormatting sqref="J50:J61">
    <cfRule type="expression" dxfId="1821" priority="15">
      <formula>J50&gt;0</formula>
    </cfRule>
    <cfRule type="expression" dxfId="1820" priority="16">
      <formula>J50&lt;0</formula>
    </cfRule>
  </conditionalFormatting>
  <conditionalFormatting sqref="H62:H63 F62:F63">
    <cfRule type="expression" dxfId="1819" priority="7">
      <formula>F62&gt;0</formula>
    </cfRule>
    <cfRule type="expression" dxfId="1818" priority="8">
      <formula>F62&lt;0</formula>
    </cfRule>
  </conditionalFormatting>
  <conditionalFormatting sqref="J62:J70">
    <cfRule type="expression" dxfId="1817" priority="5">
      <formula>J62&gt;0</formula>
    </cfRule>
    <cfRule type="expression" dxfId="1816" priority="6">
      <formula>J62&lt;0</formula>
    </cfRule>
  </conditionalFormatting>
  <conditionalFormatting sqref="F66:F69 H66:H69">
    <cfRule type="expression" dxfId="1815" priority="1">
      <formula>F66&gt;0</formula>
    </cfRule>
    <cfRule type="expression" dxfId="1814" priority="2">
      <formula>F66&lt;0</formula>
    </cfRule>
  </conditionalFormatting>
  <hyperlinks>
    <hyperlink ref="A3" location="ACTIVE!A1" display="Back"/>
  </hyperlinks>
  <pageMargins left="0.7" right="0.7" top="0.75" bottom="0.75" header="0.3" footer="0.3"/>
  <pageSetup orientation="portrait" r:id="rId1"/>
  <drawing r:id="rId2"/>
</worksheet>
</file>

<file path=xl/worksheets/sheet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AN129"/>
  <sheetViews>
    <sheetView workbookViewId="0">
      <selection activeCell="A3" sqref="A3"/>
    </sheetView>
  </sheetViews>
  <sheetFormatPr defaultRowHeight="15" x14ac:dyDescent="0.25"/>
  <cols>
    <col min="2" max="2" width="9.140625" style="33"/>
    <col min="3" max="3" width="11.5703125" customWidth="1"/>
    <col min="4" max="4" width="9.140625" style="75"/>
    <col min="5" max="5" width="9.140625" style="2"/>
    <col min="6" max="6" width="12.140625" style="2" bestFit="1" customWidth="1"/>
    <col min="8" max="8" width="11.85546875" style="67" bestFit="1" customWidth="1"/>
    <col min="9" max="9" width="10.85546875" style="2" bestFit="1" customWidth="1"/>
    <col min="10" max="10" width="9.140625" style="2"/>
    <col min="11" max="11" width="9.85546875" style="2" bestFit="1" customWidth="1"/>
    <col min="17" max="17" width="10.85546875" bestFit="1" customWidth="1"/>
    <col min="18" max="18" width="14.7109375" customWidth="1"/>
    <col min="19" max="19" width="7" customWidth="1"/>
    <col min="20" max="20" width="13.7109375" style="33" customWidth="1"/>
    <col min="21" max="21" width="18.5703125" customWidth="1"/>
    <col min="22" max="22" width="12.140625" customWidth="1"/>
    <col min="23" max="23" width="14" customWidth="1"/>
    <col min="24" max="24" width="8.7109375" style="2" customWidth="1"/>
    <col min="25" max="27" width="6" style="2" bestFit="1" customWidth="1"/>
    <col min="28" max="28" width="10.140625" bestFit="1" customWidth="1"/>
    <col min="29" max="29" width="10.28515625" style="2" bestFit="1" customWidth="1"/>
    <col min="30" max="30" width="12" customWidth="1"/>
    <col min="31" max="31" width="11.140625" bestFit="1" customWidth="1"/>
    <col min="34" max="34" width="31.7109375" bestFit="1" customWidth="1"/>
    <col min="35" max="35" width="8.7109375" bestFit="1" customWidth="1"/>
    <col min="36" max="36" width="12" bestFit="1" customWidth="1"/>
    <col min="37" max="37" width="12.5703125" bestFit="1" customWidth="1"/>
    <col min="42" max="42" width="13.28515625" bestFit="1" customWidth="1"/>
  </cols>
  <sheetData>
    <row r="1" spans="1:40" s="46" customFormat="1" ht="15.75" customHeight="1" x14ac:dyDescent="0.25">
      <c r="A1" s="46" t="s">
        <v>1</v>
      </c>
      <c r="B1" s="111" t="s">
        <v>2</v>
      </c>
      <c r="C1" s="46" t="s">
        <v>4</v>
      </c>
      <c r="D1" s="166" t="s">
        <v>5</v>
      </c>
      <c r="E1" s="47" t="s">
        <v>90</v>
      </c>
      <c r="F1" s="47" t="s">
        <v>60</v>
      </c>
      <c r="G1" s="46" t="s">
        <v>3</v>
      </c>
      <c r="H1" s="66" t="s">
        <v>6</v>
      </c>
      <c r="I1" s="47" t="s">
        <v>7</v>
      </c>
      <c r="J1" s="47" t="s">
        <v>89</v>
      </c>
      <c r="K1" s="47" t="s">
        <v>61</v>
      </c>
      <c r="L1" s="46" t="s">
        <v>43</v>
      </c>
      <c r="M1" s="46" t="s">
        <v>38</v>
      </c>
      <c r="T1" s="111" t="s">
        <v>70</v>
      </c>
      <c r="W1" s="119" t="s">
        <v>113</v>
      </c>
      <c r="X1" s="120" t="s">
        <v>114</v>
      </c>
      <c r="Y1" s="120" t="s">
        <v>115</v>
      </c>
      <c r="Z1" s="120" t="s">
        <v>116</v>
      </c>
      <c r="AA1" s="120" t="s">
        <v>117</v>
      </c>
      <c r="AB1" s="119" t="s">
        <v>118</v>
      </c>
      <c r="AC1" s="120" t="s">
        <v>119</v>
      </c>
      <c r="AD1" s="46" t="s">
        <v>125</v>
      </c>
      <c r="AE1" s="46" t="s">
        <v>126</v>
      </c>
    </row>
    <row r="2" spans="1:40" x14ac:dyDescent="0.25">
      <c r="A2" s="6" t="s">
        <v>22</v>
      </c>
      <c r="B2" s="112"/>
      <c r="C2" s="4"/>
      <c r="D2" s="184"/>
      <c r="E2" s="3"/>
      <c r="F2" s="3"/>
      <c r="G2" s="69"/>
      <c r="H2" s="303"/>
      <c r="I2" s="70"/>
      <c r="J2" s="70"/>
      <c r="K2" s="70"/>
      <c r="L2" s="69"/>
      <c r="M2" s="3"/>
      <c r="O2" s="11" t="s">
        <v>57</v>
      </c>
      <c r="Q2">
        <f>C18-H18</f>
        <v>0</v>
      </c>
      <c r="W2" s="105">
        <v>42830</v>
      </c>
      <c r="X2" s="40">
        <v>48.24</v>
      </c>
      <c r="Y2" s="40">
        <v>48.59</v>
      </c>
      <c r="Z2" s="40">
        <v>47.1</v>
      </c>
      <c r="AA2" s="40">
        <v>47.21</v>
      </c>
      <c r="AB2" s="99">
        <v>5796600</v>
      </c>
      <c r="AC2" s="40">
        <v>47.21</v>
      </c>
      <c r="AD2" s="2">
        <f>Y2-Z2</f>
        <v>1.490000000000002</v>
      </c>
      <c r="AE2" s="131">
        <f>AC2/AC3-1</f>
        <v>-9.0260285474391688E-3</v>
      </c>
    </row>
    <row r="3" spans="1:40" x14ac:dyDescent="0.25">
      <c r="A3" s="22" t="s">
        <v>71</v>
      </c>
      <c r="B3" s="112"/>
      <c r="C3" s="4"/>
      <c r="D3" s="184"/>
      <c r="E3" s="3"/>
      <c r="F3" s="3"/>
      <c r="G3" s="69"/>
      <c r="H3" s="303"/>
      <c r="I3" s="70"/>
      <c r="J3" s="70"/>
      <c r="K3" s="70"/>
      <c r="L3" s="69"/>
      <c r="M3" s="3"/>
      <c r="O3" s="11" t="s">
        <v>58</v>
      </c>
      <c r="Q3" s="75">
        <f>IF(Q2=0, Q4, (F18-K18-M18)/Q2)</f>
        <v>65.510000000000005</v>
      </c>
      <c r="W3" s="105">
        <v>42829</v>
      </c>
      <c r="X3" s="40">
        <v>47.11</v>
      </c>
      <c r="Y3" s="40">
        <v>47.71</v>
      </c>
      <c r="Z3" s="40">
        <v>46.51</v>
      </c>
      <c r="AA3" s="40">
        <v>47.64</v>
      </c>
      <c r="AB3" s="99">
        <v>6301100</v>
      </c>
      <c r="AC3" s="40">
        <v>47.64</v>
      </c>
      <c r="AD3" s="2">
        <f t="shared" ref="AD3:AD66" si="0">Y3-Z3</f>
        <v>1.2000000000000028</v>
      </c>
      <c r="AE3" s="131">
        <f t="shared" ref="AE3:AE66" si="1">AC3/AC4-1</f>
        <v>1.426442410048967E-2</v>
      </c>
      <c r="AK3" s="178"/>
      <c r="AN3" s="178"/>
    </row>
    <row r="4" spans="1:40" x14ac:dyDescent="0.25">
      <c r="B4" s="112"/>
      <c r="C4" s="4"/>
      <c r="D4" s="184"/>
      <c r="E4" s="3"/>
      <c r="F4" s="3"/>
      <c r="G4" s="69"/>
      <c r="H4" s="158"/>
      <c r="I4" s="3"/>
      <c r="J4" s="3"/>
      <c r="K4" s="70"/>
      <c r="L4" s="69"/>
      <c r="M4" s="3"/>
      <c r="O4" s="11" t="s">
        <v>66</v>
      </c>
      <c r="Q4" s="169">
        <v>65.510000000000005</v>
      </c>
      <c r="R4" s="396">
        <v>3.0000000000000001E-3</v>
      </c>
      <c r="T4" s="118"/>
      <c r="U4" s="29"/>
      <c r="V4" s="34"/>
      <c r="W4" s="105">
        <v>42828</v>
      </c>
      <c r="X4" s="40">
        <v>48.37</v>
      </c>
      <c r="Y4" s="40">
        <v>48.53</v>
      </c>
      <c r="Z4" s="40">
        <v>46.58</v>
      </c>
      <c r="AA4" s="40">
        <v>46.97</v>
      </c>
      <c r="AB4" s="99">
        <v>4992600</v>
      </c>
      <c r="AC4" s="40">
        <v>46.97</v>
      </c>
      <c r="AD4" s="2">
        <f t="shared" si="0"/>
        <v>1.9500000000000028</v>
      </c>
      <c r="AE4" s="131">
        <f t="shared" si="1"/>
        <v>-2.5720804812279674E-2</v>
      </c>
      <c r="AK4" s="178"/>
      <c r="AN4" s="178"/>
    </row>
    <row r="5" spans="1:40" x14ac:dyDescent="0.25">
      <c r="B5" s="104"/>
      <c r="C5" s="4"/>
      <c r="D5" s="184"/>
      <c r="E5" s="3"/>
      <c r="F5" s="3"/>
      <c r="G5" s="4"/>
      <c r="H5" s="158"/>
      <c r="I5" s="3"/>
      <c r="J5" s="3"/>
      <c r="K5" s="3"/>
      <c r="L5" s="4"/>
      <c r="M5" s="4"/>
      <c r="O5" s="11" t="s">
        <v>67</v>
      </c>
      <c r="Q5" s="3">
        <f>Q4*Q2</f>
        <v>0</v>
      </c>
      <c r="W5" s="105">
        <v>42825</v>
      </c>
      <c r="X5" s="40">
        <v>48.82</v>
      </c>
      <c r="Y5" s="40">
        <v>49.31</v>
      </c>
      <c r="Z5" s="40">
        <v>47.94</v>
      </c>
      <c r="AA5" s="40">
        <v>48.21</v>
      </c>
      <c r="AB5" s="99">
        <v>5024900</v>
      </c>
      <c r="AC5" s="40">
        <v>48.21</v>
      </c>
      <c r="AD5" s="2">
        <f t="shared" si="0"/>
        <v>1.3700000000000045</v>
      </c>
      <c r="AE5" s="131">
        <f t="shared" si="1"/>
        <v>-1.5720702327480574E-2</v>
      </c>
      <c r="AK5" s="178"/>
      <c r="AN5" s="178"/>
    </row>
    <row r="6" spans="1:40" x14ac:dyDescent="0.25">
      <c r="B6" s="104"/>
      <c r="C6" s="4"/>
      <c r="D6" s="184"/>
      <c r="E6" s="3"/>
      <c r="F6" s="3"/>
      <c r="G6" s="4"/>
      <c r="H6" s="158"/>
      <c r="I6" s="3"/>
      <c r="J6" s="3"/>
      <c r="K6" s="3"/>
      <c r="L6" s="4"/>
      <c r="M6" s="4"/>
      <c r="O6" s="11" t="s">
        <v>64</v>
      </c>
      <c r="Q6" s="2">
        <f>Q3*Q2</f>
        <v>0</v>
      </c>
      <c r="W6" s="105">
        <v>42824</v>
      </c>
      <c r="X6" s="40">
        <v>50</v>
      </c>
      <c r="Y6" s="40">
        <v>50.47</v>
      </c>
      <c r="Z6" s="40">
        <v>48.75</v>
      </c>
      <c r="AA6" s="40">
        <v>48.98</v>
      </c>
      <c r="AB6" s="99">
        <v>7162900</v>
      </c>
      <c r="AC6" s="40">
        <v>48.98</v>
      </c>
      <c r="AD6" s="2">
        <f t="shared" si="0"/>
        <v>1.7199999999999989</v>
      </c>
      <c r="AE6" s="131">
        <f t="shared" si="1"/>
        <v>-1.5675241157556252E-2</v>
      </c>
      <c r="AK6" s="178"/>
      <c r="AN6" s="178"/>
    </row>
    <row r="7" spans="1:40" x14ac:dyDescent="0.25">
      <c r="O7" s="11" t="s">
        <v>175</v>
      </c>
      <c r="Q7" s="2">
        <f>Q10+Q8</f>
        <v>3178.8000000000466</v>
      </c>
      <c r="R7">
        <v>0</v>
      </c>
      <c r="W7" s="105">
        <v>42823</v>
      </c>
      <c r="X7" s="40">
        <v>47.44</v>
      </c>
      <c r="Y7" s="40">
        <v>49.93</v>
      </c>
      <c r="Z7" s="40">
        <v>47.37</v>
      </c>
      <c r="AA7" s="40">
        <v>49.76</v>
      </c>
      <c r="AB7" s="99">
        <v>5019600</v>
      </c>
      <c r="AC7" s="40">
        <v>49.76</v>
      </c>
      <c r="AD7" s="2">
        <f t="shared" si="0"/>
        <v>2.5600000000000023</v>
      </c>
      <c r="AE7" s="131">
        <f t="shared" si="1"/>
        <v>4.8682824025289673E-2</v>
      </c>
    </row>
    <row r="8" spans="1:40" x14ac:dyDescent="0.25">
      <c r="O8" s="11" t="s">
        <v>177</v>
      </c>
      <c r="P8" s="33"/>
      <c r="Q8" s="2">
        <f>K18+M18-F18+Q2*Q4</f>
        <v>0</v>
      </c>
      <c r="W8" s="105">
        <v>42822</v>
      </c>
      <c r="X8" s="40">
        <v>46</v>
      </c>
      <c r="Y8" s="40">
        <v>47.58</v>
      </c>
      <c r="Z8" s="40">
        <v>45.83</v>
      </c>
      <c r="AA8" s="40">
        <v>47.45</v>
      </c>
      <c r="AB8" s="99">
        <v>4137100</v>
      </c>
      <c r="AC8" s="40">
        <v>47.45</v>
      </c>
      <c r="AD8" s="2">
        <f t="shared" si="0"/>
        <v>1.75</v>
      </c>
      <c r="AE8" s="131">
        <f t="shared" si="1"/>
        <v>3.6252456868312022E-2</v>
      </c>
    </row>
    <row r="9" spans="1:40" x14ac:dyDescent="0.25">
      <c r="O9" s="11" t="s">
        <v>202</v>
      </c>
      <c r="Q9" s="131">
        <f>IF(Q2=0, 0, Q8/Q6)</f>
        <v>0</v>
      </c>
      <c r="W9" s="105">
        <v>42821</v>
      </c>
      <c r="X9" s="40">
        <v>45.5</v>
      </c>
      <c r="Y9" s="40">
        <v>45.89</v>
      </c>
      <c r="Z9" s="40">
        <v>45.12</v>
      </c>
      <c r="AA9" s="40">
        <v>45.79</v>
      </c>
      <c r="AB9" s="99">
        <v>3251100</v>
      </c>
      <c r="AC9" s="40">
        <v>45.79</v>
      </c>
      <c r="AD9" s="2">
        <f t="shared" si="0"/>
        <v>0.77000000000000313</v>
      </c>
      <c r="AE9" s="131">
        <f t="shared" si="1"/>
        <v>-6.7245119305857637E-3</v>
      </c>
    </row>
    <row r="10" spans="1:40" x14ac:dyDescent="0.25">
      <c r="O10" s="11" t="s">
        <v>201</v>
      </c>
      <c r="P10" s="33"/>
      <c r="Q10" s="2">
        <f>M75</f>
        <v>3178.8000000000466</v>
      </c>
      <c r="W10" s="105">
        <v>42818</v>
      </c>
      <c r="X10" s="40">
        <v>46.69</v>
      </c>
      <c r="Y10" s="40">
        <v>47.13</v>
      </c>
      <c r="Z10" s="40">
        <v>45.89</v>
      </c>
      <c r="AA10" s="40">
        <v>46.1</v>
      </c>
      <c r="AB10" s="99">
        <v>2625600</v>
      </c>
      <c r="AC10" s="40">
        <v>46.1</v>
      </c>
      <c r="AD10" s="2">
        <f t="shared" si="0"/>
        <v>1.240000000000002</v>
      </c>
      <c r="AE10" s="131">
        <f t="shared" si="1"/>
        <v>-9.4542329179200246E-3</v>
      </c>
    </row>
    <row r="11" spans="1:40" x14ac:dyDescent="0.25">
      <c r="O11" s="11" t="s">
        <v>173</v>
      </c>
      <c r="P11" s="33"/>
      <c r="Q11" s="131">
        <f>VALUE(TRIM(CLEAN(MID(U58, FIND("(", U58)+1, 5))))</f>
        <v>2.07E-2</v>
      </c>
      <c r="T11" s="19"/>
      <c r="W11" s="105">
        <v>42817</v>
      </c>
      <c r="X11" s="40">
        <v>46.69</v>
      </c>
      <c r="Y11" s="40">
        <v>47.1</v>
      </c>
      <c r="Z11" s="40">
        <v>46.45</v>
      </c>
      <c r="AA11" s="40">
        <v>46.54</v>
      </c>
      <c r="AB11" s="99">
        <v>2565000</v>
      </c>
      <c r="AC11" s="40">
        <v>46.54</v>
      </c>
      <c r="AD11" s="2">
        <f t="shared" si="0"/>
        <v>0.64999999999999858</v>
      </c>
      <c r="AE11" s="131">
        <f t="shared" si="1"/>
        <v>-6.4047822374040386E-3</v>
      </c>
    </row>
    <row r="12" spans="1:40" x14ac:dyDescent="0.25">
      <c r="T12" s="19"/>
      <c r="W12" s="105">
        <v>42816</v>
      </c>
      <c r="X12" s="40">
        <v>47.46</v>
      </c>
      <c r="Y12" s="40">
        <v>47.46</v>
      </c>
      <c r="Z12" s="40">
        <v>46.64</v>
      </c>
      <c r="AA12" s="40">
        <v>46.84</v>
      </c>
      <c r="AB12" s="99">
        <v>2768600</v>
      </c>
      <c r="AC12" s="40">
        <v>46.84</v>
      </c>
      <c r="AD12" s="2">
        <f t="shared" si="0"/>
        <v>0.82000000000000028</v>
      </c>
      <c r="AE12" s="131">
        <f t="shared" si="1"/>
        <v>-1.7411369834277268E-2</v>
      </c>
    </row>
    <row r="13" spans="1:40" x14ac:dyDescent="0.25">
      <c r="W13" s="105">
        <v>42815</v>
      </c>
      <c r="X13" s="40">
        <v>48.53</v>
      </c>
      <c r="Y13" s="40">
        <v>48.62</v>
      </c>
      <c r="Z13" s="40">
        <v>47.27</v>
      </c>
      <c r="AA13" s="40">
        <v>47.67</v>
      </c>
      <c r="AB13" s="99">
        <v>3033600</v>
      </c>
      <c r="AC13" s="40">
        <v>47.67</v>
      </c>
      <c r="AD13" s="2">
        <f t="shared" si="0"/>
        <v>1.3499999999999943</v>
      </c>
      <c r="AE13" s="131">
        <f t="shared" si="1"/>
        <v>-1.304347826086949E-2</v>
      </c>
    </row>
    <row r="14" spans="1:40" x14ac:dyDescent="0.25">
      <c r="W14" s="105">
        <v>42814</v>
      </c>
      <c r="X14" s="40">
        <v>47.84</v>
      </c>
      <c r="Y14" s="40">
        <v>48.44</v>
      </c>
      <c r="Z14" s="40">
        <v>47.48</v>
      </c>
      <c r="AA14" s="40">
        <v>48.3</v>
      </c>
      <c r="AB14" s="99">
        <v>3233400</v>
      </c>
      <c r="AC14" s="40">
        <v>48.3</v>
      </c>
      <c r="AD14" s="2">
        <f t="shared" si="0"/>
        <v>0.96000000000000085</v>
      </c>
      <c r="AE14" s="131">
        <f t="shared" si="1"/>
        <v>8.2884376295067064E-4</v>
      </c>
    </row>
    <row r="15" spans="1:40" x14ac:dyDescent="0.25">
      <c r="W15" s="105">
        <v>42811</v>
      </c>
      <c r="X15" s="40">
        <v>48.71</v>
      </c>
      <c r="Y15" s="40">
        <v>48.94</v>
      </c>
      <c r="Z15" s="40">
        <v>48.08</v>
      </c>
      <c r="AA15" s="40">
        <v>48.26</v>
      </c>
      <c r="AB15" s="99">
        <v>3236300</v>
      </c>
      <c r="AC15" s="40">
        <v>48.26</v>
      </c>
      <c r="AD15" s="2">
        <f t="shared" si="0"/>
        <v>0.85999999999999943</v>
      </c>
      <c r="AE15" s="131">
        <f t="shared" si="1"/>
        <v>-6.791520889071978E-3</v>
      </c>
    </row>
    <row r="16" spans="1:40" x14ac:dyDescent="0.25">
      <c r="W16" s="105">
        <v>42810</v>
      </c>
      <c r="X16" s="40">
        <v>49.16</v>
      </c>
      <c r="Y16" s="40">
        <v>49.24</v>
      </c>
      <c r="Z16" s="40">
        <v>48.21</v>
      </c>
      <c r="AA16" s="40">
        <v>48.59</v>
      </c>
      <c r="AB16" s="99">
        <v>2473900</v>
      </c>
      <c r="AC16" s="40">
        <v>48.59</v>
      </c>
      <c r="AD16" s="2">
        <f t="shared" si="0"/>
        <v>1.0300000000000011</v>
      </c>
      <c r="AE16" s="131">
        <f t="shared" si="1"/>
        <v>-1.1393692777212472E-2</v>
      </c>
    </row>
    <row r="17" spans="1:31" x14ac:dyDescent="0.25">
      <c r="C17" s="4"/>
      <c r="D17" s="184"/>
      <c r="E17" s="3"/>
      <c r="F17" s="3"/>
      <c r="W17" s="105">
        <v>42809</v>
      </c>
      <c r="X17" s="40">
        <v>47.71</v>
      </c>
      <c r="Y17" s="40">
        <v>49.31</v>
      </c>
      <c r="Z17" s="40">
        <v>47.36</v>
      </c>
      <c r="AA17" s="40">
        <v>49.15</v>
      </c>
      <c r="AB17" s="99">
        <v>3989100</v>
      </c>
      <c r="AC17" s="40">
        <v>49.15</v>
      </c>
      <c r="AD17" s="2">
        <f t="shared" si="0"/>
        <v>1.9500000000000028</v>
      </c>
      <c r="AE17" s="131">
        <f t="shared" si="1"/>
        <v>4.1975832096671439E-2</v>
      </c>
    </row>
    <row r="18" spans="1:31" x14ac:dyDescent="0.25">
      <c r="A18" s="31" t="s">
        <v>81</v>
      </c>
      <c r="B18" s="113"/>
      <c r="C18" s="14">
        <f>SUM(C2:C17)</f>
        <v>0</v>
      </c>
      <c r="D18" s="76"/>
      <c r="E18" s="14"/>
      <c r="F18" s="18">
        <f>SUM(F2:F17)</f>
        <v>0</v>
      </c>
      <c r="G18" s="14"/>
      <c r="H18" s="68">
        <f>SUM(H2:H17)</f>
        <v>0</v>
      </c>
      <c r="I18" s="14"/>
      <c r="J18" s="14"/>
      <c r="K18" s="18">
        <f>SUM(K2:K17)</f>
        <v>0</v>
      </c>
      <c r="L18" s="14"/>
      <c r="M18" s="18">
        <f>SUM(M2:M4)</f>
        <v>0</v>
      </c>
      <c r="W18" s="105">
        <v>42808</v>
      </c>
      <c r="X18" s="40">
        <v>47.13</v>
      </c>
      <c r="Y18" s="40">
        <v>47.31</v>
      </c>
      <c r="Z18" s="40">
        <v>46.15</v>
      </c>
      <c r="AA18" s="40">
        <v>47.17</v>
      </c>
      <c r="AB18" s="99">
        <v>3517300</v>
      </c>
      <c r="AC18" s="40">
        <v>47.17</v>
      </c>
      <c r="AD18" s="2">
        <f t="shared" si="0"/>
        <v>1.1600000000000037</v>
      </c>
      <c r="AE18" s="131">
        <f t="shared" si="1"/>
        <v>-1.2973425402803884E-2</v>
      </c>
    </row>
    <row r="19" spans="1:31" x14ac:dyDescent="0.25">
      <c r="W19" s="105">
        <v>42807</v>
      </c>
      <c r="X19" s="40">
        <v>47.11</v>
      </c>
      <c r="Y19" s="40">
        <v>47.92</v>
      </c>
      <c r="Z19" s="40">
        <v>47.11</v>
      </c>
      <c r="AA19" s="40">
        <v>47.79</v>
      </c>
      <c r="AB19" s="99">
        <v>6241200</v>
      </c>
      <c r="AC19" s="40">
        <v>47.79</v>
      </c>
      <c r="AD19" s="2">
        <f t="shared" si="0"/>
        <v>0.81000000000000227</v>
      </c>
      <c r="AE19" s="131" t="e">
        <f t="shared" si="1"/>
        <v>#DIV/0!</v>
      </c>
    </row>
    <row r="20" spans="1:31" x14ac:dyDescent="0.25">
      <c r="B20" s="159" t="s">
        <v>113</v>
      </c>
      <c r="C20" s="159" t="s">
        <v>143</v>
      </c>
      <c r="D20" s="167" t="s">
        <v>142</v>
      </c>
      <c r="E20" s="162" t="s">
        <v>144</v>
      </c>
      <c r="F20" s="163" t="s">
        <v>65</v>
      </c>
      <c r="G20" s="173" t="s">
        <v>148</v>
      </c>
      <c r="H20" s="163" t="s">
        <v>88</v>
      </c>
      <c r="I20" s="163" t="s">
        <v>151</v>
      </c>
      <c r="J20" s="2" t="s">
        <v>123</v>
      </c>
      <c r="W20" s="105">
        <v>42807</v>
      </c>
      <c r="X20" s="40" t="s">
        <v>124</v>
      </c>
      <c r="Y20" s="40"/>
      <c r="Z20" s="40"/>
      <c r="AA20" s="40"/>
      <c r="AB20" s="99"/>
      <c r="AC20" s="40"/>
      <c r="AD20" s="2">
        <f t="shared" si="0"/>
        <v>0</v>
      </c>
      <c r="AE20" s="131">
        <f t="shared" si="1"/>
        <v>-1</v>
      </c>
    </row>
    <row r="21" spans="1:31" x14ac:dyDescent="0.25">
      <c r="B21" s="161">
        <v>42304</v>
      </c>
      <c r="C21" s="10">
        <v>5</v>
      </c>
      <c r="D21" s="168">
        <v>-47.95</v>
      </c>
      <c r="E21" s="39">
        <v>56.93</v>
      </c>
      <c r="F21" s="39">
        <f>C21*(E21-D21)</f>
        <v>524.4</v>
      </c>
      <c r="G21" s="39">
        <f>D21*C21</f>
        <v>-239.75</v>
      </c>
      <c r="H21" s="175"/>
      <c r="I21" s="163"/>
      <c r="W21" s="105">
        <v>42804</v>
      </c>
      <c r="X21" s="40">
        <v>48.84</v>
      </c>
      <c r="Y21" s="40">
        <v>48.95</v>
      </c>
      <c r="Z21" s="40">
        <v>47.07</v>
      </c>
      <c r="AA21" s="40">
        <v>47.42</v>
      </c>
      <c r="AB21" s="99">
        <v>3426600</v>
      </c>
      <c r="AC21" s="40">
        <v>47.17</v>
      </c>
      <c r="AD21" s="2">
        <f t="shared" si="0"/>
        <v>1.8800000000000026</v>
      </c>
      <c r="AE21" s="131">
        <f t="shared" si="1"/>
        <v>-1.9742310889443004E-2</v>
      </c>
    </row>
    <row r="22" spans="1:31" x14ac:dyDescent="0.25">
      <c r="B22" s="161">
        <v>42305</v>
      </c>
      <c r="C22" s="10">
        <v>125</v>
      </c>
      <c r="D22" s="168">
        <v>50.5</v>
      </c>
      <c r="E22" s="39">
        <v>57.07</v>
      </c>
      <c r="F22" s="39">
        <f>C22*(E22-D22)</f>
        <v>821.25</v>
      </c>
      <c r="G22" s="39">
        <f>D22*C22</f>
        <v>6312.5</v>
      </c>
      <c r="H22" s="175">
        <f>(E22-D22)/D22</f>
        <v>0.1300990099009901</v>
      </c>
      <c r="I22" s="39"/>
      <c r="U22" s="2"/>
      <c r="W22" s="105">
        <v>42803</v>
      </c>
      <c r="X22" s="40">
        <v>47.91</v>
      </c>
      <c r="Y22" s="40">
        <v>48.55</v>
      </c>
      <c r="Z22" s="40">
        <v>46.83</v>
      </c>
      <c r="AA22" s="40">
        <v>48.38</v>
      </c>
      <c r="AB22" s="99">
        <v>4181600</v>
      </c>
      <c r="AC22" s="40">
        <v>48.12</v>
      </c>
      <c r="AD22" s="2">
        <f t="shared" si="0"/>
        <v>1.7199999999999989</v>
      </c>
      <c r="AE22" s="131">
        <f t="shared" si="1"/>
        <v>1.0499790004199872E-2</v>
      </c>
    </row>
    <row r="23" spans="1:31" x14ac:dyDescent="0.25">
      <c r="B23" s="161">
        <v>42311</v>
      </c>
      <c r="C23" s="10">
        <v>115</v>
      </c>
      <c r="D23" s="168">
        <v>49.704999999999998</v>
      </c>
      <c r="E23" s="39">
        <v>60.15</v>
      </c>
      <c r="F23" s="39">
        <f>C23*(E23-D23)</f>
        <v>1201.175</v>
      </c>
      <c r="G23" s="39">
        <f>D23*C23</f>
        <v>5716.0749999999998</v>
      </c>
      <c r="H23" s="175">
        <f>(E23-D23)/D23</f>
        <v>0.21013982496730713</v>
      </c>
      <c r="I23" s="39"/>
      <c r="W23" s="105">
        <v>42802</v>
      </c>
      <c r="X23" s="40">
        <v>49.17</v>
      </c>
      <c r="Y23" s="40">
        <v>49.69</v>
      </c>
      <c r="Z23" s="40">
        <v>47.78</v>
      </c>
      <c r="AA23" s="40">
        <v>47.87</v>
      </c>
      <c r="AB23" s="99">
        <v>3786800</v>
      </c>
      <c r="AC23" s="40">
        <v>47.62</v>
      </c>
      <c r="AD23" s="2">
        <f t="shared" si="0"/>
        <v>1.9099999999999966</v>
      </c>
      <c r="AE23" s="131">
        <f t="shared" si="1"/>
        <v>-3.3096446700507709E-2</v>
      </c>
    </row>
    <row r="24" spans="1:31" x14ac:dyDescent="0.25">
      <c r="B24" s="161">
        <v>42332</v>
      </c>
      <c r="C24" s="10">
        <v>40</v>
      </c>
      <c r="D24" s="168">
        <v>27.61</v>
      </c>
      <c r="E24" s="39">
        <v>61.36</v>
      </c>
      <c r="F24" s="39">
        <f>C24*(E24-D24)</f>
        <v>1350</v>
      </c>
      <c r="G24" s="39">
        <f>D24*C24</f>
        <v>1104.4000000000001</v>
      </c>
      <c r="H24" s="175">
        <f>(E24-D24)/D24</f>
        <v>1.2223831944947483</v>
      </c>
      <c r="I24" s="39"/>
      <c r="W24" s="105">
        <v>42801</v>
      </c>
      <c r="X24" s="40">
        <v>51.15</v>
      </c>
      <c r="Y24" s="40">
        <v>51.26</v>
      </c>
      <c r="Z24" s="40">
        <v>49.25</v>
      </c>
      <c r="AA24" s="40">
        <v>49.51</v>
      </c>
      <c r="AB24" s="99">
        <v>3781200</v>
      </c>
      <c r="AC24" s="40">
        <v>49.25</v>
      </c>
      <c r="AD24" s="2">
        <f t="shared" si="0"/>
        <v>2.009999999999998</v>
      </c>
      <c r="AE24" s="131">
        <f t="shared" si="1"/>
        <v>-2.9747832939322261E-2</v>
      </c>
    </row>
    <row r="25" spans="1:31" x14ac:dyDescent="0.25">
      <c r="B25" s="161">
        <v>42335</v>
      </c>
      <c r="C25" s="10">
        <v>80</v>
      </c>
      <c r="D25" s="168">
        <v>43.104999999999997</v>
      </c>
      <c r="E25" s="39">
        <v>59.09</v>
      </c>
      <c r="F25" s="39">
        <f>C25*(E25-D25)</f>
        <v>1278.8000000000006</v>
      </c>
      <c r="G25" s="39">
        <f>D25*C25</f>
        <v>3448.3999999999996</v>
      </c>
      <c r="H25" s="175">
        <f>(E25-D25)/D25</f>
        <v>0.37083864980860709</v>
      </c>
      <c r="I25" s="163"/>
      <c r="W25" s="105">
        <v>42800</v>
      </c>
      <c r="X25" s="40">
        <v>51.12</v>
      </c>
      <c r="Y25" s="40">
        <v>51.19</v>
      </c>
      <c r="Z25" s="40">
        <v>50.47</v>
      </c>
      <c r="AA25" s="40">
        <v>51.03</v>
      </c>
      <c r="AB25" s="99">
        <v>2413600</v>
      </c>
      <c r="AC25" s="40">
        <v>50.76</v>
      </c>
      <c r="AD25" s="2">
        <f t="shared" si="0"/>
        <v>0.71999999999999886</v>
      </c>
      <c r="AE25" s="131">
        <f t="shared" si="1"/>
        <v>0</v>
      </c>
    </row>
    <row r="26" spans="1:31" x14ac:dyDescent="0.25">
      <c r="B26" s="161">
        <v>42344</v>
      </c>
      <c r="C26" s="10">
        <v>80</v>
      </c>
      <c r="D26" s="168">
        <v>43.104999999999997</v>
      </c>
      <c r="E26" s="39">
        <v>54.9</v>
      </c>
      <c r="F26" s="39">
        <f t="shared" ref="F26:F62" si="2">C26*(E26-D26)</f>
        <v>943.60000000000014</v>
      </c>
      <c r="G26" s="39">
        <f t="shared" ref="G26:G62" si="3">D26*C26</f>
        <v>3448.3999999999996</v>
      </c>
      <c r="H26" s="175">
        <f t="shared" ref="H26:H58" si="4">(E26-D26)/D26</f>
        <v>0.27363414917062989</v>
      </c>
      <c r="I26" s="163"/>
      <c r="W26" s="105">
        <v>42797</v>
      </c>
      <c r="X26" s="40">
        <v>51.85</v>
      </c>
      <c r="Y26" s="40">
        <v>52.02</v>
      </c>
      <c r="Z26" s="40">
        <v>50.9</v>
      </c>
      <c r="AA26" s="40">
        <v>51.03</v>
      </c>
      <c r="AB26" s="99">
        <v>2890600</v>
      </c>
      <c r="AC26" s="40">
        <v>50.76</v>
      </c>
      <c r="AD26" s="2">
        <f t="shared" si="0"/>
        <v>1.1200000000000045</v>
      </c>
      <c r="AE26" s="131">
        <f t="shared" si="1"/>
        <v>-1.4177510196154652E-2</v>
      </c>
    </row>
    <row r="27" spans="1:31" x14ac:dyDescent="0.25">
      <c r="B27" s="161">
        <v>42349</v>
      </c>
      <c r="C27" s="10">
        <v>125</v>
      </c>
      <c r="D27" s="168">
        <v>45.75</v>
      </c>
      <c r="E27" s="39">
        <v>50.43</v>
      </c>
      <c r="F27" s="39">
        <f t="shared" si="2"/>
        <v>585</v>
      </c>
      <c r="G27" s="39">
        <f t="shared" si="3"/>
        <v>5718.75</v>
      </c>
      <c r="H27" s="175">
        <f t="shared" si="4"/>
        <v>0.10229508196721311</v>
      </c>
      <c r="I27" s="163"/>
      <c r="W27" s="105">
        <v>42796</v>
      </c>
      <c r="X27" s="40">
        <v>51.25</v>
      </c>
      <c r="Y27" s="40">
        <v>52.2</v>
      </c>
      <c r="Z27" s="40">
        <v>51.23</v>
      </c>
      <c r="AA27" s="40">
        <v>51.76</v>
      </c>
      <c r="AB27" s="99">
        <v>3664100</v>
      </c>
      <c r="AC27" s="40">
        <v>51.49</v>
      </c>
      <c r="AD27" s="2">
        <f t="shared" si="0"/>
        <v>0.97000000000000597</v>
      </c>
      <c r="AE27" s="131">
        <f t="shared" si="1"/>
        <v>1.9459038723488309E-3</v>
      </c>
    </row>
    <row r="28" spans="1:31" x14ac:dyDescent="0.25">
      <c r="B28" s="161">
        <v>42349</v>
      </c>
      <c r="C28" s="10">
        <v>200</v>
      </c>
      <c r="D28" s="168">
        <v>47.5</v>
      </c>
      <c r="E28" s="39">
        <v>50.43</v>
      </c>
      <c r="F28" s="39">
        <f t="shared" si="2"/>
        <v>586</v>
      </c>
      <c r="G28" s="39">
        <f t="shared" si="3"/>
        <v>9500</v>
      </c>
      <c r="H28" s="175">
        <f t="shared" si="4"/>
        <v>6.1684210526315786E-2</v>
      </c>
      <c r="I28" s="163"/>
      <c r="W28" s="105">
        <v>42795</v>
      </c>
      <c r="X28" s="40">
        <v>51.9</v>
      </c>
      <c r="Y28" s="40">
        <v>52.3</v>
      </c>
      <c r="Z28" s="40">
        <v>51.28</v>
      </c>
      <c r="AA28" s="40">
        <v>51.66</v>
      </c>
      <c r="AB28" s="99">
        <v>5234200</v>
      </c>
      <c r="AC28" s="40">
        <v>51.39</v>
      </c>
      <c r="AD28" s="2">
        <f t="shared" si="0"/>
        <v>1.019999999999996</v>
      </c>
      <c r="AE28" s="131">
        <f t="shared" si="1"/>
        <v>4.2993941762752286E-3</v>
      </c>
    </row>
    <row r="29" spans="1:31" x14ac:dyDescent="0.25">
      <c r="B29" s="161">
        <v>42349</v>
      </c>
      <c r="C29" s="10">
        <v>700</v>
      </c>
      <c r="D29" s="168">
        <v>49.27</v>
      </c>
      <c r="E29" s="39">
        <v>50.43</v>
      </c>
      <c r="F29" s="39">
        <f t="shared" si="2"/>
        <v>811.99999999999761</v>
      </c>
      <c r="G29" s="39">
        <f t="shared" si="3"/>
        <v>34489</v>
      </c>
      <c r="H29" s="175">
        <f t="shared" si="4"/>
        <v>2.3543738583316348E-2</v>
      </c>
      <c r="I29" s="163"/>
      <c r="W29" s="105">
        <v>42794</v>
      </c>
      <c r="X29" s="40">
        <v>52.29</v>
      </c>
      <c r="Y29" s="40">
        <v>52.31</v>
      </c>
      <c r="Z29" s="40">
        <v>51.31</v>
      </c>
      <c r="AA29" s="40">
        <v>51.44</v>
      </c>
      <c r="AB29" s="99">
        <v>4384400</v>
      </c>
      <c r="AC29" s="40">
        <v>51.17</v>
      </c>
      <c r="AD29" s="2">
        <f t="shared" si="0"/>
        <v>1</v>
      </c>
      <c r="AE29" s="131">
        <f t="shared" si="1"/>
        <v>-2.3659606945239386E-2</v>
      </c>
    </row>
    <row r="30" spans="1:31" x14ac:dyDescent="0.25">
      <c r="B30" s="161">
        <v>42349</v>
      </c>
      <c r="C30" s="10">
        <v>500</v>
      </c>
      <c r="D30" s="168">
        <v>48.92</v>
      </c>
      <c r="E30" s="39">
        <v>50.43</v>
      </c>
      <c r="F30" s="39">
        <f t="shared" si="2"/>
        <v>754.99999999999898</v>
      </c>
      <c r="G30" s="39">
        <f t="shared" si="3"/>
        <v>24460</v>
      </c>
      <c r="H30" s="175">
        <f t="shared" si="4"/>
        <v>3.0866721177432502E-2</v>
      </c>
      <c r="I30" s="163"/>
      <c r="W30" s="105">
        <v>42793</v>
      </c>
      <c r="X30" s="40">
        <v>52.77</v>
      </c>
      <c r="Y30" s="40">
        <v>52.98</v>
      </c>
      <c r="Z30" s="40">
        <v>52.24</v>
      </c>
      <c r="AA30" s="40">
        <v>52.69</v>
      </c>
      <c r="AB30" s="99">
        <v>4058600</v>
      </c>
      <c r="AC30" s="40">
        <v>52.41</v>
      </c>
      <c r="AD30" s="2">
        <f t="shared" si="0"/>
        <v>0.73999999999999488</v>
      </c>
      <c r="AE30" s="131">
        <f t="shared" si="1"/>
        <v>3.8306837770540891E-3</v>
      </c>
    </row>
    <row r="31" spans="1:31" x14ac:dyDescent="0.25">
      <c r="B31" s="161">
        <v>42349</v>
      </c>
      <c r="C31" s="214">
        <v>400</v>
      </c>
      <c r="D31" s="215">
        <v>48.61</v>
      </c>
      <c r="E31" s="39">
        <v>50.43</v>
      </c>
      <c r="F31" s="39">
        <f t="shared" si="2"/>
        <v>728.00000000000011</v>
      </c>
      <c r="G31" s="39">
        <f t="shared" si="3"/>
        <v>19444</v>
      </c>
      <c r="H31" s="175">
        <f t="shared" si="4"/>
        <v>3.7440855790989512E-2</v>
      </c>
      <c r="I31" s="163"/>
      <c r="W31" s="105">
        <v>42790</v>
      </c>
      <c r="X31" s="165">
        <v>51.84</v>
      </c>
      <c r="Y31" s="40">
        <v>53.12</v>
      </c>
      <c r="Z31" s="40">
        <v>51.68</v>
      </c>
      <c r="AA31" s="40">
        <v>52.49</v>
      </c>
      <c r="AB31" s="99">
        <v>3092700</v>
      </c>
      <c r="AC31" s="40">
        <v>52.21</v>
      </c>
      <c r="AD31" s="2">
        <f t="shared" si="0"/>
        <v>1.4399999999999977</v>
      </c>
      <c r="AE31" s="131">
        <f t="shared" si="1"/>
        <v>-5.7427258805520243E-4</v>
      </c>
    </row>
    <row r="32" spans="1:31" x14ac:dyDescent="0.25">
      <c r="B32" s="161">
        <v>42356</v>
      </c>
      <c r="C32" s="10">
        <v>400</v>
      </c>
      <c r="D32" s="168">
        <v>48.61</v>
      </c>
      <c r="E32" s="39">
        <v>49.2</v>
      </c>
      <c r="F32" s="39">
        <f t="shared" si="2"/>
        <v>236.00000000000136</v>
      </c>
      <c r="G32" s="39">
        <f t="shared" si="3"/>
        <v>19444</v>
      </c>
      <c r="H32" s="175">
        <f t="shared" si="4"/>
        <v>1.2137420283892274E-2</v>
      </c>
      <c r="I32" s="163"/>
      <c r="W32" s="105">
        <v>42789</v>
      </c>
      <c r="X32" s="40">
        <v>52.57</v>
      </c>
      <c r="Y32" s="40">
        <v>53.34</v>
      </c>
      <c r="Z32" s="40">
        <v>51.89</v>
      </c>
      <c r="AA32" s="40">
        <v>52.52</v>
      </c>
      <c r="AB32" s="99">
        <v>5019200</v>
      </c>
      <c r="AC32" s="40">
        <v>52.24</v>
      </c>
      <c r="AD32" s="2">
        <f t="shared" si="0"/>
        <v>1.4500000000000028</v>
      </c>
      <c r="AE32" s="131">
        <f t="shared" si="1"/>
        <v>1.8522129069994175E-2</v>
      </c>
    </row>
    <row r="33" spans="2:31" x14ac:dyDescent="0.25">
      <c r="B33" s="161">
        <v>42359</v>
      </c>
      <c r="C33" s="10">
        <v>1000</v>
      </c>
      <c r="D33" s="168">
        <v>48.22</v>
      </c>
      <c r="E33" s="39">
        <v>48.02</v>
      </c>
      <c r="F33" s="39">
        <f t="shared" si="2"/>
        <v>-199.99999999999574</v>
      </c>
      <c r="G33" s="39">
        <f t="shared" si="3"/>
        <v>48220</v>
      </c>
      <c r="H33" s="175">
        <f t="shared" si="4"/>
        <v>-4.1476565740355817E-3</v>
      </c>
      <c r="I33" s="163"/>
      <c r="W33" s="105">
        <v>42788</v>
      </c>
      <c r="X33" s="40">
        <v>52.27</v>
      </c>
      <c r="Y33" s="40">
        <v>52.61</v>
      </c>
      <c r="Z33" s="40">
        <v>51.53</v>
      </c>
      <c r="AA33" s="40">
        <v>51.56</v>
      </c>
      <c r="AB33" s="99">
        <v>2940800</v>
      </c>
      <c r="AC33" s="40">
        <v>51.29</v>
      </c>
      <c r="AD33" s="2">
        <f t="shared" si="0"/>
        <v>1.0799999999999983</v>
      </c>
      <c r="AE33" s="131">
        <f t="shared" si="1"/>
        <v>-2.3791397030833661E-2</v>
      </c>
    </row>
    <row r="34" spans="2:31" x14ac:dyDescent="0.25">
      <c r="B34" s="161">
        <v>42361</v>
      </c>
      <c r="C34" s="10">
        <v>600</v>
      </c>
      <c r="D34" s="168">
        <v>47.125</v>
      </c>
      <c r="E34" s="39">
        <v>51.27</v>
      </c>
      <c r="F34" s="39">
        <f t="shared" si="2"/>
        <v>2487.0000000000018</v>
      </c>
      <c r="G34" s="39">
        <f t="shared" si="3"/>
        <v>28275</v>
      </c>
      <c r="H34" s="175">
        <f t="shared" si="4"/>
        <v>8.7957559681697675E-2</v>
      </c>
      <c r="I34" s="163"/>
      <c r="W34" s="105">
        <v>42787</v>
      </c>
      <c r="X34" s="40">
        <v>52.56</v>
      </c>
      <c r="Y34" s="40">
        <v>53.42</v>
      </c>
      <c r="Z34" s="40">
        <v>52.47</v>
      </c>
      <c r="AA34" s="40">
        <v>52.82</v>
      </c>
      <c r="AB34" s="99">
        <v>4058100</v>
      </c>
      <c r="AC34" s="40">
        <v>52.54</v>
      </c>
      <c r="AD34" s="2">
        <f t="shared" si="0"/>
        <v>0.95000000000000284</v>
      </c>
      <c r="AE34" s="131">
        <f t="shared" si="1"/>
        <v>2.0590520590520578E-2</v>
      </c>
    </row>
    <row r="35" spans="2:31" x14ac:dyDescent="0.25">
      <c r="B35" s="161">
        <v>46026</v>
      </c>
      <c r="C35" s="10">
        <v>600</v>
      </c>
      <c r="D35" s="168">
        <v>46.96</v>
      </c>
      <c r="E35" s="39">
        <v>48.18</v>
      </c>
      <c r="F35" s="39">
        <f t="shared" si="2"/>
        <v>731.99999999999932</v>
      </c>
      <c r="G35" s="39">
        <f t="shared" si="3"/>
        <v>28176</v>
      </c>
      <c r="H35" s="175">
        <f t="shared" si="4"/>
        <v>2.5979557069846653E-2</v>
      </c>
      <c r="I35" s="163"/>
      <c r="W35" s="105">
        <v>42783</v>
      </c>
      <c r="X35" s="40">
        <v>50.99</v>
      </c>
      <c r="Y35" s="40">
        <v>51.86</v>
      </c>
      <c r="Z35" s="40">
        <v>50.8</v>
      </c>
      <c r="AA35" s="40">
        <v>51.75</v>
      </c>
      <c r="AB35" s="99">
        <v>3355000</v>
      </c>
      <c r="AC35" s="40">
        <v>51.48</v>
      </c>
      <c r="AD35" s="2">
        <f t="shared" si="0"/>
        <v>1.0600000000000023</v>
      </c>
      <c r="AE35" s="131">
        <f t="shared" si="1"/>
        <v>8.818342151675429E-3</v>
      </c>
    </row>
    <row r="36" spans="2:31" x14ac:dyDescent="0.25">
      <c r="B36" s="161">
        <v>42374</v>
      </c>
      <c r="C36" s="214">
        <v>600</v>
      </c>
      <c r="D36" s="215">
        <v>46.887</v>
      </c>
      <c r="E36" s="39">
        <v>48.07</v>
      </c>
      <c r="F36" s="39">
        <f t="shared" si="2"/>
        <v>709.8</v>
      </c>
      <c r="G36" s="39">
        <f t="shared" si="3"/>
        <v>28132.2</v>
      </c>
      <c r="H36" s="175">
        <f t="shared" si="4"/>
        <v>2.5230874229530569E-2</v>
      </c>
      <c r="I36" s="163"/>
      <c r="W36" s="105">
        <v>42782</v>
      </c>
      <c r="X36" s="40">
        <v>51.4</v>
      </c>
      <c r="Y36" s="40">
        <v>51.62</v>
      </c>
      <c r="Z36" s="40">
        <v>50.86</v>
      </c>
      <c r="AA36" s="40">
        <v>51.3</v>
      </c>
      <c r="AB36" s="99">
        <v>4128000</v>
      </c>
      <c r="AC36" s="40">
        <v>51.03</v>
      </c>
      <c r="AD36" s="2">
        <f t="shared" si="0"/>
        <v>0.75999999999999801</v>
      </c>
      <c r="AE36" s="131">
        <f t="shared" si="1"/>
        <v>4.923198109491933E-3</v>
      </c>
    </row>
    <row r="37" spans="2:31" x14ac:dyDescent="0.25">
      <c r="B37" s="161">
        <v>42375</v>
      </c>
      <c r="C37" s="214">
        <v>750</v>
      </c>
      <c r="D37" s="215">
        <v>46.65</v>
      </c>
      <c r="E37" s="39">
        <v>45.07</v>
      </c>
      <c r="F37" s="39">
        <f t="shared" si="2"/>
        <v>-1184.9999999999986</v>
      </c>
      <c r="G37" s="39">
        <f t="shared" si="3"/>
        <v>34987.5</v>
      </c>
      <c r="H37" s="175">
        <f t="shared" si="4"/>
        <v>-3.3869239013933509E-2</v>
      </c>
      <c r="I37" s="163"/>
      <c r="W37" s="105">
        <v>42781</v>
      </c>
      <c r="X37" s="40">
        <v>51.9</v>
      </c>
      <c r="Y37" s="40">
        <v>52.13</v>
      </c>
      <c r="Z37" s="40">
        <v>51.02</v>
      </c>
      <c r="AA37" s="40">
        <v>51.05</v>
      </c>
      <c r="AB37" s="99">
        <v>2979700</v>
      </c>
      <c r="AC37" s="40">
        <v>50.78</v>
      </c>
      <c r="AD37" s="2">
        <f t="shared" si="0"/>
        <v>1.1099999999999994</v>
      </c>
      <c r="AE37" s="131">
        <f t="shared" si="1"/>
        <v>-1.8364585346993922E-2</v>
      </c>
    </row>
    <row r="38" spans="2:31" x14ac:dyDescent="0.25">
      <c r="B38" s="161">
        <v>42398</v>
      </c>
      <c r="C38" s="214">
        <v>600</v>
      </c>
      <c r="D38" s="215">
        <v>48.09</v>
      </c>
      <c r="E38" s="39">
        <v>41.28</v>
      </c>
      <c r="F38" s="39">
        <f t="shared" si="2"/>
        <v>-4086.0000000000014</v>
      </c>
      <c r="G38" s="39">
        <f t="shared" si="3"/>
        <v>28854.000000000004</v>
      </c>
      <c r="H38" s="176">
        <f t="shared" si="4"/>
        <v>-0.14160948222083597</v>
      </c>
      <c r="I38" s="163"/>
      <c r="W38" s="105">
        <v>42780</v>
      </c>
      <c r="X38" s="40">
        <v>52.12</v>
      </c>
      <c r="Y38" s="40">
        <v>52.25</v>
      </c>
      <c r="Z38" s="40">
        <v>51.4</v>
      </c>
      <c r="AA38" s="40">
        <v>52</v>
      </c>
      <c r="AB38" s="99">
        <v>2847600</v>
      </c>
      <c r="AC38" s="40">
        <v>51.73</v>
      </c>
      <c r="AD38" s="2">
        <f t="shared" si="0"/>
        <v>0.85000000000000142</v>
      </c>
      <c r="AE38" s="131">
        <f t="shared" si="1"/>
        <v>2.325130788606744E-3</v>
      </c>
    </row>
    <row r="39" spans="2:31" x14ac:dyDescent="0.25">
      <c r="B39" s="161">
        <v>42402</v>
      </c>
      <c r="C39" s="214">
        <v>750</v>
      </c>
      <c r="D39" s="215">
        <v>46.366</v>
      </c>
      <c r="E39" s="39">
        <v>39.36</v>
      </c>
      <c r="F39" s="39">
        <f t="shared" si="2"/>
        <v>-5254.5</v>
      </c>
      <c r="G39" s="39">
        <f t="shared" si="3"/>
        <v>34774.5</v>
      </c>
      <c r="H39" s="176">
        <f t="shared" si="4"/>
        <v>-0.15110210067722038</v>
      </c>
      <c r="I39" s="163"/>
      <c r="W39" s="105">
        <v>42779</v>
      </c>
      <c r="X39" s="40">
        <v>52.17</v>
      </c>
      <c r="Y39" s="40">
        <v>52.29</v>
      </c>
      <c r="Z39" s="40">
        <v>51.72</v>
      </c>
      <c r="AA39" s="40">
        <v>51.88</v>
      </c>
      <c r="AB39" s="99">
        <v>3600900</v>
      </c>
      <c r="AC39" s="40">
        <v>51.61</v>
      </c>
      <c r="AD39" s="2">
        <f t="shared" si="0"/>
        <v>0.57000000000000028</v>
      </c>
      <c r="AE39" s="131">
        <f t="shared" si="1"/>
        <v>-1.1870572467930218E-2</v>
      </c>
    </row>
    <row r="40" spans="2:31" x14ac:dyDescent="0.25">
      <c r="B40" s="161">
        <v>42405</v>
      </c>
      <c r="C40" s="214">
        <v>750</v>
      </c>
      <c r="D40" s="215">
        <v>46.357999999999997</v>
      </c>
      <c r="E40" s="39">
        <v>38.424999999999997</v>
      </c>
      <c r="F40" s="39">
        <f t="shared" si="2"/>
        <v>-5949.75</v>
      </c>
      <c r="G40" s="39">
        <f t="shared" si="3"/>
        <v>34768.5</v>
      </c>
      <c r="H40" s="176">
        <f t="shared" si="4"/>
        <v>-0.17112472496656456</v>
      </c>
      <c r="I40" s="163"/>
      <c r="W40" s="105">
        <v>42776</v>
      </c>
      <c r="X40" s="40">
        <v>53.08</v>
      </c>
      <c r="Y40" s="40">
        <v>53.53</v>
      </c>
      <c r="Z40" s="40">
        <v>52.2</v>
      </c>
      <c r="AA40" s="40">
        <v>52.51</v>
      </c>
      <c r="AB40" s="99">
        <v>2998000</v>
      </c>
      <c r="AC40" s="40">
        <v>52.23</v>
      </c>
      <c r="AD40" s="2">
        <f t="shared" si="0"/>
        <v>1.3299999999999983</v>
      </c>
      <c r="AE40" s="131">
        <f t="shared" si="1"/>
        <v>3.6510376633358543E-3</v>
      </c>
    </row>
    <row r="41" spans="2:31" x14ac:dyDescent="0.25">
      <c r="B41" s="161">
        <v>42421</v>
      </c>
      <c r="C41" s="214">
        <v>750</v>
      </c>
      <c r="D41" s="215">
        <v>46.357999999999997</v>
      </c>
      <c r="E41" s="39">
        <v>42.31</v>
      </c>
      <c r="F41" s="39">
        <f t="shared" si="2"/>
        <v>-3035.9999999999959</v>
      </c>
      <c r="G41" s="39">
        <f t="shared" si="3"/>
        <v>34768.5</v>
      </c>
      <c r="H41" s="176">
        <f t="shared" si="4"/>
        <v>-8.7320419345096753E-2</v>
      </c>
      <c r="I41" s="163"/>
      <c r="W41" s="105">
        <v>42775</v>
      </c>
      <c r="X41" s="40">
        <v>51.54</v>
      </c>
      <c r="Y41" s="40">
        <v>52.57</v>
      </c>
      <c r="Z41" s="40">
        <v>51.54</v>
      </c>
      <c r="AA41" s="40">
        <v>52.32</v>
      </c>
      <c r="AB41" s="99">
        <v>2532900</v>
      </c>
      <c r="AC41" s="40">
        <v>52.04</v>
      </c>
      <c r="AD41" s="2">
        <f t="shared" si="0"/>
        <v>1.0300000000000011</v>
      </c>
      <c r="AE41" s="131">
        <f t="shared" si="1"/>
        <v>1.5018529354398291E-2</v>
      </c>
    </row>
    <row r="42" spans="2:31" ht="20.25" thickBot="1" x14ac:dyDescent="0.35">
      <c r="B42" s="161">
        <v>42422</v>
      </c>
      <c r="C42" s="214">
        <v>750</v>
      </c>
      <c r="D42" s="215">
        <v>46.357999999999997</v>
      </c>
      <c r="E42" s="39">
        <v>44.58</v>
      </c>
      <c r="F42" s="39">
        <f t="shared" si="2"/>
        <v>-1333.4999999999991</v>
      </c>
      <c r="G42" s="39">
        <f t="shared" si="3"/>
        <v>34768.5</v>
      </c>
      <c r="H42" s="176">
        <f t="shared" si="4"/>
        <v>-3.8353682212347355E-2</v>
      </c>
      <c r="I42" s="163"/>
      <c r="T42" s="100" t="s">
        <v>92</v>
      </c>
      <c r="U42" s="33"/>
      <c r="W42" s="105">
        <v>42774</v>
      </c>
      <c r="X42" s="40">
        <v>51.03</v>
      </c>
      <c r="Y42" s="40">
        <v>52.39</v>
      </c>
      <c r="Z42" s="40">
        <v>50.43</v>
      </c>
      <c r="AA42" s="40">
        <v>51.54</v>
      </c>
      <c r="AB42" s="99">
        <v>4908800</v>
      </c>
      <c r="AC42" s="40">
        <v>51.27</v>
      </c>
      <c r="AD42" s="2">
        <f t="shared" si="0"/>
        <v>1.9600000000000009</v>
      </c>
      <c r="AE42" s="131">
        <f t="shared" si="1"/>
        <v>5.8548009367687115E-4</v>
      </c>
    </row>
    <row r="43" spans="2:31" ht="15.75" thickTop="1" x14ac:dyDescent="0.25">
      <c r="B43" s="161">
        <v>42424</v>
      </c>
      <c r="C43" s="214">
        <v>750</v>
      </c>
      <c r="D43" s="215">
        <v>46.357999999999997</v>
      </c>
      <c r="E43" s="39">
        <v>41.7</v>
      </c>
      <c r="F43" s="39">
        <f t="shared" si="2"/>
        <v>-3493.4999999999955</v>
      </c>
      <c r="G43" s="39">
        <f t="shared" si="3"/>
        <v>34768.5</v>
      </c>
      <c r="H43" s="176">
        <f t="shared" si="4"/>
        <v>-0.10047888174640826</v>
      </c>
      <c r="I43" s="163"/>
      <c r="T43" s="103" t="s">
        <v>97</v>
      </c>
      <c r="U43" s="101">
        <v>47.64</v>
      </c>
      <c r="W43" s="105">
        <v>42773</v>
      </c>
      <c r="X43" s="40">
        <v>52.63</v>
      </c>
      <c r="Y43" s="40">
        <v>52.64</v>
      </c>
      <c r="Z43" s="40">
        <v>51.07</v>
      </c>
      <c r="AA43" s="40">
        <v>51.51</v>
      </c>
      <c r="AB43" s="99">
        <v>4966700</v>
      </c>
      <c r="AC43" s="40">
        <v>51.24</v>
      </c>
      <c r="AD43" s="2">
        <f t="shared" si="0"/>
        <v>1.5700000000000003</v>
      </c>
      <c r="AE43" s="131">
        <f t="shared" si="1"/>
        <v>-3.1013615733736732E-2</v>
      </c>
    </row>
    <row r="44" spans="2:31" ht="20.25" thickBot="1" x14ac:dyDescent="0.35">
      <c r="B44" s="161">
        <v>42426</v>
      </c>
      <c r="C44" s="214">
        <v>750</v>
      </c>
      <c r="D44" s="215">
        <v>46.326000000000001</v>
      </c>
      <c r="E44" s="39">
        <v>43.09</v>
      </c>
      <c r="F44" s="39">
        <f t="shared" si="2"/>
        <v>-2426.9999999999977</v>
      </c>
      <c r="G44" s="39">
        <f t="shared" si="3"/>
        <v>34744.5</v>
      </c>
      <c r="H44" s="176">
        <f t="shared" si="4"/>
        <v>-6.9852782454776954E-2</v>
      </c>
      <c r="I44" s="163"/>
      <c r="O44" s="886" t="s">
        <v>78</v>
      </c>
      <c r="P44" s="886"/>
      <c r="T44" s="103" t="s">
        <v>98</v>
      </c>
      <c r="U44" s="101">
        <v>48.24</v>
      </c>
      <c r="W44" s="105">
        <v>42772</v>
      </c>
      <c r="X44" s="40">
        <v>54.39</v>
      </c>
      <c r="Y44" s="40">
        <v>54.48</v>
      </c>
      <c r="Z44" s="40">
        <v>52.66</v>
      </c>
      <c r="AA44" s="40">
        <v>53.16</v>
      </c>
      <c r="AB44" s="99">
        <v>3322200</v>
      </c>
      <c r="AC44" s="40">
        <v>52.88</v>
      </c>
      <c r="AD44" s="2">
        <f t="shared" si="0"/>
        <v>1.8200000000000003</v>
      </c>
      <c r="AE44" s="131">
        <f t="shared" si="1"/>
        <v>-2.110329507589781E-2</v>
      </c>
    </row>
    <row r="45" spans="2:31" ht="15.75" thickTop="1" x14ac:dyDescent="0.25">
      <c r="B45" s="161">
        <v>42426</v>
      </c>
      <c r="C45" s="214">
        <v>600</v>
      </c>
      <c r="D45" s="215">
        <v>47.058</v>
      </c>
      <c r="E45" s="39">
        <v>43.3</v>
      </c>
      <c r="F45" s="39">
        <f t="shared" si="2"/>
        <v>-2254.8000000000015</v>
      </c>
      <c r="G45" s="39">
        <f t="shared" si="3"/>
        <v>28234.799999999999</v>
      </c>
      <c r="H45" s="176">
        <f t="shared" si="4"/>
        <v>-7.9858897530706838E-2</v>
      </c>
      <c r="I45" s="163"/>
      <c r="O45" s="78">
        <v>1.1000000000000001</v>
      </c>
      <c r="P45" s="78">
        <f>O45*$Q$4</f>
        <v>72.061000000000007</v>
      </c>
      <c r="R45" s="33"/>
      <c r="T45" s="103" t="s">
        <v>99</v>
      </c>
      <c r="U45" s="101" t="s">
        <v>128</v>
      </c>
      <c r="W45" s="105">
        <v>42769</v>
      </c>
      <c r="X45" s="40">
        <v>54</v>
      </c>
      <c r="Y45" s="40">
        <v>54.76</v>
      </c>
      <c r="Z45" s="40">
        <v>53.62</v>
      </c>
      <c r="AA45" s="40">
        <v>54.31</v>
      </c>
      <c r="AB45" s="99">
        <v>3461700</v>
      </c>
      <c r="AC45" s="40">
        <v>54.02</v>
      </c>
      <c r="AD45" s="2">
        <f t="shared" si="0"/>
        <v>1.1400000000000006</v>
      </c>
      <c r="AE45" s="131">
        <f t="shared" si="1"/>
        <v>6.3338301043218692E-3</v>
      </c>
    </row>
    <row r="46" spans="2:31" x14ac:dyDescent="0.25">
      <c r="B46" s="161">
        <v>42426</v>
      </c>
      <c r="C46" s="214">
        <v>750</v>
      </c>
      <c r="D46" s="215">
        <v>46.225000000000001</v>
      </c>
      <c r="E46" s="39">
        <v>42.89</v>
      </c>
      <c r="F46" s="39">
        <f t="shared" si="2"/>
        <v>-2501.2500000000005</v>
      </c>
      <c r="G46" s="39">
        <f t="shared" si="3"/>
        <v>34668.75</v>
      </c>
      <c r="H46" s="176">
        <f t="shared" si="4"/>
        <v>-7.2147106544077896E-2</v>
      </c>
      <c r="I46" s="163"/>
      <c r="O46" s="78">
        <v>1.0900000000000001</v>
      </c>
      <c r="P46" s="78">
        <f t="shared" ref="P46:P65" si="5">O46*$Q$4</f>
        <v>71.405900000000017</v>
      </c>
      <c r="Q46" s="2"/>
      <c r="R46" s="33"/>
      <c r="T46" s="103" t="s">
        <v>100</v>
      </c>
      <c r="U46" s="101" t="s">
        <v>128</v>
      </c>
      <c r="W46" s="105">
        <v>42768</v>
      </c>
      <c r="X46" s="40">
        <v>53.7</v>
      </c>
      <c r="Y46" s="40">
        <v>54.29</v>
      </c>
      <c r="Z46" s="40">
        <v>52.94</v>
      </c>
      <c r="AA46" s="40">
        <v>53.96</v>
      </c>
      <c r="AB46" s="99">
        <v>3166600</v>
      </c>
      <c r="AC46" s="40">
        <v>53.68</v>
      </c>
      <c r="AD46" s="2">
        <f t="shared" si="0"/>
        <v>1.3500000000000014</v>
      </c>
      <c r="AE46" s="131">
        <f t="shared" si="1"/>
        <v>8.4538793913206955E-3</v>
      </c>
    </row>
    <row r="47" spans="2:31" x14ac:dyDescent="0.25">
      <c r="B47" s="161">
        <v>42430</v>
      </c>
      <c r="C47" s="214">
        <v>750</v>
      </c>
      <c r="D47" s="215">
        <v>46.225000000000001</v>
      </c>
      <c r="E47" s="39">
        <v>44.31</v>
      </c>
      <c r="F47" s="39">
        <f t="shared" si="2"/>
        <v>-1436.2499999999993</v>
      </c>
      <c r="G47" s="39">
        <f t="shared" si="3"/>
        <v>34668.75</v>
      </c>
      <c r="H47" s="176">
        <f t="shared" si="4"/>
        <v>-4.1427798810167636E-2</v>
      </c>
      <c r="I47" s="163"/>
      <c r="O47" s="78">
        <v>1.08</v>
      </c>
      <c r="P47" s="78">
        <f t="shared" si="5"/>
        <v>70.750800000000012</v>
      </c>
      <c r="Q47" s="2"/>
      <c r="R47" s="33"/>
      <c r="T47" s="103" t="s">
        <v>101</v>
      </c>
      <c r="U47" s="101">
        <v>64.09</v>
      </c>
      <c r="W47" s="105">
        <v>42767</v>
      </c>
      <c r="X47" s="40">
        <v>54.63</v>
      </c>
      <c r="Y47" s="40">
        <v>54.96</v>
      </c>
      <c r="Z47" s="40">
        <v>53.04</v>
      </c>
      <c r="AA47" s="40">
        <v>53.51</v>
      </c>
      <c r="AB47" s="99">
        <v>3991600</v>
      </c>
      <c r="AC47" s="40">
        <v>53.23</v>
      </c>
      <c r="AD47" s="2">
        <f t="shared" si="0"/>
        <v>1.9200000000000017</v>
      </c>
      <c r="AE47" s="131">
        <f t="shared" si="1"/>
        <v>-1.2247170161440057E-2</v>
      </c>
    </row>
    <row r="48" spans="2:31" x14ac:dyDescent="0.25">
      <c r="B48" s="161">
        <v>42431</v>
      </c>
      <c r="C48" s="214">
        <v>450</v>
      </c>
      <c r="D48" s="215">
        <v>45.706000000000003</v>
      </c>
      <c r="E48" s="39">
        <v>46.92</v>
      </c>
      <c r="F48" s="39">
        <f t="shared" si="2"/>
        <v>546.29999999999939</v>
      </c>
      <c r="G48" s="39">
        <f t="shared" si="3"/>
        <v>20567.7</v>
      </c>
      <c r="H48" s="176">
        <f t="shared" si="4"/>
        <v>2.6561064192884929E-2</v>
      </c>
      <c r="I48" s="163"/>
      <c r="O48" s="78">
        <v>1.07</v>
      </c>
      <c r="P48" s="78">
        <f t="shared" si="5"/>
        <v>70.095700000000008</v>
      </c>
      <c r="Q48" s="2"/>
      <c r="R48" s="33"/>
      <c r="T48" s="103" t="s">
        <v>102</v>
      </c>
      <c r="U48" s="101">
        <v>1.5303500000000001</v>
      </c>
      <c r="W48" s="105">
        <v>42766</v>
      </c>
      <c r="X48" s="40">
        <v>53.9</v>
      </c>
      <c r="Y48" s="40">
        <v>54.21</v>
      </c>
      <c r="Z48" s="40">
        <v>53.13</v>
      </c>
      <c r="AA48" s="40">
        <v>54.18</v>
      </c>
      <c r="AB48" s="99">
        <v>4163400</v>
      </c>
      <c r="AC48" s="40">
        <v>53.89</v>
      </c>
      <c r="AD48" s="2">
        <f t="shared" si="0"/>
        <v>1.0799999999999983</v>
      </c>
      <c r="AE48" s="131">
        <f t="shared" si="1"/>
        <v>4.2862467387254632E-3</v>
      </c>
    </row>
    <row r="49" spans="2:31" x14ac:dyDescent="0.25">
      <c r="B49" s="161">
        <v>42433</v>
      </c>
      <c r="C49" s="214">
        <v>400</v>
      </c>
      <c r="D49" s="215">
        <v>45.125</v>
      </c>
      <c r="E49" s="39">
        <v>50.41</v>
      </c>
      <c r="F49" s="39">
        <f t="shared" si="2"/>
        <v>2113.9999999999986</v>
      </c>
      <c r="G49" s="39">
        <f t="shared" si="3"/>
        <v>18050</v>
      </c>
      <c r="H49" s="176">
        <f t="shared" si="4"/>
        <v>0.11711911357340712</v>
      </c>
      <c r="I49" s="163"/>
      <c r="O49" s="78">
        <v>1.06</v>
      </c>
      <c r="P49" s="78">
        <f t="shared" si="5"/>
        <v>69.440600000000003</v>
      </c>
      <c r="Q49" s="2"/>
      <c r="R49" s="33"/>
      <c r="T49" s="103" t="s">
        <v>121</v>
      </c>
      <c r="U49" s="101" t="s">
        <v>348</v>
      </c>
      <c r="W49" s="105">
        <v>42765</v>
      </c>
      <c r="X49" s="40">
        <v>54.72</v>
      </c>
      <c r="Y49" s="40">
        <v>54.83</v>
      </c>
      <c r="Z49" s="40">
        <v>53</v>
      </c>
      <c r="AA49" s="40">
        <v>53.94</v>
      </c>
      <c r="AB49" s="99">
        <v>5820200</v>
      </c>
      <c r="AC49" s="40">
        <v>53.66</v>
      </c>
      <c r="AD49" s="2">
        <f t="shared" si="0"/>
        <v>1.8299999999999983</v>
      </c>
      <c r="AE49" s="131">
        <f t="shared" si="1"/>
        <v>-1.6855991205569798E-2</v>
      </c>
    </row>
    <row r="50" spans="2:31" x14ac:dyDescent="0.25">
      <c r="B50" s="161">
        <v>42433</v>
      </c>
      <c r="C50" s="214">
        <v>450</v>
      </c>
      <c r="D50" s="215">
        <v>45.606000000000002</v>
      </c>
      <c r="E50" s="39">
        <v>49.45</v>
      </c>
      <c r="F50" s="39">
        <f t="shared" si="2"/>
        <v>1729.8000000000006</v>
      </c>
      <c r="G50" s="39">
        <f t="shared" si="3"/>
        <v>20522.7</v>
      </c>
      <c r="H50" s="176">
        <f t="shared" si="4"/>
        <v>8.4287155198877362E-2</v>
      </c>
      <c r="I50" s="163"/>
      <c r="O50" s="78">
        <v>1.05</v>
      </c>
      <c r="P50" s="78">
        <f t="shared" si="5"/>
        <v>68.785500000000013</v>
      </c>
      <c r="Q50" s="2"/>
      <c r="R50" s="33"/>
      <c r="T50" s="103"/>
      <c r="U50" s="101"/>
      <c r="W50" s="105">
        <v>42762</v>
      </c>
      <c r="X50" s="40">
        <v>55.83</v>
      </c>
      <c r="Y50" s="40">
        <v>55.96</v>
      </c>
      <c r="Z50" s="40">
        <v>54.51</v>
      </c>
      <c r="AA50" s="40">
        <v>54.87</v>
      </c>
      <c r="AB50" s="99">
        <v>3970500</v>
      </c>
      <c r="AC50" s="40">
        <v>54.58</v>
      </c>
      <c r="AD50" s="2">
        <f t="shared" si="0"/>
        <v>1.4500000000000028</v>
      </c>
      <c r="AE50" s="131">
        <f t="shared" si="1"/>
        <v>-2.3089314480042922E-2</v>
      </c>
    </row>
    <row r="51" spans="2:31" x14ac:dyDescent="0.25">
      <c r="B51" s="161">
        <v>42440</v>
      </c>
      <c r="C51" s="10">
        <v>150</v>
      </c>
      <c r="D51" s="168">
        <v>36.17</v>
      </c>
      <c r="E51" s="39">
        <v>50.73</v>
      </c>
      <c r="F51" s="39">
        <f t="shared" si="2"/>
        <v>2183.9999999999991</v>
      </c>
      <c r="G51" s="39">
        <f t="shared" si="3"/>
        <v>5425.5</v>
      </c>
      <c r="H51" s="176">
        <f t="shared" si="4"/>
        <v>0.40254354437379031</v>
      </c>
      <c r="I51" s="163"/>
      <c r="O51" s="78">
        <v>1.04</v>
      </c>
      <c r="P51" s="78">
        <f t="shared" si="5"/>
        <v>68.130400000000009</v>
      </c>
      <c r="Q51" s="2"/>
      <c r="R51" s="33"/>
      <c r="T51" s="103" t="s">
        <v>104</v>
      </c>
      <c r="U51" s="101" t="s">
        <v>546</v>
      </c>
      <c r="W51" s="105">
        <v>42761</v>
      </c>
      <c r="X51" s="40">
        <v>56.38</v>
      </c>
      <c r="Y51" s="40">
        <v>57.04</v>
      </c>
      <c r="Z51" s="40">
        <v>55.74</v>
      </c>
      <c r="AA51" s="40">
        <v>56.17</v>
      </c>
      <c r="AB51" s="99">
        <v>3905100</v>
      </c>
      <c r="AC51" s="40">
        <v>55.87</v>
      </c>
      <c r="AD51" s="2">
        <f t="shared" si="0"/>
        <v>1.2999999999999972</v>
      </c>
      <c r="AE51" s="131">
        <f t="shared" si="1"/>
        <v>-5.1638176638176825E-3</v>
      </c>
    </row>
    <row r="52" spans="2:31" x14ac:dyDescent="0.25">
      <c r="B52" s="161">
        <v>42440</v>
      </c>
      <c r="C52" s="10">
        <v>100</v>
      </c>
      <c r="D52" s="168">
        <v>28.724</v>
      </c>
      <c r="E52" s="39">
        <v>51.08</v>
      </c>
      <c r="F52" s="39">
        <f t="shared" si="2"/>
        <v>2235.6</v>
      </c>
      <c r="G52" s="39">
        <f t="shared" si="3"/>
        <v>2872.4</v>
      </c>
      <c r="H52" s="176">
        <f t="shared" si="4"/>
        <v>0.77830385740147601</v>
      </c>
      <c r="I52" s="163"/>
      <c r="O52" s="78">
        <v>1.03</v>
      </c>
      <c r="P52" s="78">
        <f t="shared" si="5"/>
        <v>67.475300000000004</v>
      </c>
      <c r="Q52" s="2"/>
      <c r="R52" s="33"/>
      <c r="T52" s="103" t="s">
        <v>105</v>
      </c>
      <c r="U52" s="101" t="s">
        <v>475</v>
      </c>
      <c r="W52" s="105">
        <v>42760</v>
      </c>
      <c r="X52" s="40">
        <v>57.05</v>
      </c>
      <c r="Y52" s="40">
        <v>58.5</v>
      </c>
      <c r="Z52" s="40">
        <v>56.22</v>
      </c>
      <c r="AA52" s="40">
        <v>56.46</v>
      </c>
      <c r="AB52" s="99">
        <v>6204900</v>
      </c>
      <c r="AC52" s="40">
        <v>56.16</v>
      </c>
      <c r="AD52" s="2">
        <f t="shared" si="0"/>
        <v>2.2800000000000011</v>
      </c>
      <c r="AE52" s="131">
        <f t="shared" si="1"/>
        <v>-1.8524991261796631E-2</v>
      </c>
    </row>
    <row r="53" spans="2:31" x14ac:dyDescent="0.25">
      <c r="B53" s="161">
        <v>42444</v>
      </c>
      <c r="C53" s="10">
        <v>150</v>
      </c>
      <c r="D53" s="168">
        <v>35.216000000000001</v>
      </c>
      <c r="E53" s="39">
        <v>50.17</v>
      </c>
      <c r="F53" s="39">
        <f t="shared" si="2"/>
        <v>2243.1</v>
      </c>
      <c r="G53" s="39">
        <f t="shared" si="3"/>
        <v>5282.4000000000005</v>
      </c>
      <c r="H53" s="176">
        <f t="shared" si="4"/>
        <v>0.4246365288505225</v>
      </c>
      <c r="I53" s="163"/>
      <c r="O53" s="78">
        <v>1.02</v>
      </c>
      <c r="P53" s="78">
        <f t="shared" si="5"/>
        <v>66.8202</v>
      </c>
      <c r="Q53" s="2"/>
      <c r="R53" s="33"/>
      <c r="T53" s="103" t="s">
        <v>106</v>
      </c>
      <c r="U53" s="102">
        <v>5831898</v>
      </c>
      <c r="W53" s="105">
        <v>42759</v>
      </c>
      <c r="X53" s="40">
        <v>57.72</v>
      </c>
      <c r="Y53" s="40">
        <v>58.04</v>
      </c>
      <c r="Z53" s="40">
        <v>56.65</v>
      </c>
      <c r="AA53" s="40">
        <v>57.52</v>
      </c>
      <c r="AB53" s="99">
        <v>4016100</v>
      </c>
      <c r="AC53" s="40">
        <v>57.22</v>
      </c>
      <c r="AD53" s="2">
        <f t="shared" si="0"/>
        <v>1.3900000000000006</v>
      </c>
      <c r="AE53" s="131">
        <f t="shared" si="1"/>
        <v>6.5083553210201206E-3</v>
      </c>
    </row>
    <row r="54" spans="2:31" x14ac:dyDescent="0.25">
      <c r="B54" s="161">
        <v>42445</v>
      </c>
      <c r="C54" s="10">
        <v>130</v>
      </c>
      <c r="D54" s="168">
        <v>32.701000000000001</v>
      </c>
      <c r="E54" s="39">
        <v>51.83</v>
      </c>
      <c r="F54" s="39">
        <f t="shared" si="2"/>
        <v>2486.7699999999995</v>
      </c>
      <c r="G54" s="39">
        <f t="shared" si="3"/>
        <v>4251.13</v>
      </c>
      <c r="H54" s="176">
        <f t="shared" si="4"/>
        <v>0.58496682058652638</v>
      </c>
      <c r="I54" s="163"/>
      <c r="O54" s="78">
        <v>1.01</v>
      </c>
      <c r="P54" s="78">
        <f t="shared" si="5"/>
        <v>66.16510000000001</v>
      </c>
      <c r="Q54" s="2"/>
      <c r="R54" s="33"/>
      <c r="T54" s="103" t="s">
        <v>109</v>
      </c>
      <c r="U54" s="102">
        <v>4181200</v>
      </c>
      <c r="W54" s="105">
        <v>42758</v>
      </c>
      <c r="X54" s="40">
        <v>57.47</v>
      </c>
      <c r="Y54" s="40">
        <v>57.96</v>
      </c>
      <c r="Z54" s="40">
        <v>56.69</v>
      </c>
      <c r="AA54" s="40">
        <v>57.15</v>
      </c>
      <c r="AB54" s="99">
        <v>3033500</v>
      </c>
      <c r="AC54" s="40">
        <v>56.85</v>
      </c>
      <c r="AD54" s="2">
        <f t="shared" si="0"/>
        <v>1.2700000000000031</v>
      </c>
      <c r="AE54" s="131">
        <f t="shared" si="1"/>
        <v>-1.4218831281428868E-2</v>
      </c>
    </row>
    <row r="55" spans="2:31" x14ac:dyDescent="0.25">
      <c r="B55" s="161">
        <v>42446</v>
      </c>
      <c r="C55" s="10">
        <v>50</v>
      </c>
      <c r="D55" s="168">
        <v>-0.495</v>
      </c>
      <c r="E55" s="39">
        <v>53.19</v>
      </c>
      <c r="F55" s="39">
        <f t="shared" si="2"/>
        <v>2684.2499999999995</v>
      </c>
      <c r="G55" s="39">
        <f t="shared" si="3"/>
        <v>-24.75</v>
      </c>
      <c r="H55" s="176"/>
      <c r="I55" s="163"/>
      <c r="O55" s="78">
        <v>1</v>
      </c>
      <c r="P55" s="78">
        <f t="shared" si="5"/>
        <v>65.510000000000005</v>
      </c>
      <c r="Q55" s="2"/>
      <c r="R55" s="33"/>
      <c r="T55" s="103" t="s">
        <v>107</v>
      </c>
      <c r="U55" s="101" t="s">
        <v>547</v>
      </c>
      <c r="W55" s="105">
        <v>42755</v>
      </c>
      <c r="X55" s="40">
        <v>58.71</v>
      </c>
      <c r="Y55" s="40">
        <v>59.08</v>
      </c>
      <c r="Z55" s="40">
        <v>57.54</v>
      </c>
      <c r="AA55" s="40">
        <v>57.98</v>
      </c>
      <c r="AB55" s="99">
        <v>3215500</v>
      </c>
      <c r="AC55" s="40">
        <v>57.67</v>
      </c>
      <c r="AD55" s="2">
        <f t="shared" si="0"/>
        <v>1.5399999999999991</v>
      </c>
      <c r="AE55" s="131">
        <f t="shared" si="1"/>
        <v>4.3538836642285084E-3</v>
      </c>
    </row>
    <row r="56" spans="2:31" x14ac:dyDescent="0.25">
      <c r="B56" s="161">
        <v>42452</v>
      </c>
      <c r="C56" s="10">
        <v>100</v>
      </c>
      <c r="D56" s="168">
        <v>25.552</v>
      </c>
      <c r="E56" s="39">
        <v>51.6</v>
      </c>
      <c r="F56" s="39">
        <f t="shared" si="2"/>
        <v>2604.8000000000002</v>
      </c>
      <c r="G56" s="39">
        <f t="shared" si="3"/>
        <v>2555.1999999999998</v>
      </c>
      <c r="H56" s="176">
        <f t="shared" si="4"/>
        <v>1.0194113963681903</v>
      </c>
      <c r="I56" s="163"/>
      <c r="O56" s="78">
        <v>0.99</v>
      </c>
      <c r="P56" s="78">
        <f t="shared" si="5"/>
        <v>64.854900000000001</v>
      </c>
      <c r="Q56" s="2"/>
      <c r="R56" s="33"/>
      <c r="T56" s="103" t="s">
        <v>110</v>
      </c>
      <c r="U56" s="101" t="s">
        <v>128</v>
      </c>
      <c r="W56" s="105">
        <v>42754</v>
      </c>
      <c r="X56" s="40">
        <v>58.5</v>
      </c>
      <c r="Y56" s="40">
        <v>58.97</v>
      </c>
      <c r="Z56" s="40">
        <v>57.65</v>
      </c>
      <c r="AA56" s="40">
        <v>57.72</v>
      </c>
      <c r="AB56" s="99">
        <v>3172800</v>
      </c>
      <c r="AC56" s="40">
        <v>57.42</v>
      </c>
      <c r="AD56" s="2">
        <f t="shared" si="0"/>
        <v>1.3200000000000003</v>
      </c>
      <c r="AE56" s="131">
        <f t="shared" si="1"/>
        <v>-1.8796992481203034E-2</v>
      </c>
    </row>
    <row r="57" spans="2:31" x14ac:dyDescent="0.25">
      <c r="B57" s="161">
        <v>42460</v>
      </c>
      <c r="C57" s="10">
        <v>50</v>
      </c>
      <c r="D57" s="168">
        <v>-2.1339999999999999</v>
      </c>
      <c r="E57" s="39">
        <v>52.65</v>
      </c>
      <c r="F57" s="39">
        <f t="shared" si="2"/>
        <v>2739.2</v>
      </c>
      <c r="G57" s="39">
        <f t="shared" si="3"/>
        <v>-106.69999999999999</v>
      </c>
      <c r="H57" s="176"/>
      <c r="I57" s="163"/>
      <c r="O57" s="78">
        <v>0.98</v>
      </c>
      <c r="P57" s="78">
        <f t="shared" si="5"/>
        <v>64.19980000000001</v>
      </c>
      <c r="Q57" s="2"/>
      <c r="R57" s="33"/>
      <c r="T57" s="103" t="s">
        <v>111</v>
      </c>
      <c r="U57" s="101">
        <v>-19.920000000000002</v>
      </c>
      <c r="W57" s="105">
        <v>42753</v>
      </c>
      <c r="X57" s="40">
        <v>58.69</v>
      </c>
      <c r="Y57" s="40">
        <v>59.42</v>
      </c>
      <c r="Z57" s="40">
        <v>58.39</v>
      </c>
      <c r="AA57" s="40">
        <v>58.83</v>
      </c>
      <c r="AB57" s="99">
        <v>2618400</v>
      </c>
      <c r="AC57" s="40">
        <v>58.52</v>
      </c>
      <c r="AD57" s="2">
        <f t="shared" si="0"/>
        <v>1.0300000000000011</v>
      </c>
      <c r="AE57" s="131">
        <f t="shared" si="1"/>
        <v>-7.9674521105271845E-3</v>
      </c>
    </row>
    <row r="58" spans="2:31" x14ac:dyDescent="0.25">
      <c r="B58" s="161">
        <v>42464</v>
      </c>
      <c r="C58" s="10">
        <v>100</v>
      </c>
      <c r="D58" s="168">
        <v>24.242999999999999</v>
      </c>
      <c r="E58" s="39">
        <v>50.55</v>
      </c>
      <c r="F58" s="39">
        <f t="shared" si="2"/>
        <v>2630.7</v>
      </c>
      <c r="G58" s="39">
        <f t="shared" si="3"/>
        <v>2424.2999999999997</v>
      </c>
      <c r="H58" s="176">
        <f t="shared" si="4"/>
        <v>1.0851379779730232</v>
      </c>
      <c r="I58" s="163"/>
      <c r="O58" s="78">
        <v>0.97</v>
      </c>
      <c r="P58" s="78">
        <f t="shared" si="5"/>
        <v>63.544700000000006</v>
      </c>
      <c r="Q58" s="2"/>
      <c r="R58" s="33"/>
      <c r="T58" s="103" t="s">
        <v>108</v>
      </c>
      <c r="U58" s="101" t="s">
        <v>493</v>
      </c>
      <c r="W58" s="105">
        <v>42752</v>
      </c>
      <c r="X58" s="40">
        <v>59.27</v>
      </c>
      <c r="Y58" s="40">
        <v>60.13</v>
      </c>
      <c r="Z58" s="40">
        <v>58.41</v>
      </c>
      <c r="AA58" s="40">
        <v>59.3</v>
      </c>
      <c r="AB58" s="99">
        <v>5683200</v>
      </c>
      <c r="AC58" s="40">
        <v>58.99</v>
      </c>
      <c r="AD58" s="2">
        <f t="shared" si="0"/>
        <v>1.720000000000006</v>
      </c>
      <c r="AE58" s="131">
        <f t="shared" si="1"/>
        <v>6.9989757596449209E-3</v>
      </c>
    </row>
    <row r="59" spans="2:31" x14ac:dyDescent="0.25">
      <c r="B59" s="161">
        <v>42466</v>
      </c>
      <c r="C59" s="10">
        <v>50</v>
      </c>
      <c r="D59" s="168">
        <v>-4.7629999999999999</v>
      </c>
      <c r="E59" s="39">
        <v>54.48</v>
      </c>
      <c r="F59" s="39">
        <f t="shared" si="2"/>
        <v>2962.1499999999996</v>
      </c>
      <c r="G59" s="39">
        <f t="shared" si="3"/>
        <v>-238.15</v>
      </c>
      <c r="H59" s="176"/>
      <c r="I59" s="163"/>
      <c r="O59" s="78">
        <v>0.96</v>
      </c>
      <c r="P59" s="78">
        <f t="shared" si="5"/>
        <v>62.889600000000002</v>
      </c>
      <c r="W59" s="105">
        <v>42748</v>
      </c>
      <c r="X59" s="40">
        <v>58.4</v>
      </c>
      <c r="Y59" s="40">
        <v>59.87</v>
      </c>
      <c r="Z59" s="40">
        <v>58.25</v>
      </c>
      <c r="AA59" s="40">
        <v>58.89</v>
      </c>
      <c r="AB59" s="99">
        <v>13255600</v>
      </c>
      <c r="AC59" s="40">
        <v>58.58</v>
      </c>
      <c r="AD59" s="2">
        <f t="shared" si="0"/>
        <v>1.6199999999999974</v>
      </c>
      <c r="AE59" s="131">
        <f t="shared" si="1"/>
        <v>6.8329347454731959E-4</v>
      </c>
    </row>
    <row r="60" spans="2:31" x14ac:dyDescent="0.25">
      <c r="B60" s="161">
        <v>42471</v>
      </c>
      <c r="C60" s="10">
        <v>30</v>
      </c>
      <c r="D60" s="168">
        <v>-46.01</v>
      </c>
      <c r="E60" s="39">
        <v>57.36</v>
      </c>
      <c r="F60" s="39">
        <f t="shared" si="2"/>
        <v>3101.1000000000004</v>
      </c>
      <c r="G60" s="39">
        <f t="shared" si="3"/>
        <v>-1380.3</v>
      </c>
      <c r="H60" s="176"/>
      <c r="I60" s="163"/>
      <c r="O60" s="78">
        <v>0.95</v>
      </c>
      <c r="P60" s="78">
        <f t="shared" si="5"/>
        <v>62.234500000000004</v>
      </c>
      <c r="W60" s="105">
        <v>42747</v>
      </c>
      <c r="X60" s="40">
        <v>59.86</v>
      </c>
      <c r="Y60" s="40">
        <v>59.99</v>
      </c>
      <c r="Z60" s="40">
        <v>56.65</v>
      </c>
      <c r="AA60" s="40">
        <v>58.85</v>
      </c>
      <c r="AB60" s="99">
        <v>16844900</v>
      </c>
      <c r="AC60" s="40">
        <v>58.54</v>
      </c>
      <c r="AD60" s="2">
        <f t="shared" si="0"/>
        <v>3.3400000000000034</v>
      </c>
      <c r="AE60" s="131">
        <f t="shared" si="1"/>
        <v>-4.8284831734677236E-2</v>
      </c>
    </row>
    <row r="61" spans="2:31" x14ac:dyDescent="0.25">
      <c r="B61" s="161">
        <v>42478</v>
      </c>
      <c r="C61" s="10">
        <v>10</v>
      </c>
      <c r="D61" s="168">
        <v>-255.53399999999999</v>
      </c>
      <c r="E61" s="39">
        <v>59.84</v>
      </c>
      <c r="F61" s="39">
        <f t="shared" si="2"/>
        <v>3153.7400000000002</v>
      </c>
      <c r="G61" s="39">
        <f t="shared" si="3"/>
        <v>-2555.34</v>
      </c>
      <c r="H61" s="176"/>
      <c r="I61" s="163"/>
      <c r="O61" s="78">
        <v>0.94</v>
      </c>
      <c r="P61" s="78">
        <f t="shared" si="5"/>
        <v>61.5794</v>
      </c>
      <c r="W61" s="105">
        <v>42746</v>
      </c>
      <c r="X61" s="40">
        <v>61.75</v>
      </c>
      <c r="Y61" s="40">
        <v>62.24</v>
      </c>
      <c r="Z61" s="40">
        <v>60.79</v>
      </c>
      <c r="AA61" s="40">
        <v>61.84</v>
      </c>
      <c r="AB61" s="99">
        <v>2089400</v>
      </c>
      <c r="AC61" s="40">
        <v>61.51</v>
      </c>
      <c r="AD61" s="2">
        <f t="shared" si="0"/>
        <v>1.4500000000000028</v>
      </c>
      <c r="AE61" s="131">
        <f t="shared" si="1"/>
        <v>6.2162604285946887E-3</v>
      </c>
    </row>
    <row r="62" spans="2:31" x14ac:dyDescent="0.25">
      <c r="B62" s="161">
        <v>42493</v>
      </c>
      <c r="C62" s="10">
        <v>30</v>
      </c>
      <c r="D62" s="168">
        <v>-47.511000000000003</v>
      </c>
      <c r="E62" s="39">
        <v>56.75</v>
      </c>
      <c r="F62" s="39">
        <f t="shared" si="2"/>
        <v>3127.83</v>
      </c>
      <c r="G62" s="39">
        <f t="shared" si="3"/>
        <v>-1425.3300000000002</v>
      </c>
      <c r="H62" s="176"/>
      <c r="I62" s="163"/>
      <c r="O62" s="78">
        <v>0.93</v>
      </c>
      <c r="P62" s="78">
        <f t="shared" si="5"/>
        <v>60.924300000000009</v>
      </c>
      <c r="W62" s="105">
        <v>42745</v>
      </c>
      <c r="X62" s="40">
        <v>60.82</v>
      </c>
      <c r="Y62" s="40">
        <v>62</v>
      </c>
      <c r="Z62" s="40">
        <v>60.5</v>
      </c>
      <c r="AA62" s="40">
        <v>61.45</v>
      </c>
      <c r="AB62" s="99">
        <v>2243500</v>
      </c>
      <c r="AC62" s="40">
        <v>61.13</v>
      </c>
      <c r="AD62" s="2">
        <f t="shared" si="0"/>
        <v>1.5</v>
      </c>
      <c r="AE62" s="131">
        <f t="shared" si="1"/>
        <v>1.3932658815724031E-2</v>
      </c>
    </row>
    <row r="63" spans="2:31" x14ac:dyDescent="0.25">
      <c r="B63" s="161">
        <v>42501</v>
      </c>
      <c r="C63" s="10">
        <v>0</v>
      </c>
      <c r="D63" s="168"/>
      <c r="E63" s="39"/>
      <c r="F63" s="39">
        <v>3178</v>
      </c>
      <c r="G63" s="39"/>
      <c r="H63" s="176"/>
      <c r="I63" s="163"/>
      <c r="O63" s="78">
        <v>0.92</v>
      </c>
      <c r="P63" s="78">
        <f t="shared" si="5"/>
        <v>60.269200000000005</v>
      </c>
      <c r="W63" s="105">
        <v>42744</v>
      </c>
      <c r="X63" s="40">
        <v>61.33</v>
      </c>
      <c r="Y63" s="40">
        <v>61.58</v>
      </c>
      <c r="Z63" s="40">
        <v>60.57</v>
      </c>
      <c r="AA63" s="40">
        <v>60.61</v>
      </c>
      <c r="AB63" s="99">
        <v>2456700</v>
      </c>
      <c r="AC63" s="40">
        <v>60.29</v>
      </c>
      <c r="AD63" s="2">
        <f t="shared" si="0"/>
        <v>1.009999999999998</v>
      </c>
      <c r="AE63" s="131">
        <f t="shared" si="1"/>
        <v>-2.0789345460451525E-2</v>
      </c>
    </row>
    <row r="64" spans="2:31" x14ac:dyDescent="0.25">
      <c r="B64" s="161"/>
      <c r="C64" s="10"/>
      <c r="D64" s="168"/>
      <c r="E64" s="39"/>
      <c r="F64" s="39"/>
      <c r="G64" s="39"/>
      <c r="H64" s="176"/>
      <c r="I64" s="163"/>
      <c r="O64" s="78">
        <v>0.91</v>
      </c>
      <c r="P64" s="78">
        <f t="shared" si="5"/>
        <v>59.614100000000008</v>
      </c>
      <c r="W64" s="105">
        <v>42741</v>
      </c>
      <c r="X64" s="40">
        <v>62.21</v>
      </c>
      <c r="Y64" s="40">
        <v>62.4</v>
      </c>
      <c r="Z64" s="40">
        <v>61.7</v>
      </c>
      <c r="AA64" s="40">
        <v>61.9</v>
      </c>
      <c r="AB64" s="99">
        <v>1978900</v>
      </c>
      <c r="AC64" s="40">
        <v>61.57</v>
      </c>
      <c r="AD64" s="2">
        <f t="shared" si="0"/>
        <v>0.69999999999999574</v>
      </c>
      <c r="AE64" s="131">
        <f t="shared" si="1"/>
        <v>-3.2378177108629558E-3</v>
      </c>
    </row>
    <row r="65" spans="1:31" x14ac:dyDescent="0.25">
      <c r="B65" s="161"/>
      <c r="C65" s="10"/>
      <c r="D65" s="168"/>
      <c r="E65" s="39"/>
      <c r="F65" s="39"/>
      <c r="G65" s="39"/>
      <c r="H65" s="176"/>
      <c r="I65" s="163"/>
      <c r="O65" s="78">
        <v>0.9</v>
      </c>
      <c r="P65" s="78">
        <f t="shared" si="5"/>
        <v>58.959000000000003</v>
      </c>
      <c r="W65" s="105">
        <v>42740</v>
      </c>
      <c r="X65" s="40">
        <v>62.11</v>
      </c>
      <c r="Y65" s="40">
        <v>62.47</v>
      </c>
      <c r="Z65" s="40">
        <v>60.94</v>
      </c>
      <c r="AA65" s="40">
        <v>62.1</v>
      </c>
      <c r="AB65" s="99">
        <v>3797000</v>
      </c>
      <c r="AC65" s="40">
        <v>61.77</v>
      </c>
      <c r="AD65" s="2">
        <f t="shared" si="0"/>
        <v>1.5300000000000011</v>
      </c>
      <c r="AE65" s="131">
        <f t="shared" si="1"/>
        <v>2.7597402597403509E-3</v>
      </c>
    </row>
    <row r="66" spans="1:31" x14ac:dyDescent="0.25">
      <c r="B66" s="161"/>
      <c r="C66" s="10"/>
      <c r="D66" s="168"/>
      <c r="E66" s="39"/>
      <c r="F66" s="39"/>
      <c r="G66" s="39"/>
      <c r="H66" s="176"/>
      <c r="I66" s="163"/>
      <c r="W66" s="105">
        <v>42739</v>
      </c>
      <c r="X66" s="40">
        <v>62.84</v>
      </c>
      <c r="Y66" s="40">
        <v>63.05</v>
      </c>
      <c r="Z66" s="40">
        <v>60.88</v>
      </c>
      <c r="AA66" s="40">
        <v>61.93</v>
      </c>
      <c r="AB66" s="99">
        <v>5007100</v>
      </c>
      <c r="AC66" s="40">
        <v>61.6</v>
      </c>
      <c r="AD66" s="2">
        <f t="shared" si="0"/>
        <v>2.1699999999999946</v>
      </c>
      <c r="AE66" s="131">
        <f t="shared" si="1"/>
        <v>-1.4242278764602379E-2</v>
      </c>
    </row>
    <row r="67" spans="1:31" x14ac:dyDescent="0.25">
      <c r="B67" s="161"/>
      <c r="C67" s="10"/>
      <c r="D67" s="168"/>
      <c r="E67" s="39"/>
      <c r="F67" s="39"/>
      <c r="G67" s="39"/>
      <c r="H67" s="176"/>
      <c r="I67" s="163"/>
      <c r="W67" s="105">
        <v>42738</v>
      </c>
      <c r="X67" s="40">
        <v>63.38</v>
      </c>
      <c r="Y67" s="40">
        <v>64.400000000000006</v>
      </c>
      <c r="Z67" s="40">
        <v>62.15</v>
      </c>
      <c r="AA67" s="40">
        <v>62.82</v>
      </c>
      <c r="AB67" s="99">
        <v>4531800</v>
      </c>
      <c r="AC67" s="40">
        <v>62.49</v>
      </c>
      <c r="AD67" s="2">
        <f>Y67-Z67</f>
        <v>2.2500000000000071</v>
      </c>
      <c r="AE67" s="131">
        <f>AC67/AC68-1</f>
        <v>8.5539057456422984E-3</v>
      </c>
    </row>
    <row r="68" spans="1:31" x14ac:dyDescent="0.25">
      <c r="B68" s="161"/>
      <c r="C68" s="10"/>
      <c r="D68" s="168"/>
      <c r="E68" s="39"/>
      <c r="F68" s="39"/>
      <c r="G68" s="39"/>
      <c r="H68" s="176"/>
      <c r="I68" s="163"/>
      <c r="W68" s="105">
        <v>42734</v>
      </c>
      <c r="X68" s="40">
        <v>62.9</v>
      </c>
      <c r="Y68" s="40">
        <v>63.28</v>
      </c>
      <c r="Z68" s="40">
        <v>62.07</v>
      </c>
      <c r="AA68" s="40">
        <v>62.29</v>
      </c>
      <c r="AB68" s="99">
        <v>1974000</v>
      </c>
      <c r="AC68" s="40">
        <v>61.96</v>
      </c>
      <c r="AD68" s="2">
        <f>Y68-Z68</f>
        <v>1.2100000000000009</v>
      </c>
      <c r="AE68" s="131" t="e">
        <f>AC68/AC69-1</f>
        <v>#DIV/0!</v>
      </c>
    </row>
    <row r="69" spans="1:31" x14ac:dyDescent="0.25">
      <c r="B69" s="161"/>
      <c r="C69" s="10"/>
      <c r="D69" s="168"/>
      <c r="E69" s="39"/>
      <c r="F69" s="39"/>
      <c r="G69" s="39"/>
      <c r="H69" s="176"/>
      <c r="I69" s="163"/>
      <c r="W69" s="105" t="s">
        <v>120</v>
      </c>
      <c r="X69" s="40"/>
      <c r="Y69" s="40"/>
      <c r="Z69" s="40"/>
      <c r="AA69" s="40"/>
      <c r="AB69" s="99"/>
      <c r="AC69" s="40"/>
      <c r="AD69" s="2">
        <f>Y69-Z69</f>
        <v>0</v>
      </c>
      <c r="AE69" s="131" t="e">
        <f>AC69/AC70-1</f>
        <v>#DIV/0!</v>
      </c>
    </row>
    <row r="70" spans="1:31" x14ac:dyDescent="0.25">
      <c r="B70" s="161"/>
      <c r="C70" s="10"/>
      <c r="D70" s="168"/>
      <c r="E70" s="39"/>
      <c r="F70" s="39"/>
      <c r="G70" s="39"/>
      <c r="H70" s="176"/>
      <c r="I70" s="163"/>
    </row>
    <row r="71" spans="1:31" x14ac:dyDescent="0.25">
      <c r="B71" s="161"/>
      <c r="C71" s="10"/>
      <c r="D71" s="168"/>
      <c r="E71" s="39"/>
      <c r="F71" s="39"/>
      <c r="G71" s="39"/>
      <c r="H71" s="176"/>
      <c r="I71" s="163"/>
    </row>
    <row r="72" spans="1:31" x14ac:dyDescent="0.25">
      <c r="B72" s="161"/>
      <c r="C72" s="10"/>
      <c r="D72" s="168"/>
      <c r="E72" s="39"/>
      <c r="F72" s="39"/>
      <c r="G72" s="39"/>
      <c r="H72" s="176"/>
      <c r="I72" s="163"/>
    </row>
    <row r="75" spans="1:31" x14ac:dyDescent="0.25">
      <c r="L75" t="s">
        <v>201</v>
      </c>
      <c r="M75" s="2">
        <f>M128+K128-F128</f>
        <v>3178.8000000000466</v>
      </c>
    </row>
    <row r="76" spans="1:31" x14ac:dyDescent="0.25">
      <c r="A76" s="304" t="s">
        <v>1</v>
      </c>
      <c r="B76" s="305" t="s">
        <v>2</v>
      </c>
      <c r="C76" s="304" t="s">
        <v>4</v>
      </c>
      <c r="D76" s="306" t="s">
        <v>5</v>
      </c>
      <c r="E76" s="307" t="s">
        <v>90</v>
      </c>
      <c r="F76" s="307" t="s">
        <v>60</v>
      </c>
      <c r="G76" s="304" t="s">
        <v>3</v>
      </c>
      <c r="H76" s="308" t="s">
        <v>6</v>
      </c>
      <c r="I76" s="307" t="s">
        <v>7</v>
      </c>
      <c r="J76" s="307" t="s">
        <v>89</v>
      </c>
      <c r="K76" s="307" t="s">
        <v>61</v>
      </c>
      <c r="L76" s="304" t="s">
        <v>43</v>
      </c>
      <c r="M76" s="304" t="s">
        <v>38</v>
      </c>
    </row>
    <row r="77" spans="1:31" x14ac:dyDescent="0.25">
      <c r="A77" s="300" t="s">
        <v>22</v>
      </c>
      <c r="B77" s="309">
        <v>42153</v>
      </c>
      <c r="C77" s="291">
        <v>20</v>
      </c>
      <c r="D77" s="296">
        <v>67.3</v>
      </c>
      <c r="E77" s="292">
        <v>0</v>
      </c>
      <c r="F77" s="292">
        <f t="shared" ref="F77:F126" si="6">D77*C77+E77</f>
        <v>1346</v>
      </c>
      <c r="G77" s="290">
        <v>42219</v>
      </c>
      <c r="H77" s="310">
        <v>25</v>
      </c>
      <c r="I77" s="311">
        <v>60.05</v>
      </c>
      <c r="J77" s="311">
        <v>0.03</v>
      </c>
      <c r="K77" s="311">
        <f t="shared" ref="K77:K112" si="7">H77*I77-J77</f>
        <v>1501.22</v>
      </c>
      <c r="L77" s="290">
        <v>42185</v>
      </c>
      <c r="M77" s="292">
        <v>5</v>
      </c>
    </row>
    <row r="78" spans="1:31" x14ac:dyDescent="0.25">
      <c r="A78" s="301" t="s">
        <v>71</v>
      </c>
      <c r="B78" s="309">
        <v>42205</v>
      </c>
      <c r="C78" s="291">
        <v>20</v>
      </c>
      <c r="D78" s="296">
        <v>63.4</v>
      </c>
      <c r="E78" s="292">
        <v>0</v>
      </c>
      <c r="F78" s="292">
        <f t="shared" si="6"/>
        <v>1268</v>
      </c>
      <c r="G78" s="290">
        <v>42219</v>
      </c>
      <c r="H78" s="310">
        <v>55</v>
      </c>
      <c r="I78" s="311">
        <v>59.75</v>
      </c>
      <c r="J78" s="311">
        <v>0.06</v>
      </c>
      <c r="K78" s="311">
        <f t="shared" si="7"/>
        <v>3286.19</v>
      </c>
      <c r="L78" s="290">
        <v>42277</v>
      </c>
      <c r="M78" s="292">
        <v>37.5</v>
      </c>
    </row>
    <row r="79" spans="1:31" x14ac:dyDescent="0.25">
      <c r="A79" s="291"/>
      <c r="B79" s="309">
        <v>42205</v>
      </c>
      <c r="C79" s="291">
        <v>20</v>
      </c>
      <c r="D79" s="296">
        <v>63.15</v>
      </c>
      <c r="E79" s="292">
        <v>0</v>
      </c>
      <c r="F79" s="292">
        <f t="shared" si="6"/>
        <v>1263</v>
      </c>
      <c r="G79" s="290">
        <v>42250</v>
      </c>
      <c r="H79" s="295">
        <v>100</v>
      </c>
      <c r="I79" s="292">
        <v>59.4</v>
      </c>
      <c r="J79" s="292">
        <v>0.11</v>
      </c>
      <c r="K79" s="311">
        <f t="shared" si="7"/>
        <v>5939.89</v>
      </c>
      <c r="L79" s="290">
        <v>42734</v>
      </c>
      <c r="M79" s="292">
        <v>100</v>
      </c>
    </row>
    <row r="80" spans="1:31" x14ac:dyDescent="0.25">
      <c r="A80" s="291"/>
      <c r="B80" s="309">
        <v>42207</v>
      </c>
      <c r="C80" s="291">
        <v>10</v>
      </c>
      <c r="D80" s="296">
        <v>62</v>
      </c>
      <c r="E80" s="292">
        <v>0</v>
      </c>
      <c r="F80" s="292">
        <f t="shared" si="6"/>
        <v>620</v>
      </c>
      <c r="G80" s="290">
        <v>42258</v>
      </c>
      <c r="H80" s="295">
        <v>80</v>
      </c>
      <c r="I80" s="292">
        <v>56.47</v>
      </c>
      <c r="J80" s="292">
        <v>0.08</v>
      </c>
      <c r="K80" s="311">
        <f t="shared" si="7"/>
        <v>4517.5200000000004</v>
      </c>
      <c r="L80" s="290">
        <v>42459</v>
      </c>
      <c r="M80" s="292">
        <v>25</v>
      </c>
    </row>
    <row r="81" spans="1:13" x14ac:dyDescent="0.25">
      <c r="A81" s="291"/>
      <c r="B81" s="309">
        <v>42207</v>
      </c>
      <c r="C81" s="291">
        <v>5</v>
      </c>
      <c r="D81" s="296">
        <v>61.6</v>
      </c>
      <c r="E81" s="292">
        <v>0</v>
      </c>
      <c r="F81" s="292">
        <f t="shared" si="6"/>
        <v>308</v>
      </c>
      <c r="G81" s="290">
        <v>42263</v>
      </c>
      <c r="H81" s="295">
        <v>80</v>
      </c>
      <c r="I81" s="292">
        <v>52.55</v>
      </c>
      <c r="J81" s="292">
        <v>0.08</v>
      </c>
      <c r="K81" s="311">
        <f t="shared" si="7"/>
        <v>4203.92</v>
      </c>
      <c r="L81" s="291"/>
      <c r="M81" s="292"/>
    </row>
    <row r="82" spans="1:13" x14ac:dyDescent="0.25">
      <c r="A82" s="291"/>
      <c r="B82" s="309">
        <v>42207</v>
      </c>
      <c r="C82" s="291">
        <v>20</v>
      </c>
      <c r="D82" s="296">
        <v>59.85</v>
      </c>
      <c r="E82" s="292">
        <v>0</v>
      </c>
      <c r="F82" s="292">
        <f t="shared" si="6"/>
        <v>1197</v>
      </c>
      <c r="G82" s="290">
        <v>42284</v>
      </c>
      <c r="H82" s="295">
        <v>50</v>
      </c>
      <c r="I82" s="292">
        <v>52.85</v>
      </c>
      <c r="J82" s="292">
        <v>0.05</v>
      </c>
      <c r="K82" s="311">
        <f t="shared" si="7"/>
        <v>2642.45</v>
      </c>
      <c r="L82" s="291"/>
      <c r="M82" s="292"/>
    </row>
    <row r="83" spans="1:13" x14ac:dyDescent="0.25">
      <c r="A83" s="291"/>
      <c r="B83" s="309">
        <v>42208</v>
      </c>
      <c r="C83" s="291">
        <v>5</v>
      </c>
      <c r="D83" s="296">
        <v>61.3</v>
      </c>
      <c r="E83" s="292">
        <v>0</v>
      </c>
      <c r="F83" s="292">
        <f t="shared" si="6"/>
        <v>306.5</v>
      </c>
      <c r="G83" s="290">
        <v>42284</v>
      </c>
      <c r="H83" s="295">
        <v>30</v>
      </c>
      <c r="I83" s="292">
        <v>53.05</v>
      </c>
      <c r="J83" s="292">
        <v>0.03</v>
      </c>
      <c r="K83" s="311">
        <f t="shared" si="7"/>
        <v>1591.47</v>
      </c>
      <c r="L83" s="291"/>
      <c r="M83" s="292"/>
    </row>
    <row r="84" spans="1:13" x14ac:dyDescent="0.25">
      <c r="A84" s="291"/>
      <c r="B84" s="309">
        <v>42219</v>
      </c>
      <c r="C84" s="312">
        <v>25</v>
      </c>
      <c r="D84" s="296">
        <v>59.4</v>
      </c>
      <c r="E84" s="292">
        <v>0</v>
      </c>
      <c r="F84" s="292">
        <f t="shared" si="6"/>
        <v>1485</v>
      </c>
      <c r="G84" s="290">
        <v>42291</v>
      </c>
      <c r="H84" s="295">
        <v>80</v>
      </c>
      <c r="I84" s="292">
        <v>61.6</v>
      </c>
      <c r="J84" s="292">
        <v>0.09</v>
      </c>
      <c r="K84" s="311">
        <f t="shared" si="7"/>
        <v>4927.91</v>
      </c>
      <c r="L84" s="291"/>
      <c r="M84" s="292"/>
    </row>
    <row r="85" spans="1:13" x14ac:dyDescent="0.25">
      <c r="A85" s="291"/>
      <c r="B85" s="309">
        <v>42219</v>
      </c>
      <c r="C85" s="312">
        <v>50</v>
      </c>
      <c r="D85" s="296">
        <v>59.2</v>
      </c>
      <c r="E85" s="292">
        <v>0</v>
      </c>
      <c r="F85" s="292">
        <f t="shared" si="6"/>
        <v>2960</v>
      </c>
      <c r="G85" s="290">
        <v>42297</v>
      </c>
      <c r="H85" s="295">
        <v>115</v>
      </c>
      <c r="I85" s="292">
        <v>61.23</v>
      </c>
      <c r="J85" s="292">
        <v>0.13</v>
      </c>
      <c r="K85" s="311">
        <f t="shared" si="7"/>
        <v>7041.32</v>
      </c>
      <c r="L85" s="291"/>
      <c r="M85" s="292"/>
    </row>
    <row r="86" spans="1:13" x14ac:dyDescent="0.25">
      <c r="A86" s="291"/>
      <c r="B86" s="309">
        <v>42226</v>
      </c>
      <c r="C86" s="312">
        <v>5</v>
      </c>
      <c r="D86" s="296">
        <v>56.2</v>
      </c>
      <c r="E86" s="292">
        <v>0</v>
      </c>
      <c r="F86" s="292">
        <f t="shared" si="6"/>
        <v>281</v>
      </c>
      <c r="G86" s="290">
        <v>42304</v>
      </c>
      <c r="H86" s="295">
        <v>80</v>
      </c>
      <c r="I86" s="292">
        <v>59.76</v>
      </c>
      <c r="J86" s="292">
        <v>0.09</v>
      </c>
      <c r="K86" s="311">
        <f t="shared" si="7"/>
        <v>4780.71</v>
      </c>
      <c r="L86" s="291"/>
      <c r="M86" s="292"/>
    </row>
    <row r="87" spans="1:13" x14ac:dyDescent="0.25">
      <c r="A87" s="291"/>
      <c r="B87" s="309">
        <v>42226</v>
      </c>
      <c r="C87" s="291">
        <v>15</v>
      </c>
      <c r="D87" s="296">
        <v>56.5</v>
      </c>
      <c r="E87" s="292">
        <v>0</v>
      </c>
      <c r="F87" s="292">
        <f t="shared" si="6"/>
        <v>847.5</v>
      </c>
      <c r="G87" s="290">
        <v>42314</v>
      </c>
      <c r="H87" s="295">
        <v>10</v>
      </c>
      <c r="I87" s="292">
        <v>59.65</v>
      </c>
      <c r="J87" s="292">
        <v>0.01</v>
      </c>
      <c r="K87" s="311">
        <f t="shared" si="7"/>
        <v>596.49</v>
      </c>
      <c r="L87" s="291"/>
      <c r="M87" s="292"/>
    </row>
    <row r="88" spans="1:13" x14ac:dyDescent="0.25">
      <c r="A88" s="291"/>
      <c r="B88" s="309">
        <v>42240</v>
      </c>
      <c r="C88" s="312">
        <v>15</v>
      </c>
      <c r="D88" s="296">
        <v>57.19</v>
      </c>
      <c r="E88" s="292">
        <v>0</v>
      </c>
      <c r="F88" s="292">
        <f t="shared" si="6"/>
        <v>857.84999999999991</v>
      </c>
      <c r="G88" s="290">
        <v>42338</v>
      </c>
      <c r="H88" s="295">
        <v>75</v>
      </c>
      <c r="I88" s="292">
        <v>61.49</v>
      </c>
      <c r="J88" s="292">
        <v>0.08</v>
      </c>
      <c r="K88" s="292">
        <f t="shared" si="7"/>
        <v>4611.67</v>
      </c>
      <c r="L88" s="291"/>
      <c r="M88" s="292"/>
    </row>
    <row r="89" spans="1:13" x14ac:dyDescent="0.25">
      <c r="A89" s="291"/>
      <c r="B89" s="309">
        <v>42240</v>
      </c>
      <c r="C89" s="291">
        <v>20</v>
      </c>
      <c r="D89" s="296">
        <v>56.6</v>
      </c>
      <c r="E89" s="292">
        <v>0</v>
      </c>
      <c r="F89" s="292">
        <f t="shared" si="6"/>
        <v>1132</v>
      </c>
      <c r="G89" s="290">
        <v>42354</v>
      </c>
      <c r="H89" s="295">
        <v>100</v>
      </c>
      <c r="I89" s="292">
        <v>50.1</v>
      </c>
      <c r="J89" s="292">
        <v>0.09</v>
      </c>
      <c r="K89" s="292">
        <f t="shared" si="7"/>
        <v>5009.91</v>
      </c>
      <c r="L89" s="291"/>
      <c r="M89" s="292"/>
    </row>
    <row r="90" spans="1:13" x14ac:dyDescent="0.25">
      <c r="A90" s="291"/>
      <c r="B90" s="309">
        <v>42240</v>
      </c>
      <c r="C90" s="291">
        <v>30</v>
      </c>
      <c r="D90" s="296">
        <v>56.5</v>
      </c>
      <c r="E90" s="292">
        <v>0</v>
      </c>
      <c r="F90" s="292">
        <f t="shared" si="6"/>
        <v>1695</v>
      </c>
      <c r="G90" s="290">
        <v>42354</v>
      </c>
      <c r="H90" s="295">
        <v>200</v>
      </c>
      <c r="I90" s="292">
        <v>50.15</v>
      </c>
      <c r="J90" s="292">
        <v>0.18</v>
      </c>
      <c r="K90" s="292">
        <f t="shared" si="7"/>
        <v>10029.82</v>
      </c>
      <c r="L90" s="291"/>
      <c r="M90" s="292"/>
    </row>
    <row r="91" spans="1:13" ht="15" customHeight="1" x14ac:dyDescent="0.25">
      <c r="A91" s="291"/>
      <c r="B91" s="316">
        <v>42258</v>
      </c>
      <c r="C91" s="291">
        <v>80</v>
      </c>
      <c r="D91" s="296">
        <v>55.45</v>
      </c>
      <c r="E91" s="292">
        <v>0</v>
      </c>
      <c r="F91" s="292">
        <f t="shared" si="6"/>
        <v>4436</v>
      </c>
      <c r="G91" s="290">
        <v>42354</v>
      </c>
      <c r="H91" s="295">
        <v>100</v>
      </c>
      <c r="I91" s="292">
        <v>50.15</v>
      </c>
      <c r="J91" s="292">
        <v>0.09</v>
      </c>
      <c r="K91" s="292">
        <f t="shared" si="7"/>
        <v>5014.91</v>
      </c>
      <c r="L91" s="291"/>
      <c r="M91" s="292"/>
    </row>
    <row r="92" spans="1:13" x14ac:dyDescent="0.25">
      <c r="A92" s="291"/>
      <c r="B92" s="316"/>
      <c r="C92" s="291">
        <v>20</v>
      </c>
      <c r="D92" s="296">
        <v>55.45</v>
      </c>
      <c r="E92" s="292">
        <v>0</v>
      </c>
      <c r="F92" s="292">
        <f t="shared" si="6"/>
        <v>1109</v>
      </c>
      <c r="G92" s="290">
        <v>42367</v>
      </c>
      <c r="H92" s="295">
        <v>400</v>
      </c>
      <c r="I92" s="292">
        <v>49.86</v>
      </c>
      <c r="J92" s="292">
        <v>0.37</v>
      </c>
      <c r="K92" s="292">
        <f t="shared" si="7"/>
        <v>19943.63</v>
      </c>
      <c r="L92" s="291"/>
      <c r="M92" s="292"/>
    </row>
    <row r="93" spans="1:13" x14ac:dyDescent="0.25">
      <c r="A93" s="291"/>
      <c r="B93" s="317">
        <v>42263</v>
      </c>
      <c r="C93" s="291">
        <v>50</v>
      </c>
      <c r="D93" s="296">
        <v>52.7</v>
      </c>
      <c r="E93" s="292">
        <v>0</v>
      </c>
      <c r="F93" s="292">
        <f t="shared" si="6"/>
        <v>2635</v>
      </c>
      <c r="G93" s="290">
        <v>42375</v>
      </c>
      <c r="H93" s="295">
        <v>100</v>
      </c>
      <c r="I93" s="292">
        <v>47.56</v>
      </c>
      <c r="J93" s="292">
        <v>0.09</v>
      </c>
      <c r="K93" s="292">
        <f t="shared" si="7"/>
        <v>4755.91</v>
      </c>
      <c r="L93" s="291"/>
      <c r="M93" s="291"/>
    </row>
    <row r="94" spans="1:13" x14ac:dyDescent="0.25">
      <c r="A94" s="291"/>
      <c r="B94" s="317"/>
      <c r="C94" s="291">
        <v>30</v>
      </c>
      <c r="D94" s="296">
        <v>52.7</v>
      </c>
      <c r="E94" s="292">
        <v>0</v>
      </c>
      <c r="F94" s="292">
        <f t="shared" si="6"/>
        <v>1581</v>
      </c>
      <c r="G94" s="290">
        <v>42398</v>
      </c>
      <c r="H94" s="295">
        <v>150</v>
      </c>
      <c r="I94" s="292">
        <v>40.880000000000003</v>
      </c>
      <c r="J94" s="292">
        <v>0.11</v>
      </c>
      <c r="K94" s="292">
        <f t="shared" si="7"/>
        <v>6131.89</v>
      </c>
      <c r="L94" s="291"/>
      <c r="M94" s="291"/>
    </row>
    <row r="95" spans="1:13" x14ac:dyDescent="0.25">
      <c r="A95" s="291"/>
      <c r="B95" s="309">
        <v>42263</v>
      </c>
      <c r="C95" s="291">
        <v>50</v>
      </c>
      <c r="D95" s="296">
        <v>52.05</v>
      </c>
      <c r="E95" s="292">
        <v>0</v>
      </c>
      <c r="F95" s="292">
        <f t="shared" si="6"/>
        <v>2602.5</v>
      </c>
      <c r="G95" s="290">
        <v>42405</v>
      </c>
      <c r="H95" s="295">
        <v>100</v>
      </c>
      <c r="I95" s="292">
        <v>38.445</v>
      </c>
      <c r="J95" s="292">
        <v>7.0000000000000007E-2</v>
      </c>
      <c r="K95" s="292">
        <f t="shared" si="7"/>
        <v>3844.43</v>
      </c>
      <c r="L95" s="291"/>
      <c r="M95" s="291"/>
    </row>
    <row r="96" spans="1:13" x14ac:dyDescent="0.25">
      <c r="A96" s="291"/>
      <c r="B96" s="317">
        <v>42270</v>
      </c>
      <c r="C96" s="291">
        <v>30</v>
      </c>
      <c r="D96" s="296">
        <v>52.5</v>
      </c>
      <c r="E96" s="292">
        <v>0</v>
      </c>
      <c r="F96" s="292">
        <f t="shared" si="6"/>
        <v>1575</v>
      </c>
      <c r="G96" s="290">
        <v>42426</v>
      </c>
      <c r="H96" s="295">
        <v>150</v>
      </c>
      <c r="I96" s="292">
        <v>43.25</v>
      </c>
      <c r="J96" s="292">
        <v>0.14000000000000001</v>
      </c>
      <c r="K96" s="292">
        <f t="shared" si="7"/>
        <v>6487.36</v>
      </c>
      <c r="L96" s="291"/>
      <c r="M96" s="291"/>
    </row>
    <row r="97" spans="1:13" x14ac:dyDescent="0.25">
      <c r="A97" s="291"/>
      <c r="B97" s="317"/>
      <c r="C97" s="291">
        <v>20</v>
      </c>
      <c r="D97" s="296">
        <v>52.5</v>
      </c>
      <c r="E97" s="292">
        <v>0</v>
      </c>
      <c r="F97" s="292">
        <f t="shared" si="6"/>
        <v>1050</v>
      </c>
      <c r="G97" s="290">
        <v>42426</v>
      </c>
      <c r="H97" s="295">
        <v>150</v>
      </c>
      <c r="I97" s="292">
        <v>43.4</v>
      </c>
      <c r="J97" s="292">
        <v>0.14000000000000001</v>
      </c>
      <c r="K97" s="292">
        <f t="shared" si="7"/>
        <v>6509.86</v>
      </c>
      <c r="L97" s="291"/>
      <c r="M97" s="291"/>
    </row>
    <row r="98" spans="1:13" x14ac:dyDescent="0.25">
      <c r="A98" s="291"/>
      <c r="B98" s="309">
        <v>42292</v>
      </c>
      <c r="C98" s="291">
        <v>80</v>
      </c>
      <c r="D98" s="296">
        <v>61.25</v>
      </c>
      <c r="E98" s="292">
        <v>0</v>
      </c>
      <c r="F98" s="292">
        <f t="shared" si="6"/>
        <v>4900</v>
      </c>
      <c r="G98" s="290">
        <v>42431</v>
      </c>
      <c r="H98" s="295">
        <v>150</v>
      </c>
      <c r="I98" s="292">
        <v>45.95</v>
      </c>
      <c r="J98" s="292">
        <v>0.15</v>
      </c>
      <c r="K98" s="292">
        <f t="shared" si="7"/>
        <v>6892.35</v>
      </c>
      <c r="L98" s="291"/>
      <c r="M98" s="291"/>
    </row>
    <row r="99" spans="1:13" x14ac:dyDescent="0.25">
      <c r="A99" s="291"/>
      <c r="B99" s="309">
        <v>42292</v>
      </c>
      <c r="C99" s="291">
        <v>80</v>
      </c>
      <c r="D99" s="296">
        <v>59.75</v>
      </c>
      <c r="E99" s="292">
        <v>0</v>
      </c>
      <c r="F99" s="292">
        <f t="shared" si="6"/>
        <v>4780</v>
      </c>
      <c r="G99" s="290">
        <v>42431</v>
      </c>
      <c r="H99" s="295">
        <v>150</v>
      </c>
      <c r="I99" s="292">
        <v>45.5</v>
      </c>
      <c r="J99" s="292">
        <v>0.15</v>
      </c>
      <c r="K99" s="292">
        <f t="shared" si="7"/>
        <v>6824.85</v>
      </c>
      <c r="L99" s="291"/>
      <c r="M99" s="291"/>
    </row>
    <row r="100" spans="1:13" x14ac:dyDescent="0.25">
      <c r="A100" s="291"/>
      <c r="B100" s="309">
        <v>42310</v>
      </c>
      <c r="C100" s="291">
        <v>80</v>
      </c>
      <c r="D100" s="296">
        <v>55.225000000000001</v>
      </c>
      <c r="E100" s="292">
        <v>6.95</v>
      </c>
      <c r="F100" s="292">
        <f t="shared" si="6"/>
        <v>4424.95</v>
      </c>
      <c r="G100" s="290">
        <v>42431</v>
      </c>
      <c r="H100" s="295">
        <v>150</v>
      </c>
      <c r="I100" s="292">
        <v>46.4</v>
      </c>
      <c r="J100" s="292">
        <v>0.15</v>
      </c>
      <c r="K100" s="292">
        <f t="shared" si="7"/>
        <v>6959.85</v>
      </c>
      <c r="L100" s="291"/>
      <c r="M100" s="291"/>
    </row>
    <row r="101" spans="1:13" x14ac:dyDescent="0.25">
      <c r="A101" s="291"/>
      <c r="B101" s="309">
        <v>42310</v>
      </c>
      <c r="C101" s="291">
        <v>40</v>
      </c>
      <c r="D101" s="296">
        <v>53.01</v>
      </c>
      <c r="E101" s="292">
        <v>6.95</v>
      </c>
      <c r="F101" s="292">
        <f t="shared" si="6"/>
        <v>2127.35</v>
      </c>
      <c r="G101" s="290">
        <v>42431</v>
      </c>
      <c r="H101" s="295">
        <v>150</v>
      </c>
      <c r="I101" s="292">
        <v>46.72</v>
      </c>
      <c r="J101" s="292">
        <v>0.15</v>
      </c>
      <c r="K101" s="292">
        <f t="shared" si="7"/>
        <v>7007.85</v>
      </c>
      <c r="L101" s="291"/>
      <c r="M101" s="291"/>
    </row>
    <row r="102" spans="1:13" x14ac:dyDescent="0.25">
      <c r="A102" s="291"/>
      <c r="B102" s="309">
        <v>42340</v>
      </c>
      <c r="C102" s="291">
        <v>40</v>
      </c>
      <c r="D102" s="296">
        <v>58.6</v>
      </c>
      <c r="E102" s="292">
        <v>0</v>
      </c>
      <c r="F102" s="292">
        <f t="shared" si="6"/>
        <v>2344</v>
      </c>
      <c r="G102" s="290">
        <v>42433</v>
      </c>
      <c r="H102" s="295">
        <v>50</v>
      </c>
      <c r="I102" s="292">
        <v>50.35</v>
      </c>
      <c r="J102" s="292">
        <v>0.05</v>
      </c>
      <c r="K102" s="292">
        <f t="shared" si="7"/>
        <v>2517.4499999999998</v>
      </c>
      <c r="L102" s="291"/>
      <c r="M102" s="291"/>
    </row>
    <row r="103" spans="1:13" ht="45" x14ac:dyDescent="0.25">
      <c r="A103" s="291"/>
      <c r="B103" s="318" t="s">
        <v>166</v>
      </c>
      <c r="C103" s="291">
        <v>45</v>
      </c>
      <c r="D103" s="296">
        <v>50.45</v>
      </c>
      <c r="E103" s="292">
        <v>0</v>
      </c>
      <c r="F103" s="292">
        <f t="shared" si="6"/>
        <v>2270.25</v>
      </c>
      <c r="G103" s="290">
        <v>42440</v>
      </c>
      <c r="H103" s="295">
        <v>250</v>
      </c>
      <c r="I103" s="292">
        <v>50.24</v>
      </c>
      <c r="J103" s="292">
        <v>0.27</v>
      </c>
      <c r="K103" s="292">
        <f t="shared" si="7"/>
        <v>12559.73</v>
      </c>
      <c r="L103" s="291"/>
      <c r="M103" s="291"/>
    </row>
    <row r="104" spans="1:13" x14ac:dyDescent="0.25">
      <c r="A104" s="291"/>
      <c r="B104" s="318"/>
      <c r="C104" s="291">
        <v>75</v>
      </c>
      <c r="D104" s="296">
        <v>50.42</v>
      </c>
      <c r="E104" s="292">
        <v>0</v>
      </c>
      <c r="F104" s="292">
        <f t="shared" si="6"/>
        <v>3781.5</v>
      </c>
      <c r="G104" s="290">
        <v>42440</v>
      </c>
      <c r="H104" s="295">
        <v>50</v>
      </c>
      <c r="I104" s="292">
        <v>50.73</v>
      </c>
      <c r="J104" s="292">
        <v>0.05</v>
      </c>
      <c r="K104" s="292">
        <f t="shared" si="7"/>
        <v>2536.4499999999998</v>
      </c>
      <c r="L104" s="291"/>
      <c r="M104" s="291"/>
    </row>
    <row r="105" spans="1:13" x14ac:dyDescent="0.25">
      <c r="A105" s="291"/>
      <c r="B105" s="318"/>
      <c r="C105" s="291">
        <v>100</v>
      </c>
      <c r="D105" s="296">
        <v>50.33</v>
      </c>
      <c r="E105" s="292">
        <v>0</v>
      </c>
      <c r="F105" s="292">
        <f t="shared" si="6"/>
        <v>5033</v>
      </c>
      <c r="G105" s="290">
        <v>42440</v>
      </c>
      <c r="H105" s="295">
        <v>50</v>
      </c>
      <c r="I105" s="292">
        <v>51.08</v>
      </c>
      <c r="J105" s="292">
        <v>0.06</v>
      </c>
      <c r="K105" s="292">
        <f t="shared" si="7"/>
        <v>2553.94</v>
      </c>
      <c r="L105" s="291"/>
      <c r="M105" s="291"/>
    </row>
    <row r="106" spans="1:13" x14ac:dyDescent="0.25">
      <c r="A106" s="291"/>
      <c r="B106" s="318"/>
      <c r="C106" s="291">
        <v>100</v>
      </c>
      <c r="D106" s="296">
        <v>50.25</v>
      </c>
      <c r="E106" s="292">
        <v>0</v>
      </c>
      <c r="F106" s="292">
        <f t="shared" si="6"/>
        <v>5025</v>
      </c>
      <c r="G106" s="290">
        <v>42445</v>
      </c>
      <c r="H106" s="295">
        <v>20</v>
      </c>
      <c r="I106" s="292">
        <v>51.59</v>
      </c>
      <c r="J106" s="292">
        <v>0.02</v>
      </c>
      <c r="K106" s="292">
        <f t="shared" si="7"/>
        <v>1031.7800000000002</v>
      </c>
      <c r="L106" s="291"/>
      <c r="M106" s="291"/>
    </row>
    <row r="107" spans="1:13" x14ac:dyDescent="0.25">
      <c r="A107" s="291"/>
      <c r="B107" s="318"/>
      <c r="C107" s="291">
        <v>100</v>
      </c>
      <c r="D107" s="296">
        <v>50.05</v>
      </c>
      <c r="E107" s="292">
        <v>0</v>
      </c>
      <c r="F107" s="292">
        <f t="shared" si="6"/>
        <v>5005</v>
      </c>
      <c r="G107" s="290">
        <v>42446</v>
      </c>
      <c r="H107" s="295">
        <v>80</v>
      </c>
      <c r="I107" s="292">
        <v>53.45</v>
      </c>
      <c r="J107" s="292">
        <v>0.09</v>
      </c>
      <c r="K107" s="292">
        <f t="shared" si="7"/>
        <v>4275.91</v>
      </c>
      <c r="L107" s="291"/>
      <c r="M107" s="291"/>
    </row>
    <row r="108" spans="1:13" x14ac:dyDescent="0.25">
      <c r="A108" s="291"/>
      <c r="B108" s="318"/>
      <c r="C108" s="291">
        <v>100</v>
      </c>
      <c r="D108" s="296">
        <v>49.99</v>
      </c>
      <c r="E108" s="292">
        <v>0</v>
      </c>
      <c r="F108" s="292">
        <f t="shared" si="6"/>
        <v>4999</v>
      </c>
      <c r="G108" s="290">
        <v>42460</v>
      </c>
      <c r="H108" s="295">
        <v>50</v>
      </c>
      <c r="I108" s="292">
        <v>52.74</v>
      </c>
      <c r="J108" s="292">
        <v>0.06</v>
      </c>
      <c r="K108" s="292">
        <f t="shared" si="7"/>
        <v>2636.94</v>
      </c>
      <c r="L108" s="291"/>
      <c r="M108" s="291"/>
    </row>
    <row r="109" spans="1:13" x14ac:dyDescent="0.25">
      <c r="A109" s="291"/>
      <c r="B109" s="318"/>
      <c r="C109" s="291">
        <v>200</v>
      </c>
      <c r="D109" s="296">
        <v>49.69</v>
      </c>
      <c r="E109" s="292">
        <v>0</v>
      </c>
      <c r="F109" s="292">
        <f t="shared" si="6"/>
        <v>9938</v>
      </c>
      <c r="G109" s="290">
        <v>42466</v>
      </c>
      <c r="H109" s="295">
        <v>50</v>
      </c>
      <c r="I109" s="292">
        <v>53.25</v>
      </c>
      <c r="J109" s="292">
        <v>0.06</v>
      </c>
      <c r="K109" s="292">
        <f t="shared" si="7"/>
        <v>2662.44</v>
      </c>
      <c r="L109" s="291"/>
      <c r="M109" s="291"/>
    </row>
    <row r="110" spans="1:13" x14ac:dyDescent="0.25">
      <c r="A110" s="291"/>
      <c r="B110" s="309">
        <v>42362</v>
      </c>
      <c r="C110" s="291">
        <v>300</v>
      </c>
      <c r="D110" s="296">
        <v>48.18</v>
      </c>
      <c r="E110" s="292">
        <v>0</v>
      </c>
      <c r="F110" s="292">
        <f t="shared" si="6"/>
        <v>14454</v>
      </c>
      <c r="G110" s="290">
        <v>42472</v>
      </c>
      <c r="H110" s="295">
        <v>20</v>
      </c>
      <c r="I110" s="292">
        <v>57.11</v>
      </c>
      <c r="J110" s="292">
        <v>-0.03</v>
      </c>
      <c r="K110" s="292">
        <f t="shared" si="7"/>
        <v>1142.23</v>
      </c>
      <c r="L110" s="291"/>
      <c r="M110" s="291"/>
    </row>
    <row r="111" spans="1:13" x14ac:dyDescent="0.25">
      <c r="A111" s="291"/>
      <c r="B111" s="309">
        <v>42362</v>
      </c>
      <c r="C111" s="291">
        <v>300</v>
      </c>
      <c r="D111" s="296">
        <v>47.73</v>
      </c>
      <c r="E111" s="292">
        <v>-0.03</v>
      </c>
      <c r="F111" s="292">
        <f t="shared" si="6"/>
        <v>14318.969999999998</v>
      </c>
      <c r="G111" s="290">
        <v>42478</v>
      </c>
      <c r="H111" s="295">
        <v>20</v>
      </c>
      <c r="I111" s="292">
        <v>58.75</v>
      </c>
      <c r="J111" s="292">
        <v>0.03</v>
      </c>
      <c r="K111" s="292">
        <f t="shared" si="7"/>
        <v>1174.97</v>
      </c>
      <c r="L111" s="291"/>
      <c r="M111" s="291"/>
    </row>
    <row r="112" spans="1:13" x14ac:dyDescent="0.25">
      <c r="A112" s="291"/>
      <c r="B112" s="309">
        <v>42374</v>
      </c>
      <c r="C112" s="291">
        <v>100</v>
      </c>
      <c r="D112" s="296">
        <v>47.13</v>
      </c>
      <c r="E112" s="292">
        <v>0</v>
      </c>
      <c r="F112" s="292">
        <f t="shared" si="6"/>
        <v>4713</v>
      </c>
      <c r="G112" s="290">
        <v>42501</v>
      </c>
      <c r="H112" s="295">
        <v>30</v>
      </c>
      <c r="I112" s="292">
        <v>58.45</v>
      </c>
      <c r="J112" s="292">
        <v>0.04</v>
      </c>
      <c r="K112" s="292">
        <f t="shared" si="7"/>
        <v>1753.46</v>
      </c>
      <c r="L112" s="291"/>
      <c r="M112" s="291"/>
    </row>
    <row r="113" spans="1:13" x14ac:dyDescent="0.25">
      <c r="A113" s="291"/>
      <c r="B113" s="309">
        <v>42375</v>
      </c>
      <c r="C113" s="291">
        <v>100</v>
      </c>
      <c r="D113" s="296">
        <v>46.02</v>
      </c>
      <c r="E113" s="292">
        <v>0</v>
      </c>
      <c r="F113" s="292">
        <f t="shared" si="6"/>
        <v>4602</v>
      </c>
      <c r="G113" s="291"/>
      <c r="H113" s="295"/>
      <c r="I113" s="292"/>
      <c r="J113" s="292"/>
      <c r="K113" s="292"/>
      <c r="L113" s="291"/>
      <c r="M113" s="291"/>
    </row>
    <row r="114" spans="1:13" x14ac:dyDescent="0.25">
      <c r="A114" s="291"/>
      <c r="B114" s="317">
        <v>42375</v>
      </c>
      <c r="C114" s="291">
        <v>30</v>
      </c>
      <c r="D114" s="296">
        <v>45.1</v>
      </c>
      <c r="E114" s="292">
        <v>0</v>
      </c>
      <c r="F114" s="292">
        <f t="shared" si="6"/>
        <v>1353</v>
      </c>
      <c r="G114" s="291"/>
      <c r="H114" s="295"/>
      <c r="I114" s="292"/>
      <c r="J114" s="292"/>
      <c r="K114" s="292"/>
      <c r="L114" s="291"/>
      <c r="M114" s="291"/>
    </row>
    <row r="115" spans="1:13" x14ac:dyDescent="0.25">
      <c r="A115" s="291"/>
      <c r="B115" s="317"/>
      <c r="C115" s="291">
        <v>20</v>
      </c>
      <c r="D115" s="296">
        <v>45.1</v>
      </c>
      <c r="E115" s="292">
        <v>0</v>
      </c>
      <c r="F115" s="292">
        <f t="shared" si="6"/>
        <v>902</v>
      </c>
      <c r="G115" s="291"/>
      <c r="H115" s="295"/>
      <c r="I115" s="292"/>
      <c r="J115" s="292"/>
      <c r="K115" s="292"/>
      <c r="L115" s="291"/>
      <c r="M115" s="291"/>
    </row>
    <row r="116" spans="1:13" x14ac:dyDescent="0.25">
      <c r="A116" s="291"/>
      <c r="B116" s="309">
        <v>42402</v>
      </c>
      <c r="C116" s="291">
        <v>150</v>
      </c>
      <c r="D116" s="296">
        <v>39.450000000000003</v>
      </c>
      <c r="E116" s="292">
        <v>0</v>
      </c>
      <c r="F116" s="292">
        <f t="shared" si="6"/>
        <v>5917.5</v>
      </c>
      <c r="G116" s="291"/>
      <c r="H116" s="295"/>
      <c r="I116" s="292"/>
      <c r="J116" s="292"/>
      <c r="K116" s="292"/>
      <c r="L116" s="291"/>
      <c r="M116" s="291"/>
    </row>
    <row r="117" spans="1:13" x14ac:dyDescent="0.25">
      <c r="A117" s="291"/>
      <c r="B117" s="309">
        <v>42405</v>
      </c>
      <c r="C117" s="291">
        <v>100</v>
      </c>
      <c r="D117" s="296">
        <v>38.385100000000001</v>
      </c>
      <c r="E117" s="292">
        <v>0</v>
      </c>
      <c r="F117" s="292">
        <f t="shared" si="6"/>
        <v>3838.51</v>
      </c>
      <c r="G117" s="291"/>
      <c r="H117" s="295"/>
      <c r="I117" s="292"/>
      <c r="J117" s="292"/>
      <c r="K117" s="292"/>
      <c r="L117" s="291"/>
      <c r="M117" s="291"/>
    </row>
    <row r="118" spans="1:13" x14ac:dyDescent="0.25">
      <c r="A118" s="291"/>
      <c r="B118" s="309">
        <v>42426</v>
      </c>
      <c r="C118" s="291">
        <v>150</v>
      </c>
      <c r="D118" s="296">
        <v>43.09</v>
      </c>
      <c r="E118" s="292">
        <v>0</v>
      </c>
      <c r="F118" s="292">
        <f t="shared" si="6"/>
        <v>6463.5000000000009</v>
      </c>
      <c r="G118" s="291"/>
      <c r="H118" s="295"/>
      <c r="I118" s="292"/>
      <c r="J118" s="292"/>
      <c r="K118" s="292"/>
      <c r="L118" s="291"/>
      <c r="M118" s="291"/>
    </row>
    <row r="119" spans="1:13" x14ac:dyDescent="0.25">
      <c r="A119" s="291"/>
      <c r="B119" s="309">
        <v>42426</v>
      </c>
      <c r="C119" s="291">
        <v>150</v>
      </c>
      <c r="D119" s="296">
        <v>42.89</v>
      </c>
      <c r="E119" s="292">
        <v>0</v>
      </c>
      <c r="F119" s="292">
        <f t="shared" si="6"/>
        <v>6433.5</v>
      </c>
      <c r="G119" s="291"/>
      <c r="H119" s="295"/>
      <c r="I119" s="292"/>
      <c r="J119" s="292"/>
      <c r="K119" s="292"/>
      <c r="L119" s="291"/>
      <c r="M119" s="291"/>
    </row>
    <row r="120" spans="1:13" x14ac:dyDescent="0.25">
      <c r="A120" s="291"/>
      <c r="B120" s="309">
        <v>42431</v>
      </c>
      <c r="C120" s="291">
        <v>150</v>
      </c>
      <c r="D120" s="296">
        <v>45.49</v>
      </c>
      <c r="E120" s="292">
        <v>0</v>
      </c>
      <c r="F120" s="292">
        <f t="shared" si="6"/>
        <v>6823.5</v>
      </c>
      <c r="G120" s="291"/>
      <c r="H120" s="295"/>
      <c r="I120" s="292"/>
      <c r="J120" s="292"/>
      <c r="K120" s="292"/>
      <c r="L120" s="291"/>
      <c r="M120" s="291"/>
    </row>
    <row r="121" spans="1:13" x14ac:dyDescent="0.25">
      <c r="A121" s="291"/>
      <c r="B121" s="309">
        <v>42431</v>
      </c>
      <c r="C121" s="291">
        <v>150</v>
      </c>
      <c r="D121" s="296">
        <v>45.07</v>
      </c>
      <c r="E121" s="292">
        <v>0</v>
      </c>
      <c r="F121" s="292">
        <f t="shared" si="6"/>
        <v>6760.5</v>
      </c>
      <c r="G121" s="291"/>
      <c r="H121" s="295"/>
      <c r="I121" s="292"/>
      <c r="J121" s="292"/>
      <c r="K121" s="292"/>
      <c r="L121" s="291"/>
      <c r="M121" s="291"/>
    </row>
    <row r="122" spans="1:13" x14ac:dyDescent="0.25">
      <c r="A122" s="291"/>
      <c r="B122" s="309">
        <v>42433</v>
      </c>
      <c r="C122" s="291">
        <v>50</v>
      </c>
      <c r="D122" s="296">
        <v>49.45</v>
      </c>
      <c r="E122" s="292">
        <v>0</v>
      </c>
      <c r="F122" s="292">
        <f t="shared" si="6"/>
        <v>2472.5</v>
      </c>
      <c r="G122" s="291"/>
      <c r="H122" s="295"/>
      <c r="I122" s="292"/>
      <c r="J122" s="292"/>
      <c r="K122" s="292"/>
      <c r="L122" s="291"/>
      <c r="M122" s="291"/>
    </row>
    <row r="123" spans="1:13" x14ac:dyDescent="0.25">
      <c r="A123" s="291"/>
      <c r="B123" s="309">
        <v>42444</v>
      </c>
      <c r="C123" s="291">
        <v>50</v>
      </c>
      <c r="D123" s="296">
        <v>48.21</v>
      </c>
      <c r="E123" s="292">
        <v>0</v>
      </c>
      <c r="F123" s="292">
        <f t="shared" si="6"/>
        <v>2410.5</v>
      </c>
      <c r="G123" s="291"/>
      <c r="H123" s="295"/>
      <c r="I123" s="292"/>
      <c r="J123" s="292"/>
      <c r="K123" s="292"/>
      <c r="L123" s="291"/>
      <c r="M123" s="291"/>
    </row>
    <row r="124" spans="1:13" x14ac:dyDescent="0.25">
      <c r="A124" s="291"/>
      <c r="B124" s="309">
        <v>42452</v>
      </c>
      <c r="C124" s="291">
        <v>50</v>
      </c>
      <c r="D124" s="296">
        <v>51.6</v>
      </c>
      <c r="E124" s="292">
        <v>0</v>
      </c>
      <c r="F124" s="292">
        <f t="shared" si="6"/>
        <v>2580</v>
      </c>
      <c r="G124" s="291"/>
      <c r="H124" s="295"/>
      <c r="I124" s="292"/>
      <c r="J124" s="292"/>
      <c r="K124" s="292"/>
      <c r="L124" s="291"/>
      <c r="M124" s="291"/>
    </row>
    <row r="125" spans="1:13" x14ac:dyDescent="0.25">
      <c r="A125" s="291"/>
      <c r="B125" s="309">
        <v>42464</v>
      </c>
      <c r="C125" s="291">
        <v>50</v>
      </c>
      <c r="D125" s="296">
        <v>50.62</v>
      </c>
      <c r="E125" s="292">
        <v>0</v>
      </c>
      <c r="F125" s="292">
        <f t="shared" si="6"/>
        <v>2531</v>
      </c>
      <c r="G125" s="291"/>
      <c r="H125" s="295"/>
      <c r="I125" s="292"/>
      <c r="J125" s="292"/>
      <c r="K125" s="292"/>
      <c r="L125" s="291"/>
      <c r="M125" s="291"/>
    </row>
    <row r="126" spans="1:13" x14ac:dyDescent="0.25">
      <c r="A126" s="291"/>
      <c r="B126" s="309">
        <v>42493</v>
      </c>
      <c r="C126" s="291">
        <v>20</v>
      </c>
      <c r="D126" s="296">
        <v>56.5</v>
      </c>
      <c r="E126" s="292">
        <v>0</v>
      </c>
      <c r="F126" s="292">
        <f t="shared" si="6"/>
        <v>1130</v>
      </c>
      <c r="G126" s="291"/>
      <c r="H126" s="295"/>
      <c r="I126" s="292"/>
      <c r="J126" s="292"/>
      <c r="K126" s="292"/>
      <c r="L126" s="291"/>
      <c r="M126" s="291"/>
    </row>
    <row r="127" spans="1:13" x14ac:dyDescent="0.25">
      <c r="A127" s="291"/>
      <c r="B127" s="313"/>
      <c r="C127" s="291"/>
      <c r="D127" s="296"/>
      <c r="E127" s="292"/>
      <c r="F127" s="292"/>
      <c r="G127" s="291"/>
      <c r="H127" s="295"/>
      <c r="I127" s="292"/>
      <c r="J127" s="292"/>
      <c r="K127" s="292"/>
      <c r="L127" s="291"/>
      <c r="M127" s="291"/>
    </row>
    <row r="128" spans="1:13" x14ac:dyDescent="0.25">
      <c r="A128" s="21" t="s">
        <v>81</v>
      </c>
      <c r="B128" s="314"/>
      <c r="C128" s="12">
        <f>SUM(C77:C127)</f>
        <v>3500</v>
      </c>
      <c r="D128" s="315"/>
      <c r="E128" s="12"/>
      <c r="F128" s="13">
        <f>SUM(F77:F127)</f>
        <v>172887.38</v>
      </c>
      <c r="G128" s="12"/>
      <c r="H128" s="72">
        <f>SUM(H77:H127)</f>
        <v>3500</v>
      </c>
      <c r="I128" s="12"/>
      <c r="J128" s="12"/>
      <c r="K128" s="13">
        <f>SUM(K77:K127)</f>
        <v>175898.68000000005</v>
      </c>
      <c r="L128" s="12"/>
      <c r="M128" s="13">
        <f>SUM(M77:M100)</f>
        <v>167.5</v>
      </c>
    </row>
    <row r="129" spans="1:13" x14ac:dyDescent="0.25">
      <c r="A129" s="291"/>
      <c r="B129" s="313"/>
      <c r="C129" s="291"/>
      <c r="D129" s="296"/>
      <c r="E129" s="292"/>
      <c r="F129" s="292"/>
      <c r="G129" s="291"/>
      <c r="H129" s="295"/>
      <c r="I129" s="292"/>
      <c r="J129" s="292"/>
      <c r="K129" s="292"/>
      <c r="L129" s="291"/>
      <c r="M129" s="291"/>
    </row>
  </sheetData>
  <mergeCells count="1">
    <mergeCell ref="O44:P44"/>
  </mergeCells>
  <conditionalFormatting sqref="O45:O65">
    <cfRule type="colorScale" priority="22">
      <colorScale>
        <cfvo type="min"/>
        <cfvo type="percentile" val="50"/>
        <cfvo type="max"/>
        <color rgb="FFF8696B"/>
        <color rgb="FFFFEB84"/>
        <color rgb="FF63BE7B"/>
      </colorScale>
    </cfRule>
  </conditionalFormatting>
  <conditionalFormatting sqref="P45:P65">
    <cfRule type="colorScale" priority="21">
      <colorScale>
        <cfvo type="min"/>
        <cfvo type="percentile" val="50"/>
        <cfvo type="max"/>
        <color rgb="FFF8696B"/>
        <color rgb="FFFFEB84"/>
        <color rgb="FF63BE7B"/>
      </colorScale>
    </cfRule>
  </conditionalFormatting>
  <conditionalFormatting sqref="AD1:AD1048576">
    <cfRule type="dataBar" priority="20">
      <dataBar>
        <cfvo type="min"/>
        <cfvo type="max"/>
        <color rgb="FFFF555A"/>
      </dataBar>
      <extLst>
        <ext xmlns:x14="http://schemas.microsoft.com/office/spreadsheetml/2009/9/main" uri="{B025F937-C7B1-47D3-B67F-A62EFF666E3E}">
          <x14:id>{D3F0216C-3807-4445-9088-20AF4F738CEE}</x14:id>
        </ext>
      </extLst>
    </cfRule>
  </conditionalFormatting>
  <conditionalFormatting sqref="AE1:AE1048576">
    <cfRule type="iconSet" priority="19">
      <iconSet iconSet="3Arrows">
        <cfvo type="percent" val="0"/>
        <cfvo type="num" val="0"/>
        <cfvo type="num" val="0"/>
      </iconSet>
    </cfRule>
  </conditionalFormatting>
  <conditionalFormatting sqref="F38:F72">
    <cfRule type="expression" dxfId="1813" priority="17">
      <formula>F38&gt;0</formula>
    </cfRule>
    <cfRule type="expression" dxfId="1812" priority="18">
      <formula>F38&lt;0</formula>
    </cfRule>
  </conditionalFormatting>
  <conditionalFormatting sqref="H38:H72">
    <cfRule type="expression" dxfId="1811" priority="9">
      <formula>H38&gt;0</formula>
    </cfRule>
    <cfRule type="expression" dxfId="1810" priority="10">
      <formula>H38&lt;0</formula>
    </cfRule>
  </conditionalFormatting>
  <conditionalFormatting sqref="F21:F37">
    <cfRule type="expression" dxfId="1809" priority="7">
      <formula>F21&gt;0</formula>
    </cfRule>
    <cfRule type="expression" dxfId="1808" priority="8">
      <formula>F21&lt;0</formula>
    </cfRule>
  </conditionalFormatting>
  <conditionalFormatting sqref="H21:H37">
    <cfRule type="expression" dxfId="1807" priority="5">
      <formula>H21&gt;0</formula>
    </cfRule>
    <cfRule type="expression" dxfId="1806" priority="6">
      <formula>H21&lt;0</formula>
    </cfRule>
  </conditionalFormatting>
  <conditionalFormatting sqref="Q8">
    <cfRule type="expression" dxfId="1805" priority="1">
      <formula>Q8&gt;0</formula>
    </cfRule>
    <cfRule type="expression" dxfId="1804" priority="2">
      <formula>Q8&lt;0</formula>
    </cfRule>
  </conditionalFormatting>
  <conditionalFormatting sqref="Q7">
    <cfRule type="expression" dxfId="1803" priority="3">
      <formula>Q7&gt;0</formula>
    </cfRule>
    <cfRule type="expression" dxfId="1802" priority="4">
      <formula>Q7&lt;0</formula>
    </cfRule>
  </conditionalFormatting>
  <hyperlinks>
    <hyperlink ref="A3" location="ACTIVE!A1" display="Back"/>
    <hyperlink ref="A78"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3F0216C-3807-4445-9088-20AF4F738CEE}">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dimension ref="A1:U7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8.5703125" customWidth="1"/>
    <col min="21" max="21" width="35.5703125" customWidth="1"/>
    <col min="23" max="23" width="13" customWidth="1"/>
    <col min="24" max="24" width="8.71093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36</v>
      </c>
      <c r="B2" s="69"/>
      <c r="C2" s="4"/>
      <c r="D2" s="3"/>
      <c r="E2" s="3"/>
      <c r="F2" s="3"/>
      <c r="G2" s="69"/>
      <c r="H2" s="158"/>
      <c r="I2" s="3"/>
      <c r="J2" s="3"/>
      <c r="K2" s="3"/>
      <c r="L2" s="69"/>
      <c r="M2" s="3"/>
      <c r="O2" s="11" t="s">
        <v>57</v>
      </c>
      <c r="Q2">
        <f>C18-H18</f>
        <v>0</v>
      </c>
      <c r="T2" s="1"/>
    </row>
    <row r="3" spans="1:21" x14ac:dyDescent="0.25">
      <c r="A3" s="22" t="s">
        <v>71</v>
      </c>
      <c r="B3" s="69"/>
      <c r="C3" s="4"/>
      <c r="D3" s="3"/>
      <c r="E3" s="3"/>
      <c r="F3" s="3"/>
      <c r="G3" s="69"/>
      <c r="H3" s="158"/>
      <c r="I3" s="3"/>
      <c r="J3" s="3"/>
      <c r="K3" s="3"/>
      <c r="L3" s="4"/>
      <c r="M3" s="4"/>
      <c r="O3" s="11" t="s">
        <v>58</v>
      </c>
      <c r="Q3" s="174">
        <f>IF(Q2=0, Q4, (F18-K18-M18)/Q2)</f>
        <v>54.48</v>
      </c>
      <c r="T3" s="1"/>
    </row>
    <row r="4" spans="1:21" x14ac:dyDescent="0.25">
      <c r="B4" s="69"/>
      <c r="C4" s="4"/>
      <c r="D4" s="3"/>
      <c r="E4" s="3"/>
      <c r="F4" s="3"/>
      <c r="G4" s="4"/>
      <c r="H4" s="158"/>
      <c r="I4" s="3"/>
      <c r="J4" s="3"/>
      <c r="K4" s="3"/>
      <c r="L4" s="4"/>
      <c r="M4" s="4"/>
      <c r="O4" s="11" t="s">
        <v>66</v>
      </c>
      <c r="Q4" s="53">
        <v>54.48</v>
      </c>
      <c r="R4" s="396">
        <v>-6.7999999999999996E-3</v>
      </c>
      <c r="T4" s="153"/>
      <c r="U4" s="1"/>
    </row>
    <row r="5" spans="1:21" x14ac:dyDescent="0.25">
      <c r="B5" s="69"/>
      <c r="C5" s="4"/>
      <c r="D5" s="3"/>
      <c r="E5" s="3"/>
      <c r="F5" s="3"/>
      <c r="G5" s="4"/>
      <c r="H5" s="158"/>
      <c r="I5" s="3"/>
      <c r="J5" s="3"/>
      <c r="K5" s="3"/>
      <c r="L5" s="4"/>
      <c r="M5" s="4"/>
      <c r="O5" s="11" t="s">
        <v>67</v>
      </c>
      <c r="Q5" s="3">
        <f>Q4*Q2</f>
        <v>0</v>
      </c>
    </row>
    <row r="6" spans="1:21" x14ac:dyDescent="0.25">
      <c r="B6" s="69"/>
      <c r="C6" s="4"/>
      <c r="D6" s="3"/>
      <c r="E6" s="3"/>
      <c r="F6" s="3"/>
      <c r="G6" s="4"/>
      <c r="H6" s="158"/>
      <c r="I6" s="3"/>
      <c r="J6" s="3"/>
      <c r="K6" s="3"/>
      <c r="L6" s="4"/>
      <c r="M6" s="4"/>
      <c r="O6" s="11" t="s">
        <v>64</v>
      </c>
      <c r="Q6" s="2">
        <f>Q3*Q2</f>
        <v>0</v>
      </c>
    </row>
    <row r="7" spans="1:21" x14ac:dyDescent="0.25">
      <c r="B7" s="4"/>
      <c r="C7" s="4"/>
      <c r="D7" s="3"/>
      <c r="E7" s="3"/>
      <c r="F7" s="3"/>
      <c r="G7" s="4"/>
      <c r="H7" s="158"/>
      <c r="I7" s="3"/>
      <c r="J7" s="3"/>
      <c r="K7" s="3"/>
      <c r="L7" s="4"/>
      <c r="M7" s="4"/>
      <c r="O7" s="11" t="s">
        <v>175</v>
      </c>
      <c r="Q7" s="2">
        <f>Q10+Q8</f>
        <v>117.73999999999978</v>
      </c>
      <c r="R7">
        <v>0</v>
      </c>
    </row>
    <row r="8" spans="1:21" x14ac:dyDescent="0.25">
      <c r="B8" s="4"/>
      <c r="C8" s="4"/>
      <c r="D8" s="3"/>
      <c r="E8" s="3"/>
      <c r="F8" s="3"/>
      <c r="G8" s="4"/>
      <c r="H8" s="158"/>
      <c r="I8" s="3"/>
      <c r="J8" s="3"/>
      <c r="K8" s="3"/>
      <c r="L8" s="4"/>
      <c r="M8" s="4"/>
      <c r="O8" s="11" t="s">
        <v>177</v>
      </c>
      <c r="P8" s="33"/>
      <c r="Q8" s="2">
        <f>K18+M18-F18+Q2*Q4</f>
        <v>0</v>
      </c>
    </row>
    <row r="9" spans="1:21" x14ac:dyDescent="0.25">
      <c r="B9" s="4"/>
      <c r="C9" s="4"/>
      <c r="D9" s="3"/>
      <c r="E9" s="3"/>
      <c r="F9" s="3"/>
      <c r="G9" s="4"/>
      <c r="H9" s="158"/>
      <c r="I9" s="3"/>
      <c r="J9" s="3"/>
      <c r="K9" s="3"/>
      <c r="L9" s="4"/>
      <c r="M9" s="4"/>
      <c r="O9" s="11" t="s">
        <v>202</v>
      </c>
      <c r="Q9" s="131">
        <f>IF(Q2=0, 0, Q8/Q6)</f>
        <v>0</v>
      </c>
    </row>
    <row r="10" spans="1:21" x14ac:dyDescent="0.25">
      <c r="B10" s="4"/>
      <c r="C10" s="4"/>
      <c r="D10" s="3"/>
      <c r="E10" s="3"/>
      <c r="F10" s="3"/>
      <c r="G10" s="4"/>
      <c r="H10" s="158"/>
      <c r="I10" s="3"/>
      <c r="J10" s="3"/>
      <c r="K10" s="3"/>
      <c r="L10" s="4"/>
      <c r="M10" s="4"/>
      <c r="O10" s="11" t="s">
        <v>201</v>
      </c>
      <c r="P10" s="33"/>
      <c r="Q10" s="2">
        <f>M55</f>
        <v>117.73999999999978</v>
      </c>
    </row>
    <row r="11" spans="1:21" x14ac:dyDescent="0.25">
      <c r="B11" s="4"/>
      <c r="C11" s="4"/>
      <c r="D11" s="3"/>
      <c r="E11" s="3"/>
      <c r="F11" s="3"/>
      <c r="G11" s="4"/>
      <c r="H11" s="158"/>
      <c r="I11" s="3"/>
      <c r="J11" s="3"/>
      <c r="K11" s="3"/>
      <c r="L11" s="4"/>
      <c r="M11" s="4"/>
      <c r="O11" s="11" t="s">
        <v>173</v>
      </c>
      <c r="P11" s="33"/>
      <c r="Q11" s="131">
        <v>0</v>
      </c>
    </row>
    <row r="12" spans="1:21" x14ac:dyDescent="0.25">
      <c r="B12" s="4"/>
      <c r="C12" s="4"/>
      <c r="D12" s="3"/>
      <c r="E12" s="3"/>
      <c r="F12" s="3"/>
      <c r="G12" s="4"/>
      <c r="H12" s="158"/>
      <c r="I12" s="3"/>
      <c r="J12" s="3"/>
      <c r="K12" s="3"/>
      <c r="L12" s="4"/>
      <c r="M12" s="4"/>
    </row>
    <row r="13" spans="1:21" x14ac:dyDescent="0.25">
      <c r="B13" s="4"/>
      <c r="C13" s="4"/>
      <c r="D13" s="3"/>
      <c r="E13" s="3"/>
      <c r="F13" s="3"/>
      <c r="G13" s="4"/>
      <c r="H13" s="158"/>
      <c r="I13" s="3"/>
      <c r="J13" s="3"/>
      <c r="K13" s="3"/>
      <c r="L13" s="4"/>
      <c r="M13" s="4"/>
    </row>
    <row r="14" spans="1:21" x14ac:dyDescent="0.25">
      <c r="H14" s="67"/>
    </row>
    <row r="15" spans="1:21" x14ac:dyDescent="0.25">
      <c r="H15" s="67"/>
    </row>
    <row r="16" spans="1:21" x14ac:dyDescent="0.25">
      <c r="H16" s="67"/>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row>
    <row r="24" spans="1:13" x14ac:dyDescent="0.25">
      <c r="B24" s="159" t="s">
        <v>113</v>
      </c>
      <c r="C24" s="159" t="s">
        <v>143</v>
      </c>
      <c r="D24" s="160" t="s">
        <v>142</v>
      </c>
      <c r="E24" s="162" t="s">
        <v>144</v>
      </c>
      <c r="F24" s="162" t="s">
        <v>65</v>
      </c>
      <c r="G24" s="173" t="s">
        <v>148</v>
      </c>
      <c r="H24" s="173" t="s">
        <v>88</v>
      </c>
      <c r="I24" s="173" t="s">
        <v>151</v>
      </c>
    </row>
    <row r="25" spans="1:13" x14ac:dyDescent="0.25">
      <c r="B25" s="161">
        <v>42572</v>
      </c>
      <c r="C25" s="7">
        <v>140</v>
      </c>
      <c r="D25" s="43">
        <v>38.5229</v>
      </c>
      <c r="E25" s="39">
        <v>37.32</v>
      </c>
      <c r="F25" s="39">
        <f>C25*(E25-D25)</f>
        <v>-168.40599999999995</v>
      </c>
      <c r="G25" s="39">
        <f t="shared" ref="G25:G43" si="0">D25*C25</f>
        <v>5393.2060000000001</v>
      </c>
      <c r="H25" s="175">
        <f t="shared" ref="H25:H43" si="1">(E25-D25)/D25</f>
        <v>-3.1225582705351872E-2</v>
      </c>
      <c r="I25" s="39"/>
    </row>
    <row r="26" spans="1:13" x14ac:dyDescent="0.25">
      <c r="B26" s="161">
        <v>42575</v>
      </c>
      <c r="C26" s="10">
        <v>140</v>
      </c>
      <c r="D26" s="39">
        <v>38.5229</v>
      </c>
      <c r="E26" s="39">
        <v>37.83</v>
      </c>
      <c r="F26" s="39">
        <f>C26*(E26-D26)</f>
        <v>-97.006000000000228</v>
      </c>
      <c r="G26" s="39">
        <f t="shared" si="0"/>
        <v>5393.2060000000001</v>
      </c>
      <c r="H26" s="175">
        <f t="shared" si="1"/>
        <v>-1.7986704012418631E-2</v>
      </c>
      <c r="I26" s="39"/>
    </row>
    <row r="27" spans="1:13" x14ac:dyDescent="0.25">
      <c r="B27" s="161">
        <v>42576</v>
      </c>
      <c r="C27" s="10">
        <v>170</v>
      </c>
      <c r="D27" s="39">
        <v>38.2806</v>
      </c>
      <c r="E27" s="39">
        <v>37.36</v>
      </c>
      <c r="F27" s="39">
        <f t="shared" ref="F27:F32" si="2">C27*(E27-D27)</f>
        <v>-156.50200000000007</v>
      </c>
      <c r="G27" s="39">
        <f t="shared" si="0"/>
        <v>6507.7020000000002</v>
      </c>
      <c r="H27" s="175">
        <f t="shared" si="1"/>
        <v>-2.4048734868314506E-2</v>
      </c>
      <c r="I27" s="39"/>
    </row>
    <row r="28" spans="1:13" x14ac:dyDescent="0.25">
      <c r="B28" s="161">
        <v>42577</v>
      </c>
      <c r="C28" s="10">
        <v>170</v>
      </c>
      <c r="D28" s="39">
        <v>38.2806</v>
      </c>
      <c r="E28" s="39">
        <v>38.28</v>
      </c>
      <c r="F28" s="39">
        <f t="shared" si="2"/>
        <v>-0.10199999999976228</v>
      </c>
      <c r="G28" s="39">
        <f t="shared" si="0"/>
        <v>6507.7020000000002</v>
      </c>
      <c r="H28" s="175">
        <f t="shared" si="1"/>
        <v>-1.5673735521350285E-5</v>
      </c>
      <c r="I28" s="39"/>
    </row>
    <row r="29" spans="1:13" x14ac:dyDescent="0.25">
      <c r="B29" s="161">
        <v>42580</v>
      </c>
      <c r="C29" s="10">
        <v>170</v>
      </c>
      <c r="D29" s="39">
        <v>38.2806</v>
      </c>
      <c r="E29" s="39">
        <v>37.01</v>
      </c>
      <c r="F29" s="39">
        <f t="shared" si="2"/>
        <v>-216.00200000000029</v>
      </c>
      <c r="G29" s="39">
        <f t="shared" si="0"/>
        <v>6507.7020000000002</v>
      </c>
      <c r="H29" s="175">
        <f t="shared" si="1"/>
        <v>-3.3191747255790181E-2</v>
      </c>
      <c r="I29" s="39"/>
    </row>
    <row r="30" spans="1:13" x14ac:dyDescent="0.25">
      <c r="B30" s="161">
        <v>42585</v>
      </c>
      <c r="C30" s="10">
        <v>170</v>
      </c>
      <c r="D30" s="39">
        <v>38.2806</v>
      </c>
      <c r="E30" s="39">
        <v>35.54</v>
      </c>
      <c r="F30" s="39">
        <f t="shared" si="2"/>
        <v>-465.9020000000001</v>
      </c>
      <c r="G30" s="39">
        <f t="shared" si="0"/>
        <v>6507.7020000000002</v>
      </c>
      <c r="H30" s="175">
        <f t="shared" si="1"/>
        <v>-7.1592399283187849E-2</v>
      </c>
      <c r="I30" s="39"/>
    </row>
    <row r="31" spans="1:13" x14ac:dyDescent="0.25">
      <c r="B31" s="161">
        <v>42593</v>
      </c>
      <c r="C31" s="10">
        <v>170</v>
      </c>
      <c r="D31" s="39">
        <v>38.2806</v>
      </c>
      <c r="E31" s="39">
        <v>36.99</v>
      </c>
      <c r="F31" s="39">
        <f t="shared" si="2"/>
        <v>-219.40199999999962</v>
      </c>
      <c r="G31" s="39">
        <f t="shared" si="0"/>
        <v>6507.7020000000002</v>
      </c>
      <c r="H31" s="175">
        <f t="shared" si="1"/>
        <v>-3.3714205106502977E-2</v>
      </c>
      <c r="I31" s="39"/>
    </row>
    <row r="32" spans="1:13" x14ac:dyDescent="0.25">
      <c r="B32" s="161">
        <v>42598</v>
      </c>
      <c r="C32" s="387">
        <v>200</v>
      </c>
      <c r="D32" s="389">
        <v>38.025500000000001</v>
      </c>
      <c r="E32" s="39">
        <v>36.520000000000003</v>
      </c>
      <c r="F32" s="39">
        <f t="shared" si="2"/>
        <v>-301.09999999999957</v>
      </c>
      <c r="G32" s="39">
        <f t="shared" si="0"/>
        <v>7605.1</v>
      </c>
      <c r="H32" s="175">
        <f t="shared" si="1"/>
        <v>-3.9591852835597109E-2</v>
      </c>
      <c r="I32" s="39"/>
    </row>
    <row r="33" spans="2:17" x14ac:dyDescent="0.25">
      <c r="B33" s="161">
        <v>42599</v>
      </c>
      <c r="C33" s="10">
        <v>200</v>
      </c>
      <c r="D33" s="39">
        <v>38.025500000000001</v>
      </c>
      <c r="E33" s="39">
        <v>36.85</v>
      </c>
      <c r="F33" s="39">
        <f t="shared" ref="F33:F43" si="3">C33*(E33-D33)</f>
        <v>-235.09999999999991</v>
      </c>
      <c r="G33" s="39">
        <f t="shared" si="0"/>
        <v>7605.1</v>
      </c>
      <c r="H33" s="175">
        <f t="shared" si="1"/>
        <v>-3.0913465963629656E-2</v>
      </c>
      <c r="I33" s="180"/>
    </row>
    <row r="34" spans="2:17" x14ac:dyDescent="0.25">
      <c r="B34" s="161">
        <v>42601</v>
      </c>
      <c r="C34" s="10">
        <v>200</v>
      </c>
      <c r="D34" s="39">
        <v>38.025500000000001</v>
      </c>
      <c r="E34" s="39">
        <v>36.35</v>
      </c>
      <c r="F34" s="39">
        <f t="shared" si="3"/>
        <v>-335.09999999999991</v>
      </c>
      <c r="G34" s="39">
        <f t="shared" si="0"/>
        <v>7605.1</v>
      </c>
      <c r="H34" s="175">
        <f t="shared" si="1"/>
        <v>-4.4062536981762226E-2</v>
      </c>
      <c r="I34" s="39"/>
    </row>
    <row r="35" spans="2:17" x14ac:dyDescent="0.25">
      <c r="B35" s="161">
        <v>42605</v>
      </c>
      <c r="C35" s="10">
        <v>200</v>
      </c>
      <c r="D35" s="39">
        <v>38.025500000000001</v>
      </c>
      <c r="E35" s="39">
        <v>36.69</v>
      </c>
      <c r="F35" s="39">
        <f t="shared" si="3"/>
        <v>-267.10000000000065</v>
      </c>
      <c r="G35" s="39">
        <f t="shared" si="0"/>
        <v>7605.1</v>
      </c>
      <c r="H35" s="175">
        <f t="shared" si="1"/>
        <v>-3.5121168689432179E-2</v>
      </c>
      <c r="I35" s="39"/>
    </row>
    <row r="36" spans="2:17" x14ac:dyDescent="0.25">
      <c r="B36" s="161">
        <v>42611</v>
      </c>
      <c r="C36" s="10">
        <v>200</v>
      </c>
      <c r="D36" s="39">
        <v>38.025500000000001</v>
      </c>
      <c r="E36" s="39">
        <v>36.450000000000003</v>
      </c>
      <c r="F36" s="39">
        <f t="shared" si="3"/>
        <v>-315.09999999999962</v>
      </c>
      <c r="G36" s="39">
        <f t="shared" si="0"/>
        <v>7605.1</v>
      </c>
      <c r="H36" s="175">
        <f t="shared" si="1"/>
        <v>-4.1432722778135672E-2</v>
      </c>
      <c r="I36" s="39"/>
    </row>
    <row r="37" spans="2:17" x14ac:dyDescent="0.25">
      <c r="B37" s="161">
        <v>42612</v>
      </c>
      <c r="C37" s="10">
        <v>200</v>
      </c>
      <c r="D37" s="39">
        <v>38.025500000000001</v>
      </c>
      <c r="E37" s="39">
        <v>37.18</v>
      </c>
      <c r="F37" s="39">
        <f t="shared" si="3"/>
        <v>-169.10000000000025</v>
      </c>
      <c r="G37" s="39">
        <f t="shared" si="0"/>
        <v>7605.1</v>
      </c>
      <c r="H37" s="175">
        <f t="shared" si="1"/>
        <v>-2.2235079091662207E-2</v>
      </c>
      <c r="I37" s="39"/>
    </row>
    <row r="38" spans="2:17" x14ac:dyDescent="0.25">
      <c r="B38" s="161">
        <v>42615</v>
      </c>
      <c r="C38" s="10">
        <v>200</v>
      </c>
      <c r="D38" s="39">
        <v>38.025500000000001</v>
      </c>
      <c r="E38" s="39">
        <v>36.89</v>
      </c>
      <c r="F38" s="39">
        <f t="shared" si="3"/>
        <v>-227.10000000000008</v>
      </c>
      <c r="G38" s="39">
        <f t="shared" si="0"/>
        <v>7605.1</v>
      </c>
      <c r="H38" s="175">
        <f t="shared" si="1"/>
        <v>-2.9861540282179074E-2</v>
      </c>
      <c r="I38" s="39"/>
    </row>
    <row r="39" spans="2:17" x14ac:dyDescent="0.25">
      <c r="B39" s="161">
        <v>42620</v>
      </c>
      <c r="C39" s="10">
        <v>100</v>
      </c>
      <c r="D39" s="39">
        <v>37.571800000000003</v>
      </c>
      <c r="E39" s="39">
        <v>38.68</v>
      </c>
      <c r="F39" s="39">
        <f t="shared" si="3"/>
        <v>110.81999999999965</v>
      </c>
      <c r="G39" s="39">
        <f t="shared" si="0"/>
        <v>3757.1800000000003</v>
      </c>
      <c r="H39" s="175">
        <f t="shared" si="1"/>
        <v>2.9495525899743861E-2</v>
      </c>
      <c r="I39" s="39"/>
    </row>
    <row r="40" spans="2:17" ht="20.25" thickBot="1" x14ac:dyDescent="0.35">
      <c r="B40" s="161">
        <v>42621</v>
      </c>
      <c r="C40" s="10">
        <v>100</v>
      </c>
      <c r="D40" s="39">
        <v>37.3718</v>
      </c>
      <c r="E40" s="39">
        <v>38.76</v>
      </c>
      <c r="F40" s="39">
        <f t="shared" si="3"/>
        <v>138.81999999999977</v>
      </c>
      <c r="G40" s="39">
        <f t="shared" si="0"/>
        <v>3737.18</v>
      </c>
      <c r="H40" s="175">
        <f t="shared" si="1"/>
        <v>3.7145655280184459E-2</v>
      </c>
      <c r="I40" s="39"/>
      <c r="O40" s="886" t="s">
        <v>78</v>
      </c>
      <c r="P40" s="886"/>
    </row>
    <row r="41" spans="2:17" ht="15.75" thickTop="1" x14ac:dyDescent="0.25">
      <c r="B41" s="161">
        <v>42622</v>
      </c>
      <c r="C41" s="10">
        <v>100</v>
      </c>
      <c r="D41" s="39">
        <v>37.3718</v>
      </c>
      <c r="E41" s="39">
        <v>37.340000000000003</v>
      </c>
      <c r="F41" s="39">
        <f t="shared" si="3"/>
        <v>-3.1799999999996942</v>
      </c>
      <c r="G41" s="39">
        <f t="shared" si="0"/>
        <v>3737.18</v>
      </c>
      <c r="H41" s="175">
        <f t="shared" si="1"/>
        <v>-8.5090897414619962E-4</v>
      </c>
      <c r="I41" s="39"/>
      <c r="O41" s="78">
        <v>1.1000000000000001</v>
      </c>
      <c r="P41" s="78">
        <f>O41*$Q$4</f>
        <v>59.928000000000004</v>
      </c>
      <c r="Q41" s="2"/>
    </row>
    <row r="42" spans="2:17" x14ac:dyDescent="0.25">
      <c r="B42" s="161">
        <v>42625</v>
      </c>
      <c r="C42" s="10">
        <v>100</v>
      </c>
      <c r="D42" s="39">
        <v>37.3718</v>
      </c>
      <c r="E42" s="39">
        <v>37.82</v>
      </c>
      <c r="F42" s="39">
        <f t="shared" si="3"/>
        <v>44.819999999999993</v>
      </c>
      <c r="G42" s="39">
        <f t="shared" si="0"/>
        <v>3737.18</v>
      </c>
      <c r="H42" s="175">
        <f t="shared" si="1"/>
        <v>1.1993000069571172E-2</v>
      </c>
      <c r="I42" s="39"/>
      <c r="O42" s="78">
        <v>1.0900000000000001</v>
      </c>
      <c r="P42" s="78">
        <f t="shared" ref="P42:P61" si="4">O42*$Q$4</f>
        <v>59.383200000000002</v>
      </c>
      <c r="Q42" s="2"/>
    </row>
    <row r="43" spans="2:17" x14ac:dyDescent="0.25">
      <c r="B43" s="161">
        <v>42635</v>
      </c>
      <c r="C43" s="10">
        <v>100</v>
      </c>
      <c r="D43" s="39">
        <v>37.3718</v>
      </c>
      <c r="E43" s="39">
        <v>37.33</v>
      </c>
      <c r="F43" s="39">
        <f t="shared" si="3"/>
        <v>-4.1800000000002058</v>
      </c>
      <c r="G43" s="39">
        <f t="shared" si="0"/>
        <v>3737.18</v>
      </c>
      <c r="H43" s="175">
        <f t="shared" si="1"/>
        <v>-1.1184904125571167E-3</v>
      </c>
      <c r="I43" s="39"/>
      <c r="O43" s="78">
        <v>1.08</v>
      </c>
      <c r="P43" s="78">
        <f t="shared" si="4"/>
        <v>58.8384</v>
      </c>
      <c r="Q43" s="2"/>
    </row>
    <row r="44" spans="2:17" x14ac:dyDescent="0.25">
      <c r="B44" s="161">
        <v>42640</v>
      </c>
      <c r="C44" s="10">
        <v>0</v>
      </c>
      <c r="D44" s="39"/>
      <c r="E44" s="39"/>
      <c r="F44" s="39">
        <v>117.74</v>
      </c>
      <c r="G44" s="39"/>
      <c r="H44" s="175"/>
      <c r="I44" s="39"/>
      <c r="O44" s="78">
        <v>1.07</v>
      </c>
      <c r="P44" s="78">
        <f t="shared" si="4"/>
        <v>58.293599999999998</v>
      </c>
      <c r="Q44" s="2"/>
    </row>
    <row r="45" spans="2:17" x14ac:dyDescent="0.25">
      <c r="B45" s="161"/>
      <c r="C45" s="10"/>
      <c r="D45" s="39"/>
      <c r="E45" s="39"/>
      <c r="F45" s="39"/>
      <c r="G45" s="39"/>
      <c r="H45" s="175"/>
      <c r="I45" s="39"/>
      <c r="O45" s="78">
        <v>1.06</v>
      </c>
      <c r="P45" s="78">
        <f t="shared" si="4"/>
        <v>57.748800000000003</v>
      </c>
      <c r="Q45" s="2"/>
    </row>
    <row r="46" spans="2:17" x14ac:dyDescent="0.25">
      <c r="B46" s="161"/>
      <c r="C46" s="10"/>
      <c r="D46" s="39"/>
      <c r="E46" s="39"/>
      <c r="F46" s="39"/>
      <c r="G46" s="39"/>
      <c r="H46" s="175"/>
      <c r="I46" s="39"/>
      <c r="O46" s="78">
        <v>1.05</v>
      </c>
      <c r="P46" s="78">
        <f t="shared" si="4"/>
        <v>57.204000000000001</v>
      </c>
      <c r="Q46" s="2"/>
    </row>
    <row r="47" spans="2:17" x14ac:dyDescent="0.25">
      <c r="B47" s="161"/>
      <c r="C47" s="10"/>
      <c r="D47" s="39"/>
      <c r="E47" s="39"/>
      <c r="F47" s="39"/>
      <c r="G47" s="39"/>
      <c r="H47" s="175"/>
      <c r="I47" s="39"/>
      <c r="O47" s="78">
        <v>1.04</v>
      </c>
      <c r="P47" s="78">
        <f t="shared" si="4"/>
        <v>56.659199999999998</v>
      </c>
      <c r="Q47" s="2"/>
    </row>
    <row r="48" spans="2:17" x14ac:dyDescent="0.25">
      <c r="O48" s="78">
        <v>1.03</v>
      </c>
      <c r="P48" s="78">
        <f t="shared" si="4"/>
        <v>56.114399999999996</v>
      </c>
      <c r="Q48" s="2"/>
    </row>
    <row r="49" spans="1:17" x14ac:dyDescent="0.25">
      <c r="O49" s="78">
        <v>1.02</v>
      </c>
      <c r="P49" s="78">
        <f t="shared" si="4"/>
        <v>55.569600000000001</v>
      </c>
      <c r="Q49" s="2"/>
    </row>
    <row r="50" spans="1:17" x14ac:dyDescent="0.25">
      <c r="O50" s="78">
        <v>1.01</v>
      </c>
      <c r="P50" s="78">
        <f t="shared" si="4"/>
        <v>55.024799999999999</v>
      </c>
      <c r="Q50" s="2"/>
    </row>
    <row r="51" spans="1:17" x14ac:dyDescent="0.25">
      <c r="O51" s="78">
        <v>1</v>
      </c>
      <c r="P51" s="78">
        <f t="shared" si="4"/>
        <v>54.48</v>
      </c>
      <c r="Q51" s="2"/>
    </row>
    <row r="52" spans="1:17" x14ac:dyDescent="0.25">
      <c r="O52" s="78">
        <v>0.99</v>
      </c>
      <c r="P52" s="78">
        <f t="shared" si="4"/>
        <v>53.935199999999995</v>
      </c>
      <c r="Q52" s="2"/>
    </row>
    <row r="53" spans="1:17" x14ac:dyDescent="0.25">
      <c r="O53" s="78">
        <v>0.98</v>
      </c>
      <c r="P53" s="78">
        <f t="shared" si="4"/>
        <v>53.390399999999993</v>
      </c>
      <c r="Q53" s="2"/>
    </row>
    <row r="54" spans="1:17" x14ac:dyDescent="0.25">
      <c r="O54" s="78">
        <v>0.97</v>
      </c>
      <c r="P54" s="78">
        <f t="shared" si="4"/>
        <v>52.845599999999997</v>
      </c>
    </row>
    <row r="55" spans="1:17" x14ac:dyDescent="0.25">
      <c r="L55" t="s">
        <v>65</v>
      </c>
      <c r="M55" s="2">
        <f>M73+K73-F73</f>
        <v>117.73999999999978</v>
      </c>
      <c r="O55" s="78">
        <v>0.96</v>
      </c>
      <c r="P55" s="78">
        <f t="shared" si="4"/>
        <v>52.300799999999995</v>
      </c>
    </row>
    <row r="56" spans="1:17" x14ac:dyDescent="0.25">
      <c r="A56" s="297" t="s">
        <v>1</v>
      </c>
      <c r="B56" s="297" t="s">
        <v>2</v>
      </c>
      <c r="C56" s="297" t="s">
        <v>4</v>
      </c>
      <c r="D56" s="299" t="s">
        <v>5</v>
      </c>
      <c r="E56" s="299" t="s">
        <v>94</v>
      </c>
      <c r="F56" s="299" t="s">
        <v>60</v>
      </c>
      <c r="G56" s="297" t="s">
        <v>3</v>
      </c>
      <c r="H56" s="297" t="s">
        <v>6</v>
      </c>
      <c r="I56" s="299" t="s">
        <v>7</v>
      </c>
      <c r="J56" s="299" t="s">
        <v>95</v>
      </c>
      <c r="K56" s="299" t="s">
        <v>61</v>
      </c>
      <c r="L56" s="297" t="s">
        <v>37</v>
      </c>
      <c r="M56" s="297" t="s">
        <v>38</v>
      </c>
      <c r="O56" s="78">
        <v>0.95</v>
      </c>
      <c r="P56" s="78">
        <f t="shared" si="4"/>
        <v>51.755999999999993</v>
      </c>
    </row>
    <row r="57" spans="1:17" x14ac:dyDescent="0.25">
      <c r="A57" s="300" t="s">
        <v>36</v>
      </c>
      <c r="B57" s="290">
        <v>42572</v>
      </c>
      <c r="C57" s="291">
        <v>60</v>
      </c>
      <c r="D57" s="292">
        <v>39.58</v>
      </c>
      <c r="E57" s="292">
        <v>0</v>
      </c>
      <c r="F57" s="292">
        <f>C57*D57+E57</f>
        <v>2374.7999999999997</v>
      </c>
      <c r="G57" s="290">
        <v>42620</v>
      </c>
      <c r="H57" s="295">
        <v>100</v>
      </c>
      <c r="I57" s="292">
        <v>38.479999999999997</v>
      </c>
      <c r="J57" s="292">
        <v>0.08</v>
      </c>
      <c r="K57" s="292">
        <f>I57*H57-J57</f>
        <v>3847.9199999999996</v>
      </c>
      <c r="L57" s="290">
        <v>42621</v>
      </c>
      <c r="M57" s="292">
        <v>20</v>
      </c>
      <c r="O57" s="78">
        <v>0.94</v>
      </c>
      <c r="P57" s="78">
        <f t="shared" si="4"/>
        <v>51.211199999999991</v>
      </c>
    </row>
    <row r="58" spans="1:17" x14ac:dyDescent="0.25">
      <c r="A58" s="301" t="s">
        <v>71</v>
      </c>
      <c r="B58" s="290">
        <v>42572</v>
      </c>
      <c r="C58" s="291">
        <v>40</v>
      </c>
      <c r="D58" s="292">
        <v>37.880000000000003</v>
      </c>
      <c r="E58" s="292">
        <v>0</v>
      </c>
      <c r="F58" s="292">
        <f>C58*D58+E58</f>
        <v>1515.2</v>
      </c>
      <c r="G58" s="290">
        <v>42640</v>
      </c>
      <c r="H58" s="295">
        <v>100</v>
      </c>
      <c r="I58" s="292">
        <v>38.549999999999997</v>
      </c>
      <c r="J58" s="292">
        <v>0.08</v>
      </c>
      <c r="K58" s="292">
        <f>I58*H58-J58</f>
        <v>3854.9199999999996</v>
      </c>
      <c r="L58" s="291"/>
      <c r="M58" s="291"/>
      <c r="O58" s="78">
        <v>0.93</v>
      </c>
      <c r="P58" s="78">
        <f t="shared" si="4"/>
        <v>50.666400000000003</v>
      </c>
    </row>
    <row r="59" spans="1:17" x14ac:dyDescent="0.25">
      <c r="A59" s="291"/>
      <c r="B59" s="290">
        <v>42572</v>
      </c>
      <c r="C59" s="291">
        <v>40</v>
      </c>
      <c r="D59" s="292">
        <v>37.58</v>
      </c>
      <c r="E59" s="292">
        <v>0</v>
      </c>
      <c r="F59" s="292">
        <f>C59*D59+E59</f>
        <v>1503.1999999999998</v>
      </c>
      <c r="G59" s="291"/>
      <c r="H59" s="295"/>
      <c r="I59" s="292"/>
      <c r="J59" s="292"/>
      <c r="K59" s="292"/>
      <c r="L59" s="291"/>
      <c r="M59" s="291"/>
      <c r="O59" s="78">
        <v>0.92</v>
      </c>
      <c r="P59" s="78">
        <f t="shared" si="4"/>
        <v>50.121600000000001</v>
      </c>
    </row>
    <row r="60" spans="1:17" x14ac:dyDescent="0.25">
      <c r="A60" s="291"/>
      <c r="B60" s="290">
        <v>42576</v>
      </c>
      <c r="C60" s="291">
        <v>30</v>
      </c>
      <c r="D60" s="292">
        <v>37.15</v>
      </c>
      <c r="E60" s="292">
        <v>0</v>
      </c>
      <c r="F60" s="292">
        <f>C60*D60+E60</f>
        <v>1114.5</v>
      </c>
      <c r="G60" s="291"/>
      <c r="H60" s="295"/>
      <c r="I60" s="292"/>
      <c r="J60" s="292"/>
      <c r="K60" s="292"/>
      <c r="L60" s="291"/>
      <c r="M60" s="291"/>
      <c r="O60" s="78">
        <v>0.91</v>
      </c>
      <c r="P60" s="78">
        <f t="shared" si="4"/>
        <v>49.576799999999999</v>
      </c>
    </row>
    <row r="61" spans="1:17" x14ac:dyDescent="0.25">
      <c r="A61" s="291"/>
      <c r="B61" s="290">
        <v>42594</v>
      </c>
      <c r="C61" s="291">
        <v>30</v>
      </c>
      <c r="D61" s="292">
        <v>36.58</v>
      </c>
      <c r="E61" s="292">
        <v>0</v>
      </c>
      <c r="F61" s="292">
        <f>C61*D61+E61</f>
        <v>1097.3999999999999</v>
      </c>
      <c r="G61" s="291"/>
      <c r="H61" s="295"/>
      <c r="I61" s="292"/>
      <c r="J61" s="292"/>
      <c r="K61" s="292"/>
      <c r="L61" s="291"/>
      <c r="M61" s="291"/>
      <c r="O61" s="78">
        <v>0.9</v>
      </c>
      <c r="P61" s="78">
        <f t="shared" si="4"/>
        <v>49.031999999999996</v>
      </c>
    </row>
    <row r="62" spans="1:17" x14ac:dyDescent="0.25">
      <c r="A62" s="291"/>
      <c r="B62" s="291"/>
      <c r="C62" s="291"/>
      <c r="D62" s="292"/>
      <c r="E62" s="292"/>
      <c r="F62" s="292"/>
      <c r="G62" s="291"/>
      <c r="H62" s="295"/>
      <c r="I62" s="292"/>
      <c r="J62" s="292"/>
      <c r="K62" s="292"/>
      <c r="L62" s="291"/>
      <c r="M62" s="291"/>
    </row>
    <row r="63" spans="1:17" x14ac:dyDescent="0.25">
      <c r="A63" s="291"/>
      <c r="B63" s="291"/>
      <c r="C63" s="291"/>
      <c r="D63" s="292"/>
      <c r="E63" s="292"/>
      <c r="F63" s="292"/>
      <c r="G63" s="291"/>
      <c r="H63" s="295"/>
      <c r="I63" s="292"/>
      <c r="J63" s="292"/>
      <c r="K63" s="292"/>
      <c r="L63" s="291"/>
      <c r="M63" s="291"/>
    </row>
    <row r="64" spans="1:17" x14ac:dyDescent="0.25">
      <c r="A64" s="291"/>
      <c r="B64" s="291"/>
      <c r="C64" s="291"/>
      <c r="D64" s="292"/>
      <c r="E64" s="292"/>
      <c r="F64" s="292"/>
      <c r="G64" s="291"/>
      <c r="H64" s="295"/>
      <c r="I64" s="292"/>
      <c r="J64" s="292"/>
      <c r="K64" s="292"/>
      <c r="L64" s="291"/>
      <c r="M64" s="291"/>
    </row>
    <row r="65" spans="1:13" x14ac:dyDescent="0.25">
      <c r="A65" s="291"/>
      <c r="B65" s="291"/>
      <c r="C65" s="291"/>
      <c r="D65" s="292"/>
      <c r="E65" s="292"/>
      <c r="F65" s="292"/>
      <c r="G65" s="291"/>
      <c r="H65" s="295"/>
      <c r="I65" s="292"/>
      <c r="J65" s="292"/>
      <c r="K65" s="292"/>
      <c r="L65" s="291"/>
      <c r="M65" s="291"/>
    </row>
    <row r="66" spans="1:13" x14ac:dyDescent="0.25">
      <c r="A66" s="291"/>
      <c r="B66" s="291"/>
      <c r="C66" s="291"/>
      <c r="D66" s="292"/>
      <c r="E66" s="292"/>
      <c r="F66" s="292"/>
      <c r="G66" s="291"/>
      <c r="H66" s="295"/>
      <c r="I66" s="292"/>
      <c r="J66" s="292"/>
      <c r="K66" s="292"/>
      <c r="L66" s="291"/>
      <c r="M66" s="291"/>
    </row>
    <row r="67" spans="1:13" x14ac:dyDescent="0.25">
      <c r="A67" s="291"/>
      <c r="B67" s="291"/>
      <c r="C67" s="291"/>
      <c r="D67" s="292"/>
      <c r="E67" s="292"/>
      <c r="F67" s="292"/>
      <c r="G67" s="291"/>
      <c r="H67" s="295"/>
      <c r="I67" s="292"/>
      <c r="J67" s="292"/>
      <c r="K67" s="292"/>
      <c r="L67" s="291"/>
      <c r="M67" s="291"/>
    </row>
    <row r="68" spans="1:13" x14ac:dyDescent="0.25">
      <c r="A68" s="291"/>
      <c r="B68" s="291"/>
      <c r="C68" s="291"/>
      <c r="D68" s="292"/>
      <c r="E68" s="292"/>
      <c r="F68" s="292"/>
      <c r="G68" s="291"/>
      <c r="H68" s="295"/>
      <c r="I68" s="292"/>
      <c r="J68" s="292"/>
      <c r="K68" s="292"/>
      <c r="L68" s="291"/>
      <c r="M68" s="291"/>
    </row>
    <row r="69" spans="1:13" x14ac:dyDescent="0.25">
      <c r="A69" s="291"/>
      <c r="B69" s="291"/>
      <c r="C69" s="291"/>
      <c r="D69" s="292"/>
      <c r="E69" s="292"/>
      <c r="F69" s="292"/>
      <c r="G69" s="291"/>
      <c r="H69" s="295"/>
      <c r="I69" s="292"/>
      <c r="J69" s="292"/>
      <c r="K69" s="292"/>
      <c r="L69" s="291"/>
      <c r="M69" s="291"/>
    </row>
    <row r="70" spans="1:13" x14ac:dyDescent="0.25">
      <c r="A70" s="291"/>
      <c r="B70" s="291"/>
      <c r="C70" s="291"/>
      <c r="D70" s="292"/>
      <c r="E70" s="292"/>
      <c r="F70" s="292"/>
      <c r="G70" s="291"/>
      <c r="H70" s="295"/>
      <c r="I70" s="292"/>
      <c r="J70" s="292"/>
      <c r="K70" s="292"/>
      <c r="L70" s="291"/>
      <c r="M70" s="291"/>
    </row>
    <row r="71" spans="1:13" x14ac:dyDescent="0.25">
      <c r="A71" s="291"/>
      <c r="B71" s="291"/>
      <c r="C71" s="291"/>
      <c r="D71" s="292"/>
      <c r="E71" s="292"/>
      <c r="F71" s="292"/>
      <c r="G71" s="291"/>
      <c r="H71" s="295"/>
      <c r="I71" s="292"/>
      <c r="J71" s="292"/>
      <c r="K71" s="292"/>
      <c r="L71" s="291"/>
      <c r="M71" s="291"/>
    </row>
    <row r="72" spans="1:13" x14ac:dyDescent="0.25">
      <c r="A72" s="291"/>
      <c r="B72" s="291"/>
      <c r="C72" s="291"/>
      <c r="D72" s="292"/>
      <c r="E72" s="292"/>
      <c r="F72" s="292"/>
      <c r="G72" s="291"/>
      <c r="H72" s="291"/>
      <c r="I72" s="292"/>
      <c r="J72" s="292"/>
      <c r="K72" s="292"/>
      <c r="L72" s="291"/>
      <c r="M72" s="291"/>
    </row>
    <row r="73" spans="1:13" x14ac:dyDescent="0.25">
      <c r="A73" s="21" t="s">
        <v>81</v>
      </c>
      <c r="B73" s="12"/>
      <c r="C73" s="12">
        <f>SUM(C57:C61)</f>
        <v>200</v>
      </c>
      <c r="D73" s="13"/>
      <c r="E73" s="13"/>
      <c r="F73" s="13">
        <f>SUM(F57:F61)</f>
        <v>7605.0999999999995</v>
      </c>
      <c r="G73" s="12"/>
      <c r="H73" s="12">
        <f>SUM(H57:H60)</f>
        <v>200</v>
      </c>
      <c r="I73" s="13"/>
      <c r="J73" s="13"/>
      <c r="K73" s="13">
        <f>SUM(K57:K60)</f>
        <v>7702.8399999999992</v>
      </c>
      <c r="L73" s="12"/>
      <c r="M73" s="13">
        <f>SUM(M57:M65)</f>
        <v>20</v>
      </c>
    </row>
    <row r="74" spans="1:13" ht="15.75" thickBot="1" x14ac:dyDescent="0.3">
      <c r="A74" s="370"/>
      <c r="B74" s="371"/>
      <c r="C74" s="372"/>
      <c r="D74" s="372"/>
      <c r="E74" s="372"/>
      <c r="F74" s="373"/>
      <c r="G74" s="372"/>
      <c r="H74" s="372"/>
      <c r="I74" s="372"/>
      <c r="J74" s="372"/>
      <c r="K74" s="373"/>
      <c r="L74" s="372"/>
      <c r="M74" s="373"/>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F39:F47 H39:H47">
    <cfRule type="expression" dxfId="1801" priority="15">
      <formula>F39&gt;0</formula>
    </cfRule>
    <cfRule type="expression" dxfId="1800" priority="16">
      <formula>F39&lt;0</formula>
    </cfRule>
  </conditionalFormatting>
  <conditionalFormatting sqref="Q7">
    <cfRule type="expression" dxfId="1799" priority="13">
      <formula>Q7&gt;0</formula>
    </cfRule>
    <cfRule type="expression" dxfId="1798" priority="14">
      <formula>Q7&lt;0</formula>
    </cfRule>
  </conditionalFormatting>
  <conditionalFormatting sqref="Q8">
    <cfRule type="expression" dxfId="1797" priority="11">
      <formula>Q8&gt;0</formula>
    </cfRule>
    <cfRule type="expression" dxfId="1796" priority="12">
      <formula>Q8&lt;0</formula>
    </cfRule>
  </conditionalFormatting>
  <conditionalFormatting sqref="F25:F38">
    <cfRule type="expression" dxfId="1795" priority="9">
      <formula>F25&gt;0</formula>
    </cfRule>
    <cfRule type="expression" dxfId="1794" priority="10">
      <formula>F25&lt;0</formula>
    </cfRule>
  </conditionalFormatting>
  <conditionalFormatting sqref="H25:H38">
    <cfRule type="expression" dxfId="1793" priority="7">
      <formula>H25&gt;0</formula>
    </cfRule>
    <cfRule type="expression" dxfId="1792" priority="8">
      <formula>H25&lt;0</formula>
    </cfRule>
  </conditionalFormatting>
  <conditionalFormatting sqref="M55">
    <cfRule type="expression" dxfId="1791" priority="3">
      <formula>M55&gt;0</formula>
    </cfRule>
    <cfRule type="expression" dxfId="1790" priority="4">
      <formula>M55&lt;0</formula>
    </cfRule>
  </conditionalFormatting>
  <conditionalFormatting sqref="Q10">
    <cfRule type="expression" dxfId="1789" priority="1">
      <formula>Q10&gt;0</formula>
    </cfRule>
    <cfRule type="expression" dxfId="1788" priority="2">
      <formula>Q10&lt;0</formula>
    </cfRule>
  </conditionalFormatting>
  <hyperlinks>
    <hyperlink ref="A3" location="ACTIVE!A1" display="Back"/>
    <hyperlink ref="A58" location="ACTIVE!A1" display="Back"/>
  </hyperlinks>
  <pageMargins left="0.7" right="0.7" top="0.75" bottom="0.75" header="0.3" footer="0.3"/>
  <pageSetup orientation="portrait" r:id="rId1"/>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dimension ref="A1:AG292"/>
  <sheetViews>
    <sheetView zoomScale="98" zoomScaleNormal="98" workbookViewId="0">
      <pane ySplit="1" topLeftCell="A2" activePane="bottomLeft" state="frozen"/>
      <selection activeCell="M34" sqref="M34"/>
      <selection pane="bottomLeft" activeCell="A3" sqref="A3"/>
    </sheetView>
  </sheetViews>
  <sheetFormatPr defaultRowHeight="15" x14ac:dyDescent="0.25"/>
  <cols>
    <col min="2" max="2" width="10.7109375" bestFit="1" customWidth="1"/>
    <col min="4" max="5" width="9.140625" style="2"/>
    <col min="6" max="6" width="9.85546875" style="2" bestFit="1" customWidth="1"/>
    <col min="7" max="7" width="10.7109375" bestFit="1" customWidth="1"/>
    <col min="9" max="9" width="12" style="2" bestFit="1" customWidth="1"/>
    <col min="10" max="10" width="9.140625" style="2"/>
    <col min="11" max="11" width="9.85546875" style="2" bestFit="1" customWidth="1"/>
    <col min="15" max="15" width="13.7109375" bestFit="1" customWidth="1"/>
    <col min="17" max="17" width="12" bestFit="1" customWidth="1"/>
    <col min="18" max="18" width="10.7109375" bestFit="1" customWidth="1"/>
    <col min="20" max="20" width="2" customWidth="1"/>
    <col min="21" max="21" width="10.28515625" bestFit="1" customWidth="1"/>
    <col min="22" max="22" width="82" customWidth="1"/>
    <col min="23" max="23" width="26.85546875" customWidth="1"/>
    <col min="26" max="26" width="26.85546875" bestFit="1" customWidth="1"/>
    <col min="27" max="27" width="18.140625" customWidth="1"/>
    <col min="28" max="28" width="10.7109375" bestFit="1" customWidth="1"/>
    <col min="29" max="29" width="15.5703125" customWidth="1"/>
    <col min="30" max="31" width="14.140625" bestFit="1" customWidth="1"/>
    <col min="32" max="33" width="6" bestFit="1" customWidth="1"/>
  </cols>
  <sheetData>
    <row r="1" spans="1:33" s="11" customFormat="1" x14ac:dyDescent="0.25">
      <c r="A1" s="11" t="s">
        <v>1</v>
      </c>
      <c r="B1" s="34" t="s">
        <v>2</v>
      </c>
      <c r="C1" s="11" t="s">
        <v>4</v>
      </c>
      <c r="D1" s="20" t="s">
        <v>5</v>
      </c>
      <c r="E1" s="20" t="s">
        <v>94</v>
      </c>
      <c r="F1" s="20" t="s">
        <v>60</v>
      </c>
      <c r="G1" s="34" t="s">
        <v>3</v>
      </c>
      <c r="H1" s="11" t="s">
        <v>6</v>
      </c>
      <c r="I1" s="20" t="s">
        <v>7</v>
      </c>
      <c r="J1" s="20" t="s">
        <v>95</v>
      </c>
      <c r="K1" s="20" t="s">
        <v>61</v>
      </c>
      <c r="L1" s="11" t="s">
        <v>37</v>
      </c>
      <c r="M1" s="11" t="s">
        <v>38</v>
      </c>
      <c r="U1" s="11" t="s">
        <v>70</v>
      </c>
      <c r="Z1" s="619"/>
      <c r="AA1" s="643" t="s">
        <v>687</v>
      </c>
      <c r="AB1" s="643" t="s">
        <v>644</v>
      </c>
      <c r="AC1" s="643" t="s">
        <v>862</v>
      </c>
      <c r="AD1" s="643" t="s">
        <v>861</v>
      </c>
      <c r="AE1" s="643" t="s">
        <v>992</v>
      </c>
      <c r="AF1" s="619"/>
      <c r="AG1" s="619"/>
    </row>
    <row r="2" spans="1:33" x14ac:dyDescent="0.25">
      <c r="A2" s="6" t="s">
        <v>219</v>
      </c>
      <c r="B2" s="397">
        <v>42758</v>
      </c>
      <c r="C2" s="7">
        <v>100</v>
      </c>
      <c r="D2" s="43">
        <v>31.18</v>
      </c>
      <c r="E2" s="43">
        <v>0</v>
      </c>
      <c r="F2" s="43">
        <f t="shared" ref="F2:F9" si="0">D2*C2+E2</f>
        <v>3118</v>
      </c>
      <c r="G2" s="397">
        <v>42809</v>
      </c>
      <c r="H2" s="7">
        <v>100</v>
      </c>
      <c r="I2" s="43">
        <v>28.91</v>
      </c>
      <c r="J2" s="43">
        <v>0.06</v>
      </c>
      <c r="K2" s="43">
        <f t="shared" ref="K2:K50" si="1">I2*H2-J2</f>
        <v>2890.94</v>
      </c>
      <c r="L2" s="69">
        <v>42810</v>
      </c>
      <c r="M2" s="43">
        <v>27.5</v>
      </c>
      <c r="O2" s="11" t="s">
        <v>57</v>
      </c>
      <c r="Q2">
        <f>C68-H68</f>
        <v>600</v>
      </c>
      <c r="X2" s="647"/>
      <c r="Z2" s="620" t="s">
        <v>688</v>
      </c>
      <c r="AA2" s="642">
        <v>42948</v>
      </c>
      <c r="AB2" s="642">
        <v>43039</v>
      </c>
      <c r="AC2" s="642">
        <v>43150</v>
      </c>
      <c r="AD2" s="642"/>
      <c r="AE2" s="642"/>
      <c r="AF2" s="588"/>
      <c r="AG2" s="588"/>
    </row>
    <row r="3" spans="1:33" x14ac:dyDescent="0.25">
      <c r="A3" s="22" t="s">
        <v>71</v>
      </c>
      <c r="B3" s="397">
        <v>42808</v>
      </c>
      <c r="C3" s="7">
        <v>100</v>
      </c>
      <c r="D3" s="43">
        <v>28.48</v>
      </c>
      <c r="E3" s="43">
        <v>0</v>
      </c>
      <c r="F3" s="43">
        <f t="shared" si="0"/>
        <v>2848</v>
      </c>
      <c r="G3" s="397">
        <v>42898</v>
      </c>
      <c r="H3" s="77">
        <v>200</v>
      </c>
      <c r="I3" s="43">
        <v>24.18</v>
      </c>
      <c r="J3" s="43">
        <v>0.11</v>
      </c>
      <c r="K3" s="43">
        <f t="shared" si="1"/>
        <v>4835.8900000000003</v>
      </c>
      <c r="L3" s="69">
        <v>42902</v>
      </c>
      <c r="M3" s="43">
        <v>90</v>
      </c>
      <c r="O3" s="11" t="s">
        <v>58</v>
      </c>
      <c r="Q3" s="174">
        <f>IF(Q2=0, Q4, (F68-K68-M68)/Q2)</f>
        <v>9.84279999999994</v>
      </c>
      <c r="U3" t="s">
        <v>662</v>
      </c>
      <c r="V3" s="22" t="s">
        <v>661</v>
      </c>
      <c r="Z3" s="622"/>
      <c r="AA3" s="588"/>
      <c r="AB3" s="588"/>
      <c r="AC3" s="588"/>
      <c r="AD3" s="588"/>
      <c r="AE3" s="588"/>
      <c r="AF3" s="588"/>
      <c r="AG3" s="588"/>
    </row>
    <row r="4" spans="1:33" x14ac:dyDescent="0.25">
      <c r="B4" s="397">
        <v>42836</v>
      </c>
      <c r="C4" s="7">
        <v>100</v>
      </c>
      <c r="D4" s="43">
        <v>28.35</v>
      </c>
      <c r="E4" s="43">
        <v>0</v>
      </c>
      <c r="F4" s="43">
        <f t="shared" si="0"/>
        <v>2835</v>
      </c>
      <c r="G4" s="397">
        <v>42926</v>
      </c>
      <c r="H4" s="77">
        <v>200</v>
      </c>
      <c r="I4" s="43">
        <v>24.15</v>
      </c>
      <c r="J4" s="43">
        <v>0.11</v>
      </c>
      <c r="K4" s="43">
        <f t="shared" si="1"/>
        <v>4829.8900000000003</v>
      </c>
      <c r="L4" s="69">
        <v>42999</v>
      </c>
      <c r="M4" s="43">
        <v>135</v>
      </c>
      <c r="O4" s="11" t="s">
        <v>66</v>
      </c>
      <c r="Q4" s="53">
        <v>18.25</v>
      </c>
      <c r="R4" s="415">
        <v>-1.49E-2</v>
      </c>
      <c r="V4" t="s">
        <v>1318</v>
      </c>
      <c r="Z4" s="622" t="s">
        <v>656</v>
      </c>
      <c r="AA4" s="626">
        <v>320</v>
      </c>
      <c r="AB4" s="626">
        <v>310</v>
      </c>
      <c r="AC4" s="626">
        <v>320</v>
      </c>
      <c r="AD4" s="626"/>
      <c r="AE4" s="626"/>
      <c r="AF4" s="588"/>
      <c r="AG4" s="588"/>
    </row>
    <row r="5" spans="1:33" x14ac:dyDescent="0.25">
      <c r="B5" s="397">
        <v>42857</v>
      </c>
      <c r="C5" s="7">
        <v>100</v>
      </c>
      <c r="D5" s="43">
        <v>25.01</v>
      </c>
      <c r="E5" s="43">
        <v>0</v>
      </c>
      <c r="F5" s="43">
        <f t="shared" si="0"/>
        <v>2501</v>
      </c>
      <c r="G5" s="397">
        <v>42941</v>
      </c>
      <c r="H5" s="77">
        <v>200</v>
      </c>
      <c r="I5" s="43">
        <v>25</v>
      </c>
      <c r="J5" s="43">
        <v>0.12</v>
      </c>
      <c r="K5" s="43">
        <f t="shared" si="1"/>
        <v>4999.88</v>
      </c>
      <c r="L5" s="69">
        <v>43090</v>
      </c>
      <c r="M5" s="43">
        <v>12.5</v>
      </c>
      <c r="O5" s="11" t="s">
        <v>67</v>
      </c>
      <c r="Q5" s="3">
        <f>Q4*Q2</f>
        <v>10950</v>
      </c>
      <c r="V5" t="s">
        <v>1355</v>
      </c>
      <c r="Z5" s="623" t="s">
        <v>649</v>
      </c>
      <c r="AA5" s="626">
        <v>340</v>
      </c>
      <c r="AB5" s="626">
        <v>330</v>
      </c>
      <c r="AC5" s="626">
        <v>350</v>
      </c>
      <c r="AD5" s="626"/>
      <c r="AE5" s="626"/>
      <c r="AF5" s="588"/>
      <c r="AG5" s="588"/>
    </row>
    <row r="6" spans="1:33" x14ac:dyDescent="0.25">
      <c r="B6" s="397">
        <v>42858</v>
      </c>
      <c r="C6" s="7">
        <v>100</v>
      </c>
      <c r="D6" s="43">
        <v>23.98</v>
      </c>
      <c r="E6" s="43">
        <v>0</v>
      </c>
      <c r="F6" s="43">
        <f t="shared" si="0"/>
        <v>2398</v>
      </c>
      <c r="G6" s="397">
        <v>42984</v>
      </c>
      <c r="H6" s="77">
        <v>100</v>
      </c>
      <c r="I6" s="43">
        <v>19.78</v>
      </c>
      <c r="J6" s="43">
        <v>0.05</v>
      </c>
      <c r="K6" s="43">
        <f t="shared" si="1"/>
        <v>1977.95</v>
      </c>
      <c r="L6" s="69">
        <v>43176</v>
      </c>
      <c r="M6" s="43">
        <v>10</v>
      </c>
      <c r="O6" s="11" t="s">
        <v>64</v>
      </c>
      <c r="Q6" s="2">
        <f>Q3*Q2</f>
        <v>5905.6799999999639</v>
      </c>
      <c r="U6" s="680">
        <v>43150</v>
      </c>
      <c r="V6" t="s">
        <v>82</v>
      </c>
      <c r="Z6" s="624" t="s">
        <v>642</v>
      </c>
      <c r="AA6" s="626">
        <v>336</v>
      </c>
      <c r="AB6" s="640">
        <v>329</v>
      </c>
      <c r="AC6" s="640">
        <v>348</v>
      </c>
      <c r="AD6" s="640">
        <v>431</v>
      </c>
      <c r="AE6" s="640"/>
      <c r="AF6" s="588"/>
      <c r="AG6" s="588"/>
    </row>
    <row r="7" spans="1:33" x14ac:dyDescent="0.25">
      <c r="B7" s="397">
        <v>42867</v>
      </c>
      <c r="C7" s="7">
        <v>200</v>
      </c>
      <c r="D7" s="43">
        <v>22.98</v>
      </c>
      <c r="E7" s="43">
        <v>0</v>
      </c>
      <c r="F7" s="43">
        <f t="shared" si="0"/>
        <v>4596</v>
      </c>
      <c r="G7" s="397">
        <v>43068</v>
      </c>
      <c r="H7" s="77">
        <v>300</v>
      </c>
      <c r="I7" s="43">
        <v>24.59</v>
      </c>
      <c r="J7" s="43">
        <v>0.17</v>
      </c>
      <c r="K7" s="43">
        <f t="shared" si="1"/>
        <v>7376.83</v>
      </c>
      <c r="L7" s="69">
        <v>43272</v>
      </c>
      <c r="M7" s="43">
        <v>10</v>
      </c>
      <c r="O7" s="11" t="s">
        <v>175</v>
      </c>
      <c r="Q7" s="2">
        <f>Q10+Q8</f>
        <v>6496.5800000000345</v>
      </c>
      <c r="R7" s="29">
        <v>43812</v>
      </c>
      <c r="V7" t="s">
        <v>903</v>
      </c>
      <c r="Z7" s="624" t="s">
        <v>677</v>
      </c>
      <c r="AA7" s="626">
        <v>343</v>
      </c>
      <c r="AB7" s="626">
        <v>326</v>
      </c>
      <c r="AC7" s="626">
        <v>317</v>
      </c>
      <c r="AD7" s="626">
        <v>369</v>
      </c>
      <c r="AE7" s="626"/>
      <c r="AF7" s="588"/>
      <c r="AG7" s="588"/>
    </row>
    <row r="8" spans="1:33" x14ac:dyDescent="0.25">
      <c r="B8" s="397">
        <v>42900</v>
      </c>
      <c r="C8" s="7">
        <v>200</v>
      </c>
      <c r="D8" s="43">
        <v>23.18</v>
      </c>
      <c r="E8" s="43">
        <v>0</v>
      </c>
      <c r="F8" s="43">
        <f t="shared" si="0"/>
        <v>4636</v>
      </c>
      <c r="G8" s="397">
        <v>43090</v>
      </c>
      <c r="H8" s="77">
        <v>50</v>
      </c>
      <c r="I8" s="43">
        <v>25.18</v>
      </c>
      <c r="J8" s="43">
        <v>0.03</v>
      </c>
      <c r="K8" s="43">
        <f t="shared" si="1"/>
        <v>1258.97</v>
      </c>
      <c r="L8" s="69">
        <v>43363</v>
      </c>
      <c r="M8" s="43">
        <v>10</v>
      </c>
      <c r="O8" s="11" t="s">
        <v>177</v>
      </c>
      <c r="P8" s="33"/>
      <c r="Q8" s="2">
        <f>K68+M68-F68+Q2*Q4</f>
        <v>5044.3200000000361</v>
      </c>
      <c r="Z8" s="624" t="s">
        <v>650</v>
      </c>
      <c r="AA8" s="626">
        <v>2.2999999999999998</v>
      </c>
      <c r="AB8" s="626">
        <v>2.2000000000000002</v>
      </c>
      <c r="AC8" s="626">
        <v>2.2999999999999998</v>
      </c>
      <c r="AD8" s="626">
        <v>1.9</v>
      </c>
      <c r="AE8" s="626">
        <v>2.1</v>
      </c>
      <c r="AF8" s="588"/>
      <c r="AG8" s="588"/>
    </row>
    <row r="9" spans="1:33" x14ac:dyDescent="0.25">
      <c r="B9" s="397">
        <v>42927</v>
      </c>
      <c r="C9" s="7">
        <v>50</v>
      </c>
      <c r="D9" s="43">
        <v>23.3</v>
      </c>
      <c r="E9" s="43">
        <v>0</v>
      </c>
      <c r="F9" s="43">
        <f t="shared" si="0"/>
        <v>1165</v>
      </c>
      <c r="G9" s="397">
        <v>43102</v>
      </c>
      <c r="H9" s="77">
        <v>50</v>
      </c>
      <c r="I9" s="43">
        <v>26.58</v>
      </c>
      <c r="J9" s="43">
        <v>0.03</v>
      </c>
      <c r="K9" s="43">
        <f t="shared" si="1"/>
        <v>1328.97</v>
      </c>
      <c r="L9" s="1">
        <v>43454</v>
      </c>
      <c r="M9" s="43">
        <v>10</v>
      </c>
      <c r="O9" s="11" t="s">
        <v>202</v>
      </c>
      <c r="Q9" s="131">
        <f>IF(Q2=0, 0, Q8/Q6)</f>
        <v>0.85414719388792937</v>
      </c>
      <c r="Z9" s="624" t="s">
        <v>651</v>
      </c>
      <c r="AA9" s="626">
        <v>2.6</v>
      </c>
      <c r="AB9" s="626">
        <v>2.5</v>
      </c>
      <c r="AC9" s="626">
        <v>2.6</v>
      </c>
      <c r="AD9" s="626">
        <v>2.2000000000000002</v>
      </c>
      <c r="AE9" s="626">
        <v>2.4</v>
      </c>
      <c r="AF9" s="588"/>
      <c r="AG9" s="588"/>
    </row>
    <row r="10" spans="1:33" x14ac:dyDescent="0.25">
      <c r="B10" s="397">
        <v>42927</v>
      </c>
      <c r="C10" s="7">
        <v>150</v>
      </c>
      <c r="D10" s="43">
        <v>23.3</v>
      </c>
      <c r="E10" s="43">
        <v>0</v>
      </c>
      <c r="F10" s="43">
        <f>D10*C10+E10</f>
        <v>3495</v>
      </c>
      <c r="G10" s="397">
        <v>43118</v>
      </c>
      <c r="H10" s="77">
        <v>50</v>
      </c>
      <c r="I10" s="43">
        <v>26.48</v>
      </c>
      <c r="J10" s="43">
        <v>0.03</v>
      </c>
      <c r="K10" s="43">
        <f t="shared" si="1"/>
        <v>1323.97</v>
      </c>
      <c r="L10" s="1">
        <v>43545</v>
      </c>
      <c r="M10" s="43">
        <v>7.5</v>
      </c>
      <c r="O10" s="11" t="s">
        <v>201</v>
      </c>
      <c r="P10" s="33"/>
      <c r="Q10" s="2">
        <f>M273</f>
        <v>1452.2599999999984</v>
      </c>
      <c r="U10" s="1">
        <v>43227</v>
      </c>
      <c r="V10" t="s">
        <v>82</v>
      </c>
      <c r="Z10" s="624" t="s">
        <v>667</v>
      </c>
      <c r="AA10" s="626">
        <v>2.6</v>
      </c>
      <c r="AB10" s="640">
        <v>2.1</v>
      </c>
      <c r="AC10" s="640">
        <v>2.5</v>
      </c>
      <c r="AD10" s="734">
        <v>1.9</v>
      </c>
      <c r="AE10" s="734"/>
      <c r="AF10" s="588"/>
      <c r="AG10" s="588"/>
    </row>
    <row r="11" spans="1:33" x14ac:dyDescent="0.25">
      <c r="B11" s="397">
        <v>42942</v>
      </c>
      <c r="C11" s="7">
        <v>200</v>
      </c>
      <c r="D11" s="43">
        <v>24.28</v>
      </c>
      <c r="E11" s="43">
        <v>0</v>
      </c>
      <c r="F11" s="43">
        <f t="shared" ref="F11:F31" si="2">D11*C11+E11</f>
        <v>4856</v>
      </c>
      <c r="G11" s="397">
        <v>43126</v>
      </c>
      <c r="H11" s="77">
        <v>100</v>
      </c>
      <c r="I11" s="43">
        <v>27.62</v>
      </c>
      <c r="J11" s="43">
        <v>0.06</v>
      </c>
      <c r="K11" s="43">
        <f t="shared" si="1"/>
        <v>2761.94</v>
      </c>
      <c r="L11" s="1">
        <v>43636</v>
      </c>
      <c r="M11" s="43">
        <v>40</v>
      </c>
      <c r="O11" s="11" t="s">
        <v>173</v>
      </c>
      <c r="P11" s="33"/>
      <c r="Q11" s="131">
        <f>R11/Q4*4</f>
        <v>5.4794520547945206E-3</v>
      </c>
      <c r="R11">
        <f>0.025</f>
        <v>2.5000000000000001E-2</v>
      </c>
      <c r="V11" t="s">
        <v>991</v>
      </c>
      <c r="Z11" s="588"/>
      <c r="AA11" s="626"/>
      <c r="AB11" s="588"/>
      <c r="AC11" s="588"/>
      <c r="AD11" s="588"/>
      <c r="AE11" s="588"/>
      <c r="AF11" s="588"/>
      <c r="AG11" s="588"/>
    </row>
    <row r="12" spans="1:33" x14ac:dyDescent="0.25">
      <c r="B12" s="397">
        <v>42948</v>
      </c>
      <c r="C12" s="7">
        <v>100</v>
      </c>
      <c r="D12" s="43">
        <v>22.88</v>
      </c>
      <c r="E12" s="43">
        <v>0</v>
      </c>
      <c r="F12" s="43">
        <f t="shared" si="2"/>
        <v>2288</v>
      </c>
      <c r="G12" s="397">
        <v>43140</v>
      </c>
      <c r="H12" s="77">
        <v>200</v>
      </c>
      <c r="I12" s="43">
        <v>24.48</v>
      </c>
      <c r="J12" s="43">
        <v>0.11</v>
      </c>
      <c r="K12" s="43">
        <f t="shared" si="1"/>
        <v>4895.8900000000003</v>
      </c>
      <c r="L12" s="1">
        <v>43727</v>
      </c>
      <c r="M12" s="43">
        <v>45</v>
      </c>
      <c r="O12" s="11" t="s">
        <v>875</v>
      </c>
      <c r="Q12" s="1" t="s">
        <v>1364</v>
      </c>
      <c r="Z12" s="624" t="s">
        <v>645</v>
      </c>
      <c r="AA12" s="626"/>
      <c r="AB12" s="631">
        <v>7.0000000000000007E-2</v>
      </c>
      <c r="AC12" s="631" t="s">
        <v>689</v>
      </c>
      <c r="AD12" s="644" t="s">
        <v>865</v>
      </c>
      <c r="AE12" s="737" t="s">
        <v>866</v>
      </c>
      <c r="AF12" s="588"/>
      <c r="AG12" s="588"/>
    </row>
    <row r="13" spans="1:33" x14ac:dyDescent="0.25">
      <c r="B13" s="397">
        <v>42948</v>
      </c>
      <c r="C13" s="7">
        <v>100</v>
      </c>
      <c r="D13" s="43">
        <v>22.08</v>
      </c>
      <c r="E13" s="43">
        <v>0</v>
      </c>
      <c r="F13" s="43">
        <f t="shared" si="2"/>
        <v>2208</v>
      </c>
      <c r="G13" s="397">
        <v>43151</v>
      </c>
      <c r="H13" s="77">
        <v>100</v>
      </c>
      <c r="I13" s="43">
        <v>26.19</v>
      </c>
      <c r="J13" s="43">
        <v>0.06</v>
      </c>
      <c r="K13" s="43">
        <f t="shared" si="1"/>
        <v>2618.94</v>
      </c>
      <c r="O13" s="11" t="s">
        <v>901</v>
      </c>
      <c r="Q13" s="2">
        <f>Q4/(1.75)</f>
        <v>10.428571428571429</v>
      </c>
      <c r="U13" s="1">
        <v>43234</v>
      </c>
      <c r="V13" t="s">
        <v>1036</v>
      </c>
      <c r="Z13" s="624" t="s">
        <v>652</v>
      </c>
      <c r="AA13" s="626"/>
      <c r="AB13" s="631">
        <v>0.09</v>
      </c>
      <c r="AC13" s="631"/>
      <c r="AD13" s="644" t="s">
        <v>866</v>
      </c>
      <c r="AE13" s="737" t="s">
        <v>993</v>
      </c>
      <c r="AF13" s="588"/>
      <c r="AG13" s="588"/>
    </row>
    <row r="14" spans="1:33" x14ac:dyDescent="0.25">
      <c r="B14" s="397">
        <v>42983</v>
      </c>
      <c r="C14" s="7">
        <v>100</v>
      </c>
      <c r="D14" s="43">
        <v>19.61</v>
      </c>
      <c r="E14" s="43">
        <v>-0.38</v>
      </c>
      <c r="F14" s="43">
        <f t="shared" si="2"/>
        <v>1960.62</v>
      </c>
      <c r="G14" s="397">
        <v>43151</v>
      </c>
      <c r="H14" s="77">
        <v>100</v>
      </c>
      <c r="I14" s="43">
        <v>26.85</v>
      </c>
      <c r="J14" s="43">
        <v>0.06</v>
      </c>
      <c r="K14" s="43">
        <f t="shared" si="1"/>
        <v>2684.94</v>
      </c>
      <c r="O14" s="11" t="s">
        <v>988</v>
      </c>
      <c r="Q14" s="29">
        <v>43421</v>
      </c>
      <c r="V14" t="s">
        <v>1037</v>
      </c>
      <c r="Z14" s="624" t="s">
        <v>675</v>
      </c>
      <c r="AA14" s="632">
        <v>0.08</v>
      </c>
      <c r="AB14" s="736">
        <f>AB17/AB22</f>
        <v>8.3854818523153948E-2</v>
      </c>
      <c r="AC14" s="641">
        <f>AC17/AC22</f>
        <v>0.13300000000000001</v>
      </c>
      <c r="AD14" s="641">
        <f>AD17/AD22</f>
        <v>6.5819861431870672E-2</v>
      </c>
      <c r="AE14" s="641"/>
      <c r="AF14" s="588"/>
      <c r="AG14" s="588"/>
    </row>
    <row r="15" spans="1:33" x14ac:dyDescent="0.25">
      <c r="B15" s="397">
        <v>43116</v>
      </c>
      <c r="C15" s="7">
        <v>50</v>
      </c>
      <c r="D15" s="43">
        <v>25.78</v>
      </c>
      <c r="E15" s="43">
        <v>0</v>
      </c>
      <c r="F15" s="43">
        <f t="shared" si="2"/>
        <v>1289</v>
      </c>
      <c r="G15" s="397">
        <v>43188</v>
      </c>
      <c r="H15" s="77">
        <v>200</v>
      </c>
      <c r="I15" s="43">
        <v>24.26</v>
      </c>
      <c r="J15" s="43">
        <v>0.11</v>
      </c>
      <c r="K15" s="43">
        <f t="shared" si="1"/>
        <v>4851.8900000000003</v>
      </c>
      <c r="L15" s="1"/>
      <c r="Z15" s="624" t="s">
        <v>646</v>
      </c>
      <c r="AA15" s="626"/>
      <c r="AB15" s="588"/>
      <c r="AC15" s="588"/>
      <c r="AD15" s="588"/>
      <c r="AE15" s="588"/>
      <c r="AF15" s="588"/>
      <c r="AG15" s="588"/>
    </row>
    <row r="16" spans="1:33" x14ac:dyDescent="0.25">
      <c r="A16" t="s">
        <v>712</v>
      </c>
      <c r="B16" s="397">
        <v>43131</v>
      </c>
      <c r="C16" s="7">
        <v>100</v>
      </c>
      <c r="D16" s="43">
        <v>26.88</v>
      </c>
      <c r="E16" s="43">
        <v>0</v>
      </c>
      <c r="F16" s="43">
        <f t="shared" si="2"/>
        <v>2688</v>
      </c>
      <c r="G16" s="397">
        <v>43195</v>
      </c>
      <c r="H16" s="77">
        <v>200</v>
      </c>
      <c r="I16" s="43">
        <v>25.25</v>
      </c>
      <c r="J16" s="43">
        <v>0.12</v>
      </c>
      <c r="K16" s="43">
        <f t="shared" si="1"/>
        <v>5049.88</v>
      </c>
      <c r="Z16" s="624" t="s">
        <v>647</v>
      </c>
      <c r="AA16" s="626"/>
      <c r="AB16" s="588"/>
      <c r="AC16" s="588"/>
      <c r="AD16" s="588"/>
      <c r="AE16" s="588"/>
      <c r="AF16" s="588"/>
      <c r="AG16" s="588"/>
    </row>
    <row r="17" spans="1:33" x14ac:dyDescent="0.25">
      <c r="B17" s="397">
        <v>43133</v>
      </c>
      <c r="C17" s="7">
        <v>200</v>
      </c>
      <c r="D17" s="43">
        <v>25.88</v>
      </c>
      <c r="E17" s="43">
        <v>0</v>
      </c>
      <c r="F17" s="43">
        <f t="shared" si="2"/>
        <v>5176</v>
      </c>
      <c r="G17" s="397">
        <v>43200</v>
      </c>
      <c r="H17" s="77">
        <v>200</v>
      </c>
      <c r="I17" s="43">
        <v>25.22</v>
      </c>
      <c r="J17" s="43">
        <v>0.12</v>
      </c>
      <c r="K17" s="43">
        <f t="shared" si="1"/>
        <v>5043.88</v>
      </c>
      <c r="U17" s="1">
        <v>43270</v>
      </c>
      <c r="V17" t="s">
        <v>1110</v>
      </c>
      <c r="Z17" s="624" t="s">
        <v>860</v>
      </c>
      <c r="AA17" s="626">
        <v>76</v>
      </c>
      <c r="AB17" s="351">
        <v>67</v>
      </c>
      <c r="AC17" s="351">
        <v>133</v>
      </c>
      <c r="AD17" s="351">
        <v>57</v>
      </c>
      <c r="AE17" s="351"/>
      <c r="AF17" s="588"/>
      <c r="AG17" s="588"/>
    </row>
    <row r="18" spans="1:33" ht="20.25" thickBot="1" x14ac:dyDescent="0.35">
      <c r="B18" s="397">
        <v>43140</v>
      </c>
      <c r="C18" s="7">
        <v>200</v>
      </c>
      <c r="D18" s="43">
        <v>23.58</v>
      </c>
      <c r="E18" s="43">
        <v>0</v>
      </c>
      <c r="F18" s="43">
        <f t="shared" si="2"/>
        <v>4716</v>
      </c>
      <c r="G18" s="397">
        <v>43224</v>
      </c>
      <c r="H18" s="77">
        <v>200</v>
      </c>
      <c r="I18" s="43">
        <v>27.58</v>
      </c>
      <c r="J18" s="43">
        <v>0.13</v>
      </c>
      <c r="K18" s="43">
        <f t="shared" si="1"/>
        <v>5515.87</v>
      </c>
      <c r="O18" s="886" t="s">
        <v>78</v>
      </c>
      <c r="P18" s="886"/>
      <c r="V18" t="s">
        <v>1111</v>
      </c>
      <c r="Z18" s="588"/>
      <c r="AA18" s="626"/>
      <c r="AB18" s="588"/>
      <c r="AC18" s="588"/>
      <c r="AD18" s="588"/>
      <c r="AE18" s="588"/>
      <c r="AF18" s="588"/>
      <c r="AG18" s="588"/>
    </row>
    <row r="19" spans="1:33" ht="15.75" thickTop="1" x14ac:dyDescent="0.25">
      <c r="A19" t="s">
        <v>712</v>
      </c>
      <c r="B19" s="397">
        <v>43178</v>
      </c>
      <c r="C19" s="7">
        <v>200</v>
      </c>
      <c r="D19" s="43">
        <v>25.28</v>
      </c>
      <c r="E19" s="43">
        <v>-1</v>
      </c>
      <c r="F19" s="43">
        <f t="shared" si="2"/>
        <v>5055</v>
      </c>
      <c r="G19" s="744">
        <v>43234</v>
      </c>
      <c r="H19" s="77">
        <v>200</v>
      </c>
      <c r="I19" s="43">
        <v>27.37</v>
      </c>
      <c r="J19" s="43">
        <v>0.13</v>
      </c>
      <c r="K19" s="43">
        <f t="shared" si="1"/>
        <v>5473.87</v>
      </c>
      <c r="O19" s="78">
        <v>1.1000000000000001</v>
      </c>
      <c r="P19" s="78">
        <f>O19*$Q$4</f>
        <v>20.075000000000003</v>
      </c>
      <c r="Z19" s="624" t="s">
        <v>657</v>
      </c>
      <c r="AA19" s="629" t="s">
        <v>660</v>
      </c>
      <c r="AB19" s="624" t="s">
        <v>660</v>
      </c>
      <c r="AC19" s="624" t="s">
        <v>660</v>
      </c>
      <c r="AD19" s="624"/>
      <c r="AE19" s="624"/>
      <c r="AF19" s="588"/>
      <c r="AG19" s="588"/>
    </row>
    <row r="20" spans="1:33" x14ac:dyDescent="0.25">
      <c r="B20" s="397">
        <v>43187</v>
      </c>
      <c r="C20" s="7">
        <v>200</v>
      </c>
      <c r="D20" s="43">
        <v>23.62</v>
      </c>
      <c r="E20" s="43">
        <v>-1</v>
      </c>
      <c r="F20" s="43">
        <f t="shared" si="2"/>
        <v>4723</v>
      </c>
      <c r="G20" s="397">
        <v>43257</v>
      </c>
      <c r="H20" s="77">
        <v>100</v>
      </c>
      <c r="I20" s="43">
        <v>28.58</v>
      </c>
      <c r="J20" s="43">
        <v>0.04</v>
      </c>
      <c r="K20" s="43">
        <f t="shared" si="1"/>
        <v>2857.96</v>
      </c>
      <c r="O20" s="78">
        <v>1.0900000000000001</v>
      </c>
      <c r="P20" s="78">
        <f t="shared" ref="P20:P39" si="3">O20*$Q$4</f>
        <v>19.892500000000002</v>
      </c>
      <c r="U20" s="680">
        <v>43313</v>
      </c>
      <c r="V20" t="s">
        <v>1109</v>
      </c>
      <c r="Z20" s="624" t="s">
        <v>658</v>
      </c>
      <c r="AA20" s="631">
        <v>0.84</v>
      </c>
      <c r="AB20" s="641">
        <v>0.8</v>
      </c>
      <c r="AC20" s="641">
        <v>0.79</v>
      </c>
      <c r="AD20" s="641"/>
      <c r="AE20" s="641"/>
      <c r="AF20" s="588"/>
      <c r="AG20" s="588"/>
    </row>
    <row r="21" spans="1:33" x14ac:dyDescent="0.25">
      <c r="B21" s="397">
        <v>43192</v>
      </c>
      <c r="C21" s="7">
        <v>200</v>
      </c>
      <c r="D21" s="43">
        <v>23.68</v>
      </c>
      <c r="E21" s="43">
        <v>0</v>
      </c>
      <c r="F21" s="43">
        <f t="shared" si="2"/>
        <v>4736</v>
      </c>
      <c r="G21" s="397">
        <v>43257</v>
      </c>
      <c r="H21" s="77">
        <v>100</v>
      </c>
      <c r="I21" s="43">
        <v>28.98</v>
      </c>
      <c r="J21" s="43">
        <v>0.04</v>
      </c>
      <c r="K21" s="43">
        <f t="shared" si="1"/>
        <v>2897.96</v>
      </c>
      <c r="O21" s="78">
        <v>1.08</v>
      </c>
      <c r="P21" s="78">
        <f t="shared" si="3"/>
        <v>19.71</v>
      </c>
      <c r="Z21" s="624" t="s">
        <v>677</v>
      </c>
      <c r="AA21" s="631">
        <v>0.82</v>
      </c>
      <c r="AB21" s="631">
        <v>0.84</v>
      </c>
      <c r="AC21" s="631">
        <v>0.84</v>
      </c>
      <c r="AD21" s="631"/>
      <c r="AE21" s="631"/>
      <c r="AF21" s="588"/>
      <c r="AG21" s="588"/>
    </row>
    <row r="22" spans="1:33" x14ac:dyDescent="0.25">
      <c r="B22" s="397">
        <v>43196</v>
      </c>
      <c r="C22" s="7">
        <v>100</v>
      </c>
      <c r="D22" s="43">
        <v>24.5</v>
      </c>
      <c r="E22" s="43">
        <v>0</v>
      </c>
      <c r="F22" s="43">
        <f t="shared" si="2"/>
        <v>2450</v>
      </c>
      <c r="G22" s="397">
        <v>43273</v>
      </c>
      <c r="H22" s="77">
        <v>100</v>
      </c>
      <c r="I22" s="43">
        <v>29.08</v>
      </c>
      <c r="J22" s="43">
        <v>0.04</v>
      </c>
      <c r="K22" s="43">
        <f t="shared" si="1"/>
        <v>2907.96</v>
      </c>
      <c r="O22" s="78">
        <v>1.07</v>
      </c>
      <c r="P22" s="78">
        <f t="shared" si="3"/>
        <v>19.5275</v>
      </c>
      <c r="U22" s="1">
        <v>43318</v>
      </c>
      <c r="V22" t="s">
        <v>806</v>
      </c>
      <c r="Z22" s="630" t="s">
        <v>674</v>
      </c>
      <c r="AA22" s="626">
        <v>975</v>
      </c>
      <c r="AB22" s="351">
        <v>799</v>
      </c>
      <c r="AC22" s="351">
        <v>1000</v>
      </c>
      <c r="AD22" s="351">
        <v>866</v>
      </c>
      <c r="AE22" s="351"/>
      <c r="AF22" s="588"/>
      <c r="AG22" s="588"/>
    </row>
    <row r="23" spans="1:33" x14ac:dyDescent="0.25">
      <c r="B23" s="397">
        <v>43196</v>
      </c>
      <c r="C23" s="7">
        <v>100</v>
      </c>
      <c r="D23" s="43">
        <v>24.05</v>
      </c>
      <c r="E23" s="43">
        <v>0</v>
      </c>
      <c r="F23" s="43">
        <f t="shared" si="2"/>
        <v>2405</v>
      </c>
      <c r="G23" s="397">
        <v>43298</v>
      </c>
      <c r="H23" s="77">
        <v>100</v>
      </c>
      <c r="I23" s="43">
        <v>28.55</v>
      </c>
      <c r="J23" s="43">
        <v>0.04</v>
      </c>
      <c r="K23" s="43">
        <f t="shared" si="1"/>
        <v>2854.96</v>
      </c>
      <c r="O23" s="78">
        <v>1.06</v>
      </c>
      <c r="P23" s="78">
        <f t="shared" si="3"/>
        <v>19.345000000000002</v>
      </c>
      <c r="V23" t="s">
        <v>1162</v>
      </c>
      <c r="Z23" s="588"/>
      <c r="AA23" s="626"/>
      <c r="AB23" s="588"/>
      <c r="AC23" s="588"/>
      <c r="AD23" s="588"/>
      <c r="AE23" s="588"/>
      <c r="AF23" s="588"/>
      <c r="AG23" s="588"/>
    </row>
    <row r="24" spans="1:33" x14ac:dyDescent="0.25">
      <c r="B24" s="397">
        <v>43227</v>
      </c>
      <c r="C24" s="7">
        <v>100</v>
      </c>
      <c r="D24" s="43">
        <v>27.02</v>
      </c>
      <c r="E24" s="43">
        <v>0</v>
      </c>
      <c r="F24" s="43">
        <f t="shared" si="2"/>
        <v>2702</v>
      </c>
      <c r="G24" s="397">
        <v>43305</v>
      </c>
      <c r="H24" s="77">
        <v>200</v>
      </c>
      <c r="I24" s="43">
        <v>29.38</v>
      </c>
      <c r="J24" s="43">
        <v>0.08</v>
      </c>
      <c r="K24" s="43">
        <f t="shared" si="1"/>
        <v>5875.92</v>
      </c>
      <c r="O24" s="78">
        <v>1.05</v>
      </c>
      <c r="P24" s="78">
        <f t="shared" si="3"/>
        <v>19.162500000000001</v>
      </c>
      <c r="V24" t="s">
        <v>1163</v>
      </c>
      <c r="Z24" s="621" t="s">
        <v>641</v>
      </c>
      <c r="AA24" s="626"/>
      <c r="AB24" s="588"/>
      <c r="AC24" s="588"/>
      <c r="AD24" s="588"/>
      <c r="AE24" s="588"/>
      <c r="AF24" s="588"/>
      <c r="AG24" s="588"/>
    </row>
    <row r="25" spans="1:33" x14ac:dyDescent="0.25">
      <c r="B25" s="397">
        <v>43228</v>
      </c>
      <c r="C25" s="7">
        <v>100</v>
      </c>
      <c r="D25" s="43">
        <v>26.08</v>
      </c>
      <c r="E25" s="43">
        <v>0</v>
      </c>
      <c r="F25" s="43">
        <f t="shared" si="2"/>
        <v>2608</v>
      </c>
      <c r="G25" s="397">
        <v>43339</v>
      </c>
      <c r="H25" s="77">
        <v>200</v>
      </c>
      <c r="I25" s="43">
        <v>31.08</v>
      </c>
      <c r="J25" s="43">
        <v>0.08</v>
      </c>
      <c r="K25" s="43">
        <f t="shared" si="1"/>
        <v>6215.92</v>
      </c>
      <c r="O25" s="78">
        <v>1.04</v>
      </c>
      <c r="P25" s="78">
        <f t="shared" si="3"/>
        <v>18.98</v>
      </c>
      <c r="Z25" s="622" t="s">
        <v>653</v>
      </c>
      <c r="AA25" s="626">
        <v>170</v>
      </c>
      <c r="AB25" s="626">
        <v>165</v>
      </c>
      <c r="AC25" s="626">
        <v>175</v>
      </c>
      <c r="AD25" s="626"/>
      <c r="AE25" s="626"/>
      <c r="AF25" s="588"/>
      <c r="AG25" s="588"/>
    </row>
    <row r="26" spans="1:33" x14ac:dyDescent="0.25">
      <c r="B26" s="397">
        <v>43270</v>
      </c>
      <c r="C26" s="7">
        <v>200</v>
      </c>
      <c r="D26" s="43">
        <v>28.2</v>
      </c>
      <c r="E26" s="43">
        <v>0</v>
      </c>
      <c r="F26" s="43">
        <f t="shared" si="2"/>
        <v>5640</v>
      </c>
      <c r="G26" s="397">
        <v>43360</v>
      </c>
      <c r="H26" s="77">
        <v>200</v>
      </c>
      <c r="I26" s="43">
        <v>31.86</v>
      </c>
      <c r="J26" s="43">
        <v>0.08</v>
      </c>
      <c r="K26" s="43">
        <f t="shared" si="1"/>
        <v>6371.92</v>
      </c>
      <c r="O26" s="78">
        <v>1.03</v>
      </c>
      <c r="P26" s="78">
        <f t="shared" si="3"/>
        <v>18.797499999999999</v>
      </c>
      <c r="U26" s="1">
        <v>43339</v>
      </c>
      <c r="V26" t="s">
        <v>1208</v>
      </c>
      <c r="Z26" s="623" t="s">
        <v>654</v>
      </c>
      <c r="AA26" s="626">
        <v>185</v>
      </c>
      <c r="AB26" s="626">
        <v>180</v>
      </c>
      <c r="AC26" s="626">
        <v>195</v>
      </c>
      <c r="AD26" s="626"/>
      <c r="AE26" s="626"/>
      <c r="AF26" s="588"/>
      <c r="AG26" s="588"/>
    </row>
    <row r="27" spans="1:33" x14ac:dyDescent="0.25">
      <c r="B27" s="397">
        <v>43292</v>
      </c>
      <c r="C27" s="7">
        <v>100</v>
      </c>
      <c r="D27" s="43">
        <v>28.2</v>
      </c>
      <c r="E27" s="43">
        <v>0</v>
      </c>
      <c r="F27" s="43">
        <f t="shared" si="2"/>
        <v>2820</v>
      </c>
      <c r="G27" s="397">
        <v>43360</v>
      </c>
      <c r="H27" s="77">
        <v>200</v>
      </c>
      <c r="I27" s="43">
        <v>32.380000000000003</v>
      </c>
      <c r="J27" s="43">
        <v>0.08</v>
      </c>
      <c r="K27" s="43">
        <f t="shared" si="1"/>
        <v>6475.920000000001</v>
      </c>
      <c r="O27" s="78">
        <v>1.02</v>
      </c>
      <c r="P27" s="78">
        <f t="shared" si="3"/>
        <v>18.615000000000002</v>
      </c>
      <c r="Z27" s="624" t="s">
        <v>642</v>
      </c>
      <c r="AA27" s="626">
        <v>179</v>
      </c>
      <c r="AB27" s="640">
        <v>182</v>
      </c>
      <c r="AC27" s="640">
        <v>188</v>
      </c>
      <c r="AD27" s="640">
        <v>239</v>
      </c>
      <c r="AE27" s="640"/>
      <c r="AF27" s="588"/>
      <c r="AG27" s="588"/>
    </row>
    <row r="28" spans="1:33" x14ac:dyDescent="0.25">
      <c r="B28" s="397">
        <v>43292</v>
      </c>
      <c r="C28" s="7">
        <v>100</v>
      </c>
      <c r="D28" s="43">
        <v>27.88</v>
      </c>
      <c r="E28" s="43">
        <v>0</v>
      </c>
      <c r="F28" s="43">
        <f t="shared" si="2"/>
        <v>2788</v>
      </c>
      <c r="G28" s="397">
        <v>43381</v>
      </c>
      <c r="H28" s="77">
        <v>200</v>
      </c>
      <c r="I28" s="43">
        <v>33.78</v>
      </c>
      <c r="J28" s="43">
        <v>0.09</v>
      </c>
      <c r="K28" s="43">
        <f t="shared" si="1"/>
        <v>6755.91</v>
      </c>
      <c r="O28" s="78">
        <v>1.01</v>
      </c>
      <c r="P28" s="78">
        <f t="shared" si="3"/>
        <v>18.432500000000001</v>
      </c>
      <c r="Z28" s="624" t="s">
        <v>677</v>
      </c>
      <c r="AA28" s="626">
        <v>178</v>
      </c>
      <c r="AB28" s="626">
        <v>160</v>
      </c>
      <c r="AC28" s="626">
        <v>169</v>
      </c>
      <c r="AD28" s="626">
        <v>210</v>
      </c>
      <c r="AE28" s="626"/>
      <c r="AF28" s="588"/>
      <c r="AG28" s="588"/>
    </row>
    <row r="29" spans="1:33" x14ac:dyDescent="0.25">
      <c r="B29" s="397">
        <v>43306</v>
      </c>
      <c r="C29" s="7">
        <v>200</v>
      </c>
      <c r="D29" s="43">
        <v>28.65</v>
      </c>
      <c r="E29" s="43">
        <v>0</v>
      </c>
      <c r="F29" s="43">
        <f t="shared" si="2"/>
        <v>5730</v>
      </c>
      <c r="G29" s="397">
        <v>43409</v>
      </c>
      <c r="H29" s="77">
        <v>100</v>
      </c>
      <c r="I29" s="43">
        <v>33.799999999999997</v>
      </c>
      <c r="J29" s="43">
        <v>0.05</v>
      </c>
      <c r="K29" s="43">
        <f t="shared" si="1"/>
        <v>3379.9499999999994</v>
      </c>
      <c r="O29" s="78">
        <v>1</v>
      </c>
      <c r="P29" s="78">
        <f t="shared" si="3"/>
        <v>18.25</v>
      </c>
      <c r="U29" s="1">
        <v>43417</v>
      </c>
      <c r="V29" t="s">
        <v>1254</v>
      </c>
      <c r="Z29" s="624" t="s">
        <v>650</v>
      </c>
      <c r="AA29" s="626">
        <v>2</v>
      </c>
      <c r="AB29" s="626">
        <v>1.9</v>
      </c>
      <c r="AC29" s="626">
        <v>1.9</v>
      </c>
      <c r="AD29" s="626">
        <v>1.7</v>
      </c>
      <c r="AE29" s="626">
        <v>2.1</v>
      </c>
      <c r="AF29" s="588"/>
      <c r="AG29" s="588"/>
    </row>
    <row r="30" spans="1:33" x14ac:dyDescent="0.25">
      <c r="B30" s="397">
        <v>43327</v>
      </c>
      <c r="C30" s="7">
        <v>200</v>
      </c>
      <c r="D30" s="43">
        <v>29.78</v>
      </c>
      <c r="E30" s="43">
        <v>0</v>
      </c>
      <c r="F30" s="43">
        <f t="shared" si="2"/>
        <v>5956</v>
      </c>
      <c r="G30" s="397">
        <v>43420</v>
      </c>
      <c r="H30" s="77">
        <v>200</v>
      </c>
      <c r="I30" s="43">
        <v>36.67</v>
      </c>
      <c r="J30" s="43">
        <v>0.1</v>
      </c>
      <c r="K30" s="43">
        <f t="shared" si="1"/>
        <v>7333.9</v>
      </c>
      <c r="O30" s="78">
        <v>0.99</v>
      </c>
      <c r="P30" s="78">
        <f t="shared" si="3"/>
        <v>18.067499999999999</v>
      </c>
      <c r="Z30" s="624" t="s">
        <v>651</v>
      </c>
      <c r="AA30" s="626">
        <v>2.2999999999999998</v>
      </c>
      <c r="AB30" s="626">
        <v>2.2000000000000002</v>
      </c>
      <c r="AC30" s="626">
        <v>2.2000000000000002</v>
      </c>
      <c r="AD30" s="626">
        <v>2</v>
      </c>
      <c r="AE30" s="626">
        <v>2.4</v>
      </c>
      <c r="AF30" s="588"/>
      <c r="AG30" s="588"/>
    </row>
    <row r="31" spans="1:33" x14ac:dyDescent="0.25">
      <c r="B31" s="397">
        <v>43349</v>
      </c>
      <c r="C31" s="7">
        <v>200</v>
      </c>
      <c r="D31" s="43">
        <v>30.08</v>
      </c>
      <c r="E31" s="43">
        <v>0</v>
      </c>
      <c r="F31" s="43">
        <f t="shared" si="2"/>
        <v>6016</v>
      </c>
      <c r="G31" s="397">
        <v>43473</v>
      </c>
      <c r="H31" s="77">
        <v>100</v>
      </c>
      <c r="I31" s="43">
        <v>31.27</v>
      </c>
      <c r="J31" s="43">
        <v>0.04</v>
      </c>
      <c r="K31" s="43">
        <f t="shared" si="1"/>
        <v>3126.96</v>
      </c>
      <c r="O31" s="78">
        <v>0.98</v>
      </c>
      <c r="P31" s="78">
        <f t="shared" si="3"/>
        <v>17.884999999999998</v>
      </c>
      <c r="U31" s="153">
        <v>43431</v>
      </c>
      <c r="V31" t="s">
        <v>1253</v>
      </c>
      <c r="Z31" s="624" t="s">
        <v>643</v>
      </c>
      <c r="AA31" s="626">
        <v>2.2000000000000002</v>
      </c>
      <c r="AB31" s="640">
        <v>2.2000000000000002</v>
      </c>
      <c r="AC31" s="640">
        <v>2.2000000000000002</v>
      </c>
      <c r="AD31" s="734">
        <v>1.7</v>
      </c>
      <c r="AE31" s="734"/>
      <c r="AF31" s="588"/>
      <c r="AG31" s="588"/>
    </row>
    <row r="32" spans="1:33" x14ac:dyDescent="0.25">
      <c r="B32" s="397">
        <v>43349</v>
      </c>
      <c r="C32" s="7">
        <v>100</v>
      </c>
      <c r="D32" s="43">
        <v>30.08</v>
      </c>
      <c r="E32" s="43">
        <v>0</v>
      </c>
      <c r="F32" s="43">
        <f t="shared" ref="F32:F45" si="4">D32*C32+E32</f>
        <v>3008</v>
      </c>
      <c r="G32" s="397">
        <v>43516</v>
      </c>
      <c r="H32" s="77">
        <v>300</v>
      </c>
      <c r="I32" s="43">
        <v>33.68</v>
      </c>
      <c r="J32" s="43">
        <v>0.13</v>
      </c>
      <c r="K32" s="43">
        <f t="shared" si="1"/>
        <v>10103.870000000001</v>
      </c>
      <c r="O32" s="78">
        <v>0.97</v>
      </c>
      <c r="P32" s="78">
        <f t="shared" si="3"/>
        <v>17.702500000000001</v>
      </c>
      <c r="Z32" s="588"/>
      <c r="AA32" s="626"/>
      <c r="AB32" s="588"/>
      <c r="AC32" s="588"/>
      <c r="AD32" s="588"/>
      <c r="AE32" s="588"/>
      <c r="AF32" s="588"/>
      <c r="AG32" s="588"/>
    </row>
    <row r="33" spans="2:33" x14ac:dyDescent="0.25">
      <c r="B33" s="397">
        <v>43383</v>
      </c>
      <c r="C33" s="7">
        <v>200</v>
      </c>
      <c r="D33" s="43">
        <v>32.5</v>
      </c>
      <c r="E33" s="43">
        <v>0</v>
      </c>
      <c r="F33" s="43">
        <f t="shared" si="4"/>
        <v>6500</v>
      </c>
      <c r="G33" s="397">
        <v>43521</v>
      </c>
      <c r="H33" s="77">
        <v>100</v>
      </c>
      <c r="I33" s="43">
        <v>33.18</v>
      </c>
      <c r="J33" s="43">
        <v>0.04</v>
      </c>
      <c r="K33" s="43">
        <f t="shared" si="1"/>
        <v>3317.96</v>
      </c>
      <c r="O33" s="78">
        <v>0.96</v>
      </c>
      <c r="P33" s="78">
        <f t="shared" si="3"/>
        <v>17.52</v>
      </c>
      <c r="U33" s="1">
        <v>43552</v>
      </c>
      <c r="V33" t="s">
        <v>1334</v>
      </c>
      <c r="Z33" s="624" t="s">
        <v>645</v>
      </c>
      <c r="AA33" s="626"/>
      <c r="AB33" s="631">
        <v>0.15</v>
      </c>
      <c r="AC33" s="644" t="s">
        <v>690</v>
      </c>
      <c r="AD33" s="644" t="s">
        <v>863</v>
      </c>
      <c r="AE33" s="644" t="s">
        <v>863</v>
      </c>
      <c r="AF33" s="588"/>
      <c r="AG33" s="588"/>
    </row>
    <row r="34" spans="2:33" x14ac:dyDescent="0.25">
      <c r="B34" s="397">
        <v>43383</v>
      </c>
      <c r="C34" s="7">
        <v>200</v>
      </c>
      <c r="D34" s="43">
        <v>32.5</v>
      </c>
      <c r="E34" s="43">
        <v>0</v>
      </c>
      <c r="F34" s="43">
        <f t="shared" si="4"/>
        <v>6500</v>
      </c>
      <c r="G34" s="397">
        <v>43556</v>
      </c>
      <c r="H34" s="77">
        <v>200</v>
      </c>
      <c r="I34" s="43">
        <v>27.84</v>
      </c>
      <c r="J34" s="43">
        <v>7.0000000000000007E-2</v>
      </c>
      <c r="K34" s="43">
        <f t="shared" si="1"/>
        <v>5567.93</v>
      </c>
      <c r="O34" s="78">
        <v>0.95</v>
      </c>
      <c r="P34" s="78">
        <f t="shared" si="3"/>
        <v>17.337499999999999</v>
      </c>
      <c r="Z34" s="624" t="s">
        <v>652</v>
      </c>
      <c r="AA34" s="626"/>
      <c r="AB34" s="631">
        <v>0.18</v>
      </c>
      <c r="AC34" s="631"/>
      <c r="AD34" s="644" t="s">
        <v>864</v>
      </c>
      <c r="AE34" s="644" t="s">
        <v>864</v>
      </c>
      <c r="AF34" s="588"/>
      <c r="AG34" s="588"/>
    </row>
    <row r="35" spans="2:33" x14ac:dyDescent="0.25">
      <c r="B35" s="397">
        <v>43396</v>
      </c>
      <c r="C35" s="7">
        <v>100</v>
      </c>
      <c r="D35" s="43">
        <v>30.92</v>
      </c>
      <c r="E35" s="43">
        <v>0</v>
      </c>
      <c r="F35" s="43">
        <f t="shared" si="4"/>
        <v>3092</v>
      </c>
      <c r="G35" s="397">
        <v>43619</v>
      </c>
      <c r="H35" s="77">
        <v>100</v>
      </c>
      <c r="I35" s="43">
        <v>22.28</v>
      </c>
      <c r="J35" s="43">
        <v>0.05</v>
      </c>
      <c r="K35" s="43">
        <f t="shared" si="1"/>
        <v>2227.9499999999998</v>
      </c>
      <c r="O35" s="78">
        <v>0.94</v>
      </c>
      <c r="P35" s="78">
        <f t="shared" si="3"/>
        <v>17.154999999999998</v>
      </c>
      <c r="Z35" s="624" t="s">
        <v>675</v>
      </c>
      <c r="AA35" s="631">
        <v>0.23</v>
      </c>
      <c r="AB35" s="641">
        <f>AB38/AB42</f>
        <v>0.20886075949367089</v>
      </c>
      <c r="AC35" s="641">
        <f>AC38/AC42</f>
        <v>0.22983870967741934</v>
      </c>
      <c r="AD35" s="641">
        <f>AD38/AD42</f>
        <v>0.15841584158415842</v>
      </c>
      <c r="AE35" s="641"/>
      <c r="AF35" s="588"/>
      <c r="AG35" s="588"/>
    </row>
    <row r="36" spans="2:33" x14ac:dyDescent="0.25">
      <c r="B36" s="397">
        <v>43438</v>
      </c>
      <c r="C36" s="7">
        <v>100</v>
      </c>
      <c r="D36" s="43">
        <v>35.25</v>
      </c>
      <c r="E36" s="43">
        <v>0</v>
      </c>
      <c r="F36" s="43">
        <f t="shared" si="4"/>
        <v>3525</v>
      </c>
      <c r="G36" s="397">
        <v>43629</v>
      </c>
      <c r="H36" s="77">
        <v>100</v>
      </c>
      <c r="I36" s="43">
        <v>22.84</v>
      </c>
      <c r="J36" s="43">
        <v>0.05</v>
      </c>
      <c r="K36" s="43">
        <f t="shared" si="1"/>
        <v>2283.9499999999998</v>
      </c>
      <c r="O36" s="78">
        <v>0.93</v>
      </c>
      <c r="P36" s="78">
        <f t="shared" si="3"/>
        <v>16.9725</v>
      </c>
      <c r="Z36" s="624" t="s">
        <v>646</v>
      </c>
      <c r="AA36" s="626"/>
      <c r="AB36" s="588"/>
      <c r="AC36" s="588"/>
      <c r="AD36" s="588"/>
      <c r="AE36" s="588"/>
      <c r="AF36" s="588"/>
      <c r="AG36" s="588"/>
    </row>
    <row r="37" spans="2:33" x14ac:dyDescent="0.25">
      <c r="B37" s="397">
        <v>43440</v>
      </c>
      <c r="C37" s="7">
        <v>100</v>
      </c>
      <c r="D37" s="43">
        <v>33.5</v>
      </c>
      <c r="E37" s="43">
        <v>0</v>
      </c>
      <c r="F37" s="43">
        <f t="shared" si="4"/>
        <v>3350</v>
      </c>
      <c r="G37" s="397">
        <v>43633</v>
      </c>
      <c r="H37" s="77">
        <v>100</v>
      </c>
      <c r="I37" s="43">
        <v>23.15</v>
      </c>
      <c r="J37" s="43">
        <v>0.05</v>
      </c>
      <c r="K37" s="43">
        <f t="shared" si="1"/>
        <v>2314.9499999999998</v>
      </c>
      <c r="O37" s="78">
        <v>0.92</v>
      </c>
      <c r="P37" s="78">
        <f t="shared" si="3"/>
        <v>16.79</v>
      </c>
      <c r="Z37" s="624" t="s">
        <v>647</v>
      </c>
      <c r="AA37" s="626"/>
      <c r="AB37" s="588"/>
      <c r="AC37" s="588"/>
      <c r="AD37" s="588"/>
      <c r="AE37" s="588"/>
      <c r="AF37" s="588"/>
      <c r="AG37" s="588"/>
    </row>
    <row r="38" spans="2:33" x14ac:dyDescent="0.25">
      <c r="B38" s="397">
        <v>43446</v>
      </c>
      <c r="C38" s="4">
        <v>100</v>
      </c>
      <c r="D38" s="3">
        <v>30.9</v>
      </c>
      <c r="E38" s="3">
        <v>0</v>
      </c>
      <c r="F38" s="3">
        <f t="shared" si="4"/>
        <v>3090</v>
      </c>
      <c r="G38" s="397">
        <v>43633</v>
      </c>
      <c r="H38" s="77">
        <v>100</v>
      </c>
      <c r="I38" s="43">
        <v>23.45</v>
      </c>
      <c r="J38" s="43">
        <v>0.05</v>
      </c>
      <c r="K38" s="43">
        <f t="shared" si="1"/>
        <v>2344.9499999999998</v>
      </c>
      <c r="O38" s="78">
        <v>0.91</v>
      </c>
      <c r="P38" s="78">
        <f t="shared" si="3"/>
        <v>16.607500000000002</v>
      </c>
      <c r="Z38" s="624" t="s">
        <v>676</v>
      </c>
      <c r="AA38" s="626">
        <v>110</v>
      </c>
      <c r="AB38" s="351">
        <v>99</v>
      </c>
      <c r="AC38" s="351">
        <v>114</v>
      </c>
      <c r="AD38" s="351">
        <v>64</v>
      </c>
      <c r="AE38" s="351"/>
      <c r="AF38" s="588"/>
      <c r="AG38" s="588"/>
    </row>
    <row r="39" spans="2:33" x14ac:dyDescent="0.25">
      <c r="B39" s="397">
        <v>43518</v>
      </c>
      <c r="C39" s="4">
        <v>100</v>
      </c>
      <c r="D39" s="2">
        <v>32.18</v>
      </c>
      <c r="E39" s="2">
        <v>0</v>
      </c>
      <c r="F39" s="2">
        <f t="shared" si="4"/>
        <v>3218</v>
      </c>
      <c r="G39" s="397">
        <v>43644</v>
      </c>
      <c r="H39" s="77">
        <v>200</v>
      </c>
      <c r="I39" s="43">
        <v>25.03</v>
      </c>
      <c r="J39" s="43">
        <v>0.04</v>
      </c>
      <c r="K39" s="43">
        <f t="shared" si="1"/>
        <v>5005.96</v>
      </c>
      <c r="O39" s="78">
        <v>0.9</v>
      </c>
      <c r="P39" s="78">
        <f t="shared" si="3"/>
        <v>16.425000000000001</v>
      </c>
      <c r="Z39" s="624" t="s">
        <v>657</v>
      </c>
      <c r="AA39" s="629" t="s">
        <v>668</v>
      </c>
      <c r="AB39" s="624" t="s">
        <v>660</v>
      </c>
      <c r="AC39" s="624" t="s">
        <v>691</v>
      </c>
      <c r="AD39" s="624"/>
      <c r="AE39" s="624"/>
      <c r="AF39" s="588"/>
      <c r="AG39" s="588"/>
    </row>
    <row r="40" spans="2:33" x14ac:dyDescent="0.25">
      <c r="B40" s="397">
        <v>43525</v>
      </c>
      <c r="C40" s="4">
        <v>100</v>
      </c>
      <c r="D40" s="2">
        <v>31.2</v>
      </c>
      <c r="E40" s="2">
        <v>0</v>
      </c>
      <c r="F40" s="2">
        <f t="shared" si="4"/>
        <v>3120</v>
      </c>
      <c r="G40" s="397">
        <v>43662</v>
      </c>
      <c r="H40" s="77">
        <v>200</v>
      </c>
      <c r="I40" s="43">
        <v>23.68</v>
      </c>
      <c r="J40" s="43">
        <v>0.1</v>
      </c>
      <c r="K40" s="43">
        <f t="shared" si="1"/>
        <v>4735.8999999999996</v>
      </c>
      <c r="Z40" s="624" t="s">
        <v>658</v>
      </c>
      <c r="AA40" s="631">
        <v>0.93</v>
      </c>
      <c r="AB40" s="641">
        <v>0.87</v>
      </c>
      <c r="AC40" s="641">
        <v>0.87</v>
      </c>
      <c r="AD40" s="641"/>
      <c r="AE40" s="641"/>
      <c r="AF40" s="588"/>
      <c r="AG40" s="588"/>
    </row>
    <row r="41" spans="2:33" x14ac:dyDescent="0.25">
      <c r="B41" s="397">
        <v>43531</v>
      </c>
      <c r="C41" s="4">
        <v>100</v>
      </c>
      <c r="D41" s="3">
        <v>28.08</v>
      </c>
      <c r="E41" s="3">
        <v>0</v>
      </c>
      <c r="F41" s="3">
        <f t="shared" si="4"/>
        <v>2808</v>
      </c>
      <c r="G41" s="397">
        <v>43669</v>
      </c>
      <c r="H41" s="77">
        <v>200</v>
      </c>
      <c r="I41" s="43">
        <v>24.78</v>
      </c>
      <c r="J41" s="43">
        <v>0.1</v>
      </c>
      <c r="K41" s="43">
        <f t="shared" si="1"/>
        <v>4955.8999999999996</v>
      </c>
      <c r="Q41" s="2"/>
      <c r="Z41" s="588"/>
      <c r="AA41" s="626"/>
      <c r="AB41" s="588"/>
      <c r="AC41" s="588"/>
      <c r="AD41" s="588"/>
      <c r="AE41" s="588"/>
      <c r="AF41" s="588"/>
      <c r="AG41" s="588"/>
    </row>
    <row r="42" spans="2:33" x14ac:dyDescent="0.25">
      <c r="B42" s="397">
        <v>43546</v>
      </c>
      <c r="C42" s="4">
        <v>200</v>
      </c>
      <c r="D42" s="3">
        <v>27.2</v>
      </c>
      <c r="E42" s="3">
        <v>-1</v>
      </c>
      <c r="F42" s="3">
        <f t="shared" si="4"/>
        <v>5439</v>
      </c>
      <c r="G42" s="397">
        <v>43706</v>
      </c>
      <c r="H42" s="77">
        <v>200</v>
      </c>
      <c r="I42" s="43">
        <v>18.68</v>
      </c>
      <c r="J42" s="43">
        <v>0.08</v>
      </c>
      <c r="K42" s="43">
        <f t="shared" si="1"/>
        <v>3735.92</v>
      </c>
      <c r="Q42" s="2"/>
      <c r="Z42" s="630" t="s">
        <v>674</v>
      </c>
      <c r="AA42" s="626">
        <v>468</v>
      </c>
      <c r="AB42" s="351">
        <v>474</v>
      </c>
      <c r="AC42" s="351">
        <v>496</v>
      </c>
      <c r="AD42" s="351">
        <v>404</v>
      </c>
      <c r="AE42" s="351"/>
      <c r="AF42" s="588"/>
      <c r="AG42" s="588"/>
    </row>
    <row r="43" spans="2:33" x14ac:dyDescent="0.25">
      <c r="B43" s="397">
        <v>43606</v>
      </c>
      <c r="C43" s="7">
        <v>94</v>
      </c>
      <c r="D43" s="43">
        <v>22.53</v>
      </c>
      <c r="E43" s="43">
        <v>0</v>
      </c>
      <c r="F43" s="43">
        <f t="shared" si="4"/>
        <v>2117.8200000000002</v>
      </c>
      <c r="G43" s="397">
        <v>43713</v>
      </c>
      <c r="H43" s="77">
        <v>100</v>
      </c>
      <c r="I43" s="43">
        <v>18.88</v>
      </c>
      <c r="J43" s="43">
        <v>0.04</v>
      </c>
      <c r="K43" s="43">
        <f t="shared" si="1"/>
        <v>1887.96</v>
      </c>
      <c r="Q43" s="2"/>
      <c r="Z43" s="588"/>
      <c r="AA43" s="626"/>
      <c r="AB43" s="588"/>
      <c r="AC43" s="588"/>
      <c r="AD43" s="588"/>
      <c r="AE43" s="588"/>
      <c r="AF43" s="588"/>
      <c r="AG43" s="588"/>
    </row>
    <row r="44" spans="2:33" x14ac:dyDescent="0.25">
      <c r="B44" s="397">
        <v>43607</v>
      </c>
      <c r="C44" s="7">
        <v>304</v>
      </c>
      <c r="D44" s="43">
        <v>22.36</v>
      </c>
      <c r="E44" s="43">
        <v>2.0099999999999998</v>
      </c>
      <c r="F44" s="43">
        <f t="shared" si="4"/>
        <v>6799.45</v>
      </c>
      <c r="G44" s="397">
        <v>43713</v>
      </c>
      <c r="H44" s="77">
        <v>100</v>
      </c>
      <c r="I44" s="43">
        <v>19.48</v>
      </c>
      <c r="J44" s="43">
        <v>0.04</v>
      </c>
      <c r="K44" s="43">
        <f t="shared" si="1"/>
        <v>1947.96</v>
      </c>
      <c r="Q44" s="2"/>
      <c r="Z44" s="621" t="s">
        <v>994</v>
      </c>
      <c r="AA44" s="626"/>
      <c r="AB44" s="588"/>
      <c r="AC44" s="588"/>
      <c r="AD44" s="588"/>
      <c r="AE44" s="588"/>
      <c r="AF44" s="588"/>
      <c r="AG44" s="588"/>
    </row>
    <row r="45" spans="2:33" x14ac:dyDescent="0.25">
      <c r="B45" s="397">
        <v>43608</v>
      </c>
      <c r="C45" s="7">
        <v>2</v>
      </c>
      <c r="D45" s="43">
        <v>21.56</v>
      </c>
      <c r="E45" s="43">
        <v>0</v>
      </c>
      <c r="F45" s="43">
        <f t="shared" si="4"/>
        <v>43.12</v>
      </c>
      <c r="G45" s="397">
        <v>43718</v>
      </c>
      <c r="H45" s="77">
        <v>200</v>
      </c>
      <c r="I45" s="43">
        <v>21.2</v>
      </c>
      <c r="J45" s="43">
        <v>0.09</v>
      </c>
      <c r="K45" s="43">
        <f t="shared" si="1"/>
        <v>4239.91</v>
      </c>
      <c r="Q45" s="2"/>
      <c r="Z45" s="624" t="s">
        <v>650</v>
      </c>
      <c r="AA45" s="626">
        <v>1.4</v>
      </c>
      <c r="AB45" s="626">
        <v>2.2999999999999998</v>
      </c>
      <c r="AC45" s="626">
        <v>1.5</v>
      </c>
      <c r="AD45" s="626">
        <v>1.3</v>
      </c>
      <c r="AE45" s="626">
        <v>2</v>
      </c>
      <c r="AF45" s="588"/>
      <c r="AG45" s="588"/>
    </row>
    <row r="46" spans="2:33" x14ac:dyDescent="0.25">
      <c r="B46" s="397">
        <v>43608</v>
      </c>
      <c r="C46" s="7">
        <v>100</v>
      </c>
      <c r="D46" s="43">
        <v>21.56</v>
      </c>
      <c r="E46" s="43">
        <v>0</v>
      </c>
      <c r="F46" s="43">
        <f t="shared" ref="F46:F62" si="5">D46*C46+E46</f>
        <v>2156</v>
      </c>
      <c r="G46" s="397">
        <v>43749</v>
      </c>
      <c r="H46" s="77">
        <v>300</v>
      </c>
      <c r="I46" s="43">
        <v>20.420000000000002</v>
      </c>
      <c r="J46" s="43">
        <v>0.13</v>
      </c>
      <c r="K46" s="43">
        <f t="shared" si="1"/>
        <v>6125.8700000000008</v>
      </c>
      <c r="Q46" s="2"/>
      <c r="Z46" s="624" t="s">
        <v>651</v>
      </c>
      <c r="AA46" s="626">
        <v>1.7</v>
      </c>
      <c r="AB46" s="626">
        <v>2.6</v>
      </c>
      <c r="AC46" s="626">
        <v>1.8</v>
      </c>
      <c r="AD46" s="626">
        <v>1.6</v>
      </c>
      <c r="AE46" s="626">
        <v>2.2999999999999998</v>
      </c>
      <c r="AF46" s="588"/>
      <c r="AG46" s="588"/>
    </row>
    <row r="47" spans="2:33" x14ac:dyDescent="0.25">
      <c r="B47" s="397">
        <v>43630</v>
      </c>
      <c r="C47" s="7">
        <v>100</v>
      </c>
      <c r="D47" s="43">
        <v>22.44</v>
      </c>
      <c r="E47" s="43">
        <v>0</v>
      </c>
      <c r="F47" s="43">
        <f t="shared" si="5"/>
        <v>2244</v>
      </c>
      <c r="G47" s="397">
        <v>43773</v>
      </c>
      <c r="H47" s="77">
        <v>100</v>
      </c>
      <c r="I47" s="43">
        <v>21.18</v>
      </c>
      <c r="J47" s="43">
        <v>0.04</v>
      </c>
      <c r="K47" s="43">
        <f t="shared" si="1"/>
        <v>2117.96</v>
      </c>
      <c r="Q47" s="2"/>
      <c r="Z47" s="624" t="s">
        <v>643</v>
      </c>
      <c r="AA47" s="626">
        <v>1.6</v>
      </c>
      <c r="AB47" s="640">
        <v>2.5</v>
      </c>
      <c r="AC47" s="640">
        <v>1.9</v>
      </c>
      <c r="AD47" s="735">
        <v>1.6</v>
      </c>
      <c r="AE47" s="735"/>
      <c r="AF47" s="588"/>
      <c r="AG47" s="588"/>
    </row>
    <row r="48" spans="2:33" x14ac:dyDescent="0.25">
      <c r="B48" s="397">
        <v>43654</v>
      </c>
      <c r="C48" s="7">
        <v>200</v>
      </c>
      <c r="D48" s="43">
        <v>24.1</v>
      </c>
      <c r="E48" s="43">
        <v>0</v>
      </c>
      <c r="F48" s="43">
        <f t="shared" si="5"/>
        <v>4820</v>
      </c>
      <c r="G48" s="397">
        <v>43783</v>
      </c>
      <c r="H48" s="77">
        <v>100</v>
      </c>
      <c r="I48" s="43">
        <v>20.305</v>
      </c>
      <c r="J48" s="43">
        <v>0.04</v>
      </c>
      <c r="K48" s="43">
        <f t="shared" si="1"/>
        <v>2030.46</v>
      </c>
      <c r="Q48" s="2"/>
      <c r="Z48" s="588"/>
      <c r="AA48" s="626"/>
      <c r="AB48" s="588"/>
      <c r="AC48" s="588"/>
      <c r="AD48" s="588"/>
      <c r="AE48" s="588"/>
      <c r="AF48" s="588"/>
      <c r="AG48" s="588"/>
    </row>
    <row r="49" spans="2:33" x14ac:dyDescent="0.25">
      <c r="B49" s="397">
        <v>43657</v>
      </c>
      <c r="C49" s="7">
        <v>200</v>
      </c>
      <c r="D49" s="43">
        <v>22.7</v>
      </c>
      <c r="E49" s="43">
        <v>0</v>
      </c>
      <c r="F49" s="43">
        <f t="shared" si="5"/>
        <v>4540</v>
      </c>
      <c r="G49" s="397">
        <v>43801</v>
      </c>
      <c r="H49" s="77">
        <v>200</v>
      </c>
      <c r="I49" s="43">
        <v>19.34</v>
      </c>
      <c r="J49" s="43">
        <v>0.08</v>
      </c>
      <c r="K49" s="43">
        <f t="shared" si="1"/>
        <v>3867.92</v>
      </c>
      <c r="Q49" s="2"/>
      <c r="Z49" s="624" t="s">
        <v>648</v>
      </c>
      <c r="AA49" s="626">
        <v>20</v>
      </c>
      <c r="AB49" s="624" t="s">
        <v>682</v>
      </c>
      <c r="AC49" s="629">
        <v>20</v>
      </c>
      <c r="AD49" s="629">
        <v>25</v>
      </c>
      <c r="AE49" s="629">
        <v>20</v>
      </c>
      <c r="AF49" s="588"/>
      <c r="AG49" s="588"/>
    </row>
    <row r="50" spans="2:33" x14ac:dyDescent="0.25">
      <c r="B50" s="397">
        <v>43682</v>
      </c>
      <c r="C50" s="4">
        <v>100</v>
      </c>
      <c r="D50" s="2">
        <v>23.38</v>
      </c>
      <c r="E50" s="2">
        <v>0</v>
      </c>
      <c r="F50" s="2">
        <f t="shared" si="5"/>
        <v>2338</v>
      </c>
      <c r="G50" s="397">
        <v>43805</v>
      </c>
      <c r="H50" s="77">
        <v>200</v>
      </c>
      <c r="I50" s="43">
        <v>19.079999999999998</v>
      </c>
      <c r="J50" s="43">
        <v>0.08</v>
      </c>
      <c r="K50" s="43">
        <f t="shared" si="1"/>
        <v>3815.9199999999996</v>
      </c>
      <c r="P50" s="29"/>
      <c r="Q50" s="2"/>
      <c r="Z50" s="624" t="s">
        <v>655</v>
      </c>
      <c r="AA50" s="626"/>
      <c r="AB50" s="588"/>
      <c r="AC50" s="588"/>
      <c r="AD50" s="629">
        <v>35</v>
      </c>
      <c r="AE50" s="629">
        <v>30</v>
      </c>
      <c r="AF50" s="588"/>
      <c r="AG50" s="588"/>
    </row>
    <row r="51" spans="2:33" x14ac:dyDescent="0.25">
      <c r="B51" s="397">
        <v>43683</v>
      </c>
      <c r="C51" s="7">
        <v>100</v>
      </c>
      <c r="D51" s="43">
        <v>21.2</v>
      </c>
      <c r="E51" s="43">
        <v>0</v>
      </c>
      <c r="F51" s="43">
        <f t="shared" si="5"/>
        <v>2120</v>
      </c>
      <c r="G51" s="29"/>
      <c r="Q51" s="2"/>
      <c r="Z51" s="624" t="s">
        <v>678</v>
      </c>
      <c r="AA51" s="626">
        <v>24</v>
      </c>
      <c r="AB51" s="640">
        <v>25</v>
      </c>
      <c r="AC51" s="640">
        <v>24</v>
      </c>
      <c r="AD51" s="640">
        <v>37</v>
      </c>
      <c r="AE51" s="640"/>
      <c r="AF51" s="588"/>
      <c r="AG51" s="588"/>
    </row>
    <row r="52" spans="2:33" x14ac:dyDescent="0.25">
      <c r="B52" s="397">
        <v>43689</v>
      </c>
      <c r="C52" s="7">
        <v>100</v>
      </c>
      <c r="D52" s="43">
        <v>20.86</v>
      </c>
      <c r="E52" s="43">
        <v>0</v>
      </c>
      <c r="F52" s="43">
        <f t="shared" si="5"/>
        <v>2086</v>
      </c>
      <c r="G52" s="29"/>
      <c r="Q52" s="2"/>
      <c r="Z52" s="621"/>
      <c r="AA52" s="627"/>
      <c r="AB52" s="588"/>
      <c r="AC52" s="588"/>
      <c r="AD52" s="588"/>
      <c r="AE52" s="588"/>
      <c r="AF52" s="588"/>
      <c r="AG52" s="588"/>
    </row>
    <row r="53" spans="2:33" x14ac:dyDescent="0.25">
      <c r="B53" s="397">
        <v>43700</v>
      </c>
      <c r="C53" s="7">
        <v>100</v>
      </c>
      <c r="D53" s="43">
        <v>18.8</v>
      </c>
      <c r="E53" s="43">
        <v>0</v>
      </c>
      <c r="F53" s="43">
        <f t="shared" si="5"/>
        <v>1880</v>
      </c>
      <c r="G53" s="29"/>
      <c r="Q53" s="2"/>
      <c r="Z53" s="624" t="s">
        <v>676</v>
      </c>
      <c r="AA53" s="628">
        <v>39</v>
      </c>
      <c r="AB53" s="351">
        <v>64</v>
      </c>
      <c r="AC53" s="351">
        <v>45</v>
      </c>
      <c r="AD53" s="351">
        <f>AD51*AD47</f>
        <v>59.2</v>
      </c>
      <c r="AE53" s="351"/>
      <c r="AF53" s="588"/>
      <c r="AG53" s="588"/>
    </row>
    <row r="54" spans="2:33" x14ac:dyDescent="0.25">
      <c r="B54" s="397">
        <v>43700</v>
      </c>
      <c r="C54" s="7">
        <v>200</v>
      </c>
      <c r="D54" s="43">
        <v>18.079999999999998</v>
      </c>
      <c r="E54" s="43">
        <v>0</v>
      </c>
      <c r="F54" s="43">
        <f t="shared" si="5"/>
        <v>3615.9999999999995</v>
      </c>
      <c r="G54" s="29"/>
      <c r="Z54" s="624" t="s">
        <v>679</v>
      </c>
      <c r="AA54" s="633">
        <f>AA53/AA57</f>
        <v>6.6895368782161235E-2</v>
      </c>
      <c r="AB54" s="633">
        <f>AB53/AB57</f>
        <v>6.8743286788399569E-2</v>
      </c>
      <c r="AC54" s="633">
        <f>AC53/AC57</f>
        <v>6.311360448807854E-2</v>
      </c>
      <c r="AD54" s="633">
        <f>AD53/AD57</f>
        <v>8.9022556390977448E-2</v>
      </c>
      <c r="AE54" s="633"/>
      <c r="AF54" s="588"/>
      <c r="AG54" s="588"/>
    </row>
    <row r="55" spans="2:33" x14ac:dyDescent="0.25">
      <c r="B55" s="397">
        <v>43711</v>
      </c>
      <c r="C55" s="7">
        <v>100</v>
      </c>
      <c r="D55" s="43">
        <v>17.850000000000001</v>
      </c>
      <c r="E55" s="43">
        <v>0</v>
      </c>
      <c r="F55" s="43">
        <f t="shared" si="5"/>
        <v>1785.0000000000002</v>
      </c>
      <c r="G55" s="29"/>
      <c r="Z55" s="624" t="s">
        <v>680</v>
      </c>
      <c r="AA55" s="626">
        <v>356</v>
      </c>
      <c r="AB55" s="640">
        <v>366</v>
      </c>
      <c r="AC55" s="640">
        <v>370</v>
      </c>
      <c r="AD55" s="640">
        <v>420</v>
      </c>
      <c r="AE55" s="640"/>
      <c r="AF55" s="588"/>
      <c r="AG55" s="588"/>
    </row>
    <row r="56" spans="2:33" x14ac:dyDescent="0.25">
      <c r="B56" s="397">
        <v>43734</v>
      </c>
      <c r="C56" s="7">
        <v>100</v>
      </c>
      <c r="D56" s="43">
        <v>19.82</v>
      </c>
      <c r="E56" s="43">
        <v>0</v>
      </c>
      <c r="F56" s="43">
        <f t="shared" si="5"/>
        <v>1982</v>
      </c>
      <c r="G56" s="29"/>
      <c r="Z56" s="634" t="s">
        <v>681</v>
      </c>
      <c r="AA56" s="626">
        <v>374</v>
      </c>
      <c r="AB56" s="626">
        <v>380</v>
      </c>
      <c r="AC56" s="626">
        <v>354</v>
      </c>
      <c r="AD56" s="626">
        <v>375</v>
      </c>
      <c r="AE56" s="626"/>
      <c r="AF56" s="588"/>
      <c r="AG56" s="588"/>
    </row>
    <row r="57" spans="2:33" x14ac:dyDescent="0.25">
      <c r="B57" s="397">
        <v>43746</v>
      </c>
      <c r="C57" s="7">
        <v>200</v>
      </c>
      <c r="D57" s="43">
        <v>18.579999999999998</v>
      </c>
      <c r="E57" s="43">
        <v>-0.5</v>
      </c>
      <c r="F57" s="43">
        <f t="shared" si="5"/>
        <v>3715.4999999999995</v>
      </c>
      <c r="G57" s="29"/>
      <c r="Z57" s="630" t="s">
        <v>674</v>
      </c>
      <c r="AA57" s="628">
        <v>583</v>
      </c>
      <c r="AB57" s="351">
        <v>931</v>
      </c>
      <c r="AC57" s="351">
        <v>713</v>
      </c>
      <c r="AD57" s="351">
        <v>665</v>
      </c>
      <c r="AE57" s="351"/>
      <c r="AF57" s="588"/>
      <c r="AG57" s="588"/>
    </row>
    <row r="58" spans="2:33" x14ac:dyDescent="0.25">
      <c r="B58" s="397">
        <v>43755</v>
      </c>
      <c r="C58" s="7">
        <v>100</v>
      </c>
      <c r="D58" s="43">
        <v>19.73</v>
      </c>
      <c r="E58" s="43">
        <v>0</v>
      </c>
      <c r="F58" s="43">
        <f t="shared" si="5"/>
        <v>1973</v>
      </c>
      <c r="G58" s="29"/>
      <c r="Z58" s="624"/>
      <c r="AA58" s="628"/>
      <c r="AB58" s="588"/>
      <c r="AC58" s="588"/>
      <c r="AD58" s="588"/>
      <c r="AE58" s="588"/>
      <c r="AF58" s="588"/>
      <c r="AG58" s="588"/>
    </row>
    <row r="59" spans="2:33" x14ac:dyDescent="0.25">
      <c r="B59" s="646">
        <v>43782</v>
      </c>
      <c r="C59" s="7">
        <v>100</v>
      </c>
      <c r="D59" s="43">
        <v>19.8</v>
      </c>
      <c r="E59" s="43">
        <v>0</v>
      </c>
      <c r="F59" s="43">
        <f t="shared" si="5"/>
        <v>1980</v>
      </c>
      <c r="G59" s="29"/>
      <c r="Z59" s="624"/>
      <c r="AA59" s="628"/>
      <c r="AB59" s="588"/>
      <c r="AC59" s="588"/>
      <c r="AD59" s="588"/>
      <c r="AE59" s="588"/>
      <c r="AF59" s="588"/>
      <c r="AG59" s="588"/>
    </row>
    <row r="60" spans="2:33" x14ac:dyDescent="0.25">
      <c r="B60" s="646">
        <v>43785</v>
      </c>
      <c r="C60" s="4">
        <v>100</v>
      </c>
      <c r="D60" s="2">
        <v>19.760000000000002</v>
      </c>
      <c r="E60" s="2">
        <v>0</v>
      </c>
      <c r="F60" s="2">
        <f t="shared" si="5"/>
        <v>1976.0000000000002</v>
      </c>
      <c r="G60" s="29"/>
      <c r="Z60" s="625"/>
      <c r="AA60" s="628"/>
      <c r="AB60" s="588"/>
      <c r="AC60" s="588"/>
      <c r="AD60" s="588"/>
      <c r="AE60" s="588"/>
      <c r="AF60" s="588"/>
      <c r="AG60" s="588"/>
    </row>
    <row r="61" spans="2:33" x14ac:dyDescent="0.25">
      <c r="B61" s="646">
        <v>43788</v>
      </c>
      <c r="C61" s="7">
        <v>200</v>
      </c>
      <c r="D61" s="43">
        <v>19.100000000000001</v>
      </c>
      <c r="E61" s="43">
        <v>-0.5</v>
      </c>
      <c r="F61" s="43">
        <f t="shared" si="5"/>
        <v>3819.5000000000005</v>
      </c>
      <c r="G61" s="29"/>
      <c r="Z61" s="624"/>
      <c r="AA61" s="628"/>
      <c r="AB61" s="588"/>
      <c r="AC61" s="588"/>
      <c r="AD61" s="588"/>
      <c r="AE61" s="588"/>
      <c r="AF61" s="588"/>
      <c r="AG61" s="588"/>
    </row>
    <row r="62" spans="2:33" x14ac:dyDescent="0.25">
      <c r="B62" s="646">
        <v>43789</v>
      </c>
      <c r="C62" s="7">
        <v>200</v>
      </c>
      <c r="D62" s="43">
        <v>18.32</v>
      </c>
      <c r="E62" s="43">
        <v>0</v>
      </c>
      <c r="F62" s="43">
        <f t="shared" si="5"/>
        <v>3664</v>
      </c>
      <c r="G62" s="29"/>
      <c r="Z62" s="625" t="s">
        <v>672</v>
      </c>
      <c r="AA62" s="628">
        <v>95</v>
      </c>
      <c r="AB62" s="588">
        <v>213.9</v>
      </c>
      <c r="AC62" s="588">
        <v>127.1</v>
      </c>
      <c r="AD62" s="588">
        <v>80.7</v>
      </c>
      <c r="AE62" s="588"/>
      <c r="AF62" s="588"/>
      <c r="AG62" s="588"/>
    </row>
    <row r="63" spans="2:33" x14ac:dyDescent="0.25">
      <c r="B63" s="29"/>
      <c r="C63" s="4"/>
      <c r="G63" s="29"/>
      <c r="Z63" s="625" t="s">
        <v>670</v>
      </c>
      <c r="AA63" s="628">
        <v>97</v>
      </c>
      <c r="AB63" s="588">
        <v>227.5</v>
      </c>
      <c r="AC63" s="588">
        <v>-429.8</v>
      </c>
      <c r="AD63" s="588">
        <v>42.3</v>
      </c>
      <c r="AE63" s="588"/>
      <c r="AF63" s="588"/>
      <c r="AG63" s="588"/>
    </row>
    <row r="64" spans="2:33" x14ac:dyDescent="0.25">
      <c r="B64" s="29"/>
      <c r="G64" s="29"/>
      <c r="Z64" s="625" t="s">
        <v>669</v>
      </c>
      <c r="AA64" s="628">
        <v>0.28000000000000003</v>
      </c>
      <c r="AB64" s="588">
        <v>0.65</v>
      </c>
      <c r="AC64" s="588">
        <v>-1.23</v>
      </c>
      <c r="AD64" s="588"/>
      <c r="AE64" s="588"/>
      <c r="AF64" s="588"/>
      <c r="AG64" s="588"/>
    </row>
    <row r="65" spans="1:33" x14ac:dyDescent="0.25">
      <c r="B65" s="29"/>
      <c r="G65" s="29"/>
      <c r="Z65" s="625" t="s">
        <v>867</v>
      </c>
      <c r="AA65" s="628"/>
      <c r="AB65" s="588"/>
      <c r="AC65" s="588">
        <v>0.34</v>
      </c>
      <c r="AD65" s="588">
        <v>0.11</v>
      </c>
      <c r="AE65" s="588"/>
      <c r="AF65" s="588"/>
      <c r="AG65" s="588"/>
    </row>
    <row r="66" spans="1:33" x14ac:dyDescent="0.25">
      <c r="B66" s="29"/>
      <c r="C66" s="4"/>
      <c r="G66" s="29"/>
      <c r="Z66" s="625" t="s">
        <v>671</v>
      </c>
      <c r="AA66" s="628">
        <v>1.8</v>
      </c>
      <c r="AB66" s="588">
        <v>1.98</v>
      </c>
      <c r="AC66" s="588">
        <v>2.09</v>
      </c>
      <c r="AD66" s="588">
        <v>1.93</v>
      </c>
      <c r="AE66" s="588"/>
      <c r="AF66" s="588"/>
      <c r="AG66" s="588"/>
    </row>
    <row r="67" spans="1:33" x14ac:dyDescent="0.25">
      <c r="B67" s="29"/>
      <c r="G67" s="29"/>
      <c r="Z67" s="625"/>
      <c r="AA67" s="628"/>
      <c r="AB67" s="588"/>
      <c r="AC67" s="588"/>
      <c r="AD67" s="588"/>
      <c r="AE67" s="588"/>
      <c r="AF67" s="588"/>
      <c r="AG67" s="588"/>
    </row>
    <row r="68" spans="1:33" x14ac:dyDescent="0.25">
      <c r="A68" s="31" t="s">
        <v>81</v>
      </c>
      <c r="B68" s="14"/>
      <c r="C68" s="14">
        <f>SUM(C2:C66)</f>
        <v>8250</v>
      </c>
      <c r="D68" s="18"/>
      <c r="E68" s="18"/>
      <c r="F68" s="18">
        <f>SUM(F2:F66)</f>
        <v>205708.01</v>
      </c>
      <c r="G68" s="14"/>
      <c r="H68" s="14">
        <f>SUM(H2:H67)</f>
        <v>7650</v>
      </c>
      <c r="I68" s="18"/>
      <c r="J68" s="18"/>
      <c r="K68" s="18">
        <f>SUM(K2:K67)</f>
        <v>199404.83000000005</v>
      </c>
      <c r="L68" s="14"/>
      <c r="M68" s="18">
        <f>SUM(M2:M67)</f>
        <v>397.5</v>
      </c>
      <c r="Z68" s="625" t="s">
        <v>673</v>
      </c>
      <c r="AA68" s="628">
        <v>661</v>
      </c>
      <c r="AB68" s="588">
        <v>726.4</v>
      </c>
      <c r="AC68" s="588">
        <v>2194.4</v>
      </c>
      <c r="AD68" s="588">
        <v>703.1</v>
      </c>
      <c r="AE68" s="588"/>
      <c r="AF68" s="588"/>
      <c r="AG68" s="588"/>
    </row>
    <row r="69" spans="1:33" ht="15.75" thickBot="1" x14ac:dyDescent="0.3">
      <c r="A69" s="273" t="s">
        <v>189</v>
      </c>
      <c r="B69" s="274"/>
      <c r="C69" s="275">
        <f>SumByColor($A$69,C2:C67)</f>
        <v>7450</v>
      </c>
      <c r="D69" s="275"/>
      <c r="E69" s="275"/>
      <c r="F69" s="276">
        <f>SumByColor($A$69,F2:F67)</f>
        <v>183718</v>
      </c>
      <c r="G69" s="275"/>
      <c r="H69" s="275">
        <f>SumByColor($A$69,H2:H67)</f>
        <v>7650</v>
      </c>
      <c r="I69" s="275"/>
      <c r="J69" s="275"/>
      <c r="K69" s="276">
        <f>SumByColor($A$69,K2:K67)</f>
        <v>199408</v>
      </c>
      <c r="L69" s="275"/>
      <c r="M69" s="276">
        <f>SumByColor($A$69,M2:M67)</f>
        <v>399</v>
      </c>
      <c r="Z69" s="625" t="s">
        <v>995</v>
      </c>
      <c r="AA69" s="628">
        <v>3800</v>
      </c>
      <c r="AB69" s="588">
        <v>3720</v>
      </c>
      <c r="AC69" s="588">
        <v>4878.1000000000004</v>
      </c>
      <c r="AD69" s="588">
        <v>4823.1000000000004</v>
      </c>
      <c r="AE69" s="588"/>
      <c r="AF69" s="588"/>
      <c r="AG69" s="588"/>
    </row>
    <row r="70" spans="1:33" x14ac:dyDescent="0.25">
      <c r="Z70" s="624"/>
      <c r="AA70" s="628"/>
      <c r="AB70" s="588"/>
      <c r="AC70" s="588"/>
      <c r="AD70" s="588"/>
      <c r="AE70" s="588"/>
      <c r="AF70" s="588"/>
      <c r="AG70" s="588"/>
    </row>
    <row r="71" spans="1:33" x14ac:dyDescent="0.25">
      <c r="Z71" s="624"/>
      <c r="AA71" s="628"/>
      <c r="AB71" s="588"/>
      <c r="AC71" s="588"/>
      <c r="AD71" s="588"/>
      <c r="AE71" s="588"/>
      <c r="AF71" s="588"/>
      <c r="AG71" s="588"/>
    </row>
    <row r="72" spans="1:33" x14ac:dyDescent="0.25">
      <c r="B72" s="405" t="s">
        <v>113</v>
      </c>
      <c r="C72" s="405" t="s">
        <v>143</v>
      </c>
      <c r="D72" s="406" t="s">
        <v>142</v>
      </c>
      <c r="E72" s="407" t="s">
        <v>144</v>
      </c>
      <c r="F72" s="407" t="s">
        <v>65</v>
      </c>
      <c r="G72" s="409" t="s">
        <v>148</v>
      </c>
      <c r="H72" s="409" t="s">
        <v>88</v>
      </c>
      <c r="I72" s="409" t="s">
        <v>151</v>
      </c>
      <c r="J72" s="409" t="s">
        <v>452</v>
      </c>
      <c r="K72" s="409" t="s">
        <v>147</v>
      </c>
      <c r="L72" s="409" t="s">
        <v>901</v>
      </c>
      <c r="Z72" s="624"/>
      <c r="AA72" s="628"/>
      <c r="AB72" s="588"/>
      <c r="AC72" s="588"/>
      <c r="AD72" s="588"/>
      <c r="AE72" s="588"/>
      <c r="AF72" s="588"/>
      <c r="AG72" s="588"/>
    </row>
    <row r="73" spans="1:33" x14ac:dyDescent="0.25">
      <c r="B73" s="443">
        <v>42754</v>
      </c>
      <c r="C73" s="447">
        <v>100</v>
      </c>
      <c r="D73" s="448">
        <v>27.58</v>
      </c>
      <c r="E73" s="448">
        <v>30.25</v>
      </c>
      <c r="F73" s="448">
        <f t="shared" ref="F73:F78" si="6">C73*(E73-D73)</f>
        <v>267.00000000000017</v>
      </c>
      <c r="G73" s="448">
        <f t="shared" ref="G73:G78" si="7">D73*C73</f>
        <v>2758</v>
      </c>
      <c r="H73" s="483">
        <f t="shared" ref="H73:H78" si="8">(E73-D73)/D73</f>
        <v>9.6809282088469978E-2</v>
      </c>
      <c r="I73" s="448"/>
      <c r="J73" s="448"/>
      <c r="K73" s="448"/>
      <c r="L73" s="448"/>
      <c r="AA73" s="104"/>
    </row>
    <row r="74" spans="1:33" x14ac:dyDescent="0.25">
      <c r="B74" s="443">
        <v>42758</v>
      </c>
      <c r="C74" s="447">
        <v>100</v>
      </c>
      <c r="D74" s="448">
        <v>27.180700000000002</v>
      </c>
      <c r="E74" s="448">
        <v>31.55</v>
      </c>
      <c r="F74" s="448">
        <f t="shared" si="6"/>
        <v>436.92999999999989</v>
      </c>
      <c r="G74" s="448">
        <f t="shared" si="7"/>
        <v>2718.07</v>
      </c>
      <c r="H74" s="483">
        <f t="shared" si="8"/>
        <v>0.16075009105725749</v>
      </c>
      <c r="I74" s="448"/>
      <c r="J74" s="448"/>
      <c r="K74" s="448"/>
      <c r="L74" s="448"/>
      <c r="AA74" s="4"/>
    </row>
    <row r="75" spans="1:33" x14ac:dyDescent="0.25">
      <c r="A75" t="s">
        <v>328</v>
      </c>
      <c r="B75" s="161">
        <v>42758</v>
      </c>
      <c r="C75" s="10">
        <v>100</v>
      </c>
      <c r="D75" s="39">
        <v>31.18</v>
      </c>
      <c r="E75" s="39">
        <v>31.55</v>
      </c>
      <c r="F75" s="39">
        <f t="shared" si="6"/>
        <v>37.000000000000099</v>
      </c>
      <c r="G75" s="39">
        <f t="shared" si="7"/>
        <v>3118</v>
      </c>
      <c r="H75" s="175">
        <f t="shared" si="8"/>
        <v>1.1866581141757569E-2</v>
      </c>
      <c r="I75" s="39"/>
      <c r="J75" s="39"/>
      <c r="K75" s="39"/>
      <c r="L75" s="39"/>
    </row>
    <row r="76" spans="1:33" x14ac:dyDescent="0.25">
      <c r="A76" t="s">
        <v>328</v>
      </c>
      <c r="B76" s="161">
        <v>42760</v>
      </c>
      <c r="C76" s="10">
        <v>100</v>
      </c>
      <c r="D76" s="39">
        <v>31.18</v>
      </c>
      <c r="E76" s="39">
        <v>33.26</v>
      </c>
      <c r="F76" s="39">
        <f t="shared" si="6"/>
        <v>207.99999999999983</v>
      </c>
      <c r="G76" s="39">
        <f t="shared" si="7"/>
        <v>3118</v>
      </c>
      <c r="H76" s="175">
        <f t="shared" si="8"/>
        <v>6.6709429121231498E-2</v>
      </c>
      <c r="I76" s="39"/>
      <c r="J76" s="39"/>
      <c r="K76" s="39"/>
      <c r="L76" s="39"/>
    </row>
    <row r="77" spans="1:33" x14ac:dyDescent="0.25">
      <c r="A77" t="s">
        <v>319</v>
      </c>
      <c r="B77" s="161">
        <v>42787</v>
      </c>
      <c r="C77" s="10">
        <v>100</v>
      </c>
      <c r="D77" s="39">
        <v>31.18</v>
      </c>
      <c r="E77" s="39">
        <v>33.64</v>
      </c>
      <c r="F77" s="39">
        <f t="shared" si="6"/>
        <v>246.00000000000009</v>
      </c>
      <c r="G77" s="39">
        <f t="shared" si="7"/>
        <v>3118</v>
      </c>
      <c r="H77" s="175">
        <f t="shared" si="8"/>
        <v>7.8896728672225816E-2</v>
      </c>
      <c r="I77" s="39"/>
      <c r="J77" s="39"/>
      <c r="K77" s="39"/>
      <c r="L77" s="39"/>
    </row>
    <row r="78" spans="1:33" x14ac:dyDescent="0.25">
      <c r="A78">
        <v>100</v>
      </c>
      <c r="B78" s="161">
        <v>42808</v>
      </c>
      <c r="C78" s="181">
        <v>200</v>
      </c>
      <c r="D78" s="182">
        <v>29.83</v>
      </c>
      <c r="E78" s="39">
        <v>28.6</v>
      </c>
      <c r="F78" s="39">
        <f t="shared" si="6"/>
        <v>-245.99999999999937</v>
      </c>
      <c r="G78" s="39">
        <f t="shared" si="7"/>
        <v>5966</v>
      </c>
      <c r="H78" s="175">
        <f t="shared" si="8"/>
        <v>-4.1233657391887259E-2</v>
      </c>
      <c r="I78" s="39"/>
      <c r="J78" s="39">
        <v>30.72</v>
      </c>
      <c r="K78" s="39">
        <v>1207</v>
      </c>
      <c r="L78" s="39"/>
    </row>
    <row r="79" spans="1:33" x14ac:dyDescent="0.25">
      <c r="A79">
        <v>0</v>
      </c>
      <c r="B79" s="161">
        <v>42809</v>
      </c>
      <c r="C79" s="10">
        <v>100</v>
      </c>
      <c r="D79" s="39">
        <v>30.750599999999999</v>
      </c>
      <c r="E79" s="39">
        <v>29.14</v>
      </c>
      <c r="F79" s="39">
        <f>C79*(E79-D79)</f>
        <v>-161.0599999999998</v>
      </c>
      <c r="G79" s="39">
        <f>D79*C79</f>
        <v>3075.06</v>
      </c>
      <c r="H79" s="175">
        <f>(E79-D79)/D79</f>
        <v>-5.2376213797454295E-2</v>
      </c>
      <c r="I79" s="39"/>
      <c r="J79" s="39"/>
      <c r="K79" s="39">
        <v>1291</v>
      </c>
      <c r="L79" s="39"/>
    </row>
    <row r="80" spans="1:33" x14ac:dyDescent="0.25">
      <c r="A80">
        <v>0</v>
      </c>
      <c r="B80" s="161">
        <v>42811</v>
      </c>
      <c r="C80" s="10">
        <v>100</v>
      </c>
      <c r="D80" s="39">
        <v>30.4756</v>
      </c>
      <c r="E80" s="39">
        <v>29.17</v>
      </c>
      <c r="F80" s="39">
        <f t="shared" ref="F80:F93" si="9">C80*(E80-D80)</f>
        <v>-130.55999999999983</v>
      </c>
      <c r="G80" s="39">
        <f t="shared" ref="G80:G93" si="10">D80*C80</f>
        <v>3047.56</v>
      </c>
      <c r="H80" s="175">
        <f t="shared" ref="H80:H93" si="11">(E80-D80)/D80</f>
        <v>-4.2840830041081988E-2</v>
      </c>
      <c r="I80" s="39"/>
      <c r="J80" s="39">
        <v>30</v>
      </c>
      <c r="K80" s="39">
        <v>1321</v>
      </c>
      <c r="L80" s="39"/>
    </row>
    <row r="81" spans="1:12" x14ac:dyDescent="0.25">
      <c r="A81">
        <v>0</v>
      </c>
      <c r="B81" s="161">
        <v>42836</v>
      </c>
      <c r="C81" s="181">
        <v>200</v>
      </c>
      <c r="D81" s="182">
        <v>29.412800000000001</v>
      </c>
      <c r="E81" s="39">
        <v>28.69</v>
      </c>
      <c r="F81" s="39">
        <f t="shared" si="9"/>
        <v>-144.55999999999989</v>
      </c>
      <c r="G81" s="39">
        <f t="shared" si="10"/>
        <v>5882.56</v>
      </c>
      <c r="H81" s="175">
        <f t="shared" si="11"/>
        <v>-2.4574334983408566E-2</v>
      </c>
      <c r="I81" s="39">
        <v>29</v>
      </c>
      <c r="J81" s="39"/>
      <c r="K81" s="39">
        <v>1308</v>
      </c>
      <c r="L81" s="39"/>
    </row>
    <row r="82" spans="1:12" x14ac:dyDescent="0.25">
      <c r="A82">
        <v>100</v>
      </c>
      <c r="B82" s="161">
        <v>42857</v>
      </c>
      <c r="C82" s="10">
        <v>300</v>
      </c>
      <c r="D82" s="39">
        <v>27.9452</v>
      </c>
      <c r="E82" s="39">
        <v>24.95</v>
      </c>
      <c r="F82" s="39">
        <f t="shared" si="9"/>
        <v>-898.56000000000017</v>
      </c>
      <c r="G82" s="39">
        <f t="shared" si="10"/>
        <v>8383.56</v>
      </c>
      <c r="H82" s="175">
        <f t="shared" si="11"/>
        <v>-0.10718119748650932</v>
      </c>
      <c r="I82" s="39"/>
      <c r="J82" s="39"/>
      <c r="K82" s="39">
        <v>554</v>
      </c>
      <c r="L82" s="39"/>
    </row>
    <row r="83" spans="1:12" x14ac:dyDescent="0.25">
      <c r="A83">
        <v>100</v>
      </c>
      <c r="B83" s="161">
        <v>42858</v>
      </c>
      <c r="C83" s="7">
        <v>400</v>
      </c>
      <c r="D83" s="43">
        <v>26.953900000000001</v>
      </c>
      <c r="E83" s="39">
        <v>23.98</v>
      </c>
      <c r="F83" s="39">
        <f t="shared" si="9"/>
        <v>-1189.5600000000002</v>
      </c>
      <c r="G83" s="39">
        <f t="shared" si="10"/>
        <v>10781.56</v>
      </c>
      <c r="H83" s="175">
        <f t="shared" si="11"/>
        <v>-0.11033282753145186</v>
      </c>
      <c r="I83" s="39"/>
      <c r="J83" s="39"/>
      <c r="K83" s="39"/>
      <c r="L83" s="39"/>
    </row>
    <row r="84" spans="1:12" x14ac:dyDescent="0.25">
      <c r="A84">
        <v>100</v>
      </c>
      <c r="B84" s="161">
        <v>42862</v>
      </c>
      <c r="C84" s="10">
        <v>400</v>
      </c>
      <c r="D84" s="39">
        <v>26.953900000000001</v>
      </c>
      <c r="E84" s="39">
        <v>23.45</v>
      </c>
      <c r="F84" s="39">
        <f t="shared" si="9"/>
        <v>-1401.5600000000006</v>
      </c>
      <c r="G84" s="39">
        <f t="shared" si="10"/>
        <v>10781.56</v>
      </c>
      <c r="H84" s="175">
        <f t="shared" si="11"/>
        <v>-0.12999603025907203</v>
      </c>
      <c r="I84" s="39"/>
      <c r="J84" s="39"/>
      <c r="K84" s="39">
        <v>50</v>
      </c>
      <c r="L84" s="39"/>
    </row>
    <row r="85" spans="1:12" x14ac:dyDescent="0.25">
      <c r="A85">
        <v>200</v>
      </c>
      <c r="B85" s="161">
        <v>42867</v>
      </c>
      <c r="C85" s="10">
        <v>600</v>
      </c>
      <c r="D85" s="39">
        <v>25.63</v>
      </c>
      <c r="E85" s="39">
        <v>22.91</v>
      </c>
      <c r="F85" s="39">
        <f t="shared" si="9"/>
        <v>-1631.9999999999993</v>
      </c>
      <c r="G85" s="39">
        <f t="shared" si="10"/>
        <v>15378</v>
      </c>
      <c r="H85" s="175">
        <f t="shared" si="11"/>
        <v>-0.10612563402262969</v>
      </c>
      <c r="I85" s="39"/>
      <c r="J85" s="39"/>
      <c r="K85" s="39">
        <v>-179</v>
      </c>
      <c r="L85" s="39"/>
    </row>
    <row r="86" spans="1:12" x14ac:dyDescent="0.25">
      <c r="B86" s="161">
        <v>42898</v>
      </c>
      <c r="C86" s="10">
        <v>400</v>
      </c>
      <c r="D86" s="39">
        <v>26.354199999999999</v>
      </c>
      <c r="E86" s="39">
        <v>23.55</v>
      </c>
      <c r="F86" s="39">
        <f t="shared" si="9"/>
        <v>-1121.6799999999992</v>
      </c>
      <c r="G86" s="39">
        <f t="shared" si="10"/>
        <v>10541.68</v>
      </c>
      <c r="H86" s="175">
        <f t="shared" si="11"/>
        <v>-0.1064042922949662</v>
      </c>
      <c r="I86" s="39"/>
      <c r="J86" s="39"/>
      <c r="K86" s="39">
        <v>331</v>
      </c>
      <c r="L86" s="39"/>
    </row>
    <row r="87" spans="1:12" x14ac:dyDescent="0.25">
      <c r="A87">
        <v>400</v>
      </c>
      <c r="B87" s="161">
        <v>42900</v>
      </c>
      <c r="C87" s="10">
        <v>600</v>
      </c>
      <c r="D87" s="39">
        <v>25.296099999999999</v>
      </c>
      <c r="E87" s="39">
        <v>22.74</v>
      </c>
      <c r="F87" s="39">
        <f t="shared" si="9"/>
        <v>-1533.6600000000003</v>
      </c>
      <c r="G87" s="39">
        <f t="shared" si="10"/>
        <v>15177.66</v>
      </c>
      <c r="H87" s="175">
        <f t="shared" si="11"/>
        <v>-0.10104719699874687</v>
      </c>
      <c r="I87" s="39"/>
      <c r="J87" s="39"/>
      <c r="K87" s="39">
        <v>-81.41</v>
      </c>
      <c r="L87" s="39"/>
    </row>
    <row r="88" spans="1:12" x14ac:dyDescent="0.25">
      <c r="A88">
        <v>400</v>
      </c>
      <c r="B88" s="161">
        <v>42904</v>
      </c>
      <c r="C88" s="10">
        <v>600</v>
      </c>
      <c r="D88" s="39">
        <v>25.146100000000001</v>
      </c>
      <c r="E88" s="39">
        <v>22.71</v>
      </c>
      <c r="F88" s="39">
        <f t="shared" si="9"/>
        <v>-1461.6599999999999</v>
      </c>
      <c r="G88" s="39">
        <f t="shared" si="10"/>
        <v>15087.66</v>
      </c>
      <c r="H88" s="175">
        <f t="shared" si="11"/>
        <v>-9.6877845868743054E-2</v>
      </c>
      <c r="I88" s="39"/>
      <c r="J88" s="39"/>
      <c r="K88" s="39">
        <v>-9.41</v>
      </c>
      <c r="L88" s="39"/>
    </row>
    <row r="89" spans="1:12" x14ac:dyDescent="0.25">
      <c r="A89">
        <v>200</v>
      </c>
      <c r="B89" s="161">
        <v>42926</v>
      </c>
      <c r="C89" s="10">
        <v>400</v>
      </c>
      <c r="D89" s="39">
        <v>25.644500000000001</v>
      </c>
      <c r="E89" s="39">
        <v>24.11</v>
      </c>
      <c r="F89" s="39">
        <f t="shared" si="9"/>
        <v>-613.80000000000052</v>
      </c>
      <c r="G89" s="39">
        <f t="shared" si="10"/>
        <v>10257.800000000001</v>
      </c>
      <c r="H89" s="175">
        <f t="shared" si="11"/>
        <v>-5.9837392033379525E-2</v>
      </c>
      <c r="I89" s="39"/>
      <c r="J89" s="39"/>
      <c r="K89" s="39">
        <v>836</v>
      </c>
      <c r="L89" s="39"/>
    </row>
    <row r="90" spans="1:12" x14ac:dyDescent="0.25">
      <c r="B90" s="161">
        <v>42940</v>
      </c>
      <c r="C90" s="10">
        <v>600</v>
      </c>
      <c r="D90" s="39">
        <v>24.86</v>
      </c>
      <c r="E90" s="39">
        <v>24.22</v>
      </c>
      <c r="F90" s="39">
        <f t="shared" si="9"/>
        <v>-384.00000000000034</v>
      </c>
      <c r="G90" s="39">
        <f t="shared" si="10"/>
        <v>14916</v>
      </c>
      <c r="H90" s="175">
        <f t="shared" si="11"/>
        <v>-2.5744167337087714E-2</v>
      </c>
      <c r="I90" s="39"/>
      <c r="J90" s="39"/>
      <c r="K90" s="39">
        <v>1066</v>
      </c>
      <c r="L90" s="39"/>
    </row>
    <row r="91" spans="1:12" x14ac:dyDescent="0.25">
      <c r="A91">
        <v>200</v>
      </c>
      <c r="B91" s="161">
        <v>42941</v>
      </c>
      <c r="C91" s="7">
        <v>400</v>
      </c>
      <c r="D91" s="43">
        <v>24.794799999999999</v>
      </c>
      <c r="E91" s="39">
        <v>24.22</v>
      </c>
      <c r="F91" s="39">
        <f t="shared" si="9"/>
        <v>-229.9199999999999</v>
      </c>
      <c r="G91" s="39">
        <f t="shared" si="10"/>
        <v>9917.92</v>
      </c>
      <c r="H91" s="175">
        <f t="shared" si="11"/>
        <v>-2.3182280155516471E-2</v>
      </c>
      <c r="I91" s="39">
        <v>23</v>
      </c>
      <c r="J91" s="39"/>
      <c r="K91" s="39">
        <v>1222</v>
      </c>
      <c r="L91" s="39"/>
    </row>
    <row r="92" spans="1:12" x14ac:dyDescent="0.25">
      <c r="A92">
        <v>200</v>
      </c>
      <c r="B92" s="161">
        <v>42942</v>
      </c>
      <c r="C92" s="10">
        <v>600</v>
      </c>
      <c r="D92" s="39">
        <v>24.623000000000001</v>
      </c>
      <c r="E92" s="39">
        <v>23.6</v>
      </c>
      <c r="F92" s="39">
        <f t="shared" si="9"/>
        <v>-613.79999999999984</v>
      </c>
      <c r="G92" s="39">
        <f t="shared" si="10"/>
        <v>14773.800000000001</v>
      </c>
      <c r="H92" s="175">
        <f t="shared" si="11"/>
        <v>-4.1546521544897033E-2</v>
      </c>
      <c r="I92" s="39"/>
      <c r="J92" s="39"/>
      <c r="K92" s="39">
        <v>838</v>
      </c>
      <c r="L92" s="39"/>
    </row>
    <row r="93" spans="1:12" x14ac:dyDescent="0.25">
      <c r="B93" s="161">
        <v>42948</v>
      </c>
      <c r="C93" s="10">
        <v>800</v>
      </c>
      <c r="D93" s="39">
        <v>24.087399999999999</v>
      </c>
      <c r="E93" s="39">
        <v>22.75</v>
      </c>
      <c r="F93" s="39">
        <f t="shared" si="9"/>
        <v>-1069.9199999999992</v>
      </c>
      <c r="G93" s="39">
        <f t="shared" si="10"/>
        <v>19269.919999999998</v>
      </c>
      <c r="H93" s="175">
        <f t="shared" si="11"/>
        <v>-5.5522804453780765E-2</v>
      </c>
      <c r="I93" s="39"/>
      <c r="J93" s="39"/>
      <c r="K93" s="39">
        <v>430</v>
      </c>
      <c r="L93" s="39"/>
    </row>
    <row r="94" spans="1:12" x14ac:dyDescent="0.25">
      <c r="A94">
        <v>800</v>
      </c>
      <c r="B94" s="161">
        <v>42983</v>
      </c>
      <c r="C94" s="10">
        <v>900</v>
      </c>
      <c r="D94" s="39">
        <v>23.59</v>
      </c>
      <c r="E94" s="39">
        <v>19.46</v>
      </c>
      <c r="F94" s="39">
        <f t="shared" ref="F94:F105" si="12">C94*(E94-D94)</f>
        <v>-3716.9999999999991</v>
      </c>
      <c r="G94" s="39">
        <f t="shared" ref="G94:G105" si="13">D94*C94</f>
        <v>21231</v>
      </c>
      <c r="H94" s="175">
        <f t="shared" ref="H94:H105" si="14">(E94-D94)/D94</f>
        <v>-0.17507418397626109</v>
      </c>
      <c r="I94" s="39"/>
      <c r="J94" s="39"/>
      <c r="K94" s="39">
        <v>-2264</v>
      </c>
      <c r="L94" s="39"/>
    </row>
    <row r="95" spans="1:12" x14ac:dyDescent="0.25">
      <c r="A95">
        <v>700</v>
      </c>
      <c r="B95" s="161">
        <v>42984</v>
      </c>
      <c r="C95" s="352">
        <v>800</v>
      </c>
      <c r="D95" s="353">
        <v>24.0657</v>
      </c>
      <c r="E95" s="39">
        <v>19.78</v>
      </c>
      <c r="F95" s="39">
        <f t="shared" si="12"/>
        <v>-3428.5599999999986</v>
      </c>
      <c r="G95" s="39">
        <f t="shared" si="13"/>
        <v>19252.560000000001</v>
      </c>
      <c r="H95" s="175">
        <f t="shared" si="14"/>
        <v>-0.17808333021686459</v>
      </c>
      <c r="I95" s="39">
        <v>23.5</v>
      </c>
      <c r="J95" s="39"/>
      <c r="K95" s="39">
        <v>-2128</v>
      </c>
      <c r="L95" s="39"/>
    </row>
    <row r="96" spans="1:12" x14ac:dyDescent="0.25">
      <c r="A96">
        <v>700</v>
      </c>
      <c r="B96" s="161">
        <v>42996</v>
      </c>
      <c r="C96" s="10">
        <v>800</v>
      </c>
      <c r="D96" s="39">
        <v>24.0657</v>
      </c>
      <c r="E96" s="39">
        <v>21.31</v>
      </c>
      <c r="F96" s="39">
        <f t="shared" si="12"/>
        <v>-2204.5600000000009</v>
      </c>
      <c r="G96" s="39">
        <f t="shared" si="13"/>
        <v>19252.560000000001</v>
      </c>
      <c r="H96" s="175">
        <f t="shared" si="14"/>
        <v>-0.11450736940957466</v>
      </c>
      <c r="I96" s="39">
        <v>23.5</v>
      </c>
      <c r="J96" s="39"/>
      <c r="K96" s="39">
        <v>-752</v>
      </c>
      <c r="L96" s="39"/>
    </row>
    <row r="97" spans="1:12" x14ac:dyDescent="0.25">
      <c r="A97">
        <v>700</v>
      </c>
      <c r="B97" s="161">
        <v>42999</v>
      </c>
      <c r="C97" s="352">
        <v>800</v>
      </c>
      <c r="D97" s="353">
        <v>23.896999999999998</v>
      </c>
      <c r="E97" s="39">
        <v>21.59</v>
      </c>
      <c r="F97" s="39">
        <f t="shared" si="12"/>
        <v>-1845.599999999999</v>
      </c>
      <c r="G97" s="39">
        <f t="shared" si="13"/>
        <v>19117.599999999999</v>
      </c>
      <c r="H97" s="175">
        <f t="shared" si="14"/>
        <v>-9.6539314558312703E-2</v>
      </c>
      <c r="I97" s="39">
        <v>23.5</v>
      </c>
      <c r="J97" s="39"/>
      <c r="K97" s="39">
        <v>-393</v>
      </c>
      <c r="L97" s="39"/>
    </row>
    <row r="98" spans="1:12" x14ac:dyDescent="0.25">
      <c r="B98" s="161">
        <v>43023</v>
      </c>
      <c r="C98" s="10">
        <v>800</v>
      </c>
      <c r="D98" s="39">
        <v>23.9</v>
      </c>
      <c r="E98" s="39">
        <v>21.78</v>
      </c>
      <c r="F98" s="39">
        <f t="shared" si="12"/>
        <v>-1695.999999999998</v>
      </c>
      <c r="G98" s="39">
        <f t="shared" si="13"/>
        <v>19120</v>
      </c>
      <c r="H98" s="175">
        <f t="shared" si="14"/>
        <v>-8.8702928870292783E-2</v>
      </c>
      <c r="I98" s="39"/>
      <c r="J98" s="39">
        <v>61</v>
      </c>
      <c r="K98" s="39">
        <v>-241</v>
      </c>
      <c r="L98" s="39"/>
    </row>
    <row r="99" spans="1:12" x14ac:dyDescent="0.25">
      <c r="A99">
        <v>800</v>
      </c>
      <c r="B99" s="161">
        <v>43031</v>
      </c>
      <c r="C99" s="10">
        <v>800</v>
      </c>
      <c r="D99" s="39">
        <v>23.9</v>
      </c>
      <c r="E99" s="39">
        <v>21.03</v>
      </c>
      <c r="F99" s="39">
        <f t="shared" si="12"/>
        <v>-2295.9999999999982</v>
      </c>
      <c r="G99" s="39">
        <f t="shared" si="13"/>
        <v>19120</v>
      </c>
      <c r="H99" s="175">
        <f t="shared" si="14"/>
        <v>-0.1200836820083681</v>
      </c>
      <c r="I99" s="39"/>
      <c r="J99" s="39"/>
      <c r="K99" s="39">
        <v>-841</v>
      </c>
      <c r="L99" s="39"/>
    </row>
    <row r="100" spans="1:12" x14ac:dyDescent="0.25">
      <c r="A100">
        <v>800</v>
      </c>
      <c r="B100" s="161">
        <v>43050</v>
      </c>
      <c r="C100" s="10">
        <v>800</v>
      </c>
      <c r="D100" s="39">
        <v>23.9</v>
      </c>
      <c r="E100" s="39">
        <v>22.84</v>
      </c>
      <c r="F100" s="39">
        <f t="shared" si="12"/>
        <v>-847.99999999999898</v>
      </c>
      <c r="G100" s="39">
        <f t="shared" si="13"/>
        <v>19120</v>
      </c>
      <c r="H100" s="175">
        <f t="shared" si="14"/>
        <v>-4.4351464435146391E-2</v>
      </c>
      <c r="I100" s="39"/>
      <c r="J100" s="39">
        <v>60.22</v>
      </c>
      <c r="K100" s="39">
        <v>607</v>
      </c>
      <c r="L100" s="39"/>
    </row>
    <row r="101" spans="1:12" x14ac:dyDescent="0.25">
      <c r="A101">
        <v>500</v>
      </c>
      <c r="B101" s="161">
        <v>43068</v>
      </c>
      <c r="C101" s="10">
        <v>500</v>
      </c>
      <c r="D101" s="39">
        <v>23.4815</v>
      </c>
      <c r="E101" s="39">
        <v>24.39</v>
      </c>
      <c r="F101" s="39">
        <f t="shared" si="12"/>
        <v>454.25000000000006</v>
      </c>
      <c r="G101" s="39">
        <f t="shared" si="13"/>
        <v>11740.75</v>
      </c>
      <c r="H101" s="175">
        <f t="shared" si="14"/>
        <v>3.8690032578838664E-2</v>
      </c>
      <c r="I101" s="39"/>
      <c r="J101" s="39"/>
      <c r="K101" s="39">
        <v>1907</v>
      </c>
      <c r="L101" s="39"/>
    </row>
    <row r="102" spans="1:12" x14ac:dyDescent="0.25">
      <c r="A102">
        <v>500</v>
      </c>
      <c r="B102" s="161">
        <v>43081</v>
      </c>
      <c r="C102" s="10">
        <v>500</v>
      </c>
      <c r="D102" s="39">
        <v>23.4815</v>
      </c>
      <c r="E102" s="39">
        <v>24.82</v>
      </c>
      <c r="F102" s="39">
        <f t="shared" si="12"/>
        <v>669.24999999999989</v>
      </c>
      <c r="G102" s="39">
        <f t="shared" si="13"/>
        <v>11740.75</v>
      </c>
      <c r="H102" s="175">
        <f t="shared" si="14"/>
        <v>5.7002320976087546E-2</v>
      </c>
      <c r="I102" s="39"/>
      <c r="J102" s="39"/>
      <c r="K102" s="39">
        <v>2121</v>
      </c>
      <c r="L102" s="39"/>
    </row>
    <row r="103" spans="1:12" x14ac:dyDescent="0.25">
      <c r="A103">
        <v>450</v>
      </c>
      <c r="B103" s="161">
        <v>43090</v>
      </c>
      <c r="C103" s="10">
        <v>450</v>
      </c>
      <c r="D103" s="39">
        <v>23.29</v>
      </c>
      <c r="E103" s="39">
        <v>25.23</v>
      </c>
      <c r="F103" s="39">
        <f t="shared" si="12"/>
        <v>873.00000000000057</v>
      </c>
      <c r="G103" s="39">
        <f t="shared" si="13"/>
        <v>10480.5</v>
      </c>
      <c r="H103" s="175">
        <f t="shared" si="14"/>
        <v>8.3297552597681471E-2</v>
      </c>
      <c r="I103" s="39"/>
      <c r="J103" s="39">
        <v>68</v>
      </c>
      <c r="K103" s="39">
        <v>2324</v>
      </c>
      <c r="L103" s="39"/>
    </row>
    <row r="104" spans="1:12" x14ac:dyDescent="0.25">
      <c r="A104">
        <v>400</v>
      </c>
      <c r="B104" s="161">
        <v>43102</v>
      </c>
      <c r="C104" s="7">
        <v>400</v>
      </c>
      <c r="D104" s="43">
        <v>22.85</v>
      </c>
      <c r="E104" s="39">
        <v>26.65</v>
      </c>
      <c r="F104" s="39">
        <f t="shared" si="12"/>
        <v>1519.9999999999989</v>
      </c>
      <c r="G104" s="39">
        <f t="shared" si="13"/>
        <v>9140</v>
      </c>
      <c r="H104" s="175">
        <f t="shared" si="14"/>
        <v>0.16630196936542657</v>
      </c>
      <c r="I104" s="657" t="s">
        <v>758</v>
      </c>
      <c r="J104" s="39"/>
      <c r="K104" s="39">
        <v>2972</v>
      </c>
      <c r="L104" s="39"/>
    </row>
    <row r="105" spans="1:12" x14ac:dyDescent="0.25">
      <c r="A105">
        <v>400</v>
      </c>
      <c r="B105" s="161">
        <v>43110</v>
      </c>
      <c r="C105" s="10">
        <v>400</v>
      </c>
      <c r="D105" s="39">
        <v>22.8508</v>
      </c>
      <c r="E105" s="39">
        <v>25.91</v>
      </c>
      <c r="F105" s="39">
        <f t="shared" si="12"/>
        <v>1223.6800000000003</v>
      </c>
      <c r="G105" s="39">
        <f t="shared" si="13"/>
        <v>9140.32</v>
      </c>
      <c r="H105" s="175">
        <f t="shared" si="14"/>
        <v>0.13387715090937738</v>
      </c>
      <c r="I105" s="39"/>
      <c r="J105" s="39"/>
      <c r="K105" s="39">
        <v>2676</v>
      </c>
      <c r="L105" s="39"/>
    </row>
    <row r="106" spans="1:12" x14ac:dyDescent="0.25">
      <c r="B106" s="161">
        <v>43112</v>
      </c>
      <c r="C106" s="10">
        <v>400</v>
      </c>
      <c r="D106" s="39">
        <v>22.8508</v>
      </c>
      <c r="E106" s="39">
        <v>27.22</v>
      </c>
      <c r="F106" s="39">
        <f t="shared" ref="F106:F118" si="15">C106*(E106-D106)</f>
        <v>1747.6799999999998</v>
      </c>
      <c r="G106" s="39">
        <f t="shared" ref="G106:G118" si="16">D106*C106</f>
        <v>9140.32</v>
      </c>
      <c r="H106" s="175">
        <f t="shared" ref="H106:H118" si="17">(E106-D106)/D106</f>
        <v>0.1912055595427731</v>
      </c>
      <c r="I106" s="39"/>
      <c r="J106" s="39"/>
      <c r="K106" s="39">
        <v>3120</v>
      </c>
      <c r="L106" s="39"/>
    </row>
    <row r="107" spans="1:12" x14ac:dyDescent="0.25">
      <c r="A107">
        <v>400</v>
      </c>
      <c r="B107" s="161">
        <v>43116</v>
      </c>
      <c r="C107" s="10">
        <v>450</v>
      </c>
      <c r="D107" s="39">
        <v>23.176200000000001</v>
      </c>
      <c r="E107" s="39">
        <v>25.68</v>
      </c>
      <c r="F107" s="39">
        <f t="shared" si="15"/>
        <v>1126.7099999999991</v>
      </c>
      <c r="G107" s="39">
        <f t="shared" si="16"/>
        <v>10429.290000000001</v>
      </c>
      <c r="H107" s="175">
        <f t="shared" si="17"/>
        <v>0.10803324099722983</v>
      </c>
      <c r="I107" s="39"/>
      <c r="J107" s="39"/>
      <c r="K107" s="39">
        <v>2579</v>
      </c>
      <c r="L107" s="39"/>
    </row>
    <row r="108" spans="1:12" x14ac:dyDescent="0.25">
      <c r="A108">
        <v>350</v>
      </c>
      <c r="B108" s="161">
        <v>43118</v>
      </c>
      <c r="C108" s="7">
        <v>400</v>
      </c>
      <c r="D108" s="43">
        <v>22.763300000000001</v>
      </c>
      <c r="E108" s="39">
        <v>26.22</v>
      </c>
      <c r="F108" s="39">
        <f t="shared" si="15"/>
        <v>1382.6799999999992</v>
      </c>
      <c r="G108" s="39">
        <f t="shared" si="16"/>
        <v>9105.32</v>
      </c>
      <c r="H108" s="175">
        <f t="shared" si="17"/>
        <v>0.15185408091093988</v>
      </c>
      <c r="I108" s="39">
        <v>22.5</v>
      </c>
      <c r="J108" s="39"/>
      <c r="K108" s="39">
        <v>2835</v>
      </c>
      <c r="L108" s="39"/>
    </row>
    <row r="109" spans="1:12" x14ac:dyDescent="0.25">
      <c r="A109">
        <v>350</v>
      </c>
      <c r="B109" s="161">
        <v>43121</v>
      </c>
      <c r="C109" s="10">
        <v>400</v>
      </c>
      <c r="D109" s="39">
        <v>22.76</v>
      </c>
      <c r="E109" s="39">
        <v>26.53</v>
      </c>
      <c r="F109" s="39">
        <f t="shared" si="15"/>
        <v>1507.9999999999998</v>
      </c>
      <c r="G109" s="39">
        <f t="shared" si="16"/>
        <v>9104</v>
      </c>
      <c r="H109" s="175">
        <f t="shared" si="17"/>
        <v>0.16564147627416517</v>
      </c>
      <c r="I109" s="39"/>
      <c r="J109" s="39">
        <v>58.41</v>
      </c>
      <c r="K109" s="39">
        <v>2959</v>
      </c>
      <c r="L109" s="39"/>
    </row>
    <row r="110" spans="1:12" x14ac:dyDescent="0.25">
      <c r="A110">
        <v>250</v>
      </c>
      <c r="B110" s="161">
        <v>43126</v>
      </c>
      <c r="C110" s="10">
        <v>300</v>
      </c>
      <c r="D110" s="39">
        <v>21.144600000000001</v>
      </c>
      <c r="E110" s="39">
        <v>27.6</v>
      </c>
      <c r="F110" s="39">
        <f t="shared" si="15"/>
        <v>1936.6200000000003</v>
      </c>
      <c r="G110" s="39">
        <f t="shared" si="16"/>
        <v>6343.38</v>
      </c>
      <c r="H110" s="175">
        <f t="shared" si="17"/>
        <v>0.30529780653216426</v>
      </c>
      <c r="I110" s="39"/>
      <c r="J110" s="39"/>
      <c r="K110" s="39">
        <v>3389</v>
      </c>
      <c r="L110" s="39"/>
    </row>
    <row r="111" spans="1:12" x14ac:dyDescent="0.25">
      <c r="A111">
        <v>250</v>
      </c>
      <c r="B111" s="161">
        <v>43131</v>
      </c>
      <c r="C111" s="10">
        <v>400</v>
      </c>
      <c r="D111" s="39">
        <v>22.578499999999998</v>
      </c>
      <c r="E111" s="39">
        <v>27.3</v>
      </c>
      <c r="F111" s="39">
        <f t="shared" si="15"/>
        <v>1888.600000000001</v>
      </c>
      <c r="G111" s="39">
        <f t="shared" si="16"/>
        <v>9031.4</v>
      </c>
      <c r="H111" s="175">
        <f t="shared" si="17"/>
        <v>0.20911486591226178</v>
      </c>
      <c r="I111" s="39"/>
      <c r="J111" s="39"/>
      <c r="K111" s="39">
        <v>3341</v>
      </c>
      <c r="L111" s="39"/>
    </row>
    <row r="112" spans="1:12" x14ac:dyDescent="0.25">
      <c r="A112">
        <v>250</v>
      </c>
      <c r="B112" s="161">
        <v>43133</v>
      </c>
      <c r="C112" s="10">
        <v>600</v>
      </c>
      <c r="D112" s="39">
        <v>23.68</v>
      </c>
      <c r="E112" s="39">
        <v>26.04</v>
      </c>
      <c r="F112" s="39">
        <f t="shared" si="15"/>
        <v>1415.9999999999995</v>
      </c>
      <c r="G112" s="39">
        <f t="shared" si="16"/>
        <v>14208</v>
      </c>
      <c r="H112" s="175">
        <f t="shared" si="17"/>
        <v>9.9662162162162143E-2</v>
      </c>
      <c r="I112" s="39"/>
      <c r="J112" s="39"/>
      <c r="K112" s="39">
        <v>2869</v>
      </c>
      <c r="L112" s="39"/>
    </row>
    <row r="113" spans="1:12" x14ac:dyDescent="0.25">
      <c r="B113" s="161">
        <v>43140</v>
      </c>
      <c r="C113" s="352">
        <v>800</v>
      </c>
      <c r="D113" s="353">
        <v>23.654199999999999</v>
      </c>
      <c r="E113" s="39">
        <v>24.35</v>
      </c>
      <c r="F113" s="39">
        <f t="shared" si="15"/>
        <v>556.64000000000158</v>
      </c>
      <c r="G113" s="39">
        <f t="shared" si="16"/>
        <v>18923.36</v>
      </c>
      <c r="H113" s="175">
        <f t="shared" si="17"/>
        <v>2.9415494922677664E-2</v>
      </c>
      <c r="I113" s="39"/>
      <c r="J113" s="39"/>
      <c r="K113" s="39">
        <v>2032</v>
      </c>
      <c r="L113" s="39"/>
    </row>
    <row r="114" spans="1:12" x14ac:dyDescent="0.25">
      <c r="A114">
        <v>50</v>
      </c>
      <c r="B114" s="161">
        <v>43140</v>
      </c>
      <c r="C114" s="10">
        <v>600</v>
      </c>
      <c r="D114" s="39">
        <v>23.379200000000001</v>
      </c>
      <c r="E114" s="39">
        <v>24.35</v>
      </c>
      <c r="F114" s="39">
        <f t="shared" si="15"/>
        <v>582.48000000000036</v>
      </c>
      <c r="G114" s="39">
        <f t="shared" si="16"/>
        <v>14027.52</v>
      </c>
      <c r="H114" s="175">
        <f t="shared" si="17"/>
        <v>4.1524089789214368E-2</v>
      </c>
      <c r="I114" s="39"/>
      <c r="J114" s="39"/>
      <c r="K114" s="39">
        <v>2035</v>
      </c>
      <c r="L114" s="39"/>
    </row>
    <row r="115" spans="1:12" x14ac:dyDescent="0.25">
      <c r="A115">
        <v>50</v>
      </c>
      <c r="B115" s="161">
        <v>43146</v>
      </c>
      <c r="C115" s="10">
        <v>600</v>
      </c>
      <c r="D115" s="39">
        <v>23.38</v>
      </c>
      <c r="E115" s="39">
        <v>25.86</v>
      </c>
      <c r="F115" s="39">
        <f t="shared" si="15"/>
        <v>1488.0000000000002</v>
      </c>
      <c r="G115" s="39">
        <f t="shared" si="16"/>
        <v>14028</v>
      </c>
      <c r="H115" s="175">
        <f t="shared" si="17"/>
        <v>0.10607356715141149</v>
      </c>
      <c r="I115" s="39"/>
      <c r="J115" s="39"/>
      <c r="K115" s="39">
        <v>2941</v>
      </c>
      <c r="L115" s="39"/>
    </row>
    <row r="116" spans="1:12" x14ac:dyDescent="0.25">
      <c r="A116">
        <v>0</v>
      </c>
      <c r="B116" s="161">
        <v>43151</v>
      </c>
      <c r="C116" s="10">
        <v>500</v>
      </c>
      <c r="D116" s="39">
        <v>22.82</v>
      </c>
      <c r="E116" s="39">
        <v>26.19</v>
      </c>
      <c r="F116" s="39">
        <f t="shared" si="15"/>
        <v>1685.0000000000005</v>
      </c>
      <c r="G116" s="39">
        <f t="shared" si="16"/>
        <v>11410</v>
      </c>
      <c r="H116" s="175">
        <f t="shared" si="17"/>
        <v>0.14767747589833483</v>
      </c>
      <c r="I116" s="39"/>
      <c r="J116" s="39"/>
      <c r="K116" s="39">
        <v>3139</v>
      </c>
      <c r="L116" s="39"/>
    </row>
    <row r="117" spans="1:12" x14ac:dyDescent="0.25">
      <c r="A117">
        <v>0</v>
      </c>
      <c r="B117" s="161">
        <v>43151</v>
      </c>
      <c r="C117" s="7">
        <v>400</v>
      </c>
      <c r="D117" s="43">
        <v>21.81</v>
      </c>
      <c r="E117" s="39">
        <v>26.76</v>
      </c>
      <c r="F117" s="39">
        <f t="shared" si="15"/>
        <v>1980.0000000000011</v>
      </c>
      <c r="G117" s="39">
        <f t="shared" si="16"/>
        <v>8724</v>
      </c>
      <c r="H117" s="175">
        <f t="shared" si="17"/>
        <v>0.22696011004126562</v>
      </c>
      <c r="I117" s="657" t="s">
        <v>868</v>
      </c>
      <c r="J117" s="39"/>
      <c r="K117" s="39">
        <v>3433</v>
      </c>
      <c r="L117" s="39"/>
    </row>
    <row r="118" spans="1:12" x14ac:dyDescent="0.25">
      <c r="B118" s="161">
        <v>43157</v>
      </c>
      <c r="C118" s="10">
        <v>400</v>
      </c>
      <c r="D118" s="39">
        <v>21.81</v>
      </c>
      <c r="E118" s="39">
        <v>28.12</v>
      </c>
      <c r="F118" s="39">
        <f t="shared" si="15"/>
        <v>2524.0000000000009</v>
      </c>
      <c r="G118" s="39">
        <f t="shared" si="16"/>
        <v>8724</v>
      </c>
      <c r="H118" s="175">
        <f t="shared" si="17"/>
        <v>0.28931682714351226</v>
      </c>
      <c r="I118" s="39"/>
      <c r="J118" s="39"/>
      <c r="K118" s="39">
        <v>3996</v>
      </c>
      <c r="L118" s="39"/>
    </row>
    <row r="119" spans="1:12" x14ac:dyDescent="0.25">
      <c r="A119" s="1">
        <v>43164</v>
      </c>
      <c r="B119" s="161">
        <v>43158</v>
      </c>
      <c r="C119" s="10">
        <v>400</v>
      </c>
      <c r="D119" s="39">
        <v>21.81</v>
      </c>
      <c r="E119" s="39">
        <v>26.82</v>
      </c>
      <c r="F119" s="39">
        <f>C119*(E119-D119)</f>
        <v>2004.0000000000007</v>
      </c>
      <c r="G119" s="39">
        <f>D119*C119</f>
        <v>8724</v>
      </c>
      <c r="H119" s="175">
        <f>(E119-D119)/D119</f>
        <v>0.22971114167812939</v>
      </c>
      <c r="I119" s="39"/>
      <c r="J119" s="39"/>
      <c r="K119" s="39">
        <v>3457</v>
      </c>
      <c r="L119" s="39"/>
    </row>
    <row r="120" spans="1:12" x14ac:dyDescent="0.25">
      <c r="A120">
        <v>200</v>
      </c>
      <c r="B120" s="161">
        <v>43165</v>
      </c>
      <c r="C120" s="10">
        <v>400</v>
      </c>
      <c r="D120" s="39">
        <v>21.81</v>
      </c>
      <c r="E120" s="39">
        <v>27.74</v>
      </c>
      <c r="F120" s="39">
        <f>C120*(E120-D120)</f>
        <v>2372</v>
      </c>
      <c r="G120" s="39">
        <f>D120*C120</f>
        <v>8724</v>
      </c>
      <c r="H120" s="175">
        <f>(E120-D120)/D120</f>
        <v>0.27189362677670792</v>
      </c>
      <c r="I120" s="39"/>
      <c r="J120" s="39"/>
      <c r="K120" s="39">
        <v>3825</v>
      </c>
      <c r="L120" s="39"/>
    </row>
    <row r="121" spans="1:12" x14ac:dyDescent="0.25">
      <c r="A121">
        <v>400</v>
      </c>
      <c r="B121" s="161">
        <v>43178</v>
      </c>
      <c r="C121" s="10">
        <v>600</v>
      </c>
      <c r="D121" s="39">
        <v>22.95</v>
      </c>
      <c r="E121" s="39">
        <v>25.59</v>
      </c>
      <c r="F121" s="39">
        <f>C121*(E121-D121)</f>
        <v>1584.0000000000005</v>
      </c>
      <c r="G121" s="39">
        <f>D121*C121</f>
        <v>13770</v>
      </c>
      <c r="H121" s="175">
        <f>(E121-D121)/D121</f>
        <v>0.11503267973856211</v>
      </c>
      <c r="I121" s="39">
        <v>22.5</v>
      </c>
      <c r="J121" s="39"/>
      <c r="K121" s="39">
        <v>2851</v>
      </c>
      <c r="L121" s="39"/>
    </row>
    <row r="122" spans="1:12" x14ac:dyDescent="0.25">
      <c r="A122">
        <v>400</v>
      </c>
      <c r="B122" s="161">
        <v>43185</v>
      </c>
      <c r="C122" s="10">
        <v>600</v>
      </c>
      <c r="D122" s="39">
        <v>22.95</v>
      </c>
      <c r="E122" s="39">
        <v>24.65</v>
      </c>
      <c r="F122" s="39">
        <f t="shared" ref="F122:F129" si="18">C122*(E122-D122)</f>
        <v>1019.9999999999995</v>
      </c>
      <c r="G122" s="39">
        <f t="shared" ref="G122:G129" si="19">D122*C122</f>
        <v>13770</v>
      </c>
      <c r="H122" s="175">
        <f t="shared" ref="H122:H129" si="20">(E122-D122)/D122</f>
        <v>7.4074074074074042E-2</v>
      </c>
      <c r="I122" s="39"/>
      <c r="J122" s="39"/>
      <c r="K122" s="39">
        <v>2474</v>
      </c>
      <c r="L122" s="39"/>
    </row>
    <row r="123" spans="1:12" x14ac:dyDescent="0.25">
      <c r="A123">
        <v>400</v>
      </c>
      <c r="B123" s="161">
        <v>43187</v>
      </c>
      <c r="C123" s="352">
        <v>800</v>
      </c>
      <c r="D123" s="353">
        <v>23.1145</v>
      </c>
      <c r="E123" s="39">
        <v>23.57</v>
      </c>
      <c r="F123" s="39">
        <f t="shared" si="18"/>
        <v>364.40000000000055</v>
      </c>
      <c r="G123" s="39">
        <f t="shared" si="19"/>
        <v>18491.599999999999</v>
      </c>
      <c r="H123" s="175">
        <f t="shared" si="20"/>
        <v>1.9706244997728727E-2</v>
      </c>
      <c r="I123" s="657" t="s">
        <v>893</v>
      </c>
      <c r="J123" s="39"/>
      <c r="K123" s="39">
        <v>1817</v>
      </c>
      <c r="L123" s="39"/>
    </row>
    <row r="124" spans="1:12" x14ac:dyDescent="0.25">
      <c r="A124">
        <v>200</v>
      </c>
      <c r="B124" s="161">
        <v>43188</v>
      </c>
      <c r="C124" s="10">
        <v>600</v>
      </c>
      <c r="D124" s="39">
        <v>22.732900000000001</v>
      </c>
      <c r="E124" s="39">
        <v>24.28</v>
      </c>
      <c r="F124" s="39">
        <f t="shared" si="18"/>
        <v>928.26000000000022</v>
      </c>
      <c r="G124" s="39">
        <f t="shared" si="19"/>
        <v>13639.74</v>
      </c>
      <c r="H124" s="175">
        <f t="shared" si="20"/>
        <v>6.8055549445957195E-2</v>
      </c>
      <c r="I124" s="39">
        <v>22.5</v>
      </c>
      <c r="J124" s="39"/>
      <c r="K124" s="39">
        <v>2380</v>
      </c>
      <c r="L124" s="39"/>
    </row>
    <row r="125" spans="1:12" x14ac:dyDescent="0.25">
      <c r="A125">
        <v>200</v>
      </c>
      <c r="B125" s="161">
        <v>43192</v>
      </c>
      <c r="C125" s="352">
        <v>800</v>
      </c>
      <c r="D125" s="353">
        <v>22.97</v>
      </c>
      <c r="E125" s="39">
        <v>23.67</v>
      </c>
      <c r="F125" s="39">
        <f t="shared" si="18"/>
        <v>560.00000000000227</v>
      </c>
      <c r="G125" s="39">
        <f t="shared" si="19"/>
        <v>18376</v>
      </c>
      <c r="H125" s="175">
        <f t="shared" si="20"/>
        <v>3.0474531998258725E-2</v>
      </c>
      <c r="I125" s="39"/>
      <c r="J125" s="39"/>
      <c r="K125" s="39">
        <v>2012</v>
      </c>
      <c r="L125" s="39"/>
    </row>
    <row r="126" spans="1:12" x14ac:dyDescent="0.25">
      <c r="A126">
        <v>0</v>
      </c>
      <c r="B126" s="161">
        <v>43195</v>
      </c>
      <c r="C126" s="10">
        <v>600</v>
      </c>
      <c r="D126" s="39">
        <v>22.21</v>
      </c>
      <c r="E126" s="39">
        <v>25.19</v>
      </c>
      <c r="F126" s="39">
        <f t="shared" si="18"/>
        <v>1788.0000000000002</v>
      </c>
      <c r="G126" s="39">
        <f t="shared" si="19"/>
        <v>13326</v>
      </c>
      <c r="H126" s="175">
        <f t="shared" si="20"/>
        <v>0.13417379558757317</v>
      </c>
      <c r="I126" s="657" t="s">
        <v>895</v>
      </c>
      <c r="J126" s="39"/>
      <c r="K126" s="39">
        <v>3240</v>
      </c>
      <c r="L126" s="39"/>
    </row>
    <row r="127" spans="1:12" x14ac:dyDescent="0.25">
      <c r="B127" s="161">
        <v>43196</v>
      </c>
      <c r="C127" s="10">
        <v>700</v>
      </c>
      <c r="D127" s="39">
        <v>22.54</v>
      </c>
      <c r="E127" s="39">
        <v>24.5</v>
      </c>
      <c r="F127" s="39">
        <f t="shared" si="18"/>
        <v>1372.0000000000007</v>
      </c>
      <c r="G127" s="39">
        <f t="shared" si="19"/>
        <v>15778</v>
      </c>
      <c r="H127" s="175">
        <f t="shared" si="20"/>
        <v>8.6956521739130474E-2</v>
      </c>
      <c r="I127" s="39"/>
      <c r="J127" s="39"/>
      <c r="K127" s="39">
        <v>2826</v>
      </c>
      <c r="L127" s="39"/>
    </row>
    <row r="128" spans="1:12" x14ac:dyDescent="0.25">
      <c r="A128">
        <v>0</v>
      </c>
      <c r="B128" s="161">
        <v>43196</v>
      </c>
      <c r="C128" s="352">
        <v>800</v>
      </c>
      <c r="D128" s="353">
        <v>22.725999999999999</v>
      </c>
      <c r="E128" s="39">
        <v>24.05</v>
      </c>
      <c r="F128" s="39">
        <f t="shared" si="18"/>
        <v>1059.2000000000012</v>
      </c>
      <c r="G128" s="39">
        <f t="shared" si="19"/>
        <v>18180.8</v>
      </c>
      <c r="H128" s="175">
        <f t="shared" si="20"/>
        <v>5.8259262518701123E-2</v>
      </c>
      <c r="I128" s="39">
        <v>22.5</v>
      </c>
      <c r="J128" s="39">
        <v>43</v>
      </c>
      <c r="K128" s="39">
        <v>2511</v>
      </c>
      <c r="L128" s="39">
        <v>19.38</v>
      </c>
    </row>
    <row r="129" spans="1:12" x14ac:dyDescent="0.25">
      <c r="A129">
        <v>0</v>
      </c>
      <c r="B129" s="161">
        <v>43200</v>
      </c>
      <c r="C129" s="10">
        <v>600</v>
      </c>
      <c r="D129" s="39">
        <v>21.895</v>
      </c>
      <c r="E129" s="39">
        <v>25.03</v>
      </c>
      <c r="F129" s="39">
        <f t="shared" si="18"/>
        <v>1881.0000000000009</v>
      </c>
      <c r="G129" s="39">
        <f t="shared" si="19"/>
        <v>13137</v>
      </c>
      <c r="H129" s="175">
        <f t="shared" si="20"/>
        <v>0.14318337519981739</v>
      </c>
      <c r="I129" s="39"/>
      <c r="J129" s="39"/>
      <c r="K129" s="39">
        <v>3333</v>
      </c>
      <c r="L129" s="39"/>
    </row>
    <row r="130" spans="1:12" x14ac:dyDescent="0.25">
      <c r="A130">
        <v>0</v>
      </c>
      <c r="B130" s="161">
        <v>43208</v>
      </c>
      <c r="C130" s="10">
        <v>600</v>
      </c>
      <c r="D130" s="39">
        <v>21.895</v>
      </c>
      <c r="E130" s="39">
        <v>26.04</v>
      </c>
      <c r="F130" s="39">
        <f>C130*(E130-D130)</f>
        <v>2486.9999999999995</v>
      </c>
      <c r="G130" s="39">
        <f>D130*C130</f>
        <v>13137</v>
      </c>
      <c r="H130" s="175">
        <f>(E130-D130)/D130</f>
        <v>0.18931262845398492</v>
      </c>
      <c r="I130" s="39"/>
      <c r="J130" s="39"/>
      <c r="K130" s="39">
        <v>3939</v>
      </c>
      <c r="L130" s="39"/>
    </row>
    <row r="131" spans="1:12" x14ac:dyDescent="0.25">
      <c r="A131">
        <v>0</v>
      </c>
      <c r="B131" s="161">
        <v>43216</v>
      </c>
      <c r="C131" s="10">
        <v>600</v>
      </c>
      <c r="D131" s="39">
        <v>21.895</v>
      </c>
      <c r="E131" s="39">
        <v>27.17</v>
      </c>
      <c r="F131" s="39">
        <f t="shared" ref="F131:F139" si="21">C131*(E131-D131)</f>
        <v>3165.0000000000014</v>
      </c>
      <c r="G131" s="39">
        <f t="shared" ref="G131:G139" si="22">D131*C131</f>
        <v>13137</v>
      </c>
      <c r="H131" s="175">
        <f t="shared" ref="H131:H139" si="23">(E131-D131)/D131</f>
        <v>0.24092258506508346</v>
      </c>
      <c r="I131" s="39"/>
      <c r="J131" s="39"/>
      <c r="K131" s="39">
        <v>4617</v>
      </c>
      <c r="L131" s="39"/>
    </row>
    <row r="132" spans="1:12" x14ac:dyDescent="0.25">
      <c r="A132">
        <v>200</v>
      </c>
      <c r="B132" s="161">
        <v>43224</v>
      </c>
      <c r="C132" s="7">
        <v>400</v>
      </c>
      <c r="D132" s="43">
        <v>19.053000000000001</v>
      </c>
      <c r="E132" s="39">
        <v>27.43</v>
      </c>
      <c r="F132" s="39">
        <f t="shared" si="21"/>
        <v>3350.7999999999997</v>
      </c>
      <c r="G132" s="39">
        <f t="shared" si="22"/>
        <v>7621.2000000000007</v>
      </c>
      <c r="H132" s="175">
        <f t="shared" si="23"/>
        <v>0.4396682937070277</v>
      </c>
      <c r="I132" s="657" t="s">
        <v>989</v>
      </c>
      <c r="J132" s="39"/>
      <c r="K132" s="39">
        <v>4803</v>
      </c>
      <c r="L132" s="39">
        <v>19.68</v>
      </c>
    </row>
    <row r="133" spans="1:12" x14ac:dyDescent="0.25">
      <c r="A133">
        <v>400</v>
      </c>
      <c r="B133" s="161">
        <v>43227</v>
      </c>
      <c r="C133" s="10">
        <v>500</v>
      </c>
      <c r="D133" s="39">
        <v>20.6462</v>
      </c>
      <c r="E133" s="39">
        <v>27.56</v>
      </c>
      <c r="F133" s="39">
        <f t="shared" si="21"/>
        <v>3456.8999999999992</v>
      </c>
      <c r="G133" s="39">
        <f t="shared" si="22"/>
        <v>10323.1</v>
      </c>
      <c r="H133" s="175">
        <f t="shared" si="23"/>
        <v>0.33487033933605209</v>
      </c>
      <c r="I133" s="39"/>
      <c r="J133" s="39"/>
      <c r="K133" s="39">
        <v>4909</v>
      </c>
      <c r="L133" s="39"/>
    </row>
    <row r="134" spans="1:12" x14ac:dyDescent="0.25">
      <c r="A134">
        <v>400</v>
      </c>
      <c r="B134" s="161">
        <v>43228</v>
      </c>
      <c r="C134" s="10">
        <v>600</v>
      </c>
      <c r="D134" s="39">
        <v>21.5518</v>
      </c>
      <c r="E134" s="39">
        <v>26.1</v>
      </c>
      <c r="F134" s="39">
        <f t="shared" si="21"/>
        <v>2728.920000000001</v>
      </c>
      <c r="G134" s="39">
        <f t="shared" si="22"/>
        <v>12931.08</v>
      </c>
      <c r="H134" s="175">
        <f t="shared" si="23"/>
        <v>0.21103573715420529</v>
      </c>
      <c r="I134" s="657" t="s">
        <v>998</v>
      </c>
      <c r="J134" s="39"/>
      <c r="K134" s="39">
        <v>4181</v>
      </c>
      <c r="L134" s="39"/>
    </row>
    <row r="135" spans="1:12" x14ac:dyDescent="0.25">
      <c r="A135">
        <v>200</v>
      </c>
      <c r="B135" s="161">
        <v>43234</v>
      </c>
      <c r="C135" s="7">
        <v>400</v>
      </c>
      <c r="D135" s="43">
        <v>18.6431</v>
      </c>
      <c r="E135" s="39">
        <v>27.17</v>
      </c>
      <c r="F135" s="39">
        <f t="shared" si="21"/>
        <v>3410.7600000000007</v>
      </c>
      <c r="G135" s="39">
        <f t="shared" si="22"/>
        <v>7457.24</v>
      </c>
      <c r="H135" s="175">
        <f t="shared" si="23"/>
        <v>0.45737565104515887</v>
      </c>
      <c r="I135" s="39">
        <v>18.5</v>
      </c>
      <c r="J135" s="39"/>
      <c r="K135" s="39">
        <v>4863</v>
      </c>
      <c r="L135" s="39"/>
    </row>
    <row r="136" spans="1:12" x14ac:dyDescent="0.25">
      <c r="A136">
        <v>0</v>
      </c>
      <c r="B136" s="161">
        <v>43257</v>
      </c>
      <c r="C136" s="181">
        <v>200</v>
      </c>
      <c r="D136" s="182">
        <v>8.5065000000000008</v>
      </c>
      <c r="E136" s="39">
        <v>29.08</v>
      </c>
      <c r="F136" s="39">
        <f t="shared" si="21"/>
        <v>4114.6999999999989</v>
      </c>
      <c r="G136" s="39">
        <f t="shared" si="22"/>
        <v>1701.3000000000002</v>
      </c>
      <c r="H136" s="175">
        <f t="shared" si="23"/>
        <v>2.418562275906659</v>
      </c>
      <c r="I136" s="39"/>
      <c r="J136" s="39"/>
      <c r="K136" s="39">
        <v>5567</v>
      </c>
      <c r="L136" s="39"/>
    </row>
    <row r="137" spans="1:12" x14ac:dyDescent="0.25">
      <c r="A137">
        <v>200</v>
      </c>
      <c r="B137" s="161">
        <v>43270</v>
      </c>
      <c r="C137" s="7">
        <v>400</v>
      </c>
      <c r="D137" s="43">
        <v>18.353300000000001</v>
      </c>
      <c r="E137" s="39">
        <v>28.31</v>
      </c>
      <c r="F137" s="39">
        <f t="shared" si="21"/>
        <v>3982.6799999999994</v>
      </c>
      <c r="G137" s="39">
        <f t="shared" si="22"/>
        <v>7341.3200000000006</v>
      </c>
      <c r="H137" s="175">
        <f t="shared" si="23"/>
        <v>0.54250189339246879</v>
      </c>
      <c r="I137" s="182" t="s">
        <v>1057</v>
      </c>
      <c r="J137" s="39"/>
      <c r="K137" s="39">
        <v>5435</v>
      </c>
      <c r="L137" s="39"/>
    </row>
    <row r="138" spans="1:12" x14ac:dyDescent="0.25">
      <c r="A138">
        <v>200</v>
      </c>
      <c r="B138" s="161">
        <v>43272</v>
      </c>
      <c r="C138" s="10">
        <v>400</v>
      </c>
      <c r="D138" s="39">
        <v>18.328299999999999</v>
      </c>
      <c r="E138" s="39">
        <v>28.28</v>
      </c>
      <c r="F138" s="39">
        <f t="shared" si="21"/>
        <v>3980.6800000000012</v>
      </c>
      <c r="G138" s="39">
        <f t="shared" si="22"/>
        <v>7331.32</v>
      </c>
      <c r="H138" s="175">
        <f t="shared" si="23"/>
        <v>0.54296906969004233</v>
      </c>
      <c r="I138" s="39"/>
      <c r="J138" s="39"/>
      <c r="K138" s="39">
        <f t="shared" ref="K138:K150" si="24">F138+$Q$10</f>
        <v>5432.94</v>
      </c>
      <c r="L138" s="39"/>
    </row>
    <row r="139" spans="1:12" x14ac:dyDescent="0.25">
      <c r="A139">
        <v>100</v>
      </c>
      <c r="B139" s="161">
        <v>43273</v>
      </c>
      <c r="C139" s="10">
        <v>300</v>
      </c>
      <c r="D139" s="39">
        <v>14.7445</v>
      </c>
      <c r="E139" s="39">
        <v>28.88</v>
      </c>
      <c r="F139" s="39">
        <f t="shared" si="21"/>
        <v>4240.6499999999996</v>
      </c>
      <c r="G139" s="39">
        <f t="shared" si="22"/>
        <v>4423.3500000000004</v>
      </c>
      <c r="H139" s="175">
        <f t="shared" si="23"/>
        <v>0.95869646308793099</v>
      </c>
      <c r="I139" s="39"/>
      <c r="J139" s="39"/>
      <c r="K139" s="39">
        <f t="shared" si="24"/>
        <v>5692.909999999998</v>
      </c>
      <c r="L139" s="39"/>
    </row>
    <row r="140" spans="1:12" x14ac:dyDescent="0.25">
      <c r="A140">
        <v>100</v>
      </c>
      <c r="B140" s="161">
        <v>43292</v>
      </c>
      <c r="C140" s="7">
        <v>400</v>
      </c>
      <c r="D140" s="43">
        <v>18.11</v>
      </c>
      <c r="E140" s="39">
        <v>27.88</v>
      </c>
      <c r="F140" s="39">
        <f t="shared" ref="F140:F149" si="25">C140*(E140-D140)</f>
        <v>3908</v>
      </c>
      <c r="G140" s="39">
        <f t="shared" ref="G140:G149" si="26">D140*C140</f>
        <v>7244</v>
      </c>
      <c r="H140" s="175">
        <f t="shared" ref="H140:H149" si="27">(E140-D140)/D140</f>
        <v>0.5394809497515185</v>
      </c>
      <c r="I140" s="39"/>
      <c r="J140" s="39"/>
      <c r="K140" s="39">
        <f t="shared" si="24"/>
        <v>5360.2599999999984</v>
      </c>
      <c r="L140" s="39"/>
    </row>
    <row r="141" spans="1:12" x14ac:dyDescent="0.25">
      <c r="A141">
        <v>100</v>
      </c>
      <c r="B141" s="161">
        <v>43292</v>
      </c>
      <c r="C141" s="10">
        <v>500</v>
      </c>
      <c r="D141" s="39">
        <v>20.059999999999999</v>
      </c>
      <c r="E141" s="39">
        <v>27.88</v>
      </c>
      <c r="F141" s="39">
        <f t="shared" si="25"/>
        <v>3910</v>
      </c>
      <c r="G141" s="39">
        <f t="shared" si="26"/>
        <v>10030</v>
      </c>
      <c r="H141" s="175">
        <f t="shared" si="27"/>
        <v>0.38983050847457629</v>
      </c>
      <c r="I141" s="39"/>
      <c r="J141" s="39"/>
      <c r="K141" s="39">
        <f t="shared" si="24"/>
        <v>5362.2599999999984</v>
      </c>
      <c r="L141" s="39"/>
    </row>
    <row r="142" spans="1:12" x14ac:dyDescent="0.25">
      <c r="A142">
        <v>0</v>
      </c>
      <c r="B142" s="161">
        <v>43298</v>
      </c>
      <c r="C142" s="7">
        <v>400</v>
      </c>
      <c r="D142" s="43">
        <v>17.940999999999999</v>
      </c>
      <c r="E142" s="39">
        <v>28.55</v>
      </c>
      <c r="F142" s="39">
        <f t="shared" si="25"/>
        <v>4243.6000000000004</v>
      </c>
      <c r="G142" s="39">
        <f t="shared" si="26"/>
        <v>7176.4</v>
      </c>
      <c r="H142" s="175">
        <f t="shared" si="27"/>
        <v>0.5913271278078146</v>
      </c>
      <c r="I142" s="182" t="s">
        <v>1128</v>
      </c>
      <c r="J142" s="39"/>
      <c r="K142" s="39">
        <f t="shared" si="24"/>
        <v>5695.8599999999988</v>
      </c>
      <c r="L142" s="39"/>
    </row>
    <row r="143" spans="1:12" x14ac:dyDescent="0.25">
      <c r="A143">
        <v>0</v>
      </c>
      <c r="B143" s="161">
        <v>43305</v>
      </c>
      <c r="C143" s="181">
        <v>200</v>
      </c>
      <c r="D143" s="182">
        <v>6.5023</v>
      </c>
      <c r="E143" s="39">
        <v>29.38</v>
      </c>
      <c r="F143" s="39">
        <f t="shared" si="25"/>
        <v>4575.5399999999991</v>
      </c>
      <c r="G143" s="39">
        <f t="shared" si="26"/>
        <v>1300.46</v>
      </c>
      <c r="H143" s="175">
        <f t="shared" si="27"/>
        <v>3.518401181120526</v>
      </c>
      <c r="I143" s="39"/>
      <c r="J143" s="39"/>
      <c r="K143" s="39">
        <f t="shared" si="24"/>
        <v>6027.7999999999975</v>
      </c>
      <c r="L143" s="39"/>
    </row>
    <row r="144" spans="1:12" x14ac:dyDescent="0.25">
      <c r="A144">
        <v>0</v>
      </c>
      <c r="B144" s="161">
        <v>43306</v>
      </c>
      <c r="C144" s="7">
        <v>400</v>
      </c>
      <c r="D144" s="43">
        <v>17.576000000000001</v>
      </c>
      <c r="E144" s="39">
        <v>28.65</v>
      </c>
      <c r="F144" s="39">
        <f t="shared" si="25"/>
        <v>4429.5999999999995</v>
      </c>
      <c r="G144" s="39">
        <f t="shared" si="26"/>
        <v>7030.4000000000005</v>
      </c>
      <c r="H144" s="175">
        <f t="shared" si="27"/>
        <v>0.63006372325898941</v>
      </c>
      <c r="I144" s="39">
        <v>17.5</v>
      </c>
      <c r="J144" s="39"/>
      <c r="K144" s="39">
        <f t="shared" si="24"/>
        <v>5881.8599999999979</v>
      </c>
      <c r="L144" s="39"/>
    </row>
    <row r="145" spans="1:12" x14ac:dyDescent="0.25">
      <c r="B145" s="161">
        <v>43312</v>
      </c>
      <c r="C145" s="10">
        <v>400</v>
      </c>
      <c r="D145" s="39">
        <v>17.579999999999998</v>
      </c>
      <c r="E145" s="39">
        <v>30.11</v>
      </c>
      <c r="F145" s="39">
        <f t="shared" si="25"/>
        <v>5012</v>
      </c>
      <c r="G145" s="39">
        <f t="shared" si="26"/>
        <v>7031.9999999999991</v>
      </c>
      <c r="H145" s="175">
        <f t="shared" si="27"/>
        <v>0.71274175199089884</v>
      </c>
      <c r="I145" s="39"/>
      <c r="J145" s="39"/>
      <c r="K145" s="39">
        <f t="shared" si="24"/>
        <v>6464.2599999999984</v>
      </c>
      <c r="L145" s="39"/>
    </row>
    <row r="146" spans="1:12" x14ac:dyDescent="0.25">
      <c r="B146" s="161">
        <v>43313</v>
      </c>
      <c r="C146" s="10">
        <v>400</v>
      </c>
      <c r="D146" s="39">
        <v>17.579999999999998</v>
      </c>
      <c r="E146" s="39">
        <v>31.54</v>
      </c>
      <c r="F146" s="39">
        <f t="shared" si="25"/>
        <v>5584</v>
      </c>
      <c r="G146" s="39">
        <f t="shared" si="26"/>
        <v>7031.9999999999991</v>
      </c>
      <c r="H146" s="175">
        <f t="shared" si="27"/>
        <v>0.79408418657565427</v>
      </c>
      <c r="I146" s="39"/>
      <c r="J146" s="39"/>
      <c r="K146" s="39">
        <f t="shared" si="24"/>
        <v>7036.2599999999984</v>
      </c>
      <c r="L146" s="39"/>
    </row>
    <row r="147" spans="1:12" x14ac:dyDescent="0.25">
      <c r="B147" s="161">
        <v>43325</v>
      </c>
      <c r="C147" s="10">
        <v>400</v>
      </c>
      <c r="D147" s="39">
        <v>17.579999999999998</v>
      </c>
      <c r="E147" s="39">
        <v>30.34</v>
      </c>
      <c r="F147" s="39">
        <f t="shared" si="25"/>
        <v>5104.0000000000009</v>
      </c>
      <c r="G147" s="39">
        <f t="shared" si="26"/>
        <v>7031.9999999999991</v>
      </c>
      <c r="H147" s="175">
        <f t="shared" si="27"/>
        <v>0.72582480091012536</v>
      </c>
      <c r="I147" s="39"/>
      <c r="J147" s="39"/>
      <c r="K147" s="39">
        <f t="shared" si="24"/>
        <v>6556.2599999999993</v>
      </c>
      <c r="L147" s="39"/>
    </row>
    <row r="148" spans="1:12" x14ac:dyDescent="0.25">
      <c r="A148">
        <v>200</v>
      </c>
      <c r="B148" s="161">
        <v>43327</v>
      </c>
      <c r="C148" s="10">
        <v>600</v>
      </c>
      <c r="D148" s="39">
        <v>21.643999999999998</v>
      </c>
      <c r="E148" s="39">
        <v>29.65</v>
      </c>
      <c r="F148" s="39">
        <f t="shared" si="25"/>
        <v>4803.6000000000004</v>
      </c>
      <c r="G148" s="39">
        <f t="shared" si="26"/>
        <v>12986.4</v>
      </c>
      <c r="H148" s="175">
        <f t="shared" si="27"/>
        <v>0.36989465902790614</v>
      </c>
      <c r="I148" s="39" t="s">
        <v>1202</v>
      </c>
      <c r="J148" s="39"/>
      <c r="K148" s="39">
        <f t="shared" si="24"/>
        <v>6255.8599999999988</v>
      </c>
      <c r="L148" s="39"/>
    </row>
    <row r="149" spans="1:12" x14ac:dyDescent="0.25">
      <c r="A149">
        <v>200</v>
      </c>
      <c r="B149" s="161">
        <v>43332</v>
      </c>
      <c r="C149" s="10">
        <v>600</v>
      </c>
      <c r="D149" s="39">
        <v>21.64</v>
      </c>
      <c r="E149" s="39">
        <v>29.76</v>
      </c>
      <c r="F149" s="39">
        <f t="shared" si="25"/>
        <v>4872.0000000000009</v>
      </c>
      <c r="G149" s="39">
        <f t="shared" si="26"/>
        <v>12984</v>
      </c>
      <c r="H149" s="175">
        <f t="shared" si="27"/>
        <v>0.37523105360443626</v>
      </c>
      <c r="I149" s="39">
        <v>21</v>
      </c>
      <c r="J149" s="39"/>
      <c r="K149" s="39">
        <f t="shared" si="24"/>
        <v>6324.2599999999993</v>
      </c>
      <c r="L149" s="39">
        <v>21.25</v>
      </c>
    </row>
    <row r="150" spans="1:12" x14ac:dyDescent="0.25">
      <c r="A150">
        <v>200</v>
      </c>
      <c r="B150" s="161">
        <v>43333</v>
      </c>
      <c r="C150" s="10">
        <v>600</v>
      </c>
      <c r="D150" s="39">
        <v>21.64</v>
      </c>
      <c r="E150" s="39">
        <v>29.52</v>
      </c>
      <c r="F150" s="39">
        <f t="shared" ref="F150:F162" si="28">C150*(E150-D150)</f>
        <v>4727.9999999999991</v>
      </c>
      <c r="G150" s="39">
        <f t="shared" ref="G150:G162" si="29">D150*C150</f>
        <v>12984</v>
      </c>
      <c r="H150" s="175">
        <f t="shared" ref="H150:H162" si="30">(E150-D150)/D150</f>
        <v>0.36414048059149717</v>
      </c>
      <c r="I150" s="39"/>
      <c r="J150" s="39"/>
      <c r="K150" s="39">
        <f t="shared" si="24"/>
        <v>6180.2599999999975</v>
      </c>
      <c r="L150" s="39"/>
    </row>
    <row r="151" spans="1:12" x14ac:dyDescent="0.25">
      <c r="A151">
        <v>200</v>
      </c>
      <c r="B151" s="161">
        <v>43339</v>
      </c>
      <c r="C151" s="7">
        <v>400</v>
      </c>
      <c r="D151" s="43">
        <v>16.925999999999998</v>
      </c>
      <c r="E151" s="39">
        <v>31.08</v>
      </c>
      <c r="F151" s="39">
        <f t="shared" si="28"/>
        <v>5661.6</v>
      </c>
      <c r="G151" s="39">
        <f t="shared" si="29"/>
        <v>6770.4</v>
      </c>
      <c r="H151" s="175">
        <f t="shared" si="30"/>
        <v>0.83622828784119119</v>
      </c>
      <c r="I151" s="429" t="s">
        <v>1207</v>
      </c>
      <c r="J151" s="39"/>
      <c r="K151" s="39">
        <f t="shared" ref="K151:K158" si="31">F151+$Q$10</f>
        <v>7113.8599999999988</v>
      </c>
      <c r="L151" s="39"/>
    </row>
    <row r="152" spans="1:12" x14ac:dyDescent="0.25">
      <c r="A152">
        <v>200</v>
      </c>
      <c r="B152" s="161">
        <v>43341</v>
      </c>
      <c r="C152" s="10">
        <v>400</v>
      </c>
      <c r="D152" s="39">
        <v>16.93</v>
      </c>
      <c r="E152" s="39">
        <v>31.59</v>
      </c>
      <c r="F152" s="39">
        <f t="shared" si="28"/>
        <v>5864</v>
      </c>
      <c r="G152" s="39">
        <f t="shared" si="29"/>
        <v>6772</v>
      </c>
      <c r="H152" s="175">
        <f t="shared" si="30"/>
        <v>0.8659184878913172</v>
      </c>
      <c r="I152" s="39"/>
      <c r="J152" s="39"/>
      <c r="K152" s="760">
        <f t="shared" si="31"/>
        <v>7316.2599999999984</v>
      </c>
      <c r="L152" s="39">
        <v>22.34</v>
      </c>
    </row>
    <row r="153" spans="1:12" x14ac:dyDescent="0.25">
      <c r="A153">
        <v>200</v>
      </c>
      <c r="B153" s="161">
        <v>43347</v>
      </c>
      <c r="C153" s="10">
        <v>400</v>
      </c>
      <c r="D153" s="39">
        <v>16.93</v>
      </c>
      <c r="E153" s="39">
        <v>30.83</v>
      </c>
      <c r="F153" s="39">
        <f t="shared" si="28"/>
        <v>5559.9999999999991</v>
      </c>
      <c r="G153" s="39">
        <f t="shared" si="29"/>
        <v>6772</v>
      </c>
      <c r="H153" s="175">
        <f t="shared" si="30"/>
        <v>0.82102776137034839</v>
      </c>
      <c r="I153" s="39"/>
      <c r="J153" s="39"/>
      <c r="K153" s="39">
        <f t="shared" si="31"/>
        <v>7012.2599999999975</v>
      </c>
      <c r="L153" s="39">
        <v>22.02</v>
      </c>
    </row>
    <row r="154" spans="1:12" x14ac:dyDescent="0.25">
      <c r="A154">
        <v>200</v>
      </c>
      <c r="B154" s="161">
        <v>43349</v>
      </c>
      <c r="C154" s="10">
        <v>700</v>
      </c>
      <c r="D154" s="39">
        <v>22.563600000000001</v>
      </c>
      <c r="E154" s="39">
        <v>30.51</v>
      </c>
      <c r="F154" s="39">
        <f t="shared" si="28"/>
        <v>5562.4800000000005</v>
      </c>
      <c r="G154" s="39">
        <f t="shared" si="29"/>
        <v>15794.52</v>
      </c>
      <c r="H154" s="175">
        <f t="shared" si="30"/>
        <v>0.35217784396107005</v>
      </c>
      <c r="I154" s="39" t="s">
        <v>1202</v>
      </c>
      <c r="J154" s="39"/>
      <c r="K154" s="39">
        <f t="shared" si="31"/>
        <v>7014.7399999999989</v>
      </c>
      <c r="L154" s="39">
        <v>21.79</v>
      </c>
    </row>
    <row r="155" spans="1:12" x14ac:dyDescent="0.25">
      <c r="A155">
        <v>200</v>
      </c>
      <c r="B155" s="161">
        <v>43350</v>
      </c>
      <c r="C155" s="10">
        <v>700</v>
      </c>
      <c r="D155" s="39">
        <v>22.563600000000001</v>
      </c>
      <c r="E155" s="39">
        <v>30.28</v>
      </c>
      <c r="F155" s="39">
        <f t="shared" si="28"/>
        <v>5401.4800000000005</v>
      </c>
      <c r="G155" s="39">
        <f t="shared" si="29"/>
        <v>15794.52</v>
      </c>
      <c r="H155" s="175">
        <f t="shared" si="30"/>
        <v>0.34198443510787285</v>
      </c>
      <c r="I155" s="39"/>
      <c r="J155" s="39"/>
      <c r="K155" s="39">
        <f t="shared" si="31"/>
        <v>6853.7399999999989</v>
      </c>
      <c r="L155" s="39"/>
    </row>
    <row r="156" spans="1:12" x14ac:dyDescent="0.25">
      <c r="A156">
        <v>200</v>
      </c>
      <c r="B156" s="161">
        <v>43354</v>
      </c>
      <c r="C156" s="10">
        <v>700</v>
      </c>
      <c r="D156" s="39">
        <v>22.563600000000001</v>
      </c>
      <c r="E156" s="39">
        <v>30.93</v>
      </c>
      <c r="F156" s="39">
        <f t="shared" si="28"/>
        <v>5856.48</v>
      </c>
      <c r="G156" s="39">
        <f t="shared" si="29"/>
        <v>15794.52</v>
      </c>
      <c r="H156" s="175">
        <f t="shared" si="30"/>
        <v>0.37079189491038655</v>
      </c>
      <c r="I156" s="39"/>
      <c r="J156" s="39"/>
      <c r="K156" s="39">
        <f t="shared" si="31"/>
        <v>7308.739999999998</v>
      </c>
      <c r="L156" s="39"/>
    </row>
    <row r="157" spans="1:12" x14ac:dyDescent="0.25">
      <c r="B157" s="161">
        <v>43355</v>
      </c>
      <c r="C157" s="10">
        <v>700</v>
      </c>
      <c r="D157" s="39">
        <v>22.563600000000001</v>
      </c>
      <c r="E157" s="39">
        <v>31.12</v>
      </c>
      <c r="F157" s="39">
        <f t="shared" si="28"/>
        <v>5989.48</v>
      </c>
      <c r="G157" s="39">
        <f t="shared" si="29"/>
        <v>15794.52</v>
      </c>
      <c r="H157" s="175">
        <f t="shared" si="30"/>
        <v>0.37921253700650603</v>
      </c>
      <c r="I157" s="39"/>
      <c r="J157" s="39"/>
      <c r="K157" s="760">
        <f t="shared" si="31"/>
        <v>7441.739999999998</v>
      </c>
      <c r="L157" s="39"/>
    </row>
    <row r="158" spans="1:12" x14ac:dyDescent="0.25">
      <c r="B158" s="161">
        <v>43360</v>
      </c>
      <c r="C158" s="10">
        <v>500</v>
      </c>
      <c r="D158" s="39">
        <v>18.845300000000002</v>
      </c>
      <c r="E158" s="39">
        <v>31.99</v>
      </c>
      <c r="F158" s="39">
        <f t="shared" si="28"/>
        <v>6572.3499999999985</v>
      </c>
      <c r="G158" s="39">
        <f t="shared" si="29"/>
        <v>9422.6500000000015</v>
      </c>
      <c r="H158" s="175">
        <f t="shared" si="30"/>
        <v>0.69750547881965241</v>
      </c>
      <c r="I158" s="39"/>
      <c r="J158" s="39"/>
      <c r="K158" s="39">
        <f t="shared" si="31"/>
        <v>8024.6099999999969</v>
      </c>
      <c r="L158" s="39"/>
    </row>
    <row r="159" spans="1:12" x14ac:dyDescent="0.25">
      <c r="A159">
        <v>0</v>
      </c>
      <c r="B159" s="161">
        <v>43360</v>
      </c>
      <c r="C159" s="10">
        <v>300</v>
      </c>
      <c r="D159" s="39">
        <v>9.8224</v>
      </c>
      <c r="E159" s="39">
        <v>31.99</v>
      </c>
      <c r="F159" s="39">
        <f t="shared" si="28"/>
        <v>6650.28</v>
      </c>
      <c r="G159" s="39">
        <f t="shared" si="29"/>
        <v>2946.72</v>
      </c>
      <c r="H159" s="175">
        <f t="shared" si="30"/>
        <v>2.256841505131129</v>
      </c>
      <c r="I159" s="39"/>
      <c r="J159" s="39"/>
      <c r="K159" s="760">
        <f t="shared" ref="K159:K167" si="32">F159+$Q$10</f>
        <v>8102.5399999999981</v>
      </c>
      <c r="L159" s="39">
        <v>22.85</v>
      </c>
    </row>
    <row r="160" spans="1:12" x14ac:dyDescent="0.25">
      <c r="A160" s="1">
        <v>43381</v>
      </c>
      <c r="B160" s="161">
        <v>43363</v>
      </c>
      <c r="C160" s="10">
        <v>300</v>
      </c>
      <c r="D160" s="39">
        <v>9.7889999999999997</v>
      </c>
      <c r="E160" s="39">
        <v>32.31</v>
      </c>
      <c r="F160" s="39">
        <f t="shared" si="28"/>
        <v>6756.3</v>
      </c>
      <c r="G160" s="39">
        <f t="shared" si="29"/>
        <v>2936.7</v>
      </c>
      <c r="H160" s="175">
        <f t="shared" si="30"/>
        <v>2.300643579528042</v>
      </c>
      <c r="I160" s="39"/>
      <c r="J160" s="39"/>
      <c r="K160" s="760">
        <f t="shared" si="32"/>
        <v>8208.5599999999977</v>
      </c>
      <c r="L160" s="39">
        <v>23.08</v>
      </c>
    </row>
    <row r="161" spans="1:12" x14ac:dyDescent="0.25">
      <c r="A161">
        <v>100</v>
      </c>
      <c r="B161" s="161">
        <v>43381</v>
      </c>
      <c r="C161" s="10">
        <v>100</v>
      </c>
      <c r="D161" s="39">
        <v>-38.192</v>
      </c>
      <c r="E161" s="39">
        <v>33.72</v>
      </c>
      <c r="F161" s="39">
        <f t="shared" si="28"/>
        <v>7191.2000000000007</v>
      </c>
      <c r="G161" s="39">
        <f t="shared" si="29"/>
        <v>-3819.2</v>
      </c>
      <c r="H161" s="175">
        <f t="shared" si="30"/>
        <v>-1.8829074151654799</v>
      </c>
      <c r="I161" s="39"/>
      <c r="J161" s="39"/>
      <c r="K161" s="760">
        <f t="shared" si="32"/>
        <v>8643.4599999999991</v>
      </c>
      <c r="L161" s="39">
        <v>24.09</v>
      </c>
    </row>
    <row r="162" spans="1:12" x14ac:dyDescent="0.25">
      <c r="A162">
        <v>100</v>
      </c>
      <c r="B162" s="161">
        <v>43383</v>
      </c>
      <c r="C162" s="10">
        <v>500</v>
      </c>
      <c r="D162" s="39">
        <v>18.361599999999999</v>
      </c>
      <c r="E162" s="39">
        <v>32.31</v>
      </c>
      <c r="F162" s="39">
        <f t="shared" si="28"/>
        <v>6974.2000000000016</v>
      </c>
      <c r="G162" s="39">
        <f t="shared" si="29"/>
        <v>9180.7999999999993</v>
      </c>
      <c r="H162" s="175">
        <f t="shared" si="30"/>
        <v>0.75965057511328005</v>
      </c>
      <c r="I162" s="39"/>
      <c r="J162" s="39"/>
      <c r="K162" s="39">
        <f t="shared" si="32"/>
        <v>8426.4599999999991</v>
      </c>
      <c r="L162" s="39">
        <v>23.08</v>
      </c>
    </row>
    <row r="163" spans="1:12" x14ac:dyDescent="0.25">
      <c r="A163">
        <v>100</v>
      </c>
      <c r="B163" s="161">
        <v>43385</v>
      </c>
      <c r="C163" s="10">
        <v>500</v>
      </c>
      <c r="D163" s="39">
        <v>18.361599999999999</v>
      </c>
      <c r="E163" s="39">
        <v>32.89</v>
      </c>
      <c r="F163" s="39">
        <f t="shared" ref="F163:F175" si="33">C163*(E163-D163)</f>
        <v>7264.2000000000007</v>
      </c>
      <c r="G163" s="39">
        <f t="shared" ref="G163:G175" si="34">D163*C163</f>
        <v>9180.7999999999993</v>
      </c>
      <c r="H163" s="175">
        <f t="shared" ref="H163:H175" si="35">(E163-D163)/D163</f>
        <v>0.79123823631927515</v>
      </c>
      <c r="I163" s="39"/>
      <c r="J163" s="39"/>
      <c r="K163" s="760">
        <f t="shared" si="32"/>
        <v>8716.4599999999991</v>
      </c>
      <c r="L163" s="39">
        <v>23.49</v>
      </c>
    </row>
    <row r="164" spans="1:12" x14ac:dyDescent="0.25">
      <c r="A164">
        <v>100</v>
      </c>
      <c r="B164" s="161">
        <v>43396</v>
      </c>
      <c r="C164" s="10">
        <v>600</v>
      </c>
      <c r="D164" s="39">
        <v>20.454699999999999</v>
      </c>
      <c r="E164" s="39">
        <v>31.41</v>
      </c>
      <c r="F164" s="39">
        <f t="shared" si="33"/>
        <v>6573.18</v>
      </c>
      <c r="G164" s="39">
        <f t="shared" si="34"/>
        <v>12272.82</v>
      </c>
      <c r="H164" s="175">
        <f t="shared" si="35"/>
        <v>0.53558839777655021</v>
      </c>
      <c r="I164" s="39"/>
      <c r="J164" s="39"/>
      <c r="K164" s="39">
        <f t="shared" si="32"/>
        <v>8025.4399999999987</v>
      </c>
      <c r="L164" s="39">
        <v>22.44</v>
      </c>
    </row>
    <row r="165" spans="1:12" x14ac:dyDescent="0.25">
      <c r="A165">
        <v>100</v>
      </c>
      <c r="B165" s="161">
        <v>43402</v>
      </c>
      <c r="C165" s="10">
        <v>600</v>
      </c>
      <c r="D165" s="39">
        <v>20.45</v>
      </c>
      <c r="E165" s="39">
        <v>29.63</v>
      </c>
      <c r="F165" s="39">
        <f t="shared" si="33"/>
        <v>5508</v>
      </c>
      <c r="G165" s="39">
        <f t="shared" si="34"/>
        <v>12270</v>
      </c>
      <c r="H165" s="175">
        <f t="shared" si="35"/>
        <v>0.44889975550122252</v>
      </c>
      <c r="I165" s="39"/>
      <c r="J165" s="39"/>
      <c r="K165" s="39">
        <f t="shared" si="32"/>
        <v>6960.2599999999984</v>
      </c>
      <c r="L165" s="39">
        <v>21.16</v>
      </c>
    </row>
    <row r="166" spans="1:12" x14ac:dyDescent="0.25">
      <c r="A166">
        <v>0</v>
      </c>
      <c r="B166" s="161">
        <v>43409</v>
      </c>
      <c r="C166" s="10">
        <v>500</v>
      </c>
      <c r="D166" s="39">
        <v>17.785699999999999</v>
      </c>
      <c r="E166" s="39">
        <v>32.22</v>
      </c>
      <c r="F166" s="39">
        <f t="shared" si="33"/>
        <v>7217.1500000000005</v>
      </c>
      <c r="G166" s="39">
        <f t="shared" si="34"/>
        <v>8892.8499999999985</v>
      </c>
      <c r="H166" s="175">
        <f t="shared" si="35"/>
        <v>0.81156772013471501</v>
      </c>
      <c r="I166" s="39"/>
      <c r="J166" s="39"/>
      <c r="K166" s="39">
        <f t="shared" si="32"/>
        <v>8669.41</v>
      </c>
      <c r="L166" s="39">
        <v>16.96</v>
      </c>
    </row>
    <row r="167" spans="1:12" x14ac:dyDescent="0.25">
      <c r="A167">
        <v>0</v>
      </c>
      <c r="B167" s="161">
        <v>43410</v>
      </c>
      <c r="C167" s="10">
        <v>500</v>
      </c>
      <c r="D167" s="39">
        <v>17.79</v>
      </c>
      <c r="E167" s="39">
        <v>35.619999999999997</v>
      </c>
      <c r="F167" s="39">
        <f t="shared" si="33"/>
        <v>8915</v>
      </c>
      <c r="G167" s="39">
        <f t="shared" si="34"/>
        <v>8895</v>
      </c>
      <c r="H167" s="175">
        <f t="shared" si="35"/>
        <v>1.0022484541877459</v>
      </c>
      <c r="I167" s="39"/>
      <c r="J167" s="39"/>
      <c r="K167" s="760">
        <f t="shared" si="32"/>
        <v>10367.259999999998</v>
      </c>
      <c r="L167" s="39">
        <v>18.760000000000002</v>
      </c>
    </row>
    <row r="168" spans="1:12" x14ac:dyDescent="0.25">
      <c r="A168">
        <v>400</v>
      </c>
      <c r="B168" s="161">
        <v>43417</v>
      </c>
      <c r="C168" s="10">
        <v>500</v>
      </c>
      <c r="D168" s="39">
        <v>17.79</v>
      </c>
      <c r="E168" s="39">
        <v>36.130000000000003</v>
      </c>
      <c r="F168" s="39">
        <f t="shared" si="33"/>
        <v>9170.0000000000018</v>
      </c>
      <c r="G168" s="39">
        <f t="shared" si="34"/>
        <v>8895</v>
      </c>
      <c r="H168" s="175">
        <f t="shared" si="35"/>
        <v>1.0309162450815068</v>
      </c>
      <c r="I168" s="39"/>
      <c r="J168" s="39"/>
      <c r="K168" s="760">
        <f t="shared" ref="K168:K175" si="36">F168+$Q$10</f>
        <v>10622.26</v>
      </c>
      <c r="L168" s="39">
        <v>19.02</v>
      </c>
    </row>
    <row r="169" spans="1:12" x14ac:dyDescent="0.25">
      <c r="A169">
        <v>200</v>
      </c>
      <c r="B169" s="161">
        <v>43420</v>
      </c>
      <c r="C169" s="10">
        <v>300</v>
      </c>
      <c r="D169" s="39">
        <v>5.1965000000000003</v>
      </c>
      <c r="E169" s="39">
        <v>36.67</v>
      </c>
      <c r="F169" s="39">
        <f t="shared" si="33"/>
        <v>9442.0500000000011</v>
      </c>
      <c r="G169" s="39">
        <f t="shared" si="34"/>
        <v>1558.95</v>
      </c>
      <c r="H169" s="175">
        <f t="shared" si="35"/>
        <v>6.0566727605118826</v>
      </c>
      <c r="I169" s="39"/>
      <c r="J169" s="39"/>
      <c r="K169" s="760">
        <f t="shared" si="36"/>
        <v>10894.31</v>
      </c>
      <c r="L169" s="39">
        <v>19.3</v>
      </c>
    </row>
    <row r="170" spans="1:12" x14ac:dyDescent="0.25">
      <c r="A170">
        <v>300</v>
      </c>
      <c r="B170" s="161">
        <v>43438</v>
      </c>
      <c r="C170" s="7">
        <v>400</v>
      </c>
      <c r="D170" s="43">
        <v>12.71</v>
      </c>
      <c r="E170" s="39">
        <v>35.28</v>
      </c>
      <c r="F170" s="39">
        <f t="shared" si="33"/>
        <v>9028</v>
      </c>
      <c r="G170" s="39">
        <f t="shared" si="34"/>
        <v>5084</v>
      </c>
      <c r="H170" s="175">
        <f t="shared" si="35"/>
        <v>1.7757671125098347</v>
      </c>
      <c r="I170" s="39"/>
      <c r="J170" s="39"/>
      <c r="K170" s="39">
        <f t="shared" si="36"/>
        <v>10480.259999999998</v>
      </c>
      <c r="L170" s="39">
        <v>18.57</v>
      </c>
    </row>
    <row r="171" spans="1:12" x14ac:dyDescent="0.25">
      <c r="A171">
        <v>300</v>
      </c>
      <c r="B171" s="161">
        <v>43440</v>
      </c>
      <c r="C171" s="10">
        <v>500</v>
      </c>
      <c r="D171" s="39">
        <v>16.867899999999999</v>
      </c>
      <c r="E171" s="39">
        <v>34.549999999999997</v>
      </c>
      <c r="F171" s="39">
        <f t="shared" si="33"/>
        <v>8841.0499999999993</v>
      </c>
      <c r="G171" s="39">
        <f t="shared" si="34"/>
        <v>8433.9499999999989</v>
      </c>
      <c r="H171" s="175">
        <f t="shared" si="35"/>
        <v>1.048269197706887</v>
      </c>
      <c r="I171" s="39"/>
      <c r="J171" s="39"/>
      <c r="K171" s="39">
        <f t="shared" si="36"/>
        <v>10293.309999999998</v>
      </c>
      <c r="L171" s="39">
        <v>18.18</v>
      </c>
    </row>
    <row r="172" spans="1:12" x14ac:dyDescent="0.25">
      <c r="A172">
        <v>300</v>
      </c>
      <c r="B172" s="161">
        <v>43442</v>
      </c>
      <c r="C172" s="10">
        <v>500</v>
      </c>
      <c r="D172" s="39">
        <v>16.87</v>
      </c>
      <c r="E172" s="39">
        <v>33.520000000000003</v>
      </c>
      <c r="F172" s="39">
        <f t="shared" si="33"/>
        <v>8325.0000000000018</v>
      </c>
      <c r="G172" s="39">
        <f t="shared" si="34"/>
        <v>8435</v>
      </c>
      <c r="H172" s="175">
        <f t="shared" si="35"/>
        <v>0.98695909899229406</v>
      </c>
      <c r="I172" s="39"/>
      <c r="J172" s="39"/>
      <c r="K172" s="39">
        <f t="shared" si="36"/>
        <v>9777.26</v>
      </c>
      <c r="L172" s="39">
        <v>17.64</v>
      </c>
    </row>
    <row r="173" spans="1:12" x14ac:dyDescent="0.25">
      <c r="A173">
        <v>300</v>
      </c>
      <c r="B173" s="161">
        <v>43447</v>
      </c>
      <c r="C173" s="10">
        <v>600</v>
      </c>
      <c r="D173" s="39">
        <v>19.206600000000002</v>
      </c>
      <c r="E173" s="39">
        <v>30.71</v>
      </c>
      <c r="F173" s="39">
        <f t="shared" si="33"/>
        <v>6902.0399999999991</v>
      </c>
      <c r="G173" s="39">
        <f t="shared" si="34"/>
        <v>11523.960000000001</v>
      </c>
      <c r="H173" s="175">
        <f t="shared" si="35"/>
        <v>0.59892953463913434</v>
      </c>
      <c r="I173" s="39"/>
      <c r="J173" s="39"/>
      <c r="K173" s="39">
        <f t="shared" si="36"/>
        <v>8354.2999999999975</v>
      </c>
      <c r="L173" s="39">
        <v>17.37</v>
      </c>
    </row>
    <row r="174" spans="1:12" x14ac:dyDescent="0.25">
      <c r="A174">
        <v>400</v>
      </c>
      <c r="B174" s="161">
        <v>43473</v>
      </c>
      <c r="C174" s="10">
        <v>500</v>
      </c>
      <c r="D174" s="39">
        <v>16.774000000000001</v>
      </c>
      <c r="E174" s="39">
        <v>31.36</v>
      </c>
      <c r="F174" s="39">
        <f t="shared" si="33"/>
        <v>7292.9999999999991</v>
      </c>
      <c r="G174" s="39">
        <f t="shared" si="34"/>
        <v>8387</v>
      </c>
      <c r="H174" s="175">
        <f t="shared" si="35"/>
        <v>0.86956003338500043</v>
      </c>
      <c r="I174" s="39"/>
      <c r="J174" s="39"/>
      <c r="K174" s="39">
        <f t="shared" si="36"/>
        <v>8745.2599999999984</v>
      </c>
      <c r="L174" s="39">
        <v>16.510000000000002</v>
      </c>
    </row>
    <row r="175" spans="1:12" x14ac:dyDescent="0.25">
      <c r="A175">
        <v>500</v>
      </c>
      <c r="B175" s="161">
        <v>43491</v>
      </c>
      <c r="C175" s="10">
        <v>500</v>
      </c>
      <c r="D175" s="39">
        <v>16.77</v>
      </c>
      <c r="E175" s="39">
        <v>31.89</v>
      </c>
      <c r="F175" s="39">
        <f t="shared" si="33"/>
        <v>7560.0000000000009</v>
      </c>
      <c r="G175" s="39">
        <f t="shared" si="34"/>
        <v>8385</v>
      </c>
      <c r="H175" s="175">
        <f t="shared" si="35"/>
        <v>0.90161001788908779</v>
      </c>
      <c r="I175" s="39"/>
      <c r="J175" s="39"/>
      <c r="K175" s="39">
        <f t="shared" si="36"/>
        <v>9012.2599999999984</v>
      </c>
      <c r="L175" s="39">
        <v>16.78</v>
      </c>
    </row>
    <row r="176" spans="1:12" x14ac:dyDescent="0.25">
      <c r="A176">
        <v>200</v>
      </c>
      <c r="B176" s="161">
        <v>43516</v>
      </c>
      <c r="C176" s="181">
        <v>200</v>
      </c>
      <c r="D176" s="182">
        <v>-8.5844000000000005</v>
      </c>
      <c r="E176" s="39">
        <v>33.68</v>
      </c>
      <c r="F176" s="39">
        <f t="shared" ref="F176:F183" si="37">C176*(E176-D176)</f>
        <v>8452.880000000001</v>
      </c>
      <c r="G176" s="39">
        <f t="shared" ref="G176:G183" si="38">D176*C176</f>
        <v>-1716.88</v>
      </c>
      <c r="H176" s="175">
        <f t="shared" ref="H176:H183" si="39">(E176-D176)/D176</f>
        <v>-4.9233959274963883</v>
      </c>
      <c r="I176" s="39"/>
      <c r="J176" s="39"/>
      <c r="K176" s="39">
        <f t="shared" ref="K176:K187" si="40">F176+$Q$10</f>
        <v>9905.14</v>
      </c>
      <c r="L176" s="39">
        <v>17.670000000000002</v>
      </c>
    </row>
    <row r="177" spans="1:12" x14ac:dyDescent="0.25">
      <c r="A177">
        <v>200</v>
      </c>
      <c r="B177" s="161">
        <v>43520</v>
      </c>
      <c r="C177" s="10">
        <v>300</v>
      </c>
      <c r="D177" s="39">
        <v>5.0037000000000003</v>
      </c>
      <c r="E177" s="39">
        <v>32.299999999999997</v>
      </c>
      <c r="F177" s="39">
        <f t="shared" si="37"/>
        <v>8188.8899999999985</v>
      </c>
      <c r="G177" s="39">
        <f t="shared" si="38"/>
        <v>1501.1100000000001</v>
      </c>
      <c r="H177" s="175">
        <f t="shared" si="39"/>
        <v>5.4552231348801872</v>
      </c>
      <c r="I177" s="39"/>
      <c r="J177" s="39"/>
      <c r="K177" s="39">
        <f t="shared" si="40"/>
        <v>9641.1499999999978</v>
      </c>
      <c r="L177" s="39">
        <v>17</v>
      </c>
    </row>
    <row r="178" spans="1:12" x14ac:dyDescent="0.25">
      <c r="B178" s="161">
        <v>43521</v>
      </c>
      <c r="C178" s="181">
        <v>200</v>
      </c>
      <c r="D178" s="182">
        <v>-9.0841999999999992</v>
      </c>
      <c r="E178" s="39">
        <v>32.770000000000003</v>
      </c>
      <c r="F178" s="39">
        <f t="shared" si="37"/>
        <v>8370.840000000002</v>
      </c>
      <c r="G178" s="39">
        <f t="shared" si="38"/>
        <v>-1816.84</v>
      </c>
      <c r="H178" s="175">
        <f t="shared" si="39"/>
        <v>-4.6073622333281969</v>
      </c>
      <c r="I178" s="39"/>
      <c r="J178" s="39"/>
      <c r="K178" s="39">
        <f t="shared" si="40"/>
        <v>9823.1</v>
      </c>
      <c r="L178" s="39">
        <v>17.25</v>
      </c>
    </row>
    <row r="179" spans="1:12" x14ac:dyDescent="0.25">
      <c r="A179">
        <v>100</v>
      </c>
      <c r="B179" s="161">
        <v>43525</v>
      </c>
      <c r="C179" s="10">
        <v>300</v>
      </c>
      <c r="D179" s="39">
        <v>4.3438999999999997</v>
      </c>
      <c r="E179" s="39">
        <v>31.27</v>
      </c>
      <c r="F179" s="39">
        <f t="shared" si="37"/>
        <v>8077.829999999999</v>
      </c>
      <c r="G179" s="39">
        <f t="shared" si="38"/>
        <v>1303.1699999999998</v>
      </c>
      <c r="H179" s="175">
        <f t="shared" si="39"/>
        <v>6.1986003361035014</v>
      </c>
      <c r="I179" s="39"/>
      <c r="J179" s="39"/>
      <c r="K179" s="39">
        <f t="shared" si="40"/>
        <v>9530.0899999999965</v>
      </c>
      <c r="L179" s="39">
        <v>16.46</v>
      </c>
    </row>
    <row r="180" spans="1:12" x14ac:dyDescent="0.25">
      <c r="A180">
        <v>100</v>
      </c>
      <c r="B180" s="161">
        <v>43531</v>
      </c>
      <c r="C180" s="7">
        <v>400</v>
      </c>
      <c r="D180" s="43">
        <v>10.277900000000001</v>
      </c>
      <c r="E180" s="39">
        <v>27.92</v>
      </c>
      <c r="F180" s="39">
        <f t="shared" si="37"/>
        <v>7056.84</v>
      </c>
      <c r="G180" s="39">
        <f t="shared" si="38"/>
        <v>4111.16</v>
      </c>
      <c r="H180" s="175">
        <f t="shared" si="39"/>
        <v>1.7165082361182731</v>
      </c>
      <c r="I180" s="39"/>
      <c r="J180" s="39"/>
      <c r="K180" s="39">
        <f t="shared" si="40"/>
        <v>8509.0999999999985</v>
      </c>
      <c r="L180" s="39">
        <v>14.69</v>
      </c>
    </row>
    <row r="181" spans="1:12" x14ac:dyDescent="0.25">
      <c r="A181">
        <v>100</v>
      </c>
      <c r="B181" s="161">
        <v>43535</v>
      </c>
      <c r="C181" s="10">
        <v>400</v>
      </c>
      <c r="D181" s="39">
        <v>10.28</v>
      </c>
      <c r="E181" s="39">
        <v>28.71</v>
      </c>
      <c r="F181" s="39">
        <f t="shared" si="37"/>
        <v>7372</v>
      </c>
      <c r="G181" s="39">
        <f t="shared" si="38"/>
        <v>4112</v>
      </c>
      <c r="H181" s="175">
        <f t="shared" si="39"/>
        <v>1.7928015564202335</v>
      </c>
      <c r="I181" s="39"/>
      <c r="J181" s="39"/>
      <c r="K181" s="39">
        <f t="shared" si="40"/>
        <v>8824.2599999999984</v>
      </c>
      <c r="L181" s="39">
        <v>15.11</v>
      </c>
    </row>
    <row r="182" spans="1:12" x14ac:dyDescent="0.25">
      <c r="A182">
        <v>100</v>
      </c>
      <c r="B182" s="161">
        <v>43545</v>
      </c>
      <c r="C182" s="7">
        <v>400</v>
      </c>
      <c r="D182" s="43">
        <v>10.2591</v>
      </c>
      <c r="E182" s="39">
        <v>28.3</v>
      </c>
      <c r="F182" s="39">
        <f t="shared" si="37"/>
        <v>7216.3600000000006</v>
      </c>
      <c r="G182" s="39">
        <f t="shared" si="38"/>
        <v>4103.6400000000003</v>
      </c>
      <c r="H182" s="175">
        <f t="shared" si="39"/>
        <v>1.7585265764053377</v>
      </c>
      <c r="I182" s="39" t="s">
        <v>182</v>
      </c>
      <c r="J182" s="39"/>
      <c r="K182" s="39">
        <f t="shared" si="40"/>
        <v>8668.619999999999</v>
      </c>
      <c r="L182" s="39">
        <v>14.89</v>
      </c>
    </row>
    <row r="183" spans="1:12" x14ac:dyDescent="0.25">
      <c r="A183">
        <v>100</v>
      </c>
      <c r="B183" s="161">
        <v>43546</v>
      </c>
      <c r="C183" s="10">
        <v>600</v>
      </c>
      <c r="D183" s="39">
        <v>15.904400000000001</v>
      </c>
      <c r="E183" s="39">
        <v>26.85</v>
      </c>
      <c r="F183" s="39">
        <f t="shared" si="37"/>
        <v>6567.3600000000006</v>
      </c>
      <c r="G183" s="39">
        <f t="shared" si="38"/>
        <v>9542.6400000000012</v>
      </c>
      <c r="H183" s="175">
        <f t="shared" si="39"/>
        <v>0.68821206710092808</v>
      </c>
      <c r="I183" s="39"/>
      <c r="J183" s="39"/>
      <c r="K183" s="39">
        <f t="shared" si="40"/>
        <v>8019.619999999999</v>
      </c>
      <c r="L183" s="39">
        <v>14.13</v>
      </c>
    </row>
    <row r="184" spans="1:12" x14ac:dyDescent="0.25">
      <c r="A184">
        <v>100</v>
      </c>
      <c r="B184" s="161">
        <v>43556</v>
      </c>
      <c r="C184" s="7">
        <v>400</v>
      </c>
      <c r="D184" s="43">
        <v>9.9367999999999999</v>
      </c>
      <c r="E184" s="39">
        <v>27.84</v>
      </c>
      <c r="F184" s="39">
        <f t="shared" ref="F184:F192" si="41">C184*(E184-D184)</f>
        <v>7161.2799999999988</v>
      </c>
      <c r="G184" s="39">
        <f t="shared" ref="G184:G192" si="42">D184*C184</f>
        <v>3974.72</v>
      </c>
      <c r="H184" s="175">
        <f t="shared" ref="H184:H192" si="43">(E184-D184)/D184</f>
        <v>1.8017067868931647</v>
      </c>
      <c r="I184" s="39"/>
      <c r="J184" s="39"/>
      <c r="K184" s="39">
        <f t="shared" si="40"/>
        <v>8613.5399999999972</v>
      </c>
      <c r="L184" s="39">
        <v>14.65</v>
      </c>
    </row>
    <row r="185" spans="1:12" x14ac:dyDescent="0.25">
      <c r="B185" s="161">
        <v>43604</v>
      </c>
      <c r="C185" s="10">
        <v>400</v>
      </c>
      <c r="D185" s="39">
        <v>9.94</v>
      </c>
      <c r="E185" s="39">
        <v>22.8</v>
      </c>
      <c r="F185" s="39">
        <f t="shared" si="41"/>
        <v>5144.0000000000009</v>
      </c>
      <c r="G185" s="39">
        <f t="shared" si="42"/>
        <v>3976</v>
      </c>
      <c r="H185" s="175">
        <f t="shared" si="43"/>
        <v>1.2937625754527164</v>
      </c>
      <c r="I185" s="39"/>
      <c r="J185" s="39"/>
      <c r="K185" s="39">
        <f t="shared" si="40"/>
        <v>6596.2599999999993</v>
      </c>
      <c r="L185" s="39"/>
    </row>
    <row r="186" spans="1:12" x14ac:dyDescent="0.25">
      <c r="A186">
        <v>400</v>
      </c>
      <c r="B186" s="161">
        <v>43606</v>
      </c>
      <c r="C186" s="10">
        <v>494</v>
      </c>
      <c r="D186" s="39">
        <v>12.333</v>
      </c>
      <c r="E186" s="39">
        <v>22.85</v>
      </c>
      <c r="F186" s="39">
        <f t="shared" si="41"/>
        <v>5195.398000000001</v>
      </c>
      <c r="G186" s="39">
        <f t="shared" si="42"/>
        <v>6092.5020000000004</v>
      </c>
      <c r="H186" s="175">
        <f t="shared" si="43"/>
        <v>0.85275277710208397</v>
      </c>
      <c r="I186" s="39"/>
      <c r="J186" s="39"/>
      <c r="K186" s="39">
        <f t="shared" si="40"/>
        <v>6647.6579999999994</v>
      </c>
      <c r="L186" s="39"/>
    </row>
    <row r="187" spans="1:12" x14ac:dyDescent="0.25">
      <c r="B187" s="161">
        <v>43607</v>
      </c>
      <c r="C187" s="10">
        <v>798</v>
      </c>
      <c r="D187" s="39">
        <v>16.1554</v>
      </c>
      <c r="E187" s="39">
        <v>22.34</v>
      </c>
      <c r="F187" s="39">
        <f t="shared" si="41"/>
        <v>4935.3107999999993</v>
      </c>
      <c r="G187" s="39">
        <f t="shared" si="42"/>
        <v>12892.0092</v>
      </c>
      <c r="H187" s="175">
        <f t="shared" si="43"/>
        <v>0.38281936689899349</v>
      </c>
      <c r="I187" s="39"/>
      <c r="J187" s="39"/>
      <c r="K187" s="39">
        <f t="shared" si="40"/>
        <v>6387.5707999999977</v>
      </c>
      <c r="L187" s="39">
        <v>12.03</v>
      </c>
    </row>
    <row r="188" spans="1:12" x14ac:dyDescent="0.25">
      <c r="A188">
        <v>400</v>
      </c>
      <c r="B188" s="161">
        <v>43608</v>
      </c>
      <c r="C188" s="10">
        <v>900</v>
      </c>
      <c r="D188" s="39">
        <v>16.767900000000001</v>
      </c>
      <c r="E188" s="39">
        <v>21.62</v>
      </c>
      <c r="F188" s="39">
        <f t="shared" si="41"/>
        <v>4366.8900000000003</v>
      </c>
      <c r="G188" s="39">
        <f t="shared" si="42"/>
        <v>15091.11</v>
      </c>
      <c r="H188" s="175">
        <f t="shared" si="43"/>
        <v>0.28936837648125285</v>
      </c>
      <c r="I188" s="39"/>
      <c r="J188" s="39"/>
      <c r="K188" s="39">
        <f t="shared" ref="K188" si="44">F188+$Q$10</f>
        <v>5819.1499999999987</v>
      </c>
      <c r="L188" s="39"/>
    </row>
    <row r="189" spans="1:12" x14ac:dyDescent="0.25">
      <c r="A189">
        <v>400</v>
      </c>
      <c r="B189" s="161">
        <v>43614</v>
      </c>
      <c r="C189" s="10">
        <v>900</v>
      </c>
      <c r="D189" s="39">
        <v>16.77</v>
      </c>
      <c r="E189" s="39">
        <v>21.4</v>
      </c>
      <c r="F189" s="39">
        <f t="shared" si="41"/>
        <v>4166.9999999999991</v>
      </c>
      <c r="G189" s="39">
        <f t="shared" si="42"/>
        <v>15093</v>
      </c>
      <c r="H189" s="175">
        <f t="shared" si="43"/>
        <v>0.27608825283243882</v>
      </c>
      <c r="I189" s="39"/>
      <c r="J189" s="39"/>
      <c r="K189" s="39">
        <f t="shared" ref="K189:K192" si="45">F189+$Q$10</f>
        <v>5619.2599999999975</v>
      </c>
      <c r="L189" s="39"/>
    </row>
    <row r="190" spans="1:12" x14ac:dyDescent="0.25">
      <c r="A190">
        <v>300</v>
      </c>
      <c r="B190" s="161">
        <v>43619</v>
      </c>
      <c r="C190" s="352">
        <v>800</v>
      </c>
      <c r="D190" s="353">
        <v>16.079000000000001</v>
      </c>
      <c r="E190" s="39">
        <v>22.03</v>
      </c>
      <c r="F190" s="39">
        <f t="shared" si="41"/>
        <v>4760.8</v>
      </c>
      <c r="G190" s="39">
        <f t="shared" si="42"/>
        <v>12863.2</v>
      </c>
      <c r="H190" s="175">
        <f t="shared" si="43"/>
        <v>0.37011008147272845</v>
      </c>
      <c r="I190" s="39"/>
      <c r="J190" s="39"/>
      <c r="K190" s="39">
        <f t="shared" si="45"/>
        <v>6213.0599999999986</v>
      </c>
      <c r="L190" s="39"/>
    </row>
    <row r="191" spans="1:12" x14ac:dyDescent="0.25">
      <c r="A191">
        <v>200</v>
      </c>
      <c r="B191" s="161">
        <v>43629</v>
      </c>
      <c r="C191" s="10">
        <v>700</v>
      </c>
      <c r="D191" s="39">
        <v>15.113</v>
      </c>
      <c r="E191" s="39">
        <v>22.84</v>
      </c>
      <c r="F191" s="39">
        <f t="shared" si="41"/>
        <v>5408.9000000000005</v>
      </c>
      <c r="G191" s="39">
        <f t="shared" si="42"/>
        <v>10579.1</v>
      </c>
      <c r="H191" s="175">
        <f t="shared" si="43"/>
        <v>0.51128167802554092</v>
      </c>
      <c r="I191" s="39"/>
      <c r="J191" s="39"/>
      <c r="K191" s="39">
        <f t="shared" si="45"/>
        <v>6861.1599999999989</v>
      </c>
      <c r="L191" s="39"/>
    </row>
    <row r="192" spans="1:12" x14ac:dyDescent="0.25">
      <c r="A192">
        <v>200</v>
      </c>
      <c r="B192" s="161">
        <v>43631</v>
      </c>
      <c r="C192" s="352">
        <v>800</v>
      </c>
      <c r="D192" s="353">
        <v>16.03</v>
      </c>
      <c r="E192" s="39">
        <v>22.36</v>
      </c>
      <c r="F192" s="39">
        <f t="shared" si="41"/>
        <v>5063.9999999999982</v>
      </c>
      <c r="G192" s="39">
        <f t="shared" si="42"/>
        <v>12824</v>
      </c>
      <c r="H192" s="175">
        <f t="shared" si="43"/>
        <v>0.39488459139114146</v>
      </c>
      <c r="I192" s="39"/>
      <c r="J192" s="39"/>
      <c r="K192" s="39">
        <f t="shared" si="45"/>
        <v>6516.2599999999966</v>
      </c>
      <c r="L192" s="39"/>
    </row>
    <row r="193" spans="1:12" x14ac:dyDescent="0.25">
      <c r="A193">
        <v>0</v>
      </c>
      <c r="B193" s="161">
        <v>43633</v>
      </c>
      <c r="C193" s="10">
        <v>600</v>
      </c>
      <c r="D193" s="39">
        <v>13.605499999999999</v>
      </c>
      <c r="E193" s="39">
        <v>23.28</v>
      </c>
      <c r="F193" s="39">
        <f t="shared" ref="F193:F196" si="46">C193*(E193-D193)</f>
        <v>5804.7000000000007</v>
      </c>
      <c r="G193" s="39">
        <f t="shared" ref="G193:G196" si="47">D193*C193</f>
        <v>8163.2999999999993</v>
      </c>
      <c r="H193" s="175">
        <f t="shared" ref="H193:H196" si="48">(E193-D193)/D193</f>
        <v>0.71107272794090648</v>
      </c>
      <c r="I193" s="39"/>
      <c r="J193" s="39"/>
      <c r="K193" s="39">
        <f t="shared" ref="K193:K200" si="49">F193+$Q$10</f>
        <v>7256.9599999999991</v>
      </c>
      <c r="L193" s="39"/>
    </row>
    <row r="194" spans="1:12" x14ac:dyDescent="0.25">
      <c r="A194">
        <v>0</v>
      </c>
      <c r="B194" s="161">
        <v>43636</v>
      </c>
      <c r="C194" s="10">
        <v>600</v>
      </c>
      <c r="D194" s="39">
        <v>13.54</v>
      </c>
      <c r="E194" s="39">
        <v>23.63</v>
      </c>
      <c r="F194" s="39">
        <f t="shared" si="46"/>
        <v>6054</v>
      </c>
      <c r="G194" s="39">
        <f t="shared" si="47"/>
        <v>8123.9999999999991</v>
      </c>
      <c r="H194" s="175">
        <f t="shared" si="48"/>
        <v>0.74519940915805027</v>
      </c>
      <c r="I194" s="39"/>
      <c r="J194" s="39"/>
      <c r="K194" s="39">
        <f t="shared" si="49"/>
        <v>7506.2599999999984</v>
      </c>
      <c r="L194" s="39"/>
    </row>
    <row r="195" spans="1:12" x14ac:dyDescent="0.25">
      <c r="A195">
        <v>300</v>
      </c>
      <c r="B195" s="161">
        <v>43644</v>
      </c>
      <c r="C195" s="7">
        <v>400</v>
      </c>
      <c r="D195" s="43">
        <v>7.7934000000000001</v>
      </c>
      <c r="E195" s="39">
        <v>25.03</v>
      </c>
      <c r="F195" s="39">
        <f t="shared" si="46"/>
        <v>6894.6400000000012</v>
      </c>
      <c r="G195" s="39">
        <f t="shared" si="47"/>
        <v>3117.36</v>
      </c>
      <c r="H195" s="175">
        <f t="shared" si="48"/>
        <v>2.2116919444658305</v>
      </c>
      <c r="I195" s="39"/>
      <c r="J195" s="39"/>
      <c r="K195" s="39">
        <f t="shared" si="49"/>
        <v>8346.9</v>
      </c>
      <c r="L195" s="39"/>
    </row>
    <row r="196" spans="1:12" x14ac:dyDescent="0.25">
      <c r="A196">
        <v>300</v>
      </c>
      <c r="B196" s="161">
        <v>43654</v>
      </c>
      <c r="C196" s="10">
        <v>600</v>
      </c>
      <c r="D196" s="39">
        <v>13.228899999999999</v>
      </c>
      <c r="E196" s="39">
        <v>24.05</v>
      </c>
      <c r="F196" s="39">
        <f t="shared" si="46"/>
        <v>6492.6600000000008</v>
      </c>
      <c r="G196" s="39">
        <f t="shared" si="47"/>
        <v>7937.3399999999992</v>
      </c>
      <c r="H196" s="175">
        <f t="shared" si="48"/>
        <v>0.81798940199109538</v>
      </c>
      <c r="I196" s="39"/>
      <c r="J196" s="39"/>
      <c r="K196" s="39">
        <f t="shared" si="49"/>
        <v>7944.9199999999992</v>
      </c>
      <c r="L196" s="39"/>
    </row>
    <row r="197" spans="1:12" x14ac:dyDescent="0.25">
      <c r="A197">
        <v>300</v>
      </c>
      <c r="B197" s="161">
        <v>43657</v>
      </c>
      <c r="C197" s="352">
        <v>800</v>
      </c>
      <c r="D197" s="353">
        <v>15.6</v>
      </c>
      <c r="E197" s="39">
        <v>22.49</v>
      </c>
      <c r="F197" s="39">
        <f t="shared" ref="F197:F200" si="50">C197*(E197-D197)</f>
        <v>5511.9999999999991</v>
      </c>
      <c r="G197" s="39">
        <f t="shared" ref="G197:G200" si="51">D197*C197</f>
        <v>12480</v>
      </c>
      <c r="H197" s="175">
        <f t="shared" ref="H197:H200" si="52">(E197-D197)/D197</f>
        <v>0.4416666666666666</v>
      </c>
      <c r="I197" s="39"/>
      <c r="J197" s="39"/>
      <c r="K197" s="39">
        <f t="shared" si="49"/>
        <v>6964.2599999999975</v>
      </c>
      <c r="L197" s="39"/>
    </row>
    <row r="198" spans="1:12" x14ac:dyDescent="0.25">
      <c r="A198">
        <v>400</v>
      </c>
      <c r="B198" s="161">
        <v>43660</v>
      </c>
      <c r="C198" s="10">
        <v>800</v>
      </c>
      <c r="D198" s="39">
        <v>15.6</v>
      </c>
      <c r="E198" s="39">
        <v>23</v>
      </c>
      <c r="F198" s="39">
        <f t="shared" si="50"/>
        <v>5920</v>
      </c>
      <c r="G198" s="39">
        <f t="shared" si="51"/>
        <v>12480</v>
      </c>
      <c r="H198" s="175">
        <f t="shared" si="52"/>
        <v>0.47435897435897439</v>
      </c>
      <c r="I198" s="39"/>
      <c r="J198" s="39"/>
      <c r="K198" s="39">
        <f t="shared" si="49"/>
        <v>7372.2599999999984</v>
      </c>
      <c r="L198" s="39"/>
    </row>
    <row r="199" spans="1:12" x14ac:dyDescent="0.25">
      <c r="A199">
        <v>200</v>
      </c>
      <c r="B199" s="161">
        <v>43662</v>
      </c>
      <c r="C199" s="10">
        <v>600</v>
      </c>
      <c r="D199" s="39">
        <v>12.9</v>
      </c>
      <c r="E199" s="39">
        <v>23.71</v>
      </c>
      <c r="F199" s="39">
        <f t="shared" si="50"/>
        <v>6486</v>
      </c>
      <c r="G199" s="39">
        <f t="shared" si="51"/>
        <v>7740</v>
      </c>
      <c r="H199" s="175">
        <f t="shared" si="52"/>
        <v>0.83798449612403103</v>
      </c>
      <c r="I199" s="39"/>
      <c r="J199" s="39"/>
      <c r="K199" s="39">
        <f t="shared" si="49"/>
        <v>7938.2599999999984</v>
      </c>
      <c r="L199" s="39"/>
    </row>
    <row r="200" spans="1:12" x14ac:dyDescent="0.25">
      <c r="A200">
        <v>0</v>
      </c>
      <c r="B200" s="161">
        <v>43669</v>
      </c>
      <c r="C200" s="7">
        <v>400</v>
      </c>
      <c r="D200" s="43">
        <v>6.9640000000000004</v>
      </c>
      <c r="E200" s="39">
        <v>24.79</v>
      </c>
      <c r="F200" s="39">
        <f t="shared" si="50"/>
        <v>7130.4000000000005</v>
      </c>
      <c r="G200" s="39">
        <f t="shared" si="51"/>
        <v>2785.6000000000004</v>
      </c>
      <c r="H200" s="175">
        <f t="shared" si="52"/>
        <v>2.5597357840321653</v>
      </c>
      <c r="I200" s="39"/>
      <c r="J200" s="39"/>
      <c r="K200" s="39">
        <f t="shared" si="49"/>
        <v>8582.66</v>
      </c>
      <c r="L200" s="39">
        <v>13.86</v>
      </c>
    </row>
    <row r="201" spans="1:12" x14ac:dyDescent="0.25">
      <c r="A201">
        <v>0</v>
      </c>
      <c r="B201" s="161">
        <v>43682</v>
      </c>
      <c r="C201" s="10">
        <v>500</v>
      </c>
      <c r="D201" s="39">
        <v>10.2471</v>
      </c>
      <c r="E201" s="39">
        <v>23.6</v>
      </c>
      <c r="F201" s="39">
        <f t="shared" ref="F201:F204" si="53">C201*(E201-D201)</f>
        <v>6676.4500000000007</v>
      </c>
      <c r="G201" s="39">
        <f t="shared" ref="G201:G204" si="54">D201*C201</f>
        <v>5123.55</v>
      </c>
      <c r="H201" s="175">
        <f t="shared" ref="H201:H204" si="55">(E201-D201)/D201</f>
        <v>1.3030906305198546</v>
      </c>
      <c r="I201" s="39"/>
      <c r="J201" s="39"/>
      <c r="K201" s="39">
        <f t="shared" ref="K201:K204" si="56">F201+$Q$10</f>
        <v>8128.7099999999991</v>
      </c>
      <c r="L201" s="39"/>
    </row>
    <row r="202" spans="1:12" x14ac:dyDescent="0.25">
      <c r="A202">
        <v>0</v>
      </c>
      <c r="B202" s="161">
        <v>43683</v>
      </c>
      <c r="C202" s="10">
        <v>600</v>
      </c>
      <c r="D202" s="39">
        <v>12.07</v>
      </c>
      <c r="E202" s="39">
        <v>22.02</v>
      </c>
      <c r="F202" s="39">
        <f t="shared" si="53"/>
        <v>5970</v>
      </c>
      <c r="G202" s="39">
        <f t="shared" si="54"/>
        <v>7242</v>
      </c>
      <c r="H202" s="175">
        <f t="shared" si="55"/>
        <v>0.82435791217895604</v>
      </c>
      <c r="I202" s="39"/>
      <c r="J202" s="39"/>
      <c r="K202" s="39">
        <f t="shared" si="56"/>
        <v>7422.2599999999984</v>
      </c>
      <c r="L202" s="39"/>
    </row>
    <row r="203" spans="1:12" x14ac:dyDescent="0.25">
      <c r="A203">
        <v>400</v>
      </c>
      <c r="B203" s="161">
        <v>43689</v>
      </c>
      <c r="C203" s="10">
        <v>700</v>
      </c>
      <c r="D203" s="39">
        <v>13.33</v>
      </c>
      <c r="E203" s="39">
        <v>20.76</v>
      </c>
      <c r="F203" s="39">
        <f t="shared" si="53"/>
        <v>5201.0000000000009</v>
      </c>
      <c r="G203" s="39">
        <f t="shared" si="54"/>
        <v>9331</v>
      </c>
      <c r="H203" s="175">
        <f t="shared" si="55"/>
        <v>0.55738934733683432</v>
      </c>
      <c r="I203" s="39"/>
      <c r="J203" s="39"/>
      <c r="K203" s="39">
        <f t="shared" si="56"/>
        <v>6653.2599999999993</v>
      </c>
      <c r="L203" s="39"/>
    </row>
    <row r="204" spans="1:12" x14ac:dyDescent="0.25">
      <c r="A204">
        <v>400</v>
      </c>
      <c r="B204" s="161">
        <v>43702</v>
      </c>
      <c r="C204" s="352">
        <v>800</v>
      </c>
      <c r="D204" s="353">
        <v>14.012</v>
      </c>
      <c r="E204" s="39">
        <v>18.010000000000002</v>
      </c>
      <c r="F204" s="39">
        <f t="shared" si="53"/>
        <v>3198.400000000001</v>
      </c>
      <c r="G204" s="39">
        <f t="shared" si="54"/>
        <v>11209.6</v>
      </c>
      <c r="H204" s="175">
        <f t="shared" si="55"/>
        <v>0.28532686268912366</v>
      </c>
      <c r="I204" s="39"/>
      <c r="J204" s="39"/>
      <c r="K204" s="39">
        <f t="shared" si="56"/>
        <v>4650.66</v>
      </c>
      <c r="L204" s="39"/>
    </row>
    <row r="205" spans="1:12" x14ac:dyDescent="0.25">
      <c r="A205">
        <v>400</v>
      </c>
      <c r="B205" s="161">
        <v>43702</v>
      </c>
      <c r="C205" s="10">
        <v>1000</v>
      </c>
      <c r="D205" s="39">
        <v>14.83</v>
      </c>
      <c r="E205" s="39">
        <v>18.010000000000002</v>
      </c>
      <c r="F205" s="39">
        <f t="shared" ref="F205" si="57">C205*(E205-D205)</f>
        <v>3180.0000000000014</v>
      </c>
      <c r="G205" s="39">
        <f t="shared" ref="G205" si="58">D205*C205</f>
        <v>14830</v>
      </c>
      <c r="H205" s="175">
        <f t="shared" ref="H205" si="59">(E205-D205)/D205</f>
        <v>0.21443020903573848</v>
      </c>
      <c r="I205" s="39"/>
      <c r="J205" s="39"/>
      <c r="K205" s="39">
        <f t="shared" ref="K205" si="60">F205+$Q$10</f>
        <v>4632.26</v>
      </c>
      <c r="L205" s="39"/>
    </row>
    <row r="206" spans="1:12" x14ac:dyDescent="0.25">
      <c r="A206">
        <v>200</v>
      </c>
      <c r="B206" s="161">
        <v>43706</v>
      </c>
      <c r="C206" s="352">
        <v>800</v>
      </c>
      <c r="D206" s="353">
        <v>13.862</v>
      </c>
      <c r="E206" s="39">
        <v>18.38</v>
      </c>
      <c r="F206" s="39">
        <f t="shared" ref="F206:F208" si="61">C206*(E206-D206)</f>
        <v>3614.3999999999992</v>
      </c>
      <c r="G206" s="39">
        <f t="shared" ref="G206:G208" si="62">D206*C206</f>
        <v>11089.6</v>
      </c>
      <c r="H206" s="175">
        <f t="shared" ref="H206:H208" si="63">(E206-D206)/D206</f>
        <v>0.32592699466166491</v>
      </c>
      <c r="I206" s="39"/>
      <c r="J206" s="39"/>
      <c r="K206" s="39">
        <f t="shared" ref="K206:K208" si="64">F206+$Q$10</f>
        <v>5066.659999999998</v>
      </c>
      <c r="L206" s="39"/>
    </row>
    <row r="207" spans="1:12" x14ac:dyDescent="0.25">
      <c r="A207">
        <v>200</v>
      </c>
      <c r="B207" s="161">
        <v>43711</v>
      </c>
      <c r="C207" s="10">
        <v>900</v>
      </c>
      <c r="D207" s="39">
        <v>14.305199999999999</v>
      </c>
      <c r="E207" s="39">
        <v>17.850000000000001</v>
      </c>
      <c r="F207" s="39">
        <f t="shared" si="61"/>
        <v>3190.320000000002</v>
      </c>
      <c r="G207" s="39">
        <f t="shared" si="62"/>
        <v>12874.679999999998</v>
      </c>
      <c r="H207" s="175">
        <f t="shared" si="63"/>
        <v>0.24779800352319453</v>
      </c>
      <c r="I207" s="39"/>
      <c r="J207" s="39"/>
      <c r="K207" s="39">
        <f t="shared" si="64"/>
        <v>4642.58</v>
      </c>
      <c r="L207" s="39"/>
    </row>
    <row r="208" spans="1:12" x14ac:dyDescent="0.25">
      <c r="A208">
        <v>100</v>
      </c>
      <c r="B208" s="161">
        <v>43713</v>
      </c>
      <c r="C208" s="10">
        <v>700</v>
      </c>
      <c r="D208" s="39">
        <v>12.9125</v>
      </c>
      <c r="E208" s="39">
        <v>19.38</v>
      </c>
      <c r="F208" s="39">
        <f t="shared" si="61"/>
        <v>4527.25</v>
      </c>
      <c r="G208" s="39">
        <f t="shared" si="62"/>
        <v>9038.75</v>
      </c>
      <c r="H208" s="175">
        <f t="shared" si="63"/>
        <v>0.50087124878993217</v>
      </c>
      <c r="I208" s="39"/>
      <c r="J208" s="39"/>
      <c r="K208" s="39">
        <f t="shared" si="64"/>
        <v>5979.5099999999984</v>
      </c>
      <c r="L208" s="39"/>
    </row>
    <row r="209" spans="1:12" x14ac:dyDescent="0.25">
      <c r="A209">
        <v>0</v>
      </c>
      <c r="B209" s="161">
        <v>43718</v>
      </c>
      <c r="C209" s="10">
        <v>500</v>
      </c>
      <c r="D209" s="39">
        <v>9.6</v>
      </c>
      <c r="E209" s="39">
        <v>21.2</v>
      </c>
      <c r="F209" s="39">
        <f t="shared" ref="F209:F212" si="65">C209*(E209-D209)</f>
        <v>5800</v>
      </c>
      <c r="G209" s="39">
        <f t="shared" ref="G209:G212" si="66">D209*C209</f>
        <v>4800</v>
      </c>
      <c r="H209" s="175">
        <f t="shared" ref="H209:H212" si="67">(E209-D209)/D209</f>
        <v>1.2083333333333333</v>
      </c>
      <c r="I209" s="39"/>
      <c r="J209" s="39"/>
      <c r="K209" s="39">
        <f t="shared" ref="K209:K212" si="68">F209+$Q$10</f>
        <v>7252.2599999999984</v>
      </c>
      <c r="L209" s="39"/>
    </row>
    <row r="210" spans="1:12" x14ac:dyDescent="0.25">
      <c r="A210">
        <v>400</v>
      </c>
      <c r="B210" s="161">
        <v>43734</v>
      </c>
      <c r="C210" s="10">
        <v>600</v>
      </c>
      <c r="D210" s="39">
        <v>11.2263</v>
      </c>
      <c r="E210" s="39">
        <v>19.95</v>
      </c>
      <c r="F210" s="39">
        <f t="shared" si="65"/>
        <v>5234.2199999999993</v>
      </c>
      <c r="G210" s="39">
        <f t="shared" si="66"/>
        <v>6735.78</v>
      </c>
      <c r="H210" s="175">
        <f t="shared" si="67"/>
        <v>0.77707704230245045</v>
      </c>
      <c r="I210" s="39"/>
      <c r="J210" s="39"/>
      <c r="K210" s="39">
        <f t="shared" si="68"/>
        <v>6686.4799999999977</v>
      </c>
      <c r="L210" s="39"/>
    </row>
    <row r="211" spans="1:12" x14ac:dyDescent="0.25">
      <c r="A211">
        <v>500</v>
      </c>
      <c r="B211" s="161">
        <v>43746</v>
      </c>
      <c r="C211" s="352">
        <v>800</v>
      </c>
      <c r="D211" s="353">
        <v>13.064</v>
      </c>
      <c r="E211" s="39">
        <v>18.579999999999998</v>
      </c>
      <c r="F211" s="39">
        <f t="shared" si="65"/>
        <v>4412.7999999999984</v>
      </c>
      <c r="G211" s="39">
        <f t="shared" si="66"/>
        <v>10451.200000000001</v>
      </c>
      <c r="H211" s="175">
        <f t="shared" si="67"/>
        <v>0.42222902633190434</v>
      </c>
      <c r="I211" s="39"/>
      <c r="J211" s="39"/>
      <c r="K211" s="39">
        <f t="shared" si="68"/>
        <v>5865.0599999999968</v>
      </c>
      <c r="L211" s="39"/>
    </row>
    <row r="212" spans="1:12" x14ac:dyDescent="0.25">
      <c r="A212">
        <v>200</v>
      </c>
      <c r="B212" s="161">
        <v>43749</v>
      </c>
      <c r="C212" s="10">
        <v>500</v>
      </c>
      <c r="D212" s="39">
        <v>8.65</v>
      </c>
      <c r="E212" s="39">
        <v>20.420000000000002</v>
      </c>
      <c r="F212" s="39">
        <f t="shared" si="65"/>
        <v>5885.0000000000009</v>
      </c>
      <c r="G212" s="39">
        <f t="shared" si="66"/>
        <v>4325</v>
      </c>
      <c r="H212" s="175">
        <f t="shared" si="67"/>
        <v>1.3606936416184972</v>
      </c>
      <c r="I212" s="39"/>
      <c r="J212" s="39"/>
      <c r="K212" s="39">
        <f t="shared" si="68"/>
        <v>7337.2599999999993</v>
      </c>
      <c r="L212" s="39"/>
    </row>
    <row r="213" spans="1:12" x14ac:dyDescent="0.25">
      <c r="A213">
        <v>200</v>
      </c>
      <c r="B213" s="161">
        <v>43755</v>
      </c>
      <c r="C213" s="10">
        <v>600</v>
      </c>
      <c r="D213" s="39">
        <v>10.5</v>
      </c>
      <c r="E213" s="39">
        <v>19.64</v>
      </c>
      <c r="F213" s="39">
        <f t="shared" ref="F213:F216" si="69">C213*(E213-D213)</f>
        <v>5484</v>
      </c>
      <c r="G213" s="39">
        <f t="shared" ref="G213:G216" si="70">D213*C213</f>
        <v>6300</v>
      </c>
      <c r="H213" s="175">
        <f t="shared" ref="H213:H216" si="71">(E213-D213)/D213</f>
        <v>0.87047619047619051</v>
      </c>
      <c r="I213" s="39"/>
      <c r="J213" s="39"/>
      <c r="K213" s="39">
        <f t="shared" ref="K213:K216" si="72">F213+$Q$10</f>
        <v>6936.2599999999984</v>
      </c>
      <c r="L213" s="39"/>
    </row>
    <row r="214" spans="1:12" x14ac:dyDescent="0.25">
      <c r="A214">
        <v>300</v>
      </c>
      <c r="B214" s="161">
        <v>43772</v>
      </c>
      <c r="C214" s="10">
        <v>600</v>
      </c>
      <c r="D214" s="39">
        <v>10.5</v>
      </c>
      <c r="E214" s="39">
        <v>20.66</v>
      </c>
      <c r="F214" s="39">
        <f t="shared" si="69"/>
        <v>6096</v>
      </c>
      <c r="G214" s="39">
        <f t="shared" si="70"/>
        <v>6300</v>
      </c>
      <c r="H214" s="175">
        <f t="shared" si="71"/>
        <v>0.9676190476190476</v>
      </c>
      <c r="I214" s="39"/>
      <c r="J214" s="39"/>
      <c r="K214" s="39">
        <f t="shared" si="72"/>
        <v>7548.2599999999984</v>
      </c>
      <c r="L214" s="39"/>
    </row>
    <row r="215" spans="1:12" x14ac:dyDescent="0.25">
      <c r="A215">
        <v>200</v>
      </c>
      <c r="B215" s="161">
        <v>43773</v>
      </c>
      <c r="C215" s="10">
        <v>500</v>
      </c>
      <c r="D215" s="39">
        <v>8.3610000000000007</v>
      </c>
      <c r="E215" s="39">
        <v>21.34</v>
      </c>
      <c r="F215" s="39">
        <f t="shared" si="69"/>
        <v>6489.5</v>
      </c>
      <c r="G215" s="39">
        <f t="shared" si="70"/>
        <v>4180.5</v>
      </c>
      <c r="H215" s="175">
        <f t="shared" si="71"/>
        <v>1.5523262767611528</v>
      </c>
      <c r="I215" s="39"/>
      <c r="J215" s="39"/>
      <c r="K215" s="39">
        <f t="shared" si="72"/>
        <v>7941.7599999999984</v>
      </c>
      <c r="L215" s="39"/>
    </row>
    <row r="216" spans="1:12" x14ac:dyDescent="0.25">
      <c r="B216" s="161">
        <v>43782</v>
      </c>
      <c r="C216" s="10">
        <v>600</v>
      </c>
      <c r="D216" s="39">
        <v>10.2675</v>
      </c>
      <c r="E216" s="39">
        <v>19.68</v>
      </c>
      <c r="F216" s="39">
        <f t="shared" si="69"/>
        <v>5647.5</v>
      </c>
      <c r="G216" s="39">
        <f t="shared" si="70"/>
        <v>6160.5</v>
      </c>
      <c r="H216" s="175">
        <f t="shared" si="71"/>
        <v>0.91672753834915988</v>
      </c>
      <c r="I216" s="39"/>
      <c r="J216" s="39"/>
      <c r="K216" s="39">
        <f t="shared" si="72"/>
        <v>7099.7599999999984</v>
      </c>
      <c r="L216" s="39"/>
    </row>
    <row r="217" spans="1:12" x14ac:dyDescent="0.25">
      <c r="A217">
        <v>300</v>
      </c>
      <c r="B217" s="161">
        <v>43783</v>
      </c>
      <c r="C217" s="10">
        <v>500</v>
      </c>
      <c r="D217" s="39">
        <v>8.2579999999999991</v>
      </c>
      <c r="E217" s="39">
        <v>20.309999999999999</v>
      </c>
      <c r="F217" s="39">
        <f t="shared" ref="F217:F220" si="73">C217*(E217-D217)</f>
        <v>6026</v>
      </c>
      <c r="G217" s="39">
        <f t="shared" ref="G217:G220" si="74">D217*C217</f>
        <v>4129</v>
      </c>
      <c r="H217" s="175">
        <f t="shared" ref="H217:H220" si="75">(E217-D217)/D217</f>
        <v>1.4594332768224754</v>
      </c>
      <c r="I217" s="39"/>
      <c r="J217" s="39"/>
      <c r="K217" s="39">
        <f t="shared" ref="K217:K220" si="76">F217+$Q$10</f>
        <v>7478.2599999999984</v>
      </c>
      <c r="L217" s="39"/>
    </row>
    <row r="218" spans="1:12" x14ac:dyDescent="0.25">
      <c r="A218">
        <v>300</v>
      </c>
      <c r="B218" s="161">
        <v>43785</v>
      </c>
      <c r="C218" s="10">
        <v>600</v>
      </c>
      <c r="D218" s="39">
        <v>10.177</v>
      </c>
      <c r="E218" s="39">
        <v>19.75</v>
      </c>
      <c r="F218" s="39">
        <f t="shared" si="73"/>
        <v>5743.8</v>
      </c>
      <c r="G218" s="39">
        <f t="shared" si="74"/>
        <v>6106.2</v>
      </c>
      <c r="H218" s="175">
        <f t="shared" si="75"/>
        <v>0.94065048639088145</v>
      </c>
      <c r="I218" s="39"/>
      <c r="J218" s="39"/>
      <c r="K218" s="39">
        <f t="shared" si="76"/>
        <v>7196.0599999999986</v>
      </c>
      <c r="L218" s="39"/>
    </row>
    <row r="219" spans="1:12" x14ac:dyDescent="0.25">
      <c r="A219">
        <v>400</v>
      </c>
      <c r="B219" s="161">
        <v>43788</v>
      </c>
      <c r="C219" s="352">
        <v>800</v>
      </c>
      <c r="D219" s="353">
        <v>12.4069</v>
      </c>
      <c r="E219" s="39">
        <v>18.95</v>
      </c>
      <c r="F219" s="39">
        <f t="shared" si="73"/>
        <v>5234.4799999999996</v>
      </c>
      <c r="G219" s="39">
        <f t="shared" si="74"/>
        <v>9925.52</v>
      </c>
      <c r="H219" s="175">
        <f t="shared" si="75"/>
        <v>0.52737589567095722</v>
      </c>
      <c r="I219" s="39"/>
      <c r="J219" s="39"/>
      <c r="K219" s="39">
        <f t="shared" si="76"/>
        <v>6686.739999999998</v>
      </c>
      <c r="L219" s="39"/>
    </row>
    <row r="220" spans="1:12" x14ac:dyDescent="0.25">
      <c r="A220">
        <v>400</v>
      </c>
      <c r="B220" s="161">
        <v>43789</v>
      </c>
      <c r="C220" s="10">
        <v>1000</v>
      </c>
      <c r="D220" s="39">
        <v>13.59</v>
      </c>
      <c r="E220" s="39">
        <v>18.12</v>
      </c>
      <c r="F220" s="39">
        <f t="shared" si="73"/>
        <v>4530.0000000000009</v>
      </c>
      <c r="G220" s="39">
        <f t="shared" si="74"/>
        <v>13590</v>
      </c>
      <c r="H220" s="175">
        <f t="shared" si="75"/>
        <v>0.33333333333333343</v>
      </c>
      <c r="I220" s="39"/>
      <c r="J220" s="39"/>
      <c r="K220" s="39">
        <f t="shared" si="76"/>
        <v>5982.2599999999993</v>
      </c>
      <c r="L220" s="39"/>
    </row>
    <row r="221" spans="1:12" x14ac:dyDescent="0.25">
      <c r="A221">
        <v>400</v>
      </c>
      <c r="B221" s="161">
        <v>43797</v>
      </c>
      <c r="C221" s="10">
        <v>1000</v>
      </c>
      <c r="D221" s="39">
        <v>13.59</v>
      </c>
      <c r="E221" s="39">
        <v>19</v>
      </c>
      <c r="F221" s="39">
        <f t="shared" ref="F221:F223" si="77">C221*(E221-D221)</f>
        <v>5410</v>
      </c>
      <c r="G221" s="39">
        <f t="shared" ref="G221:G223" si="78">D221*C221</f>
        <v>13590</v>
      </c>
      <c r="H221" s="175">
        <f t="shared" ref="H221:H223" si="79">(E221-D221)/D221</f>
        <v>0.39808682855040473</v>
      </c>
      <c r="I221" s="39"/>
      <c r="J221" s="39"/>
      <c r="K221" s="39">
        <f t="shared" ref="K221:K223" si="80">F221+$Q$10</f>
        <v>6862.2599999999984</v>
      </c>
      <c r="L221" s="39"/>
    </row>
    <row r="222" spans="1:12" x14ac:dyDescent="0.25">
      <c r="B222" s="161">
        <v>43801</v>
      </c>
      <c r="C222" s="352">
        <v>800</v>
      </c>
      <c r="D222" s="353">
        <v>12.151999999999999</v>
      </c>
      <c r="E222" s="39">
        <v>18.989999999999998</v>
      </c>
      <c r="F222" s="39">
        <f t="shared" si="77"/>
        <v>5470.4</v>
      </c>
      <c r="G222" s="39">
        <f t="shared" si="78"/>
        <v>9721.5999999999985</v>
      </c>
      <c r="H222" s="175">
        <f t="shared" si="79"/>
        <v>0.56270572745227121</v>
      </c>
      <c r="I222" s="39"/>
      <c r="J222" s="39"/>
      <c r="K222" s="39">
        <f t="shared" si="80"/>
        <v>6922.659999999998</v>
      </c>
      <c r="L222" s="39"/>
    </row>
    <row r="223" spans="1:12" x14ac:dyDescent="0.25">
      <c r="A223">
        <v>0</v>
      </c>
      <c r="B223" s="161">
        <v>43805</v>
      </c>
      <c r="C223" s="10">
        <v>600</v>
      </c>
      <c r="D223" s="39">
        <v>9.843</v>
      </c>
      <c r="E223" s="39">
        <v>19.079999999999998</v>
      </c>
      <c r="F223" s="39">
        <f t="shared" si="77"/>
        <v>5542.1999999999989</v>
      </c>
      <c r="G223" s="39">
        <f t="shared" si="78"/>
        <v>5905.8</v>
      </c>
      <c r="H223" s="175">
        <f t="shared" si="79"/>
        <v>0.93843340444986267</v>
      </c>
      <c r="I223" s="39"/>
      <c r="J223" s="39"/>
      <c r="K223" s="39">
        <f t="shared" si="80"/>
        <v>6994.4599999999973</v>
      </c>
      <c r="L223" s="39"/>
    </row>
    <row r="224" spans="1:12" x14ac:dyDescent="0.25">
      <c r="B224" s="161"/>
      <c r="C224" s="10"/>
      <c r="D224" s="39"/>
      <c r="E224" s="39"/>
      <c r="F224" s="39"/>
      <c r="G224" s="39"/>
      <c r="H224" s="175"/>
      <c r="I224" s="39"/>
      <c r="J224" s="39"/>
      <c r="K224" s="39"/>
      <c r="L224" s="39"/>
    </row>
    <row r="225" spans="2:12" x14ac:dyDescent="0.25">
      <c r="B225" s="161"/>
      <c r="C225" s="10"/>
      <c r="D225" s="39"/>
      <c r="E225" s="39"/>
      <c r="F225" s="39"/>
      <c r="G225" s="39"/>
      <c r="H225" s="175"/>
      <c r="I225" s="39"/>
      <c r="J225" s="39"/>
      <c r="K225" s="39"/>
      <c r="L225" s="39"/>
    </row>
    <row r="226" spans="2:12" x14ac:dyDescent="0.25">
      <c r="B226" s="161"/>
      <c r="C226" s="10"/>
      <c r="D226" s="39"/>
      <c r="E226" s="39"/>
      <c r="F226" s="39"/>
      <c r="G226" s="39"/>
      <c r="H226" s="175"/>
      <c r="I226" s="39"/>
      <c r="J226" s="39"/>
      <c r="K226" s="39"/>
      <c r="L226" s="39"/>
    </row>
    <row r="227" spans="2:12" x14ac:dyDescent="0.25">
      <c r="B227" s="161"/>
      <c r="C227" s="10"/>
      <c r="D227" s="39"/>
      <c r="E227" s="39"/>
      <c r="F227" s="39"/>
      <c r="G227" s="39"/>
      <c r="H227" s="175"/>
      <c r="I227" s="39"/>
      <c r="J227" s="39"/>
      <c r="K227" s="39"/>
      <c r="L227" s="39"/>
    </row>
    <row r="228" spans="2:12" x14ac:dyDescent="0.25">
      <c r="B228" s="161"/>
      <c r="C228" s="10"/>
      <c r="D228" s="39"/>
      <c r="E228" s="39"/>
      <c r="F228" s="39"/>
      <c r="G228" s="39"/>
      <c r="H228" s="175"/>
      <c r="I228" s="39"/>
      <c r="J228" s="39"/>
      <c r="K228" s="39"/>
      <c r="L228" s="39"/>
    </row>
    <row r="230" spans="2:12" x14ac:dyDescent="0.25">
      <c r="B230" s="405" t="s">
        <v>113</v>
      </c>
      <c r="C230" s="405" t="s">
        <v>143</v>
      </c>
      <c r="D230" s="406" t="s">
        <v>142</v>
      </c>
      <c r="E230" s="407" t="s">
        <v>144</v>
      </c>
      <c r="F230" s="407" t="s">
        <v>65</v>
      </c>
      <c r="G230" s="409" t="s">
        <v>148</v>
      </c>
      <c r="H230" s="409" t="s">
        <v>88</v>
      </c>
      <c r="I230" s="409" t="s">
        <v>151</v>
      </c>
    </row>
    <row r="231" spans="2:12" x14ac:dyDescent="0.25">
      <c r="B231" s="290">
        <v>42548</v>
      </c>
      <c r="C231" s="291">
        <v>100</v>
      </c>
      <c r="D231" s="292">
        <v>25</v>
      </c>
      <c r="E231" s="292">
        <v>24.69</v>
      </c>
      <c r="F231" s="292">
        <f t="shared" ref="F231:F236" si="81">C231*(E231-D231)</f>
        <v>-30.999999999999872</v>
      </c>
      <c r="G231" s="292">
        <f t="shared" ref="G231:G236" si="82">D231*C231</f>
        <v>2500</v>
      </c>
      <c r="H231" s="293">
        <f t="shared" ref="H231:H236" si="83">(E231-D231)/D231</f>
        <v>-1.2399999999999949E-2</v>
      </c>
      <c r="I231" s="292"/>
    </row>
    <row r="232" spans="2:12" x14ac:dyDescent="0.25">
      <c r="B232" s="290">
        <v>42549</v>
      </c>
      <c r="C232" s="291">
        <v>100</v>
      </c>
      <c r="D232" s="292">
        <v>25</v>
      </c>
      <c r="E232" s="292">
        <v>25.26</v>
      </c>
      <c r="F232" s="292">
        <f t="shared" si="81"/>
        <v>26.000000000000156</v>
      </c>
      <c r="G232" s="292">
        <f t="shared" si="82"/>
        <v>2500</v>
      </c>
      <c r="H232" s="293">
        <f t="shared" si="83"/>
        <v>1.0400000000000062E-2</v>
      </c>
      <c r="I232" s="292"/>
    </row>
    <row r="233" spans="2:12" x14ac:dyDescent="0.25">
      <c r="B233" s="290">
        <v>42552</v>
      </c>
      <c r="C233" s="291">
        <v>100</v>
      </c>
      <c r="D233" s="292">
        <v>25</v>
      </c>
      <c r="E233" s="292">
        <v>26.57</v>
      </c>
      <c r="F233" s="292">
        <f t="shared" si="81"/>
        <v>157.00000000000003</v>
      </c>
      <c r="G233" s="292">
        <f t="shared" si="82"/>
        <v>2500</v>
      </c>
      <c r="H233" s="293">
        <f t="shared" si="83"/>
        <v>6.2800000000000009E-2</v>
      </c>
      <c r="I233" s="292"/>
    </row>
    <row r="234" spans="2:12" x14ac:dyDescent="0.25">
      <c r="B234" s="290">
        <v>42556</v>
      </c>
      <c r="C234" s="291">
        <v>100</v>
      </c>
      <c r="D234" s="292">
        <v>25</v>
      </c>
      <c r="E234" s="292">
        <v>25.47</v>
      </c>
      <c r="F234" s="292">
        <f t="shared" si="81"/>
        <v>46.999999999999886</v>
      </c>
      <c r="G234" s="292">
        <f t="shared" si="82"/>
        <v>2500</v>
      </c>
      <c r="H234" s="293">
        <f t="shared" si="83"/>
        <v>1.8799999999999956E-2</v>
      </c>
      <c r="I234" s="292"/>
    </row>
    <row r="235" spans="2:12" x14ac:dyDescent="0.25">
      <c r="B235" s="290">
        <v>42562</v>
      </c>
      <c r="C235" s="291">
        <v>100</v>
      </c>
      <c r="D235" s="292">
        <v>25</v>
      </c>
      <c r="E235" s="292">
        <v>25.69</v>
      </c>
      <c r="F235" s="292">
        <f t="shared" si="81"/>
        <v>69.000000000000128</v>
      </c>
      <c r="G235" s="292">
        <f t="shared" si="82"/>
        <v>2500</v>
      </c>
      <c r="H235" s="293">
        <f t="shared" si="83"/>
        <v>2.7600000000000052E-2</v>
      </c>
      <c r="I235" s="292"/>
    </row>
    <row r="236" spans="2:12" x14ac:dyDescent="0.25">
      <c r="B236" s="290">
        <v>42563</v>
      </c>
      <c r="C236" s="291">
        <v>100</v>
      </c>
      <c r="D236" s="292">
        <v>25</v>
      </c>
      <c r="E236" s="292">
        <v>26.48</v>
      </c>
      <c r="F236" s="292">
        <f t="shared" si="81"/>
        <v>148.00000000000006</v>
      </c>
      <c r="G236" s="292">
        <f t="shared" si="82"/>
        <v>2500</v>
      </c>
      <c r="H236" s="293">
        <f t="shared" si="83"/>
        <v>5.9200000000000016E-2</v>
      </c>
      <c r="I236" s="292"/>
    </row>
    <row r="237" spans="2:12" x14ac:dyDescent="0.25">
      <c r="B237" s="290">
        <v>42569</v>
      </c>
      <c r="C237" s="291">
        <v>100</v>
      </c>
      <c r="D237" s="292">
        <v>25</v>
      </c>
      <c r="E237" s="292">
        <v>29.28</v>
      </c>
      <c r="F237" s="292">
        <f t="shared" ref="F237:F243" si="84">C237*(E237-D237)</f>
        <v>428.00000000000011</v>
      </c>
      <c r="G237" s="292">
        <f t="shared" ref="G237:G243" si="85">D237*C237</f>
        <v>2500</v>
      </c>
      <c r="H237" s="293">
        <f t="shared" ref="H237:H243" si="86">(E237-D237)/D237</f>
        <v>0.17120000000000005</v>
      </c>
      <c r="I237" s="292"/>
    </row>
    <row r="238" spans="2:12" x14ac:dyDescent="0.25">
      <c r="B238" s="290">
        <v>42570</v>
      </c>
      <c r="C238" s="291">
        <v>100</v>
      </c>
      <c r="D238" s="292">
        <v>25</v>
      </c>
      <c r="E238" s="292">
        <v>28.68</v>
      </c>
      <c r="F238" s="292">
        <f t="shared" si="84"/>
        <v>368</v>
      </c>
      <c r="G238" s="292">
        <f t="shared" si="85"/>
        <v>2500</v>
      </c>
      <c r="H238" s="293">
        <f t="shared" si="86"/>
        <v>0.1472</v>
      </c>
      <c r="I238" s="292"/>
    </row>
    <row r="239" spans="2:12" x14ac:dyDescent="0.25">
      <c r="B239" s="290">
        <v>42571</v>
      </c>
      <c r="C239" s="291">
        <v>100</v>
      </c>
      <c r="D239" s="292">
        <v>25</v>
      </c>
      <c r="E239" s="292">
        <v>29.01</v>
      </c>
      <c r="F239" s="292">
        <f t="shared" si="84"/>
        <v>401.00000000000017</v>
      </c>
      <c r="G239" s="292">
        <f t="shared" si="85"/>
        <v>2500</v>
      </c>
      <c r="H239" s="293">
        <f t="shared" si="86"/>
        <v>0.16040000000000007</v>
      </c>
      <c r="I239" s="292"/>
    </row>
    <row r="240" spans="2:12" x14ac:dyDescent="0.25">
      <c r="B240" s="290">
        <v>42572</v>
      </c>
      <c r="C240" s="291">
        <v>100</v>
      </c>
      <c r="D240" s="292">
        <v>25</v>
      </c>
      <c r="E240" s="292">
        <v>28.89</v>
      </c>
      <c r="F240" s="292">
        <f t="shared" si="84"/>
        <v>389.00000000000006</v>
      </c>
      <c r="G240" s="292">
        <f t="shared" si="85"/>
        <v>2500</v>
      </c>
      <c r="H240" s="293">
        <f t="shared" si="86"/>
        <v>0.15560000000000002</v>
      </c>
      <c r="I240" s="292"/>
    </row>
    <row r="241" spans="2:9" x14ac:dyDescent="0.25">
      <c r="B241" s="290">
        <v>42576</v>
      </c>
      <c r="C241" s="291">
        <v>100</v>
      </c>
      <c r="D241" s="292">
        <v>25</v>
      </c>
      <c r="E241" s="292">
        <v>28.63</v>
      </c>
      <c r="F241" s="292">
        <f t="shared" si="84"/>
        <v>362.99999999999989</v>
      </c>
      <c r="G241" s="292">
        <f t="shared" si="85"/>
        <v>2500</v>
      </c>
      <c r="H241" s="293">
        <f t="shared" si="86"/>
        <v>0.14519999999999997</v>
      </c>
      <c r="I241" s="292"/>
    </row>
    <row r="242" spans="2:9" x14ac:dyDescent="0.25">
      <c r="B242" s="290">
        <v>42577</v>
      </c>
      <c r="C242" s="291">
        <v>100</v>
      </c>
      <c r="D242" s="292">
        <v>25</v>
      </c>
      <c r="E242" s="292">
        <v>29.34</v>
      </c>
      <c r="F242" s="292">
        <f t="shared" si="84"/>
        <v>434</v>
      </c>
      <c r="G242" s="292">
        <f t="shared" si="85"/>
        <v>2500</v>
      </c>
      <c r="H242" s="293">
        <f t="shared" si="86"/>
        <v>0.1736</v>
      </c>
      <c r="I242" s="292"/>
    </row>
    <row r="243" spans="2:9" x14ac:dyDescent="0.25">
      <c r="B243" s="290">
        <v>42580</v>
      </c>
      <c r="C243" s="291">
        <v>100</v>
      </c>
      <c r="D243" s="292">
        <v>25</v>
      </c>
      <c r="E243" s="292">
        <v>27</v>
      </c>
      <c r="F243" s="292">
        <f t="shared" si="84"/>
        <v>200</v>
      </c>
      <c r="G243" s="292">
        <f t="shared" si="85"/>
        <v>2500</v>
      </c>
      <c r="H243" s="293">
        <f t="shared" si="86"/>
        <v>0.08</v>
      </c>
      <c r="I243" s="292"/>
    </row>
    <row r="244" spans="2:9" x14ac:dyDescent="0.25">
      <c r="B244" s="290">
        <v>42584</v>
      </c>
      <c r="C244" s="291">
        <v>0</v>
      </c>
      <c r="D244" s="292"/>
      <c r="E244" s="292"/>
      <c r="F244" s="292">
        <v>287.94</v>
      </c>
      <c r="G244" s="292"/>
      <c r="H244" s="293"/>
      <c r="I244" s="292"/>
    </row>
    <row r="245" spans="2:9" x14ac:dyDescent="0.25">
      <c r="B245" s="161"/>
      <c r="C245" s="10"/>
      <c r="D245" s="39"/>
      <c r="E245" s="39"/>
      <c r="F245" s="39"/>
      <c r="G245" s="39"/>
      <c r="H245" s="175"/>
      <c r="I245" s="39"/>
    </row>
    <row r="246" spans="2:9" x14ac:dyDescent="0.25">
      <c r="B246" s="159" t="s">
        <v>113</v>
      </c>
      <c r="C246" s="159" t="s">
        <v>143</v>
      </c>
      <c r="D246" s="160" t="s">
        <v>142</v>
      </c>
      <c r="E246" s="162" t="s">
        <v>144</v>
      </c>
      <c r="F246" s="162" t="s">
        <v>65</v>
      </c>
      <c r="G246" s="173" t="s">
        <v>148</v>
      </c>
      <c r="H246" s="173" t="s">
        <v>88</v>
      </c>
      <c r="I246" s="173" t="s">
        <v>151</v>
      </c>
    </row>
    <row r="247" spans="2:9" x14ac:dyDescent="0.25">
      <c r="B247" s="198">
        <v>42627</v>
      </c>
      <c r="C247" s="193">
        <v>50</v>
      </c>
      <c r="D247" s="194">
        <v>25.74</v>
      </c>
      <c r="E247" s="194">
        <v>25.83</v>
      </c>
      <c r="F247" s="194">
        <f>C247*(E247-D247)</f>
        <v>4.4999999999999929</v>
      </c>
      <c r="G247" s="194">
        <f>D247*C247</f>
        <v>1287</v>
      </c>
      <c r="H247" s="208">
        <f>(E247-D247)/D247</f>
        <v>3.4965034965034913E-3</v>
      </c>
      <c r="I247" s="194"/>
    </row>
    <row r="248" spans="2:9" x14ac:dyDescent="0.25">
      <c r="B248" s="198">
        <v>42629</v>
      </c>
      <c r="C248" s="193">
        <v>50</v>
      </c>
      <c r="D248" s="194">
        <v>25.74</v>
      </c>
      <c r="E248" s="194">
        <v>25.54</v>
      </c>
      <c r="F248" s="194">
        <f t="shared" ref="F248:F253" si="87">C248*(E248-D248)</f>
        <v>-9.9999999999999645</v>
      </c>
      <c r="G248" s="194">
        <f t="shared" ref="G248:G253" si="88">D248*C248</f>
        <v>1287</v>
      </c>
      <c r="H248" s="208">
        <f t="shared" ref="H248:H253" si="89">(E248-D248)/D248</f>
        <v>-7.7700077700077431E-3</v>
      </c>
      <c r="I248" s="194"/>
    </row>
    <row r="249" spans="2:9" x14ac:dyDescent="0.25">
      <c r="B249" s="198">
        <v>42636</v>
      </c>
      <c r="C249" s="193">
        <v>50</v>
      </c>
      <c r="D249" s="194">
        <v>25.74</v>
      </c>
      <c r="E249" s="194">
        <v>24.82</v>
      </c>
      <c r="F249" s="194">
        <f t="shared" si="87"/>
        <v>-45.999999999999908</v>
      </c>
      <c r="G249" s="194">
        <f t="shared" si="88"/>
        <v>1287</v>
      </c>
      <c r="H249" s="208">
        <f t="shared" si="89"/>
        <v>-3.5742035742035674E-2</v>
      </c>
      <c r="I249" s="194"/>
    </row>
    <row r="250" spans="2:9" x14ac:dyDescent="0.25">
      <c r="B250" s="198">
        <v>42639</v>
      </c>
      <c r="C250" s="193">
        <v>100</v>
      </c>
      <c r="D250" s="194">
        <v>24.96</v>
      </c>
      <c r="E250" s="194">
        <v>24.14</v>
      </c>
      <c r="F250" s="194">
        <f t="shared" si="87"/>
        <v>-82.000000000000028</v>
      </c>
      <c r="G250" s="194">
        <f t="shared" si="88"/>
        <v>2496</v>
      </c>
      <c r="H250" s="208">
        <f t="shared" si="89"/>
        <v>-3.2852564102564111E-2</v>
      </c>
      <c r="I250" s="194"/>
    </row>
    <row r="251" spans="2:9" x14ac:dyDescent="0.25">
      <c r="B251" s="198">
        <v>42639</v>
      </c>
      <c r="C251" s="193">
        <v>150</v>
      </c>
      <c r="D251" s="194">
        <v>24.8</v>
      </c>
      <c r="E251" s="194">
        <v>24.14</v>
      </c>
      <c r="F251" s="194">
        <f t="shared" si="87"/>
        <v>-99.000000000000028</v>
      </c>
      <c r="G251" s="194">
        <f t="shared" si="88"/>
        <v>3720</v>
      </c>
      <c r="H251" s="208">
        <f t="shared" si="89"/>
        <v>-2.6612903225806457E-2</v>
      </c>
      <c r="I251" s="194"/>
    </row>
    <row r="252" spans="2:9" x14ac:dyDescent="0.25">
      <c r="B252" s="198">
        <v>42640</v>
      </c>
      <c r="C252" s="193">
        <v>150</v>
      </c>
      <c r="D252" s="194">
        <v>24.8</v>
      </c>
      <c r="E252" s="194">
        <v>23.99</v>
      </c>
      <c r="F252" s="194">
        <f t="shared" si="87"/>
        <v>-121.50000000000034</v>
      </c>
      <c r="G252" s="194">
        <f t="shared" si="88"/>
        <v>3720</v>
      </c>
      <c r="H252" s="208">
        <f t="shared" si="89"/>
        <v>-3.2661290322580736E-2</v>
      </c>
      <c r="I252" s="194"/>
    </row>
    <row r="253" spans="2:9" x14ac:dyDescent="0.25">
      <c r="B253" s="198">
        <v>42643</v>
      </c>
      <c r="C253" s="193">
        <v>150</v>
      </c>
      <c r="D253" s="194">
        <v>24.8</v>
      </c>
      <c r="E253" s="194">
        <v>24.46</v>
      </c>
      <c r="F253" s="194">
        <f t="shared" si="87"/>
        <v>-50.999999999999979</v>
      </c>
      <c r="G253" s="194">
        <f t="shared" si="88"/>
        <v>3720</v>
      </c>
      <c r="H253" s="208">
        <f t="shared" si="89"/>
        <v>-1.3709677419354832E-2</v>
      </c>
      <c r="I253" s="194"/>
    </row>
    <row r="254" spans="2:9" x14ac:dyDescent="0.25">
      <c r="B254" s="198">
        <v>42646</v>
      </c>
      <c r="C254" s="193">
        <v>150</v>
      </c>
      <c r="D254" s="194">
        <v>24.8</v>
      </c>
      <c r="E254" s="194">
        <v>24.89</v>
      </c>
      <c r="F254" s="194">
        <f t="shared" ref="F254:F265" si="90">C254*(E254-D254)</f>
        <v>13.499999999999979</v>
      </c>
      <c r="G254" s="194">
        <f t="shared" ref="G254:G265" si="91">D254*C254</f>
        <v>3720</v>
      </c>
      <c r="H254" s="208">
        <f t="shared" ref="H254:H265" si="92">(E254-D254)/D254</f>
        <v>3.6290322580645102E-3</v>
      </c>
      <c r="I254" s="194"/>
    </row>
    <row r="255" spans="2:9" x14ac:dyDescent="0.25">
      <c r="B255" s="198">
        <v>42648</v>
      </c>
      <c r="C255" s="193">
        <v>150</v>
      </c>
      <c r="D255" s="194">
        <v>24.8</v>
      </c>
      <c r="E255" s="194">
        <v>25.07</v>
      </c>
      <c r="F255" s="194">
        <f t="shared" si="90"/>
        <v>40.499999999999936</v>
      </c>
      <c r="G255" s="194">
        <f t="shared" si="91"/>
        <v>3720</v>
      </c>
      <c r="H255" s="208">
        <f t="shared" si="92"/>
        <v>1.0887096774193531E-2</v>
      </c>
      <c r="I255" s="194"/>
    </row>
    <row r="256" spans="2:9" x14ac:dyDescent="0.25">
      <c r="B256" s="198">
        <v>42649</v>
      </c>
      <c r="C256" s="193">
        <v>150</v>
      </c>
      <c r="D256" s="194">
        <v>24.8</v>
      </c>
      <c r="E256" s="194">
        <v>24.85</v>
      </c>
      <c r="F256" s="194">
        <f t="shared" si="90"/>
        <v>7.5000000000001066</v>
      </c>
      <c r="G256" s="194">
        <f t="shared" si="91"/>
        <v>3720</v>
      </c>
      <c r="H256" s="208">
        <f t="shared" si="92"/>
        <v>2.0161290322580931E-3</v>
      </c>
      <c r="I256" s="194"/>
    </row>
    <row r="257" spans="2:9" x14ac:dyDescent="0.25">
      <c r="B257" s="198">
        <v>42650</v>
      </c>
      <c r="C257" s="193">
        <v>150</v>
      </c>
      <c r="D257" s="194">
        <v>24.8</v>
      </c>
      <c r="E257" s="194">
        <v>24.58</v>
      </c>
      <c r="F257" s="194">
        <f t="shared" si="90"/>
        <v>-33.000000000000362</v>
      </c>
      <c r="G257" s="194">
        <f t="shared" si="91"/>
        <v>3720</v>
      </c>
      <c r="H257" s="208">
        <f t="shared" si="92"/>
        <v>-8.8709677419355811E-3</v>
      </c>
      <c r="I257" s="194"/>
    </row>
    <row r="258" spans="2:9" x14ac:dyDescent="0.25">
      <c r="B258" s="198">
        <v>42661</v>
      </c>
      <c r="C258" s="193">
        <v>150</v>
      </c>
      <c r="D258" s="194">
        <v>24.8</v>
      </c>
      <c r="E258" s="194">
        <v>23.39</v>
      </c>
      <c r="F258" s="194">
        <f t="shared" si="90"/>
        <v>-211.50000000000003</v>
      </c>
      <c r="G258" s="194">
        <f t="shared" si="91"/>
        <v>3720</v>
      </c>
      <c r="H258" s="208">
        <f t="shared" si="92"/>
        <v>-5.6854838709677426E-2</v>
      </c>
      <c r="I258" s="194"/>
    </row>
    <row r="259" spans="2:9" x14ac:dyDescent="0.25">
      <c r="B259" s="198">
        <v>42662</v>
      </c>
      <c r="C259" s="193">
        <v>150</v>
      </c>
      <c r="D259" s="194">
        <v>24.8</v>
      </c>
      <c r="E259" s="194">
        <v>23.84</v>
      </c>
      <c r="F259" s="194">
        <f t="shared" si="90"/>
        <v>-144.00000000000011</v>
      </c>
      <c r="G259" s="194">
        <f t="shared" si="91"/>
        <v>3720</v>
      </c>
      <c r="H259" s="208">
        <f t="shared" si="92"/>
        <v>-3.8709677419354875E-2</v>
      </c>
      <c r="I259" s="194"/>
    </row>
    <row r="260" spans="2:9" x14ac:dyDescent="0.25">
      <c r="B260" s="198">
        <v>42664</v>
      </c>
      <c r="C260" s="193">
        <v>150</v>
      </c>
      <c r="D260" s="194">
        <v>24.8</v>
      </c>
      <c r="E260" s="194">
        <v>24.31</v>
      </c>
      <c r="F260" s="194">
        <f t="shared" si="90"/>
        <v>-73.500000000000298</v>
      </c>
      <c r="G260" s="194">
        <f t="shared" si="91"/>
        <v>3720</v>
      </c>
      <c r="H260" s="208">
        <f t="shared" si="92"/>
        <v>-1.975806451612911E-2</v>
      </c>
      <c r="I260" s="194"/>
    </row>
    <row r="261" spans="2:9" x14ac:dyDescent="0.25">
      <c r="B261" s="198">
        <v>42670</v>
      </c>
      <c r="C261" s="193">
        <v>150</v>
      </c>
      <c r="D261" s="194">
        <v>24.626899999999999</v>
      </c>
      <c r="E261" s="194">
        <v>23.93</v>
      </c>
      <c r="F261" s="194">
        <f t="shared" si="90"/>
        <v>-104.53499999999991</v>
      </c>
      <c r="G261" s="194">
        <f t="shared" si="91"/>
        <v>3694.0349999999999</v>
      </c>
      <c r="H261" s="208">
        <f t="shared" si="92"/>
        <v>-2.8298324190214743E-2</v>
      </c>
      <c r="I261" s="194"/>
    </row>
    <row r="262" spans="2:9" x14ac:dyDescent="0.25">
      <c r="B262" s="198">
        <v>42674</v>
      </c>
      <c r="C262" s="193">
        <v>150</v>
      </c>
      <c r="D262" s="194">
        <v>24.626899999999999</v>
      </c>
      <c r="E262" s="194">
        <v>23.53</v>
      </c>
      <c r="F262" s="194">
        <f t="shared" si="90"/>
        <v>-164.53499999999968</v>
      </c>
      <c r="G262" s="194">
        <f t="shared" si="91"/>
        <v>3694.0349999999999</v>
      </c>
      <c r="H262" s="208">
        <f t="shared" si="92"/>
        <v>-4.4540725791715481E-2</v>
      </c>
      <c r="I262" s="194"/>
    </row>
    <row r="263" spans="2:9" x14ac:dyDescent="0.25">
      <c r="B263" s="198">
        <v>42675</v>
      </c>
      <c r="C263" s="193">
        <v>150</v>
      </c>
      <c r="D263" s="194">
        <v>24.264700000000001</v>
      </c>
      <c r="E263" s="194">
        <v>24.32</v>
      </c>
      <c r="F263" s="194">
        <f t="shared" si="90"/>
        <v>8.2949999999998525</v>
      </c>
      <c r="G263" s="194">
        <f t="shared" si="91"/>
        <v>3639.7050000000004</v>
      </c>
      <c r="H263" s="208">
        <f t="shared" si="92"/>
        <v>2.2790308555225912E-3</v>
      </c>
      <c r="I263" s="194"/>
    </row>
    <row r="264" spans="2:9" x14ac:dyDescent="0.25">
      <c r="B264" s="198">
        <v>42676</v>
      </c>
      <c r="C264" s="193">
        <v>150</v>
      </c>
      <c r="D264" s="194">
        <v>24.264700000000001</v>
      </c>
      <c r="E264" s="194">
        <v>24.73</v>
      </c>
      <c r="F264" s="194">
        <f t="shared" si="90"/>
        <v>69.794999999999874</v>
      </c>
      <c r="G264" s="194">
        <f t="shared" si="91"/>
        <v>3639.7050000000004</v>
      </c>
      <c r="H264" s="208">
        <f t="shared" si="92"/>
        <v>1.9176004648728363E-2</v>
      </c>
      <c r="I264" s="194"/>
    </row>
    <row r="265" spans="2:9" x14ac:dyDescent="0.25">
      <c r="B265" s="198">
        <v>42704</v>
      </c>
      <c r="C265" s="193">
        <v>100</v>
      </c>
      <c r="D265" s="194">
        <v>22.507400000000001</v>
      </c>
      <c r="E265" s="194">
        <v>28.4</v>
      </c>
      <c r="F265" s="194">
        <f t="shared" si="90"/>
        <v>589.25999999999976</v>
      </c>
      <c r="G265" s="194">
        <f t="shared" si="91"/>
        <v>2250.7400000000002</v>
      </c>
      <c r="H265" s="208">
        <f t="shared" si="92"/>
        <v>0.26180722784506422</v>
      </c>
      <c r="I265" s="194"/>
    </row>
    <row r="266" spans="2:9" x14ac:dyDescent="0.25">
      <c r="B266" s="198">
        <v>42711</v>
      </c>
      <c r="C266" s="193">
        <v>0</v>
      </c>
      <c r="D266" s="194"/>
      <c r="E266" s="194"/>
      <c r="F266" s="194">
        <v>727.2</v>
      </c>
      <c r="G266" s="194"/>
      <c r="H266" s="208"/>
      <c r="I266" s="194"/>
    </row>
    <row r="267" spans="2:9" x14ac:dyDescent="0.25">
      <c r="B267" s="161"/>
      <c r="C267" s="10"/>
      <c r="D267" s="39"/>
      <c r="E267" s="39"/>
      <c r="F267" s="39"/>
      <c r="G267" s="39"/>
      <c r="H267" s="175"/>
      <c r="I267" s="39"/>
    </row>
    <row r="268" spans="2:9" x14ac:dyDescent="0.25">
      <c r="B268" s="161"/>
      <c r="C268" s="10"/>
      <c r="D268" s="39"/>
      <c r="E268" s="39"/>
      <c r="F268" s="39"/>
      <c r="G268" s="39"/>
      <c r="H268" s="175"/>
      <c r="I268" s="39"/>
    </row>
    <row r="269" spans="2:9" x14ac:dyDescent="0.25">
      <c r="B269" s="161"/>
      <c r="C269" s="10"/>
      <c r="D269" s="39"/>
      <c r="E269" s="39"/>
      <c r="F269" s="39"/>
      <c r="G269" s="39"/>
      <c r="H269" s="175"/>
      <c r="I269" s="39"/>
    </row>
    <row r="273" spans="1:13" x14ac:dyDescent="0.25">
      <c r="L273" t="s">
        <v>65</v>
      </c>
      <c r="M273" s="2">
        <f>K291+M291-F291</f>
        <v>1452.2599999999984</v>
      </c>
    </row>
    <row r="274" spans="1:13" x14ac:dyDescent="0.25">
      <c r="A274" s="375" t="s">
        <v>1</v>
      </c>
      <c r="B274" s="375" t="s">
        <v>2</v>
      </c>
      <c r="C274" s="375" t="s">
        <v>4</v>
      </c>
      <c r="D274" s="376" t="s">
        <v>5</v>
      </c>
      <c r="E274" s="376" t="s">
        <v>94</v>
      </c>
      <c r="F274" s="376" t="s">
        <v>60</v>
      </c>
      <c r="G274" s="375" t="s">
        <v>3</v>
      </c>
      <c r="H274" s="375" t="s">
        <v>6</v>
      </c>
      <c r="I274" s="376" t="s">
        <v>7</v>
      </c>
      <c r="J274" s="376" t="s">
        <v>95</v>
      </c>
      <c r="K274" s="376" t="s">
        <v>61</v>
      </c>
      <c r="L274" s="375" t="s">
        <v>37</v>
      </c>
      <c r="M274" s="375" t="s">
        <v>38</v>
      </c>
    </row>
    <row r="275" spans="1:13" x14ac:dyDescent="0.25">
      <c r="A275" s="377" t="s">
        <v>219</v>
      </c>
      <c r="B275" s="378">
        <v>42548</v>
      </c>
      <c r="C275" s="379">
        <v>100</v>
      </c>
      <c r="D275" s="380">
        <v>25</v>
      </c>
      <c r="E275" s="380">
        <v>0</v>
      </c>
      <c r="F275" s="380">
        <f>D275*C275+E275</f>
        <v>2500</v>
      </c>
      <c r="G275" s="378">
        <v>42584</v>
      </c>
      <c r="H275" s="381">
        <v>100</v>
      </c>
      <c r="I275" s="380">
        <v>27.88</v>
      </c>
      <c r="J275" s="380">
        <v>0.06</v>
      </c>
      <c r="K275" s="380">
        <f>H275*I275-J275</f>
        <v>2787.94</v>
      </c>
      <c r="L275" s="378">
        <v>42719</v>
      </c>
      <c r="M275" s="379">
        <v>41.25</v>
      </c>
    </row>
    <row r="276" spans="1:13" x14ac:dyDescent="0.25">
      <c r="A276" s="382" t="s">
        <v>71</v>
      </c>
      <c r="B276" s="378">
        <v>42627</v>
      </c>
      <c r="C276" s="379">
        <v>50</v>
      </c>
      <c r="D276" s="380">
        <v>25.74</v>
      </c>
      <c r="E276" s="380">
        <v>0</v>
      </c>
      <c r="F276" s="380">
        <v>1287</v>
      </c>
      <c r="G276" s="378" t="s">
        <v>316</v>
      </c>
      <c r="H276" s="381">
        <v>50</v>
      </c>
      <c r="I276" s="380">
        <v>25</v>
      </c>
      <c r="J276" s="380">
        <v>0.03</v>
      </c>
      <c r="K276" s="380">
        <v>1249.97</v>
      </c>
      <c r="L276" s="379"/>
      <c r="M276" s="379"/>
    </row>
    <row r="277" spans="1:13" x14ac:dyDescent="0.25">
      <c r="A277" s="379"/>
      <c r="B277" s="378">
        <v>42639</v>
      </c>
      <c r="C277" s="379">
        <v>50</v>
      </c>
      <c r="D277" s="380">
        <v>24.48</v>
      </c>
      <c r="E277" s="380">
        <v>0</v>
      </c>
      <c r="F277" s="380">
        <v>1224</v>
      </c>
      <c r="G277" s="378" t="s">
        <v>316</v>
      </c>
      <c r="H277" s="381">
        <v>100</v>
      </c>
      <c r="I277" s="380">
        <v>24.88</v>
      </c>
      <c r="J277" s="380">
        <v>0.05</v>
      </c>
      <c r="K277" s="380">
        <v>2487.9499999999998</v>
      </c>
      <c r="L277" s="379"/>
      <c r="M277" s="379"/>
    </row>
    <row r="278" spans="1:13" x14ac:dyDescent="0.25">
      <c r="A278" s="379"/>
      <c r="B278" s="378">
        <v>42639</v>
      </c>
      <c r="C278" s="379">
        <v>50</v>
      </c>
      <c r="D278" s="380">
        <v>24.18</v>
      </c>
      <c r="E278" s="380">
        <v>0</v>
      </c>
      <c r="F278" s="380">
        <v>1209</v>
      </c>
      <c r="G278" s="378" t="s">
        <v>316</v>
      </c>
      <c r="H278" s="381">
        <v>50</v>
      </c>
      <c r="I278" s="380">
        <v>27.78</v>
      </c>
      <c r="J278" s="380">
        <v>0.03</v>
      </c>
      <c r="K278" s="380">
        <v>1388.97</v>
      </c>
      <c r="L278" s="379"/>
      <c r="M278" s="379"/>
    </row>
    <row r="279" spans="1:13" x14ac:dyDescent="0.25">
      <c r="A279" s="379"/>
      <c r="B279" s="378">
        <v>42670</v>
      </c>
      <c r="C279" s="379">
        <v>50</v>
      </c>
      <c r="D279" s="380">
        <v>24.48</v>
      </c>
      <c r="E279" s="380">
        <v>0</v>
      </c>
      <c r="F279" s="380">
        <v>1224</v>
      </c>
      <c r="G279" s="378" t="s">
        <v>316</v>
      </c>
      <c r="H279" s="381">
        <v>100</v>
      </c>
      <c r="I279" s="380">
        <v>29.78</v>
      </c>
      <c r="J279" s="380">
        <v>0.06</v>
      </c>
      <c r="K279" s="380">
        <v>2977.94</v>
      </c>
      <c r="L279" s="379"/>
      <c r="M279" s="379"/>
    </row>
    <row r="280" spans="1:13" x14ac:dyDescent="0.25">
      <c r="A280" s="379"/>
      <c r="B280" s="378" t="s">
        <v>316</v>
      </c>
      <c r="C280" s="379">
        <v>100</v>
      </c>
      <c r="D280" s="380">
        <v>24.34</v>
      </c>
      <c r="E280" s="380">
        <v>-0.37</v>
      </c>
      <c r="F280" s="380">
        <v>2433.63</v>
      </c>
      <c r="G280" s="379"/>
      <c r="H280" s="381"/>
      <c r="I280" s="380"/>
      <c r="J280" s="380"/>
      <c r="K280" s="380"/>
      <c r="L280" s="379"/>
      <c r="M280" s="379"/>
    </row>
    <row r="281" spans="1:13" x14ac:dyDescent="0.25">
      <c r="A281" s="379"/>
      <c r="B281" s="417">
        <v>42723</v>
      </c>
      <c r="C281" s="418">
        <v>100</v>
      </c>
      <c r="D281" s="420">
        <v>27.98</v>
      </c>
      <c r="E281" s="420">
        <v>0</v>
      </c>
      <c r="F281" s="420">
        <f>D281*C281+E281</f>
        <v>2798</v>
      </c>
      <c r="G281" s="417">
        <v>42724</v>
      </c>
      <c r="H281" s="418">
        <v>100</v>
      </c>
      <c r="I281" s="420">
        <v>27.94</v>
      </c>
      <c r="J281" s="420">
        <v>0.06</v>
      </c>
      <c r="K281" s="420">
        <f>I281*H281-J281</f>
        <v>2793.94</v>
      </c>
      <c r="L281" s="379"/>
      <c r="M281" s="379"/>
    </row>
    <row r="282" spans="1:13" x14ac:dyDescent="0.25">
      <c r="A282" s="379"/>
      <c r="B282" s="360">
        <v>42724</v>
      </c>
      <c r="C282" s="7">
        <v>100</v>
      </c>
      <c r="D282" s="43">
        <v>27.58</v>
      </c>
      <c r="E282" s="43">
        <v>0</v>
      </c>
      <c r="F282" s="43">
        <f>D282*C282+E282</f>
        <v>2758</v>
      </c>
      <c r="G282" s="360">
        <v>42758</v>
      </c>
      <c r="H282" s="77">
        <v>100</v>
      </c>
      <c r="I282" s="43">
        <v>31.58</v>
      </c>
      <c r="J282" s="43">
        <v>7.0000000000000007E-2</v>
      </c>
      <c r="K282" s="43">
        <f>H282*I282-J282</f>
        <v>3157.93</v>
      </c>
      <c r="L282" s="379"/>
      <c r="M282" s="379"/>
    </row>
    <row r="283" spans="1:13" x14ac:dyDescent="0.25">
      <c r="A283" s="379"/>
      <c r="B283" s="379"/>
      <c r="C283" s="379"/>
      <c r="D283" s="380"/>
      <c r="E283" s="380"/>
      <c r="F283" s="380"/>
      <c r="G283" s="379"/>
      <c r="H283" s="381"/>
      <c r="I283" s="380"/>
      <c r="J283" s="380"/>
      <c r="K283" s="380"/>
      <c r="L283" s="379"/>
      <c r="M283" s="379"/>
    </row>
    <row r="284" spans="1:13" x14ac:dyDescent="0.25">
      <c r="A284" s="379"/>
      <c r="B284" s="379"/>
      <c r="C284" s="379"/>
      <c r="D284" s="380"/>
      <c r="E284" s="380"/>
      <c r="F284" s="380"/>
      <c r="G284" s="379"/>
      <c r="H284" s="381"/>
      <c r="I284" s="380"/>
      <c r="J284" s="380"/>
      <c r="K284" s="380"/>
      <c r="L284" s="379"/>
      <c r="M284" s="379"/>
    </row>
    <row r="285" spans="1:13" x14ac:dyDescent="0.25">
      <c r="A285" s="379"/>
      <c r="B285" s="379"/>
      <c r="C285" s="379"/>
      <c r="D285" s="380"/>
      <c r="E285" s="380"/>
      <c r="F285" s="380"/>
      <c r="G285" s="379"/>
      <c r="H285" s="381"/>
      <c r="I285" s="380"/>
      <c r="J285" s="380"/>
      <c r="K285" s="380"/>
      <c r="L285" s="379"/>
      <c r="M285" s="379"/>
    </row>
    <row r="286" spans="1:13" x14ac:dyDescent="0.25">
      <c r="A286" s="379"/>
      <c r="B286" s="379"/>
      <c r="C286" s="379"/>
      <c r="D286" s="380"/>
      <c r="E286" s="380"/>
      <c r="F286" s="380"/>
      <c r="G286" s="379"/>
      <c r="H286" s="381"/>
      <c r="I286" s="380"/>
      <c r="J286" s="380"/>
      <c r="K286" s="380"/>
      <c r="L286" s="379"/>
      <c r="M286" s="379"/>
    </row>
    <row r="287" spans="1:13" x14ac:dyDescent="0.25">
      <c r="A287" s="379"/>
      <c r="B287" s="379"/>
      <c r="C287" s="379"/>
      <c r="D287" s="380"/>
      <c r="E287" s="380"/>
      <c r="F287" s="380"/>
      <c r="G287" s="379"/>
      <c r="H287" s="381"/>
      <c r="I287" s="380"/>
      <c r="J287" s="380"/>
      <c r="K287" s="380"/>
      <c r="L287" s="379"/>
      <c r="M287" s="379"/>
    </row>
    <row r="288" spans="1:13" x14ac:dyDescent="0.25">
      <c r="A288" s="379"/>
      <c r="B288" s="379"/>
      <c r="C288" s="379"/>
      <c r="D288" s="380"/>
      <c r="E288" s="380"/>
      <c r="F288" s="380"/>
      <c r="G288" s="379"/>
      <c r="H288" s="381"/>
      <c r="I288" s="380"/>
      <c r="J288" s="380"/>
      <c r="K288" s="380"/>
      <c r="L288" s="379"/>
      <c r="M288" s="379"/>
    </row>
    <row r="289" spans="1:13" x14ac:dyDescent="0.25">
      <c r="A289" s="379"/>
      <c r="B289" s="379"/>
      <c r="C289" s="379"/>
      <c r="D289" s="380"/>
      <c r="E289" s="380"/>
      <c r="F289" s="380"/>
      <c r="G289" s="379"/>
      <c r="H289" s="381"/>
      <c r="I289" s="380"/>
      <c r="J289" s="380"/>
      <c r="K289" s="380"/>
      <c r="L289" s="379"/>
      <c r="M289" s="379"/>
    </row>
    <row r="290" spans="1:13" x14ac:dyDescent="0.25">
      <c r="A290" s="379"/>
      <c r="B290" s="379"/>
      <c r="C290" s="379"/>
      <c r="D290" s="380"/>
      <c r="E290" s="380"/>
      <c r="F290" s="380"/>
      <c r="G290" s="379"/>
      <c r="H290" s="379"/>
      <c r="I290" s="380"/>
      <c r="J290" s="380"/>
      <c r="K290" s="380"/>
      <c r="L290" s="379"/>
      <c r="M290" s="379"/>
    </row>
    <row r="291" spans="1:13" x14ac:dyDescent="0.25">
      <c r="A291" s="60" t="s">
        <v>81</v>
      </c>
      <c r="B291" s="61"/>
      <c r="C291" s="61">
        <f>SUM(C275:C290)</f>
        <v>600</v>
      </c>
      <c r="D291" s="62"/>
      <c r="E291" s="62"/>
      <c r="F291" s="62">
        <f>SUM(F275:F290)</f>
        <v>15433.630000000001</v>
      </c>
      <c r="G291" s="61"/>
      <c r="H291" s="462">
        <f>SUM(H275:H290)</f>
        <v>600</v>
      </c>
      <c r="I291" s="62"/>
      <c r="J291" s="62"/>
      <c r="K291" s="62">
        <f>SUM(K275:K290)</f>
        <v>16844.64</v>
      </c>
      <c r="L291" s="61"/>
      <c r="M291" s="62">
        <f>SUM(M275:M283)</f>
        <v>41.25</v>
      </c>
    </row>
    <row r="292" spans="1:13" ht="15.75" thickBot="1" x14ac:dyDescent="0.3">
      <c r="A292" s="383" t="s">
        <v>189</v>
      </c>
      <c r="B292" s="384"/>
      <c r="C292" s="385">
        <f>SumByColor($A$69,C275:C290)</f>
        <v>100</v>
      </c>
      <c r="D292" s="385"/>
      <c r="E292" s="385"/>
      <c r="F292" s="386">
        <f>SumByColor($A$69,F275:F290)</f>
        <v>2758</v>
      </c>
      <c r="G292" s="385"/>
      <c r="H292" s="385">
        <f>SumByColor($A$69,H275:H290)</f>
        <v>100</v>
      </c>
      <c r="I292" s="385"/>
      <c r="J292" s="385"/>
      <c r="K292" s="386">
        <f>SumByColor($A$69,K275:K290)</f>
        <v>3158</v>
      </c>
      <c r="L292" s="385"/>
      <c r="M292" s="386">
        <f>SumByColor($A$69,M275:M290)</f>
        <v>0</v>
      </c>
    </row>
  </sheetData>
  <mergeCells count="1">
    <mergeCell ref="O18:P18"/>
  </mergeCells>
  <conditionalFormatting sqref="O19:O39">
    <cfRule type="colorScale" priority="225">
      <colorScale>
        <cfvo type="min"/>
        <cfvo type="percentile" val="50"/>
        <cfvo type="max"/>
        <color rgb="FFF8696B"/>
        <color rgb="FFFFEB84"/>
        <color rgb="FF63BE7B"/>
      </colorScale>
    </cfRule>
  </conditionalFormatting>
  <conditionalFormatting sqref="P19:P39">
    <cfRule type="colorScale" priority="224">
      <colorScale>
        <cfvo type="min"/>
        <cfvo type="percentile" val="50"/>
        <cfvo type="max"/>
        <color rgb="FFF8696B"/>
        <color rgb="FFFFEB84"/>
        <color rgb="FF63BE7B"/>
      </colorScale>
    </cfRule>
  </conditionalFormatting>
  <conditionalFormatting sqref="F244:F245 H244:H245 H251:H269 F251:F269 K121:K128 H121:H128 F121:F128 F142 H142 H151 F151 K138:K151 F173 H173 K173 K203 H203 F203 K205:K206 H205:H206 F205:F206 K210 K227:K228 F210 H210 H227:H228 F227:F228">
    <cfRule type="expression" dxfId="1787" priority="220">
      <formula>F121&gt;0</formula>
    </cfRule>
    <cfRule type="expression" dxfId="1786" priority="221">
      <formula>F121&lt;0</formula>
    </cfRule>
  </conditionalFormatting>
  <conditionalFormatting sqref="Q7">
    <cfRule type="expression" dxfId="1785" priority="208">
      <formula>Q7&gt;0</formula>
    </cfRule>
    <cfRule type="expression" dxfId="1784" priority="209">
      <formula>Q7&lt;0</formula>
    </cfRule>
  </conditionalFormatting>
  <conditionalFormatting sqref="Q8">
    <cfRule type="expression" dxfId="1783" priority="206">
      <formula>Q8&gt;0</formula>
    </cfRule>
    <cfRule type="expression" dxfId="1782" priority="207">
      <formula>Q8&lt;0</formula>
    </cfRule>
  </conditionalFormatting>
  <conditionalFormatting sqref="F231:F243">
    <cfRule type="expression" dxfId="1781" priority="204">
      <formula>F231&gt;0</formula>
    </cfRule>
    <cfRule type="expression" dxfId="1780" priority="205">
      <formula>F231&lt;0</formula>
    </cfRule>
  </conditionalFormatting>
  <conditionalFormatting sqref="H231:H243">
    <cfRule type="expression" dxfId="1779" priority="202">
      <formula>H231&gt;0</formula>
    </cfRule>
    <cfRule type="expression" dxfId="1778" priority="203">
      <formula>H231&lt;0</formula>
    </cfRule>
  </conditionalFormatting>
  <conditionalFormatting sqref="H247:H250">
    <cfRule type="expression" dxfId="1777" priority="198">
      <formula>H247&gt;0</formula>
    </cfRule>
    <cfRule type="expression" dxfId="1776" priority="199">
      <formula>H247&lt;0</formula>
    </cfRule>
  </conditionalFormatting>
  <conditionalFormatting sqref="F247:F250">
    <cfRule type="expression" dxfId="1775" priority="200">
      <formula>F247&gt;0</formula>
    </cfRule>
    <cfRule type="expression" dxfId="1774" priority="201">
      <formula>F247&lt;0</formula>
    </cfRule>
  </conditionalFormatting>
  <conditionalFormatting sqref="M273">
    <cfRule type="expression" dxfId="1773" priority="196">
      <formula>M273&gt;0</formula>
    </cfRule>
    <cfRule type="expression" dxfId="1772" priority="197">
      <formula>M273&lt;0</formula>
    </cfRule>
  </conditionalFormatting>
  <conditionalFormatting sqref="F73:F74 F81:F118">
    <cfRule type="expression" dxfId="1771" priority="194">
      <formula>F73&gt;0</formula>
    </cfRule>
    <cfRule type="expression" dxfId="1770" priority="195">
      <formula>F73&lt;0</formula>
    </cfRule>
  </conditionalFormatting>
  <conditionalFormatting sqref="H73:H74 H81:H118">
    <cfRule type="expression" dxfId="1769" priority="192">
      <formula>H73&gt;0</formula>
    </cfRule>
    <cfRule type="expression" dxfId="1768" priority="193">
      <formula>H73&lt;0</formula>
    </cfRule>
  </conditionalFormatting>
  <conditionalFormatting sqref="Q10">
    <cfRule type="expression" dxfId="1767" priority="190">
      <formula>Q10&gt;0</formula>
    </cfRule>
    <cfRule type="expression" dxfId="1766" priority="191">
      <formula>Q10&lt;0</formula>
    </cfRule>
  </conditionalFormatting>
  <conditionalFormatting sqref="F75:F80">
    <cfRule type="expression" dxfId="1765" priority="188">
      <formula>F75&gt;0</formula>
    </cfRule>
    <cfRule type="expression" dxfId="1764" priority="189">
      <formula>F75&lt;0</formula>
    </cfRule>
  </conditionalFormatting>
  <conditionalFormatting sqref="H75:H80">
    <cfRule type="expression" dxfId="1763" priority="186">
      <formula>H75&gt;0</formula>
    </cfRule>
    <cfRule type="expression" dxfId="1762" priority="187">
      <formula>H75&lt;0</formula>
    </cfRule>
  </conditionalFormatting>
  <conditionalFormatting sqref="K78:K85">
    <cfRule type="expression" dxfId="1761" priority="184">
      <formula>K78&gt;0</formula>
    </cfRule>
    <cfRule type="expression" dxfId="1760" priority="185">
      <formula>K78&lt;0</formula>
    </cfRule>
  </conditionalFormatting>
  <conditionalFormatting sqref="K86:K118">
    <cfRule type="expression" dxfId="1759" priority="182">
      <formula>K86&gt;0</formula>
    </cfRule>
    <cfRule type="expression" dxfId="1758" priority="183">
      <formula>K86&lt;0</formula>
    </cfRule>
  </conditionalFormatting>
  <conditionalFormatting sqref="F119:F120">
    <cfRule type="expression" dxfId="1757" priority="179">
      <formula>F119&gt;0</formula>
    </cfRule>
    <cfRule type="expression" dxfId="1756" priority="180">
      <formula>F119&lt;0</formula>
    </cfRule>
  </conditionalFormatting>
  <conditionalFormatting sqref="H119:H120">
    <cfRule type="expression" dxfId="1755" priority="177">
      <formula>H119&gt;0</formula>
    </cfRule>
    <cfRule type="expression" dxfId="1754" priority="178">
      <formula>H119&lt;0</formula>
    </cfRule>
  </conditionalFormatting>
  <conditionalFormatting sqref="K119:K120">
    <cfRule type="expression" dxfId="1753" priority="175">
      <formula>K119&gt;0</formula>
    </cfRule>
    <cfRule type="expression" dxfId="1752" priority="176">
      <formula>K119&lt;0</formula>
    </cfRule>
  </conditionalFormatting>
  <conditionalFormatting sqref="F129:F131 H129:H131 K129:K131">
    <cfRule type="expression" dxfId="1751" priority="171">
      <formula>F129&gt;0</formula>
    </cfRule>
    <cfRule type="expression" dxfId="1750" priority="172">
      <formula>F129&lt;0</formula>
    </cfRule>
  </conditionalFormatting>
  <conditionalFormatting sqref="L121:L127 L228">
    <cfRule type="expression" dxfId="1749" priority="169">
      <formula>L121&gt;0</formula>
    </cfRule>
    <cfRule type="expression" dxfId="1748" priority="170">
      <formula>L121&lt;0</formula>
    </cfRule>
  </conditionalFormatting>
  <conditionalFormatting sqref="L78:L85">
    <cfRule type="expression" dxfId="1747" priority="167">
      <formula>L78&gt;0</formula>
    </cfRule>
    <cfRule type="expression" dxfId="1746" priority="168">
      <formula>L78&lt;0</formula>
    </cfRule>
  </conditionalFormatting>
  <conditionalFormatting sqref="L86:L118">
    <cfRule type="expression" dxfId="1745" priority="165">
      <formula>L86&gt;0</formula>
    </cfRule>
    <cfRule type="expression" dxfId="1744" priority="166">
      <formula>L86&lt;0</formula>
    </cfRule>
  </conditionalFormatting>
  <conditionalFormatting sqref="L119:L120">
    <cfRule type="expression" dxfId="1743" priority="163">
      <formula>L119&gt;0</formula>
    </cfRule>
    <cfRule type="expression" dxfId="1742" priority="164">
      <formula>L119&lt;0</formula>
    </cfRule>
  </conditionalFormatting>
  <conditionalFormatting sqref="L129:L131">
    <cfRule type="expression" dxfId="1741" priority="161">
      <formula>L129&gt;0</formula>
    </cfRule>
    <cfRule type="expression" dxfId="1740" priority="162">
      <formula>L129&lt;0</formula>
    </cfRule>
  </conditionalFormatting>
  <conditionalFormatting sqref="F138:F141 H138:H141">
    <cfRule type="expression" dxfId="1739" priority="159">
      <formula>F138&gt;0</formula>
    </cfRule>
    <cfRule type="expression" dxfId="1738" priority="160">
      <formula>F138&lt;0</formula>
    </cfRule>
  </conditionalFormatting>
  <conditionalFormatting sqref="K135:K137 F135:F137 H135:H137">
    <cfRule type="expression" dxfId="1737" priority="155">
      <formula>F135&gt;0</formula>
    </cfRule>
    <cfRule type="expression" dxfId="1736" priority="156">
      <formula>F135&lt;0</formula>
    </cfRule>
  </conditionalFormatting>
  <conditionalFormatting sqref="L135:L136">
    <cfRule type="expression" dxfId="1735" priority="153">
      <formula>L135&gt;0</formula>
    </cfRule>
    <cfRule type="expression" dxfId="1734" priority="154">
      <formula>L135&lt;0</formula>
    </cfRule>
  </conditionalFormatting>
  <conditionalFormatting sqref="K132:K134 F132:F134 H132:H134">
    <cfRule type="expression" dxfId="1733" priority="151">
      <formula>F132&gt;0</formula>
    </cfRule>
    <cfRule type="expression" dxfId="1732" priority="152">
      <formula>F132&lt;0</formula>
    </cfRule>
  </conditionalFormatting>
  <conditionalFormatting sqref="L133:L134">
    <cfRule type="expression" dxfId="1731" priority="149">
      <formula>L133&gt;0</formula>
    </cfRule>
    <cfRule type="expression" dxfId="1730" priority="150">
      <formula>L133&lt;0</formula>
    </cfRule>
  </conditionalFormatting>
  <conditionalFormatting sqref="H143:H146 F143:F146">
    <cfRule type="expression" dxfId="1729" priority="143">
      <formula>F143&gt;0</formula>
    </cfRule>
    <cfRule type="expression" dxfId="1728" priority="144">
      <formula>F143&lt;0</formula>
    </cfRule>
  </conditionalFormatting>
  <conditionalFormatting sqref="H147:H150 F147:F150">
    <cfRule type="expression" dxfId="1727" priority="139">
      <formula>F147&gt;0</formula>
    </cfRule>
    <cfRule type="expression" dxfId="1726" priority="140">
      <formula>F147&lt;0</formula>
    </cfRule>
  </conditionalFormatting>
  <conditionalFormatting sqref="F152:F157 H152:H157 K152:K157">
    <cfRule type="expression" dxfId="1725" priority="135">
      <formula>F152&gt;0</formula>
    </cfRule>
    <cfRule type="expression" dxfId="1724" priority="136">
      <formula>F152&lt;0</formula>
    </cfRule>
  </conditionalFormatting>
  <conditionalFormatting sqref="L156:L157">
    <cfRule type="expression" dxfId="1723" priority="129">
      <formula>L156&gt;0</formula>
    </cfRule>
    <cfRule type="expression" dxfId="1722" priority="130">
      <formula>L156&lt;0</formula>
    </cfRule>
  </conditionalFormatting>
  <conditionalFormatting sqref="F158:F160 H158:H160 K158:K161">
    <cfRule type="expression" dxfId="1721" priority="127">
      <formula>F158&gt;0</formula>
    </cfRule>
    <cfRule type="expression" dxfId="1720" priority="128">
      <formula>F158&lt;0</formula>
    </cfRule>
  </conditionalFormatting>
  <conditionalFormatting sqref="F161:F163 H161:H163 K162:K163">
    <cfRule type="expression" dxfId="1719" priority="123">
      <formula>F161&gt;0</formula>
    </cfRule>
    <cfRule type="expression" dxfId="1718" priority="124">
      <formula>F161&lt;0</formula>
    </cfRule>
  </conditionalFormatting>
  <conditionalFormatting sqref="F164:F166 H164:H166 K164:K166">
    <cfRule type="expression" dxfId="1717" priority="119">
      <formula>F164&gt;0</formula>
    </cfRule>
    <cfRule type="expression" dxfId="1716" priority="120">
      <formula>F164&lt;0</formula>
    </cfRule>
  </conditionalFormatting>
  <conditionalFormatting sqref="F167:F169 H167:H169 K167:K169">
    <cfRule type="expression" dxfId="1715" priority="115">
      <formula>F167&gt;0</formula>
    </cfRule>
    <cfRule type="expression" dxfId="1714" priority="116">
      <formula>F167&lt;0</formula>
    </cfRule>
  </conditionalFormatting>
  <conditionalFormatting sqref="F170:F172 H170:H172 K170:K172">
    <cfRule type="expression" dxfId="1713" priority="111">
      <formula>F170&gt;0</formula>
    </cfRule>
    <cfRule type="expression" dxfId="1712" priority="112">
      <formula>F170&lt;0</formula>
    </cfRule>
  </conditionalFormatting>
  <conditionalFormatting sqref="K174:K176 H174:H176 F174:F176">
    <cfRule type="expression" dxfId="1711" priority="107">
      <formula>F174&gt;0</formula>
    </cfRule>
    <cfRule type="expression" dxfId="1710" priority="108">
      <formula>F174&lt;0</formula>
    </cfRule>
  </conditionalFormatting>
  <conditionalFormatting sqref="K177 H177 F177">
    <cfRule type="expression" dxfId="1709" priority="103">
      <formula>F177&gt;0</formula>
    </cfRule>
    <cfRule type="expression" dxfId="1708" priority="104">
      <formula>F177&lt;0</formula>
    </cfRule>
  </conditionalFormatting>
  <conditionalFormatting sqref="H178:H180 F178:F180 K178:K180">
    <cfRule type="expression" dxfId="1707" priority="99">
      <formula>F178&gt;0</formula>
    </cfRule>
    <cfRule type="expression" dxfId="1706" priority="100">
      <formula>F178&lt;0</formula>
    </cfRule>
  </conditionalFormatting>
  <conditionalFormatting sqref="H182:H184 F182:F184 K182:K184">
    <cfRule type="expression" dxfId="1705" priority="91">
      <formula>F182&gt;0</formula>
    </cfRule>
    <cfRule type="expression" dxfId="1704" priority="92">
      <formula>F182&lt;0</formula>
    </cfRule>
  </conditionalFormatting>
  <conditionalFormatting sqref="K181 H181 F181">
    <cfRule type="expression" dxfId="1703" priority="87">
      <formula>F181&gt;0</formula>
    </cfRule>
    <cfRule type="expression" dxfId="1702" priority="88">
      <formula>F181&lt;0</formula>
    </cfRule>
  </conditionalFormatting>
  <conditionalFormatting sqref="K185:K186 H185:H186 F185:F186">
    <cfRule type="expression" dxfId="1701" priority="83">
      <formula>F185&gt;0</formula>
    </cfRule>
    <cfRule type="expression" dxfId="1700" priority="84">
      <formula>F185&lt;0</formula>
    </cfRule>
  </conditionalFormatting>
  <conditionalFormatting sqref="L186">
    <cfRule type="expression" dxfId="1699" priority="81">
      <formula>L186&gt;0</formula>
    </cfRule>
    <cfRule type="expression" dxfId="1698" priority="82">
      <formula>L186&lt;0</formula>
    </cfRule>
  </conditionalFormatting>
  <conditionalFormatting sqref="K187:K189 H187:H189 F187:F189">
    <cfRule type="expression" dxfId="1697" priority="79">
      <formula>F187&gt;0</formula>
    </cfRule>
    <cfRule type="expression" dxfId="1696" priority="80">
      <formula>F187&lt;0</formula>
    </cfRule>
  </conditionalFormatting>
  <conditionalFormatting sqref="L188">
    <cfRule type="expression" dxfId="1695" priority="77">
      <formula>L188&gt;0</formula>
    </cfRule>
    <cfRule type="expression" dxfId="1694" priority="78">
      <formula>L188&lt;0</formula>
    </cfRule>
  </conditionalFormatting>
  <conditionalFormatting sqref="K190 H190 F190">
    <cfRule type="expression" dxfId="1693" priority="75">
      <formula>F190&gt;0</formula>
    </cfRule>
    <cfRule type="expression" dxfId="1692" priority="76">
      <formula>F190&lt;0</formula>
    </cfRule>
  </conditionalFormatting>
  <conditionalFormatting sqref="L190">
    <cfRule type="expression" dxfId="1691" priority="73">
      <formula>L190&gt;0</formula>
    </cfRule>
    <cfRule type="expression" dxfId="1690" priority="74">
      <formula>L190&lt;0</formula>
    </cfRule>
  </conditionalFormatting>
  <conditionalFormatting sqref="H195:H197 F195:F197 K195:K197">
    <cfRule type="expression" dxfId="1689" priority="71">
      <formula>F195&gt;0</formula>
    </cfRule>
    <cfRule type="expression" dxfId="1688" priority="72">
      <formula>F195&lt;0</formula>
    </cfRule>
  </conditionalFormatting>
  <conditionalFormatting sqref="L196">
    <cfRule type="expression" dxfId="1687" priority="69">
      <formula>L196&gt;0</formula>
    </cfRule>
    <cfRule type="expression" dxfId="1686" priority="70">
      <formula>L196&lt;0</formula>
    </cfRule>
  </conditionalFormatting>
  <conditionalFormatting sqref="K194 H194 F194">
    <cfRule type="expression" dxfId="1685" priority="67">
      <formula>F194&gt;0</formula>
    </cfRule>
    <cfRule type="expression" dxfId="1684" priority="68">
      <formula>F194&lt;0</formula>
    </cfRule>
  </conditionalFormatting>
  <conditionalFormatting sqref="L194">
    <cfRule type="expression" dxfId="1683" priority="65">
      <formula>L194&gt;0</formula>
    </cfRule>
    <cfRule type="expression" dxfId="1682" priority="66">
      <formula>L194&lt;0</formula>
    </cfRule>
  </conditionalFormatting>
  <conditionalFormatting sqref="K191:K193 H191:H193 F191:F193">
    <cfRule type="expression" dxfId="1681" priority="63">
      <formula>F191&gt;0</formula>
    </cfRule>
    <cfRule type="expression" dxfId="1680" priority="64">
      <formula>F191&lt;0</formula>
    </cfRule>
  </conditionalFormatting>
  <conditionalFormatting sqref="L192">
    <cfRule type="expression" dxfId="1679" priority="61">
      <formula>L192&gt;0</formula>
    </cfRule>
    <cfRule type="expression" dxfId="1678" priority="62">
      <formula>L192&lt;0</formula>
    </cfRule>
  </conditionalFormatting>
  <conditionalFormatting sqref="K202 H202 F202">
    <cfRule type="expression" dxfId="1677" priority="59">
      <formula>F202&gt;0</formula>
    </cfRule>
    <cfRule type="expression" dxfId="1676" priority="60">
      <formula>F202&lt;0</formula>
    </cfRule>
  </conditionalFormatting>
  <conditionalFormatting sqref="L202">
    <cfRule type="expression" dxfId="1675" priority="57">
      <formula>L202&gt;0</formula>
    </cfRule>
    <cfRule type="expression" dxfId="1674" priority="58">
      <formula>L202&lt;0</formula>
    </cfRule>
  </conditionalFormatting>
  <conditionalFormatting sqref="K199:K201 H199:H201 F199:F201">
    <cfRule type="expression" dxfId="1673" priority="55">
      <formula>F199&gt;0</formula>
    </cfRule>
    <cfRule type="expression" dxfId="1672" priority="56">
      <formula>F199&lt;0</formula>
    </cfRule>
  </conditionalFormatting>
  <conditionalFormatting sqref="K198 H198 F198">
    <cfRule type="expression" dxfId="1671" priority="51">
      <formula>F198&gt;0</formula>
    </cfRule>
    <cfRule type="expression" dxfId="1670" priority="52">
      <formula>F198&lt;0</formula>
    </cfRule>
  </conditionalFormatting>
  <conditionalFormatting sqref="L198">
    <cfRule type="expression" dxfId="1669" priority="49">
      <formula>L198&gt;0</formula>
    </cfRule>
    <cfRule type="expression" dxfId="1668" priority="50">
      <formula>L198&lt;0</formula>
    </cfRule>
  </conditionalFormatting>
  <conditionalFormatting sqref="L210">
    <cfRule type="expression" dxfId="1667" priority="45">
      <formula>L210&gt;0</formula>
    </cfRule>
    <cfRule type="expression" dxfId="1666" priority="46">
      <formula>L210&lt;0</formula>
    </cfRule>
  </conditionalFormatting>
  <conditionalFormatting sqref="F204 H204 K204">
    <cfRule type="expression" dxfId="1665" priority="43">
      <formula>F204&gt;0</formula>
    </cfRule>
    <cfRule type="expression" dxfId="1664" priority="44">
      <formula>F204&lt;0</formula>
    </cfRule>
  </conditionalFormatting>
  <conditionalFormatting sqref="L206">
    <cfRule type="expression" dxfId="1663" priority="41">
      <formula>L206&gt;0</formula>
    </cfRule>
    <cfRule type="expression" dxfId="1662" priority="42">
      <formula>L206&lt;0</formula>
    </cfRule>
  </conditionalFormatting>
  <conditionalFormatting sqref="L204">
    <cfRule type="expression" dxfId="1661" priority="39">
      <formula>L204&gt;0</formula>
    </cfRule>
    <cfRule type="expression" dxfId="1660" priority="40">
      <formula>L204&lt;0</formula>
    </cfRule>
  </conditionalFormatting>
  <conditionalFormatting sqref="K207:K209 F207:F209 H207:H209">
    <cfRule type="expression" dxfId="1659" priority="37">
      <formula>F207&gt;0</formula>
    </cfRule>
    <cfRule type="expression" dxfId="1658" priority="38">
      <formula>F207&lt;0</formula>
    </cfRule>
  </conditionalFormatting>
  <conditionalFormatting sqref="L209">
    <cfRule type="expression" dxfId="1657" priority="35">
      <formula>L209&gt;0</formula>
    </cfRule>
    <cfRule type="expression" dxfId="1656" priority="36">
      <formula>L209&lt;0</formula>
    </cfRule>
  </conditionalFormatting>
  <conditionalFormatting sqref="L207">
    <cfRule type="expression" dxfId="1655" priority="33">
      <formula>L207&gt;0</formula>
    </cfRule>
    <cfRule type="expression" dxfId="1654" priority="34">
      <formula>L207&lt;0</formula>
    </cfRule>
  </conditionalFormatting>
  <conditionalFormatting sqref="K215:K217 H215:H217 F215:F217">
    <cfRule type="expression" dxfId="1653" priority="31">
      <formula>F215&gt;0</formula>
    </cfRule>
    <cfRule type="expression" dxfId="1652" priority="32">
      <formula>F215&lt;0</formula>
    </cfRule>
  </conditionalFormatting>
  <conditionalFormatting sqref="L216">
    <cfRule type="expression" dxfId="1651" priority="29">
      <formula>L216&gt;0</formula>
    </cfRule>
    <cfRule type="expression" dxfId="1650" priority="30">
      <formula>L216&lt;0</formula>
    </cfRule>
  </conditionalFormatting>
  <conditionalFormatting sqref="K214 H214 F214">
    <cfRule type="expression" dxfId="1649" priority="27">
      <formula>F214&gt;0</formula>
    </cfRule>
    <cfRule type="expression" dxfId="1648" priority="28">
      <formula>F214&lt;0</formula>
    </cfRule>
  </conditionalFormatting>
  <conditionalFormatting sqref="L214">
    <cfRule type="expression" dxfId="1647" priority="25">
      <formula>L214&gt;0</formula>
    </cfRule>
    <cfRule type="expression" dxfId="1646" priority="26">
      <formula>L214&lt;0</formula>
    </cfRule>
  </conditionalFormatting>
  <conditionalFormatting sqref="K211:K213 H211:H213 F211:F213">
    <cfRule type="expression" dxfId="1645" priority="23">
      <formula>F211&gt;0</formula>
    </cfRule>
    <cfRule type="expression" dxfId="1644" priority="24">
      <formula>F211&lt;0</formula>
    </cfRule>
  </conditionalFormatting>
  <conditionalFormatting sqref="L212">
    <cfRule type="expression" dxfId="1643" priority="21">
      <formula>L212&gt;0</formula>
    </cfRule>
    <cfRule type="expression" dxfId="1642" priority="22">
      <formula>L212&lt;0</formula>
    </cfRule>
  </conditionalFormatting>
  <conditionalFormatting sqref="K225:K226 H225:H226 F225:F226">
    <cfRule type="expression" dxfId="1641" priority="19">
      <formula>F225&gt;0</formula>
    </cfRule>
    <cfRule type="expression" dxfId="1640" priority="20">
      <formula>F225&lt;0</formula>
    </cfRule>
  </conditionalFormatting>
  <conditionalFormatting sqref="L226">
    <cfRule type="expression" dxfId="1639" priority="17">
      <formula>L226&gt;0</formula>
    </cfRule>
    <cfRule type="expression" dxfId="1638" priority="18">
      <formula>L226&lt;0</formula>
    </cfRule>
  </conditionalFormatting>
  <conditionalFormatting sqref="K219:K221 H219:H221 F219:F221">
    <cfRule type="expression" dxfId="1637" priority="15">
      <formula>F219&gt;0</formula>
    </cfRule>
    <cfRule type="expression" dxfId="1636" priority="16">
      <formula>F219&lt;0</formula>
    </cfRule>
  </conditionalFormatting>
  <conditionalFormatting sqref="L220">
    <cfRule type="expression" dxfId="1635" priority="13">
      <formula>L220&gt;0</formula>
    </cfRule>
    <cfRule type="expression" dxfId="1634" priority="14">
      <formula>L220&lt;0</formula>
    </cfRule>
  </conditionalFormatting>
  <conditionalFormatting sqref="K218 H218 F218">
    <cfRule type="expression" dxfId="1633" priority="11">
      <formula>F218&gt;0</formula>
    </cfRule>
    <cfRule type="expression" dxfId="1632" priority="12">
      <formula>F218&lt;0</formula>
    </cfRule>
  </conditionalFormatting>
  <conditionalFormatting sqref="L218">
    <cfRule type="expression" dxfId="1631" priority="9">
      <formula>L218&gt;0</formula>
    </cfRule>
    <cfRule type="expression" dxfId="1630" priority="10">
      <formula>L218&lt;0</formula>
    </cfRule>
  </conditionalFormatting>
  <conditionalFormatting sqref="K223:K224 H223:H224 F223:F224">
    <cfRule type="expression" dxfId="1629" priority="7">
      <formula>F223&gt;0</formula>
    </cfRule>
    <cfRule type="expression" dxfId="1628" priority="8">
      <formula>F223&lt;0</formula>
    </cfRule>
  </conditionalFormatting>
  <conditionalFormatting sqref="L224">
    <cfRule type="expression" dxfId="1627" priority="5">
      <formula>L224&gt;0</formula>
    </cfRule>
    <cfRule type="expression" dxfId="1626" priority="6">
      <formula>L224&lt;0</formula>
    </cfRule>
  </conditionalFormatting>
  <conditionalFormatting sqref="K222 H222 F222">
    <cfRule type="expression" dxfId="1625" priority="3">
      <formula>F222&gt;0</formula>
    </cfRule>
    <cfRule type="expression" dxfId="1624" priority="4">
      <formula>F222&lt;0</formula>
    </cfRule>
  </conditionalFormatting>
  <conditionalFormatting sqref="L222">
    <cfRule type="expression" dxfId="1623" priority="1">
      <formula>L222&gt;0</formula>
    </cfRule>
    <cfRule type="expression" dxfId="1622" priority="2">
      <formula>L222&lt;0</formula>
    </cfRule>
  </conditionalFormatting>
  <hyperlinks>
    <hyperlink ref="A3" location="ACTIVE!A1" display="Back"/>
    <hyperlink ref="A276" location="ACTIVE!A1" display="Back"/>
    <hyperlink ref="V3" r:id="rId1"/>
  </hyperlinks>
  <pageMargins left="0.7" right="0.7" top="0.75" bottom="0.75" header="0.3" footer="0.3"/>
  <pageSetup orientation="portrait" r:id="rId2"/>
  <drawing r:id="rId3"/>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M970"/>
  <sheetViews>
    <sheetView zoomScaleNormal="100" workbookViewId="0">
      <pane ySplit="1" topLeftCell="A374" activePane="bottomLeft" state="frozen"/>
      <selection activeCell="M34" sqref="M34"/>
      <selection pane="bottomLeft"/>
    </sheetView>
  </sheetViews>
  <sheetFormatPr defaultRowHeight="15" x14ac:dyDescent="0.25"/>
  <cols>
    <col min="1" max="1" width="11.140625" customWidth="1"/>
    <col min="2" max="2" width="10.7109375" style="29" bestFit="1" customWidth="1"/>
    <col min="3" max="3" width="9.140625" customWidth="1"/>
    <col min="4" max="4" width="9.140625" style="75"/>
    <col min="5" max="5" width="9.140625" style="2"/>
    <col min="6" max="6" width="14.85546875" style="2" bestFit="1" customWidth="1"/>
    <col min="7" max="7" width="10.7109375" bestFit="1" customWidth="1"/>
    <col min="8" max="8" width="10.5703125" style="67" bestFit="1" customWidth="1"/>
    <col min="9" max="9" width="15.28515625" style="75" customWidth="1"/>
    <col min="10" max="10" width="9.140625" style="2"/>
    <col min="11" max="11" width="10.5703125" style="2" bestFit="1" customWidth="1"/>
    <col min="12" max="12" width="9.5703125" bestFit="1" customWidth="1"/>
    <col min="13" max="13" width="9.5703125" style="2" bestFit="1" customWidth="1"/>
    <col min="15" max="15" width="17" customWidth="1"/>
    <col min="17" max="17" width="12.7109375" bestFit="1" customWidth="1"/>
    <col min="18" max="18" width="10.42578125" bestFit="1" customWidth="1"/>
    <col min="20" max="20" width="15.7109375" customWidth="1"/>
    <col min="21" max="21" width="11.7109375" style="118" customWidth="1"/>
    <col min="22" max="22" width="141.7109375" style="648" customWidth="1"/>
    <col min="23" max="23" width="6" bestFit="1" customWidth="1"/>
    <col min="24" max="24" width="11.140625" bestFit="1" customWidth="1"/>
    <col min="25" max="25" width="10.28515625" bestFit="1" customWidth="1"/>
    <col min="27" max="27" width="15" customWidth="1"/>
    <col min="31" max="31" width="31.7109375" bestFit="1" customWidth="1"/>
    <col min="32" max="32" width="8.7109375" bestFit="1" customWidth="1"/>
    <col min="33" max="33" width="12" bestFit="1" customWidth="1"/>
    <col min="34" max="34" width="12.5703125" bestFit="1" customWidth="1"/>
    <col min="38" max="38" width="9.7109375" bestFit="1" customWidth="1"/>
    <col min="39" max="39" width="13.28515625" bestFit="1" customWidth="1"/>
  </cols>
  <sheetData>
    <row r="1" spans="1:39" s="11" customFormat="1" x14ac:dyDescent="0.25">
      <c r="A1" s="11" t="s">
        <v>1</v>
      </c>
      <c r="B1" s="34" t="s">
        <v>2</v>
      </c>
      <c r="C1" s="11" t="s">
        <v>4</v>
      </c>
      <c r="D1" s="73" t="s">
        <v>5</v>
      </c>
      <c r="E1" s="20" t="s">
        <v>90</v>
      </c>
      <c r="F1" s="20" t="s">
        <v>60</v>
      </c>
      <c r="G1" s="34" t="s">
        <v>3</v>
      </c>
      <c r="H1" s="71" t="s">
        <v>6</v>
      </c>
      <c r="I1" s="73" t="s">
        <v>7</v>
      </c>
      <c r="J1" s="20" t="s">
        <v>89</v>
      </c>
      <c r="K1" s="20" t="s">
        <v>61</v>
      </c>
      <c r="L1" s="11" t="s">
        <v>37</v>
      </c>
      <c r="M1" s="20" t="s">
        <v>38</v>
      </c>
      <c r="U1" s="729" t="s">
        <v>70</v>
      </c>
      <c r="V1" s="79"/>
    </row>
    <row r="2" spans="1:39" x14ac:dyDescent="0.25">
      <c r="A2" s="6" t="s">
        <v>50</v>
      </c>
      <c r="B2" s="397">
        <v>42761</v>
      </c>
      <c r="C2" s="7">
        <v>500</v>
      </c>
      <c r="D2" s="74">
        <v>17.79</v>
      </c>
      <c r="E2" s="43">
        <v>0</v>
      </c>
      <c r="F2" s="43">
        <f t="shared" ref="F2:F62" si="0">C2*D2+E2</f>
        <v>8895</v>
      </c>
      <c r="G2" s="397">
        <v>42795</v>
      </c>
      <c r="H2" s="77">
        <v>500</v>
      </c>
      <c r="I2" s="74">
        <v>16.63</v>
      </c>
      <c r="J2" s="43">
        <v>0.18</v>
      </c>
      <c r="K2" s="43">
        <f>H2*I2-J2</f>
        <v>8314.82</v>
      </c>
      <c r="L2" s="69">
        <v>42805</v>
      </c>
      <c r="M2" s="43">
        <v>330</v>
      </c>
      <c r="O2" s="11" t="s">
        <v>57</v>
      </c>
      <c r="Q2" s="77">
        <f>C158-H158</f>
        <v>6500</v>
      </c>
      <c r="U2"/>
      <c r="V2" t="s">
        <v>1295</v>
      </c>
      <c r="W2" s="741"/>
      <c r="X2" s="647"/>
      <c r="AA2" s="2"/>
      <c r="AD2" s="2"/>
      <c r="AG2" s="2"/>
      <c r="AI2" s="2"/>
      <c r="AM2" s="2"/>
    </row>
    <row r="3" spans="1:39" x14ac:dyDescent="0.25">
      <c r="A3" s="22" t="s">
        <v>71</v>
      </c>
      <c r="B3" s="397">
        <v>42761</v>
      </c>
      <c r="C3" s="7">
        <v>500</v>
      </c>
      <c r="D3" s="74">
        <v>17.78</v>
      </c>
      <c r="E3" s="43">
        <v>-2.5</v>
      </c>
      <c r="F3" s="43">
        <f t="shared" si="0"/>
        <v>8887.5</v>
      </c>
      <c r="G3" s="397">
        <v>42803</v>
      </c>
      <c r="H3" s="77">
        <v>200</v>
      </c>
      <c r="I3" s="74">
        <v>15.6</v>
      </c>
      <c r="J3" s="43">
        <v>7.0000000000000007E-2</v>
      </c>
      <c r="K3" s="43">
        <f t="shared" ref="K3:K112" si="1">H3*I3-J3</f>
        <v>3119.93</v>
      </c>
      <c r="L3" s="69">
        <v>42846</v>
      </c>
      <c r="M3" s="43">
        <v>3.25</v>
      </c>
      <c r="O3" s="11" t="s">
        <v>58</v>
      </c>
      <c r="Q3" s="402">
        <f>IF(Q2=0, Q4, (F158-K158-M158)/Q2)</f>
        <v>10.632299999999994</v>
      </c>
      <c r="U3"/>
      <c r="V3"/>
      <c r="W3" s="741"/>
      <c r="AA3" s="2"/>
      <c r="AD3" s="2"/>
      <c r="AG3" s="2"/>
      <c r="AI3" s="2"/>
    </row>
    <row r="4" spans="1:39" ht="15" customHeight="1" x14ac:dyDescent="0.25">
      <c r="B4" s="397">
        <v>42762</v>
      </c>
      <c r="C4" s="7">
        <v>100</v>
      </c>
      <c r="D4" s="74">
        <v>17.28</v>
      </c>
      <c r="E4" s="43">
        <v>0</v>
      </c>
      <c r="F4" s="43">
        <f t="shared" si="0"/>
        <v>1728</v>
      </c>
      <c r="G4" s="397">
        <v>42803</v>
      </c>
      <c r="H4" s="77">
        <v>500</v>
      </c>
      <c r="I4" s="74">
        <v>15.85</v>
      </c>
      <c r="J4" s="43">
        <v>0.17</v>
      </c>
      <c r="K4" s="43">
        <f t="shared" si="1"/>
        <v>7924.83</v>
      </c>
      <c r="L4" s="69">
        <v>42899</v>
      </c>
      <c r="M4" s="43">
        <v>320</v>
      </c>
      <c r="O4" s="11" t="s">
        <v>66</v>
      </c>
      <c r="Q4" s="53">
        <v>12.59</v>
      </c>
      <c r="R4" s="415">
        <v>-2.5999999999999999E-3</v>
      </c>
      <c r="U4"/>
      <c r="V4"/>
      <c r="AA4" s="2"/>
      <c r="AD4" s="2"/>
      <c r="AG4" s="2"/>
      <c r="AI4" s="2"/>
    </row>
    <row r="5" spans="1:39" x14ac:dyDescent="0.25">
      <c r="B5" s="397">
        <v>42765</v>
      </c>
      <c r="C5" s="7">
        <v>100</v>
      </c>
      <c r="D5" s="74">
        <v>16.8</v>
      </c>
      <c r="E5" s="43">
        <v>0</v>
      </c>
      <c r="F5" s="43">
        <f t="shared" si="0"/>
        <v>1680</v>
      </c>
      <c r="G5" s="397">
        <v>42808</v>
      </c>
      <c r="H5" s="77">
        <v>500</v>
      </c>
      <c r="I5" s="74">
        <v>15.18</v>
      </c>
      <c r="J5" s="43">
        <v>0.17</v>
      </c>
      <c r="K5" s="43">
        <f t="shared" si="1"/>
        <v>7589.83</v>
      </c>
      <c r="L5" s="1">
        <v>42989</v>
      </c>
      <c r="M5" s="43">
        <v>400</v>
      </c>
      <c r="N5" s="1"/>
      <c r="O5" s="11" t="s">
        <v>67</v>
      </c>
      <c r="Q5" s="3">
        <f>Q4*Q2</f>
        <v>81835</v>
      </c>
      <c r="U5"/>
      <c r="V5"/>
      <c r="AA5" s="2"/>
      <c r="AD5" s="2"/>
      <c r="AG5" s="2"/>
      <c r="AI5" s="2"/>
    </row>
    <row r="6" spans="1:39" x14ac:dyDescent="0.25">
      <c r="B6" s="397">
        <v>42765</v>
      </c>
      <c r="C6" s="7">
        <v>500</v>
      </c>
      <c r="D6" s="74">
        <v>16.649999999999999</v>
      </c>
      <c r="E6" s="43">
        <v>0</v>
      </c>
      <c r="F6" s="43">
        <f t="shared" si="0"/>
        <v>8325</v>
      </c>
      <c r="G6" s="397">
        <v>42823</v>
      </c>
      <c r="H6" s="77">
        <v>400</v>
      </c>
      <c r="I6" s="74">
        <v>15.48</v>
      </c>
      <c r="J6" s="43">
        <v>0.13</v>
      </c>
      <c r="K6" s="43">
        <f t="shared" si="1"/>
        <v>6191.87</v>
      </c>
      <c r="L6" s="1">
        <v>43081</v>
      </c>
      <c r="M6" s="43">
        <v>285</v>
      </c>
      <c r="O6" s="11" t="s">
        <v>64</v>
      </c>
      <c r="Q6" s="2">
        <f>Q3*Q2</f>
        <v>69109.949999999953</v>
      </c>
      <c r="U6" s="118">
        <v>42804</v>
      </c>
      <c r="V6" s="741" t="s">
        <v>608</v>
      </c>
      <c r="AA6" s="2"/>
      <c r="AD6" s="2"/>
      <c r="AG6" s="2"/>
      <c r="AI6" s="2"/>
    </row>
    <row r="7" spans="1:39" x14ac:dyDescent="0.25">
      <c r="B7" s="397">
        <v>42765</v>
      </c>
      <c r="C7" s="7">
        <v>200</v>
      </c>
      <c r="D7" s="74">
        <v>16.48</v>
      </c>
      <c r="E7" s="43">
        <v>0</v>
      </c>
      <c r="F7" s="43">
        <f t="shared" si="0"/>
        <v>3296</v>
      </c>
      <c r="G7" s="397">
        <v>42830</v>
      </c>
      <c r="H7" s="77">
        <v>300</v>
      </c>
      <c r="I7" s="74">
        <v>16.62</v>
      </c>
      <c r="J7" s="43">
        <v>0.11</v>
      </c>
      <c r="K7" s="43">
        <f t="shared" si="1"/>
        <v>4985.8900000000003</v>
      </c>
      <c r="L7" s="1">
        <v>43172</v>
      </c>
      <c r="M7" s="43">
        <v>275</v>
      </c>
      <c r="O7" s="11" t="s">
        <v>175</v>
      </c>
      <c r="Q7" s="2">
        <f>Q10+Q8</f>
        <v>27340.621000001673</v>
      </c>
      <c r="R7">
        <v>6000</v>
      </c>
      <c r="U7" s="118">
        <v>42866</v>
      </c>
      <c r="V7" s="741" t="s">
        <v>609</v>
      </c>
      <c r="AA7" s="2"/>
      <c r="AD7" s="2"/>
      <c r="AG7" s="2"/>
      <c r="AI7" s="2"/>
    </row>
    <row r="8" spans="1:39" x14ac:dyDescent="0.25">
      <c r="A8" s="520"/>
      <c r="B8" s="397">
        <v>42766</v>
      </c>
      <c r="C8" s="7">
        <v>100</v>
      </c>
      <c r="D8" s="74">
        <v>16.59</v>
      </c>
      <c r="E8" s="43">
        <v>0</v>
      </c>
      <c r="F8" s="43">
        <f t="shared" si="0"/>
        <v>1659</v>
      </c>
      <c r="G8" s="397">
        <v>42863</v>
      </c>
      <c r="H8" s="77">
        <v>300</v>
      </c>
      <c r="I8" s="74">
        <v>14.275</v>
      </c>
      <c r="J8" s="43">
        <v>0.19</v>
      </c>
      <c r="K8" s="43">
        <f t="shared" si="1"/>
        <v>4282.3100000000004</v>
      </c>
      <c r="L8" s="1">
        <v>43262</v>
      </c>
      <c r="M8" s="43">
        <v>100</v>
      </c>
      <c r="O8" s="11" t="s">
        <v>177</v>
      </c>
      <c r="P8" s="33"/>
      <c r="Q8" s="2">
        <f>K158+M158-F158+Q2*Q4</f>
        <v>12725.050000000047</v>
      </c>
      <c r="U8" s="118">
        <v>43088</v>
      </c>
      <c r="V8" s="648" t="s">
        <v>708</v>
      </c>
      <c r="AA8" s="2"/>
      <c r="AD8" s="2"/>
      <c r="AG8" s="2"/>
      <c r="AI8" s="2"/>
    </row>
    <row r="9" spans="1:39" x14ac:dyDescent="0.25">
      <c r="A9" s="520"/>
      <c r="B9" s="397">
        <v>42766</v>
      </c>
      <c r="C9" s="7">
        <v>200</v>
      </c>
      <c r="D9" s="74">
        <v>16.32</v>
      </c>
      <c r="E9" s="43">
        <v>0</v>
      </c>
      <c r="F9" s="43">
        <f t="shared" si="0"/>
        <v>3264</v>
      </c>
      <c r="G9" s="397">
        <v>42873</v>
      </c>
      <c r="H9" s="77">
        <v>300</v>
      </c>
      <c r="I9" s="74">
        <v>14.38</v>
      </c>
      <c r="J9" s="43">
        <v>0.09</v>
      </c>
      <c r="K9" s="43">
        <f t="shared" si="1"/>
        <v>4313.91</v>
      </c>
      <c r="L9" s="1">
        <v>43353</v>
      </c>
      <c r="M9" s="43">
        <v>115</v>
      </c>
      <c r="O9" s="11" t="s">
        <v>202</v>
      </c>
      <c r="Q9" s="131">
        <f>IF(Q2=0, 0, Q8/Q6)</f>
        <v>0.18412761114716558</v>
      </c>
      <c r="AA9" s="2"/>
      <c r="AD9" s="2"/>
      <c r="AG9" s="2"/>
      <c r="AI9" s="2"/>
    </row>
    <row r="10" spans="1:39" ht="15" customHeight="1" x14ac:dyDescent="0.25">
      <c r="A10" s="520"/>
      <c r="B10" s="397">
        <v>42767</v>
      </c>
      <c r="C10" s="7">
        <v>500</v>
      </c>
      <c r="D10" s="74">
        <v>16.559999999999999</v>
      </c>
      <c r="E10" s="43">
        <v>-0.5</v>
      </c>
      <c r="F10" s="43">
        <f t="shared" si="0"/>
        <v>8279.5</v>
      </c>
      <c r="G10" s="397">
        <v>42874</v>
      </c>
      <c r="H10" s="77">
        <v>300</v>
      </c>
      <c r="I10" s="74">
        <v>14.58</v>
      </c>
      <c r="J10" s="43">
        <v>0.1</v>
      </c>
      <c r="K10" s="43">
        <f t="shared" si="1"/>
        <v>4373.8999999999996</v>
      </c>
      <c r="L10" s="1">
        <v>43444</v>
      </c>
      <c r="M10" s="43">
        <v>110</v>
      </c>
      <c r="O10" s="11" t="s">
        <v>201</v>
      </c>
      <c r="P10" s="33"/>
      <c r="Q10" s="2">
        <f>M705</f>
        <v>14615.571000001626</v>
      </c>
      <c r="U10" s="118">
        <v>43103</v>
      </c>
      <c r="V10" s="648" t="s">
        <v>762</v>
      </c>
      <c r="AA10" s="2"/>
      <c r="AD10" s="2"/>
      <c r="AG10" s="2"/>
      <c r="AI10" s="2"/>
    </row>
    <row r="11" spans="1:39" x14ac:dyDescent="0.25">
      <c r="A11" s="520"/>
      <c r="B11" s="397">
        <v>42767</v>
      </c>
      <c r="C11" s="7">
        <v>500</v>
      </c>
      <c r="D11" s="74">
        <v>16.29</v>
      </c>
      <c r="E11" s="43">
        <v>0</v>
      </c>
      <c r="F11" s="43">
        <f t="shared" si="0"/>
        <v>8145</v>
      </c>
      <c r="G11" s="397">
        <v>42944</v>
      </c>
      <c r="H11" s="77">
        <v>200</v>
      </c>
      <c r="I11" s="74">
        <v>12.58</v>
      </c>
      <c r="J11" s="43">
        <v>1.06</v>
      </c>
      <c r="K11" s="43">
        <f t="shared" si="1"/>
        <v>2514.94</v>
      </c>
      <c r="L11" s="1">
        <v>43535</v>
      </c>
      <c r="M11" s="43">
        <v>90</v>
      </c>
      <c r="O11" s="11" t="s">
        <v>173</v>
      </c>
      <c r="P11" s="33"/>
      <c r="Q11" s="131">
        <f>R11*4/Q4</f>
        <v>1.5885623510722795E-2</v>
      </c>
      <c r="R11">
        <f>0.05</f>
        <v>0.05</v>
      </c>
      <c r="V11" s="648" t="s">
        <v>763</v>
      </c>
      <c r="AA11" s="2"/>
      <c r="AD11" s="2"/>
      <c r="AG11" s="2"/>
      <c r="AI11" s="2"/>
    </row>
    <row r="12" spans="1:39" x14ac:dyDescent="0.25">
      <c r="A12" s="520"/>
      <c r="B12" s="397">
        <v>42767</v>
      </c>
      <c r="C12" s="7">
        <v>200</v>
      </c>
      <c r="D12" s="74">
        <v>16.399999999999999</v>
      </c>
      <c r="E12" s="43">
        <v>0</v>
      </c>
      <c r="F12" s="43">
        <f t="shared" si="0"/>
        <v>3279.9999999999995</v>
      </c>
      <c r="G12" s="397">
        <v>42950</v>
      </c>
      <c r="H12" s="77">
        <v>600</v>
      </c>
      <c r="I12" s="74">
        <v>13.1</v>
      </c>
      <c r="J12" s="43">
        <v>0.18</v>
      </c>
      <c r="K12" s="43">
        <f t="shared" si="1"/>
        <v>7859.82</v>
      </c>
      <c r="L12" s="1">
        <v>43626</v>
      </c>
      <c r="M12" s="43">
        <v>140</v>
      </c>
      <c r="O12" s="11" t="s">
        <v>875</v>
      </c>
      <c r="Q12" s="1" t="s">
        <v>1361</v>
      </c>
      <c r="AA12" s="2"/>
      <c r="AD12" s="2"/>
      <c r="AG12" s="2"/>
      <c r="AI12" s="2"/>
    </row>
    <row r="13" spans="1:39" x14ac:dyDescent="0.25">
      <c r="A13" s="520"/>
      <c r="B13" s="397">
        <v>42768</v>
      </c>
      <c r="C13" s="7">
        <v>200</v>
      </c>
      <c r="D13" s="74">
        <v>16.54</v>
      </c>
      <c r="E13" s="43">
        <v>0.4</v>
      </c>
      <c r="F13" s="43">
        <f t="shared" si="0"/>
        <v>3308.4</v>
      </c>
      <c r="G13" s="397">
        <v>42978</v>
      </c>
      <c r="H13" s="77">
        <v>300</v>
      </c>
      <c r="I13" s="74">
        <v>11.2</v>
      </c>
      <c r="J13" s="43">
        <v>0.08</v>
      </c>
      <c r="K13" s="43">
        <f t="shared" si="1"/>
        <v>3359.92</v>
      </c>
      <c r="L13" s="1">
        <v>43718</v>
      </c>
      <c r="M13" s="43">
        <v>325</v>
      </c>
      <c r="O13" s="11" t="s">
        <v>901</v>
      </c>
      <c r="Q13" s="2">
        <f>Q4/0.63</f>
        <v>19.984126984126984</v>
      </c>
      <c r="U13" s="118">
        <v>43106</v>
      </c>
      <c r="V13" s="659" t="s">
        <v>783</v>
      </c>
      <c r="AA13" s="2"/>
      <c r="AD13" s="2"/>
      <c r="AG13" s="2"/>
      <c r="AI13" s="2"/>
    </row>
    <row r="14" spans="1:39" x14ac:dyDescent="0.25">
      <c r="A14" s="520"/>
      <c r="B14" s="397">
        <v>42768</v>
      </c>
      <c r="C14" s="7">
        <v>500</v>
      </c>
      <c r="D14" s="74">
        <v>16.32</v>
      </c>
      <c r="E14" s="43">
        <v>0</v>
      </c>
      <c r="F14" s="43">
        <f t="shared" si="0"/>
        <v>8160</v>
      </c>
      <c r="G14" s="397">
        <v>42984</v>
      </c>
      <c r="H14" s="77">
        <v>400</v>
      </c>
      <c r="I14" s="74">
        <v>11.62</v>
      </c>
      <c r="J14" s="43">
        <v>0.11</v>
      </c>
      <c r="K14" s="43">
        <f t="shared" si="1"/>
        <v>4647.8900000000003</v>
      </c>
      <c r="L14" s="1">
        <v>43809</v>
      </c>
      <c r="M14" s="43">
        <v>350</v>
      </c>
      <c r="O14" s="11" t="s">
        <v>966</v>
      </c>
      <c r="Q14" s="29">
        <v>43471</v>
      </c>
      <c r="AA14" s="2"/>
      <c r="AD14" s="2"/>
      <c r="AG14" s="2"/>
      <c r="AI14" s="2"/>
    </row>
    <row r="15" spans="1:39" x14ac:dyDescent="0.25">
      <c r="B15" s="397">
        <v>42772</v>
      </c>
      <c r="C15" s="7">
        <v>400</v>
      </c>
      <c r="D15" s="74">
        <v>16.72</v>
      </c>
      <c r="E15" s="43">
        <v>0</v>
      </c>
      <c r="F15" s="43">
        <f t="shared" si="0"/>
        <v>6688</v>
      </c>
      <c r="G15" s="397">
        <v>42986</v>
      </c>
      <c r="H15" s="77">
        <v>400</v>
      </c>
      <c r="I15" s="74">
        <v>11.3</v>
      </c>
      <c r="J15" s="43">
        <v>0.1</v>
      </c>
      <c r="K15" s="43">
        <f t="shared" si="1"/>
        <v>4519.8999999999996</v>
      </c>
      <c r="U15" s="118">
        <v>43117</v>
      </c>
      <c r="V15" s="648" t="s">
        <v>819</v>
      </c>
      <c r="AA15" s="2"/>
      <c r="AD15" s="2"/>
      <c r="AG15" s="2"/>
      <c r="AI15" s="2"/>
    </row>
    <row r="16" spans="1:39" x14ac:dyDescent="0.25">
      <c r="B16" s="397">
        <v>42772</v>
      </c>
      <c r="C16" s="7">
        <v>300</v>
      </c>
      <c r="D16" s="74">
        <v>16.48</v>
      </c>
      <c r="E16" s="43">
        <v>0</v>
      </c>
      <c r="F16" s="43">
        <f t="shared" si="0"/>
        <v>4944</v>
      </c>
      <c r="G16" s="397">
        <v>42996</v>
      </c>
      <c r="H16" s="77">
        <v>200</v>
      </c>
      <c r="I16" s="74">
        <v>12.08</v>
      </c>
      <c r="J16" s="43">
        <v>0.06</v>
      </c>
      <c r="K16" s="43">
        <f t="shared" si="1"/>
        <v>2415.94</v>
      </c>
      <c r="AA16" s="2"/>
      <c r="AD16" s="2"/>
      <c r="AG16" s="2"/>
      <c r="AI16" s="2"/>
    </row>
    <row r="17" spans="2:39" x14ac:dyDescent="0.25">
      <c r="B17" s="397">
        <v>42773</v>
      </c>
      <c r="C17" s="7">
        <v>300</v>
      </c>
      <c r="D17" s="74">
        <v>16.079999999999998</v>
      </c>
      <c r="E17" s="43">
        <v>0</v>
      </c>
      <c r="F17" s="43">
        <f t="shared" si="0"/>
        <v>4823.9999999999991</v>
      </c>
      <c r="G17" s="397">
        <v>43000</v>
      </c>
      <c r="H17" s="77">
        <v>500</v>
      </c>
      <c r="I17" s="74">
        <v>12.83</v>
      </c>
      <c r="J17" s="43">
        <v>0.15</v>
      </c>
      <c r="K17" s="43">
        <f t="shared" si="1"/>
        <v>6414.85</v>
      </c>
      <c r="U17" s="118">
        <v>43120</v>
      </c>
      <c r="V17" s="648" t="s">
        <v>825</v>
      </c>
      <c r="AA17" s="2"/>
      <c r="AD17" s="2"/>
      <c r="AG17" s="2"/>
      <c r="AI17" s="2"/>
      <c r="AM17" s="2"/>
    </row>
    <row r="18" spans="2:39" x14ac:dyDescent="0.25">
      <c r="B18" s="397">
        <v>42773</v>
      </c>
      <c r="C18" s="7">
        <v>300</v>
      </c>
      <c r="D18" s="74">
        <v>15.85</v>
      </c>
      <c r="E18" s="43">
        <v>0</v>
      </c>
      <c r="F18" s="43">
        <f t="shared" si="0"/>
        <v>4755</v>
      </c>
      <c r="G18" s="397">
        <v>43000</v>
      </c>
      <c r="H18" s="77">
        <v>500</v>
      </c>
      <c r="I18" s="74">
        <v>12.96</v>
      </c>
      <c r="J18" s="43">
        <v>0.15</v>
      </c>
      <c r="K18" s="43">
        <f t="shared" si="1"/>
        <v>6479.85</v>
      </c>
      <c r="V18" s="648" t="s">
        <v>828</v>
      </c>
      <c r="Y18" s="29"/>
      <c r="AA18" s="2"/>
      <c r="AD18" s="2"/>
      <c r="AG18" s="2"/>
      <c r="AI18" s="2"/>
    </row>
    <row r="19" spans="2:39" x14ac:dyDescent="0.25">
      <c r="B19" s="397">
        <v>42782</v>
      </c>
      <c r="C19" s="7">
        <v>300</v>
      </c>
      <c r="D19" s="74">
        <v>16.28</v>
      </c>
      <c r="E19" s="43">
        <v>0</v>
      </c>
      <c r="F19" s="43">
        <f t="shared" si="0"/>
        <v>4884</v>
      </c>
      <c r="G19" s="397">
        <v>43004</v>
      </c>
      <c r="H19" s="77">
        <v>300</v>
      </c>
      <c r="I19" s="74">
        <v>13.22</v>
      </c>
      <c r="J19" s="43">
        <v>0.09</v>
      </c>
      <c r="K19" s="43">
        <f t="shared" si="1"/>
        <v>3965.91</v>
      </c>
      <c r="Y19" s="29"/>
      <c r="AA19" s="2"/>
      <c r="AD19" s="2"/>
      <c r="AG19" s="2"/>
      <c r="AI19" s="2"/>
    </row>
    <row r="20" spans="2:39" x14ac:dyDescent="0.25">
      <c r="B20" s="397">
        <v>42788</v>
      </c>
      <c r="C20" s="7">
        <v>300</v>
      </c>
      <c r="D20" s="74">
        <v>15.74</v>
      </c>
      <c r="E20" s="43">
        <v>0</v>
      </c>
      <c r="F20" s="43">
        <f t="shared" si="0"/>
        <v>4722</v>
      </c>
      <c r="G20" s="397">
        <v>43005</v>
      </c>
      <c r="H20" s="77">
        <v>300</v>
      </c>
      <c r="I20" s="74">
        <v>13.78</v>
      </c>
      <c r="J20" s="43">
        <v>0.1</v>
      </c>
      <c r="K20" s="43">
        <f t="shared" si="1"/>
        <v>4133.8999999999996</v>
      </c>
      <c r="U20" s="118">
        <v>43131</v>
      </c>
      <c r="V20" s="648" t="s">
        <v>827</v>
      </c>
      <c r="Y20" s="29"/>
      <c r="AA20" s="2"/>
      <c r="AD20" s="2"/>
      <c r="AG20" s="2"/>
      <c r="AI20" s="2"/>
    </row>
    <row r="21" spans="2:39" x14ac:dyDescent="0.25">
      <c r="B21" s="397">
        <v>42796</v>
      </c>
      <c r="C21" s="7">
        <v>500</v>
      </c>
      <c r="D21" s="74">
        <v>16.25</v>
      </c>
      <c r="E21" s="43">
        <v>0</v>
      </c>
      <c r="F21" s="43">
        <f t="shared" si="0"/>
        <v>8125</v>
      </c>
      <c r="G21" s="397">
        <v>43011</v>
      </c>
      <c r="H21" s="77">
        <v>300</v>
      </c>
      <c r="I21" s="74">
        <v>13.72</v>
      </c>
      <c r="J21" s="43">
        <v>0.1</v>
      </c>
      <c r="K21" s="43">
        <f t="shared" si="1"/>
        <v>4115.8999999999996</v>
      </c>
      <c r="U21" s="730">
        <v>43136</v>
      </c>
      <c r="V21" s="648" t="s">
        <v>826</v>
      </c>
      <c r="Y21" s="29"/>
      <c r="AA21" s="2"/>
      <c r="AD21" s="2"/>
      <c r="AG21" s="2"/>
      <c r="AI21" s="2"/>
    </row>
    <row r="22" spans="2:39" x14ac:dyDescent="0.25">
      <c r="B22" s="397">
        <v>42802</v>
      </c>
      <c r="C22" s="7">
        <v>200</v>
      </c>
      <c r="D22" s="74">
        <v>15.38</v>
      </c>
      <c r="E22" s="43">
        <v>0</v>
      </c>
      <c r="F22" s="43">
        <f t="shared" si="0"/>
        <v>3076</v>
      </c>
      <c r="G22" s="397">
        <v>43040</v>
      </c>
      <c r="H22" s="77">
        <v>400</v>
      </c>
      <c r="I22" s="74">
        <v>14.48</v>
      </c>
      <c r="J22" s="43">
        <v>0.13</v>
      </c>
      <c r="K22" s="43">
        <f t="shared" si="1"/>
        <v>5791.87</v>
      </c>
      <c r="U22" s="730"/>
      <c r="Y22" s="29"/>
      <c r="AA22" s="2"/>
      <c r="AD22" s="2"/>
      <c r="AG22" s="2"/>
      <c r="AI22" s="2"/>
    </row>
    <row r="23" spans="2:39" ht="20.25" thickBot="1" x14ac:dyDescent="0.35">
      <c r="B23" s="397">
        <v>42802</v>
      </c>
      <c r="C23" s="7">
        <v>500</v>
      </c>
      <c r="D23" s="74">
        <v>14.9</v>
      </c>
      <c r="E23" s="43">
        <v>0</v>
      </c>
      <c r="F23" s="43">
        <f t="shared" si="0"/>
        <v>7450</v>
      </c>
      <c r="G23" s="397">
        <v>43042</v>
      </c>
      <c r="H23" s="77">
        <v>300</v>
      </c>
      <c r="I23" s="74">
        <v>15.58</v>
      </c>
      <c r="J23" s="43">
        <v>0.11</v>
      </c>
      <c r="K23" s="43">
        <f t="shared" si="1"/>
        <v>4673.8900000000003</v>
      </c>
      <c r="O23" s="886" t="s">
        <v>78</v>
      </c>
      <c r="P23" s="886"/>
      <c r="U23" s="730">
        <v>43139</v>
      </c>
      <c r="V23" s="648" t="s">
        <v>853</v>
      </c>
      <c r="Y23" s="29"/>
      <c r="AA23" s="2"/>
      <c r="AD23" s="2"/>
      <c r="AG23" s="2"/>
      <c r="AI23" s="2"/>
    </row>
    <row r="24" spans="2:39" ht="15.75" thickTop="1" x14ac:dyDescent="0.25">
      <c r="B24" s="397">
        <v>42808</v>
      </c>
      <c r="C24" s="7">
        <v>500</v>
      </c>
      <c r="D24" s="74">
        <v>14.88</v>
      </c>
      <c r="E24" s="43">
        <v>0</v>
      </c>
      <c r="F24" s="43">
        <f t="shared" si="0"/>
        <v>7440</v>
      </c>
      <c r="G24" s="397">
        <v>43045</v>
      </c>
      <c r="H24" s="77">
        <v>100</v>
      </c>
      <c r="I24" s="74">
        <v>16.329999999999998</v>
      </c>
      <c r="J24" s="43">
        <v>0.04</v>
      </c>
      <c r="K24" s="43">
        <f t="shared" si="1"/>
        <v>1632.9599999999998</v>
      </c>
      <c r="O24" s="78">
        <v>1.22</v>
      </c>
      <c r="P24" s="78">
        <f>O24*$Q$4</f>
        <v>15.3598</v>
      </c>
      <c r="U24" s="730"/>
      <c r="Y24" s="29"/>
      <c r="AA24" s="2"/>
      <c r="AD24" s="2"/>
      <c r="AG24" s="2"/>
      <c r="AI24" s="2"/>
    </row>
    <row r="25" spans="2:39" x14ac:dyDescent="0.25">
      <c r="B25" s="397">
        <v>42815</v>
      </c>
      <c r="C25" s="7">
        <v>400</v>
      </c>
      <c r="D25" s="74">
        <v>15.25</v>
      </c>
      <c r="E25" s="43">
        <v>0</v>
      </c>
      <c r="F25" s="43">
        <f t="shared" si="0"/>
        <v>6100</v>
      </c>
      <c r="G25" s="397">
        <v>43063</v>
      </c>
      <c r="H25" s="77">
        <v>400</v>
      </c>
      <c r="I25" s="74">
        <v>15.2</v>
      </c>
      <c r="J25" s="43">
        <v>0.14000000000000001</v>
      </c>
      <c r="K25" s="43">
        <f t="shared" si="1"/>
        <v>6079.86</v>
      </c>
      <c r="O25" s="78">
        <v>1.21</v>
      </c>
      <c r="P25" s="78">
        <f>O25*$Q$4</f>
        <v>15.2339</v>
      </c>
      <c r="U25" s="730"/>
      <c r="Y25" s="29"/>
      <c r="AA25" s="2"/>
      <c r="AD25" s="2"/>
      <c r="AG25" s="2"/>
      <c r="AI25" s="2"/>
    </row>
    <row r="26" spans="2:39" ht="15" customHeight="1" x14ac:dyDescent="0.25">
      <c r="B26" s="397">
        <v>42830</v>
      </c>
      <c r="C26" s="7">
        <v>300</v>
      </c>
      <c r="D26" s="74">
        <v>16.260000000000002</v>
      </c>
      <c r="E26" s="43">
        <v>0</v>
      </c>
      <c r="F26" s="43">
        <f t="shared" si="0"/>
        <v>4878.0000000000009</v>
      </c>
      <c r="G26" s="397">
        <v>43070</v>
      </c>
      <c r="H26" s="77">
        <v>100</v>
      </c>
      <c r="I26" s="74">
        <v>15.18</v>
      </c>
      <c r="J26" s="43">
        <v>0.04</v>
      </c>
      <c r="K26" s="43">
        <f t="shared" si="1"/>
        <v>1517.96</v>
      </c>
      <c r="O26" s="78">
        <v>1.2</v>
      </c>
      <c r="P26" s="78">
        <f>O26*$Q$4</f>
        <v>15.107999999999999</v>
      </c>
      <c r="U26" s="730">
        <v>43145</v>
      </c>
      <c r="V26" s="648" t="s">
        <v>82</v>
      </c>
      <c r="Y26" s="29"/>
      <c r="AA26" s="2"/>
      <c r="AD26" s="2"/>
      <c r="AG26" s="2"/>
      <c r="AI26" s="2"/>
    </row>
    <row r="27" spans="2:39" ht="15" customHeight="1" x14ac:dyDescent="0.25">
      <c r="B27" s="397">
        <v>42837</v>
      </c>
      <c r="C27" s="7">
        <v>200</v>
      </c>
      <c r="D27" s="74">
        <v>15.95</v>
      </c>
      <c r="E27" s="43">
        <v>0</v>
      </c>
      <c r="F27" s="43">
        <f t="shared" si="0"/>
        <v>3190</v>
      </c>
      <c r="G27" s="397">
        <v>43087</v>
      </c>
      <c r="H27" s="77">
        <v>200</v>
      </c>
      <c r="I27" s="74">
        <v>15.33</v>
      </c>
      <c r="J27" s="43">
        <v>7.0000000000000007E-2</v>
      </c>
      <c r="K27" s="43">
        <f t="shared" si="1"/>
        <v>3065.93</v>
      </c>
      <c r="O27" s="78">
        <v>1.19</v>
      </c>
      <c r="P27" s="78">
        <f>O27*$Q$4</f>
        <v>14.982099999999999</v>
      </c>
      <c r="V27" s="648" t="s">
        <v>876</v>
      </c>
      <c r="Y27" s="29"/>
      <c r="AA27" s="2"/>
      <c r="AD27" s="2"/>
      <c r="AG27" s="2"/>
      <c r="AI27" s="2"/>
    </row>
    <row r="28" spans="2:39" x14ac:dyDescent="0.25">
      <c r="B28" s="397">
        <v>42844</v>
      </c>
      <c r="C28" s="7">
        <v>200</v>
      </c>
      <c r="D28" s="74">
        <v>15.08</v>
      </c>
      <c r="E28" s="43">
        <v>0</v>
      </c>
      <c r="F28" s="43">
        <f t="shared" si="0"/>
        <v>3016</v>
      </c>
      <c r="G28" s="397">
        <v>43087</v>
      </c>
      <c r="H28" s="77">
        <v>100</v>
      </c>
      <c r="I28" s="74">
        <v>15.44</v>
      </c>
      <c r="J28" s="43">
        <v>0.04</v>
      </c>
      <c r="K28" s="43">
        <f t="shared" si="1"/>
        <v>1543.96</v>
      </c>
      <c r="O28" s="78">
        <v>1.18</v>
      </c>
      <c r="P28" s="78">
        <f>O28*$Q$4</f>
        <v>14.856199999999999</v>
      </c>
      <c r="Y28" s="29"/>
      <c r="AA28" s="2"/>
      <c r="AD28" s="2"/>
      <c r="AG28" s="2"/>
      <c r="AI28" s="2"/>
    </row>
    <row r="29" spans="2:39" x14ac:dyDescent="0.25">
      <c r="B29" s="397">
        <v>42860</v>
      </c>
      <c r="C29" s="7">
        <v>100</v>
      </c>
      <c r="D29" s="74">
        <v>14.16</v>
      </c>
      <c r="E29" s="43">
        <v>0</v>
      </c>
      <c r="F29" s="43">
        <f t="shared" si="0"/>
        <v>1416</v>
      </c>
      <c r="G29" s="397">
        <v>43088</v>
      </c>
      <c r="H29" s="77">
        <v>100</v>
      </c>
      <c r="I29" s="74">
        <v>15.98</v>
      </c>
      <c r="J29" s="43">
        <v>0.04</v>
      </c>
      <c r="K29" s="43">
        <f t="shared" si="1"/>
        <v>1597.96</v>
      </c>
      <c r="O29" s="78">
        <v>1.17</v>
      </c>
      <c r="P29" s="78">
        <f t="shared" ref="P29:P35" si="2">O29*$Q$4</f>
        <v>14.7303</v>
      </c>
      <c r="U29" s="118">
        <v>43161</v>
      </c>
      <c r="V29" s="648" t="s">
        <v>877</v>
      </c>
      <c r="Y29" s="29"/>
      <c r="AA29" s="2"/>
      <c r="AD29" s="2"/>
      <c r="AG29" s="2"/>
      <c r="AI29" s="2"/>
    </row>
    <row r="30" spans="2:39" x14ac:dyDescent="0.25">
      <c r="B30" s="397">
        <v>42860</v>
      </c>
      <c r="C30" s="7">
        <v>200</v>
      </c>
      <c r="D30" s="74">
        <v>13.8</v>
      </c>
      <c r="E30" s="43">
        <v>0</v>
      </c>
      <c r="F30" s="43">
        <f t="shared" si="0"/>
        <v>2760</v>
      </c>
      <c r="G30" s="397">
        <v>43089</v>
      </c>
      <c r="H30" s="77">
        <v>100</v>
      </c>
      <c r="I30" s="74">
        <v>16.27</v>
      </c>
      <c r="J30" s="43">
        <v>0.04</v>
      </c>
      <c r="K30" s="43">
        <f t="shared" si="1"/>
        <v>1626.96</v>
      </c>
      <c r="O30" s="78">
        <v>1.1599999999999999</v>
      </c>
      <c r="P30" s="78">
        <f t="shared" si="2"/>
        <v>14.604399999999998</v>
      </c>
      <c r="Y30" s="29"/>
      <c r="AA30" s="2"/>
      <c r="AD30" s="2"/>
      <c r="AG30" s="2"/>
      <c r="AI30" s="2"/>
    </row>
    <row r="31" spans="2:39" x14ac:dyDescent="0.25">
      <c r="B31" s="397">
        <v>42872</v>
      </c>
      <c r="C31" s="7">
        <v>131</v>
      </c>
      <c r="D31" s="74">
        <v>14.19</v>
      </c>
      <c r="E31" s="43">
        <v>0</v>
      </c>
      <c r="F31" s="43">
        <f t="shared" si="0"/>
        <v>1858.8899999999999</v>
      </c>
      <c r="G31" s="397">
        <v>43090</v>
      </c>
      <c r="H31" s="77">
        <v>200</v>
      </c>
      <c r="I31" s="74">
        <v>16.45</v>
      </c>
      <c r="J31" s="43">
        <v>0.08</v>
      </c>
      <c r="K31" s="43">
        <f t="shared" si="1"/>
        <v>3289.92</v>
      </c>
      <c r="O31" s="78">
        <v>1.1499999999999999</v>
      </c>
      <c r="P31" s="78">
        <f t="shared" si="2"/>
        <v>14.478499999999999</v>
      </c>
      <c r="Y31" s="29"/>
      <c r="AA31" s="2"/>
      <c r="AD31" s="2"/>
      <c r="AG31" s="2"/>
      <c r="AI31" s="2"/>
    </row>
    <row r="32" spans="2:39" x14ac:dyDescent="0.25">
      <c r="B32" s="397">
        <v>42873</v>
      </c>
      <c r="C32" s="7">
        <v>169</v>
      </c>
      <c r="D32" s="74">
        <v>14.08</v>
      </c>
      <c r="E32" s="43">
        <v>0</v>
      </c>
      <c r="F32" s="43">
        <f t="shared" si="0"/>
        <v>2379.52</v>
      </c>
      <c r="G32" s="397">
        <v>43090</v>
      </c>
      <c r="H32" s="77">
        <v>300</v>
      </c>
      <c r="I32" s="74">
        <v>16.72</v>
      </c>
      <c r="J32" s="43">
        <v>0.12</v>
      </c>
      <c r="K32" s="43">
        <f t="shared" si="1"/>
        <v>5015.88</v>
      </c>
      <c r="O32" s="78">
        <v>1.1399999999999999</v>
      </c>
      <c r="P32" s="78">
        <f t="shared" si="2"/>
        <v>14.352599999999999</v>
      </c>
      <c r="U32" s="730">
        <v>43222</v>
      </c>
      <c r="V32" s="648" t="s">
        <v>82</v>
      </c>
      <c r="Y32" s="29"/>
      <c r="AA32" s="2"/>
      <c r="AD32" s="2"/>
      <c r="AG32" s="2"/>
      <c r="AI32" s="2"/>
      <c r="AM32" s="2"/>
    </row>
    <row r="33" spans="1:39" x14ac:dyDescent="0.25">
      <c r="B33" s="397">
        <v>42873</v>
      </c>
      <c r="C33" s="7">
        <v>300</v>
      </c>
      <c r="D33" s="74">
        <v>14.16</v>
      </c>
      <c r="E33" s="43">
        <v>0</v>
      </c>
      <c r="F33" s="43">
        <f t="shared" si="0"/>
        <v>4248</v>
      </c>
      <c r="G33" s="397">
        <v>43090</v>
      </c>
      <c r="H33" s="77">
        <v>200</v>
      </c>
      <c r="I33" s="74">
        <v>16.899999999999999</v>
      </c>
      <c r="J33" s="43">
        <v>0.08</v>
      </c>
      <c r="K33" s="43">
        <f t="shared" si="1"/>
        <v>3379.9199999999996</v>
      </c>
      <c r="O33" s="78">
        <v>1.1299999999999999</v>
      </c>
      <c r="P33" s="78">
        <f t="shared" si="2"/>
        <v>14.226699999999999</v>
      </c>
      <c r="V33" s="648" t="s">
        <v>965</v>
      </c>
      <c r="Y33" s="29"/>
      <c r="AA33" s="2"/>
      <c r="AD33" s="2"/>
      <c r="AG33" s="2"/>
      <c r="AI33" s="2"/>
    </row>
    <row r="34" spans="1:39" x14ac:dyDescent="0.25">
      <c r="B34" s="397">
        <v>42880</v>
      </c>
      <c r="C34" s="7">
        <v>300</v>
      </c>
      <c r="D34" s="74">
        <v>13.59</v>
      </c>
      <c r="E34" s="43">
        <v>-1.2</v>
      </c>
      <c r="F34" s="43">
        <f t="shared" si="0"/>
        <v>4075.8</v>
      </c>
      <c r="G34" s="397">
        <v>43102</v>
      </c>
      <c r="H34" s="77">
        <v>100</v>
      </c>
      <c r="I34" s="74">
        <v>17.37</v>
      </c>
      <c r="J34" s="43">
        <v>0.04</v>
      </c>
      <c r="K34" s="43">
        <f t="shared" si="1"/>
        <v>1736.96</v>
      </c>
      <c r="O34" s="78">
        <v>1.1200000000000001</v>
      </c>
      <c r="P34" s="78">
        <f t="shared" si="2"/>
        <v>14.100800000000001</v>
      </c>
      <c r="V34" s="648" t="s">
        <v>973</v>
      </c>
      <c r="Y34" s="29"/>
      <c r="AA34" s="2"/>
      <c r="AD34" s="2"/>
      <c r="AG34" s="2"/>
      <c r="AI34" s="2"/>
    </row>
    <row r="35" spans="1:39" x14ac:dyDescent="0.25">
      <c r="B35" s="397">
        <v>42880</v>
      </c>
      <c r="C35" s="7">
        <v>300</v>
      </c>
      <c r="D35" s="74">
        <v>13.45</v>
      </c>
      <c r="E35" s="43">
        <v>0</v>
      </c>
      <c r="F35" s="43">
        <f t="shared" si="0"/>
        <v>4035</v>
      </c>
      <c r="G35" s="397">
        <v>43104</v>
      </c>
      <c r="H35" s="77">
        <v>100</v>
      </c>
      <c r="I35" s="74">
        <v>17.899999999999999</v>
      </c>
      <c r="J35" s="43">
        <v>0.04</v>
      </c>
      <c r="K35" s="43">
        <f t="shared" si="1"/>
        <v>1789.9599999999998</v>
      </c>
      <c r="O35" s="78">
        <v>1.1100000000000001</v>
      </c>
      <c r="P35" s="78">
        <f t="shared" si="2"/>
        <v>13.974900000000002</v>
      </c>
      <c r="V35" s="648" t="s">
        <v>976</v>
      </c>
      <c r="Y35" s="29"/>
      <c r="AA35" s="2"/>
      <c r="AD35" s="2"/>
      <c r="AG35" s="2"/>
      <c r="AI35" s="2"/>
    </row>
    <row r="36" spans="1:39" x14ac:dyDescent="0.25">
      <c r="B36" s="397">
        <v>42888</v>
      </c>
      <c r="C36" s="7">
        <v>500</v>
      </c>
      <c r="D36" s="74">
        <v>12.72</v>
      </c>
      <c r="E36" s="43">
        <v>0</v>
      </c>
      <c r="F36" s="43">
        <f t="shared" si="0"/>
        <v>6360</v>
      </c>
      <c r="G36" s="397">
        <v>43111</v>
      </c>
      <c r="H36" s="77">
        <v>300</v>
      </c>
      <c r="I36" s="74">
        <v>18.48</v>
      </c>
      <c r="J36" s="43">
        <v>0.13</v>
      </c>
      <c r="K36" s="43">
        <f t="shared" si="1"/>
        <v>5543.87</v>
      </c>
      <c r="O36" s="78">
        <v>1.1000000000000001</v>
      </c>
      <c r="P36" s="78">
        <f>O36*$Q$4</f>
        <v>13.849</v>
      </c>
      <c r="Y36" s="29"/>
      <c r="AA36" s="2"/>
      <c r="AD36" s="2"/>
      <c r="AG36" s="2"/>
      <c r="AI36" s="2"/>
    </row>
    <row r="37" spans="1:39" x14ac:dyDescent="0.25">
      <c r="B37" s="397">
        <v>42888</v>
      </c>
      <c r="C37" s="7">
        <v>500</v>
      </c>
      <c r="D37" s="74">
        <v>12.58</v>
      </c>
      <c r="E37" s="43">
        <v>0</v>
      </c>
      <c r="F37" s="43">
        <f t="shared" si="0"/>
        <v>6290</v>
      </c>
      <c r="G37" s="397">
        <v>43111</v>
      </c>
      <c r="H37" s="77">
        <v>67</v>
      </c>
      <c r="I37" s="74">
        <v>18.75</v>
      </c>
      <c r="J37" s="43">
        <v>0.03</v>
      </c>
      <c r="K37" s="43">
        <f t="shared" si="1"/>
        <v>1256.22</v>
      </c>
      <c r="O37" s="78">
        <v>1.0900000000000001</v>
      </c>
      <c r="P37" s="78">
        <f t="shared" ref="P37:P56" si="3">O37*$Q$4</f>
        <v>13.723100000000001</v>
      </c>
      <c r="U37" s="118">
        <v>43238</v>
      </c>
      <c r="V37" s="659" t="s">
        <v>1017</v>
      </c>
      <c r="Y37" s="29"/>
      <c r="AA37" s="2"/>
      <c r="AD37" s="2"/>
      <c r="AG37" s="2"/>
      <c r="AI37" s="2"/>
    </row>
    <row r="38" spans="1:39" x14ac:dyDescent="0.25">
      <c r="B38" s="397">
        <v>42943</v>
      </c>
      <c r="C38" s="7">
        <v>200</v>
      </c>
      <c r="D38" s="74">
        <v>12.15</v>
      </c>
      <c r="E38" s="43">
        <v>0</v>
      </c>
      <c r="F38" s="43">
        <f t="shared" si="0"/>
        <v>2430</v>
      </c>
      <c r="G38" s="397">
        <v>43112</v>
      </c>
      <c r="H38" s="77">
        <v>133</v>
      </c>
      <c r="I38" s="74">
        <v>18.93</v>
      </c>
      <c r="J38" s="43">
        <v>0.05</v>
      </c>
      <c r="K38" s="43">
        <f t="shared" si="1"/>
        <v>2517.64</v>
      </c>
      <c r="O38" s="78">
        <v>1.08</v>
      </c>
      <c r="P38" s="78">
        <f t="shared" si="3"/>
        <v>13.597200000000001</v>
      </c>
      <c r="V38" s="648" t="s">
        <v>1018</v>
      </c>
      <c r="Y38" s="29"/>
      <c r="AA38" s="2"/>
      <c r="AD38" s="2"/>
      <c r="AG38" s="2"/>
      <c r="AI38" s="2"/>
    </row>
    <row r="39" spans="1:39" x14ac:dyDescent="0.25">
      <c r="B39" s="397">
        <v>42949</v>
      </c>
      <c r="C39" s="7">
        <v>600</v>
      </c>
      <c r="D39" s="74">
        <v>12.35</v>
      </c>
      <c r="E39" s="43">
        <v>0</v>
      </c>
      <c r="F39" s="43">
        <f t="shared" si="0"/>
        <v>7410</v>
      </c>
      <c r="G39" s="397">
        <v>43117</v>
      </c>
      <c r="H39" s="77">
        <v>500</v>
      </c>
      <c r="I39" s="74">
        <v>18.62</v>
      </c>
      <c r="J39" s="43">
        <v>0.22</v>
      </c>
      <c r="K39" s="43">
        <f t="shared" si="1"/>
        <v>9309.7800000000007</v>
      </c>
      <c r="O39" s="78">
        <v>1.07</v>
      </c>
      <c r="P39" s="78">
        <f t="shared" si="3"/>
        <v>13.471300000000001</v>
      </c>
      <c r="V39" s="648" t="s">
        <v>1019</v>
      </c>
      <c r="Y39" s="29"/>
      <c r="AA39" s="2"/>
      <c r="AD39" s="2"/>
      <c r="AG39" s="2"/>
      <c r="AI39" s="2"/>
    </row>
    <row r="40" spans="1:39" x14ac:dyDescent="0.25">
      <c r="B40" s="397">
        <v>42961</v>
      </c>
      <c r="C40" s="7">
        <v>200</v>
      </c>
      <c r="D40" s="74">
        <v>12</v>
      </c>
      <c r="E40" s="43">
        <v>0</v>
      </c>
      <c r="F40" s="43">
        <f t="shared" si="0"/>
        <v>2400</v>
      </c>
      <c r="G40" s="397">
        <v>43117</v>
      </c>
      <c r="H40" s="77">
        <v>100</v>
      </c>
      <c r="I40" s="74">
        <v>18.989999999999998</v>
      </c>
      <c r="J40" s="43">
        <v>0.04</v>
      </c>
      <c r="K40" s="43">
        <f t="shared" si="1"/>
        <v>1898.9599999999998</v>
      </c>
      <c r="O40" s="78">
        <v>1.06</v>
      </c>
      <c r="P40" s="78">
        <f t="shared" si="3"/>
        <v>13.3454</v>
      </c>
      <c r="Y40" s="29"/>
      <c r="AA40" s="2"/>
      <c r="AD40" s="2"/>
      <c r="AG40" s="2"/>
      <c r="AI40" s="2"/>
    </row>
    <row r="41" spans="1:39" x14ac:dyDescent="0.25">
      <c r="B41" s="397">
        <v>42961</v>
      </c>
      <c r="C41" s="7">
        <v>200</v>
      </c>
      <c r="D41" s="74">
        <v>11.7</v>
      </c>
      <c r="E41" s="43">
        <v>0</v>
      </c>
      <c r="F41" s="43">
        <f t="shared" si="0"/>
        <v>2340</v>
      </c>
      <c r="G41" s="397">
        <v>43123</v>
      </c>
      <c r="H41" s="77">
        <v>200</v>
      </c>
      <c r="I41" s="74">
        <v>19.48</v>
      </c>
      <c r="J41" s="43">
        <v>0.09</v>
      </c>
      <c r="K41" s="43">
        <f t="shared" si="1"/>
        <v>3895.91</v>
      </c>
      <c r="O41" s="78">
        <v>1.05</v>
      </c>
      <c r="P41" s="78">
        <f t="shared" si="3"/>
        <v>13.2195</v>
      </c>
      <c r="U41" s="118">
        <v>43285</v>
      </c>
      <c r="V41" s="648" t="s">
        <v>1077</v>
      </c>
      <c r="Y41" s="29"/>
      <c r="AA41" s="2"/>
      <c r="AD41" s="2"/>
      <c r="AG41" s="2"/>
      <c r="AI41" s="2"/>
    </row>
    <row r="42" spans="1:39" x14ac:dyDescent="0.25">
      <c r="B42" s="397">
        <v>42963</v>
      </c>
      <c r="C42" s="7">
        <v>200</v>
      </c>
      <c r="D42" s="74">
        <v>11.27</v>
      </c>
      <c r="E42" s="43">
        <v>-0.76</v>
      </c>
      <c r="F42" s="43">
        <f t="shared" si="0"/>
        <v>2253.2399999999998</v>
      </c>
      <c r="G42" s="397">
        <v>43140</v>
      </c>
      <c r="H42" s="77">
        <v>500</v>
      </c>
      <c r="I42" s="74">
        <v>15.52</v>
      </c>
      <c r="J42" s="43">
        <v>0.18</v>
      </c>
      <c r="K42" s="43">
        <f t="shared" si="1"/>
        <v>7759.82</v>
      </c>
      <c r="O42" s="78">
        <v>1.04</v>
      </c>
      <c r="P42" s="78">
        <f t="shared" si="3"/>
        <v>13.0936</v>
      </c>
      <c r="Y42" s="29"/>
      <c r="AA42" s="2"/>
      <c r="AD42" s="2"/>
      <c r="AG42" s="2"/>
      <c r="AI42" s="2"/>
    </row>
    <row r="43" spans="1:39" x14ac:dyDescent="0.25">
      <c r="A43" s="2"/>
      <c r="B43" s="397">
        <v>42967</v>
      </c>
      <c r="C43" s="7">
        <v>300</v>
      </c>
      <c r="D43" s="74">
        <v>10.6</v>
      </c>
      <c r="E43" s="43">
        <v>0</v>
      </c>
      <c r="F43" s="43">
        <f t="shared" si="0"/>
        <v>3180</v>
      </c>
      <c r="G43" s="397">
        <v>43140</v>
      </c>
      <c r="H43" s="77">
        <v>500</v>
      </c>
      <c r="I43" s="74">
        <v>15.48</v>
      </c>
      <c r="J43" s="43">
        <v>0.18</v>
      </c>
      <c r="K43" s="43">
        <f t="shared" si="1"/>
        <v>7739.82</v>
      </c>
      <c r="O43" s="78">
        <v>1.03</v>
      </c>
      <c r="P43" s="78">
        <f t="shared" si="3"/>
        <v>12.967700000000001</v>
      </c>
      <c r="U43" s="118">
        <v>43297</v>
      </c>
      <c r="V43" s="648" t="s">
        <v>1127</v>
      </c>
      <c r="Y43" s="29"/>
      <c r="AA43" s="2"/>
      <c r="AD43" s="2"/>
      <c r="AG43" s="2"/>
      <c r="AI43" s="2"/>
    </row>
    <row r="44" spans="1:39" x14ac:dyDescent="0.25">
      <c r="B44" s="397">
        <v>42986</v>
      </c>
      <c r="C44" s="7">
        <v>400</v>
      </c>
      <c r="D44" s="74">
        <v>11.11</v>
      </c>
      <c r="E44" s="43">
        <v>0</v>
      </c>
      <c r="F44" s="43">
        <f t="shared" si="0"/>
        <v>4444</v>
      </c>
      <c r="G44" s="397">
        <v>43143</v>
      </c>
      <c r="H44" s="77">
        <v>500</v>
      </c>
      <c r="I44" s="74">
        <v>16.38</v>
      </c>
      <c r="J44" s="43">
        <v>0.19</v>
      </c>
      <c r="K44" s="43">
        <f t="shared" si="1"/>
        <v>8189.8099999999995</v>
      </c>
      <c r="O44" s="78">
        <v>1.02</v>
      </c>
      <c r="P44" s="78">
        <f t="shared" si="3"/>
        <v>12.841799999999999</v>
      </c>
      <c r="U44" s="118">
        <v>43299</v>
      </c>
      <c r="V44" s="648" t="s">
        <v>1132</v>
      </c>
      <c r="Y44" s="29"/>
      <c r="AA44" s="2"/>
      <c r="AD44" s="2"/>
      <c r="AG44" s="2"/>
      <c r="AI44" s="2"/>
    </row>
    <row r="45" spans="1:39" x14ac:dyDescent="0.25">
      <c r="B45" s="397">
        <v>43006</v>
      </c>
      <c r="C45" s="7">
        <v>300</v>
      </c>
      <c r="D45" s="74">
        <v>13.46</v>
      </c>
      <c r="E45" s="43">
        <v>0</v>
      </c>
      <c r="F45" s="43">
        <f t="shared" si="0"/>
        <v>4038.0000000000005</v>
      </c>
      <c r="G45" s="397">
        <v>43146</v>
      </c>
      <c r="H45" s="77">
        <v>500</v>
      </c>
      <c r="I45" s="74">
        <v>15.94</v>
      </c>
      <c r="J45" s="43">
        <v>0.18</v>
      </c>
      <c r="K45" s="43">
        <f t="shared" si="1"/>
        <v>7969.82</v>
      </c>
      <c r="O45" s="78">
        <v>1.01</v>
      </c>
      <c r="P45" s="78">
        <f t="shared" si="3"/>
        <v>12.7159</v>
      </c>
      <c r="Y45" s="29"/>
      <c r="AA45" s="2"/>
      <c r="AD45" s="2"/>
      <c r="AG45" s="2"/>
      <c r="AI45" s="2"/>
    </row>
    <row r="46" spans="1:39" x14ac:dyDescent="0.25">
      <c r="B46" s="397">
        <v>43047</v>
      </c>
      <c r="C46" s="7">
        <v>100</v>
      </c>
      <c r="D46" s="74">
        <v>15.78</v>
      </c>
      <c r="E46" s="43">
        <v>0</v>
      </c>
      <c r="F46" s="43">
        <f t="shared" si="0"/>
        <v>1578</v>
      </c>
      <c r="G46" s="397">
        <v>43146</v>
      </c>
      <c r="H46" s="77">
        <v>500</v>
      </c>
      <c r="I46" s="74">
        <v>16.28</v>
      </c>
      <c r="J46" s="43">
        <v>0.19</v>
      </c>
      <c r="K46" s="43">
        <f t="shared" si="1"/>
        <v>8139.8100000000013</v>
      </c>
      <c r="O46" s="78">
        <v>1</v>
      </c>
      <c r="P46" s="78">
        <f t="shared" si="3"/>
        <v>12.59</v>
      </c>
      <c r="U46" s="730">
        <v>43306</v>
      </c>
      <c r="V46" s="648" t="s">
        <v>826</v>
      </c>
      <c r="Y46" s="29"/>
      <c r="AA46" s="2"/>
      <c r="AD46" s="2"/>
      <c r="AG46" s="2"/>
      <c r="AI46" s="2"/>
    </row>
    <row r="47" spans="1:39" x14ac:dyDescent="0.25">
      <c r="B47" s="397">
        <v>43053</v>
      </c>
      <c r="C47" s="7">
        <v>300</v>
      </c>
      <c r="D47" s="74">
        <v>15.1</v>
      </c>
      <c r="E47" s="43">
        <v>0</v>
      </c>
      <c r="F47" s="43">
        <f t="shared" si="0"/>
        <v>4530</v>
      </c>
      <c r="G47" s="397">
        <v>43151</v>
      </c>
      <c r="H47" s="77">
        <v>500</v>
      </c>
      <c r="I47" s="74">
        <v>16.18</v>
      </c>
      <c r="J47" s="43">
        <v>0.19</v>
      </c>
      <c r="K47" s="43">
        <f t="shared" si="1"/>
        <v>8089.81</v>
      </c>
      <c r="O47" s="78">
        <v>0.99</v>
      </c>
      <c r="P47" s="78">
        <f t="shared" si="3"/>
        <v>12.4641</v>
      </c>
      <c r="U47" s="730">
        <v>43313</v>
      </c>
      <c r="V47" s="648" t="s">
        <v>1152</v>
      </c>
      <c r="Y47" s="29"/>
      <c r="AA47" s="2"/>
      <c r="AD47" s="2"/>
      <c r="AG47" s="2"/>
      <c r="AI47" s="2"/>
      <c r="AM47" s="2"/>
    </row>
    <row r="48" spans="1:39" x14ac:dyDescent="0.25">
      <c r="B48" s="397">
        <v>43059</v>
      </c>
      <c r="C48" s="7">
        <v>200</v>
      </c>
      <c r="D48" s="74">
        <v>14.47</v>
      </c>
      <c r="E48" s="43">
        <v>0</v>
      </c>
      <c r="F48" s="43">
        <f t="shared" si="0"/>
        <v>2894</v>
      </c>
      <c r="G48" s="397">
        <v>43180</v>
      </c>
      <c r="H48" s="77">
        <v>1400</v>
      </c>
      <c r="I48" s="74">
        <v>15.98</v>
      </c>
      <c r="J48" s="43">
        <v>0.52</v>
      </c>
      <c r="K48" s="43">
        <f t="shared" si="1"/>
        <v>22371.48</v>
      </c>
      <c r="O48" s="78">
        <v>0.98</v>
      </c>
      <c r="P48" s="78">
        <f t="shared" si="3"/>
        <v>12.338200000000001</v>
      </c>
      <c r="U48" s="747"/>
      <c r="Y48" s="29"/>
      <c r="AA48" s="2"/>
      <c r="AD48" s="2"/>
      <c r="AG48" s="2"/>
      <c r="AI48" s="2"/>
    </row>
    <row r="49" spans="2:35" x14ac:dyDescent="0.25">
      <c r="B49" s="397">
        <v>43060</v>
      </c>
      <c r="C49" s="7">
        <v>200</v>
      </c>
      <c r="D49" s="74">
        <v>14.52</v>
      </c>
      <c r="E49" s="43">
        <v>0</v>
      </c>
      <c r="F49" s="43">
        <f t="shared" si="0"/>
        <v>2904</v>
      </c>
      <c r="G49" s="397">
        <v>43180</v>
      </c>
      <c r="H49" s="77">
        <v>200</v>
      </c>
      <c r="I49" s="74">
        <v>16.38</v>
      </c>
      <c r="J49" s="43">
        <v>0.08</v>
      </c>
      <c r="K49" s="43">
        <f t="shared" si="1"/>
        <v>3275.92</v>
      </c>
      <c r="O49" s="78">
        <v>0.97</v>
      </c>
      <c r="P49" s="78">
        <f t="shared" si="3"/>
        <v>12.212299999999999</v>
      </c>
      <c r="U49" s="757">
        <v>43319</v>
      </c>
      <c r="V49" s="648" t="s">
        <v>1104</v>
      </c>
      <c r="Y49" s="29"/>
      <c r="AA49" s="2"/>
      <c r="AD49" s="2"/>
      <c r="AG49" s="2"/>
      <c r="AI49" s="2"/>
    </row>
    <row r="50" spans="2:35" x14ac:dyDescent="0.25">
      <c r="B50" s="397">
        <v>43069</v>
      </c>
      <c r="C50" s="7">
        <v>100</v>
      </c>
      <c r="D50" s="74">
        <v>14.69</v>
      </c>
      <c r="E50" s="43">
        <v>0</v>
      </c>
      <c r="F50" s="43">
        <f t="shared" si="0"/>
        <v>1469</v>
      </c>
      <c r="G50" s="397">
        <v>43181</v>
      </c>
      <c r="H50" s="77">
        <v>400</v>
      </c>
      <c r="I50" s="74">
        <v>16.03</v>
      </c>
      <c r="J50" s="43">
        <v>0.15</v>
      </c>
      <c r="K50" s="43">
        <f t="shared" si="1"/>
        <v>6411.85</v>
      </c>
      <c r="L50" s="29"/>
      <c r="O50" s="78">
        <v>0.96</v>
      </c>
      <c r="P50" s="78">
        <f t="shared" si="3"/>
        <v>12.086399999999999</v>
      </c>
      <c r="Y50" s="29"/>
      <c r="AA50" s="2"/>
      <c r="AD50" s="2"/>
      <c r="AG50" s="2"/>
      <c r="AI50" s="2"/>
    </row>
    <row r="51" spans="2:35" x14ac:dyDescent="0.25">
      <c r="B51" s="397">
        <v>43116</v>
      </c>
      <c r="C51" s="7">
        <v>200</v>
      </c>
      <c r="D51" s="74">
        <v>18.350000000000001</v>
      </c>
      <c r="E51" s="43">
        <v>0</v>
      </c>
      <c r="F51" s="43">
        <f t="shared" si="0"/>
        <v>3670.0000000000005</v>
      </c>
      <c r="G51" s="397">
        <v>43188</v>
      </c>
      <c r="H51" s="77">
        <v>200</v>
      </c>
      <c r="I51" s="74">
        <v>15.96</v>
      </c>
      <c r="J51" s="43">
        <v>7.0000000000000007E-2</v>
      </c>
      <c r="K51" s="43">
        <f t="shared" si="1"/>
        <v>3191.93</v>
      </c>
      <c r="O51" s="78">
        <v>0.95</v>
      </c>
      <c r="P51" s="78">
        <f t="shared" si="3"/>
        <v>11.9605</v>
      </c>
      <c r="Y51" s="29"/>
      <c r="AA51" s="2"/>
      <c r="AD51" s="2"/>
      <c r="AG51" s="2"/>
      <c r="AI51" s="2"/>
    </row>
    <row r="52" spans="2:35" x14ac:dyDescent="0.25">
      <c r="B52" s="397">
        <v>43116</v>
      </c>
      <c r="C52" s="7">
        <v>200</v>
      </c>
      <c r="D52" s="74">
        <v>18.239999999999998</v>
      </c>
      <c r="E52" s="43">
        <v>0</v>
      </c>
      <c r="F52" s="43">
        <f t="shared" si="0"/>
        <v>3647.9999999999995</v>
      </c>
      <c r="G52" s="397">
        <v>43188</v>
      </c>
      <c r="H52" s="77">
        <v>200</v>
      </c>
      <c r="I52" s="74">
        <v>16.13</v>
      </c>
      <c r="J52" s="43">
        <v>7.0000000000000007E-2</v>
      </c>
      <c r="K52" s="43">
        <f t="shared" si="1"/>
        <v>3225.93</v>
      </c>
      <c r="O52" s="78">
        <v>0.94</v>
      </c>
      <c r="P52" s="78">
        <f t="shared" si="3"/>
        <v>11.8346</v>
      </c>
      <c r="Y52" s="29"/>
      <c r="AA52" s="2"/>
      <c r="AD52" s="2"/>
      <c r="AG52" s="2"/>
      <c r="AI52" s="2"/>
    </row>
    <row r="53" spans="2:35" ht="15" customHeight="1" x14ac:dyDescent="0.25">
      <c r="B53" s="397">
        <v>43117</v>
      </c>
      <c r="C53" s="7">
        <v>100</v>
      </c>
      <c r="D53" s="74">
        <v>18.079999999999998</v>
      </c>
      <c r="E53" s="43">
        <v>0</v>
      </c>
      <c r="F53" s="43">
        <f t="shared" si="0"/>
        <v>1807.9999999999998</v>
      </c>
      <c r="G53" s="397">
        <v>43193</v>
      </c>
      <c r="H53" s="77">
        <v>400</v>
      </c>
      <c r="I53" s="74">
        <v>15.88</v>
      </c>
      <c r="J53" s="43">
        <v>0.15</v>
      </c>
      <c r="K53" s="43">
        <f t="shared" si="1"/>
        <v>6351.85</v>
      </c>
      <c r="O53" s="78">
        <v>0.93</v>
      </c>
      <c r="P53" s="78">
        <f t="shared" si="3"/>
        <v>11.7087</v>
      </c>
      <c r="Y53" s="29"/>
      <c r="AA53" s="2"/>
      <c r="AD53" s="2"/>
      <c r="AG53" s="2"/>
      <c r="AI53" s="2"/>
    </row>
    <row r="54" spans="2:35" x14ac:dyDescent="0.25">
      <c r="B54" s="397">
        <v>43123</v>
      </c>
      <c r="C54" s="7">
        <v>200</v>
      </c>
      <c r="D54" s="74">
        <v>19.11</v>
      </c>
      <c r="E54" s="43">
        <v>0</v>
      </c>
      <c r="F54" s="43">
        <f t="shared" si="0"/>
        <v>3822</v>
      </c>
      <c r="G54" s="397">
        <v>43195</v>
      </c>
      <c r="H54" s="77">
        <v>800</v>
      </c>
      <c r="I54" s="74">
        <v>16.8</v>
      </c>
      <c r="J54" s="43">
        <v>0.31</v>
      </c>
      <c r="K54" s="43">
        <f t="shared" si="1"/>
        <v>13439.69</v>
      </c>
      <c r="O54" s="78">
        <v>0.92</v>
      </c>
      <c r="P54" s="78">
        <f t="shared" si="3"/>
        <v>11.582800000000001</v>
      </c>
      <c r="Y54" s="29"/>
      <c r="AA54" s="2"/>
      <c r="AD54" s="2"/>
      <c r="AG54" s="2"/>
      <c r="AI54" s="2"/>
    </row>
    <row r="55" spans="2:35" x14ac:dyDescent="0.25">
      <c r="B55" s="397">
        <v>43125</v>
      </c>
      <c r="C55" s="7">
        <v>100</v>
      </c>
      <c r="D55" s="74">
        <v>18.88</v>
      </c>
      <c r="E55" s="43">
        <v>0</v>
      </c>
      <c r="F55" s="43">
        <f t="shared" si="0"/>
        <v>1888</v>
      </c>
      <c r="G55" s="397">
        <v>43200</v>
      </c>
      <c r="H55" s="77">
        <v>800</v>
      </c>
      <c r="I55" s="74">
        <v>16.98</v>
      </c>
      <c r="J55" s="43">
        <v>0.31</v>
      </c>
      <c r="K55" s="43">
        <f t="shared" si="1"/>
        <v>13583.69</v>
      </c>
      <c r="O55" s="78">
        <v>0.91</v>
      </c>
      <c r="P55" s="78">
        <f t="shared" si="3"/>
        <v>11.456900000000001</v>
      </c>
      <c r="Y55" s="29"/>
      <c r="AA55" s="2"/>
      <c r="AD55" s="2"/>
      <c r="AG55" s="2"/>
      <c r="AI55" s="2"/>
    </row>
    <row r="56" spans="2:35" x14ac:dyDescent="0.25">
      <c r="B56" s="397">
        <v>43130</v>
      </c>
      <c r="C56" s="7">
        <v>500</v>
      </c>
      <c r="D56" s="74">
        <v>18.38</v>
      </c>
      <c r="E56" s="43">
        <v>0</v>
      </c>
      <c r="F56" s="43">
        <f t="shared" si="0"/>
        <v>9190</v>
      </c>
      <c r="G56" s="397">
        <v>43220</v>
      </c>
      <c r="H56" s="77">
        <v>300</v>
      </c>
      <c r="I56" s="74">
        <v>18.41</v>
      </c>
      <c r="J56" s="43">
        <v>0.13</v>
      </c>
      <c r="K56" s="43">
        <f t="shared" si="1"/>
        <v>5522.87</v>
      </c>
      <c r="O56" s="78">
        <v>0.9</v>
      </c>
      <c r="P56" s="78">
        <f t="shared" si="3"/>
        <v>11.331</v>
      </c>
      <c r="Y56" s="29"/>
      <c r="AA56" s="2"/>
      <c r="AD56" s="2"/>
      <c r="AG56" s="2"/>
      <c r="AI56" s="2"/>
    </row>
    <row r="57" spans="2:35" x14ac:dyDescent="0.25">
      <c r="B57" s="397">
        <v>43130</v>
      </c>
      <c r="C57" s="7">
        <v>200</v>
      </c>
      <c r="D57" s="74">
        <v>17.82</v>
      </c>
      <c r="E57" s="43">
        <v>0</v>
      </c>
      <c r="F57" s="43">
        <f t="shared" si="0"/>
        <v>3564</v>
      </c>
      <c r="G57" s="397">
        <v>43223</v>
      </c>
      <c r="H57" s="77">
        <v>500</v>
      </c>
      <c r="I57" s="74">
        <v>19.29</v>
      </c>
      <c r="J57" s="43">
        <v>0.22</v>
      </c>
      <c r="K57" s="43">
        <f t="shared" si="1"/>
        <v>9644.7800000000007</v>
      </c>
      <c r="O57" s="78">
        <v>0.89</v>
      </c>
      <c r="P57" s="78">
        <f>O57*$Q$4</f>
        <v>11.2051</v>
      </c>
      <c r="AA57" s="2"/>
      <c r="AD57" s="2"/>
      <c r="AG57" s="2"/>
      <c r="AI57" s="2"/>
    </row>
    <row r="58" spans="2:35" x14ac:dyDescent="0.25">
      <c r="B58" s="397">
        <v>43133</v>
      </c>
      <c r="C58" s="7">
        <v>200</v>
      </c>
      <c r="D58" s="74">
        <v>17.579999999999998</v>
      </c>
      <c r="E58" s="43">
        <v>0</v>
      </c>
      <c r="F58" s="43">
        <f t="shared" si="0"/>
        <v>3515.9999999999995</v>
      </c>
      <c r="G58" s="397">
        <v>43224</v>
      </c>
      <c r="H58" s="77">
        <v>500</v>
      </c>
      <c r="I58" s="74">
        <v>19.88</v>
      </c>
      <c r="J58" s="43">
        <v>0.23</v>
      </c>
      <c r="K58" s="43">
        <f t="shared" si="1"/>
        <v>9939.77</v>
      </c>
      <c r="O58" s="78">
        <v>0.88</v>
      </c>
      <c r="P58" s="78">
        <f>O58*$Q$4</f>
        <v>11.0792</v>
      </c>
      <c r="AA58" s="2"/>
      <c r="AD58" s="2"/>
      <c r="AG58" s="2"/>
      <c r="AI58" s="2"/>
    </row>
    <row r="59" spans="2:35" x14ac:dyDescent="0.25">
      <c r="B59" s="397">
        <v>43139</v>
      </c>
      <c r="C59" s="7">
        <v>500</v>
      </c>
      <c r="D59" s="74">
        <v>15.88</v>
      </c>
      <c r="E59" s="43">
        <v>0</v>
      </c>
      <c r="F59" s="43">
        <f t="shared" si="0"/>
        <v>7940</v>
      </c>
      <c r="G59" s="397">
        <v>43227</v>
      </c>
      <c r="H59" s="77">
        <v>300</v>
      </c>
      <c r="I59" s="74">
        <v>20.55</v>
      </c>
      <c r="J59" s="43">
        <v>0.14000000000000001</v>
      </c>
      <c r="K59" s="43">
        <f t="shared" si="1"/>
        <v>6164.86</v>
      </c>
      <c r="O59" s="78">
        <v>0.87</v>
      </c>
      <c r="P59" s="78">
        <f>O59*$Q$4</f>
        <v>10.9533</v>
      </c>
      <c r="AA59" s="2"/>
      <c r="AD59" s="2"/>
      <c r="AG59" s="2"/>
      <c r="AI59" s="2"/>
    </row>
    <row r="60" spans="2:35" x14ac:dyDescent="0.25">
      <c r="B60" s="397">
        <v>43140</v>
      </c>
      <c r="C60" s="7">
        <v>500</v>
      </c>
      <c r="D60" s="74">
        <v>15.28</v>
      </c>
      <c r="E60" s="43">
        <v>0</v>
      </c>
      <c r="F60" s="43">
        <f t="shared" si="0"/>
        <v>7640</v>
      </c>
      <c r="G60" s="397">
        <v>43229</v>
      </c>
      <c r="H60" s="77">
        <v>300</v>
      </c>
      <c r="I60" s="74">
        <v>20.98</v>
      </c>
      <c r="J60" s="43">
        <v>0.15</v>
      </c>
      <c r="K60" s="43">
        <f t="shared" si="1"/>
        <v>6293.85</v>
      </c>
      <c r="O60" s="78">
        <v>0.86</v>
      </c>
      <c r="P60" s="78">
        <f>O60*$Q$4</f>
        <v>10.827399999999999</v>
      </c>
      <c r="AA60" s="2"/>
      <c r="AD60" s="2"/>
      <c r="AG60" s="2"/>
      <c r="AI60" s="2"/>
    </row>
    <row r="61" spans="2:35" x14ac:dyDescent="0.25">
      <c r="B61" s="397">
        <v>43140</v>
      </c>
      <c r="C61" s="7">
        <v>500</v>
      </c>
      <c r="D61" s="74">
        <v>15.18</v>
      </c>
      <c r="E61" s="43">
        <v>0</v>
      </c>
      <c r="F61" s="43">
        <f t="shared" si="0"/>
        <v>7590</v>
      </c>
      <c r="G61" s="397">
        <v>43234</v>
      </c>
      <c r="H61" s="77">
        <v>700</v>
      </c>
      <c r="I61" s="74">
        <v>21.48</v>
      </c>
      <c r="J61" s="43">
        <v>0.35</v>
      </c>
      <c r="K61" s="43">
        <f t="shared" si="1"/>
        <v>15035.65</v>
      </c>
      <c r="O61" s="78">
        <v>0.85</v>
      </c>
      <c r="P61" s="78">
        <f>O61*$Q$4</f>
        <v>10.701499999999999</v>
      </c>
      <c r="AA61" s="2"/>
      <c r="AD61" s="2"/>
      <c r="AG61" s="2"/>
      <c r="AI61" s="2"/>
    </row>
    <row r="62" spans="2:35" x14ac:dyDescent="0.25">
      <c r="B62" s="397">
        <v>43146</v>
      </c>
      <c r="C62" s="7">
        <v>100</v>
      </c>
      <c r="D62" s="74">
        <v>15.82</v>
      </c>
      <c r="E62" s="43">
        <v>0</v>
      </c>
      <c r="F62" s="43">
        <f t="shared" si="0"/>
        <v>1582</v>
      </c>
      <c r="G62" s="397">
        <v>43241</v>
      </c>
      <c r="H62" s="77">
        <v>1000</v>
      </c>
      <c r="I62" s="74">
        <v>21.88</v>
      </c>
      <c r="J62" s="43">
        <v>0.28000000000000003</v>
      </c>
      <c r="K62" s="43">
        <f t="shared" si="1"/>
        <v>21879.72</v>
      </c>
      <c r="AA62" s="2"/>
      <c r="AD62" s="2"/>
      <c r="AG62" s="2"/>
      <c r="AI62" s="2"/>
    </row>
    <row r="63" spans="2:35" x14ac:dyDescent="0.25">
      <c r="B63" s="397">
        <v>43146</v>
      </c>
      <c r="C63" s="7">
        <v>400</v>
      </c>
      <c r="D63" s="74">
        <v>15.82</v>
      </c>
      <c r="E63" s="43">
        <v>0</v>
      </c>
      <c r="F63" s="43">
        <f>C63*D63+E63</f>
        <v>6328</v>
      </c>
      <c r="G63" s="397">
        <v>43262</v>
      </c>
      <c r="H63" s="77">
        <v>300</v>
      </c>
      <c r="I63" s="74">
        <v>21.08</v>
      </c>
      <c r="J63" s="43">
        <v>0.08</v>
      </c>
      <c r="K63" s="43">
        <f t="shared" si="1"/>
        <v>6323.9199999999992</v>
      </c>
      <c r="AA63" s="2"/>
      <c r="AD63" s="2"/>
      <c r="AG63" s="2"/>
      <c r="AI63" s="2"/>
    </row>
    <row r="64" spans="2:35" x14ac:dyDescent="0.25">
      <c r="B64" s="397">
        <v>43146</v>
      </c>
      <c r="C64" s="7">
        <v>500</v>
      </c>
      <c r="D64" s="74">
        <v>15.52</v>
      </c>
      <c r="E64" s="43">
        <v>0</v>
      </c>
      <c r="F64" s="43">
        <f t="shared" ref="F64:F87" si="4">C64*D64+E64</f>
        <v>7760</v>
      </c>
      <c r="G64" s="397">
        <v>43269</v>
      </c>
      <c r="H64" s="77">
        <v>500</v>
      </c>
      <c r="I64" s="74">
        <v>20.54</v>
      </c>
      <c r="J64" s="43">
        <v>0.13</v>
      </c>
      <c r="K64" s="43">
        <f t="shared" si="1"/>
        <v>10269.870000000001</v>
      </c>
      <c r="AA64" s="2"/>
      <c r="AD64" s="2"/>
      <c r="AG64" s="2"/>
      <c r="AI64" s="2"/>
    </row>
    <row r="65" spans="1:35" x14ac:dyDescent="0.25">
      <c r="B65" s="397">
        <v>43147</v>
      </c>
      <c r="C65" s="7">
        <v>500</v>
      </c>
      <c r="D65" s="74">
        <v>15.75</v>
      </c>
      <c r="E65" s="43">
        <v>0</v>
      </c>
      <c r="F65" s="43">
        <f t="shared" si="4"/>
        <v>7875</v>
      </c>
      <c r="G65" s="397">
        <v>43271</v>
      </c>
      <c r="H65" s="77">
        <v>200</v>
      </c>
      <c r="I65" s="74">
        <v>20.88</v>
      </c>
      <c r="J65" s="43">
        <v>0.05</v>
      </c>
      <c r="K65" s="43">
        <f t="shared" si="1"/>
        <v>4175.95</v>
      </c>
      <c r="AA65" s="2"/>
      <c r="AD65" s="2"/>
      <c r="AG65" s="2"/>
      <c r="AI65" s="2"/>
    </row>
    <row r="66" spans="1:35" x14ac:dyDescent="0.25">
      <c r="B66" s="397">
        <v>43151</v>
      </c>
      <c r="C66" s="7">
        <v>500</v>
      </c>
      <c r="D66" s="74">
        <v>15.82</v>
      </c>
      <c r="E66" s="43">
        <v>0</v>
      </c>
      <c r="F66" s="43">
        <f t="shared" si="4"/>
        <v>7910</v>
      </c>
      <c r="G66" s="397">
        <v>43284</v>
      </c>
      <c r="H66" s="77">
        <v>200</v>
      </c>
      <c r="I66" s="74">
        <v>21.58</v>
      </c>
      <c r="J66" s="43">
        <v>0.06</v>
      </c>
      <c r="K66" s="43">
        <f t="shared" si="1"/>
        <v>4315.9399999999996</v>
      </c>
      <c r="AA66" s="2"/>
      <c r="AD66" s="2"/>
      <c r="AG66" s="2"/>
      <c r="AI66" s="2"/>
    </row>
    <row r="67" spans="1:35" x14ac:dyDescent="0.25">
      <c r="B67" s="397">
        <v>43152</v>
      </c>
      <c r="C67" s="7">
        <v>500</v>
      </c>
      <c r="D67" s="74">
        <v>15.44</v>
      </c>
      <c r="E67" s="43">
        <v>0</v>
      </c>
      <c r="F67" s="43">
        <f t="shared" si="4"/>
        <v>7720</v>
      </c>
      <c r="G67" s="397">
        <v>43287</v>
      </c>
      <c r="H67" s="77">
        <v>500</v>
      </c>
      <c r="I67" s="74">
        <v>21.07</v>
      </c>
      <c r="J67" s="43">
        <v>1.1399999999999999</v>
      </c>
      <c r="K67" s="43">
        <f t="shared" si="1"/>
        <v>10533.86</v>
      </c>
      <c r="AA67" s="2"/>
      <c r="AD67" s="2"/>
      <c r="AG67" s="2"/>
      <c r="AI67" s="2"/>
    </row>
    <row r="68" spans="1:35" x14ac:dyDescent="0.25">
      <c r="B68" s="397">
        <v>43159</v>
      </c>
      <c r="C68" s="7">
        <v>400</v>
      </c>
      <c r="D68" s="74">
        <v>14.75</v>
      </c>
      <c r="E68" s="43">
        <v>0</v>
      </c>
      <c r="F68" s="43">
        <f t="shared" si="4"/>
        <v>5900</v>
      </c>
      <c r="G68" s="397">
        <v>43290</v>
      </c>
      <c r="H68" s="77">
        <v>300</v>
      </c>
      <c r="I68" s="74">
        <v>21.59</v>
      </c>
      <c r="J68" s="43">
        <v>0.08</v>
      </c>
      <c r="K68" s="43">
        <f t="shared" si="1"/>
        <v>6476.92</v>
      </c>
      <c r="AA68" s="2"/>
      <c r="AD68" s="2"/>
      <c r="AG68" s="2"/>
      <c r="AI68" s="2"/>
    </row>
    <row r="69" spans="1:35" x14ac:dyDescent="0.25">
      <c r="B69" s="397">
        <v>43181</v>
      </c>
      <c r="C69" s="7">
        <v>400</v>
      </c>
      <c r="D69" s="74">
        <v>15.9</v>
      </c>
      <c r="E69" s="43">
        <v>0</v>
      </c>
      <c r="F69" s="43">
        <f t="shared" si="4"/>
        <v>6360</v>
      </c>
      <c r="G69" s="397">
        <v>43299</v>
      </c>
      <c r="H69" s="77">
        <v>500</v>
      </c>
      <c r="I69" s="74">
        <v>20.420000000000002</v>
      </c>
      <c r="J69" s="43">
        <v>0.13</v>
      </c>
      <c r="K69" s="43">
        <f t="shared" si="1"/>
        <v>10209.870000000001</v>
      </c>
      <c r="AA69" s="2"/>
      <c r="AD69" s="2"/>
      <c r="AG69" s="2"/>
      <c r="AI69" s="2"/>
    </row>
    <row r="70" spans="1:35" x14ac:dyDescent="0.25">
      <c r="B70" s="397">
        <v>43182</v>
      </c>
      <c r="C70" s="7">
        <v>200</v>
      </c>
      <c r="D70" s="74">
        <v>15.7</v>
      </c>
      <c r="E70" s="43">
        <v>0</v>
      </c>
      <c r="F70" s="43">
        <f t="shared" si="4"/>
        <v>3140</v>
      </c>
      <c r="G70" s="397">
        <v>43300</v>
      </c>
      <c r="H70" s="77">
        <v>300</v>
      </c>
      <c r="I70" s="74">
        <v>20.58</v>
      </c>
      <c r="J70" s="43">
        <v>0.08</v>
      </c>
      <c r="K70" s="43">
        <f t="shared" si="1"/>
        <v>6173.9199999999992</v>
      </c>
      <c r="AA70" s="2"/>
      <c r="AD70" s="2"/>
      <c r="AG70" s="2"/>
      <c r="AI70" s="2"/>
    </row>
    <row r="71" spans="1:35" x14ac:dyDescent="0.25">
      <c r="B71" s="397">
        <v>43187</v>
      </c>
      <c r="C71" s="7">
        <v>200</v>
      </c>
      <c r="D71" s="74">
        <v>15.45</v>
      </c>
      <c r="E71" s="43">
        <v>0</v>
      </c>
      <c r="F71" s="43">
        <f t="shared" si="4"/>
        <v>3090</v>
      </c>
      <c r="G71" s="397">
        <v>43305</v>
      </c>
      <c r="H71" s="77">
        <v>200</v>
      </c>
      <c r="I71" s="74">
        <v>20.92</v>
      </c>
      <c r="J71" s="43">
        <v>0.05</v>
      </c>
      <c r="K71" s="43">
        <f t="shared" si="1"/>
        <v>4183.95</v>
      </c>
      <c r="AA71" s="2"/>
      <c r="AD71" s="2"/>
      <c r="AG71" s="2"/>
      <c r="AI71" s="2"/>
    </row>
    <row r="72" spans="1:35" x14ac:dyDescent="0.25">
      <c r="B72" s="397">
        <v>43192</v>
      </c>
      <c r="C72" s="7">
        <v>200</v>
      </c>
      <c r="D72" s="74">
        <v>15.68</v>
      </c>
      <c r="E72" s="43">
        <v>0</v>
      </c>
      <c r="F72" s="43">
        <f t="shared" si="4"/>
        <v>3136</v>
      </c>
      <c r="G72" s="397">
        <v>43311</v>
      </c>
      <c r="H72" s="77">
        <v>200</v>
      </c>
      <c r="I72" s="74">
        <v>21.32</v>
      </c>
      <c r="J72" s="43">
        <v>0.06</v>
      </c>
      <c r="K72" s="43">
        <f t="shared" si="1"/>
        <v>4263.9399999999996</v>
      </c>
      <c r="AA72" s="2"/>
      <c r="AD72" s="2"/>
      <c r="AG72" s="2"/>
      <c r="AI72" s="2"/>
    </row>
    <row r="73" spans="1:35" x14ac:dyDescent="0.25">
      <c r="B73" s="397">
        <v>43192</v>
      </c>
      <c r="C73" s="7">
        <v>200</v>
      </c>
      <c r="D73" s="74">
        <v>15.25</v>
      </c>
      <c r="E73" s="43">
        <v>0</v>
      </c>
      <c r="F73" s="43">
        <f t="shared" si="4"/>
        <v>3050</v>
      </c>
      <c r="G73" s="397">
        <v>43314</v>
      </c>
      <c r="H73" s="77">
        <v>200</v>
      </c>
      <c r="I73" s="74">
        <v>20.87</v>
      </c>
      <c r="J73" s="43">
        <v>0.03</v>
      </c>
      <c r="K73" s="43">
        <f t="shared" si="1"/>
        <v>4173.97</v>
      </c>
      <c r="AA73" s="2"/>
      <c r="AD73" s="2"/>
      <c r="AG73" s="2"/>
      <c r="AI73" s="2"/>
    </row>
    <row r="74" spans="1:35" ht="15" customHeight="1" x14ac:dyDescent="0.25">
      <c r="B74" s="397">
        <v>43196</v>
      </c>
      <c r="C74" s="7">
        <v>400</v>
      </c>
      <c r="D74" s="74">
        <v>16.420000000000002</v>
      </c>
      <c r="E74" s="43">
        <v>0</v>
      </c>
      <c r="F74" s="43">
        <f t="shared" si="4"/>
        <v>6568.0000000000009</v>
      </c>
      <c r="G74" s="397">
        <v>43329</v>
      </c>
      <c r="H74" s="77">
        <v>500</v>
      </c>
      <c r="I74" s="74">
        <v>19.73</v>
      </c>
      <c r="J74" s="43">
        <v>0.13</v>
      </c>
      <c r="K74" s="43">
        <f t="shared" si="1"/>
        <v>9864.8700000000008</v>
      </c>
      <c r="AA74" s="2"/>
      <c r="AD74" s="2"/>
      <c r="AG74" s="2"/>
      <c r="AI74" s="2"/>
    </row>
    <row r="75" spans="1:35" x14ac:dyDescent="0.25">
      <c r="B75" s="397">
        <v>43196</v>
      </c>
      <c r="C75" s="7">
        <v>400</v>
      </c>
      <c r="D75" s="74">
        <v>16.100000000000001</v>
      </c>
      <c r="E75" s="43">
        <v>0</v>
      </c>
      <c r="F75" s="43">
        <f t="shared" si="4"/>
        <v>6440.0000000000009</v>
      </c>
      <c r="G75" s="397">
        <v>43334</v>
      </c>
      <c r="H75" s="77">
        <v>700</v>
      </c>
      <c r="I75" s="74">
        <v>20.68</v>
      </c>
      <c r="J75" s="43">
        <v>0.19</v>
      </c>
      <c r="K75" s="43">
        <f t="shared" si="1"/>
        <v>14475.81</v>
      </c>
      <c r="AA75" s="2"/>
      <c r="AD75" s="2"/>
      <c r="AG75" s="2"/>
      <c r="AI75" s="2"/>
    </row>
    <row r="76" spans="1:35" x14ac:dyDescent="0.25">
      <c r="B76" s="397">
        <v>43217</v>
      </c>
      <c r="C76" s="7">
        <v>300</v>
      </c>
      <c r="D76" s="74">
        <v>18.190000000000001</v>
      </c>
      <c r="E76" s="43">
        <v>-0.3</v>
      </c>
      <c r="F76" s="43">
        <f t="shared" si="4"/>
        <v>5456.7</v>
      </c>
      <c r="G76" s="397">
        <v>43334</v>
      </c>
      <c r="H76" s="77">
        <v>100</v>
      </c>
      <c r="I76" s="74">
        <v>21.1</v>
      </c>
      <c r="J76" s="43">
        <v>0.03</v>
      </c>
      <c r="K76" s="43">
        <f t="shared" si="1"/>
        <v>2109.9699999999998</v>
      </c>
      <c r="AA76" s="2"/>
      <c r="AD76" s="2"/>
      <c r="AG76" s="2"/>
      <c r="AI76" s="2"/>
    </row>
    <row r="77" spans="1:35" x14ac:dyDescent="0.25">
      <c r="B77" s="397">
        <v>43227</v>
      </c>
      <c r="C77" s="7">
        <v>300</v>
      </c>
      <c r="D77" s="74">
        <v>19.82</v>
      </c>
      <c r="E77" s="43">
        <v>0</v>
      </c>
      <c r="F77" s="43">
        <f t="shared" si="4"/>
        <v>5946</v>
      </c>
      <c r="G77" s="397">
        <v>43335</v>
      </c>
      <c r="H77" s="77">
        <v>1</v>
      </c>
      <c r="I77" s="74">
        <v>20.78</v>
      </c>
      <c r="J77" s="43">
        <v>0.01</v>
      </c>
      <c r="K77" s="43">
        <f t="shared" si="1"/>
        <v>20.77</v>
      </c>
      <c r="AA77" s="2"/>
      <c r="AD77" s="2"/>
      <c r="AG77" s="2"/>
      <c r="AI77" s="2"/>
    </row>
    <row r="78" spans="1:35" x14ac:dyDescent="0.25">
      <c r="B78" s="397">
        <v>43245</v>
      </c>
      <c r="C78" s="7">
        <v>500</v>
      </c>
      <c r="D78" s="74">
        <v>20.68</v>
      </c>
      <c r="E78" s="43">
        <v>0</v>
      </c>
      <c r="F78" s="43">
        <f t="shared" si="4"/>
        <v>10340</v>
      </c>
      <c r="G78" s="397">
        <v>43339</v>
      </c>
      <c r="H78" s="77">
        <v>100</v>
      </c>
      <c r="I78" s="74">
        <v>20.94</v>
      </c>
      <c r="J78" s="43">
        <v>0.03</v>
      </c>
      <c r="K78" s="43">
        <f t="shared" si="1"/>
        <v>2093.9699999999998</v>
      </c>
      <c r="AA78" s="2"/>
      <c r="AD78" s="2"/>
      <c r="AG78" s="2"/>
      <c r="AI78" s="2"/>
    </row>
    <row r="79" spans="1:35" x14ac:dyDescent="0.25">
      <c r="B79" s="397">
        <v>43245</v>
      </c>
      <c r="C79" s="7">
        <v>500</v>
      </c>
      <c r="D79" s="74">
        <v>20.48</v>
      </c>
      <c r="E79" s="43">
        <v>0</v>
      </c>
      <c r="F79" s="43">
        <f t="shared" si="4"/>
        <v>10240</v>
      </c>
      <c r="G79" s="397">
        <v>43341</v>
      </c>
      <c r="H79" s="77">
        <v>199</v>
      </c>
      <c r="I79" s="74">
        <v>21.59</v>
      </c>
      <c r="J79" s="43">
        <v>0.06</v>
      </c>
      <c r="K79" s="43">
        <f t="shared" si="1"/>
        <v>4296.3499999999995</v>
      </c>
      <c r="AA79" s="2"/>
      <c r="AD79" s="2"/>
      <c r="AG79" s="2"/>
      <c r="AI79" s="2"/>
    </row>
    <row r="80" spans="1:35" x14ac:dyDescent="0.25">
      <c r="A80" s="890" t="s">
        <v>1056</v>
      </c>
      <c r="B80" s="397">
        <v>43266</v>
      </c>
      <c r="C80" s="7">
        <v>200</v>
      </c>
      <c r="D80" s="74">
        <v>20.65</v>
      </c>
      <c r="E80" s="43">
        <v>0</v>
      </c>
      <c r="F80" s="43">
        <f t="shared" si="4"/>
        <v>4130</v>
      </c>
      <c r="G80" s="397">
        <v>43361</v>
      </c>
      <c r="H80" s="77">
        <v>300</v>
      </c>
      <c r="I80" s="74">
        <v>21.38</v>
      </c>
      <c r="J80" s="43">
        <v>0.08</v>
      </c>
      <c r="K80" s="43">
        <f t="shared" si="1"/>
        <v>6413.92</v>
      </c>
      <c r="AA80" s="2"/>
      <c r="AD80" s="2"/>
      <c r="AG80" s="2"/>
      <c r="AI80" s="2"/>
    </row>
    <row r="81" spans="1:35" x14ac:dyDescent="0.25">
      <c r="A81" s="890"/>
      <c r="B81" s="397">
        <v>43266</v>
      </c>
      <c r="C81" s="7">
        <v>100</v>
      </c>
      <c r="D81" s="74">
        <v>20.350000000000001</v>
      </c>
      <c r="E81" s="43">
        <v>0</v>
      </c>
      <c r="F81" s="43">
        <f t="shared" si="4"/>
        <v>2035.0000000000002</v>
      </c>
      <c r="G81" s="397">
        <v>43367</v>
      </c>
      <c r="H81" s="77">
        <v>1000</v>
      </c>
      <c r="I81" s="74">
        <v>22.65</v>
      </c>
      <c r="J81" s="43">
        <v>0.28999999999999998</v>
      </c>
      <c r="K81" s="43">
        <f t="shared" si="1"/>
        <v>22649.71</v>
      </c>
      <c r="AA81" s="2"/>
      <c r="AD81" s="2"/>
      <c r="AG81" s="2"/>
      <c r="AI81" s="2"/>
    </row>
    <row r="82" spans="1:35" x14ac:dyDescent="0.25">
      <c r="A82" s="890"/>
      <c r="B82" s="397">
        <v>43266</v>
      </c>
      <c r="C82" s="7">
        <v>500</v>
      </c>
      <c r="D82" s="74">
        <v>19.98</v>
      </c>
      <c r="E82" s="43">
        <v>-0.5</v>
      </c>
      <c r="F82" s="43">
        <f t="shared" si="4"/>
        <v>9989.5</v>
      </c>
      <c r="G82" s="397">
        <v>43371</v>
      </c>
      <c r="H82" s="77">
        <v>200</v>
      </c>
      <c r="I82" s="74">
        <v>23.38</v>
      </c>
      <c r="J82" s="43">
        <v>0.06</v>
      </c>
      <c r="K82" s="43">
        <f t="shared" si="1"/>
        <v>4675.9399999999996</v>
      </c>
      <c r="AA82" s="2"/>
      <c r="AD82" s="2"/>
      <c r="AG82" s="2"/>
      <c r="AI82" s="2"/>
    </row>
    <row r="83" spans="1:35" x14ac:dyDescent="0.25">
      <c r="B83" s="397">
        <v>43272</v>
      </c>
      <c r="C83" s="7">
        <v>200</v>
      </c>
      <c r="D83" s="74">
        <v>20.05</v>
      </c>
      <c r="E83" s="43">
        <v>0</v>
      </c>
      <c r="F83" s="43">
        <f t="shared" si="4"/>
        <v>4010</v>
      </c>
      <c r="G83" s="397">
        <v>43397</v>
      </c>
      <c r="H83" s="77">
        <v>500</v>
      </c>
      <c r="I83" s="74">
        <v>19.72</v>
      </c>
      <c r="J83" s="43">
        <v>0.13</v>
      </c>
      <c r="K83" s="43">
        <f t="shared" si="1"/>
        <v>9859.8700000000008</v>
      </c>
      <c r="AA83" s="2"/>
      <c r="AD83" s="2"/>
      <c r="AG83" s="2"/>
      <c r="AI83" s="2"/>
    </row>
    <row r="84" spans="1:35" x14ac:dyDescent="0.25">
      <c r="B84" s="397">
        <v>43276</v>
      </c>
      <c r="C84" s="7">
        <v>200</v>
      </c>
      <c r="D84" s="74">
        <v>20.48</v>
      </c>
      <c r="E84" s="43">
        <v>0</v>
      </c>
      <c r="F84" s="43">
        <f t="shared" si="4"/>
        <v>4096</v>
      </c>
      <c r="G84" s="397">
        <v>43404</v>
      </c>
      <c r="H84" s="77">
        <v>300</v>
      </c>
      <c r="I84" s="74">
        <v>19.68</v>
      </c>
      <c r="J84" s="43">
        <v>0.08</v>
      </c>
      <c r="K84" s="43">
        <f t="shared" si="1"/>
        <v>5903.92</v>
      </c>
      <c r="AA84" s="2"/>
      <c r="AD84" s="2"/>
      <c r="AG84" s="2"/>
      <c r="AI84" s="2"/>
    </row>
    <row r="85" spans="1:35" x14ac:dyDescent="0.25">
      <c r="A85" t="s">
        <v>1151</v>
      </c>
      <c r="B85" s="397">
        <v>43286</v>
      </c>
      <c r="C85" s="7">
        <v>200</v>
      </c>
      <c r="D85" s="74">
        <v>20.88</v>
      </c>
      <c r="E85" s="43">
        <v>0</v>
      </c>
      <c r="F85" s="43">
        <f t="shared" si="4"/>
        <v>4176</v>
      </c>
      <c r="G85" s="397">
        <v>43427</v>
      </c>
      <c r="H85" s="77">
        <v>200</v>
      </c>
      <c r="I85" s="74">
        <v>15.52</v>
      </c>
      <c r="J85" s="43">
        <v>0.04</v>
      </c>
      <c r="K85" s="43">
        <f t="shared" si="1"/>
        <v>3103.96</v>
      </c>
      <c r="AA85" s="2"/>
      <c r="AD85" s="2"/>
      <c r="AG85" s="2"/>
      <c r="AI85" s="2"/>
    </row>
    <row r="86" spans="1:35" x14ac:dyDescent="0.25">
      <c r="B86" s="397">
        <v>43286</v>
      </c>
      <c r="C86" s="7">
        <v>300</v>
      </c>
      <c r="D86" s="74">
        <v>20.68</v>
      </c>
      <c r="E86" s="43">
        <v>0</v>
      </c>
      <c r="F86" s="43">
        <f t="shared" si="4"/>
        <v>6204</v>
      </c>
      <c r="G86" s="397">
        <v>43430</v>
      </c>
      <c r="H86" s="77">
        <v>400</v>
      </c>
      <c r="I86" s="74">
        <v>16.18</v>
      </c>
      <c r="J86" s="43">
        <v>0.08</v>
      </c>
      <c r="K86" s="43">
        <f t="shared" si="1"/>
        <v>6471.92</v>
      </c>
      <c r="U86" s="118">
        <v>43341</v>
      </c>
      <c r="V86" s="648" t="s">
        <v>1209</v>
      </c>
      <c r="AA86" s="2"/>
      <c r="AD86" s="2"/>
      <c r="AG86" s="2"/>
      <c r="AI86" s="2"/>
    </row>
    <row r="87" spans="1:35" ht="15" customHeight="1" x14ac:dyDescent="0.25">
      <c r="A87" s="891" t="s">
        <v>1126</v>
      </c>
      <c r="B87" s="397">
        <v>43292</v>
      </c>
      <c r="C87" s="7">
        <v>101</v>
      </c>
      <c r="D87" s="74">
        <v>21.3</v>
      </c>
      <c r="E87" s="43">
        <v>0</v>
      </c>
      <c r="F87" s="43">
        <f t="shared" si="4"/>
        <v>2151.3000000000002</v>
      </c>
      <c r="G87" s="397">
        <v>43434</v>
      </c>
      <c r="H87" s="77">
        <v>200</v>
      </c>
      <c r="I87" s="74">
        <v>16.68</v>
      </c>
      <c r="J87" s="43">
        <v>0.04</v>
      </c>
      <c r="K87" s="43">
        <f t="shared" si="1"/>
        <v>3335.96</v>
      </c>
      <c r="AA87" s="2"/>
      <c r="AD87" s="2"/>
      <c r="AG87" s="2"/>
      <c r="AI87" s="2"/>
    </row>
    <row r="88" spans="1:35" x14ac:dyDescent="0.25">
      <c r="A88" s="891"/>
      <c r="B88" s="397">
        <v>43292</v>
      </c>
      <c r="C88" s="7">
        <v>199</v>
      </c>
      <c r="D88" s="74">
        <v>21.3</v>
      </c>
      <c r="E88" s="43">
        <v>0</v>
      </c>
      <c r="F88" s="43">
        <f>C88*D88+E88</f>
        <v>4238.7</v>
      </c>
      <c r="G88" s="397">
        <v>43441</v>
      </c>
      <c r="H88" s="77">
        <v>200</v>
      </c>
      <c r="I88" s="74">
        <v>16.82</v>
      </c>
      <c r="J88" s="43">
        <v>0.04</v>
      </c>
      <c r="K88" s="43">
        <f t="shared" si="1"/>
        <v>3363.96</v>
      </c>
      <c r="U88" s="118">
        <v>43349</v>
      </c>
      <c r="V88" s="648" t="s">
        <v>1217</v>
      </c>
      <c r="AA88" s="2"/>
      <c r="AD88" s="2"/>
      <c r="AG88" s="2"/>
      <c r="AI88" s="2"/>
    </row>
    <row r="89" spans="1:35" x14ac:dyDescent="0.25">
      <c r="A89" s="891"/>
      <c r="B89" s="397">
        <v>43297</v>
      </c>
      <c r="C89" s="7">
        <v>500</v>
      </c>
      <c r="D89" s="74">
        <v>20.38</v>
      </c>
      <c r="E89" s="43">
        <v>0</v>
      </c>
      <c r="F89" s="43">
        <f t="shared" ref="F89:F96" si="5">C89*D89+E89</f>
        <v>10190</v>
      </c>
      <c r="G89" s="397">
        <v>43460</v>
      </c>
      <c r="H89" s="77">
        <v>200</v>
      </c>
      <c r="I89" s="74">
        <v>13.18</v>
      </c>
      <c r="J89" s="43">
        <v>0.03</v>
      </c>
      <c r="K89" s="43">
        <f t="shared" si="1"/>
        <v>2635.97</v>
      </c>
      <c r="U89" s="118">
        <v>43352</v>
      </c>
      <c r="V89" s="648" t="s">
        <v>1216</v>
      </c>
    </row>
    <row r="90" spans="1:35" x14ac:dyDescent="0.25">
      <c r="A90" s="891"/>
      <c r="B90" s="397">
        <v>43297</v>
      </c>
      <c r="C90" s="7">
        <v>500</v>
      </c>
      <c r="D90" s="74">
        <v>19.95</v>
      </c>
      <c r="E90" s="43">
        <v>0</v>
      </c>
      <c r="F90" s="43">
        <f t="shared" si="5"/>
        <v>9975</v>
      </c>
      <c r="G90" s="397">
        <v>43467</v>
      </c>
      <c r="H90" s="77">
        <v>400</v>
      </c>
      <c r="I90" s="74">
        <v>14.75</v>
      </c>
      <c r="J90" s="43">
        <v>0.08</v>
      </c>
      <c r="K90" s="43">
        <f t="shared" si="1"/>
        <v>5899.92</v>
      </c>
    </row>
    <row r="91" spans="1:35" x14ac:dyDescent="0.25">
      <c r="B91" s="397">
        <v>43312</v>
      </c>
      <c r="C91" s="7">
        <v>200</v>
      </c>
      <c r="D91" s="74">
        <v>20.65</v>
      </c>
      <c r="E91" s="43">
        <v>0</v>
      </c>
      <c r="F91" s="43">
        <f t="shared" si="5"/>
        <v>4130</v>
      </c>
      <c r="G91" s="397">
        <v>43469</v>
      </c>
      <c r="H91" s="77">
        <v>400</v>
      </c>
      <c r="I91" s="74">
        <v>14.88</v>
      </c>
      <c r="J91" s="43">
        <v>0.08</v>
      </c>
      <c r="K91" s="43">
        <f t="shared" si="1"/>
        <v>5951.92</v>
      </c>
    </row>
    <row r="92" spans="1:35" x14ac:dyDescent="0.25">
      <c r="B92" s="397">
        <v>43314</v>
      </c>
      <c r="C92" s="7">
        <v>200</v>
      </c>
      <c r="D92" s="74">
        <v>19.7</v>
      </c>
      <c r="E92" s="43">
        <v>0</v>
      </c>
      <c r="F92" s="43">
        <f t="shared" si="5"/>
        <v>3940</v>
      </c>
      <c r="G92" s="397">
        <v>43475</v>
      </c>
      <c r="H92" s="77">
        <v>200</v>
      </c>
      <c r="I92" s="74">
        <v>16.32</v>
      </c>
      <c r="J92" s="43">
        <v>0.04</v>
      </c>
      <c r="K92" s="43">
        <f t="shared" si="1"/>
        <v>3263.96</v>
      </c>
      <c r="U92" s="118">
        <v>43407</v>
      </c>
      <c r="V92" s="648" t="s">
        <v>1242</v>
      </c>
    </row>
    <row r="93" spans="1:35" x14ac:dyDescent="0.25">
      <c r="B93" s="397">
        <v>43320</v>
      </c>
      <c r="C93" s="7">
        <v>300</v>
      </c>
      <c r="D93" s="74">
        <v>20.010000000000002</v>
      </c>
      <c r="E93" s="43">
        <v>0</v>
      </c>
      <c r="F93" s="43">
        <f t="shared" si="5"/>
        <v>6003.0000000000009</v>
      </c>
      <c r="G93" s="397">
        <v>43483</v>
      </c>
      <c r="H93" s="77">
        <v>200</v>
      </c>
      <c r="I93" s="74">
        <v>16.010000000000002</v>
      </c>
      <c r="J93" s="43">
        <v>0.04</v>
      </c>
      <c r="K93" s="43">
        <f t="shared" si="1"/>
        <v>3201.9600000000005</v>
      </c>
    </row>
    <row r="94" spans="1:35" x14ac:dyDescent="0.25">
      <c r="B94" s="397">
        <v>43327</v>
      </c>
      <c r="C94" s="7">
        <v>700</v>
      </c>
      <c r="D94" s="74">
        <v>19.579999999999998</v>
      </c>
      <c r="E94" s="43">
        <v>0</v>
      </c>
      <c r="F94" s="43">
        <f t="shared" si="5"/>
        <v>13705.999999999998</v>
      </c>
      <c r="G94" s="397">
        <v>43490</v>
      </c>
      <c r="H94" s="77">
        <v>200</v>
      </c>
      <c r="I94" s="74">
        <v>16.079999999999998</v>
      </c>
      <c r="J94" s="43">
        <v>0.04</v>
      </c>
      <c r="K94" s="43">
        <f t="shared" si="1"/>
        <v>3215.9599999999996</v>
      </c>
      <c r="U94" s="118">
        <v>43417</v>
      </c>
      <c r="V94" s="648" t="s">
        <v>1251</v>
      </c>
    </row>
    <row r="95" spans="1:35" x14ac:dyDescent="0.25">
      <c r="B95" s="397">
        <v>43327</v>
      </c>
      <c r="C95" s="7">
        <v>500</v>
      </c>
      <c r="D95" s="74">
        <v>19.079999999999998</v>
      </c>
      <c r="E95" s="43">
        <v>0</v>
      </c>
      <c r="F95" s="43">
        <f t="shared" si="5"/>
        <v>9540</v>
      </c>
      <c r="G95" s="397">
        <v>43510</v>
      </c>
      <c r="H95" s="77">
        <v>400</v>
      </c>
      <c r="I95" s="74">
        <v>16.38</v>
      </c>
      <c r="J95" s="43">
        <v>0.09</v>
      </c>
      <c r="K95" s="43">
        <f t="shared" si="1"/>
        <v>6551.91</v>
      </c>
      <c r="V95" s="648" t="s">
        <v>1252</v>
      </c>
    </row>
    <row r="96" spans="1:35" x14ac:dyDescent="0.25">
      <c r="A96" s="892" t="s">
        <v>1223</v>
      </c>
      <c r="B96" s="397">
        <v>43339</v>
      </c>
      <c r="C96" s="7">
        <v>1</v>
      </c>
      <c r="D96" s="74">
        <v>20.68</v>
      </c>
      <c r="E96" s="43">
        <v>0</v>
      </c>
      <c r="F96" s="43">
        <f t="shared" si="5"/>
        <v>20.68</v>
      </c>
      <c r="G96" s="397">
        <v>43510</v>
      </c>
      <c r="H96" s="77">
        <v>200</v>
      </c>
      <c r="I96" s="74">
        <v>16.98</v>
      </c>
      <c r="J96" s="43">
        <v>0.04</v>
      </c>
      <c r="K96" s="43">
        <f t="shared" si="1"/>
        <v>3395.96</v>
      </c>
    </row>
    <row r="97" spans="1:22" x14ac:dyDescent="0.25">
      <c r="A97" s="892"/>
      <c r="B97" s="397">
        <v>43339</v>
      </c>
      <c r="C97" s="7">
        <v>100</v>
      </c>
      <c r="D97" s="74">
        <v>20.68</v>
      </c>
      <c r="E97" s="43">
        <v>0</v>
      </c>
      <c r="F97" s="43">
        <f t="shared" ref="F97:F134" si="6">C97*D97+E97</f>
        <v>2068</v>
      </c>
      <c r="G97" s="397">
        <v>43544</v>
      </c>
      <c r="H97" s="77">
        <v>100</v>
      </c>
      <c r="I97" s="74">
        <v>17.68</v>
      </c>
      <c r="J97" s="43">
        <v>0.02</v>
      </c>
      <c r="K97" s="43">
        <f t="shared" si="1"/>
        <v>1767.98</v>
      </c>
    </row>
    <row r="98" spans="1:22" x14ac:dyDescent="0.25">
      <c r="A98" s="892"/>
      <c r="B98" s="397">
        <v>43347</v>
      </c>
      <c r="C98" s="7">
        <v>199</v>
      </c>
      <c r="D98" s="74">
        <v>21.18</v>
      </c>
      <c r="E98" s="43">
        <v>0</v>
      </c>
      <c r="F98" s="43">
        <f t="shared" si="6"/>
        <v>4214.82</v>
      </c>
      <c r="G98" s="397">
        <v>43556</v>
      </c>
      <c r="H98" s="77">
        <v>300</v>
      </c>
      <c r="I98" s="74">
        <v>17.34</v>
      </c>
      <c r="J98" s="43">
        <v>7.0000000000000007E-2</v>
      </c>
      <c r="K98" s="43">
        <f t="shared" si="1"/>
        <v>5201.93</v>
      </c>
      <c r="U98" s="118">
        <v>43421</v>
      </c>
      <c r="V98" s="648" t="s">
        <v>1257</v>
      </c>
    </row>
    <row r="99" spans="1:22" x14ac:dyDescent="0.25">
      <c r="A99" s="892"/>
      <c r="B99" s="397">
        <v>43349</v>
      </c>
      <c r="C99" s="7">
        <v>100</v>
      </c>
      <c r="D99" s="74">
        <v>20.48</v>
      </c>
      <c r="E99" s="43">
        <v>0</v>
      </c>
      <c r="F99" s="43">
        <f t="shared" si="6"/>
        <v>2048</v>
      </c>
      <c r="G99" s="397">
        <v>43560</v>
      </c>
      <c r="H99" s="77">
        <v>300</v>
      </c>
      <c r="I99" s="74">
        <v>17.66</v>
      </c>
      <c r="J99" s="43">
        <v>7.0000000000000007E-2</v>
      </c>
      <c r="K99" s="43">
        <f t="shared" si="1"/>
        <v>5297.93</v>
      </c>
      <c r="V99" s="648" t="s">
        <v>1258</v>
      </c>
    </row>
    <row r="100" spans="1:22" ht="15" customHeight="1" x14ac:dyDescent="0.25">
      <c r="A100" s="893" t="s">
        <v>1233</v>
      </c>
      <c r="B100" s="397">
        <v>43381</v>
      </c>
      <c r="C100" s="4">
        <v>200</v>
      </c>
      <c r="D100" s="184">
        <v>22.84</v>
      </c>
      <c r="E100" s="3">
        <v>0</v>
      </c>
      <c r="F100" s="3">
        <f t="shared" si="6"/>
        <v>4568</v>
      </c>
      <c r="G100" s="397">
        <v>43572</v>
      </c>
      <c r="H100" s="77">
        <v>200</v>
      </c>
      <c r="I100" s="74">
        <v>17.8</v>
      </c>
      <c r="J100" s="43">
        <v>7.0000000000000007E-2</v>
      </c>
      <c r="K100" s="43">
        <f t="shared" si="1"/>
        <v>3559.93</v>
      </c>
    </row>
    <row r="101" spans="1:22" x14ac:dyDescent="0.25">
      <c r="A101" s="893"/>
      <c r="B101" s="397">
        <v>43383</v>
      </c>
      <c r="C101" s="4">
        <v>200</v>
      </c>
      <c r="D101" s="184">
        <v>22.1</v>
      </c>
      <c r="E101" s="3">
        <v>0</v>
      </c>
      <c r="F101" s="3">
        <f t="shared" si="6"/>
        <v>4420</v>
      </c>
      <c r="G101" s="397">
        <v>43577</v>
      </c>
      <c r="H101" s="77">
        <v>200</v>
      </c>
      <c r="I101" s="74">
        <v>18.78</v>
      </c>
      <c r="J101" s="43">
        <v>0.08</v>
      </c>
      <c r="K101" s="43">
        <f t="shared" si="1"/>
        <v>3755.92</v>
      </c>
      <c r="U101" s="118">
        <v>43435</v>
      </c>
    </row>
    <row r="102" spans="1:22" x14ac:dyDescent="0.25">
      <c r="A102" s="893"/>
      <c r="B102" s="397">
        <v>43383</v>
      </c>
      <c r="C102" s="4">
        <v>200</v>
      </c>
      <c r="D102" s="75">
        <v>21.8</v>
      </c>
      <c r="E102" s="2">
        <v>0</v>
      </c>
      <c r="F102" s="2">
        <f t="shared" si="6"/>
        <v>4360</v>
      </c>
      <c r="G102" s="397">
        <v>43658</v>
      </c>
      <c r="H102" s="77">
        <v>100</v>
      </c>
      <c r="I102" s="74">
        <v>13.901199999999999</v>
      </c>
      <c r="J102" s="43">
        <v>0</v>
      </c>
      <c r="K102" s="43">
        <f t="shared" si="1"/>
        <v>1390.12</v>
      </c>
    </row>
    <row r="103" spans="1:22" x14ac:dyDescent="0.25">
      <c r="A103" s="893"/>
      <c r="B103" s="397">
        <v>43383</v>
      </c>
      <c r="C103">
        <v>300</v>
      </c>
      <c r="D103" s="75">
        <v>21.28</v>
      </c>
      <c r="E103" s="2">
        <v>0</v>
      </c>
      <c r="F103" s="2">
        <f t="shared" si="6"/>
        <v>6384</v>
      </c>
      <c r="G103" s="397">
        <v>43670</v>
      </c>
      <c r="H103" s="77">
        <v>2400</v>
      </c>
      <c r="I103" s="74">
        <v>14.09</v>
      </c>
      <c r="J103" s="43">
        <v>0.7</v>
      </c>
      <c r="K103" s="43">
        <f t="shared" si="1"/>
        <v>33815.300000000003</v>
      </c>
    </row>
    <row r="104" spans="1:22" x14ac:dyDescent="0.25">
      <c r="A104" s="893"/>
      <c r="B104" s="397">
        <v>43384</v>
      </c>
      <c r="C104" s="4">
        <v>300</v>
      </c>
      <c r="D104" s="184">
        <v>20.32</v>
      </c>
      <c r="E104" s="3">
        <v>0</v>
      </c>
      <c r="F104" s="3">
        <f t="shared" si="6"/>
        <v>6096</v>
      </c>
      <c r="G104" s="397">
        <v>43686</v>
      </c>
      <c r="H104" s="77">
        <v>500</v>
      </c>
      <c r="I104" s="74">
        <v>13.05</v>
      </c>
      <c r="J104" s="43">
        <v>0.14000000000000001</v>
      </c>
      <c r="K104" s="43">
        <f t="shared" si="1"/>
        <v>6524.86</v>
      </c>
    </row>
    <row r="105" spans="1:22" x14ac:dyDescent="0.25">
      <c r="B105" s="397">
        <v>43396</v>
      </c>
      <c r="C105" s="4">
        <v>500</v>
      </c>
      <c r="D105" s="184">
        <v>19.2</v>
      </c>
      <c r="E105" s="3">
        <v>0</v>
      </c>
      <c r="F105" s="3">
        <f t="shared" si="6"/>
        <v>9600</v>
      </c>
      <c r="G105" s="397">
        <v>43696</v>
      </c>
      <c r="H105" s="77">
        <v>500</v>
      </c>
      <c r="I105" s="74">
        <v>12.92</v>
      </c>
      <c r="J105" s="43">
        <v>0.13</v>
      </c>
      <c r="K105" s="43">
        <f t="shared" si="1"/>
        <v>6459.87</v>
      </c>
    </row>
    <row r="106" spans="1:22" x14ac:dyDescent="0.25">
      <c r="B106" s="397">
        <v>43397</v>
      </c>
      <c r="C106" s="7">
        <v>300</v>
      </c>
      <c r="D106" s="74">
        <v>19.079999999999998</v>
      </c>
      <c r="E106" s="43">
        <v>0</v>
      </c>
      <c r="F106" s="43">
        <f t="shared" si="6"/>
        <v>5723.9999999999991</v>
      </c>
      <c r="G106" s="397">
        <v>43706</v>
      </c>
      <c r="H106" s="77">
        <v>200</v>
      </c>
      <c r="I106" s="74">
        <v>12.3</v>
      </c>
      <c r="J106" s="43">
        <v>0.05</v>
      </c>
      <c r="K106" s="43">
        <f t="shared" si="1"/>
        <v>2459.9499999999998</v>
      </c>
    </row>
    <row r="107" spans="1:22" x14ac:dyDescent="0.25">
      <c r="B107" s="397">
        <v>43416</v>
      </c>
      <c r="C107" s="7">
        <v>200</v>
      </c>
      <c r="D107" s="74">
        <v>17.48</v>
      </c>
      <c r="E107" s="43">
        <v>0</v>
      </c>
      <c r="F107" s="43">
        <f t="shared" si="6"/>
        <v>3496</v>
      </c>
      <c r="G107" s="397">
        <v>43713</v>
      </c>
      <c r="H107" s="77">
        <v>200</v>
      </c>
      <c r="I107" s="74">
        <v>12.42</v>
      </c>
      <c r="J107" s="43">
        <v>0.05</v>
      </c>
      <c r="K107" s="43">
        <f t="shared" si="1"/>
        <v>2483.9499999999998</v>
      </c>
    </row>
    <row r="108" spans="1:22" x14ac:dyDescent="0.25">
      <c r="B108" s="397">
        <v>43424</v>
      </c>
      <c r="C108" s="7">
        <v>200</v>
      </c>
      <c r="D108" s="74">
        <v>16.18</v>
      </c>
      <c r="E108" s="43">
        <v>0</v>
      </c>
      <c r="F108" s="43">
        <f t="shared" si="6"/>
        <v>3236</v>
      </c>
      <c r="G108" s="397">
        <v>43718</v>
      </c>
      <c r="H108" s="77">
        <v>300</v>
      </c>
      <c r="I108" s="74">
        <v>13.14</v>
      </c>
      <c r="J108" s="43">
        <v>0.08</v>
      </c>
      <c r="K108" s="43">
        <f t="shared" si="1"/>
        <v>3941.92</v>
      </c>
    </row>
    <row r="109" spans="1:22" x14ac:dyDescent="0.25">
      <c r="B109" s="397">
        <v>43427</v>
      </c>
      <c r="C109" s="7">
        <v>200</v>
      </c>
      <c r="D109" s="74">
        <v>15.18</v>
      </c>
      <c r="E109" s="43">
        <v>0</v>
      </c>
      <c r="F109" s="43">
        <f t="shared" si="6"/>
        <v>3036</v>
      </c>
      <c r="G109" s="397">
        <v>43724</v>
      </c>
      <c r="H109" s="77">
        <v>681</v>
      </c>
      <c r="I109" s="74">
        <v>14.28</v>
      </c>
      <c r="J109" s="43">
        <v>0.2</v>
      </c>
      <c r="K109" s="43">
        <f t="shared" si="1"/>
        <v>9724.48</v>
      </c>
    </row>
    <row r="110" spans="1:22" x14ac:dyDescent="0.25">
      <c r="B110" s="397">
        <v>43440</v>
      </c>
      <c r="C110" s="7">
        <v>200</v>
      </c>
      <c r="D110" s="74">
        <v>15.75</v>
      </c>
      <c r="E110" s="43">
        <v>0</v>
      </c>
      <c r="F110" s="43">
        <f t="shared" si="6"/>
        <v>3150</v>
      </c>
      <c r="G110" s="397">
        <v>43773</v>
      </c>
      <c r="H110" s="77">
        <v>500</v>
      </c>
      <c r="I110" s="74">
        <v>12.52</v>
      </c>
      <c r="J110" s="43">
        <v>0.13</v>
      </c>
      <c r="K110" s="43">
        <f t="shared" si="1"/>
        <v>6259.87</v>
      </c>
    </row>
    <row r="111" spans="1:22" x14ac:dyDescent="0.25">
      <c r="B111" s="397">
        <v>43441</v>
      </c>
      <c r="C111" s="7">
        <v>200</v>
      </c>
      <c r="D111" s="74">
        <v>16.25</v>
      </c>
      <c r="E111" s="43">
        <v>0</v>
      </c>
      <c r="F111" s="43">
        <f t="shared" si="6"/>
        <v>3250</v>
      </c>
      <c r="G111" s="397">
        <v>43777</v>
      </c>
      <c r="H111" s="77">
        <v>500</v>
      </c>
      <c r="I111" s="74">
        <v>12.41</v>
      </c>
      <c r="J111" s="43">
        <v>0.13</v>
      </c>
      <c r="K111" s="43">
        <f t="shared" si="1"/>
        <v>6204.87</v>
      </c>
    </row>
    <row r="112" spans="1:22" x14ac:dyDescent="0.25">
      <c r="B112" s="397">
        <v>43448</v>
      </c>
      <c r="C112" s="7">
        <v>200</v>
      </c>
      <c r="D112" s="74">
        <v>15.01</v>
      </c>
      <c r="E112" s="43">
        <v>0</v>
      </c>
      <c r="F112" s="43">
        <f t="shared" si="6"/>
        <v>3002</v>
      </c>
      <c r="G112" s="397">
        <v>43805</v>
      </c>
      <c r="H112" s="77">
        <v>500</v>
      </c>
      <c r="I112" s="74">
        <v>12.38</v>
      </c>
      <c r="J112" s="43">
        <v>0.13</v>
      </c>
      <c r="K112" s="43">
        <f t="shared" si="1"/>
        <v>6189.87</v>
      </c>
    </row>
    <row r="113" spans="2:7" x14ac:dyDescent="0.25">
      <c r="B113" s="397">
        <v>43452</v>
      </c>
      <c r="C113" s="7">
        <v>200</v>
      </c>
      <c r="D113" s="74">
        <v>14.3</v>
      </c>
      <c r="E113" s="43">
        <v>0</v>
      </c>
      <c r="F113" s="43">
        <f t="shared" si="6"/>
        <v>2860</v>
      </c>
      <c r="G113" s="29"/>
    </row>
    <row r="114" spans="2:7" x14ac:dyDescent="0.25">
      <c r="B114" s="397">
        <v>43459</v>
      </c>
      <c r="C114" s="7">
        <v>200</v>
      </c>
      <c r="D114" s="74">
        <v>12.78</v>
      </c>
      <c r="E114" s="43">
        <v>0</v>
      </c>
      <c r="F114" s="43">
        <f t="shared" si="6"/>
        <v>2556</v>
      </c>
      <c r="G114" s="29"/>
    </row>
    <row r="115" spans="2:7" x14ac:dyDescent="0.25">
      <c r="B115" s="397">
        <v>43468</v>
      </c>
      <c r="C115" s="7">
        <v>400</v>
      </c>
      <c r="D115" s="74">
        <v>14.45</v>
      </c>
      <c r="E115" s="43">
        <v>0</v>
      </c>
      <c r="F115" s="43">
        <f t="shared" si="6"/>
        <v>5780</v>
      </c>
      <c r="G115" s="29"/>
    </row>
    <row r="116" spans="2:7" x14ac:dyDescent="0.25">
      <c r="B116" s="397">
        <v>43479</v>
      </c>
      <c r="C116" s="7">
        <v>200</v>
      </c>
      <c r="D116" s="74">
        <v>15.8</v>
      </c>
      <c r="E116" s="43">
        <v>0</v>
      </c>
      <c r="F116" s="43">
        <f t="shared" si="6"/>
        <v>3160</v>
      </c>
      <c r="G116" s="29"/>
    </row>
    <row r="117" spans="2:7" x14ac:dyDescent="0.25">
      <c r="B117" s="397">
        <v>43487</v>
      </c>
      <c r="C117" s="7">
        <v>200</v>
      </c>
      <c r="D117" s="74">
        <v>15.68</v>
      </c>
      <c r="E117" s="43">
        <v>0</v>
      </c>
      <c r="F117" s="43">
        <f t="shared" si="6"/>
        <v>3136</v>
      </c>
      <c r="G117" s="29"/>
    </row>
    <row r="118" spans="2:7" x14ac:dyDescent="0.25">
      <c r="B118" s="397">
        <v>43496</v>
      </c>
      <c r="C118" s="7">
        <v>200</v>
      </c>
      <c r="D118" s="74">
        <v>15.8</v>
      </c>
      <c r="E118" s="43">
        <v>0</v>
      </c>
      <c r="F118" s="43">
        <f t="shared" si="6"/>
        <v>3160</v>
      </c>
      <c r="G118" s="29"/>
    </row>
    <row r="119" spans="2:7" x14ac:dyDescent="0.25">
      <c r="B119" s="397">
        <v>43498</v>
      </c>
      <c r="C119" s="7">
        <v>200</v>
      </c>
      <c r="D119" s="74">
        <v>16.204999999999998</v>
      </c>
      <c r="E119" s="43">
        <v>0</v>
      </c>
      <c r="F119" s="43">
        <f t="shared" si="6"/>
        <v>3240.9999999999995</v>
      </c>
      <c r="G119" s="29"/>
    </row>
    <row r="120" spans="2:7" x14ac:dyDescent="0.25">
      <c r="B120" s="397">
        <v>43503</v>
      </c>
      <c r="C120" s="7">
        <v>200</v>
      </c>
      <c r="D120" s="74">
        <v>15.22</v>
      </c>
      <c r="E120" s="43">
        <v>0</v>
      </c>
      <c r="F120" s="43">
        <f t="shared" si="6"/>
        <v>3044</v>
      </c>
      <c r="G120" s="29"/>
    </row>
    <row r="121" spans="2:7" x14ac:dyDescent="0.25">
      <c r="B121" s="397">
        <v>43546</v>
      </c>
      <c r="C121" s="7">
        <v>100</v>
      </c>
      <c r="D121" s="74">
        <v>17.18</v>
      </c>
      <c r="E121" s="43">
        <v>0</v>
      </c>
      <c r="F121" s="43">
        <f t="shared" si="6"/>
        <v>1718</v>
      </c>
      <c r="G121" s="29"/>
    </row>
    <row r="122" spans="2:7" x14ac:dyDescent="0.25">
      <c r="B122" s="397">
        <v>43546</v>
      </c>
      <c r="C122" s="7">
        <v>200</v>
      </c>
      <c r="D122" s="74">
        <v>16.75</v>
      </c>
      <c r="E122" s="43">
        <v>-1</v>
      </c>
      <c r="F122" s="43">
        <f t="shared" si="6"/>
        <v>3349</v>
      </c>
      <c r="G122" s="29"/>
    </row>
    <row r="123" spans="2:7" x14ac:dyDescent="0.25">
      <c r="B123" s="397">
        <v>43558</v>
      </c>
      <c r="C123" s="7">
        <v>300</v>
      </c>
      <c r="D123" s="74">
        <v>16.98</v>
      </c>
      <c r="E123" s="43">
        <v>0</v>
      </c>
      <c r="F123" s="43">
        <f t="shared" si="6"/>
        <v>5094</v>
      </c>
      <c r="G123" s="29"/>
    </row>
    <row r="124" spans="2:7" x14ac:dyDescent="0.25">
      <c r="B124" s="397">
        <v>43566</v>
      </c>
      <c r="C124" s="7">
        <v>200</v>
      </c>
      <c r="D124" s="74">
        <v>17.16</v>
      </c>
      <c r="E124" s="43">
        <v>0</v>
      </c>
      <c r="F124" s="43">
        <f t="shared" si="6"/>
        <v>3432</v>
      </c>
      <c r="G124" s="29"/>
    </row>
    <row r="125" spans="2:7" x14ac:dyDescent="0.25">
      <c r="B125" s="397">
        <v>43579</v>
      </c>
      <c r="C125" s="7">
        <v>200</v>
      </c>
      <c r="D125" s="74">
        <v>18.350000000000001</v>
      </c>
      <c r="E125" s="43">
        <v>0</v>
      </c>
      <c r="F125" s="43">
        <f t="shared" si="6"/>
        <v>3670.0000000000005</v>
      </c>
      <c r="G125" s="29"/>
    </row>
    <row r="126" spans="2:7" x14ac:dyDescent="0.25">
      <c r="B126" s="397">
        <v>43581</v>
      </c>
      <c r="C126" s="4">
        <v>300</v>
      </c>
      <c r="D126" s="75">
        <v>17.5</v>
      </c>
      <c r="E126" s="2">
        <v>0</v>
      </c>
      <c r="F126" s="2">
        <f t="shared" si="6"/>
        <v>5250</v>
      </c>
      <c r="G126" s="29"/>
    </row>
    <row r="127" spans="2:7" x14ac:dyDescent="0.25">
      <c r="B127" s="397">
        <v>43586</v>
      </c>
      <c r="C127" s="4">
        <v>200</v>
      </c>
      <c r="D127" s="75">
        <v>16.600000000000001</v>
      </c>
      <c r="E127" s="2">
        <v>0</v>
      </c>
      <c r="F127" s="2">
        <f t="shared" si="6"/>
        <v>3320.0000000000005</v>
      </c>
      <c r="G127" s="29"/>
    </row>
    <row r="128" spans="2:7" x14ac:dyDescent="0.25">
      <c r="B128" s="397">
        <v>43587</v>
      </c>
      <c r="C128" s="4">
        <v>200</v>
      </c>
      <c r="D128" s="75">
        <v>15.92</v>
      </c>
      <c r="E128" s="2">
        <v>0</v>
      </c>
      <c r="F128" s="2">
        <f t="shared" si="6"/>
        <v>3184</v>
      </c>
      <c r="G128" s="29"/>
    </row>
    <row r="129" spans="2:7" x14ac:dyDescent="0.25">
      <c r="B129" s="397">
        <v>43587</v>
      </c>
      <c r="C129" s="4">
        <v>200</v>
      </c>
      <c r="D129" s="75">
        <v>15.82</v>
      </c>
      <c r="E129" s="2">
        <v>0</v>
      </c>
      <c r="F129" s="2">
        <f t="shared" si="6"/>
        <v>3164</v>
      </c>
      <c r="G129" s="29"/>
    </row>
    <row r="130" spans="2:7" x14ac:dyDescent="0.25">
      <c r="B130" s="397">
        <v>43587</v>
      </c>
      <c r="C130" s="4">
        <v>200</v>
      </c>
      <c r="D130" s="75">
        <v>15.55</v>
      </c>
      <c r="E130" s="2">
        <v>0</v>
      </c>
      <c r="F130" s="2">
        <f t="shared" si="6"/>
        <v>3110</v>
      </c>
      <c r="G130" s="29"/>
    </row>
    <row r="131" spans="2:7" x14ac:dyDescent="0.25">
      <c r="B131" s="397">
        <v>43608</v>
      </c>
      <c r="C131" s="4">
        <v>400</v>
      </c>
      <c r="D131" s="75">
        <v>14.54</v>
      </c>
      <c r="E131" s="2">
        <v>0</v>
      </c>
      <c r="F131" s="2">
        <f t="shared" si="6"/>
        <v>5816</v>
      </c>
      <c r="G131" s="29"/>
    </row>
    <row r="132" spans="2:7" x14ac:dyDescent="0.25">
      <c r="B132" s="397">
        <v>43636</v>
      </c>
      <c r="C132" s="4">
        <v>200</v>
      </c>
      <c r="D132" s="75">
        <v>14.125</v>
      </c>
      <c r="E132" s="2">
        <v>-0.02</v>
      </c>
      <c r="F132" s="2">
        <f t="shared" si="6"/>
        <v>2824.98</v>
      </c>
      <c r="G132" s="29"/>
    </row>
    <row r="133" spans="2:7" x14ac:dyDescent="0.25">
      <c r="B133" s="397">
        <v>43640</v>
      </c>
      <c r="C133" s="4">
        <v>600</v>
      </c>
      <c r="D133" s="75">
        <v>14.08</v>
      </c>
      <c r="E133" s="2">
        <v>0</v>
      </c>
      <c r="F133" s="2">
        <f t="shared" si="6"/>
        <v>8448</v>
      </c>
      <c r="G133" s="29"/>
    </row>
    <row r="134" spans="2:7" x14ac:dyDescent="0.25">
      <c r="B134" s="397">
        <v>43641</v>
      </c>
      <c r="C134" s="4">
        <v>500</v>
      </c>
      <c r="D134" s="75">
        <v>14.09</v>
      </c>
      <c r="E134" s="2">
        <v>2.2799999999999998</v>
      </c>
      <c r="F134" s="2">
        <f t="shared" si="6"/>
        <v>7047.28</v>
      </c>
      <c r="G134" s="29"/>
    </row>
    <row r="135" spans="2:7" x14ac:dyDescent="0.25">
      <c r="B135" s="397">
        <v>43648</v>
      </c>
      <c r="C135" s="4">
        <v>81</v>
      </c>
      <c r="D135" s="75">
        <v>13.58</v>
      </c>
      <c r="E135" s="2">
        <v>0</v>
      </c>
      <c r="F135" s="2">
        <f>C135*D135+E135</f>
        <v>1099.98</v>
      </c>
      <c r="G135" s="29"/>
    </row>
    <row r="136" spans="2:7" x14ac:dyDescent="0.25">
      <c r="B136" s="398">
        <v>43648</v>
      </c>
      <c r="C136" s="4">
        <v>419</v>
      </c>
      <c r="D136" s="75">
        <v>13.58</v>
      </c>
      <c r="E136" s="2">
        <v>0</v>
      </c>
      <c r="F136" s="2">
        <f>C136*D136+E136</f>
        <v>5690.02</v>
      </c>
      <c r="G136" s="29"/>
    </row>
    <row r="137" spans="2:7" x14ac:dyDescent="0.25">
      <c r="B137" s="398">
        <v>43655</v>
      </c>
      <c r="C137" s="7">
        <v>2000</v>
      </c>
      <c r="D137" s="74">
        <v>13.6</v>
      </c>
      <c r="E137" s="43">
        <v>-0.28999999999999998</v>
      </c>
      <c r="F137" s="43">
        <f>C137*D137+E137</f>
        <v>27199.71</v>
      </c>
      <c r="G137" s="29"/>
    </row>
    <row r="138" spans="2:7" x14ac:dyDescent="0.25">
      <c r="B138" s="398">
        <v>43657</v>
      </c>
      <c r="C138" s="7">
        <v>100</v>
      </c>
      <c r="D138" s="74">
        <v>13.75</v>
      </c>
      <c r="E138" s="43">
        <v>0</v>
      </c>
      <c r="F138" s="43">
        <f>C138*D138+E138</f>
        <v>1375</v>
      </c>
      <c r="G138" s="29"/>
    </row>
    <row r="139" spans="2:7" x14ac:dyDescent="0.25">
      <c r="B139" s="398">
        <v>43657</v>
      </c>
      <c r="C139" s="7">
        <v>100</v>
      </c>
      <c r="D139" s="74">
        <v>13.75</v>
      </c>
      <c r="E139" s="43">
        <v>0</v>
      </c>
      <c r="F139" s="43">
        <f t="shared" ref="F139:F154" si="7">C139*D139+E139</f>
        <v>1375</v>
      </c>
      <c r="G139" s="29"/>
    </row>
    <row r="140" spans="2:7" ht="15" customHeight="1" x14ac:dyDescent="0.25">
      <c r="B140" s="397">
        <v>43661</v>
      </c>
      <c r="C140" s="7">
        <v>300</v>
      </c>
      <c r="D140" s="74">
        <v>13.72</v>
      </c>
      <c r="E140" s="43">
        <v>0</v>
      </c>
      <c r="F140" s="43">
        <f t="shared" si="7"/>
        <v>4116</v>
      </c>
      <c r="G140" s="29"/>
    </row>
    <row r="141" spans="2:7" x14ac:dyDescent="0.25">
      <c r="B141" s="397">
        <v>43678</v>
      </c>
      <c r="C141" s="4">
        <v>1000</v>
      </c>
      <c r="D141" s="75">
        <v>13.58</v>
      </c>
      <c r="E141" s="2">
        <v>0</v>
      </c>
      <c r="F141" s="2">
        <f t="shared" si="7"/>
        <v>13580</v>
      </c>
      <c r="G141" s="29"/>
    </row>
    <row r="142" spans="2:7" x14ac:dyDescent="0.25">
      <c r="B142" s="397">
        <v>43679</v>
      </c>
      <c r="C142" s="7">
        <v>500</v>
      </c>
      <c r="D142" s="74">
        <v>13.1</v>
      </c>
      <c r="E142" s="43">
        <v>0</v>
      </c>
      <c r="F142" s="43">
        <f t="shared" si="7"/>
        <v>6550</v>
      </c>
      <c r="G142" s="29"/>
    </row>
    <row r="143" spans="2:7" x14ac:dyDescent="0.25">
      <c r="B143" s="398">
        <v>43682</v>
      </c>
      <c r="C143" s="7">
        <v>300</v>
      </c>
      <c r="D143" s="74">
        <v>12.62</v>
      </c>
      <c r="E143" s="43">
        <v>-0.5</v>
      </c>
      <c r="F143" s="43">
        <f t="shared" si="7"/>
        <v>3785.4999999999995</v>
      </c>
      <c r="G143" s="29"/>
    </row>
    <row r="144" spans="2:7" x14ac:dyDescent="0.25">
      <c r="B144" s="398">
        <v>43683</v>
      </c>
      <c r="C144" s="7">
        <v>200</v>
      </c>
      <c r="D144" s="74">
        <v>12.15</v>
      </c>
      <c r="E144" s="43">
        <v>0</v>
      </c>
      <c r="F144" s="43">
        <f t="shared" si="7"/>
        <v>2430</v>
      </c>
      <c r="G144" s="29"/>
    </row>
    <row r="145" spans="1:13" x14ac:dyDescent="0.25">
      <c r="B145" s="398">
        <v>43691</v>
      </c>
      <c r="C145" s="7">
        <v>500</v>
      </c>
      <c r="D145" s="74">
        <v>12.3</v>
      </c>
      <c r="E145" s="43">
        <v>0</v>
      </c>
      <c r="F145" s="43">
        <f t="shared" si="7"/>
        <v>6150</v>
      </c>
      <c r="G145" s="29"/>
    </row>
    <row r="146" spans="1:13" x14ac:dyDescent="0.25">
      <c r="B146" s="398">
        <v>43698</v>
      </c>
      <c r="C146" s="7">
        <v>300</v>
      </c>
      <c r="D146" s="74">
        <v>12.42</v>
      </c>
      <c r="E146" s="43">
        <v>0</v>
      </c>
      <c r="F146" s="43">
        <f t="shared" si="7"/>
        <v>3726</v>
      </c>
      <c r="G146" s="29"/>
    </row>
    <row r="147" spans="1:13" x14ac:dyDescent="0.25">
      <c r="B147" s="398">
        <v>43700</v>
      </c>
      <c r="C147" s="7">
        <v>200</v>
      </c>
      <c r="D147" s="74">
        <v>11.85</v>
      </c>
      <c r="E147" s="43">
        <v>0</v>
      </c>
      <c r="F147" s="43">
        <f t="shared" si="7"/>
        <v>2370</v>
      </c>
      <c r="G147" s="29"/>
    </row>
    <row r="148" spans="1:13" x14ac:dyDescent="0.25">
      <c r="B148" s="398">
        <v>43707</v>
      </c>
      <c r="C148" s="7">
        <v>200</v>
      </c>
      <c r="D148" s="74">
        <v>11.82</v>
      </c>
      <c r="E148" s="43">
        <v>0</v>
      </c>
      <c r="F148" s="43">
        <f t="shared" si="7"/>
        <v>2364</v>
      </c>
      <c r="G148" s="29"/>
    </row>
    <row r="149" spans="1:13" x14ac:dyDescent="0.25">
      <c r="B149" s="398">
        <v>43719</v>
      </c>
      <c r="C149" s="7">
        <v>181</v>
      </c>
      <c r="D149" s="74">
        <v>12.91</v>
      </c>
      <c r="E149" s="43">
        <v>0</v>
      </c>
      <c r="F149" s="43">
        <f t="shared" si="7"/>
        <v>2336.71</v>
      </c>
      <c r="G149" s="29"/>
    </row>
    <row r="150" spans="1:13" x14ac:dyDescent="0.25">
      <c r="B150" s="398">
        <v>43725</v>
      </c>
      <c r="C150" s="4">
        <v>500</v>
      </c>
      <c r="D150" s="75">
        <v>13.08</v>
      </c>
      <c r="E150" s="2">
        <v>0</v>
      </c>
      <c r="F150" s="2">
        <f t="shared" si="7"/>
        <v>6540</v>
      </c>
      <c r="G150" s="29"/>
    </row>
    <row r="151" spans="1:13" x14ac:dyDescent="0.25">
      <c r="B151" s="398">
        <v>43732</v>
      </c>
      <c r="C151" s="7">
        <v>500</v>
      </c>
      <c r="D151" s="74">
        <v>12.25</v>
      </c>
      <c r="E151" s="43">
        <v>0</v>
      </c>
      <c r="F151" s="43">
        <f t="shared" si="7"/>
        <v>6125</v>
      </c>
      <c r="G151" s="29"/>
    </row>
    <row r="152" spans="1:13" x14ac:dyDescent="0.25">
      <c r="B152" s="398">
        <v>43777</v>
      </c>
      <c r="C152" s="7">
        <v>500</v>
      </c>
      <c r="D152" s="74">
        <v>12.19</v>
      </c>
      <c r="E152" s="43">
        <v>0</v>
      </c>
      <c r="F152" s="43">
        <f t="shared" si="7"/>
        <v>6095</v>
      </c>
      <c r="G152" s="29"/>
    </row>
    <row r="153" spans="1:13" x14ac:dyDescent="0.25">
      <c r="B153" s="646">
        <v>43781</v>
      </c>
      <c r="C153" s="7">
        <v>200</v>
      </c>
      <c r="D153" s="74">
        <v>12.01</v>
      </c>
      <c r="E153" s="43">
        <v>0</v>
      </c>
      <c r="F153" s="43">
        <f t="shared" si="7"/>
        <v>2402</v>
      </c>
      <c r="G153" s="29"/>
    </row>
    <row r="154" spans="1:13" ht="15" customHeight="1" x14ac:dyDescent="0.25">
      <c r="B154" s="646">
        <v>43788</v>
      </c>
      <c r="C154" s="7">
        <v>300</v>
      </c>
      <c r="D154" s="74">
        <v>11.65</v>
      </c>
      <c r="E154" s="43">
        <v>0</v>
      </c>
      <c r="F154" s="43">
        <f t="shared" si="7"/>
        <v>3495</v>
      </c>
      <c r="G154" s="29"/>
    </row>
    <row r="155" spans="1:13" x14ac:dyDescent="0.25">
      <c r="C155" s="4"/>
      <c r="D155" s="184"/>
      <c r="E155" s="3"/>
      <c r="F155" s="3"/>
      <c r="G155" s="29"/>
    </row>
    <row r="156" spans="1:13" x14ac:dyDescent="0.25">
      <c r="C156" s="4"/>
      <c r="G156" s="29"/>
    </row>
    <row r="157" spans="1:13" x14ac:dyDescent="0.25">
      <c r="G157" s="29"/>
    </row>
    <row r="158" spans="1:13" x14ac:dyDescent="0.25">
      <c r="A158" s="31" t="s">
        <v>81</v>
      </c>
      <c r="B158" s="399"/>
      <c r="C158" s="68">
        <f>SUM(C2:C157)</f>
        <v>46781</v>
      </c>
      <c r="D158" s="18"/>
      <c r="E158" s="18"/>
      <c r="F158" s="18">
        <f>SUM(F2:F157)</f>
        <v>743767.72999999986</v>
      </c>
      <c r="G158" s="14"/>
      <c r="H158" s="68">
        <f>SUM(H2:H157)</f>
        <v>40281</v>
      </c>
      <c r="I158" s="76"/>
      <c r="J158" s="18"/>
      <c r="K158" s="18">
        <f>SUM(K2:K157)</f>
        <v>671814.52999999991</v>
      </c>
      <c r="L158" s="14"/>
      <c r="M158" s="18">
        <f>SUM(M2:M157)</f>
        <v>2843.25</v>
      </c>
    </row>
    <row r="159" spans="1:13" ht="15.75" thickBot="1" x14ac:dyDescent="0.3">
      <c r="A159" s="273" t="s">
        <v>189</v>
      </c>
      <c r="B159" s="400"/>
      <c r="C159" s="275">
        <f>SumByColor($A$159, C2:C157)</f>
        <v>40281</v>
      </c>
      <c r="D159" s="275"/>
      <c r="E159" s="275"/>
      <c r="F159" s="276">
        <f>SumByColor($A$159, F2:F157)</f>
        <v>639268</v>
      </c>
      <c r="G159" s="275"/>
      <c r="H159" s="275">
        <f>SumByColor($A$159, H2:H157)</f>
        <v>40281</v>
      </c>
      <c r="I159" s="275"/>
      <c r="J159" s="276"/>
      <c r="K159" s="276">
        <f>SumByColor($A$159, K2:K157)</f>
        <v>671824</v>
      </c>
      <c r="L159" s="275"/>
      <c r="M159" s="276">
        <f>SumByColor($A$159, M2:M157)</f>
        <v>2843</v>
      </c>
    </row>
    <row r="162" spans="1:22" x14ac:dyDescent="0.25">
      <c r="B162" s="401" t="s">
        <v>113</v>
      </c>
      <c r="C162" s="159" t="s">
        <v>143</v>
      </c>
      <c r="D162" s="167" t="s">
        <v>142</v>
      </c>
      <c r="E162" s="162" t="s">
        <v>144</v>
      </c>
      <c r="F162" s="163" t="s">
        <v>65</v>
      </c>
      <c r="G162" s="173" t="s">
        <v>148</v>
      </c>
      <c r="H162" s="163" t="s">
        <v>88</v>
      </c>
      <c r="I162" s="173" t="s">
        <v>151</v>
      </c>
      <c r="J162" s="173" t="s">
        <v>452</v>
      </c>
      <c r="K162" s="173" t="s">
        <v>147</v>
      </c>
      <c r="L162" s="173" t="s">
        <v>852</v>
      </c>
    </row>
    <row r="163" spans="1:22" x14ac:dyDescent="0.25">
      <c r="A163" t="s">
        <v>394</v>
      </c>
      <c r="B163" s="147">
        <v>42787</v>
      </c>
      <c r="C163" s="10">
        <v>5700</v>
      </c>
      <c r="D163" s="186">
        <v>16.667088</v>
      </c>
      <c r="E163" s="39">
        <v>16.38</v>
      </c>
      <c r="F163" s="39">
        <f t="shared" ref="F163:F179" si="8">C163*(E163-D163)</f>
        <v>-1636.4016000000038</v>
      </c>
      <c r="G163" s="39">
        <f t="shared" ref="G163:G179" si="9">D163*C163</f>
        <v>95002.401599999997</v>
      </c>
      <c r="H163" s="175">
        <f t="shared" ref="H163:H179" si="10">(E163-D163)/D163</f>
        <v>-1.7224844555929666E-2</v>
      </c>
      <c r="I163" s="39"/>
      <c r="J163" s="39"/>
      <c r="K163" s="39">
        <f t="shared" ref="K163:K226" si="11">F163+$Q$10</f>
        <v>12979.169400001621</v>
      </c>
      <c r="L163" s="39"/>
    </row>
    <row r="164" spans="1:22" x14ac:dyDescent="0.25">
      <c r="A164" t="s">
        <v>406</v>
      </c>
      <c r="B164" s="147">
        <v>42788</v>
      </c>
      <c r="C164" s="352">
        <v>6000</v>
      </c>
      <c r="D164" s="554">
        <v>16.620999999999999</v>
      </c>
      <c r="E164" s="39">
        <v>15.76</v>
      </c>
      <c r="F164" s="39">
        <f t="shared" si="8"/>
        <v>-5165.9999999999936</v>
      </c>
      <c r="G164" s="39">
        <f t="shared" si="9"/>
        <v>99725.999999999985</v>
      </c>
      <c r="H164" s="175">
        <f t="shared" si="10"/>
        <v>-5.1801937308224473E-2</v>
      </c>
      <c r="I164" s="39"/>
      <c r="J164" s="39"/>
      <c r="K164" s="39">
        <f t="shared" si="11"/>
        <v>9449.5710000016334</v>
      </c>
      <c r="L164" s="39"/>
    </row>
    <row r="165" spans="1:22" x14ac:dyDescent="0.25">
      <c r="A165">
        <v>600</v>
      </c>
      <c r="B165" s="147">
        <v>42795</v>
      </c>
      <c r="C165" s="10">
        <v>5500</v>
      </c>
      <c r="D165" s="186">
        <v>16.619900000000001</v>
      </c>
      <c r="E165" s="39">
        <v>16.45</v>
      </c>
      <c r="F165" s="39">
        <f t="shared" si="8"/>
        <v>-934.45000000001062</v>
      </c>
      <c r="G165" s="39">
        <f t="shared" si="9"/>
        <v>91409.450000000012</v>
      </c>
      <c r="H165" s="175">
        <f t="shared" si="10"/>
        <v>-1.0222684853699596E-2</v>
      </c>
      <c r="I165" s="39">
        <v>16.399999999999999</v>
      </c>
      <c r="J165" s="39"/>
      <c r="K165" s="39">
        <f t="shared" si="11"/>
        <v>13681.121000001616</v>
      </c>
      <c r="L165" s="39"/>
    </row>
    <row r="166" spans="1:22" x14ac:dyDescent="0.25">
      <c r="A166">
        <v>1400</v>
      </c>
      <c r="B166" s="147">
        <v>42796</v>
      </c>
      <c r="C166" s="10">
        <v>6000</v>
      </c>
      <c r="D166" s="186">
        <v>16.589099999999998</v>
      </c>
      <c r="E166" s="39">
        <v>16.14</v>
      </c>
      <c r="F166" s="39">
        <f t="shared" si="8"/>
        <v>-2694.5999999999872</v>
      </c>
      <c r="G166" s="39">
        <f t="shared" si="9"/>
        <v>99534.599999999991</v>
      </c>
      <c r="H166" s="175">
        <f t="shared" si="10"/>
        <v>-2.7071993055681011E-2</v>
      </c>
      <c r="I166" s="39">
        <v>16.25</v>
      </c>
      <c r="J166" s="39"/>
      <c r="K166" s="39">
        <f t="shared" si="11"/>
        <v>11920.971000001638</v>
      </c>
      <c r="L166" s="39"/>
    </row>
    <row r="167" spans="1:22" x14ac:dyDescent="0.25">
      <c r="A167">
        <v>3600</v>
      </c>
      <c r="B167" s="147">
        <v>42798</v>
      </c>
      <c r="C167" s="10">
        <v>6000</v>
      </c>
      <c r="D167" s="186">
        <v>16.589099999999998</v>
      </c>
      <c r="E167" s="39">
        <v>16.14</v>
      </c>
      <c r="F167" s="39">
        <f t="shared" si="8"/>
        <v>-2694.5999999999872</v>
      </c>
      <c r="G167" s="39">
        <f t="shared" si="9"/>
        <v>99534.599999999991</v>
      </c>
      <c r="H167" s="175">
        <f t="shared" si="10"/>
        <v>-2.7071993055681011E-2</v>
      </c>
      <c r="I167" s="39">
        <v>16.25</v>
      </c>
      <c r="J167" s="39"/>
      <c r="K167" s="39">
        <f t="shared" si="11"/>
        <v>11920.971000001638</v>
      </c>
      <c r="L167" s="39"/>
    </row>
    <row r="168" spans="1:22" x14ac:dyDescent="0.25">
      <c r="A168">
        <v>3600</v>
      </c>
      <c r="B168" s="147">
        <v>42800</v>
      </c>
      <c r="C168" s="10">
        <v>6000</v>
      </c>
      <c r="D168" s="186">
        <v>16.589099999999998</v>
      </c>
      <c r="E168" s="39">
        <v>16.47</v>
      </c>
      <c r="F168" s="39">
        <f t="shared" si="8"/>
        <v>-714.59999999999718</v>
      </c>
      <c r="G168" s="39">
        <f t="shared" si="9"/>
        <v>99534.599999999991</v>
      </c>
      <c r="H168" s="175">
        <f t="shared" si="10"/>
        <v>-7.1794129880463405E-3</v>
      </c>
      <c r="I168" s="39">
        <v>16.25</v>
      </c>
      <c r="J168" s="39"/>
      <c r="K168" s="39">
        <f t="shared" si="11"/>
        <v>13900.971000001629</v>
      </c>
      <c r="L168" s="39"/>
    </row>
    <row r="169" spans="1:22" x14ac:dyDescent="0.25">
      <c r="A169">
        <v>3600</v>
      </c>
      <c r="B169" s="147">
        <v>42802</v>
      </c>
      <c r="C169" s="10">
        <v>6700</v>
      </c>
      <c r="D169" s="186">
        <v>16.427</v>
      </c>
      <c r="E169" s="39">
        <v>14.87</v>
      </c>
      <c r="F169" s="39">
        <f t="shared" si="8"/>
        <v>-10431.900000000003</v>
      </c>
      <c r="G169" s="39">
        <f t="shared" si="9"/>
        <v>110060.9</v>
      </c>
      <c r="H169" s="176">
        <f t="shared" si="10"/>
        <v>-9.478297924149269E-2</v>
      </c>
      <c r="I169" s="39"/>
      <c r="J169" s="39"/>
      <c r="K169" s="39">
        <f t="shared" si="11"/>
        <v>4183.6710000016228</v>
      </c>
      <c r="L169" s="39"/>
    </row>
    <row r="170" spans="1:22" x14ac:dyDescent="0.25">
      <c r="A170">
        <v>3600</v>
      </c>
      <c r="B170" s="147">
        <v>42803</v>
      </c>
      <c r="C170" s="10">
        <v>6000</v>
      </c>
      <c r="D170" s="186">
        <v>16.50263</v>
      </c>
      <c r="E170" s="39">
        <v>16.07</v>
      </c>
      <c r="F170" s="39">
        <f t="shared" si="8"/>
        <v>-2595.7799999999979</v>
      </c>
      <c r="G170" s="39">
        <f t="shared" si="9"/>
        <v>99015.78</v>
      </c>
      <c r="H170" s="176">
        <f t="shared" si="10"/>
        <v>-2.6215821356959445E-2</v>
      </c>
      <c r="I170" s="39">
        <v>16.25</v>
      </c>
      <c r="J170" s="39"/>
      <c r="K170" s="39">
        <f t="shared" si="11"/>
        <v>12019.791000001627</v>
      </c>
      <c r="L170" s="39"/>
    </row>
    <row r="171" spans="1:22" x14ac:dyDescent="0.25">
      <c r="A171">
        <v>4200</v>
      </c>
      <c r="B171" s="147">
        <v>42805</v>
      </c>
      <c r="C171" s="352">
        <v>6000</v>
      </c>
      <c r="D171" s="554">
        <v>16.447600000000001</v>
      </c>
      <c r="E171" s="39">
        <v>16.16</v>
      </c>
      <c r="F171" s="39">
        <f t="shared" si="8"/>
        <v>-1725.6000000000072</v>
      </c>
      <c r="G171" s="39">
        <f t="shared" si="9"/>
        <v>98685.6</v>
      </c>
      <c r="H171" s="176">
        <f t="shared" si="10"/>
        <v>-1.7485833799460174E-2</v>
      </c>
      <c r="I171" s="39" t="s">
        <v>182</v>
      </c>
      <c r="J171" s="39"/>
      <c r="K171" s="39">
        <f t="shared" si="11"/>
        <v>12889.971000001618</v>
      </c>
      <c r="L171" s="39"/>
    </row>
    <row r="172" spans="1:22" x14ac:dyDescent="0.25">
      <c r="A172">
        <v>4200</v>
      </c>
      <c r="B172" s="147">
        <v>42807</v>
      </c>
      <c r="C172" s="10">
        <v>6000</v>
      </c>
      <c r="D172" s="186">
        <v>16.447600000000001</v>
      </c>
      <c r="E172" s="39">
        <v>15.84</v>
      </c>
      <c r="F172" s="39">
        <f t="shared" si="8"/>
        <v>-3645.600000000009</v>
      </c>
      <c r="G172" s="39">
        <f t="shared" si="9"/>
        <v>98685.6</v>
      </c>
      <c r="H172" s="176">
        <f t="shared" si="10"/>
        <v>-3.6941559862837217E-2</v>
      </c>
      <c r="I172" s="39"/>
      <c r="J172" s="39"/>
      <c r="K172" s="39">
        <f t="shared" si="11"/>
        <v>10969.971000001617</v>
      </c>
      <c r="L172" s="39"/>
    </row>
    <row r="173" spans="1:22" x14ac:dyDescent="0.25">
      <c r="A173">
        <v>3700</v>
      </c>
      <c r="B173" s="147">
        <v>42808</v>
      </c>
      <c r="C173" s="352">
        <v>6000</v>
      </c>
      <c r="D173" s="554">
        <v>16.422999999999998</v>
      </c>
      <c r="E173" s="39">
        <v>15.32</v>
      </c>
      <c r="F173" s="39">
        <f t="shared" si="8"/>
        <v>-6617.9999999999882</v>
      </c>
      <c r="G173" s="39">
        <f t="shared" si="9"/>
        <v>98537.999999999985</v>
      </c>
      <c r="H173" s="176">
        <f t="shared" si="10"/>
        <v>-6.7161907081531885E-2</v>
      </c>
      <c r="I173" s="39">
        <v>16.25</v>
      </c>
      <c r="J173" s="39">
        <v>41.23</v>
      </c>
      <c r="K173" s="39">
        <f t="shared" si="11"/>
        <v>7997.5710000016379</v>
      </c>
      <c r="L173" s="39"/>
      <c r="V173" s="692"/>
    </row>
    <row r="174" spans="1:22" x14ac:dyDescent="0.25">
      <c r="A174">
        <v>3700</v>
      </c>
      <c r="B174" s="147">
        <v>42809</v>
      </c>
      <c r="C174" s="10">
        <v>6000</v>
      </c>
      <c r="D174" s="186">
        <v>16.422999999999998</v>
      </c>
      <c r="E174" s="39">
        <v>15.56</v>
      </c>
      <c r="F174" s="39">
        <f t="shared" si="8"/>
        <v>-5177.9999999999864</v>
      </c>
      <c r="G174" s="39">
        <f t="shared" si="9"/>
        <v>98537.999999999985</v>
      </c>
      <c r="H174" s="176">
        <f t="shared" si="10"/>
        <v>-5.254825549534177E-2</v>
      </c>
      <c r="I174" s="39">
        <v>16.25</v>
      </c>
      <c r="J174" s="39">
        <v>44</v>
      </c>
      <c r="K174" s="39">
        <f t="shared" si="11"/>
        <v>9437.5710000016406</v>
      </c>
      <c r="L174" s="39"/>
      <c r="V174" s="692"/>
    </row>
    <row r="175" spans="1:22" x14ac:dyDescent="0.25">
      <c r="A175">
        <v>4000</v>
      </c>
      <c r="B175" s="147">
        <v>42815</v>
      </c>
      <c r="C175" s="10">
        <v>6400</v>
      </c>
      <c r="D175" s="186">
        <v>16.349399999999999</v>
      </c>
      <c r="E175" s="39">
        <v>15.05</v>
      </c>
      <c r="F175" s="39">
        <f t="shared" si="8"/>
        <v>-8316.1599999999908</v>
      </c>
      <c r="G175" s="39">
        <f t="shared" si="9"/>
        <v>104636.15999999999</v>
      </c>
      <c r="H175" s="176">
        <f t="shared" si="10"/>
        <v>-7.9476922700527156E-2</v>
      </c>
      <c r="I175" s="39"/>
      <c r="J175" s="39"/>
      <c r="K175" s="39">
        <f t="shared" si="11"/>
        <v>6299.4110000016353</v>
      </c>
      <c r="L175" s="39"/>
      <c r="V175" s="692"/>
    </row>
    <row r="176" spans="1:22" x14ac:dyDescent="0.25">
      <c r="A176">
        <v>4300</v>
      </c>
      <c r="B176" s="147">
        <v>42819</v>
      </c>
      <c r="C176" s="10">
        <v>6400</v>
      </c>
      <c r="D176" s="186">
        <v>16.349399999999999</v>
      </c>
      <c r="E176" s="39">
        <v>14.61</v>
      </c>
      <c r="F176" s="39">
        <f t="shared" si="8"/>
        <v>-11132.16</v>
      </c>
      <c r="G176" s="39">
        <f t="shared" si="9"/>
        <v>104636.15999999999</v>
      </c>
      <c r="H176" s="176">
        <f t="shared" si="10"/>
        <v>-0.10638922529267128</v>
      </c>
      <c r="I176" s="39"/>
      <c r="J176" s="39"/>
      <c r="K176" s="39">
        <f t="shared" si="11"/>
        <v>3483.4110000016262</v>
      </c>
      <c r="L176" s="39"/>
      <c r="V176" s="693"/>
    </row>
    <row r="177" spans="1:22" x14ac:dyDescent="0.25">
      <c r="A177">
        <v>4300</v>
      </c>
      <c r="B177" s="147">
        <v>42821</v>
      </c>
      <c r="C177" s="10">
        <v>6400</v>
      </c>
      <c r="D177" s="186">
        <v>16.349399999999999</v>
      </c>
      <c r="E177" s="39">
        <v>14.75</v>
      </c>
      <c r="F177" s="39">
        <f t="shared" si="8"/>
        <v>-10236.159999999996</v>
      </c>
      <c r="G177" s="39">
        <f t="shared" si="9"/>
        <v>104636.15999999999</v>
      </c>
      <c r="H177" s="176">
        <f t="shared" si="10"/>
        <v>-9.78262199224436E-2</v>
      </c>
      <c r="I177" s="39"/>
      <c r="J177" s="39"/>
      <c r="K177" s="39">
        <f t="shared" si="11"/>
        <v>4379.4110000016299</v>
      </c>
      <c r="L177" s="39"/>
      <c r="V177" s="693"/>
    </row>
    <row r="178" spans="1:22" x14ac:dyDescent="0.25">
      <c r="A178">
        <v>4300</v>
      </c>
      <c r="B178" s="147">
        <v>42822</v>
      </c>
      <c r="C178" s="10">
        <v>6400</v>
      </c>
      <c r="D178" s="186">
        <v>16.349399999999999</v>
      </c>
      <c r="E178" s="39">
        <v>15.23</v>
      </c>
      <c r="F178" s="39">
        <f t="shared" si="8"/>
        <v>-7164.1599999999926</v>
      </c>
      <c r="G178" s="39">
        <f t="shared" si="9"/>
        <v>104636.15999999999</v>
      </c>
      <c r="H178" s="176">
        <f t="shared" si="10"/>
        <v>-6.8467344367377322E-2</v>
      </c>
      <c r="I178" s="39"/>
      <c r="J178" s="39"/>
      <c r="K178" s="39">
        <f t="shared" si="11"/>
        <v>7451.4110000016335</v>
      </c>
      <c r="L178" s="39"/>
      <c r="V178" s="693"/>
    </row>
    <row r="179" spans="1:22" x14ac:dyDescent="0.25">
      <c r="A179">
        <v>3900</v>
      </c>
      <c r="B179" s="147">
        <v>42823</v>
      </c>
      <c r="C179" s="352">
        <v>6000</v>
      </c>
      <c r="D179" s="554">
        <v>16.407399999999999</v>
      </c>
      <c r="E179" s="39">
        <v>15.48</v>
      </c>
      <c r="F179" s="39">
        <f t="shared" si="8"/>
        <v>-5564.3999999999924</v>
      </c>
      <c r="G179" s="39">
        <f t="shared" si="9"/>
        <v>98444.4</v>
      </c>
      <c r="H179" s="176">
        <f t="shared" si="10"/>
        <v>-5.6523276082743074E-2</v>
      </c>
      <c r="I179" s="39">
        <v>16.25</v>
      </c>
      <c r="J179" s="39"/>
      <c r="K179" s="39">
        <f t="shared" si="11"/>
        <v>9051.1710000016337</v>
      </c>
      <c r="L179" s="39"/>
    </row>
    <row r="180" spans="1:22" x14ac:dyDescent="0.25">
      <c r="A180">
        <v>4100</v>
      </c>
      <c r="B180" s="147">
        <v>42830</v>
      </c>
      <c r="C180" s="352">
        <v>6000</v>
      </c>
      <c r="D180" s="554">
        <v>16.388999999999999</v>
      </c>
      <c r="E180" s="39">
        <v>15.98</v>
      </c>
      <c r="F180" s="39">
        <f t="shared" ref="F180:F193" si="12">C180*(E180-D180)</f>
        <v>-2453.9999999999936</v>
      </c>
      <c r="G180" s="39">
        <f t="shared" ref="G180:G193" si="13">D180*C180</f>
        <v>98334</v>
      </c>
      <c r="H180" s="176">
        <f t="shared" ref="H180:H193" si="14">(E180-D180)/D180</f>
        <v>-2.4955763011776128E-2</v>
      </c>
      <c r="I180" s="39">
        <v>16.25</v>
      </c>
      <c r="J180" s="39"/>
      <c r="K180" s="39">
        <f t="shared" si="11"/>
        <v>12161.571000001633</v>
      </c>
      <c r="L180" s="39"/>
    </row>
    <row r="181" spans="1:22" x14ac:dyDescent="0.25">
      <c r="A181">
        <v>4800</v>
      </c>
      <c r="B181" s="147">
        <v>42838</v>
      </c>
      <c r="C181" s="10">
        <v>6200</v>
      </c>
      <c r="D181" s="186">
        <v>16.375</v>
      </c>
      <c r="E181" s="39">
        <v>15.9</v>
      </c>
      <c r="F181" s="39">
        <f t="shared" si="12"/>
        <v>-2944.9999999999977</v>
      </c>
      <c r="G181" s="39">
        <f t="shared" si="13"/>
        <v>101525</v>
      </c>
      <c r="H181" s="175">
        <f t="shared" si="14"/>
        <v>-2.9007633587786238E-2</v>
      </c>
      <c r="I181" s="39"/>
      <c r="J181" s="39"/>
      <c r="K181" s="39">
        <f t="shared" si="11"/>
        <v>11670.571000001628</v>
      </c>
      <c r="L181" s="39"/>
      <c r="V181" s="696"/>
    </row>
    <row r="182" spans="1:22" x14ac:dyDescent="0.25">
      <c r="A182">
        <v>5300</v>
      </c>
      <c r="B182" s="147">
        <v>42844</v>
      </c>
      <c r="C182" s="10">
        <v>6400</v>
      </c>
      <c r="D182" s="186">
        <v>16.335000000000001</v>
      </c>
      <c r="E182" s="39">
        <v>15.06</v>
      </c>
      <c r="F182" s="39">
        <f t="shared" si="12"/>
        <v>-8160.0000000000018</v>
      </c>
      <c r="G182" s="39">
        <f t="shared" si="13"/>
        <v>104544</v>
      </c>
      <c r="H182" s="175">
        <f t="shared" si="14"/>
        <v>-7.805325987144171E-2</v>
      </c>
      <c r="I182" s="39"/>
      <c r="J182" s="39"/>
      <c r="K182" s="39">
        <f t="shared" si="11"/>
        <v>6455.5710000016243</v>
      </c>
      <c r="L182" s="39"/>
      <c r="V182" s="696"/>
    </row>
    <row r="183" spans="1:22" x14ac:dyDescent="0.25">
      <c r="A183">
        <v>5700</v>
      </c>
      <c r="B183" s="147">
        <v>42854</v>
      </c>
      <c r="C183" s="10">
        <v>6400</v>
      </c>
      <c r="D183" s="186">
        <v>16.334199999999999</v>
      </c>
      <c r="E183" s="39">
        <v>14.87</v>
      </c>
      <c r="F183" s="39">
        <f t="shared" si="12"/>
        <v>-9370.8799999999992</v>
      </c>
      <c r="G183" s="39">
        <f t="shared" si="13"/>
        <v>104538.87999999999</v>
      </c>
      <c r="H183" s="175">
        <f t="shared" si="14"/>
        <v>-8.9640141543509938E-2</v>
      </c>
      <c r="I183" s="39"/>
      <c r="J183" s="39"/>
      <c r="K183" s="39">
        <f t="shared" si="11"/>
        <v>5244.6910000016269</v>
      </c>
      <c r="L183" s="39"/>
      <c r="V183" s="705"/>
    </row>
    <row r="184" spans="1:22" x14ac:dyDescent="0.25">
      <c r="A184">
        <v>5700</v>
      </c>
      <c r="B184" s="147">
        <v>42860</v>
      </c>
      <c r="C184" s="10">
        <v>6700</v>
      </c>
      <c r="D184" s="186">
        <v>16.225999999999999</v>
      </c>
      <c r="E184" s="39">
        <v>14.29</v>
      </c>
      <c r="F184" s="39">
        <f t="shared" si="12"/>
        <v>-12971.199999999999</v>
      </c>
      <c r="G184" s="39">
        <f t="shared" si="13"/>
        <v>108714.2</v>
      </c>
      <c r="H184" s="175">
        <f t="shared" si="14"/>
        <v>-0.11931468014298041</v>
      </c>
      <c r="I184" s="39"/>
      <c r="J184" s="39"/>
      <c r="K184" s="39">
        <f t="shared" si="11"/>
        <v>1644.3710000016272</v>
      </c>
      <c r="L184" s="39"/>
      <c r="V184" s="705"/>
    </row>
    <row r="185" spans="1:22" x14ac:dyDescent="0.25">
      <c r="A185">
        <v>6000</v>
      </c>
      <c r="B185" s="147">
        <v>42862</v>
      </c>
      <c r="C185" s="10">
        <v>6700</v>
      </c>
      <c r="D185" s="186">
        <v>16.225999999999999</v>
      </c>
      <c r="E185" s="39">
        <v>14.29</v>
      </c>
      <c r="F185" s="39">
        <f t="shared" si="12"/>
        <v>-12971.199999999999</v>
      </c>
      <c r="G185" s="39">
        <f t="shared" si="13"/>
        <v>108714.2</v>
      </c>
      <c r="H185" s="175">
        <f t="shared" si="14"/>
        <v>-0.11931468014298041</v>
      </c>
      <c r="I185" s="39"/>
      <c r="J185" s="39"/>
      <c r="K185" s="39">
        <f t="shared" si="11"/>
        <v>1644.3710000016272</v>
      </c>
      <c r="L185" s="39"/>
      <c r="V185" s="707"/>
    </row>
    <row r="186" spans="1:22" x14ac:dyDescent="0.25">
      <c r="A186">
        <v>5700</v>
      </c>
      <c r="B186" s="147">
        <v>42863</v>
      </c>
      <c r="C186" s="10">
        <v>6400</v>
      </c>
      <c r="D186" s="186">
        <v>16.318000000000001</v>
      </c>
      <c r="E186" s="39">
        <v>14.59</v>
      </c>
      <c r="F186" s="39">
        <f t="shared" si="12"/>
        <v>-11059.20000000001</v>
      </c>
      <c r="G186" s="39">
        <f t="shared" si="13"/>
        <v>104435.20000000001</v>
      </c>
      <c r="H186" s="175">
        <f t="shared" si="14"/>
        <v>-0.1058953303100871</v>
      </c>
      <c r="I186" s="39"/>
      <c r="J186" s="39"/>
      <c r="K186" s="39">
        <f t="shared" si="11"/>
        <v>3556.3710000016163</v>
      </c>
      <c r="L186" s="39"/>
      <c r="V186" s="707"/>
    </row>
    <row r="187" spans="1:22" x14ac:dyDescent="0.25">
      <c r="A187">
        <v>5700</v>
      </c>
      <c r="B187" s="147">
        <v>42866</v>
      </c>
      <c r="C187" s="10">
        <v>6400</v>
      </c>
      <c r="D187" s="186">
        <v>16.318000000000001</v>
      </c>
      <c r="E187" s="39">
        <v>14.48</v>
      </c>
      <c r="F187" s="39">
        <f t="shared" si="12"/>
        <v>-11763.200000000006</v>
      </c>
      <c r="G187" s="39">
        <f t="shared" si="13"/>
        <v>104435.20000000001</v>
      </c>
      <c r="H187" s="175">
        <f t="shared" si="14"/>
        <v>-0.11263635249417826</v>
      </c>
      <c r="I187" s="39"/>
      <c r="J187" s="39"/>
      <c r="K187" s="39">
        <f t="shared" si="11"/>
        <v>2852.3710000016199</v>
      </c>
      <c r="L187" s="39"/>
      <c r="V187" s="707"/>
    </row>
    <row r="188" spans="1:22" x14ac:dyDescent="0.25">
      <c r="A188">
        <v>5900</v>
      </c>
      <c r="B188" s="147">
        <v>42872</v>
      </c>
      <c r="C188" s="10">
        <v>6531</v>
      </c>
      <c r="D188" s="186">
        <v>16.274999999999999</v>
      </c>
      <c r="E188" s="39">
        <v>14.35</v>
      </c>
      <c r="F188" s="39">
        <f t="shared" si="12"/>
        <v>-12572.174999999994</v>
      </c>
      <c r="G188" s="39">
        <f t="shared" si="13"/>
        <v>106292.02499999999</v>
      </c>
      <c r="H188" s="175">
        <f t="shared" si="14"/>
        <v>-0.11827956989247307</v>
      </c>
      <c r="I188" s="39"/>
      <c r="J188" s="39"/>
      <c r="K188" s="39">
        <f t="shared" si="11"/>
        <v>2043.3960000016323</v>
      </c>
      <c r="L188" s="39"/>
      <c r="V188" s="696"/>
    </row>
    <row r="189" spans="1:22" x14ac:dyDescent="0.25">
      <c r="B189" s="147">
        <v>42873</v>
      </c>
      <c r="C189" s="10">
        <v>6400</v>
      </c>
      <c r="D189" s="186">
        <v>16.306000000000001</v>
      </c>
      <c r="E189" s="39">
        <v>14.35</v>
      </c>
      <c r="F189" s="39">
        <f t="shared" si="12"/>
        <v>-12518.400000000009</v>
      </c>
      <c r="G189" s="39">
        <f t="shared" si="13"/>
        <v>104358.40000000001</v>
      </c>
      <c r="H189" s="175">
        <f t="shared" si="14"/>
        <v>-0.11995584447442667</v>
      </c>
      <c r="I189" s="39"/>
      <c r="J189" s="39"/>
      <c r="K189" s="39">
        <f t="shared" si="11"/>
        <v>2097.1710000016174</v>
      </c>
      <c r="L189" s="39"/>
    </row>
    <row r="190" spans="1:22" x14ac:dyDescent="0.25">
      <c r="A190">
        <v>5600</v>
      </c>
      <c r="B190" s="147">
        <v>42873</v>
      </c>
      <c r="C190" s="10">
        <v>6700</v>
      </c>
      <c r="D190" s="186">
        <v>16.21</v>
      </c>
      <c r="E190" s="39">
        <v>14.16</v>
      </c>
      <c r="F190" s="39">
        <f t="shared" si="12"/>
        <v>-13735.000000000005</v>
      </c>
      <c r="G190" s="39">
        <f t="shared" si="13"/>
        <v>108607</v>
      </c>
      <c r="H190" s="175">
        <f t="shared" si="14"/>
        <v>-0.1264651449722394</v>
      </c>
      <c r="I190" s="39"/>
      <c r="J190" s="39"/>
      <c r="K190" s="39">
        <f t="shared" si="11"/>
        <v>880.57100000162063</v>
      </c>
      <c r="L190" s="39"/>
    </row>
    <row r="191" spans="1:22" x14ac:dyDescent="0.25">
      <c r="A191">
        <v>5300</v>
      </c>
      <c r="B191" s="147">
        <v>42874</v>
      </c>
      <c r="C191" s="10">
        <v>6400</v>
      </c>
      <c r="D191" s="186">
        <v>16.286000000000001</v>
      </c>
      <c r="E191" s="39">
        <v>14.58</v>
      </c>
      <c r="F191" s="39">
        <f t="shared" si="12"/>
        <v>-10918.400000000009</v>
      </c>
      <c r="G191" s="39">
        <f t="shared" si="13"/>
        <v>104230.40000000001</v>
      </c>
      <c r="H191" s="175">
        <f t="shared" si="14"/>
        <v>-0.10475254820090883</v>
      </c>
      <c r="I191" s="39"/>
      <c r="J191" s="39"/>
      <c r="K191" s="39">
        <f t="shared" si="11"/>
        <v>3697.1710000016174</v>
      </c>
      <c r="L191" s="39"/>
    </row>
    <row r="192" spans="1:22" x14ac:dyDescent="0.25">
      <c r="B192" s="147">
        <v>42880</v>
      </c>
      <c r="C192" s="10">
        <v>7000</v>
      </c>
      <c r="D192" s="186">
        <v>16.05</v>
      </c>
      <c r="E192" s="39">
        <v>13.5</v>
      </c>
      <c r="F192" s="39">
        <f t="shared" si="12"/>
        <v>-17850.000000000004</v>
      </c>
      <c r="G192" s="39">
        <f t="shared" si="13"/>
        <v>112350</v>
      </c>
      <c r="H192" s="175">
        <f t="shared" si="14"/>
        <v>-0.15887850467289724</v>
      </c>
      <c r="I192" s="39"/>
      <c r="J192" s="39"/>
      <c r="K192" s="39">
        <f t="shared" si="11"/>
        <v>-3234.4289999983775</v>
      </c>
      <c r="L192" s="39"/>
    </row>
    <row r="193" spans="1:15" x14ac:dyDescent="0.25">
      <c r="A193">
        <v>5800</v>
      </c>
      <c r="B193" s="147">
        <v>42899</v>
      </c>
      <c r="C193" s="10">
        <v>8000</v>
      </c>
      <c r="D193" s="186">
        <v>15.624000000000001</v>
      </c>
      <c r="E193" s="39">
        <v>13.01</v>
      </c>
      <c r="F193" s="39">
        <f t="shared" si="12"/>
        <v>-20912.000000000007</v>
      </c>
      <c r="G193" s="39">
        <f t="shared" si="13"/>
        <v>124992</v>
      </c>
      <c r="H193" s="175">
        <f t="shared" si="14"/>
        <v>-0.16730670762928831</v>
      </c>
      <c r="I193" s="39"/>
      <c r="J193" s="39"/>
      <c r="K193" s="39">
        <f t="shared" si="11"/>
        <v>-6296.4289999983812</v>
      </c>
      <c r="L193" s="39"/>
    </row>
    <row r="194" spans="1:15" x14ac:dyDescent="0.25">
      <c r="A194">
        <v>8000</v>
      </c>
      <c r="B194" s="147">
        <v>42939</v>
      </c>
      <c r="C194" s="10">
        <v>8000</v>
      </c>
      <c r="D194" s="186">
        <v>15.584</v>
      </c>
      <c r="E194" s="39">
        <v>11.85</v>
      </c>
      <c r="F194" s="39">
        <f t="shared" ref="F194:F204" si="15">C194*(E194-D194)</f>
        <v>-29872</v>
      </c>
      <c r="G194" s="39">
        <f t="shared" ref="G194:G204" si="16">D194*C194</f>
        <v>124672</v>
      </c>
      <c r="H194" s="175">
        <f t="shared" ref="H194:H204" si="17">(E194-D194)/D194</f>
        <v>-0.2396047227926078</v>
      </c>
      <c r="I194" s="39"/>
      <c r="J194" s="39"/>
      <c r="K194" s="39">
        <f t="shared" si="11"/>
        <v>-15256.428999998374</v>
      </c>
      <c r="L194" s="39"/>
    </row>
    <row r="195" spans="1:15" x14ac:dyDescent="0.25">
      <c r="A195">
        <v>8000</v>
      </c>
      <c r="B195" s="147">
        <v>42943</v>
      </c>
      <c r="C195" s="10">
        <v>8200</v>
      </c>
      <c r="D195" s="186">
        <v>15.5</v>
      </c>
      <c r="E195" s="39">
        <v>12.23</v>
      </c>
      <c r="F195" s="39">
        <f t="shared" si="15"/>
        <v>-26813.999999999996</v>
      </c>
      <c r="G195" s="39">
        <f t="shared" si="16"/>
        <v>127100</v>
      </c>
      <c r="H195" s="175">
        <f t="shared" si="17"/>
        <v>-0.21096774193548384</v>
      </c>
      <c r="I195" s="39"/>
      <c r="J195" s="39"/>
      <c r="K195" s="39">
        <f t="shared" si="11"/>
        <v>-12198.42899999837</v>
      </c>
      <c r="L195" s="39"/>
    </row>
    <row r="196" spans="1:15" x14ac:dyDescent="0.25">
      <c r="B196" s="147">
        <v>42944</v>
      </c>
      <c r="C196" s="10">
        <v>8000</v>
      </c>
      <c r="D196" s="186">
        <v>15.5733</v>
      </c>
      <c r="E196" s="39">
        <v>12.36</v>
      </c>
      <c r="F196" s="39">
        <f t="shared" si="15"/>
        <v>-25706.400000000001</v>
      </c>
      <c r="G196" s="39">
        <f t="shared" si="16"/>
        <v>124586.4</v>
      </c>
      <c r="H196" s="175">
        <f t="shared" si="17"/>
        <v>-0.20633391766677586</v>
      </c>
      <c r="I196" s="39"/>
      <c r="J196" s="39"/>
      <c r="K196" s="39">
        <f t="shared" si="11"/>
        <v>-11090.828999998375</v>
      </c>
      <c r="L196" s="39"/>
    </row>
    <row r="197" spans="1:15" ht="15" customHeight="1" x14ac:dyDescent="0.25">
      <c r="A197">
        <v>7400</v>
      </c>
      <c r="B197" s="147">
        <v>42950</v>
      </c>
      <c r="C197" s="10">
        <v>8000</v>
      </c>
      <c r="D197" s="186">
        <v>15.516999999999999</v>
      </c>
      <c r="E197" s="39">
        <v>12.51</v>
      </c>
      <c r="F197" s="39">
        <f t="shared" si="15"/>
        <v>-24055.999999999996</v>
      </c>
      <c r="G197" s="39">
        <f t="shared" si="16"/>
        <v>124136</v>
      </c>
      <c r="H197" s="175">
        <f t="shared" si="17"/>
        <v>-0.19378745891602756</v>
      </c>
      <c r="I197" s="39"/>
      <c r="J197" s="39"/>
      <c r="K197" s="39">
        <f t="shared" si="11"/>
        <v>-9440.4289999983703</v>
      </c>
      <c r="L197" s="39"/>
    </row>
    <row r="198" spans="1:15" x14ac:dyDescent="0.25">
      <c r="A198">
        <v>7200</v>
      </c>
      <c r="B198" s="147">
        <v>42953</v>
      </c>
      <c r="C198" s="10">
        <v>8000</v>
      </c>
      <c r="D198" s="186">
        <v>15.516999999999999</v>
      </c>
      <c r="E198" s="39">
        <v>12.9</v>
      </c>
      <c r="F198" s="39">
        <f t="shared" si="15"/>
        <v>-20935.999999999993</v>
      </c>
      <c r="G198" s="39">
        <f t="shared" si="16"/>
        <v>124136</v>
      </c>
      <c r="H198" s="175">
        <f t="shared" si="17"/>
        <v>-0.16865373461364949</v>
      </c>
      <c r="I198" s="39"/>
      <c r="J198" s="39"/>
      <c r="K198" s="39">
        <f t="shared" si="11"/>
        <v>-6320.4289999983666</v>
      </c>
      <c r="L198" s="39"/>
    </row>
    <row r="199" spans="1:15" x14ac:dyDescent="0.25">
      <c r="A199">
        <v>7200</v>
      </c>
      <c r="B199" s="147">
        <v>42967</v>
      </c>
      <c r="C199" s="10">
        <v>8900</v>
      </c>
      <c r="D199" s="186">
        <v>15.09</v>
      </c>
      <c r="E199" s="39">
        <v>10.87</v>
      </c>
      <c r="F199" s="39">
        <f t="shared" si="15"/>
        <v>-37558.000000000007</v>
      </c>
      <c r="G199" s="39">
        <f t="shared" si="16"/>
        <v>134301</v>
      </c>
      <c r="H199" s="175">
        <f t="shared" si="17"/>
        <v>-0.27965540092776675</v>
      </c>
      <c r="I199" s="39"/>
      <c r="J199" s="39"/>
      <c r="K199" s="39">
        <f t="shared" si="11"/>
        <v>-22942.428999998381</v>
      </c>
      <c r="L199" s="39"/>
    </row>
    <row r="200" spans="1:15" x14ac:dyDescent="0.25">
      <c r="A200">
        <v>7100</v>
      </c>
      <c r="B200" s="147">
        <v>42978</v>
      </c>
      <c r="C200" s="10">
        <v>8600</v>
      </c>
      <c r="D200" s="186">
        <v>15.226800000000001</v>
      </c>
      <c r="E200" s="39">
        <v>11.27</v>
      </c>
      <c r="F200" s="39">
        <f t="shared" si="15"/>
        <v>-34028.48000000001</v>
      </c>
      <c r="G200" s="39">
        <f t="shared" si="16"/>
        <v>130950.48000000001</v>
      </c>
      <c r="H200" s="175">
        <f t="shared" si="17"/>
        <v>-0.25985761946042513</v>
      </c>
      <c r="I200" s="39"/>
      <c r="J200" s="39"/>
      <c r="K200" s="39">
        <f t="shared" si="11"/>
        <v>-19412.908999998384</v>
      </c>
      <c r="L200" s="39"/>
    </row>
    <row r="201" spans="1:15" x14ac:dyDescent="0.25">
      <c r="A201">
        <v>7300</v>
      </c>
      <c r="B201" s="147">
        <v>42984</v>
      </c>
      <c r="C201" s="10">
        <v>8200</v>
      </c>
      <c r="D201" s="186">
        <v>15.403</v>
      </c>
      <c r="E201" s="39">
        <v>11.6</v>
      </c>
      <c r="F201" s="39">
        <f t="shared" si="15"/>
        <v>-31184.600000000006</v>
      </c>
      <c r="G201" s="39">
        <f t="shared" si="16"/>
        <v>126304.6</v>
      </c>
      <c r="H201" s="175">
        <f t="shared" si="17"/>
        <v>-0.24689995455430766</v>
      </c>
      <c r="I201" s="39"/>
      <c r="J201" s="39"/>
      <c r="K201" s="39">
        <f t="shared" si="11"/>
        <v>-16569.02899999838</v>
      </c>
      <c r="L201" s="39"/>
    </row>
    <row r="202" spans="1:15" x14ac:dyDescent="0.25">
      <c r="A202">
        <v>7300</v>
      </c>
      <c r="B202" s="147">
        <v>42986</v>
      </c>
      <c r="C202" s="10">
        <v>8600</v>
      </c>
      <c r="D202" s="186">
        <v>15.202999999999999</v>
      </c>
      <c r="E202" s="39">
        <v>11.11</v>
      </c>
      <c r="F202" s="39">
        <f t="shared" si="15"/>
        <v>-35199.800000000003</v>
      </c>
      <c r="G202" s="39">
        <f t="shared" si="16"/>
        <v>130745.79999999999</v>
      </c>
      <c r="H202" s="175">
        <f t="shared" si="17"/>
        <v>-0.26922317963559822</v>
      </c>
      <c r="I202" s="39"/>
      <c r="J202" s="39"/>
      <c r="K202" s="39">
        <f t="shared" si="11"/>
        <v>-20584.228999998377</v>
      </c>
      <c r="L202" s="39"/>
    </row>
    <row r="203" spans="1:15" x14ac:dyDescent="0.25">
      <c r="A203">
        <v>6900</v>
      </c>
      <c r="B203" s="147">
        <v>42987</v>
      </c>
      <c r="C203" s="10">
        <v>8200</v>
      </c>
      <c r="D203" s="186">
        <v>15.3935</v>
      </c>
      <c r="E203" s="39">
        <v>11.3</v>
      </c>
      <c r="F203" s="39">
        <f t="shared" si="15"/>
        <v>-33566.69999999999</v>
      </c>
      <c r="G203" s="39">
        <f t="shared" si="16"/>
        <v>126226.7</v>
      </c>
      <c r="H203" s="175">
        <f t="shared" si="17"/>
        <v>-0.26592392893104227</v>
      </c>
      <c r="I203" s="39"/>
      <c r="J203" s="39"/>
      <c r="K203" s="39">
        <f t="shared" si="11"/>
        <v>-18951.128999998364</v>
      </c>
      <c r="L203" s="39"/>
    </row>
    <row r="204" spans="1:15" x14ac:dyDescent="0.25">
      <c r="A204">
        <v>7500</v>
      </c>
      <c r="B204" s="147">
        <v>42996</v>
      </c>
      <c r="C204" s="10">
        <v>8000</v>
      </c>
      <c r="D204" s="186">
        <v>15.43</v>
      </c>
      <c r="E204" s="39">
        <v>12.02</v>
      </c>
      <c r="F204" s="39">
        <f t="shared" si="15"/>
        <v>-27280</v>
      </c>
      <c r="G204" s="39">
        <f t="shared" si="16"/>
        <v>123440</v>
      </c>
      <c r="H204" s="175">
        <f t="shared" si="17"/>
        <v>-0.22099805573558004</v>
      </c>
      <c r="I204" s="39">
        <v>15</v>
      </c>
      <c r="J204" s="39"/>
      <c r="K204" s="39">
        <f t="shared" si="11"/>
        <v>-12664.428999998374</v>
      </c>
      <c r="L204" s="39"/>
    </row>
    <row r="205" spans="1:15" x14ac:dyDescent="0.25">
      <c r="A205">
        <v>7600</v>
      </c>
      <c r="B205" s="147">
        <v>42999</v>
      </c>
      <c r="C205" s="348">
        <v>8000</v>
      </c>
      <c r="D205" s="691">
        <v>15.43</v>
      </c>
      <c r="E205" s="39">
        <v>12.73</v>
      </c>
      <c r="F205" s="39">
        <f t="shared" ref="F205:F211" si="18">C205*(E205-D205)</f>
        <v>-21599.999999999993</v>
      </c>
      <c r="G205" s="39">
        <f t="shared" ref="G205:G211" si="19">D205*C205</f>
        <v>123440</v>
      </c>
      <c r="H205" s="175">
        <f t="shared" ref="H205:H211" si="20">(E205-D205)/D205</f>
        <v>-0.17498379779650028</v>
      </c>
      <c r="I205" s="39">
        <v>15</v>
      </c>
      <c r="J205" s="39"/>
      <c r="K205" s="39">
        <f t="shared" si="11"/>
        <v>-6984.4289999983666</v>
      </c>
      <c r="L205" s="39"/>
    </row>
    <row r="206" spans="1:15" x14ac:dyDescent="0.25">
      <c r="A206">
        <v>7100</v>
      </c>
      <c r="B206" s="147">
        <v>43000</v>
      </c>
      <c r="C206" s="10">
        <v>7500</v>
      </c>
      <c r="D206" s="186">
        <v>15.6</v>
      </c>
      <c r="E206" s="39">
        <v>12.83</v>
      </c>
      <c r="F206" s="39">
        <f t="shared" si="18"/>
        <v>-20774.999999999996</v>
      </c>
      <c r="G206" s="39">
        <f t="shared" si="19"/>
        <v>117000</v>
      </c>
      <c r="H206" s="175">
        <f t="shared" si="20"/>
        <v>-0.17756410256410254</v>
      </c>
      <c r="I206" s="39"/>
      <c r="J206" s="39"/>
      <c r="K206" s="39">
        <f t="shared" si="11"/>
        <v>-6159.4289999983703</v>
      </c>
      <c r="L206" s="39"/>
      <c r="O206" s="2"/>
    </row>
    <row r="207" spans="1:15" x14ac:dyDescent="0.25">
      <c r="A207">
        <v>6600</v>
      </c>
      <c r="B207" s="147">
        <v>43000</v>
      </c>
      <c r="C207" s="10">
        <v>7000</v>
      </c>
      <c r="D207" s="186">
        <v>15.788</v>
      </c>
      <c r="E207" s="39">
        <v>12.79</v>
      </c>
      <c r="F207" s="39">
        <f t="shared" si="18"/>
        <v>-20986.000000000007</v>
      </c>
      <c r="G207" s="39">
        <f t="shared" si="19"/>
        <v>110516</v>
      </c>
      <c r="H207" s="175">
        <f t="shared" si="20"/>
        <v>-0.1898910564986066</v>
      </c>
      <c r="I207" s="39">
        <v>15.5</v>
      </c>
      <c r="J207" s="39"/>
      <c r="K207" s="39">
        <f t="shared" si="11"/>
        <v>-6370.4289999983812</v>
      </c>
      <c r="L207" s="39"/>
    </row>
    <row r="208" spans="1:15" x14ac:dyDescent="0.25">
      <c r="A208">
        <v>6300</v>
      </c>
      <c r="B208" s="147">
        <v>43004</v>
      </c>
      <c r="C208" s="10">
        <v>6700</v>
      </c>
      <c r="D208" s="186">
        <v>15.903</v>
      </c>
      <c r="E208" s="39">
        <v>13.4</v>
      </c>
      <c r="F208" s="39">
        <f t="shared" si="18"/>
        <v>-16770.100000000002</v>
      </c>
      <c r="G208" s="39">
        <f t="shared" si="19"/>
        <v>106550.1</v>
      </c>
      <c r="H208" s="175">
        <f t="shared" si="20"/>
        <v>-0.15739168710306231</v>
      </c>
      <c r="I208" s="39">
        <v>15.5</v>
      </c>
      <c r="J208" s="39"/>
      <c r="K208" s="39">
        <f t="shared" si="11"/>
        <v>-2154.5289999983761</v>
      </c>
      <c r="L208" s="39"/>
    </row>
    <row r="209" spans="1:16" x14ac:dyDescent="0.25">
      <c r="A209">
        <v>6000</v>
      </c>
      <c r="B209" s="147">
        <v>43005</v>
      </c>
      <c r="C209" s="10">
        <v>6400</v>
      </c>
      <c r="D209" s="186">
        <v>16.003</v>
      </c>
      <c r="E209" s="39">
        <v>13.73</v>
      </c>
      <c r="F209" s="39">
        <f t="shared" si="18"/>
        <v>-14547.199999999997</v>
      </c>
      <c r="G209" s="39">
        <f t="shared" si="19"/>
        <v>102419.2</v>
      </c>
      <c r="H209" s="175">
        <f t="shared" si="20"/>
        <v>-0.14203586827469847</v>
      </c>
      <c r="I209" s="39"/>
      <c r="J209" s="39"/>
      <c r="K209" s="39">
        <f t="shared" si="11"/>
        <v>68.371000001629</v>
      </c>
      <c r="L209" s="39"/>
    </row>
    <row r="210" spans="1:16" x14ac:dyDescent="0.25">
      <c r="A210">
        <v>6000</v>
      </c>
      <c r="B210" s="147">
        <v>43006</v>
      </c>
      <c r="C210" s="10">
        <v>6700</v>
      </c>
      <c r="D210" s="186">
        <v>15.8888</v>
      </c>
      <c r="E210" s="39">
        <v>13.53</v>
      </c>
      <c r="F210" s="39">
        <f t="shared" si="18"/>
        <v>-15803.960000000003</v>
      </c>
      <c r="G210" s="39">
        <f t="shared" si="19"/>
        <v>106454.95999999999</v>
      </c>
      <c r="H210" s="175">
        <f t="shared" si="20"/>
        <v>-0.14845677458335435</v>
      </c>
      <c r="I210" s="39">
        <v>15.5</v>
      </c>
      <c r="J210" s="39"/>
      <c r="K210" s="39">
        <f t="shared" si="11"/>
        <v>-1188.3889999983767</v>
      </c>
      <c r="L210" s="39"/>
    </row>
    <row r="211" spans="1:16" x14ac:dyDescent="0.25">
      <c r="A211">
        <v>5700</v>
      </c>
      <c r="B211" s="147">
        <v>43011</v>
      </c>
      <c r="C211" s="10">
        <v>6400</v>
      </c>
      <c r="D211" s="186">
        <v>15.99</v>
      </c>
      <c r="E211" s="39">
        <v>13.76</v>
      </c>
      <c r="F211" s="39">
        <f t="shared" si="18"/>
        <v>-14272.000000000004</v>
      </c>
      <c r="G211" s="39">
        <f t="shared" si="19"/>
        <v>102336</v>
      </c>
      <c r="H211" s="175">
        <f t="shared" si="20"/>
        <v>-0.13946216385240778</v>
      </c>
      <c r="I211" s="39"/>
      <c r="J211" s="39"/>
      <c r="K211" s="39">
        <f t="shared" si="11"/>
        <v>343.57100000162245</v>
      </c>
      <c r="L211" s="39"/>
    </row>
    <row r="212" spans="1:16" x14ac:dyDescent="0.25">
      <c r="A212">
        <v>6100</v>
      </c>
      <c r="B212" s="147">
        <v>43023</v>
      </c>
      <c r="C212" s="10">
        <v>6400</v>
      </c>
      <c r="D212" s="186">
        <v>15.99</v>
      </c>
      <c r="E212" s="39">
        <v>13.75</v>
      </c>
      <c r="F212" s="39">
        <f>C212*(E212-D212)</f>
        <v>-14336.000000000002</v>
      </c>
      <c r="G212" s="39">
        <f>D212*C212</f>
        <v>102336</v>
      </c>
      <c r="H212" s="175">
        <f>(E212-D212)/D212</f>
        <v>-0.14008755472170106</v>
      </c>
      <c r="I212" s="39">
        <v>15.5</v>
      </c>
      <c r="J212" s="39">
        <v>69.28</v>
      </c>
      <c r="K212" s="39">
        <f t="shared" si="11"/>
        <v>279.57100000162427</v>
      </c>
      <c r="L212" s="39"/>
    </row>
    <row r="213" spans="1:16" x14ac:dyDescent="0.25">
      <c r="B213" s="147">
        <v>43028</v>
      </c>
      <c r="C213" s="10">
        <v>6400</v>
      </c>
      <c r="D213" s="186">
        <v>15.99</v>
      </c>
      <c r="E213" s="39">
        <v>13.93</v>
      </c>
      <c r="F213" s="39">
        <f>C213*(E213-D213)</f>
        <v>-13184.000000000004</v>
      </c>
      <c r="G213" s="39">
        <f>D213*C213</f>
        <v>102336</v>
      </c>
      <c r="H213" s="175">
        <f>(E213-D213)/D213</f>
        <v>-0.12883051907442156</v>
      </c>
      <c r="I213" s="39"/>
      <c r="J213" s="39"/>
      <c r="K213" s="39">
        <f t="shared" si="11"/>
        <v>1431.5710000016225</v>
      </c>
      <c r="L213" s="39"/>
    </row>
    <row r="214" spans="1:16" x14ac:dyDescent="0.25">
      <c r="A214">
        <v>6100</v>
      </c>
      <c r="B214" s="147">
        <v>43031</v>
      </c>
      <c r="C214" s="10">
        <v>6400</v>
      </c>
      <c r="D214" s="186">
        <v>15.99</v>
      </c>
      <c r="E214" s="39">
        <v>13.63</v>
      </c>
      <c r="F214" s="39">
        <f t="shared" ref="F214:F226" si="21">C214*(E214-D214)</f>
        <v>-15103.999999999996</v>
      </c>
      <c r="G214" s="39">
        <f t="shared" ref="G214:G226" si="22">D214*C214</f>
        <v>102336</v>
      </c>
      <c r="H214" s="175">
        <f t="shared" ref="H214:H226" si="23">(E214-D214)/D214</f>
        <v>-0.14759224515322072</v>
      </c>
      <c r="I214" s="39"/>
      <c r="J214" s="39"/>
      <c r="K214" s="39">
        <f t="shared" si="11"/>
        <v>-488.42899999837027</v>
      </c>
      <c r="L214" s="39"/>
    </row>
    <row r="215" spans="1:16" x14ac:dyDescent="0.25">
      <c r="A215">
        <v>6000</v>
      </c>
      <c r="B215" s="147">
        <v>43040</v>
      </c>
      <c r="C215" s="352">
        <v>6000</v>
      </c>
      <c r="D215" s="554">
        <v>16.091100000000001</v>
      </c>
      <c r="E215" s="39">
        <v>14.87</v>
      </c>
      <c r="F215" s="39">
        <f t="shared" si="21"/>
        <v>-7326.6000000000095</v>
      </c>
      <c r="G215" s="39">
        <f t="shared" si="22"/>
        <v>96546.6</v>
      </c>
      <c r="H215" s="175">
        <f t="shared" si="23"/>
        <v>-7.5886670271143777E-2</v>
      </c>
      <c r="I215" s="170" t="s">
        <v>695</v>
      </c>
      <c r="J215" s="39"/>
      <c r="K215" s="39">
        <f t="shared" si="11"/>
        <v>7288.9710000016166</v>
      </c>
      <c r="L215" s="39"/>
    </row>
    <row r="216" spans="1:16" x14ac:dyDescent="0.25">
      <c r="A216">
        <v>5700</v>
      </c>
      <c r="B216" s="147">
        <v>43042</v>
      </c>
      <c r="C216" s="10">
        <v>5700</v>
      </c>
      <c r="D216" s="186">
        <v>16.117999999999999</v>
      </c>
      <c r="E216" s="39">
        <v>15.58</v>
      </c>
      <c r="F216" s="39">
        <f t="shared" si="21"/>
        <v>-3066.5999999999913</v>
      </c>
      <c r="G216" s="39">
        <f t="shared" si="22"/>
        <v>91872.599999999991</v>
      </c>
      <c r="H216" s="175">
        <f t="shared" si="23"/>
        <v>-3.337883112048632E-2</v>
      </c>
      <c r="I216" s="39"/>
      <c r="J216" s="39"/>
      <c r="K216" s="39">
        <f t="shared" si="11"/>
        <v>11548.971000001635</v>
      </c>
      <c r="L216" s="39"/>
    </row>
    <row r="217" spans="1:16" x14ac:dyDescent="0.25">
      <c r="A217">
        <v>5600</v>
      </c>
      <c r="B217" s="147">
        <v>43045</v>
      </c>
      <c r="C217" s="10">
        <v>5600</v>
      </c>
      <c r="D217" s="186">
        <v>16.114000000000001</v>
      </c>
      <c r="E217" s="39">
        <v>16.329999999999998</v>
      </c>
      <c r="F217" s="39">
        <f t="shared" si="21"/>
        <v>1209.5999999999863</v>
      </c>
      <c r="G217" s="39">
        <f t="shared" si="22"/>
        <v>90238.400000000009</v>
      </c>
      <c r="H217" s="175">
        <f t="shared" si="23"/>
        <v>1.3404492987464163E-2</v>
      </c>
      <c r="I217" s="39"/>
      <c r="J217" s="39"/>
      <c r="K217" s="39">
        <f t="shared" si="11"/>
        <v>15825.171000001612</v>
      </c>
      <c r="L217" s="39"/>
      <c r="P217" s="67"/>
    </row>
    <row r="218" spans="1:16" ht="15" customHeight="1" x14ac:dyDescent="0.25">
      <c r="A218">
        <v>5600</v>
      </c>
      <c r="B218" s="147">
        <v>43047</v>
      </c>
      <c r="C218" s="10">
        <v>5700</v>
      </c>
      <c r="D218" s="186">
        <v>16.1084</v>
      </c>
      <c r="E218" s="39">
        <v>15.8</v>
      </c>
      <c r="F218" s="39">
        <f t="shared" si="21"/>
        <v>-1757.8799999999937</v>
      </c>
      <c r="G218" s="39">
        <f t="shared" si="22"/>
        <v>91817.88</v>
      </c>
      <c r="H218" s="175">
        <f t="shared" si="23"/>
        <v>-1.9145290655806842E-2</v>
      </c>
      <c r="I218" s="39"/>
      <c r="J218" s="39"/>
      <c r="K218" s="39">
        <f t="shared" si="11"/>
        <v>12857.691000001632</v>
      </c>
      <c r="L218" s="39"/>
      <c r="P218" s="67"/>
    </row>
    <row r="219" spans="1:16" x14ac:dyDescent="0.25">
      <c r="A219">
        <v>5600</v>
      </c>
      <c r="B219" s="147">
        <v>43053</v>
      </c>
      <c r="C219" s="352">
        <v>6000</v>
      </c>
      <c r="D219" s="554">
        <v>16.059999999999999</v>
      </c>
      <c r="E219" s="39">
        <v>14.84</v>
      </c>
      <c r="F219" s="39">
        <f t="shared" si="21"/>
        <v>-7319.9999999999927</v>
      </c>
      <c r="G219" s="39">
        <f t="shared" si="22"/>
        <v>96359.999999999985</v>
      </c>
      <c r="H219" s="175">
        <f t="shared" si="23"/>
        <v>-7.5965130759651237E-2</v>
      </c>
      <c r="I219" s="39">
        <v>15.75</v>
      </c>
      <c r="J219" s="39">
        <v>52.87</v>
      </c>
      <c r="K219" s="39">
        <f t="shared" si="11"/>
        <v>7295.5710000016334</v>
      </c>
      <c r="L219" s="39"/>
    </row>
    <row r="220" spans="1:16" x14ac:dyDescent="0.25">
      <c r="A220">
        <v>5600</v>
      </c>
      <c r="B220" s="147">
        <v>43060</v>
      </c>
      <c r="C220" s="10">
        <v>6400</v>
      </c>
      <c r="D220" s="186">
        <v>15.96</v>
      </c>
      <c r="E220" s="39">
        <v>14.52</v>
      </c>
      <c r="F220" s="39">
        <f t="shared" si="21"/>
        <v>-9216.0000000000073</v>
      </c>
      <c r="G220" s="39">
        <f t="shared" si="22"/>
        <v>102144</v>
      </c>
      <c r="H220" s="175">
        <f t="shared" si="23"/>
        <v>-9.0225563909774514E-2</v>
      </c>
      <c r="I220" s="39"/>
      <c r="J220" s="39"/>
      <c r="K220" s="39">
        <f t="shared" si="11"/>
        <v>5399.5710000016188</v>
      </c>
      <c r="L220" s="39"/>
    </row>
    <row r="221" spans="1:16" x14ac:dyDescent="0.25">
      <c r="B221" s="147">
        <v>43068</v>
      </c>
      <c r="C221" s="10">
        <v>6000</v>
      </c>
      <c r="D221" s="186">
        <v>16.010999999999999</v>
      </c>
      <c r="E221" s="39">
        <v>14.78</v>
      </c>
      <c r="F221" s="39">
        <f t="shared" si="21"/>
        <v>-7385.9999999999991</v>
      </c>
      <c r="G221" s="39">
        <f t="shared" si="22"/>
        <v>96066</v>
      </c>
      <c r="H221" s="175">
        <f t="shared" si="23"/>
        <v>-7.6884641808756482E-2</v>
      </c>
      <c r="I221" s="39"/>
      <c r="J221" s="39"/>
      <c r="K221" s="39">
        <f t="shared" si="11"/>
        <v>7229.571000001627</v>
      </c>
      <c r="L221" s="39"/>
    </row>
    <row r="222" spans="1:16" x14ac:dyDescent="0.25">
      <c r="B222" s="147">
        <v>43069</v>
      </c>
      <c r="C222" s="10">
        <v>6100</v>
      </c>
      <c r="D222" s="186">
        <v>15.989000000000001</v>
      </c>
      <c r="E222" s="39">
        <v>14.69</v>
      </c>
      <c r="F222" s="39">
        <f t="shared" si="21"/>
        <v>-7923.9000000000078</v>
      </c>
      <c r="G222" s="39">
        <f t="shared" si="22"/>
        <v>97532.900000000009</v>
      </c>
      <c r="H222" s="175">
        <f t="shared" si="23"/>
        <v>-8.1243354806429496E-2</v>
      </c>
      <c r="I222" s="39"/>
      <c r="J222" s="39"/>
      <c r="K222" s="39">
        <f t="shared" si="11"/>
        <v>6691.6710000016183</v>
      </c>
      <c r="L222" s="39"/>
    </row>
    <row r="223" spans="1:16" x14ac:dyDescent="0.25">
      <c r="A223">
        <v>5100</v>
      </c>
      <c r="B223" s="147">
        <v>43070</v>
      </c>
      <c r="C223" s="352">
        <v>6000</v>
      </c>
      <c r="D223" s="554">
        <v>16.002800000000001</v>
      </c>
      <c r="E223" s="39">
        <v>15.08</v>
      </c>
      <c r="F223" s="39">
        <f t="shared" si="21"/>
        <v>-5536.8000000000029</v>
      </c>
      <c r="G223" s="39">
        <f t="shared" si="22"/>
        <v>96016.8</v>
      </c>
      <c r="H223" s="175">
        <f t="shared" si="23"/>
        <v>-5.7664908640987854E-2</v>
      </c>
      <c r="I223" s="39"/>
      <c r="J223" s="39"/>
      <c r="K223" s="39">
        <f t="shared" si="11"/>
        <v>9078.7710000016232</v>
      </c>
      <c r="L223" s="39"/>
    </row>
    <row r="224" spans="1:16" x14ac:dyDescent="0.25">
      <c r="A224">
        <v>5200</v>
      </c>
      <c r="B224" s="147">
        <v>43081</v>
      </c>
      <c r="C224" s="352">
        <v>6000</v>
      </c>
      <c r="D224" s="554">
        <v>15.955</v>
      </c>
      <c r="E224" s="39">
        <v>15.18</v>
      </c>
      <c r="F224" s="39">
        <f t="shared" si="21"/>
        <v>-4650.0000000000018</v>
      </c>
      <c r="G224" s="39">
        <f t="shared" si="22"/>
        <v>95730</v>
      </c>
      <c r="H224" s="175">
        <f t="shared" si="23"/>
        <v>-4.8574114697586983E-2</v>
      </c>
      <c r="I224" s="170" t="s">
        <v>702</v>
      </c>
      <c r="J224" s="39">
        <v>56.3</v>
      </c>
      <c r="K224" s="39">
        <f t="shared" si="11"/>
        <v>9965.5710000016243</v>
      </c>
      <c r="L224" s="39"/>
    </row>
    <row r="225" spans="1:17" x14ac:dyDescent="0.25">
      <c r="B225" s="147">
        <v>43087</v>
      </c>
      <c r="C225" s="10">
        <v>5800</v>
      </c>
      <c r="D225" s="186">
        <v>15.977</v>
      </c>
      <c r="E225" s="39">
        <v>15.33</v>
      </c>
      <c r="F225" s="39">
        <f t="shared" si="21"/>
        <v>-3752.6000000000013</v>
      </c>
      <c r="G225" s="39">
        <f t="shared" si="22"/>
        <v>92666.6</v>
      </c>
      <c r="H225" s="175">
        <f t="shared" si="23"/>
        <v>-4.0495712586843605E-2</v>
      </c>
      <c r="I225" s="39"/>
      <c r="J225" s="39"/>
      <c r="K225" s="39">
        <f t="shared" si="11"/>
        <v>10862.971000001624</v>
      </c>
      <c r="L225" s="39"/>
    </row>
    <row r="226" spans="1:17" x14ac:dyDescent="0.25">
      <c r="A226">
        <v>5200</v>
      </c>
      <c r="B226" s="147">
        <v>43087</v>
      </c>
      <c r="C226" s="10">
        <v>5700</v>
      </c>
      <c r="D226" s="186">
        <v>15.986000000000001</v>
      </c>
      <c r="E226" s="39">
        <v>15.44</v>
      </c>
      <c r="F226" s="39">
        <f t="shared" si="21"/>
        <v>-3112.2000000000066</v>
      </c>
      <c r="G226" s="39">
        <f t="shared" si="22"/>
        <v>91120.2</v>
      </c>
      <c r="H226" s="175">
        <f t="shared" si="23"/>
        <v>-3.4154885524834304E-2</v>
      </c>
      <c r="I226" s="39"/>
      <c r="J226" s="39"/>
      <c r="K226" s="39">
        <f t="shared" si="11"/>
        <v>11503.37100000162</v>
      </c>
      <c r="L226" s="39"/>
    </row>
    <row r="227" spans="1:17" ht="15" customHeight="1" x14ac:dyDescent="0.25">
      <c r="A227">
        <v>5100</v>
      </c>
      <c r="B227" s="147">
        <v>43088</v>
      </c>
      <c r="C227" s="10">
        <v>5600</v>
      </c>
      <c r="D227" s="186">
        <v>15.986000000000001</v>
      </c>
      <c r="E227" s="39">
        <v>16.02</v>
      </c>
      <c r="F227" s="39">
        <f t="shared" ref="F227:F235" si="24">C227*(E227-D227)</f>
        <v>190.39999999999395</v>
      </c>
      <c r="G227" s="39">
        <f t="shared" ref="G227:G235" si="25">D227*C227</f>
        <v>89521.600000000006</v>
      </c>
      <c r="H227" s="175">
        <f t="shared" ref="H227:H235" si="26">(E227-D227)/D227</f>
        <v>2.1268610033778881E-3</v>
      </c>
      <c r="I227" s="39"/>
      <c r="J227" s="39">
        <v>66</v>
      </c>
      <c r="K227" s="39">
        <f t="shared" ref="K227:K290" si="27">F227+$Q$10</f>
        <v>14805.97100000162</v>
      </c>
      <c r="L227" s="39"/>
    </row>
    <row r="228" spans="1:17" ht="15" customHeight="1" x14ac:dyDescent="0.25">
      <c r="B228" s="147">
        <v>43089</v>
      </c>
      <c r="C228" s="10">
        <v>5500</v>
      </c>
      <c r="D228" s="186">
        <v>15.981</v>
      </c>
      <c r="E228" s="39">
        <v>16.32</v>
      </c>
      <c r="F228" s="39">
        <f t="shared" si="24"/>
        <v>1864.5000000000023</v>
      </c>
      <c r="G228" s="39">
        <f t="shared" si="25"/>
        <v>87895.5</v>
      </c>
      <c r="H228" s="175">
        <f t="shared" si="26"/>
        <v>2.1212690069457505E-2</v>
      </c>
      <c r="I228" s="39"/>
      <c r="J228" s="39"/>
      <c r="K228" s="39">
        <f t="shared" si="27"/>
        <v>16480.07100000163</v>
      </c>
      <c r="L228" s="39"/>
    </row>
    <row r="229" spans="1:17" x14ac:dyDescent="0.25">
      <c r="B229" s="147">
        <v>43090</v>
      </c>
      <c r="C229" s="10">
        <v>5000</v>
      </c>
      <c r="D229" s="186">
        <v>15.917999999999999</v>
      </c>
      <c r="E229" s="39">
        <v>16.8</v>
      </c>
      <c r="F229" s="39">
        <f t="shared" si="24"/>
        <v>4410.0000000000073</v>
      </c>
      <c r="G229" s="39">
        <f t="shared" si="25"/>
        <v>79590</v>
      </c>
      <c r="H229" s="175">
        <f t="shared" si="26"/>
        <v>5.5408970976253392E-2</v>
      </c>
      <c r="I229" s="39"/>
      <c r="J229" s="39"/>
      <c r="K229" s="39">
        <f t="shared" si="27"/>
        <v>19025.571000001633</v>
      </c>
      <c r="L229" s="39"/>
      <c r="P229" s="1"/>
    </row>
    <row r="230" spans="1:17" x14ac:dyDescent="0.25">
      <c r="A230">
        <v>4500</v>
      </c>
      <c r="B230" s="147">
        <v>43090</v>
      </c>
      <c r="C230" s="10">
        <v>4800</v>
      </c>
      <c r="D230" s="186">
        <v>15.877000000000001</v>
      </c>
      <c r="E230" s="39">
        <v>17.05</v>
      </c>
      <c r="F230" s="39">
        <f t="shared" si="24"/>
        <v>5630.4000000000005</v>
      </c>
      <c r="G230" s="39">
        <f t="shared" si="25"/>
        <v>76209.600000000006</v>
      </c>
      <c r="H230" s="175">
        <f t="shared" si="26"/>
        <v>7.3880456005542605E-2</v>
      </c>
      <c r="I230" s="39"/>
      <c r="J230" s="39"/>
      <c r="K230" s="39">
        <f t="shared" si="27"/>
        <v>20245.971000001628</v>
      </c>
      <c r="L230" s="39"/>
      <c r="Q230" s="67"/>
    </row>
    <row r="231" spans="1:17" x14ac:dyDescent="0.25">
      <c r="A231">
        <v>4700</v>
      </c>
      <c r="B231" s="147">
        <v>43096</v>
      </c>
      <c r="C231" s="10">
        <v>4800</v>
      </c>
      <c r="D231" s="186">
        <v>15.877000000000001</v>
      </c>
      <c r="E231" s="39">
        <v>17.010000000000002</v>
      </c>
      <c r="F231" s="39">
        <f t="shared" si="24"/>
        <v>5438.4000000000042</v>
      </c>
      <c r="G231" s="39">
        <f t="shared" si="25"/>
        <v>76209.600000000006</v>
      </c>
      <c r="H231" s="175">
        <f t="shared" si="26"/>
        <v>7.136108836681998E-2</v>
      </c>
      <c r="I231" s="39"/>
      <c r="J231" s="39">
        <v>69.88</v>
      </c>
      <c r="K231" s="39">
        <f t="shared" si="27"/>
        <v>20053.971000001631</v>
      </c>
      <c r="L231" s="39"/>
      <c r="P231" s="1"/>
    </row>
    <row r="232" spans="1:17" x14ac:dyDescent="0.25">
      <c r="A232">
        <v>4700</v>
      </c>
      <c r="B232" s="147">
        <v>43102</v>
      </c>
      <c r="C232" s="10">
        <v>4700</v>
      </c>
      <c r="D232" s="186">
        <v>15.84563</v>
      </c>
      <c r="E232" s="39">
        <v>17.38</v>
      </c>
      <c r="F232" s="39">
        <f t="shared" si="24"/>
        <v>7211.5389999999961</v>
      </c>
      <c r="G232" s="39">
        <f t="shared" si="25"/>
        <v>74474.460999999996</v>
      </c>
      <c r="H232" s="175">
        <f t="shared" si="26"/>
        <v>9.6832375866406015E-2</v>
      </c>
      <c r="I232" s="39"/>
      <c r="J232" s="39"/>
      <c r="K232" s="39">
        <f t="shared" si="27"/>
        <v>21827.110000001623</v>
      </c>
      <c r="L232" s="39"/>
      <c r="P232" s="1"/>
      <c r="Q232" s="67"/>
    </row>
    <row r="233" spans="1:17" x14ac:dyDescent="0.25">
      <c r="A233">
        <v>4700</v>
      </c>
      <c r="B233" s="147">
        <v>43103</v>
      </c>
      <c r="C233" s="10">
        <v>4700</v>
      </c>
      <c r="D233" s="186">
        <v>15.84563</v>
      </c>
      <c r="E233" s="39">
        <v>17.670000000000002</v>
      </c>
      <c r="F233" s="39">
        <f t="shared" si="24"/>
        <v>8574.5390000000079</v>
      </c>
      <c r="G233" s="39">
        <f t="shared" si="25"/>
        <v>74474.460999999996</v>
      </c>
      <c r="H233" s="175">
        <f t="shared" si="26"/>
        <v>0.11513395175830825</v>
      </c>
      <c r="I233" s="39"/>
      <c r="J233" s="39">
        <v>73</v>
      </c>
      <c r="K233" s="39">
        <f t="shared" si="27"/>
        <v>23190.110000001634</v>
      </c>
      <c r="L233" s="39"/>
      <c r="P233" s="1"/>
    </row>
    <row r="234" spans="1:17" x14ac:dyDescent="0.25">
      <c r="A234">
        <v>4600</v>
      </c>
      <c r="B234" s="147">
        <v>43104</v>
      </c>
      <c r="C234" s="10">
        <v>4600</v>
      </c>
      <c r="D234" s="186">
        <v>15.8</v>
      </c>
      <c r="E234" s="39">
        <v>18.12</v>
      </c>
      <c r="F234" s="39">
        <f t="shared" si="24"/>
        <v>10672.000000000002</v>
      </c>
      <c r="G234" s="39">
        <f t="shared" si="25"/>
        <v>72680</v>
      </c>
      <c r="H234" s="175">
        <f t="shared" si="26"/>
        <v>0.14683544303797469</v>
      </c>
      <c r="I234" s="39"/>
      <c r="J234" s="39"/>
      <c r="K234" s="39">
        <f t="shared" si="27"/>
        <v>25287.571000001626</v>
      </c>
      <c r="L234" s="39"/>
      <c r="P234" s="1"/>
      <c r="Q234" s="67"/>
    </row>
    <row r="235" spans="1:17" x14ac:dyDescent="0.25">
      <c r="A235">
        <v>4600</v>
      </c>
      <c r="B235" s="147">
        <v>43105</v>
      </c>
      <c r="C235" s="10">
        <v>4600</v>
      </c>
      <c r="D235" s="186">
        <v>15.8</v>
      </c>
      <c r="E235" s="39">
        <v>17.89</v>
      </c>
      <c r="F235" s="39">
        <f t="shared" si="24"/>
        <v>9614</v>
      </c>
      <c r="G235" s="39">
        <f t="shared" si="25"/>
        <v>72680</v>
      </c>
      <c r="H235" s="175">
        <f t="shared" si="26"/>
        <v>0.13227848101265821</v>
      </c>
      <c r="I235" s="39"/>
      <c r="J235" s="39">
        <v>59.81</v>
      </c>
      <c r="K235" s="39">
        <f t="shared" si="27"/>
        <v>24229.571000001626</v>
      </c>
      <c r="L235" s="39"/>
      <c r="Q235" s="67"/>
    </row>
    <row r="236" spans="1:17" x14ac:dyDescent="0.25">
      <c r="A236">
        <v>4600</v>
      </c>
      <c r="B236" s="147">
        <v>43109</v>
      </c>
      <c r="C236" s="10">
        <v>4600</v>
      </c>
      <c r="D236" s="186">
        <v>15.8</v>
      </c>
      <c r="E236" s="39">
        <v>18.05</v>
      </c>
      <c r="F236" s="39">
        <f t="shared" ref="F236:F243" si="28">C236*(E236-D236)</f>
        <v>10350</v>
      </c>
      <c r="G236" s="39">
        <f t="shared" ref="G236:G243" si="29">D236*C236</f>
        <v>72680</v>
      </c>
      <c r="H236" s="175">
        <f t="shared" ref="H236:H243" si="30">(E236-D236)/D236</f>
        <v>0.14240506329113922</v>
      </c>
      <c r="I236" s="39"/>
      <c r="J236" s="39">
        <v>73.349999999999994</v>
      </c>
      <c r="K236" s="39">
        <f t="shared" si="27"/>
        <v>24965.571000001626</v>
      </c>
      <c r="L236" s="39"/>
      <c r="P236" s="1"/>
    </row>
    <row r="237" spans="1:17" x14ac:dyDescent="0.25">
      <c r="A237">
        <v>4233</v>
      </c>
      <c r="B237" s="147">
        <v>43111</v>
      </c>
      <c r="C237" s="10">
        <v>4233</v>
      </c>
      <c r="D237" s="186">
        <v>15.564</v>
      </c>
      <c r="E237" s="39">
        <v>18.600000000000001</v>
      </c>
      <c r="F237" s="39">
        <f t="shared" si="28"/>
        <v>12851.388000000006</v>
      </c>
      <c r="G237" s="39">
        <f t="shared" si="29"/>
        <v>65882.411999999997</v>
      </c>
      <c r="H237" s="175">
        <f t="shared" si="30"/>
        <v>0.19506553585196615</v>
      </c>
      <c r="I237" s="39"/>
      <c r="J237" s="39"/>
      <c r="K237" s="39">
        <f t="shared" si="27"/>
        <v>27466.959000001632</v>
      </c>
      <c r="L237" s="39"/>
    </row>
    <row r="238" spans="1:17" x14ac:dyDescent="0.25">
      <c r="A238">
        <v>4100</v>
      </c>
      <c r="B238" s="147">
        <v>43112</v>
      </c>
      <c r="C238" s="10">
        <v>4100</v>
      </c>
      <c r="D238" s="186">
        <v>15.455299999999999</v>
      </c>
      <c r="E238" s="39">
        <v>18.82</v>
      </c>
      <c r="F238" s="39">
        <f t="shared" si="28"/>
        <v>13795.270000000004</v>
      </c>
      <c r="G238" s="39">
        <f t="shared" si="29"/>
        <v>63366.729999999996</v>
      </c>
      <c r="H238" s="175">
        <f t="shared" si="30"/>
        <v>0.21770525321410786</v>
      </c>
      <c r="I238" s="39"/>
      <c r="J238" s="39">
        <v>76.94</v>
      </c>
      <c r="K238" s="39">
        <f t="shared" si="27"/>
        <v>28410.84100000163</v>
      </c>
      <c r="L238" s="39"/>
    </row>
    <row r="239" spans="1:17" x14ac:dyDescent="0.25">
      <c r="A239">
        <v>4100</v>
      </c>
      <c r="B239" s="147">
        <v>43116</v>
      </c>
      <c r="C239" s="10">
        <v>4300</v>
      </c>
      <c r="D239" s="186">
        <v>15.59</v>
      </c>
      <c r="E239" s="39">
        <v>18.239999999999998</v>
      </c>
      <c r="F239" s="39">
        <f t="shared" si="28"/>
        <v>11394.999999999995</v>
      </c>
      <c r="G239" s="39">
        <f t="shared" si="29"/>
        <v>67037</v>
      </c>
      <c r="H239" s="175">
        <f t="shared" si="30"/>
        <v>0.1699807568954457</v>
      </c>
      <c r="I239" s="39"/>
      <c r="J239" s="39"/>
      <c r="K239" s="39">
        <f t="shared" si="27"/>
        <v>26010.571000001619</v>
      </c>
      <c r="L239" s="39"/>
    </row>
    <row r="240" spans="1:17" x14ac:dyDescent="0.25">
      <c r="A240">
        <v>4100</v>
      </c>
      <c r="B240" s="147">
        <v>43116</v>
      </c>
      <c r="C240" s="10">
        <v>4500</v>
      </c>
      <c r="D240" s="186">
        <v>15.708</v>
      </c>
      <c r="E240" s="39">
        <v>18.239999999999998</v>
      </c>
      <c r="F240" s="39">
        <f t="shared" si="28"/>
        <v>11393.999999999993</v>
      </c>
      <c r="G240" s="39">
        <f t="shared" si="29"/>
        <v>70686</v>
      </c>
      <c r="H240" s="175">
        <f t="shared" si="30"/>
        <v>0.16119174942704342</v>
      </c>
      <c r="I240" s="39"/>
      <c r="J240" s="39"/>
      <c r="K240" s="39">
        <f t="shared" si="27"/>
        <v>26009.571000001619</v>
      </c>
      <c r="L240" s="39"/>
    </row>
    <row r="241" spans="1:12" x14ac:dyDescent="0.25">
      <c r="B241" s="147">
        <v>43117</v>
      </c>
      <c r="C241" s="10">
        <v>4100</v>
      </c>
      <c r="D241" s="186">
        <v>15.41</v>
      </c>
      <c r="E241" s="39">
        <v>18.600000000000001</v>
      </c>
      <c r="F241" s="39">
        <f t="shared" si="28"/>
        <v>13079.000000000005</v>
      </c>
      <c r="G241" s="39">
        <f t="shared" si="29"/>
        <v>63181</v>
      </c>
      <c r="H241" s="175">
        <f t="shared" si="30"/>
        <v>0.20700843608046732</v>
      </c>
      <c r="I241" s="39"/>
      <c r="J241" s="39"/>
      <c r="K241" s="39">
        <f t="shared" si="27"/>
        <v>27694.571000001633</v>
      </c>
      <c r="L241" s="39"/>
    </row>
    <row r="242" spans="1:12" ht="15" customHeight="1" x14ac:dyDescent="0.25">
      <c r="A242">
        <v>3500</v>
      </c>
      <c r="B242" s="147">
        <v>43117</v>
      </c>
      <c r="C242" s="10">
        <v>4000</v>
      </c>
      <c r="D242" s="186">
        <v>15.321</v>
      </c>
      <c r="E242" s="39">
        <v>18.989999999999998</v>
      </c>
      <c r="F242" s="39">
        <f t="shared" si="28"/>
        <v>14675.999999999995</v>
      </c>
      <c r="G242" s="39">
        <f t="shared" si="29"/>
        <v>61284</v>
      </c>
      <c r="H242" s="175">
        <f t="shared" si="30"/>
        <v>0.2394752300763657</v>
      </c>
      <c r="I242" s="39"/>
      <c r="J242" s="39">
        <v>66.36</v>
      </c>
      <c r="K242" s="39">
        <f t="shared" si="27"/>
        <v>29291.571000001619</v>
      </c>
      <c r="L242" s="39"/>
    </row>
    <row r="243" spans="1:12" ht="18.75" customHeight="1" x14ac:dyDescent="0.25">
      <c r="A243">
        <v>3300</v>
      </c>
      <c r="B243" s="147">
        <v>43123</v>
      </c>
      <c r="C243" s="7">
        <v>4000</v>
      </c>
      <c r="D243" s="349">
        <v>15.303000000000001</v>
      </c>
      <c r="E243" s="39">
        <v>19.22</v>
      </c>
      <c r="F243" s="39">
        <f t="shared" si="28"/>
        <v>15667.999999999993</v>
      </c>
      <c r="G243" s="39">
        <f t="shared" si="29"/>
        <v>61212</v>
      </c>
      <c r="H243" s="175">
        <f t="shared" si="30"/>
        <v>0.25596288309481785</v>
      </c>
      <c r="I243" s="39"/>
      <c r="J243" s="39">
        <v>70.61</v>
      </c>
      <c r="K243" s="39">
        <f t="shared" si="27"/>
        <v>30283.571000001619</v>
      </c>
      <c r="L243" s="39"/>
    </row>
    <row r="244" spans="1:12" x14ac:dyDescent="0.25">
      <c r="A244">
        <v>3300</v>
      </c>
      <c r="B244" s="147">
        <v>43125</v>
      </c>
      <c r="C244" s="10">
        <v>4100</v>
      </c>
      <c r="D244" s="186">
        <v>15.39</v>
      </c>
      <c r="E244" s="39">
        <v>18.68</v>
      </c>
      <c r="F244" s="39">
        <f>C244*(E244-D244)</f>
        <v>13488.999999999996</v>
      </c>
      <c r="G244" s="39">
        <f>D244*C244</f>
        <v>63099</v>
      </c>
      <c r="H244" s="175">
        <f>(E244-D244)/D244</f>
        <v>0.21377517868745932</v>
      </c>
      <c r="I244" s="39"/>
      <c r="J244" s="39"/>
      <c r="K244" s="39">
        <f t="shared" si="27"/>
        <v>28104.571000001622</v>
      </c>
      <c r="L244" s="39"/>
    </row>
    <row r="245" spans="1:12" x14ac:dyDescent="0.25">
      <c r="A245">
        <v>3300</v>
      </c>
      <c r="B245" s="147">
        <v>43126</v>
      </c>
      <c r="C245" s="10">
        <v>4100</v>
      </c>
      <c r="D245" s="186">
        <v>15.39</v>
      </c>
      <c r="E245" s="39">
        <v>18.84</v>
      </c>
      <c r="F245" s="39">
        <f t="shared" ref="F245:F258" si="31">C245*(E245-D245)</f>
        <v>14144.999999999996</v>
      </c>
      <c r="G245" s="39">
        <f t="shared" ref="G245:G258" si="32">D245*C245</f>
        <v>63099</v>
      </c>
      <c r="H245" s="175">
        <f t="shared" ref="H245:H258" si="33">(E245-D245)/D245</f>
        <v>0.22417153996101358</v>
      </c>
      <c r="I245" s="39"/>
      <c r="J245" s="39">
        <v>62.61</v>
      </c>
      <c r="K245" s="39">
        <f t="shared" si="27"/>
        <v>28760.571000001622</v>
      </c>
      <c r="L245" s="39"/>
    </row>
    <row r="246" spans="1:12" x14ac:dyDescent="0.25">
      <c r="A246">
        <v>3300</v>
      </c>
      <c r="B246" s="147">
        <v>43130</v>
      </c>
      <c r="C246" s="10">
        <v>4800</v>
      </c>
      <c r="D246" s="186">
        <v>15.803000000000001</v>
      </c>
      <c r="E246" s="39">
        <v>18.059999999999999</v>
      </c>
      <c r="F246" s="39">
        <f t="shared" si="31"/>
        <v>10833.599999999989</v>
      </c>
      <c r="G246" s="39">
        <f t="shared" si="32"/>
        <v>75854.400000000009</v>
      </c>
      <c r="H246" s="175">
        <f t="shared" si="33"/>
        <v>0.14282098335759019</v>
      </c>
      <c r="I246" s="39"/>
      <c r="J246" s="39"/>
      <c r="K246" s="39">
        <f t="shared" si="27"/>
        <v>25449.171000001617</v>
      </c>
      <c r="L246" s="39"/>
    </row>
    <row r="247" spans="1:12" x14ac:dyDescent="0.25">
      <c r="A247">
        <v>3300</v>
      </c>
      <c r="B247" s="147">
        <v>43133</v>
      </c>
      <c r="C247" s="10">
        <v>5000</v>
      </c>
      <c r="D247" s="186">
        <v>15.874000000000001</v>
      </c>
      <c r="E247" s="39">
        <v>17.52</v>
      </c>
      <c r="F247" s="39">
        <f t="shared" si="31"/>
        <v>8229.9999999999945</v>
      </c>
      <c r="G247" s="39">
        <f t="shared" si="32"/>
        <v>79370</v>
      </c>
      <c r="H247" s="175">
        <f t="shared" si="33"/>
        <v>0.10369157112259034</v>
      </c>
      <c r="I247" s="39"/>
      <c r="J247" s="39"/>
      <c r="K247" s="39">
        <f t="shared" si="27"/>
        <v>22845.571000001619</v>
      </c>
      <c r="L247" s="39"/>
    </row>
    <row r="248" spans="1:12" x14ac:dyDescent="0.25">
      <c r="A248">
        <v>3300</v>
      </c>
      <c r="B248" s="147">
        <v>43139</v>
      </c>
      <c r="C248" s="10">
        <v>5500</v>
      </c>
      <c r="D248" s="186">
        <v>15.87</v>
      </c>
      <c r="E248" s="39">
        <v>15.68</v>
      </c>
      <c r="F248" s="39">
        <f t="shared" si="31"/>
        <v>-1044.9999999999973</v>
      </c>
      <c r="G248" s="39">
        <f t="shared" si="32"/>
        <v>87285</v>
      </c>
      <c r="H248" s="175">
        <f t="shared" si="33"/>
        <v>-1.1972274732199088E-2</v>
      </c>
      <c r="I248" s="39"/>
      <c r="J248" s="39">
        <v>32.950000000000003</v>
      </c>
      <c r="K248" s="39">
        <f t="shared" si="27"/>
        <v>13570.57100000163</v>
      </c>
      <c r="L248" s="39">
        <v>60.44</v>
      </c>
    </row>
    <row r="249" spans="1:12" x14ac:dyDescent="0.25">
      <c r="B249" s="147">
        <v>43140</v>
      </c>
      <c r="C249" s="10">
        <v>6000</v>
      </c>
      <c r="D249" s="186">
        <v>15.8246</v>
      </c>
      <c r="E249" s="39">
        <v>15.51</v>
      </c>
      <c r="F249" s="39">
        <f t="shared" si="31"/>
        <v>-1887.6000000000026</v>
      </c>
      <c r="G249" s="39">
        <f t="shared" si="32"/>
        <v>94947.6</v>
      </c>
      <c r="H249" s="175">
        <f t="shared" si="33"/>
        <v>-1.9880439316001697E-2</v>
      </c>
      <c r="I249" s="39"/>
      <c r="J249" s="39"/>
      <c r="K249" s="39">
        <f t="shared" si="27"/>
        <v>12727.971000001624</v>
      </c>
      <c r="L249" s="39"/>
    </row>
    <row r="250" spans="1:12" x14ac:dyDescent="0.25">
      <c r="B250" s="147">
        <v>43140</v>
      </c>
      <c r="C250" s="10">
        <v>5500</v>
      </c>
      <c r="D250" s="186">
        <v>15.85</v>
      </c>
      <c r="E250" s="39">
        <v>15.51</v>
      </c>
      <c r="F250" s="39">
        <f t="shared" si="31"/>
        <v>-1869.9999999999993</v>
      </c>
      <c r="G250" s="39">
        <f t="shared" si="32"/>
        <v>87175</v>
      </c>
      <c r="H250" s="175">
        <f t="shared" si="33"/>
        <v>-2.1451104100946364E-2</v>
      </c>
      <c r="I250" s="39"/>
      <c r="J250" s="39"/>
      <c r="K250" s="39">
        <f t="shared" si="27"/>
        <v>12745.571000001626</v>
      </c>
      <c r="L250" s="39"/>
    </row>
    <row r="251" spans="1:12" x14ac:dyDescent="0.25">
      <c r="B251" s="147">
        <v>43140</v>
      </c>
      <c r="C251" s="352">
        <v>6000</v>
      </c>
      <c r="D251" s="554">
        <v>15.795999999999999</v>
      </c>
      <c r="E251" s="39">
        <v>15.51</v>
      </c>
      <c r="F251" s="39">
        <f t="shared" si="31"/>
        <v>-1715.9999999999975</v>
      </c>
      <c r="G251" s="39">
        <f t="shared" si="32"/>
        <v>94776</v>
      </c>
      <c r="H251" s="175">
        <f t="shared" si="33"/>
        <v>-1.8105849582172675E-2</v>
      </c>
      <c r="I251" s="39">
        <v>15.75</v>
      </c>
      <c r="J251" s="39"/>
      <c r="K251" s="39">
        <f t="shared" si="27"/>
        <v>12899.571000001628</v>
      </c>
      <c r="L251" s="39"/>
    </row>
    <row r="252" spans="1:12" x14ac:dyDescent="0.25">
      <c r="A252">
        <v>2300</v>
      </c>
      <c r="B252" s="147">
        <v>43140</v>
      </c>
      <c r="C252" s="10">
        <v>5500</v>
      </c>
      <c r="D252" s="186">
        <v>15.824999999999999</v>
      </c>
      <c r="E252" s="39">
        <v>15.51</v>
      </c>
      <c r="F252" s="39">
        <f t="shared" si="31"/>
        <v>-1732.4999999999973</v>
      </c>
      <c r="G252" s="39">
        <f t="shared" si="32"/>
        <v>87037.5</v>
      </c>
      <c r="H252" s="175">
        <f t="shared" si="33"/>
        <v>-1.990521327014215E-2</v>
      </c>
      <c r="I252" s="39"/>
      <c r="J252" s="39"/>
      <c r="K252" s="39">
        <f t="shared" si="27"/>
        <v>12883.07100000163</v>
      </c>
      <c r="L252" s="39">
        <v>59.18</v>
      </c>
    </row>
    <row r="253" spans="1:12" x14ac:dyDescent="0.25">
      <c r="A253">
        <v>1800</v>
      </c>
      <c r="B253" s="147">
        <v>43143</v>
      </c>
      <c r="C253" s="10">
        <v>5000</v>
      </c>
      <c r="D253" s="186">
        <v>15.77</v>
      </c>
      <c r="E253" s="39">
        <v>16.27</v>
      </c>
      <c r="F253" s="39">
        <f t="shared" si="31"/>
        <v>2500</v>
      </c>
      <c r="G253" s="39">
        <f t="shared" si="32"/>
        <v>78850</v>
      </c>
      <c r="H253" s="175">
        <f t="shared" si="33"/>
        <v>3.1705770450221944E-2</v>
      </c>
      <c r="I253" s="39"/>
      <c r="J253" s="39"/>
      <c r="K253" s="39">
        <f t="shared" si="27"/>
        <v>17115.571000001626</v>
      </c>
      <c r="L253" s="39"/>
    </row>
    <row r="254" spans="1:12" x14ac:dyDescent="0.25">
      <c r="A254">
        <v>800</v>
      </c>
      <c r="B254" s="147">
        <v>43146</v>
      </c>
      <c r="C254" s="10">
        <v>5000</v>
      </c>
      <c r="D254" s="186">
        <v>15.682</v>
      </c>
      <c r="E254" s="39">
        <v>16.32</v>
      </c>
      <c r="F254" s="39">
        <f t="shared" si="31"/>
        <v>3189.9999999999995</v>
      </c>
      <c r="G254" s="39">
        <f t="shared" si="32"/>
        <v>78410</v>
      </c>
      <c r="H254" s="175">
        <f t="shared" si="33"/>
        <v>4.0683586277260549E-2</v>
      </c>
      <c r="I254" s="39"/>
      <c r="J254" s="39"/>
      <c r="K254" s="39">
        <f t="shared" si="27"/>
        <v>17805.571000001626</v>
      </c>
      <c r="L254" s="39"/>
    </row>
    <row r="255" spans="1:12" x14ac:dyDescent="0.25">
      <c r="A255">
        <v>1200</v>
      </c>
      <c r="B255" s="147">
        <v>43147</v>
      </c>
      <c r="C255" s="10">
        <v>5500</v>
      </c>
      <c r="D255" s="186">
        <v>15.688000000000001</v>
      </c>
      <c r="E255" s="39">
        <v>15.69</v>
      </c>
      <c r="F255" s="39">
        <f t="shared" si="31"/>
        <v>10.999999999993904</v>
      </c>
      <c r="G255" s="39">
        <f t="shared" si="32"/>
        <v>86284</v>
      </c>
      <c r="H255" s="175">
        <f t="shared" si="33"/>
        <v>1.2748597654250966E-4</v>
      </c>
      <c r="I255" s="39"/>
      <c r="J255" s="39"/>
      <c r="K255" s="39">
        <f t="shared" si="27"/>
        <v>14626.571000001621</v>
      </c>
      <c r="L255" s="39"/>
    </row>
    <row r="256" spans="1:12" x14ac:dyDescent="0.25">
      <c r="A256">
        <v>800</v>
      </c>
      <c r="B256" s="147">
        <v>43151</v>
      </c>
      <c r="C256" s="10">
        <v>5000</v>
      </c>
      <c r="D256" s="186">
        <v>15.6388</v>
      </c>
      <c r="E256" s="39">
        <v>16.18</v>
      </c>
      <c r="F256" s="39">
        <f t="shared" si="31"/>
        <v>2705.9999999999995</v>
      </c>
      <c r="G256" s="39">
        <f t="shared" si="32"/>
        <v>78194</v>
      </c>
      <c r="H256" s="175">
        <f t="shared" si="33"/>
        <v>3.4606235772565663E-2</v>
      </c>
      <c r="I256" s="39"/>
      <c r="J256" s="39"/>
      <c r="K256" s="39">
        <f t="shared" si="27"/>
        <v>17321.571000001626</v>
      </c>
      <c r="L256" s="39"/>
    </row>
    <row r="257" spans="1:12" x14ac:dyDescent="0.25">
      <c r="A257">
        <v>800</v>
      </c>
      <c r="B257" s="147">
        <v>43151</v>
      </c>
      <c r="C257" s="10">
        <v>5500</v>
      </c>
      <c r="D257" s="186">
        <v>15.654999999999999</v>
      </c>
      <c r="E257" s="39">
        <v>15.8</v>
      </c>
      <c r="F257" s="39">
        <f t="shared" si="31"/>
        <v>797.50000000000739</v>
      </c>
      <c r="G257" s="39">
        <f t="shared" si="32"/>
        <v>86102.5</v>
      </c>
      <c r="H257" s="175">
        <f t="shared" si="33"/>
        <v>9.2622165442351554E-3</v>
      </c>
      <c r="I257" s="39"/>
      <c r="J257" s="39"/>
      <c r="K257" s="39">
        <f t="shared" si="27"/>
        <v>15413.071000001633</v>
      </c>
      <c r="L257" s="39"/>
    </row>
    <row r="258" spans="1:12" x14ac:dyDescent="0.25">
      <c r="A258">
        <v>800</v>
      </c>
      <c r="B258" s="147">
        <v>43152</v>
      </c>
      <c r="C258" s="352">
        <v>6000</v>
      </c>
      <c r="D258" s="554">
        <v>15.637</v>
      </c>
      <c r="E258" s="39">
        <v>15.3</v>
      </c>
      <c r="F258" s="39">
        <f t="shared" si="31"/>
        <v>-2021.9999999999984</v>
      </c>
      <c r="G258" s="39">
        <f t="shared" si="32"/>
        <v>93822</v>
      </c>
      <c r="H258" s="175">
        <f t="shared" si="33"/>
        <v>-2.1551448487561537E-2</v>
      </c>
      <c r="I258" s="170" t="s">
        <v>871</v>
      </c>
      <c r="J258" s="39"/>
      <c r="K258" s="39">
        <f t="shared" si="27"/>
        <v>12593.571000001628</v>
      </c>
      <c r="L258" s="39"/>
    </row>
    <row r="259" spans="1:12" x14ac:dyDescent="0.25">
      <c r="A259">
        <v>1100</v>
      </c>
      <c r="B259" s="147">
        <v>43156</v>
      </c>
      <c r="C259" s="10">
        <v>6000</v>
      </c>
      <c r="D259" s="186">
        <v>15.637</v>
      </c>
      <c r="E259" s="39">
        <v>15.54</v>
      </c>
      <c r="F259" s="39">
        <f>C259*(E259-D259)</f>
        <v>-582.00000000000784</v>
      </c>
      <c r="G259" s="39">
        <f>D259*C259</f>
        <v>93822</v>
      </c>
      <c r="H259" s="175">
        <f>(E259-D259)/D259</f>
        <v>-6.2032359148175035E-3</v>
      </c>
      <c r="I259" s="170"/>
      <c r="J259" s="39"/>
      <c r="K259" s="39">
        <f t="shared" si="27"/>
        <v>14033.571000001619</v>
      </c>
      <c r="L259" s="39">
        <v>63.55</v>
      </c>
    </row>
    <row r="260" spans="1:12" x14ac:dyDescent="0.25">
      <c r="A260">
        <v>1100</v>
      </c>
      <c r="B260" s="147">
        <v>43159</v>
      </c>
      <c r="C260" s="10">
        <v>6400</v>
      </c>
      <c r="D260" s="186">
        <v>15.582000000000001</v>
      </c>
      <c r="E260" s="39">
        <v>14.52</v>
      </c>
      <c r="F260" s="39">
        <f>C260*(E260-D260)</f>
        <v>-6796.8000000000075</v>
      </c>
      <c r="G260" s="39">
        <f>D260*C260</f>
        <v>99724.800000000003</v>
      </c>
      <c r="H260" s="175">
        <f>(E260-D260)/D260</f>
        <v>-6.8155564112437506E-2</v>
      </c>
      <c r="I260" s="39">
        <v>15.5</v>
      </c>
      <c r="J260" s="39"/>
      <c r="K260" s="39">
        <f t="shared" si="27"/>
        <v>7818.7710000016186</v>
      </c>
      <c r="L260" s="39"/>
    </row>
    <row r="261" spans="1:12" x14ac:dyDescent="0.25">
      <c r="A261">
        <v>2000</v>
      </c>
      <c r="B261" s="147">
        <v>43165</v>
      </c>
      <c r="C261" s="10">
        <v>6400</v>
      </c>
      <c r="D261" s="186">
        <v>15.582000000000001</v>
      </c>
      <c r="E261" s="39">
        <v>15.03</v>
      </c>
      <c r="F261" s="39">
        <f>C261*(E261-D261)</f>
        <v>-3532.8000000000088</v>
      </c>
      <c r="G261" s="39">
        <f>D261*C261</f>
        <v>99724.800000000003</v>
      </c>
      <c r="H261" s="175">
        <f>(E261-D261)/D261</f>
        <v>-3.542549095109751E-2</v>
      </c>
      <c r="I261" s="39"/>
      <c r="J261" s="39"/>
      <c r="K261" s="39">
        <f t="shared" si="27"/>
        <v>11082.771000001618</v>
      </c>
      <c r="L261" s="39"/>
    </row>
    <row r="262" spans="1:12" x14ac:dyDescent="0.25">
      <c r="A262">
        <v>2000</v>
      </c>
      <c r="B262" s="147">
        <v>43168</v>
      </c>
      <c r="C262" s="10">
        <v>6400</v>
      </c>
      <c r="D262" s="186">
        <v>15.582000000000001</v>
      </c>
      <c r="E262" s="39">
        <v>15.22</v>
      </c>
      <c r="F262" s="39">
        <f t="shared" ref="F262:F268" si="34">C262*(E262-D262)</f>
        <v>-2316.8000000000006</v>
      </c>
      <c r="G262" s="39">
        <f t="shared" ref="G262:G268" si="35">D262*C262</f>
        <v>99724.800000000003</v>
      </c>
      <c r="H262" s="175">
        <f t="shared" ref="H262:H268" si="36">(E262-D262)/D262</f>
        <v>-2.3231934283147227E-2</v>
      </c>
      <c r="I262" s="39"/>
      <c r="J262" s="39"/>
      <c r="K262" s="39">
        <f t="shared" si="27"/>
        <v>12298.771000001625</v>
      </c>
      <c r="L262" s="39"/>
    </row>
    <row r="263" spans="1:12" x14ac:dyDescent="0.25">
      <c r="A263">
        <v>3500</v>
      </c>
      <c r="B263" s="147">
        <v>43172</v>
      </c>
      <c r="C263" s="10">
        <v>6400</v>
      </c>
      <c r="D263" s="186">
        <v>15.54</v>
      </c>
      <c r="E263" s="39">
        <v>14.82</v>
      </c>
      <c r="F263" s="39">
        <f t="shared" si="34"/>
        <v>-4607.9999999999927</v>
      </c>
      <c r="G263" s="39">
        <f t="shared" si="35"/>
        <v>99456</v>
      </c>
      <c r="H263" s="175">
        <f t="shared" si="36"/>
        <v>-4.633204633204626E-2</v>
      </c>
      <c r="I263" s="39"/>
      <c r="J263" s="39"/>
      <c r="K263" s="39">
        <f t="shared" si="27"/>
        <v>10007.571000001633</v>
      </c>
      <c r="L263" s="39" t="s">
        <v>182</v>
      </c>
    </row>
    <row r="264" spans="1:12" x14ac:dyDescent="0.25">
      <c r="A264">
        <v>3600</v>
      </c>
      <c r="B264" s="147">
        <v>43180</v>
      </c>
      <c r="C264" s="717">
        <v>5000</v>
      </c>
      <c r="D264" s="718">
        <v>15.416</v>
      </c>
      <c r="E264" s="39">
        <v>15.98</v>
      </c>
      <c r="F264" s="39">
        <f t="shared" si="34"/>
        <v>2820.0000000000005</v>
      </c>
      <c r="G264" s="39">
        <f t="shared" si="35"/>
        <v>77080</v>
      </c>
      <c r="H264" s="175">
        <f t="shared" si="36"/>
        <v>3.6585365853658541E-2</v>
      </c>
      <c r="I264" s="39"/>
      <c r="J264" s="39"/>
      <c r="K264" s="39">
        <f t="shared" si="27"/>
        <v>17435.571000001626</v>
      </c>
      <c r="L264" s="39"/>
    </row>
    <row r="265" spans="1:12" x14ac:dyDescent="0.25">
      <c r="A265">
        <v>3400</v>
      </c>
      <c r="B265" s="147">
        <v>43180</v>
      </c>
      <c r="C265" s="10">
        <v>4800</v>
      </c>
      <c r="D265" s="186">
        <v>15.375</v>
      </c>
      <c r="E265" s="39">
        <v>16.38</v>
      </c>
      <c r="F265" s="39">
        <f t="shared" si="34"/>
        <v>4823.9999999999955</v>
      </c>
      <c r="G265" s="39">
        <f t="shared" si="35"/>
        <v>73800</v>
      </c>
      <c r="H265" s="175">
        <f t="shared" si="36"/>
        <v>6.5365853658536519E-2</v>
      </c>
      <c r="I265" s="39"/>
      <c r="J265" s="39"/>
      <c r="K265" s="39">
        <f t="shared" si="27"/>
        <v>19439.571000001622</v>
      </c>
      <c r="L265" s="39"/>
    </row>
    <row r="266" spans="1:12" x14ac:dyDescent="0.25">
      <c r="B266" s="147">
        <v>43181</v>
      </c>
      <c r="C266" s="10">
        <v>5200</v>
      </c>
      <c r="D266" s="186">
        <v>15.416</v>
      </c>
      <c r="E266" s="39">
        <v>15.9</v>
      </c>
      <c r="F266" s="39">
        <f t="shared" si="34"/>
        <v>2516.7999999999997</v>
      </c>
      <c r="G266" s="39">
        <f t="shared" si="35"/>
        <v>80163.199999999997</v>
      </c>
      <c r="H266" s="175">
        <f t="shared" si="36"/>
        <v>3.1395952257394916E-2</v>
      </c>
      <c r="I266" s="39"/>
      <c r="J266" s="39"/>
      <c r="K266" s="39">
        <f t="shared" si="27"/>
        <v>17132.371000001625</v>
      </c>
      <c r="L266" s="39"/>
    </row>
    <row r="267" spans="1:12" x14ac:dyDescent="0.25">
      <c r="A267">
        <v>3000</v>
      </c>
      <c r="B267" s="147">
        <v>43181</v>
      </c>
      <c r="C267" s="10">
        <v>4800</v>
      </c>
      <c r="D267" s="186">
        <v>15.3645</v>
      </c>
      <c r="E267" s="39">
        <v>16.02</v>
      </c>
      <c r="F267" s="39">
        <f t="shared" si="34"/>
        <v>3146.3999999999996</v>
      </c>
      <c r="G267" s="39">
        <f t="shared" si="35"/>
        <v>73749.599999999991</v>
      </c>
      <c r="H267" s="175">
        <f t="shared" si="36"/>
        <v>4.2663282241530799E-2</v>
      </c>
      <c r="I267" s="39"/>
      <c r="J267" s="39"/>
      <c r="K267" s="39">
        <f t="shared" si="27"/>
        <v>17761.971000001628</v>
      </c>
      <c r="L267" s="39"/>
    </row>
    <row r="268" spans="1:12" x14ac:dyDescent="0.25">
      <c r="A268">
        <v>3500</v>
      </c>
      <c r="B268" s="147">
        <v>43182</v>
      </c>
      <c r="C268" s="10">
        <v>5000</v>
      </c>
      <c r="D268" s="186">
        <v>15.378</v>
      </c>
      <c r="E268" s="39">
        <v>15.76</v>
      </c>
      <c r="F268" s="39">
        <f t="shared" si="34"/>
        <v>1909.9999999999984</v>
      </c>
      <c r="G268" s="39">
        <f t="shared" si="35"/>
        <v>76890</v>
      </c>
      <c r="H268" s="175">
        <f t="shared" si="36"/>
        <v>2.4840681493041986E-2</v>
      </c>
      <c r="I268" s="39"/>
      <c r="J268" s="39"/>
      <c r="K268" s="39">
        <f t="shared" si="27"/>
        <v>16525.571000001626</v>
      </c>
      <c r="L268" s="39"/>
    </row>
    <row r="269" spans="1:12" x14ac:dyDescent="0.25">
      <c r="A269">
        <v>4000</v>
      </c>
      <c r="B269" s="147">
        <v>43185</v>
      </c>
      <c r="C269" s="10">
        <v>5000</v>
      </c>
      <c r="D269" s="186">
        <v>15.378</v>
      </c>
      <c r="E269" s="39">
        <v>16.27</v>
      </c>
      <c r="F269" s="39">
        <f>C269*(E269-D269)</f>
        <v>4459.9999999999973</v>
      </c>
      <c r="G269" s="39">
        <f>D269*C269</f>
        <v>76890</v>
      </c>
      <c r="H269" s="175">
        <f>(E269-D269)/D269</f>
        <v>5.8004942125113763E-2</v>
      </c>
      <c r="I269" s="39"/>
      <c r="J269" s="39"/>
      <c r="K269" s="39">
        <f t="shared" si="27"/>
        <v>19075.571000001622</v>
      </c>
      <c r="L269" s="39"/>
    </row>
    <row r="270" spans="1:12" x14ac:dyDescent="0.25">
      <c r="A270">
        <v>4000</v>
      </c>
      <c r="B270" s="147">
        <v>43186</v>
      </c>
      <c r="C270" s="717">
        <v>5000</v>
      </c>
      <c r="D270" s="718">
        <v>15.378</v>
      </c>
      <c r="E270" s="39">
        <v>15.82</v>
      </c>
      <c r="F270" s="39">
        <f>C270*(E270-D270)</f>
        <v>2210.0000000000009</v>
      </c>
      <c r="G270" s="39">
        <f>D270*C270</f>
        <v>76890</v>
      </c>
      <c r="H270" s="175">
        <f>(E270-D270)/D270</f>
        <v>2.8742359214462231E-2</v>
      </c>
      <c r="I270" s="39"/>
      <c r="J270" s="39"/>
      <c r="K270" s="39">
        <f t="shared" si="27"/>
        <v>16825.571000001626</v>
      </c>
      <c r="L270" s="39"/>
    </row>
    <row r="271" spans="1:12" x14ac:dyDescent="0.25">
      <c r="A271">
        <v>4000</v>
      </c>
      <c r="B271" s="147">
        <v>43187</v>
      </c>
      <c r="C271" s="10">
        <v>5200</v>
      </c>
      <c r="D271" s="186">
        <v>15.38</v>
      </c>
      <c r="E271" s="39">
        <v>15.32</v>
      </c>
      <c r="F271" s="39">
        <f>C271*(E271-D271)</f>
        <v>-312.00000000000261</v>
      </c>
      <c r="G271" s="39">
        <f>D271*C271</f>
        <v>79976</v>
      </c>
      <c r="H271" s="175">
        <f>(E271-D271)/D271</f>
        <v>-3.9011703511053638E-3</v>
      </c>
      <c r="I271" s="39"/>
      <c r="J271" s="39"/>
      <c r="K271" s="39">
        <f t="shared" si="27"/>
        <v>14303.571000001624</v>
      </c>
      <c r="L271" s="39"/>
    </row>
    <row r="272" spans="1:12" x14ac:dyDescent="0.25">
      <c r="A272">
        <v>3800</v>
      </c>
      <c r="B272" s="147">
        <v>43188</v>
      </c>
      <c r="C272" s="10">
        <v>5000</v>
      </c>
      <c r="D272" s="186">
        <v>15.358000000000001</v>
      </c>
      <c r="E272" s="39">
        <v>16.13</v>
      </c>
      <c r="F272" s="39">
        <f t="shared" ref="F272:F277" si="37">C272*(E272-D272)</f>
        <v>3859.9999999999923</v>
      </c>
      <c r="G272" s="39">
        <f t="shared" ref="G272:G277" si="38">D272*C272</f>
        <v>76790</v>
      </c>
      <c r="H272" s="175">
        <f t="shared" ref="H272:H277" si="39">(E272-D272)/D272</f>
        <v>5.0266961843990002E-2</v>
      </c>
      <c r="I272" s="39"/>
      <c r="J272" s="39"/>
      <c r="K272" s="39">
        <f t="shared" si="27"/>
        <v>18475.571000001619</v>
      </c>
      <c r="L272" s="39"/>
    </row>
    <row r="273" spans="1:14" x14ac:dyDescent="0.25">
      <c r="A273">
        <v>3600</v>
      </c>
      <c r="B273" s="147">
        <v>43188</v>
      </c>
      <c r="C273" s="10">
        <v>4800</v>
      </c>
      <c r="D273" s="186">
        <v>15.324999999999999</v>
      </c>
      <c r="E273" s="39">
        <v>16.13</v>
      </c>
      <c r="F273" s="39">
        <f t="shared" si="37"/>
        <v>3863.9999999999986</v>
      </c>
      <c r="G273" s="39">
        <f t="shared" si="38"/>
        <v>73560</v>
      </c>
      <c r="H273" s="175">
        <f t="shared" si="39"/>
        <v>5.2528548123980411E-2</v>
      </c>
      <c r="I273" s="39"/>
      <c r="J273" s="39"/>
      <c r="K273" s="39">
        <f t="shared" si="27"/>
        <v>18479.571000001626</v>
      </c>
      <c r="L273" s="39"/>
    </row>
    <row r="274" spans="1:14" x14ac:dyDescent="0.25">
      <c r="B274" s="147">
        <v>43192</v>
      </c>
      <c r="C274" s="717">
        <v>5000</v>
      </c>
      <c r="D274" s="718">
        <v>15.34</v>
      </c>
      <c r="E274" s="39">
        <v>15.57</v>
      </c>
      <c r="F274" s="39">
        <f t="shared" si="37"/>
        <v>1150.000000000002</v>
      </c>
      <c r="G274" s="39">
        <f t="shared" si="38"/>
        <v>76700</v>
      </c>
      <c r="H274" s="175">
        <f t="shared" si="39"/>
        <v>1.4993481095176038E-2</v>
      </c>
      <c r="I274" s="39"/>
      <c r="J274" s="39"/>
      <c r="K274" s="39">
        <f t="shared" si="27"/>
        <v>15765.571000001628</v>
      </c>
      <c r="L274" s="39"/>
    </row>
    <row r="275" spans="1:14" x14ac:dyDescent="0.25">
      <c r="A275">
        <v>4000</v>
      </c>
      <c r="B275" s="147">
        <v>43192</v>
      </c>
      <c r="C275" s="10">
        <v>5200</v>
      </c>
      <c r="D275" s="186">
        <v>15.336</v>
      </c>
      <c r="E275" s="39">
        <v>15.57</v>
      </c>
      <c r="F275" s="39">
        <f t="shared" si="37"/>
        <v>1216.8</v>
      </c>
      <c r="G275" s="39">
        <f t="shared" si="38"/>
        <v>79747.199999999997</v>
      </c>
      <c r="H275" s="175">
        <f t="shared" si="39"/>
        <v>1.5258215962441313E-2</v>
      </c>
      <c r="I275" s="39"/>
      <c r="J275" s="39"/>
      <c r="K275" s="39">
        <f t="shared" si="27"/>
        <v>15832.371000001625</v>
      </c>
      <c r="L275" s="39"/>
      <c r="N275" s="67"/>
    </row>
    <row r="276" spans="1:14" x14ac:dyDescent="0.25">
      <c r="A276">
        <v>3600</v>
      </c>
      <c r="B276" s="147">
        <v>43193</v>
      </c>
      <c r="C276" s="10">
        <v>4800</v>
      </c>
      <c r="D276" s="186">
        <v>15.29</v>
      </c>
      <c r="E276" s="39">
        <v>16</v>
      </c>
      <c r="F276" s="39">
        <f t="shared" si="37"/>
        <v>3408.0000000000041</v>
      </c>
      <c r="G276" s="39">
        <f t="shared" si="38"/>
        <v>73392</v>
      </c>
      <c r="H276" s="175">
        <f t="shared" si="39"/>
        <v>4.6435578809679585E-2</v>
      </c>
      <c r="I276" s="39"/>
      <c r="J276" s="39"/>
      <c r="K276" s="39">
        <f t="shared" si="27"/>
        <v>18023.57100000163</v>
      </c>
      <c r="L276" s="39"/>
    </row>
    <row r="277" spans="1:14" x14ac:dyDescent="0.25">
      <c r="A277">
        <v>2800</v>
      </c>
      <c r="B277" s="147">
        <v>43195</v>
      </c>
      <c r="C277" s="7">
        <v>4000</v>
      </c>
      <c r="D277" s="349">
        <v>14.989000000000001</v>
      </c>
      <c r="E277" s="39">
        <v>16.8</v>
      </c>
      <c r="F277" s="39">
        <f t="shared" si="37"/>
        <v>7244</v>
      </c>
      <c r="G277" s="39">
        <f t="shared" si="38"/>
        <v>59956</v>
      </c>
      <c r="H277" s="175">
        <f t="shared" si="39"/>
        <v>0.1208219360864634</v>
      </c>
      <c r="I277" s="39">
        <v>14.5</v>
      </c>
      <c r="J277" s="39"/>
      <c r="K277" s="39">
        <f t="shared" si="27"/>
        <v>21859.571000001626</v>
      </c>
      <c r="L277" s="39"/>
    </row>
    <row r="278" spans="1:14" x14ac:dyDescent="0.25">
      <c r="A278">
        <v>2800</v>
      </c>
      <c r="B278" s="147">
        <v>43196</v>
      </c>
      <c r="C278" s="10">
        <v>4400</v>
      </c>
      <c r="D278" s="186">
        <v>15.12</v>
      </c>
      <c r="E278" s="39">
        <v>16.420000000000002</v>
      </c>
      <c r="F278" s="39">
        <f t="shared" ref="F278:F308" si="40">C278*(E278-D278)</f>
        <v>5720.0000000000109</v>
      </c>
      <c r="G278" s="39">
        <f t="shared" ref="G278:G308" si="41">D278*C278</f>
        <v>66528</v>
      </c>
      <c r="H278" s="175">
        <f t="shared" ref="H278:H308" si="42">(E278-D278)/D278</f>
        <v>8.5978835978836154E-2</v>
      </c>
      <c r="I278" s="39"/>
      <c r="J278" s="39"/>
      <c r="K278" s="39">
        <f t="shared" si="27"/>
        <v>20335.571000001637</v>
      </c>
      <c r="L278" s="39"/>
    </row>
    <row r="279" spans="1:14" x14ac:dyDescent="0.25">
      <c r="A279">
        <v>2800</v>
      </c>
      <c r="B279" s="147">
        <v>43196</v>
      </c>
      <c r="C279" s="10">
        <v>4800</v>
      </c>
      <c r="D279" s="186">
        <v>15.2</v>
      </c>
      <c r="E279" s="39">
        <v>16.100000000000001</v>
      </c>
      <c r="F279" s="39">
        <f t="shared" si="40"/>
        <v>4320.00000000001</v>
      </c>
      <c r="G279" s="39">
        <f t="shared" si="41"/>
        <v>72960</v>
      </c>
      <c r="H279" s="175">
        <f t="shared" si="42"/>
        <v>5.9210526315789616E-2</v>
      </c>
      <c r="I279" s="39"/>
      <c r="J279" s="39">
        <v>54</v>
      </c>
      <c r="K279" s="39">
        <f t="shared" si="27"/>
        <v>18935.571000001637</v>
      </c>
      <c r="L279" s="39"/>
    </row>
    <row r="280" spans="1:14" x14ac:dyDescent="0.25">
      <c r="A280">
        <v>2000</v>
      </c>
      <c r="B280" s="147">
        <v>43200</v>
      </c>
      <c r="C280" s="7">
        <v>4000</v>
      </c>
      <c r="D280" s="349">
        <v>14.845000000000001</v>
      </c>
      <c r="E280" s="39">
        <v>17.059999999999999</v>
      </c>
      <c r="F280" s="39">
        <f t="shared" si="40"/>
        <v>8859.9999999999927</v>
      </c>
      <c r="G280" s="39">
        <f t="shared" si="41"/>
        <v>59380</v>
      </c>
      <c r="H280" s="175">
        <f t="shared" si="42"/>
        <v>0.14920848770629827</v>
      </c>
      <c r="I280" s="39"/>
      <c r="J280" s="39"/>
      <c r="K280" s="39">
        <f t="shared" si="27"/>
        <v>23475.571000001619</v>
      </c>
      <c r="L280" s="39"/>
    </row>
    <row r="281" spans="1:14" x14ac:dyDescent="0.25">
      <c r="A281">
        <v>2000</v>
      </c>
      <c r="B281" s="147">
        <v>43208</v>
      </c>
      <c r="C281" s="10">
        <v>4000</v>
      </c>
      <c r="D281" s="186">
        <v>14.845000000000001</v>
      </c>
      <c r="E281" s="39">
        <v>18.23</v>
      </c>
      <c r="F281" s="39">
        <f t="shared" si="40"/>
        <v>13540</v>
      </c>
      <c r="G281" s="39">
        <f t="shared" si="41"/>
        <v>59380</v>
      </c>
      <c r="H281" s="175">
        <f t="shared" si="42"/>
        <v>0.22802290333445602</v>
      </c>
      <c r="I281" s="39"/>
      <c r="J281" s="39"/>
      <c r="K281" s="39">
        <f t="shared" si="27"/>
        <v>28155.571000001626</v>
      </c>
      <c r="L281" s="39"/>
    </row>
    <row r="282" spans="1:14" x14ac:dyDescent="0.25">
      <c r="A282">
        <v>2600</v>
      </c>
      <c r="B282" s="147">
        <v>43216</v>
      </c>
      <c r="C282" s="10">
        <v>4000</v>
      </c>
      <c r="D282" s="186">
        <v>14.845000000000001</v>
      </c>
      <c r="E282" s="39">
        <v>18.46</v>
      </c>
      <c r="F282" s="39">
        <f t="shared" si="40"/>
        <v>14460</v>
      </c>
      <c r="G282" s="39">
        <f t="shared" si="41"/>
        <v>59380</v>
      </c>
      <c r="H282" s="175">
        <f t="shared" si="42"/>
        <v>0.24351633546648704</v>
      </c>
      <c r="I282" s="39"/>
      <c r="J282" s="39"/>
      <c r="K282" s="39">
        <f t="shared" si="27"/>
        <v>29075.571000001626</v>
      </c>
      <c r="L282" s="39"/>
    </row>
    <row r="283" spans="1:14" x14ac:dyDescent="0.25">
      <c r="A283">
        <v>2600</v>
      </c>
      <c r="B283" s="147">
        <v>43217</v>
      </c>
      <c r="C283" s="10">
        <v>4300</v>
      </c>
      <c r="D283" s="186">
        <v>15.0785</v>
      </c>
      <c r="E283" s="39">
        <v>18.11</v>
      </c>
      <c r="F283" s="39">
        <f t="shared" si="40"/>
        <v>13035.449999999997</v>
      </c>
      <c r="G283" s="39">
        <f t="shared" si="41"/>
        <v>64837.55</v>
      </c>
      <c r="H283" s="175">
        <f t="shared" si="42"/>
        <v>0.20104784958716049</v>
      </c>
      <c r="I283" s="39"/>
      <c r="J283" s="39"/>
      <c r="K283" s="39">
        <f t="shared" si="27"/>
        <v>27651.021000001623</v>
      </c>
      <c r="L283" s="39"/>
    </row>
    <row r="284" spans="1:14" x14ac:dyDescent="0.25">
      <c r="A284">
        <v>2500</v>
      </c>
      <c r="B284" s="147">
        <v>43220</v>
      </c>
      <c r="C284" s="7">
        <v>4000</v>
      </c>
      <c r="D284" s="349">
        <v>14.829000000000001</v>
      </c>
      <c r="E284" s="39">
        <v>18.25</v>
      </c>
      <c r="F284" s="39">
        <f t="shared" si="40"/>
        <v>13683.999999999998</v>
      </c>
      <c r="G284" s="39">
        <f t="shared" si="41"/>
        <v>59316</v>
      </c>
      <c r="H284" s="175">
        <f t="shared" si="42"/>
        <v>0.230696607997842</v>
      </c>
      <c r="I284" s="39"/>
      <c r="J284" s="39"/>
      <c r="K284" s="39">
        <f t="shared" si="27"/>
        <v>28299.571000001626</v>
      </c>
      <c r="L284" s="39"/>
    </row>
    <row r="285" spans="1:14" x14ac:dyDescent="0.25">
      <c r="A285">
        <v>2400</v>
      </c>
      <c r="B285" s="147">
        <v>43223</v>
      </c>
      <c r="C285" s="10">
        <v>3500</v>
      </c>
      <c r="D285" s="186">
        <v>14.14</v>
      </c>
      <c r="E285" s="39">
        <v>19.440000000000001</v>
      </c>
      <c r="F285" s="39">
        <f t="shared" si="40"/>
        <v>18550.000000000004</v>
      </c>
      <c r="G285" s="39">
        <f t="shared" si="41"/>
        <v>49490</v>
      </c>
      <c r="H285" s="175">
        <f t="shared" si="42"/>
        <v>0.37482319660537483</v>
      </c>
      <c r="I285" s="39"/>
      <c r="J285" s="39"/>
      <c r="K285" s="39">
        <f t="shared" si="27"/>
        <v>33165.571000001626</v>
      </c>
      <c r="L285" s="39"/>
    </row>
    <row r="286" spans="1:14" x14ac:dyDescent="0.25">
      <c r="A286">
        <v>1900</v>
      </c>
      <c r="B286" s="147">
        <v>43224</v>
      </c>
      <c r="C286" s="10">
        <v>3000</v>
      </c>
      <c r="D286" s="186">
        <v>13.243</v>
      </c>
      <c r="E286" s="39">
        <v>19.72</v>
      </c>
      <c r="F286" s="39">
        <f t="shared" si="40"/>
        <v>19430.999999999996</v>
      </c>
      <c r="G286" s="39">
        <f t="shared" si="41"/>
        <v>39729</v>
      </c>
      <c r="H286" s="175">
        <f t="shared" si="42"/>
        <v>0.48908857509627718</v>
      </c>
      <c r="I286" s="39"/>
      <c r="J286" s="39"/>
      <c r="K286" s="39">
        <f t="shared" si="27"/>
        <v>34046.571000001626</v>
      </c>
      <c r="L286" s="39"/>
    </row>
    <row r="287" spans="1:14" x14ac:dyDescent="0.25">
      <c r="A287">
        <v>2400</v>
      </c>
      <c r="B287" s="147">
        <v>43227</v>
      </c>
      <c r="C287" s="181">
        <v>3000</v>
      </c>
      <c r="D287" s="733">
        <v>13.17</v>
      </c>
      <c r="E287" s="39">
        <v>19.77</v>
      </c>
      <c r="F287" s="39">
        <f t="shared" si="40"/>
        <v>19800</v>
      </c>
      <c r="G287" s="39">
        <f t="shared" si="41"/>
        <v>39510</v>
      </c>
      <c r="H287" s="175">
        <f t="shared" si="42"/>
        <v>0.50113895216400905</v>
      </c>
      <c r="I287" s="39"/>
      <c r="J287" s="39"/>
      <c r="K287" s="39">
        <f t="shared" si="27"/>
        <v>34415.571000001626</v>
      </c>
      <c r="L287" s="39"/>
    </row>
    <row r="288" spans="1:14" x14ac:dyDescent="0.25">
      <c r="A288">
        <v>2100</v>
      </c>
      <c r="B288" s="147">
        <v>43229</v>
      </c>
      <c r="C288" s="10">
        <v>2700</v>
      </c>
      <c r="D288" s="186">
        <v>12.3</v>
      </c>
      <c r="E288" s="39">
        <v>21.26</v>
      </c>
      <c r="F288" s="39">
        <f t="shared" si="40"/>
        <v>24192.000000000004</v>
      </c>
      <c r="G288" s="39">
        <f t="shared" si="41"/>
        <v>33210</v>
      </c>
      <c r="H288" s="175">
        <f t="shared" si="42"/>
        <v>0.72845528455284558</v>
      </c>
      <c r="I288" s="39"/>
      <c r="J288" s="39"/>
      <c r="K288" s="39">
        <f t="shared" si="27"/>
        <v>38807.571000001626</v>
      </c>
      <c r="L288" s="39"/>
    </row>
    <row r="289" spans="1:12" x14ac:dyDescent="0.25">
      <c r="A289">
        <v>1400</v>
      </c>
      <c r="B289" s="147">
        <v>43234</v>
      </c>
      <c r="C289" s="347">
        <v>2000</v>
      </c>
      <c r="D289" s="745">
        <v>9.0908999999999995</v>
      </c>
      <c r="E289" s="39">
        <v>21.42</v>
      </c>
      <c r="F289" s="39">
        <f t="shared" si="40"/>
        <v>24658.200000000004</v>
      </c>
      <c r="G289" s="39">
        <f t="shared" si="41"/>
        <v>18181.8</v>
      </c>
      <c r="H289" s="175">
        <f t="shared" si="42"/>
        <v>1.3562023562023564</v>
      </c>
      <c r="I289" s="39"/>
      <c r="J289" s="39"/>
      <c r="K289" s="39">
        <f t="shared" si="27"/>
        <v>39273.77100000163</v>
      </c>
      <c r="L289" s="39"/>
    </row>
    <row r="290" spans="1:12" x14ac:dyDescent="0.25">
      <c r="A290">
        <v>400</v>
      </c>
      <c r="B290" s="147">
        <v>43241</v>
      </c>
      <c r="C290" s="10">
        <v>1000</v>
      </c>
      <c r="D290" s="186">
        <v>-3.7</v>
      </c>
      <c r="E290" s="39">
        <v>21.9</v>
      </c>
      <c r="F290" s="39">
        <f t="shared" si="40"/>
        <v>25599.999999999996</v>
      </c>
      <c r="G290" s="39">
        <f t="shared" si="41"/>
        <v>-3700</v>
      </c>
      <c r="H290" s="175">
        <f t="shared" si="42"/>
        <v>-6.9189189189189184</v>
      </c>
      <c r="I290" s="39"/>
      <c r="J290" s="39"/>
      <c r="K290" s="39">
        <f t="shared" si="27"/>
        <v>40215.571000001626</v>
      </c>
      <c r="L290" s="39"/>
    </row>
    <row r="291" spans="1:12" x14ac:dyDescent="0.25">
      <c r="A291">
        <v>400</v>
      </c>
      <c r="B291" s="147">
        <v>43245</v>
      </c>
      <c r="C291" s="10">
        <v>2000</v>
      </c>
      <c r="D291" s="186">
        <v>8.4410000000000007</v>
      </c>
      <c r="E291" s="39">
        <v>20.329999999999998</v>
      </c>
      <c r="F291" s="39">
        <f t="shared" si="40"/>
        <v>23777.999999999996</v>
      </c>
      <c r="G291" s="39">
        <f t="shared" si="41"/>
        <v>16882</v>
      </c>
      <c r="H291" s="175">
        <f t="shared" si="42"/>
        <v>1.4084824072977131</v>
      </c>
      <c r="I291" s="39"/>
      <c r="J291" s="39"/>
      <c r="K291" s="39">
        <f t="shared" ref="K291:K313" si="43">F291+$Q$10</f>
        <v>38393.571000001626</v>
      </c>
      <c r="L291" s="39"/>
    </row>
    <row r="292" spans="1:12" x14ac:dyDescent="0.25">
      <c r="A292">
        <v>700</v>
      </c>
      <c r="B292" s="147">
        <v>43250</v>
      </c>
      <c r="C292" s="10">
        <v>2000</v>
      </c>
      <c r="D292" s="186">
        <v>8.4410000000000007</v>
      </c>
      <c r="E292" s="39">
        <v>21.53</v>
      </c>
      <c r="F292" s="39">
        <f t="shared" si="40"/>
        <v>26178</v>
      </c>
      <c r="G292" s="39">
        <f t="shared" si="41"/>
        <v>16882</v>
      </c>
      <c r="H292" s="175">
        <f t="shared" si="42"/>
        <v>1.5506456580973818</v>
      </c>
      <c r="I292" s="39"/>
      <c r="J292" s="39"/>
      <c r="K292" s="39">
        <f t="shared" si="43"/>
        <v>40793.571000001626</v>
      </c>
      <c r="L292" s="39"/>
    </row>
    <row r="293" spans="1:12" x14ac:dyDescent="0.25">
      <c r="A293">
        <v>700</v>
      </c>
      <c r="B293" s="147">
        <v>43262</v>
      </c>
      <c r="C293" s="10">
        <v>1700</v>
      </c>
      <c r="D293" s="186">
        <v>6.1519000000000004</v>
      </c>
      <c r="E293" s="39">
        <v>21.47</v>
      </c>
      <c r="F293" s="39">
        <f t="shared" si="40"/>
        <v>26040.769999999997</v>
      </c>
      <c r="G293" s="39">
        <f t="shared" si="41"/>
        <v>10458.230000000001</v>
      </c>
      <c r="H293" s="175">
        <f t="shared" si="42"/>
        <v>2.4899787057656977</v>
      </c>
      <c r="I293" s="39"/>
      <c r="J293" s="39"/>
      <c r="K293" s="39">
        <f t="shared" si="43"/>
        <v>40656.341000001623</v>
      </c>
      <c r="L293" s="39"/>
    </row>
    <row r="294" spans="1:12" x14ac:dyDescent="0.25">
      <c r="A294">
        <v>700</v>
      </c>
      <c r="B294" s="147">
        <v>43266</v>
      </c>
      <c r="C294" s="350">
        <v>2000</v>
      </c>
      <c r="D294" s="746">
        <v>8.3116000000000003</v>
      </c>
      <c r="E294" s="39">
        <v>19.989999999999998</v>
      </c>
      <c r="F294" s="39">
        <f t="shared" si="40"/>
        <v>23356.799999999996</v>
      </c>
      <c r="G294" s="39">
        <f t="shared" si="41"/>
        <v>16623.2</v>
      </c>
      <c r="H294" s="175">
        <f t="shared" si="42"/>
        <v>1.4050724288945566</v>
      </c>
      <c r="I294" s="39"/>
      <c r="J294" s="39"/>
      <c r="K294" s="39">
        <f t="shared" si="43"/>
        <v>37972.371000001622</v>
      </c>
      <c r="L294" s="39">
        <v>64.3</v>
      </c>
    </row>
    <row r="295" spans="1:12" x14ac:dyDescent="0.25">
      <c r="A295">
        <v>700</v>
      </c>
      <c r="B295" s="147">
        <v>43266</v>
      </c>
      <c r="C295" s="10">
        <v>2500</v>
      </c>
      <c r="D295" s="186">
        <v>10.645</v>
      </c>
      <c r="E295" s="39">
        <v>19.989999999999998</v>
      </c>
      <c r="F295" s="39">
        <f t="shared" si="40"/>
        <v>23362.499999999996</v>
      </c>
      <c r="G295" s="39">
        <f t="shared" si="41"/>
        <v>26612.5</v>
      </c>
      <c r="H295" s="175">
        <f t="shared" si="42"/>
        <v>0.87787693752935647</v>
      </c>
      <c r="I295" s="39"/>
      <c r="J295" s="39"/>
      <c r="K295" s="39">
        <f t="shared" si="43"/>
        <v>37978.071000001626</v>
      </c>
      <c r="L295" s="39"/>
    </row>
    <row r="296" spans="1:12" x14ac:dyDescent="0.25">
      <c r="A296">
        <v>200</v>
      </c>
      <c r="B296" s="147">
        <v>43269</v>
      </c>
      <c r="C296" s="10">
        <v>2000</v>
      </c>
      <c r="D296" s="186">
        <v>8.1714000000000002</v>
      </c>
      <c r="E296" s="39">
        <v>20.32</v>
      </c>
      <c r="F296" s="39">
        <f t="shared" si="40"/>
        <v>24297.200000000001</v>
      </c>
      <c r="G296" s="39">
        <f t="shared" si="41"/>
        <v>16342.800000000001</v>
      </c>
      <c r="H296" s="175">
        <f t="shared" si="42"/>
        <v>1.48672198154539</v>
      </c>
      <c r="I296" s="39"/>
      <c r="J296" s="39"/>
      <c r="K296" s="39">
        <f t="shared" si="43"/>
        <v>38912.771000001623</v>
      </c>
      <c r="L296" s="39">
        <v>65.62</v>
      </c>
    </row>
    <row r="297" spans="1:12" x14ac:dyDescent="0.25">
      <c r="A297">
        <v>0</v>
      </c>
      <c r="B297" s="147">
        <v>43271</v>
      </c>
      <c r="C297" s="10">
        <v>1800</v>
      </c>
      <c r="D297" s="186">
        <v>6.7594000000000003</v>
      </c>
      <c r="E297" s="39">
        <v>21.06</v>
      </c>
      <c r="F297" s="39">
        <f t="shared" si="40"/>
        <v>25741.079999999998</v>
      </c>
      <c r="G297" s="39">
        <f t="shared" si="41"/>
        <v>12166.92</v>
      </c>
      <c r="H297" s="175">
        <f t="shared" si="42"/>
        <v>2.1156611533568066</v>
      </c>
      <c r="I297" s="39"/>
      <c r="J297" s="39"/>
      <c r="K297" s="39">
        <f t="shared" si="43"/>
        <v>40356.651000001628</v>
      </c>
      <c r="L297" s="39">
        <v>65.91</v>
      </c>
    </row>
    <row r="298" spans="1:12" x14ac:dyDescent="0.25">
      <c r="A298">
        <v>0</v>
      </c>
      <c r="B298" s="147">
        <v>43272</v>
      </c>
      <c r="C298" s="10">
        <v>2000</v>
      </c>
      <c r="D298" s="186">
        <v>8.0879999999999992</v>
      </c>
      <c r="E298" s="39">
        <v>19.920000000000002</v>
      </c>
      <c r="F298" s="39">
        <f t="shared" si="40"/>
        <v>23664.000000000004</v>
      </c>
      <c r="G298" s="39">
        <f t="shared" si="41"/>
        <v>16175.999999999998</v>
      </c>
      <c r="H298" s="175">
        <f t="shared" si="42"/>
        <v>1.4629080118694366</v>
      </c>
      <c r="I298" s="39"/>
      <c r="J298" s="39"/>
      <c r="K298" s="39">
        <f t="shared" si="43"/>
        <v>38279.571000001626</v>
      </c>
      <c r="L298" s="39">
        <v>69.28</v>
      </c>
    </row>
    <row r="299" spans="1:12" x14ac:dyDescent="0.25">
      <c r="A299">
        <v>1000</v>
      </c>
      <c r="B299" s="147">
        <v>43276</v>
      </c>
      <c r="C299" s="10">
        <v>2200</v>
      </c>
      <c r="D299" s="186">
        <v>9.2149999999999999</v>
      </c>
      <c r="E299" s="39">
        <v>20.3</v>
      </c>
      <c r="F299" s="39">
        <f t="shared" si="40"/>
        <v>24387.000000000004</v>
      </c>
      <c r="G299" s="39">
        <f t="shared" si="41"/>
        <v>20273</v>
      </c>
      <c r="H299" s="175">
        <f t="shared" si="42"/>
        <v>1.202930005425936</v>
      </c>
      <c r="I299" s="39"/>
      <c r="J299" s="39"/>
      <c r="K299" s="39">
        <f t="shared" si="43"/>
        <v>39002.571000001626</v>
      </c>
      <c r="L299" s="39">
        <v>70.53</v>
      </c>
    </row>
    <row r="300" spans="1:12" x14ac:dyDescent="0.25">
      <c r="A300">
        <v>1000</v>
      </c>
      <c r="B300" s="147">
        <v>43278</v>
      </c>
      <c r="C300" s="10">
        <v>2200</v>
      </c>
      <c r="D300" s="186">
        <v>9.2149999999999999</v>
      </c>
      <c r="E300" s="39">
        <v>21.22</v>
      </c>
      <c r="F300" s="39">
        <f t="shared" si="40"/>
        <v>26410.999999999996</v>
      </c>
      <c r="G300" s="39">
        <f t="shared" si="41"/>
        <v>20273</v>
      </c>
      <c r="H300" s="175">
        <f t="shared" si="42"/>
        <v>1.3027672273467172</v>
      </c>
      <c r="I300" s="39"/>
      <c r="J300" s="39"/>
      <c r="K300" s="39">
        <f t="shared" si="43"/>
        <v>41026.571000001626</v>
      </c>
      <c r="L300" s="39"/>
    </row>
    <row r="301" spans="1:12" x14ac:dyDescent="0.25">
      <c r="A301">
        <v>1000</v>
      </c>
      <c r="B301" s="147">
        <v>43283</v>
      </c>
      <c r="C301" s="10">
        <v>2200</v>
      </c>
      <c r="D301" s="186">
        <v>9.2149999999999999</v>
      </c>
      <c r="E301" s="39">
        <v>20.66</v>
      </c>
      <c r="F301" s="39">
        <f t="shared" si="40"/>
        <v>25179</v>
      </c>
      <c r="G301" s="39">
        <f t="shared" si="41"/>
        <v>20273</v>
      </c>
      <c r="H301" s="175">
        <f t="shared" si="42"/>
        <v>1.2419967444384157</v>
      </c>
      <c r="I301" s="39"/>
      <c r="J301" s="39"/>
      <c r="K301" s="39">
        <f t="shared" si="43"/>
        <v>39794.571000001626</v>
      </c>
      <c r="L301" s="39"/>
    </row>
    <row r="302" spans="1:12" x14ac:dyDescent="0.25">
      <c r="A302">
        <v>800</v>
      </c>
      <c r="B302" s="147">
        <v>43284</v>
      </c>
      <c r="C302" s="350">
        <v>2000</v>
      </c>
      <c r="D302" s="746">
        <v>7.9779999999999998</v>
      </c>
      <c r="E302" s="39">
        <v>21</v>
      </c>
      <c r="F302" s="39">
        <f t="shared" si="40"/>
        <v>26044</v>
      </c>
      <c r="G302" s="39">
        <f t="shared" si="41"/>
        <v>15956</v>
      </c>
      <c r="H302" s="175">
        <f t="shared" si="42"/>
        <v>1.6322386563048383</v>
      </c>
      <c r="I302" s="39"/>
      <c r="J302" s="39"/>
      <c r="K302" s="39">
        <f t="shared" si="43"/>
        <v>40659.571000001626</v>
      </c>
      <c r="L302" s="39"/>
    </row>
    <row r="303" spans="1:12" x14ac:dyDescent="0.25">
      <c r="B303" s="147">
        <v>43286</v>
      </c>
      <c r="C303" s="10">
        <v>2200</v>
      </c>
      <c r="D303" s="186">
        <v>9.1513000000000009</v>
      </c>
      <c r="E303" s="39">
        <v>20.88</v>
      </c>
      <c r="F303" s="39">
        <f t="shared" si="40"/>
        <v>25803.139999999996</v>
      </c>
      <c r="G303" s="39">
        <f t="shared" si="41"/>
        <v>20132.86</v>
      </c>
      <c r="H303" s="175">
        <f t="shared" si="42"/>
        <v>1.2816430452504013</v>
      </c>
      <c r="I303" s="39"/>
      <c r="J303" s="39"/>
      <c r="K303" s="39">
        <f t="shared" si="43"/>
        <v>40418.711000001626</v>
      </c>
      <c r="L303" s="39"/>
    </row>
    <row r="304" spans="1:12" x14ac:dyDescent="0.25">
      <c r="A304">
        <v>800</v>
      </c>
      <c r="B304" s="147">
        <v>43286</v>
      </c>
      <c r="C304" s="10">
        <v>2500</v>
      </c>
      <c r="D304" s="186">
        <v>10.535</v>
      </c>
      <c r="E304" s="39">
        <v>20.7</v>
      </c>
      <c r="F304" s="39">
        <f t="shared" si="40"/>
        <v>25412.499999999996</v>
      </c>
      <c r="G304" s="39">
        <f t="shared" si="41"/>
        <v>26337.5</v>
      </c>
      <c r="H304" s="175">
        <f t="shared" si="42"/>
        <v>0.96487897484575214</v>
      </c>
      <c r="I304" s="39"/>
      <c r="J304" s="39"/>
      <c r="K304" s="39">
        <f t="shared" si="43"/>
        <v>40028.071000001626</v>
      </c>
      <c r="L304" s="39"/>
    </row>
    <row r="305" spans="1:12" x14ac:dyDescent="0.25">
      <c r="A305">
        <v>300</v>
      </c>
      <c r="B305" s="147">
        <v>43287</v>
      </c>
      <c r="C305" s="350">
        <v>2000</v>
      </c>
      <c r="D305" s="746">
        <v>7.9015000000000004</v>
      </c>
      <c r="E305" s="39">
        <v>21.07</v>
      </c>
      <c r="F305" s="39">
        <f t="shared" si="40"/>
        <v>26337</v>
      </c>
      <c r="G305" s="39">
        <f t="shared" si="41"/>
        <v>15803</v>
      </c>
      <c r="H305" s="175">
        <f t="shared" si="42"/>
        <v>1.666582294501044</v>
      </c>
      <c r="I305" s="39"/>
      <c r="J305" s="39"/>
      <c r="K305" s="39">
        <f t="shared" si="43"/>
        <v>40952.571000001626</v>
      </c>
      <c r="L305" s="39"/>
    </row>
    <row r="306" spans="1:12" x14ac:dyDescent="0.25">
      <c r="A306">
        <v>0</v>
      </c>
      <c r="B306" s="147">
        <v>43290</v>
      </c>
      <c r="C306" s="10">
        <v>1700</v>
      </c>
      <c r="D306" s="186">
        <v>5.4859999999999998</v>
      </c>
      <c r="E306" s="39">
        <v>21.75</v>
      </c>
      <c r="F306" s="39">
        <f t="shared" si="40"/>
        <v>27648.799999999999</v>
      </c>
      <c r="G306" s="39">
        <f t="shared" si="41"/>
        <v>9326.1999999999989</v>
      </c>
      <c r="H306" s="175">
        <f t="shared" si="42"/>
        <v>2.9646372584761211</v>
      </c>
      <c r="I306" s="39"/>
      <c r="J306" s="39"/>
      <c r="K306" s="39">
        <f t="shared" si="43"/>
        <v>42264.371000001629</v>
      </c>
      <c r="L306" s="39"/>
    </row>
    <row r="307" spans="1:12" x14ac:dyDescent="0.25">
      <c r="A307">
        <v>0</v>
      </c>
      <c r="B307" s="147">
        <v>43292</v>
      </c>
      <c r="C307" s="350">
        <v>2000</v>
      </c>
      <c r="D307" s="746">
        <v>7.8579999999999997</v>
      </c>
      <c r="E307" s="39">
        <v>21.2</v>
      </c>
      <c r="F307" s="39">
        <f t="shared" si="40"/>
        <v>26683.999999999996</v>
      </c>
      <c r="G307" s="39">
        <f t="shared" si="41"/>
        <v>15716</v>
      </c>
      <c r="H307" s="175">
        <f t="shared" si="42"/>
        <v>1.6978875031814711</v>
      </c>
      <c r="I307" s="39"/>
      <c r="J307" s="39"/>
      <c r="K307" s="39">
        <f t="shared" si="43"/>
        <v>41299.571000001626</v>
      </c>
      <c r="L307" s="39"/>
    </row>
    <row r="308" spans="1:12" x14ac:dyDescent="0.25">
      <c r="B308" s="147">
        <v>43297</v>
      </c>
      <c r="C308" s="10">
        <v>2500</v>
      </c>
      <c r="D308" s="186">
        <v>10.362</v>
      </c>
      <c r="E308" s="39">
        <v>19.850000000000001</v>
      </c>
      <c r="F308" s="39">
        <f t="shared" si="40"/>
        <v>23720.000000000004</v>
      </c>
      <c r="G308" s="39">
        <f t="shared" si="41"/>
        <v>25905</v>
      </c>
      <c r="H308" s="175">
        <f t="shared" si="42"/>
        <v>0.91565334877436799</v>
      </c>
      <c r="I308" s="39"/>
      <c r="J308" s="39"/>
      <c r="K308" s="39">
        <f t="shared" si="43"/>
        <v>38335.571000001626</v>
      </c>
      <c r="L308" s="39"/>
    </row>
    <row r="309" spans="1:12" x14ac:dyDescent="0.25">
      <c r="A309">
        <v>800</v>
      </c>
      <c r="B309" s="147">
        <v>43297</v>
      </c>
      <c r="C309" s="181">
        <v>3000</v>
      </c>
      <c r="D309" s="733">
        <v>11.96</v>
      </c>
      <c r="E309" s="39">
        <v>19.850000000000001</v>
      </c>
      <c r="F309" s="39">
        <f t="shared" ref="F309:F323" si="44">C309*(E309-D309)</f>
        <v>23670</v>
      </c>
      <c r="G309" s="39">
        <f t="shared" ref="G309:G323" si="45">D309*C309</f>
        <v>35880</v>
      </c>
      <c r="H309" s="175">
        <f t="shared" ref="H309:H323" si="46">(E309-D309)/D309</f>
        <v>0.65969899665551834</v>
      </c>
      <c r="I309" s="39"/>
      <c r="J309" s="39"/>
      <c r="K309" s="39">
        <f t="shared" si="43"/>
        <v>38285.571000001626</v>
      </c>
      <c r="L309" s="39"/>
    </row>
    <row r="310" spans="1:12" x14ac:dyDescent="0.25">
      <c r="A310">
        <v>300</v>
      </c>
      <c r="B310" s="147">
        <v>43299</v>
      </c>
      <c r="C310" s="10">
        <v>2500</v>
      </c>
      <c r="D310" s="186">
        <v>10.27</v>
      </c>
      <c r="E310" s="39">
        <v>20.420000000000002</v>
      </c>
      <c r="F310" s="39">
        <f t="shared" si="44"/>
        <v>25375.000000000004</v>
      </c>
      <c r="G310" s="39">
        <f t="shared" si="45"/>
        <v>25675</v>
      </c>
      <c r="H310" s="175">
        <f t="shared" si="46"/>
        <v>0.98831548198636832</v>
      </c>
      <c r="I310" s="39"/>
      <c r="J310" s="39"/>
      <c r="K310" s="39">
        <f t="shared" si="43"/>
        <v>39990.571000001626</v>
      </c>
      <c r="L310" s="39">
        <v>68.81</v>
      </c>
    </row>
    <row r="311" spans="1:12" x14ac:dyDescent="0.25">
      <c r="A311">
        <v>0</v>
      </c>
      <c r="B311" s="147">
        <v>43300</v>
      </c>
      <c r="C311" s="10">
        <v>2200</v>
      </c>
      <c r="D311" s="186">
        <v>8.8620000000000001</v>
      </c>
      <c r="E311" s="39">
        <v>20.54</v>
      </c>
      <c r="F311" s="39">
        <f t="shared" si="44"/>
        <v>25691.599999999999</v>
      </c>
      <c r="G311" s="39">
        <f t="shared" si="45"/>
        <v>19496.400000000001</v>
      </c>
      <c r="H311" s="175">
        <f t="shared" si="46"/>
        <v>1.3177612277138342</v>
      </c>
      <c r="I311" s="39"/>
      <c r="J311" s="39"/>
      <c r="K311" s="39">
        <f t="shared" si="43"/>
        <v>40307.171000001625</v>
      </c>
      <c r="L311" s="39">
        <v>69.405000000000001</v>
      </c>
    </row>
    <row r="312" spans="1:12" x14ac:dyDescent="0.25">
      <c r="A312">
        <v>0</v>
      </c>
      <c r="B312" s="147">
        <v>43305</v>
      </c>
      <c r="C312" s="350">
        <v>2000</v>
      </c>
      <c r="D312" s="746">
        <v>7.6566000000000001</v>
      </c>
      <c r="E312" s="39">
        <v>20.92</v>
      </c>
      <c r="F312" s="39">
        <f t="shared" si="44"/>
        <v>26526.800000000003</v>
      </c>
      <c r="G312" s="39">
        <f t="shared" si="45"/>
        <v>15313.2</v>
      </c>
      <c r="H312" s="175">
        <f t="shared" si="46"/>
        <v>1.732283258887757</v>
      </c>
      <c r="I312" s="39"/>
      <c r="J312" s="39"/>
      <c r="K312" s="39">
        <f t="shared" si="43"/>
        <v>41142.371000001629</v>
      </c>
      <c r="L312" s="39">
        <v>68.83</v>
      </c>
    </row>
    <row r="313" spans="1:12" x14ac:dyDescent="0.25">
      <c r="A313">
        <v>200</v>
      </c>
      <c r="B313" s="147">
        <v>43307</v>
      </c>
      <c r="C313" s="10">
        <v>2000</v>
      </c>
      <c r="D313" s="186">
        <v>7.657</v>
      </c>
      <c r="E313" s="39">
        <v>21.24</v>
      </c>
      <c r="F313" s="39">
        <f t="shared" si="44"/>
        <v>27165.999999999996</v>
      </c>
      <c r="G313" s="39">
        <f t="shared" si="45"/>
        <v>15314</v>
      </c>
      <c r="H313" s="175">
        <f t="shared" si="46"/>
        <v>1.7739323494841319</v>
      </c>
      <c r="I313" s="39"/>
      <c r="J313" s="39"/>
      <c r="K313" s="39">
        <f t="shared" si="43"/>
        <v>41781.571000001626</v>
      </c>
      <c r="L313" s="39">
        <v>69.52</v>
      </c>
    </row>
    <row r="314" spans="1:12" x14ac:dyDescent="0.25">
      <c r="A314">
        <v>200</v>
      </c>
      <c r="B314" s="147">
        <v>43308</v>
      </c>
      <c r="C314" s="10">
        <v>2000</v>
      </c>
      <c r="D314" s="186">
        <v>7.657</v>
      </c>
      <c r="E314" s="39">
        <v>20.83</v>
      </c>
      <c r="F314" s="39">
        <f t="shared" si="44"/>
        <v>26345.999999999996</v>
      </c>
      <c r="G314" s="39">
        <f t="shared" si="45"/>
        <v>15314</v>
      </c>
      <c r="H314" s="175">
        <f t="shared" si="46"/>
        <v>1.7203865743763873</v>
      </c>
      <c r="I314" s="39"/>
      <c r="J314" s="39"/>
      <c r="K314" s="39">
        <f t="shared" ref="K314:K332" si="47">F314+$Q$10</f>
        <v>40961.571000001626</v>
      </c>
      <c r="L314" s="39">
        <v>68.849999999999994</v>
      </c>
    </row>
    <row r="315" spans="1:12" x14ac:dyDescent="0.25">
      <c r="A315">
        <v>0</v>
      </c>
      <c r="B315" s="147">
        <v>43311</v>
      </c>
      <c r="C315" s="10">
        <v>1800</v>
      </c>
      <c r="D315" s="186">
        <v>6.1390000000000002</v>
      </c>
      <c r="E315" s="39">
        <v>21.11</v>
      </c>
      <c r="F315" s="39">
        <f t="shared" si="44"/>
        <v>26947.8</v>
      </c>
      <c r="G315" s="39">
        <f t="shared" si="45"/>
        <v>11050.2</v>
      </c>
      <c r="H315" s="175">
        <f t="shared" si="46"/>
        <v>2.438670793288809</v>
      </c>
      <c r="I315" s="39"/>
      <c r="J315" s="39"/>
      <c r="K315" s="39">
        <f t="shared" si="47"/>
        <v>41563.371000001629</v>
      </c>
      <c r="L315" s="39">
        <v>69.900000000000006</v>
      </c>
    </row>
    <row r="316" spans="1:12" x14ac:dyDescent="0.25">
      <c r="A316">
        <v>0</v>
      </c>
      <c r="B316" s="147">
        <v>43312</v>
      </c>
      <c r="C316" s="350">
        <v>2000</v>
      </c>
      <c r="D316" s="746">
        <v>7.5896999999999997</v>
      </c>
      <c r="E316" s="39">
        <v>21.12</v>
      </c>
      <c r="F316" s="39">
        <f t="shared" si="44"/>
        <v>27060.600000000002</v>
      </c>
      <c r="G316" s="39">
        <f t="shared" si="45"/>
        <v>15179.4</v>
      </c>
      <c r="H316" s="175">
        <f t="shared" si="46"/>
        <v>1.7827186845329857</v>
      </c>
      <c r="I316" s="39"/>
      <c r="J316" s="39"/>
      <c r="K316" s="39">
        <f t="shared" si="47"/>
        <v>41676.171000001632</v>
      </c>
      <c r="L316" s="39">
        <v>68.41</v>
      </c>
    </row>
    <row r="317" spans="1:12" x14ac:dyDescent="0.25">
      <c r="B317" s="147">
        <v>43314</v>
      </c>
      <c r="C317" s="10">
        <v>2200</v>
      </c>
      <c r="D317" s="186">
        <v>8.2899999999999991</v>
      </c>
      <c r="E317" s="39">
        <v>20.63</v>
      </c>
      <c r="F317" s="39">
        <f t="shared" si="44"/>
        <v>27148</v>
      </c>
      <c r="G317" s="39">
        <f t="shared" si="45"/>
        <v>18237.999999999996</v>
      </c>
      <c r="H317" s="175">
        <f t="shared" si="46"/>
        <v>1.4885404101326902</v>
      </c>
      <c r="I317" s="39"/>
      <c r="J317" s="39"/>
      <c r="K317" s="39">
        <f t="shared" si="47"/>
        <v>41763.571000001626</v>
      </c>
      <c r="L317" s="39">
        <v>68.16</v>
      </c>
    </row>
    <row r="318" spans="1:12" x14ac:dyDescent="0.25">
      <c r="A318">
        <v>0</v>
      </c>
      <c r="B318" s="147">
        <v>43314</v>
      </c>
      <c r="C318" s="350">
        <v>2000</v>
      </c>
      <c r="D318" s="746">
        <v>7.4726999999999997</v>
      </c>
      <c r="E318" s="39">
        <v>20.88</v>
      </c>
      <c r="F318" s="39">
        <f t="shared" si="44"/>
        <v>26814.6</v>
      </c>
      <c r="G318" s="39">
        <f t="shared" si="45"/>
        <v>14945.4</v>
      </c>
      <c r="H318" s="175">
        <f t="shared" si="46"/>
        <v>1.7941707816451884</v>
      </c>
      <c r="I318" s="39"/>
      <c r="J318" s="39"/>
      <c r="K318" s="39">
        <f t="shared" si="47"/>
        <v>41430.171000001625</v>
      </c>
      <c r="L318" s="39">
        <v>69.11</v>
      </c>
    </row>
    <row r="319" spans="1:12" x14ac:dyDescent="0.25">
      <c r="A319">
        <v>300</v>
      </c>
      <c r="B319" s="147">
        <v>43320</v>
      </c>
      <c r="C319" s="10">
        <v>2300</v>
      </c>
      <c r="D319" s="186">
        <v>9.1080000000000005</v>
      </c>
      <c r="E319" s="39">
        <v>20.14</v>
      </c>
      <c r="F319" s="39">
        <f t="shared" si="44"/>
        <v>25373.599999999999</v>
      </c>
      <c r="G319" s="39">
        <f t="shared" si="45"/>
        <v>20948.400000000001</v>
      </c>
      <c r="H319" s="175">
        <f t="shared" si="46"/>
        <v>1.2112428634167764</v>
      </c>
      <c r="I319" s="39"/>
      <c r="J319" s="39"/>
      <c r="K319" s="39">
        <f t="shared" si="47"/>
        <v>39989.171000001625</v>
      </c>
      <c r="L319" s="39">
        <v>66.84</v>
      </c>
    </row>
    <row r="320" spans="1:12" x14ac:dyDescent="0.25">
      <c r="A320">
        <v>300</v>
      </c>
      <c r="B320" s="147">
        <v>43322</v>
      </c>
      <c r="C320" s="10">
        <v>2300</v>
      </c>
      <c r="D320" s="186">
        <v>9.1080000000000005</v>
      </c>
      <c r="E320" s="39">
        <v>20.38</v>
      </c>
      <c r="F320" s="39">
        <f t="shared" si="44"/>
        <v>25925.599999999995</v>
      </c>
      <c r="G320" s="39">
        <f t="shared" si="45"/>
        <v>20948.400000000001</v>
      </c>
      <c r="H320" s="175">
        <f t="shared" si="46"/>
        <v>1.2375933245498461</v>
      </c>
      <c r="I320" s="39"/>
      <c r="J320" s="39"/>
      <c r="K320" s="39">
        <f t="shared" si="47"/>
        <v>40541.171000001617</v>
      </c>
      <c r="L320" s="39">
        <v>67.760000000000005</v>
      </c>
    </row>
    <row r="321" spans="1:12" ht="15" customHeight="1" x14ac:dyDescent="0.25">
      <c r="A321">
        <v>600</v>
      </c>
      <c r="B321" s="147">
        <v>43325</v>
      </c>
      <c r="C321" s="10">
        <v>2300</v>
      </c>
      <c r="D321" s="186">
        <v>9.1080000000000005</v>
      </c>
      <c r="E321" s="39">
        <v>20.079999999999998</v>
      </c>
      <c r="F321" s="39">
        <f t="shared" si="44"/>
        <v>25235.599999999995</v>
      </c>
      <c r="G321" s="39">
        <f t="shared" si="45"/>
        <v>20948.400000000001</v>
      </c>
      <c r="H321" s="175">
        <f t="shared" si="46"/>
        <v>1.2046552481335087</v>
      </c>
      <c r="I321" s="39"/>
      <c r="J321" s="39"/>
      <c r="K321" s="39">
        <f t="shared" si="47"/>
        <v>39851.171000001617</v>
      </c>
      <c r="L321" s="39">
        <v>67.38</v>
      </c>
    </row>
    <row r="322" spans="1:12" x14ac:dyDescent="0.25">
      <c r="B322" s="147">
        <v>43327</v>
      </c>
      <c r="C322" s="181">
        <v>3000</v>
      </c>
      <c r="D322" s="733">
        <v>11.551</v>
      </c>
      <c r="E322" s="39">
        <v>19</v>
      </c>
      <c r="F322" s="39">
        <f t="shared" si="44"/>
        <v>22347</v>
      </c>
      <c r="G322" s="39">
        <f t="shared" si="45"/>
        <v>34653</v>
      </c>
      <c r="H322" s="175">
        <f t="shared" si="46"/>
        <v>0.64487923123539082</v>
      </c>
      <c r="I322" s="39"/>
      <c r="J322" s="39"/>
      <c r="K322" s="39">
        <f t="shared" si="47"/>
        <v>36962.571000001626</v>
      </c>
      <c r="L322" s="39"/>
    </row>
    <row r="323" spans="1:12" x14ac:dyDescent="0.25">
      <c r="A323">
        <v>600</v>
      </c>
      <c r="B323" s="147">
        <v>43327</v>
      </c>
      <c r="C323" s="10">
        <v>3500</v>
      </c>
      <c r="D323" s="186">
        <v>12.627000000000001</v>
      </c>
      <c r="E323" s="39">
        <v>19</v>
      </c>
      <c r="F323" s="39">
        <f t="shared" si="44"/>
        <v>22305.499999999996</v>
      </c>
      <c r="G323" s="39">
        <f t="shared" si="45"/>
        <v>44194.5</v>
      </c>
      <c r="H323" s="175">
        <f t="shared" si="46"/>
        <v>0.50471212481191086</v>
      </c>
      <c r="I323" s="39"/>
      <c r="J323" s="39"/>
      <c r="K323" s="39">
        <f t="shared" si="47"/>
        <v>36921.071000001626</v>
      </c>
      <c r="L323" s="39">
        <v>64.88</v>
      </c>
    </row>
    <row r="324" spans="1:12" x14ac:dyDescent="0.25">
      <c r="A324">
        <v>1600</v>
      </c>
      <c r="B324" s="147">
        <v>43328</v>
      </c>
      <c r="C324" s="10">
        <v>3500</v>
      </c>
      <c r="D324" s="186">
        <v>12.627000000000001</v>
      </c>
      <c r="E324" s="39">
        <v>19.32</v>
      </c>
      <c r="F324" s="39">
        <f t="shared" ref="F324:F345" si="48">C324*(E324-D324)</f>
        <v>23425.5</v>
      </c>
      <c r="G324" s="39">
        <f t="shared" ref="G324:G345" si="49">D324*C324</f>
        <v>44194.5</v>
      </c>
      <c r="H324" s="175">
        <f t="shared" ref="H324:H345" si="50">(E324-D324)/D324</f>
        <v>0.53005464480874309</v>
      </c>
      <c r="I324" s="39"/>
      <c r="J324" s="39"/>
      <c r="K324" s="39">
        <f t="shared" si="47"/>
        <v>38041.071000001626</v>
      </c>
      <c r="L324" s="39">
        <v>65.400000000000006</v>
      </c>
    </row>
    <row r="325" spans="1:12" x14ac:dyDescent="0.25">
      <c r="A325">
        <v>1100</v>
      </c>
      <c r="B325" s="147">
        <v>43329</v>
      </c>
      <c r="C325" s="181">
        <v>3000</v>
      </c>
      <c r="D325" s="733">
        <v>11.443</v>
      </c>
      <c r="E325" s="39">
        <v>19.829999999999998</v>
      </c>
      <c r="F325" s="39">
        <f t="shared" si="48"/>
        <v>25160.999999999996</v>
      </c>
      <c r="G325" s="39">
        <f t="shared" si="49"/>
        <v>34329</v>
      </c>
      <c r="H325" s="758">
        <f t="shared" si="50"/>
        <v>0.73293716682688093</v>
      </c>
      <c r="I325" s="39"/>
      <c r="J325" s="39"/>
      <c r="K325" s="39">
        <f t="shared" si="47"/>
        <v>39776.571000001626</v>
      </c>
      <c r="L325" s="39">
        <v>65.92</v>
      </c>
    </row>
    <row r="326" spans="1:12" x14ac:dyDescent="0.25">
      <c r="A326">
        <v>1100</v>
      </c>
      <c r="B326" s="147">
        <v>43332</v>
      </c>
      <c r="C326" s="10">
        <v>3000</v>
      </c>
      <c r="D326" s="186">
        <v>11.443</v>
      </c>
      <c r="E326" s="39">
        <v>19.98</v>
      </c>
      <c r="F326" s="39">
        <f t="shared" si="48"/>
        <v>25611.000000000004</v>
      </c>
      <c r="G326" s="39">
        <f t="shared" si="49"/>
        <v>34329</v>
      </c>
      <c r="H326" s="175">
        <f t="shared" si="50"/>
        <v>0.74604561740802244</v>
      </c>
      <c r="I326" s="39"/>
      <c r="J326" s="39"/>
      <c r="K326" s="39">
        <f t="shared" si="47"/>
        <v>40226.571000001626</v>
      </c>
      <c r="L326" s="39">
        <v>66.48</v>
      </c>
    </row>
    <row r="327" spans="1:12" x14ac:dyDescent="0.25">
      <c r="A327">
        <v>1100</v>
      </c>
      <c r="B327" s="147">
        <v>43333</v>
      </c>
      <c r="C327" s="10">
        <v>3000</v>
      </c>
      <c r="D327" s="186">
        <v>11.443</v>
      </c>
      <c r="E327" s="39">
        <v>20.21</v>
      </c>
      <c r="F327" s="39">
        <f t="shared" si="48"/>
        <v>26301.000000000004</v>
      </c>
      <c r="G327" s="39">
        <f t="shared" si="49"/>
        <v>34329</v>
      </c>
      <c r="H327" s="175">
        <f t="shared" si="50"/>
        <v>0.76614524163243913</v>
      </c>
      <c r="I327" s="39"/>
      <c r="J327" s="39"/>
      <c r="K327" s="39">
        <f>F327+$Q$10</f>
        <v>40916.571000001626</v>
      </c>
      <c r="L327" s="39">
        <v>66.099999999999994</v>
      </c>
    </row>
    <row r="328" spans="1:12" x14ac:dyDescent="0.25">
      <c r="B328" s="147">
        <v>43334</v>
      </c>
      <c r="C328" s="10">
        <v>2300</v>
      </c>
      <c r="D328" s="186">
        <v>8.6319999999999997</v>
      </c>
      <c r="E328" s="39">
        <v>20.87</v>
      </c>
      <c r="F328" s="39">
        <f t="shared" si="48"/>
        <v>28147.4</v>
      </c>
      <c r="G328" s="39">
        <f t="shared" si="49"/>
        <v>19853.599999999999</v>
      </c>
      <c r="H328" s="175">
        <f t="shared" si="50"/>
        <v>1.4177479147358667</v>
      </c>
      <c r="I328" s="39"/>
      <c r="J328" s="187" t="s">
        <v>452</v>
      </c>
      <c r="K328" s="39">
        <f t="shared" si="47"/>
        <v>42762.971000001628</v>
      </c>
      <c r="L328" s="39"/>
    </row>
    <row r="329" spans="1:12" x14ac:dyDescent="0.25">
      <c r="A329">
        <v>300</v>
      </c>
      <c r="B329" s="147">
        <v>43334</v>
      </c>
      <c r="C329" s="10">
        <v>2200</v>
      </c>
      <c r="D329" s="186">
        <v>8.0649999999999995</v>
      </c>
      <c r="E329" s="39">
        <v>20.87</v>
      </c>
      <c r="F329" s="39">
        <f t="shared" si="48"/>
        <v>28171.000000000004</v>
      </c>
      <c r="G329" s="39">
        <f t="shared" si="49"/>
        <v>17743</v>
      </c>
      <c r="H329" s="175">
        <f t="shared" si="50"/>
        <v>1.5877247365158094</v>
      </c>
      <c r="I329" s="39"/>
      <c r="J329" s="39"/>
      <c r="K329" s="760">
        <f t="shared" si="47"/>
        <v>42786.571000001626</v>
      </c>
      <c r="L329" s="39">
        <v>67.98</v>
      </c>
    </row>
    <row r="330" spans="1:12" x14ac:dyDescent="0.25">
      <c r="A330">
        <v>299</v>
      </c>
      <c r="B330" s="147">
        <v>43336</v>
      </c>
      <c r="C330" s="10">
        <v>2199</v>
      </c>
      <c r="D330" s="186">
        <v>8.06</v>
      </c>
      <c r="E330" s="39">
        <v>20.61</v>
      </c>
      <c r="F330" s="39">
        <f t="shared" si="48"/>
        <v>27597.449999999997</v>
      </c>
      <c r="G330" s="39">
        <f t="shared" si="49"/>
        <v>17723.940000000002</v>
      </c>
      <c r="H330" s="175">
        <f t="shared" si="50"/>
        <v>1.5570719602977665</v>
      </c>
      <c r="I330" s="39"/>
      <c r="J330" s="39">
        <v>51.98</v>
      </c>
      <c r="K330" s="39">
        <f t="shared" si="47"/>
        <v>42213.021000001623</v>
      </c>
      <c r="L330" s="39">
        <v>68.540000000000006</v>
      </c>
    </row>
    <row r="331" spans="1:12" x14ac:dyDescent="0.25">
      <c r="A331">
        <v>299</v>
      </c>
      <c r="B331" s="147">
        <v>43339</v>
      </c>
      <c r="C331" s="10">
        <v>2300</v>
      </c>
      <c r="D331" s="186">
        <v>8.6140000000000008</v>
      </c>
      <c r="E331" s="39">
        <v>20.8</v>
      </c>
      <c r="F331" s="39">
        <f t="shared" si="48"/>
        <v>28027.8</v>
      </c>
      <c r="G331" s="39">
        <f t="shared" si="49"/>
        <v>19812.2</v>
      </c>
      <c r="H331" s="175">
        <f t="shared" si="50"/>
        <v>1.4146737868586021</v>
      </c>
      <c r="I331" s="39"/>
      <c r="J331" s="39"/>
      <c r="K331" s="39">
        <f t="shared" si="47"/>
        <v>42643.371000001629</v>
      </c>
      <c r="L331" s="39"/>
    </row>
    <row r="332" spans="1:12" x14ac:dyDescent="0.25">
      <c r="A332">
        <v>199</v>
      </c>
      <c r="B332" s="147">
        <v>43339</v>
      </c>
      <c r="C332" s="10">
        <v>2200</v>
      </c>
      <c r="D332" s="186">
        <v>8.0540000000000003</v>
      </c>
      <c r="E332" s="39">
        <v>20.94</v>
      </c>
      <c r="F332" s="39">
        <f t="shared" si="48"/>
        <v>28349.200000000001</v>
      </c>
      <c r="G332" s="39">
        <f t="shared" si="49"/>
        <v>17718.8</v>
      </c>
      <c r="H332" s="175">
        <f t="shared" si="50"/>
        <v>1.5999503352371494</v>
      </c>
      <c r="I332" s="39"/>
      <c r="J332" s="39"/>
      <c r="K332" s="760">
        <f t="shared" si="47"/>
        <v>42964.771000001623</v>
      </c>
      <c r="L332" s="39"/>
    </row>
    <row r="333" spans="1:12" x14ac:dyDescent="0.25">
      <c r="A333">
        <v>199</v>
      </c>
      <c r="B333" s="147">
        <v>43340</v>
      </c>
      <c r="C333" s="10">
        <v>2200</v>
      </c>
      <c r="D333" s="186">
        <v>8.0540000000000003</v>
      </c>
      <c r="E333" s="39">
        <v>20.7</v>
      </c>
      <c r="F333" s="39">
        <f t="shared" si="48"/>
        <v>27821.199999999997</v>
      </c>
      <c r="G333" s="39">
        <f t="shared" si="49"/>
        <v>17718.8</v>
      </c>
      <c r="H333" s="175">
        <f t="shared" si="50"/>
        <v>1.5701514775266947</v>
      </c>
      <c r="I333" s="39"/>
      <c r="J333" s="39"/>
      <c r="K333" s="39">
        <f t="shared" ref="K333:K346" si="51">F333+$Q$10</f>
        <v>42436.771000001623</v>
      </c>
      <c r="L333" s="39">
        <v>68.510000000000005</v>
      </c>
    </row>
    <row r="334" spans="1:12" x14ac:dyDescent="0.25">
      <c r="A334">
        <v>0</v>
      </c>
      <c r="B334" s="147">
        <v>43341</v>
      </c>
      <c r="C334" s="350">
        <v>2001</v>
      </c>
      <c r="D334" s="746">
        <v>6.7073999999999998</v>
      </c>
      <c r="E334" s="39">
        <v>21.77</v>
      </c>
      <c r="F334" s="39">
        <f t="shared" si="48"/>
        <v>30140.262599999998</v>
      </c>
      <c r="G334" s="39">
        <f t="shared" si="49"/>
        <v>13421.5074</v>
      </c>
      <c r="H334" s="175">
        <f t="shared" si="50"/>
        <v>2.24566896263828</v>
      </c>
      <c r="I334" s="39"/>
      <c r="J334" s="39">
        <v>61.76</v>
      </c>
      <c r="K334" s="759">
        <f t="shared" si="51"/>
        <v>44755.833600001628</v>
      </c>
      <c r="L334" s="39">
        <v>69.709999999999994</v>
      </c>
    </row>
    <row r="335" spans="1:12" x14ac:dyDescent="0.25">
      <c r="A335">
        <v>400</v>
      </c>
      <c r="B335" s="147">
        <v>43344</v>
      </c>
      <c r="C335" s="10">
        <v>2001</v>
      </c>
      <c r="D335" s="186">
        <v>6.7069999999999999</v>
      </c>
      <c r="E335" s="39">
        <v>21.51</v>
      </c>
      <c r="F335" s="39">
        <f t="shared" si="48"/>
        <v>29620.803</v>
      </c>
      <c r="G335" s="39">
        <f t="shared" si="49"/>
        <v>13420.707</v>
      </c>
      <c r="H335" s="175">
        <f t="shared" si="50"/>
        <v>2.2070970627702402</v>
      </c>
      <c r="I335" s="39"/>
      <c r="J335" s="39">
        <v>58.67</v>
      </c>
      <c r="K335" s="39">
        <f t="shared" si="51"/>
        <v>44236.374000001626</v>
      </c>
      <c r="L335" s="39">
        <v>69.8</v>
      </c>
    </row>
    <row r="336" spans="1:12" x14ac:dyDescent="0.25">
      <c r="A336">
        <v>400</v>
      </c>
      <c r="B336" s="147">
        <v>43347</v>
      </c>
      <c r="C336" s="10">
        <v>2200</v>
      </c>
      <c r="D336" s="186">
        <v>8.0165000000000006</v>
      </c>
      <c r="E336" s="39">
        <v>21.06</v>
      </c>
      <c r="F336" s="39">
        <f t="shared" si="48"/>
        <v>28695.699999999997</v>
      </c>
      <c r="G336" s="39">
        <f t="shared" si="49"/>
        <v>17636.300000000003</v>
      </c>
      <c r="H336" s="175">
        <f t="shared" si="50"/>
        <v>1.6270816441090248</v>
      </c>
      <c r="I336" s="39"/>
      <c r="J336" s="39"/>
      <c r="K336" s="39">
        <f t="shared" si="51"/>
        <v>43311.271000001623</v>
      </c>
      <c r="L336" s="39">
        <v>69.349999999999994</v>
      </c>
    </row>
    <row r="337" spans="1:12" x14ac:dyDescent="0.25">
      <c r="A337">
        <v>400</v>
      </c>
      <c r="B337" s="147">
        <v>43349</v>
      </c>
      <c r="C337" s="10">
        <v>2300</v>
      </c>
      <c r="D337" s="186">
        <v>8.5584000000000007</v>
      </c>
      <c r="E337" s="39">
        <v>20.36</v>
      </c>
      <c r="F337" s="39">
        <f t="shared" si="48"/>
        <v>27143.679999999997</v>
      </c>
      <c r="G337" s="39">
        <f t="shared" si="49"/>
        <v>19684.320000000003</v>
      </c>
      <c r="H337" s="175">
        <f t="shared" si="50"/>
        <v>1.3789493363245464</v>
      </c>
      <c r="I337" s="39"/>
      <c r="J337" s="39">
        <v>47.92</v>
      </c>
      <c r="K337" s="39">
        <f t="shared" si="51"/>
        <v>41759.251000001619</v>
      </c>
      <c r="L337" s="39">
        <v>67.849999999999994</v>
      </c>
    </row>
    <row r="338" spans="1:12" x14ac:dyDescent="0.25">
      <c r="A338">
        <v>700</v>
      </c>
      <c r="B338" s="147">
        <v>43353</v>
      </c>
      <c r="C338" s="10">
        <v>2300</v>
      </c>
      <c r="D338" s="186">
        <v>8.5084</v>
      </c>
      <c r="E338" s="39">
        <v>20.350000000000001</v>
      </c>
      <c r="F338" s="39">
        <f t="shared" si="48"/>
        <v>27235.680000000004</v>
      </c>
      <c r="G338" s="39">
        <f t="shared" si="49"/>
        <v>19569.32</v>
      </c>
      <c r="H338" s="175">
        <f t="shared" si="50"/>
        <v>1.3917540313102348</v>
      </c>
      <c r="I338" s="39" t="s">
        <v>182</v>
      </c>
      <c r="J338" s="39"/>
      <c r="K338" s="39">
        <f t="shared" si="51"/>
        <v>41851.251000001634</v>
      </c>
      <c r="L338" s="39">
        <v>67.58</v>
      </c>
    </row>
    <row r="339" spans="1:12" x14ac:dyDescent="0.25">
      <c r="A339">
        <v>700</v>
      </c>
      <c r="B339" s="147">
        <v>43356</v>
      </c>
      <c r="C339" s="10">
        <v>2300</v>
      </c>
      <c r="D339" s="186">
        <v>8.5084</v>
      </c>
      <c r="E339" s="39">
        <v>20.67</v>
      </c>
      <c r="F339" s="39">
        <f t="shared" si="48"/>
        <v>27971.680000000004</v>
      </c>
      <c r="G339" s="39">
        <f t="shared" si="49"/>
        <v>19569.32</v>
      </c>
      <c r="H339" s="175">
        <f t="shared" si="50"/>
        <v>1.4293639227116735</v>
      </c>
      <c r="I339" s="39"/>
      <c r="J339" s="39"/>
      <c r="K339" s="39">
        <f t="shared" si="51"/>
        <v>42587.251000001634</v>
      </c>
      <c r="L339" s="39">
        <v>68.84</v>
      </c>
    </row>
    <row r="340" spans="1:12" x14ac:dyDescent="0.25">
      <c r="A340">
        <v>1900</v>
      </c>
      <c r="B340" s="147">
        <v>43357</v>
      </c>
      <c r="C340" s="10">
        <v>2300</v>
      </c>
      <c r="D340" s="186">
        <v>8.5084</v>
      </c>
      <c r="E340" s="39">
        <v>20.88</v>
      </c>
      <c r="F340" s="39">
        <f t="shared" si="48"/>
        <v>28454.679999999997</v>
      </c>
      <c r="G340" s="39">
        <f t="shared" si="49"/>
        <v>19569.32</v>
      </c>
      <c r="H340" s="175">
        <f t="shared" si="50"/>
        <v>1.4540454139438672</v>
      </c>
      <c r="I340" s="39"/>
      <c r="J340" s="39"/>
      <c r="K340" s="39">
        <f t="shared" si="51"/>
        <v>43070.251000001619</v>
      </c>
      <c r="L340" s="39">
        <v>68.95</v>
      </c>
    </row>
    <row r="341" spans="1:12" x14ac:dyDescent="0.25">
      <c r="A341">
        <v>1600</v>
      </c>
      <c r="B341" s="147">
        <v>43361</v>
      </c>
      <c r="C341" s="350">
        <v>2000</v>
      </c>
      <c r="D341" s="746">
        <v>6.5777000000000001</v>
      </c>
      <c r="E341" s="39">
        <v>21.5</v>
      </c>
      <c r="F341" s="39">
        <f t="shared" si="48"/>
        <v>29844.6</v>
      </c>
      <c r="G341" s="39">
        <f t="shared" si="49"/>
        <v>13155.4</v>
      </c>
      <c r="H341" s="175">
        <f t="shared" si="50"/>
        <v>2.2686197303008648</v>
      </c>
      <c r="I341" s="39"/>
      <c r="J341" s="39"/>
      <c r="K341" s="39">
        <f t="shared" si="51"/>
        <v>44460.171000001625</v>
      </c>
      <c r="L341" s="39">
        <v>69.63</v>
      </c>
    </row>
    <row r="342" spans="1:12" x14ac:dyDescent="0.25">
      <c r="A342">
        <v>1600</v>
      </c>
      <c r="B342" s="147">
        <v>43362</v>
      </c>
      <c r="C342" s="10">
        <v>2000</v>
      </c>
      <c r="D342" s="186">
        <v>6.5777000000000001</v>
      </c>
      <c r="E342" s="39">
        <v>21.76</v>
      </c>
      <c r="F342" s="39">
        <f t="shared" si="48"/>
        <v>30364.600000000002</v>
      </c>
      <c r="G342" s="39">
        <f t="shared" si="49"/>
        <v>13155.4</v>
      </c>
      <c r="H342" s="175">
        <f t="shared" si="50"/>
        <v>2.3081472247138057</v>
      </c>
      <c r="I342" s="39"/>
      <c r="J342" s="39"/>
      <c r="K342" s="760">
        <f t="shared" si="51"/>
        <v>44980.171000001632</v>
      </c>
      <c r="L342" s="39">
        <v>70.97</v>
      </c>
    </row>
    <row r="343" spans="1:12" x14ac:dyDescent="0.25">
      <c r="A343">
        <v>1600</v>
      </c>
      <c r="B343" s="147">
        <v>43364</v>
      </c>
      <c r="C343" s="10">
        <v>2000</v>
      </c>
      <c r="D343" s="186">
        <v>6.5777000000000001</v>
      </c>
      <c r="E343" s="39">
        <v>21.86</v>
      </c>
      <c r="F343" s="39">
        <f t="shared" si="48"/>
        <v>30564.6</v>
      </c>
      <c r="G343" s="39">
        <f t="shared" si="49"/>
        <v>13155.4</v>
      </c>
      <c r="H343" s="175">
        <f t="shared" si="50"/>
        <v>2.3233501071803211</v>
      </c>
      <c r="I343" s="39"/>
      <c r="J343" s="39">
        <v>61.88</v>
      </c>
      <c r="K343" s="760">
        <f t="shared" si="51"/>
        <v>45180.171000001625</v>
      </c>
      <c r="L343" s="39">
        <v>70.8</v>
      </c>
    </row>
    <row r="344" spans="1:12" x14ac:dyDescent="0.25">
      <c r="A344">
        <v>600</v>
      </c>
      <c r="B344" s="147">
        <v>43367</v>
      </c>
      <c r="C344" s="10">
        <v>1000</v>
      </c>
      <c r="D344" s="186">
        <v>-9.4944000000000006</v>
      </c>
      <c r="E344" s="39">
        <v>22.34</v>
      </c>
      <c r="F344" s="39">
        <f t="shared" si="48"/>
        <v>31834.400000000001</v>
      </c>
      <c r="G344" s="39">
        <f t="shared" si="49"/>
        <v>-9494.4000000000015</v>
      </c>
      <c r="H344" s="175">
        <f t="shared" si="50"/>
        <v>-3.3529659588810246</v>
      </c>
      <c r="I344" s="39"/>
      <c r="J344" s="39"/>
      <c r="K344" s="760">
        <f t="shared" si="51"/>
        <v>46449.971000001628</v>
      </c>
      <c r="L344" s="39">
        <v>72.11</v>
      </c>
    </row>
    <row r="345" spans="1:12" x14ac:dyDescent="0.25">
      <c r="A345">
        <v>501</v>
      </c>
      <c r="B345" s="147">
        <v>43371</v>
      </c>
      <c r="C345" s="10">
        <v>800</v>
      </c>
      <c r="D345" s="186">
        <v>-17.713000000000001</v>
      </c>
      <c r="E345" s="39">
        <v>23.28</v>
      </c>
      <c r="F345" s="39">
        <f t="shared" si="48"/>
        <v>32794.400000000001</v>
      </c>
      <c r="G345" s="39">
        <f t="shared" si="49"/>
        <v>-14170.400000000001</v>
      </c>
      <c r="H345" s="175">
        <f t="shared" si="50"/>
        <v>-2.314288940326314</v>
      </c>
      <c r="I345" s="39"/>
      <c r="J345" s="39"/>
      <c r="K345" s="760">
        <f t="shared" si="51"/>
        <v>47409.971000001628</v>
      </c>
      <c r="L345" s="39">
        <v>73.510000000000005</v>
      </c>
    </row>
    <row r="346" spans="1:12" x14ac:dyDescent="0.25">
      <c r="A346">
        <v>501</v>
      </c>
      <c r="B346" s="147">
        <v>43374</v>
      </c>
      <c r="C346" s="10">
        <v>800</v>
      </c>
      <c r="D346" s="186">
        <v>-17.713000000000001</v>
      </c>
      <c r="E346" s="39">
        <v>23.86</v>
      </c>
      <c r="F346" s="39">
        <f t="shared" ref="F346:F358" si="52">C346*(E346-D346)</f>
        <v>33258.400000000001</v>
      </c>
      <c r="G346" s="39">
        <f t="shared" ref="G346:G358" si="53">D346*C346</f>
        <v>-14170.400000000001</v>
      </c>
      <c r="H346" s="175">
        <f t="shared" ref="H346:H358" si="54">(E346-D346)/D346</f>
        <v>-2.3470332524134814</v>
      </c>
      <c r="I346" s="39"/>
      <c r="J346" s="39"/>
      <c r="K346" s="760">
        <f t="shared" si="51"/>
        <v>47873.971000001628</v>
      </c>
      <c r="L346" s="39">
        <v>75.400000000000006</v>
      </c>
    </row>
    <row r="347" spans="1:12" x14ac:dyDescent="0.25">
      <c r="A347">
        <v>700</v>
      </c>
      <c r="B347" s="147">
        <v>43377</v>
      </c>
      <c r="C347" s="10">
        <v>800</v>
      </c>
      <c r="D347" s="186">
        <v>-17.713000000000001</v>
      </c>
      <c r="E347" s="39">
        <v>23.99</v>
      </c>
      <c r="F347" s="39">
        <f t="shared" si="52"/>
        <v>33362.400000000001</v>
      </c>
      <c r="G347" s="39">
        <f t="shared" si="53"/>
        <v>-14170.400000000001</v>
      </c>
      <c r="H347" s="175">
        <f t="shared" si="54"/>
        <v>-2.3543724947778468</v>
      </c>
      <c r="I347" s="39"/>
      <c r="J347" s="39"/>
      <c r="K347" s="760">
        <f t="shared" ref="K347:K362" si="55">F347+$Q$10</f>
        <v>47977.971000001628</v>
      </c>
      <c r="L347" s="39">
        <v>75.92</v>
      </c>
    </row>
    <row r="348" spans="1:12" x14ac:dyDescent="0.25">
      <c r="A348">
        <v>800</v>
      </c>
      <c r="B348" s="147">
        <v>43381</v>
      </c>
      <c r="C348" s="10">
        <v>1000</v>
      </c>
      <c r="D348" s="186">
        <v>-9.6020000000000003</v>
      </c>
      <c r="E348" s="39">
        <v>22.88</v>
      </c>
      <c r="F348" s="39">
        <f t="shared" si="52"/>
        <v>32482</v>
      </c>
      <c r="G348" s="39">
        <f t="shared" si="53"/>
        <v>-9602</v>
      </c>
      <c r="H348" s="175">
        <f t="shared" si="54"/>
        <v>-3.3828369089772963</v>
      </c>
      <c r="I348" s="39"/>
      <c r="J348" s="39"/>
      <c r="K348" s="39">
        <f t="shared" si="55"/>
        <v>47097.571000001626</v>
      </c>
      <c r="L348" s="39">
        <v>74.25</v>
      </c>
    </row>
    <row r="349" spans="1:12" x14ac:dyDescent="0.25">
      <c r="A349">
        <v>800</v>
      </c>
      <c r="B349" s="147">
        <v>43383</v>
      </c>
      <c r="C349" s="10">
        <v>1700</v>
      </c>
      <c r="D349" s="186">
        <v>3.2715999999999998</v>
      </c>
      <c r="E349" s="39">
        <v>21.16</v>
      </c>
      <c r="F349" s="39">
        <f t="shared" si="52"/>
        <v>30410.280000000002</v>
      </c>
      <c r="G349" s="39">
        <f t="shared" si="53"/>
        <v>5561.7199999999993</v>
      </c>
      <c r="H349" s="175">
        <f t="shared" si="54"/>
        <v>5.4677833475975062</v>
      </c>
      <c r="I349" s="39"/>
      <c r="J349" s="39"/>
      <c r="K349" s="39">
        <f t="shared" si="55"/>
        <v>45025.851000001625</v>
      </c>
      <c r="L349" s="39">
        <v>72.62</v>
      </c>
    </row>
    <row r="350" spans="1:12" x14ac:dyDescent="0.25">
      <c r="A350">
        <v>800</v>
      </c>
      <c r="B350" s="147">
        <v>43384</v>
      </c>
      <c r="C350" s="350">
        <v>2000</v>
      </c>
      <c r="D350" s="746">
        <v>5.8288000000000002</v>
      </c>
      <c r="E350" s="39">
        <v>19.96</v>
      </c>
      <c r="F350" s="39">
        <f t="shared" si="52"/>
        <v>28262.399999999998</v>
      </c>
      <c r="G350" s="39">
        <f t="shared" si="53"/>
        <v>11657.6</v>
      </c>
      <c r="H350" s="175">
        <f t="shared" si="54"/>
        <v>2.4243755146856985</v>
      </c>
      <c r="I350" s="39"/>
      <c r="J350" s="39"/>
      <c r="K350" s="39">
        <f t="shared" si="55"/>
        <v>42877.97100000162</v>
      </c>
      <c r="L350" s="39">
        <v>70.97</v>
      </c>
    </row>
    <row r="351" spans="1:12" x14ac:dyDescent="0.25">
      <c r="A351">
        <v>800</v>
      </c>
      <c r="B351" s="147">
        <v>43385</v>
      </c>
      <c r="C351" s="10">
        <v>2000</v>
      </c>
      <c r="D351" s="186">
        <v>5.8288000000000002</v>
      </c>
      <c r="E351" s="39">
        <v>20.52</v>
      </c>
      <c r="F351" s="39">
        <f t="shared" si="52"/>
        <v>29382.399999999998</v>
      </c>
      <c r="G351" s="39">
        <f t="shared" si="53"/>
        <v>11657.6</v>
      </c>
      <c r="H351" s="175">
        <f t="shared" si="54"/>
        <v>2.5204501784243751</v>
      </c>
      <c r="I351" s="39"/>
      <c r="J351" s="39"/>
      <c r="K351" s="39">
        <f t="shared" si="55"/>
        <v>43997.97100000162</v>
      </c>
      <c r="L351" s="39">
        <v>71.52</v>
      </c>
    </row>
    <row r="352" spans="1:12" x14ac:dyDescent="0.25">
      <c r="A352">
        <v>800</v>
      </c>
      <c r="B352" s="147">
        <v>43396</v>
      </c>
      <c r="C352" s="10">
        <v>2500</v>
      </c>
      <c r="D352" s="186">
        <v>8.5030000000000001</v>
      </c>
      <c r="E352" s="39">
        <v>19.48</v>
      </c>
      <c r="F352" s="39">
        <f t="shared" si="52"/>
        <v>27442.5</v>
      </c>
      <c r="G352" s="39">
        <f t="shared" si="53"/>
        <v>21257.5</v>
      </c>
      <c r="H352" s="175">
        <f t="shared" si="54"/>
        <v>1.2909561331294837</v>
      </c>
      <c r="I352" s="39"/>
      <c r="J352" s="39"/>
      <c r="K352" s="39">
        <f t="shared" si="55"/>
        <v>42058.071000001626</v>
      </c>
      <c r="L352" s="39">
        <v>66.34</v>
      </c>
    </row>
    <row r="353" spans="1:14" ht="15" customHeight="1" x14ac:dyDescent="0.25">
      <c r="A353">
        <v>300</v>
      </c>
      <c r="B353" s="147">
        <v>43397</v>
      </c>
      <c r="C353" s="350">
        <v>2000</v>
      </c>
      <c r="D353" s="746">
        <v>5.6989000000000001</v>
      </c>
      <c r="E353" s="39">
        <v>18.350000000000001</v>
      </c>
      <c r="F353" s="39">
        <f t="shared" si="52"/>
        <v>25302.200000000004</v>
      </c>
      <c r="G353" s="39">
        <f t="shared" si="53"/>
        <v>11397.8</v>
      </c>
      <c r="H353" s="175">
        <f t="shared" si="54"/>
        <v>2.2199196336135048</v>
      </c>
      <c r="I353" s="39"/>
      <c r="J353" s="39"/>
      <c r="K353" s="39">
        <f t="shared" si="55"/>
        <v>39917.77100000163</v>
      </c>
      <c r="L353" s="39">
        <v>66.42</v>
      </c>
    </row>
    <row r="354" spans="1:14" x14ac:dyDescent="0.25">
      <c r="A354">
        <v>300</v>
      </c>
      <c r="B354" s="147">
        <v>43397</v>
      </c>
      <c r="C354" s="10">
        <v>2300</v>
      </c>
      <c r="D354" s="186">
        <v>7.4443000000000001</v>
      </c>
      <c r="E354" s="39">
        <v>18.350000000000001</v>
      </c>
      <c r="F354" s="39">
        <f t="shared" si="52"/>
        <v>25083.110000000004</v>
      </c>
      <c r="G354" s="39">
        <f t="shared" si="53"/>
        <v>17121.89</v>
      </c>
      <c r="H354" s="175">
        <f t="shared" si="54"/>
        <v>1.4649732009725562</v>
      </c>
      <c r="I354" s="39"/>
      <c r="J354" s="39"/>
      <c r="K354" s="39">
        <f t="shared" si="55"/>
        <v>39698.681000001627</v>
      </c>
      <c r="L354" s="39">
        <v>66.42</v>
      </c>
    </row>
    <row r="355" spans="1:14" x14ac:dyDescent="0.25">
      <c r="A355">
        <v>300</v>
      </c>
      <c r="B355" s="147">
        <v>43402</v>
      </c>
      <c r="C355" s="10">
        <v>2300</v>
      </c>
      <c r="D355" s="186">
        <v>7.4443000000000001</v>
      </c>
      <c r="E355" s="39">
        <v>18.149999999999999</v>
      </c>
      <c r="F355" s="39">
        <f t="shared" si="52"/>
        <v>24623.109999999997</v>
      </c>
      <c r="G355" s="39">
        <f t="shared" si="53"/>
        <v>17121.89</v>
      </c>
      <c r="H355" s="175">
        <f t="shared" si="54"/>
        <v>1.4381070080464244</v>
      </c>
      <c r="I355" s="39"/>
      <c r="J355" s="39"/>
      <c r="K355" s="39">
        <f t="shared" si="55"/>
        <v>39238.681000001627</v>
      </c>
      <c r="L355" s="39">
        <v>66.63</v>
      </c>
      <c r="N355" s="67"/>
    </row>
    <row r="356" spans="1:14" x14ac:dyDescent="0.25">
      <c r="A356">
        <v>0</v>
      </c>
      <c r="B356" s="147">
        <v>43404</v>
      </c>
      <c r="C356" s="350">
        <v>2000</v>
      </c>
      <c r="D356" s="746">
        <v>5.6089000000000002</v>
      </c>
      <c r="E356" s="39">
        <v>18.989999999999998</v>
      </c>
      <c r="F356" s="39">
        <f t="shared" si="52"/>
        <v>26762.199999999997</v>
      </c>
      <c r="G356" s="39">
        <f t="shared" si="53"/>
        <v>11217.800000000001</v>
      </c>
      <c r="H356" s="175">
        <f t="shared" si="54"/>
        <v>2.3856905988696533</v>
      </c>
      <c r="I356" s="39"/>
      <c r="J356" s="39"/>
      <c r="K356" s="39">
        <f t="shared" si="55"/>
        <v>41377.771000001623</v>
      </c>
      <c r="L356" s="39">
        <v>64.95</v>
      </c>
    </row>
    <row r="357" spans="1:14" x14ac:dyDescent="0.25">
      <c r="A357">
        <v>0</v>
      </c>
      <c r="B357" s="147">
        <v>43405</v>
      </c>
      <c r="C357" s="10">
        <v>2000</v>
      </c>
      <c r="D357" s="186">
        <v>5.609</v>
      </c>
      <c r="E357" s="39">
        <v>18.61</v>
      </c>
      <c r="F357" s="39">
        <f t="shared" si="52"/>
        <v>26002</v>
      </c>
      <c r="G357" s="39">
        <f t="shared" si="53"/>
        <v>11218</v>
      </c>
      <c r="H357" s="175">
        <f t="shared" si="54"/>
        <v>2.3178819753966837</v>
      </c>
      <c r="I357" s="39"/>
      <c r="J357" s="39"/>
      <c r="K357" s="39">
        <f t="shared" si="55"/>
        <v>40617.571000001626</v>
      </c>
      <c r="L357" s="39">
        <v>63.55</v>
      </c>
    </row>
    <row r="358" spans="1:14" x14ac:dyDescent="0.25">
      <c r="A358">
        <v>0</v>
      </c>
      <c r="B358" s="147">
        <v>43406</v>
      </c>
      <c r="C358" s="10">
        <v>2000</v>
      </c>
      <c r="D358" s="186">
        <v>5.609</v>
      </c>
      <c r="E358" s="39">
        <v>18.21</v>
      </c>
      <c r="F358" s="39">
        <f t="shared" si="52"/>
        <v>25202</v>
      </c>
      <c r="G358" s="39">
        <f t="shared" si="53"/>
        <v>11218</v>
      </c>
      <c r="H358" s="175">
        <f t="shared" si="54"/>
        <v>2.2465680156890713</v>
      </c>
      <c r="I358" s="39"/>
      <c r="J358" s="39"/>
      <c r="K358" s="39">
        <f t="shared" si="55"/>
        <v>39817.571000001626</v>
      </c>
      <c r="L358" s="39">
        <v>62.85</v>
      </c>
    </row>
    <row r="359" spans="1:14" x14ac:dyDescent="0.25">
      <c r="A359">
        <v>1200</v>
      </c>
      <c r="B359" s="147">
        <v>43416</v>
      </c>
      <c r="C359" s="10">
        <v>2200</v>
      </c>
      <c r="D359" s="186">
        <v>6.6879999999999997</v>
      </c>
      <c r="E359" s="39">
        <v>17.260000000000002</v>
      </c>
      <c r="F359" s="39">
        <f t="shared" ref="F359:F367" si="56">C359*(E359-D359)</f>
        <v>23258.400000000005</v>
      </c>
      <c r="G359" s="39">
        <f t="shared" ref="G359:G367" si="57">D359*C359</f>
        <v>14713.599999999999</v>
      </c>
      <c r="H359" s="175">
        <f t="shared" ref="H359:H367" si="58">(E359-D359)/D359</f>
        <v>1.5807416267942589</v>
      </c>
      <c r="I359" s="39"/>
      <c r="J359" s="39"/>
      <c r="K359" s="39">
        <f t="shared" si="55"/>
        <v>37873.971000001635</v>
      </c>
      <c r="L359" s="39"/>
    </row>
    <row r="360" spans="1:14" x14ac:dyDescent="0.25">
      <c r="A360">
        <v>1200</v>
      </c>
      <c r="B360" s="147">
        <v>43417</v>
      </c>
      <c r="C360" s="10">
        <v>2200</v>
      </c>
      <c r="D360" s="186">
        <v>6.6879999999999997</v>
      </c>
      <c r="E360" s="39">
        <v>16.47</v>
      </c>
      <c r="F360" s="39">
        <f t="shared" si="56"/>
        <v>21520.400000000001</v>
      </c>
      <c r="G360" s="39">
        <f t="shared" si="57"/>
        <v>14713.599999999999</v>
      </c>
      <c r="H360" s="175">
        <f t="shared" si="58"/>
        <v>1.4626196172248804</v>
      </c>
      <c r="I360" s="39"/>
      <c r="J360" s="39"/>
      <c r="K360" s="39">
        <f t="shared" si="55"/>
        <v>36135.971000001628</v>
      </c>
      <c r="L360" s="39">
        <v>55.74</v>
      </c>
    </row>
    <row r="361" spans="1:14" x14ac:dyDescent="0.25">
      <c r="A361">
        <v>1200</v>
      </c>
      <c r="B361" s="147">
        <v>43418</v>
      </c>
      <c r="C361" s="10">
        <v>2200</v>
      </c>
      <c r="D361" s="186">
        <v>6.6879999999999997</v>
      </c>
      <c r="E361" s="39">
        <v>16.68</v>
      </c>
      <c r="F361" s="39">
        <f t="shared" si="56"/>
        <v>21982.400000000001</v>
      </c>
      <c r="G361" s="39">
        <f t="shared" si="57"/>
        <v>14713.599999999999</v>
      </c>
      <c r="H361" s="175">
        <f t="shared" si="58"/>
        <v>1.4940191387559811</v>
      </c>
      <c r="I361" s="39"/>
      <c r="J361" s="39"/>
      <c r="K361" s="39">
        <f t="shared" si="55"/>
        <v>36597.971000001628</v>
      </c>
      <c r="L361" s="39">
        <v>55.95</v>
      </c>
    </row>
    <row r="362" spans="1:14" x14ac:dyDescent="0.25">
      <c r="A362">
        <v>1200</v>
      </c>
      <c r="B362" s="147">
        <v>43420</v>
      </c>
      <c r="C362" s="10">
        <v>2200</v>
      </c>
      <c r="D362" s="186">
        <v>6.6879999999999997</v>
      </c>
      <c r="E362" s="39">
        <v>17.190000000000001</v>
      </c>
      <c r="F362" s="39">
        <f t="shared" si="56"/>
        <v>23104.400000000005</v>
      </c>
      <c r="G362" s="39">
        <f t="shared" si="57"/>
        <v>14713.599999999999</v>
      </c>
      <c r="H362" s="175">
        <f t="shared" si="58"/>
        <v>1.5702751196172253</v>
      </c>
      <c r="I362" s="39"/>
      <c r="J362" s="39"/>
      <c r="K362" s="39">
        <f t="shared" si="55"/>
        <v>37719.971000001635</v>
      </c>
      <c r="L362" s="39">
        <v>56.45</v>
      </c>
    </row>
    <row r="363" spans="1:14" x14ac:dyDescent="0.25">
      <c r="A363">
        <v>1200</v>
      </c>
      <c r="B363" s="147">
        <v>43424</v>
      </c>
      <c r="C363" s="10">
        <v>2400</v>
      </c>
      <c r="D363" s="186">
        <v>7.4790999999999999</v>
      </c>
      <c r="E363" s="39">
        <v>15.93</v>
      </c>
      <c r="F363" s="39">
        <f t="shared" si="56"/>
        <v>20282.160000000003</v>
      </c>
      <c r="G363" s="39">
        <f t="shared" si="57"/>
        <v>17949.84</v>
      </c>
      <c r="H363" s="175">
        <f t="shared" si="58"/>
        <v>1.1299354200371703</v>
      </c>
      <c r="I363" s="39"/>
      <c r="J363" s="39"/>
      <c r="K363" s="39">
        <f t="shared" ref="K363:K375" si="59">F363+$Q$10</f>
        <v>34897.73100000163</v>
      </c>
      <c r="L363" s="39">
        <v>53.55</v>
      </c>
    </row>
    <row r="364" spans="1:14" ht="15" customHeight="1" x14ac:dyDescent="0.25">
      <c r="A364">
        <v>1500</v>
      </c>
      <c r="B364" s="147">
        <v>43427</v>
      </c>
      <c r="C364" s="10">
        <v>2400</v>
      </c>
      <c r="D364" s="186">
        <v>7.4508000000000001</v>
      </c>
      <c r="E364" s="39">
        <v>15.48</v>
      </c>
      <c r="F364" s="39">
        <f t="shared" si="56"/>
        <v>19270.079999999998</v>
      </c>
      <c r="G364" s="39">
        <f t="shared" si="57"/>
        <v>17881.920000000002</v>
      </c>
      <c r="H364" s="175">
        <f t="shared" si="58"/>
        <v>1.0776292478660008</v>
      </c>
      <c r="I364" s="39"/>
      <c r="J364" s="39"/>
      <c r="K364" s="39">
        <f t="shared" si="59"/>
        <v>33885.651000001628</v>
      </c>
      <c r="L364" s="39">
        <v>51</v>
      </c>
    </row>
    <row r="365" spans="1:14" x14ac:dyDescent="0.25">
      <c r="A365">
        <v>1400</v>
      </c>
      <c r="B365" s="147">
        <v>43430</v>
      </c>
      <c r="C365" s="350">
        <v>2000</v>
      </c>
      <c r="D365" s="746">
        <v>5.7050000000000001</v>
      </c>
      <c r="E365" s="39">
        <v>16.23</v>
      </c>
      <c r="F365" s="39">
        <f t="shared" si="56"/>
        <v>21050</v>
      </c>
      <c r="G365" s="39">
        <f t="shared" si="57"/>
        <v>11410</v>
      </c>
      <c r="H365" s="175">
        <f t="shared" si="58"/>
        <v>1.8448729184925505</v>
      </c>
      <c r="I365" s="39" t="s">
        <v>1202</v>
      </c>
      <c r="J365" s="39"/>
      <c r="K365" s="39">
        <f t="shared" si="59"/>
        <v>35665.571000001626</v>
      </c>
      <c r="L365" s="39">
        <v>51.57</v>
      </c>
    </row>
    <row r="366" spans="1:14" x14ac:dyDescent="0.25">
      <c r="A366">
        <v>1200</v>
      </c>
      <c r="B366" s="147">
        <v>43434</v>
      </c>
      <c r="C366" s="10">
        <v>1800</v>
      </c>
      <c r="D366" s="186">
        <v>4.4855780000000003</v>
      </c>
      <c r="E366" s="39">
        <v>16.690000000000001</v>
      </c>
      <c r="F366" s="39">
        <f t="shared" si="56"/>
        <v>21967.959600000002</v>
      </c>
      <c r="G366" s="39">
        <f t="shared" si="57"/>
        <v>8074.0404000000008</v>
      </c>
      <c r="H366" s="175">
        <f t="shared" si="58"/>
        <v>2.7208136833201877</v>
      </c>
      <c r="I366" s="39"/>
      <c r="J366" s="39"/>
      <c r="K366" s="39">
        <f t="shared" si="59"/>
        <v>36583.530600001628</v>
      </c>
      <c r="L366" s="39">
        <v>50.55</v>
      </c>
    </row>
    <row r="367" spans="1:14" x14ac:dyDescent="0.25">
      <c r="A367">
        <v>1200</v>
      </c>
      <c r="B367" s="147">
        <v>43440</v>
      </c>
      <c r="C367" s="350">
        <v>2000</v>
      </c>
      <c r="D367" s="746">
        <v>5.6120000000000001</v>
      </c>
      <c r="E367" s="39">
        <v>16.22</v>
      </c>
      <c r="F367" s="39">
        <f t="shared" si="56"/>
        <v>21215.999999999996</v>
      </c>
      <c r="G367" s="39">
        <f t="shared" si="57"/>
        <v>11224</v>
      </c>
      <c r="H367" s="175">
        <f t="shared" si="58"/>
        <v>1.8902352102637203</v>
      </c>
      <c r="I367" s="39"/>
      <c r="J367" s="39"/>
      <c r="K367" s="39">
        <f t="shared" si="59"/>
        <v>35831.571000001626</v>
      </c>
      <c r="L367" s="39">
        <v>51.17</v>
      </c>
    </row>
    <row r="368" spans="1:14" x14ac:dyDescent="0.25">
      <c r="A368">
        <v>1000</v>
      </c>
      <c r="B368" s="147">
        <v>43441</v>
      </c>
      <c r="C368" s="350">
        <v>2000</v>
      </c>
      <c r="D368" s="746">
        <v>5.5549999999999997</v>
      </c>
      <c r="E368" s="39">
        <v>16.05</v>
      </c>
      <c r="F368" s="39">
        <f t="shared" ref="F368:F387" si="60">C368*(E368-D368)</f>
        <v>20990.000000000004</v>
      </c>
      <c r="G368" s="39">
        <f t="shared" ref="G368:G387" si="61">D368*C368</f>
        <v>11110</v>
      </c>
      <c r="H368" s="175">
        <f t="shared" ref="H368:H387" si="62">(E368-D368)/D368</f>
        <v>1.8892889288928896</v>
      </c>
      <c r="I368" s="39"/>
      <c r="J368" s="39"/>
      <c r="K368" s="39">
        <f t="shared" si="59"/>
        <v>35605.571000001626</v>
      </c>
      <c r="L368" s="39">
        <v>52.2</v>
      </c>
    </row>
    <row r="369" spans="1:12" x14ac:dyDescent="0.25">
      <c r="A369">
        <v>1000</v>
      </c>
      <c r="B369" s="147">
        <v>43444</v>
      </c>
      <c r="C369" s="350">
        <v>2000</v>
      </c>
      <c r="D369" s="746">
        <v>5.5</v>
      </c>
      <c r="E369" s="39">
        <v>15.3</v>
      </c>
      <c r="F369" s="39">
        <f t="shared" si="60"/>
        <v>19600</v>
      </c>
      <c r="G369" s="39">
        <f t="shared" si="61"/>
        <v>11000</v>
      </c>
      <c r="H369" s="175">
        <f t="shared" si="62"/>
        <v>1.781818181818182</v>
      </c>
      <c r="I369" s="39"/>
      <c r="J369" s="39"/>
      <c r="K369" s="39">
        <f t="shared" si="59"/>
        <v>34215.571000001626</v>
      </c>
      <c r="L369" s="39">
        <v>50.88</v>
      </c>
    </row>
    <row r="370" spans="1:12" x14ac:dyDescent="0.25">
      <c r="A370">
        <v>1200</v>
      </c>
      <c r="B370" s="147">
        <v>43448</v>
      </c>
      <c r="C370" s="10">
        <v>2200</v>
      </c>
      <c r="D370" s="186">
        <v>6.3646000000000003</v>
      </c>
      <c r="E370" s="39">
        <v>15.04</v>
      </c>
      <c r="F370" s="39">
        <f t="shared" si="60"/>
        <v>19085.88</v>
      </c>
      <c r="G370" s="39">
        <f t="shared" si="61"/>
        <v>14002.12</v>
      </c>
      <c r="H370" s="175">
        <f t="shared" si="62"/>
        <v>1.3630707350029851</v>
      </c>
      <c r="I370" s="39"/>
      <c r="J370" s="39"/>
      <c r="K370" s="39">
        <f t="shared" si="59"/>
        <v>33701.451000001631</v>
      </c>
      <c r="L370" s="39"/>
    </row>
    <row r="371" spans="1:12" x14ac:dyDescent="0.25">
      <c r="A371">
        <v>1200</v>
      </c>
      <c r="B371" s="147">
        <v>43452</v>
      </c>
      <c r="C371" s="10">
        <v>2400</v>
      </c>
      <c r="D371" s="186">
        <v>7.0259999999999998</v>
      </c>
      <c r="E371" s="39">
        <v>14.24</v>
      </c>
      <c r="F371" s="39">
        <f t="shared" si="60"/>
        <v>17313.600000000002</v>
      </c>
      <c r="G371" s="39">
        <f t="shared" si="61"/>
        <v>16862.399999999998</v>
      </c>
      <c r="H371" s="175">
        <f t="shared" si="62"/>
        <v>1.026757756902932</v>
      </c>
      <c r="I371" s="39"/>
      <c r="J371" s="39"/>
      <c r="K371" s="39">
        <f t="shared" si="59"/>
        <v>31929.171000001628</v>
      </c>
      <c r="L371" s="39">
        <v>46.65</v>
      </c>
    </row>
    <row r="372" spans="1:12" x14ac:dyDescent="0.25">
      <c r="A372">
        <v>1600</v>
      </c>
      <c r="B372" s="147">
        <v>43458</v>
      </c>
      <c r="C372" s="10">
        <v>2600</v>
      </c>
      <c r="D372" s="186">
        <v>7.4684999999999997</v>
      </c>
      <c r="E372" s="39">
        <v>12.66</v>
      </c>
      <c r="F372" s="39">
        <f t="shared" si="60"/>
        <v>13497.900000000001</v>
      </c>
      <c r="G372" s="39">
        <f t="shared" si="61"/>
        <v>19418.099999999999</v>
      </c>
      <c r="H372" s="175">
        <f t="shared" si="62"/>
        <v>0.69511950190801375</v>
      </c>
      <c r="I372" s="39"/>
      <c r="J372" s="39"/>
      <c r="K372" s="39">
        <f t="shared" si="59"/>
        <v>28113.471000001628</v>
      </c>
      <c r="L372" s="39">
        <v>42.81</v>
      </c>
    </row>
    <row r="373" spans="1:12" x14ac:dyDescent="0.25">
      <c r="A373">
        <v>1400</v>
      </c>
      <c r="B373" s="147">
        <v>43460</v>
      </c>
      <c r="C373" s="10">
        <v>2400</v>
      </c>
      <c r="D373" s="186">
        <v>6.9924999999999997</v>
      </c>
      <c r="E373" s="39">
        <v>14.17</v>
      </c>
      <c r="F373" s="39">
        <f t="shared" si="60"/>
        <v>17226</v>
      </c>
      <c r="G373" s="39">
        <f t="shared" si="61"/>
        <v>16782</v>
      </c>
      <c r="H373" s="175">
        <f t="shared" si="62"/>
        <v>1.0264569181265641</v>
      </c>
      <c r="I373" s="39"/>
      <c r="J373" s="39"/>
      <c r="K373" s="39">
        <f t="shared" si="59"/>
        <v>31841.571000001626</v>
      </c>
      <c r="L373" s="39">
        <v>46.07</v>
      </c>
    </row>
    <row r="374" spans="1:12" x14ac:dyDescent="0.25">
      <c r="A374">
        <v>1000</v>
      </c>
      <c r="B374" s="147">
        <v>43467</v>
      </c>
      <c r="C374" s="350">
        <v>2000</v>
      </c>
      <c r="D374" s="746">
        <v>5.4410999999999996</v>
      </c>
      <c r="E374" s="39">
        <v>14.72</v>
      </c>
      <c r="F374" s="39">
        <f t="shared" si="60"/>
        <v>18557.8</v>
      </c>
      <c r="G374" s="39">
        <f t="shared" si="61"/>
        <v>10882.199999999999</v>
      </c>
      <c r="H374" s="175">
        <f t="shared" si="62"/>
        <v>1.7053353182260942</v>
      </c>
      <c r="I374" s="39"/>
      <c r="J374" s="39"/>
      <c r="K374" s="39">
        <f t="shared" si="59"/>
        <v>33173.371000001629</v>
      </c>
      <c r="L374" s="39">
        <v>45.99</v>
      </c>
    </row>
    <row r="375" spans="1:12" x14ac:dyDescent="0.25">
      <c r="B375" s="147">
        <v>43468</v>
      </c>
      <c r="C375" s="10">
        <v>2400</v>
      </c>
      <c r="D375" s="186">
        <v>6.9425999999999997</v>
      </c>
      <c r="E375" s="39">
        <v>14.62</v>
      </c>
      <c r="F375" s="39">
        <f t="shared" si="60"/>
        <v>18425.759999999998</v>
      </c>
      <c r="G375" s="39">
        <f t="shared" si="61"/>
        <v>16662.239999999998</v>
      </c>
      <c r="H375" s="175">
        <f t="shared" si="62"/>
        <v>1.1058393109209805</v>
      </c>
      <c r="I375" s="39"/>
      <c r="J375" s="39"/>
      <c r="K375" s="39">
        <f t="shared" si="59"/>
        <v>33041.331000001621</v>
      </c>
      <c r="L375" s="39"/>
    </row>
    <row r="376" spans="1:12" x14ac:dyDescent="0.25">
      <c r="A376">
        <v>600</v>
      </c>
      <c r="B376" s="147">
        <v>43468</v>
      </c>
      <c r="C376" s="350">
        <v>2000</v>
      </c>
      <c r="D376" s="746">
        <v>5.3551000000000002</v>
      </c>
      <c r="E376" s="39">
        <v>14.62</v>
      </c>
      <c r="F376" s="39">
        <f t="shared" si="60"/>
        <v>18529.8</v>
      </c>
      <c r="G376" s="39">
        <f t="shared" si="61"/>
        <v>10710.2</v>
      </c>
      <c r="H376" s="175">
        <f t="shared" si="62"/>
        <v>1.7301077477544768</v>
      </c>
      <c r="I376" s="39"/>
      <c r="J376" s="39"/>
      <c r="K376" s="39">
        <f t="shared" ref="K376:K383" si="63">F376+$Q$10</f>
        <v>33145.371000001629</v>
      </c>
      <c r="L376" s="39">
        <v>47.06</v>
      </c>
    </row>
    <row r="377" spans="1:12" x14ac:dyDescent="0.25">
      <c r="A377">
        <v>1000</v>
      </c>
      <c r="B377" s="147">
        <v>43470</v>
      </c>
      <c r="C377" s="10">
        <v>2000</v>
      </c>
      <c r="D377" s="186">
        <v>5.3550000000000004</v>
      </c>
      <c r="E377" s="39">
        <v>15.41</v>
      </c>
      <c r="F377" s="39">
        <f t="shared" si="60"/>
        <v>20110</v>
      </c>
      <c r="G377" s="39">
        <f t="shared" si="61"/>
        <v>10710</v>
      </c>
      <c r="H377" s="175">
        <f t="shared" si="62"/>
        <v>1.8776844070961716</v>
      </c>
      <c r="I377" s="39"/>
      <c r="J377" s="39"/>
      <c r="K377" s="39">
        <f t="shared" si="63"/>
        <v>34725.571000001626</v>
      </c>
      <c r="L377" s="39"/>
    </row>
    <row r="378" spans="1:12" x14ac:dyDescent="0.25">
      <c r="A378">
        <v>800</v>
      </c>
      <c r="B378" s="147">
        <v>43475</v>
      </c>
      <c r="C378" s="10">
        <v>1800</v>
      </c>
      <c r="D378" s="186">
        <v>4.1368</v>
      </c>
      <c r="E378" s="39">
        <v>16.350000000000001</v>
      </c>
      <c r="F378" s="39">
        <f t="shared" si="60"/>
        <v>21983.760000000002</v>
      </c>
      <c r="G378" s="39">
        <f t="shared" si="61"/>
        <v>7446.24</v>
      </c>
      <c r="H378" s="175">
        <f t="shared" si="62"/>
        <v>2.9523303036163218</v>
      </c>
      <c r="I378" s="39"/>
      <c r="J378" s="39"/>
      <c r="K378" s="39">
        <f t="shared" si="63"/>
        <v>36599.331000001628</v>
      </c>
      <c r="L378" s="39">
        <v>52.2</v>
      </c>
    </row>
    <row r="379" spans="1:12" x14ac:dyDescent="0.25">
      <c r="A379">
        <v>1000</v>
      </c>
      <c r="B379" s="147">
        <v>43479</v>
      </c>
      <c r="C379" s="350">
        <v>2000</v>
      </c>
      <c r="D379" s="746">
        <v>5.3029999999999999</v>
      </c>
      <c r="E379" s="39">
        <v>15.83</v>
      </c>
      <c r="F379" s="39">
        <f t="shared" si="60"/>
        <v>21054.000000000004</v>
      </c>
      <c r="G379" s="39">
        <f t="shared" si="61"/>
        <v>10606</v>
      </c>
      <c r="H379" s="175">
        <f t="shared" si="62"/>
        <v>1.9851027720158403</v>
      </c>
      <c r="I379" s="39"/>
      <c r="J379" s="39"/>
      <c r="K379" s="39">
        <f t="shared" si="63"/>
        <v>35669.571000001626</v>
      </c>
      <c r="L379" s="39">
        <v>51.11</v>
      </c>
    </row>
    <row r="380" spans="1:12" x14ac:dyDescent="0.25">
      <c r="A380">
        <v>1000</v>
      </c>
      <c r="B380" s="147">
        <v>43483</v>
      </c>
      <c r="C380" s="10">
        <v>1800</v>
      </c>
      <c r="D380" s="186">
        <v>4.1135000000000002</v>
      </c>
      <c r="E380" s="39">
        <v>16.010000000000002</v>
      </c>
      <c r="F380" s="39">
        <f t="shared" si="60"/>
        <v>21413.7</v>
      </c>
      <c r="G380" s="39">
        <f t="shared" si="61"/>
        <v>7404.3</v>
      </c>
      <c r="H380" s="175">
        <f t="shared" si="62"/>
        <v>2.8920627203111708</v>
      </c>
      <c r="I380" s="39"/>
      <c r="J380" s="39"/>
      <c r="K380" s="39">
        <f t="shared" si="63"/>
        <v>36029.271000001623</v>
      </c>
      <c r="L380" s="39"/>
    </row>
    <row r="381" spans="1:12" x14ac:dyDescent="0.25">
      <c r="A381">
        <v>1000</v>
      </c>
      <c r="B381" s="147">
        <v>43487</v>
      </c>
      <c r="C381" s="350">
        <v>2000</v>
      </c>
      <c r="D381" s="746">
        <v>5.27</v>
      </c>
      <c r="E381" s="39">
        <v>15.69</v>
      </c>
      <c r="F381" s="39">
        <f t="shared" si="60"/>
        <v>20840</v>
      </c>
      <c r="G381" s="39">
        <f t="shared" si="61"/>
        <v>10540</v>
      </c>
      <c r="H381" s="175">
        <f t="shared" si="62"/>
        <v>1.9772296015180266</v>
      </c>
      <c r="I381" s="39"/>
      <c r="J381" s="39"/>
      <c r="K381" s="39">
        <f t="shared" si="63"/>
        <v>35455.571000001626</v>
      </c>
      <c r="L381" s="39">
        <v>53.01</v>
      </c>
    </row>
    <row r="382" spans="1:12" x14ac:dyDescent="0.25">
      <c r="A382">
        <v>1000</v>
      </c>
      <c r="B382" s="147">
        <v>43490</v>
      </c>
      <c r="C382" s="10">
        <v>1800</v>
      </c>
      <c r="D382" s="186">
        <v>4.0690999999999997</v>
      </c>
      <c r="E382" s="39">
        <v>15.9</v>
      </c>
      <c r="F382" s="39">
        <f t="shared" si="60"/>
        <v>21295.62</v>
      </c>
      <c r="G382" s="39">
        <f t="shared" si="61"/>
        <v>7324.3799999999992</v>
      </c>
      <c r="H382" s="175">
        <f t="shared" si="62"/>
        <v>2.907497972524637</v>
      </c>
      <c r="I382" s="39"/>
      <c r="J382" s="39"/>
      <c r="K382" s="39">
        <f t="shared" si="63"/>
        <v>35911.191000001621</v>
      </c>
      <c r="L382" s="39">
        <v>53.55</v>
      </c>
    </row>
    <row r="383" spans="1:12" x14ac:dyDescent="0.25">
      <c r="A383">
        <v>1000</v>
      </c>
      <c r="B383" s="147">
        <v>43496</v>
      </c>
      <c r="C383" s="350">
        <v>2000</v>
      </c>
      <c r="D383" s="746">
        <v>5.242</v>
      </c>
      <c r="E383" s="39">
        <v>15.8</v>
      </c>
      <c r="F383" s="39">
        <f t="shared" si="60"/>
        <v>21116</v>
      </c>
      <c r="G383" s="39">
        <f t="shared" si="61"/>
        <v>10484</v>
      </c>
      <c r="H383" s="175">
        <f t="shared" si="62"/>
        <v>2.0141167493323158</v>
      </c>
      <c r="I383" s="39"/>
      <c r="J383" s="39"/>
      <c r="K383" s="39">
        <f t="shared" si="63"/>
        <v>35731.571000001626</v>
      </c>
      <c r="L383" s="39"/>
    </row>
    <row r="384" spans="1:12" x14ac:dyDescent="0.25">
      <c r="A384">
        <v>1400</v>
      </c>
      <c r="B384" s="147">
        <v>43498</v>
      </c>
      <c r="C384" s="10">
        <v>2200</v>
      </c>
      <c r="D384" s="186">
        <v>6.2388000000000003</v>
      </c>
      <c r="E384" s="39">
        <v>16</v>
      </c>
      <c r="F384" s="39">
        <f t="shared" si="60"/>
        <v>21474.639999999996</v>
      </c>
      <c r="G384" s="39">
        <f t="shared" si="61"/>
        <v>13725.36</v>
      </c>
      <c r="H384" s="175">
        <f t="shared" si="62"/>
        <v>1.5645957555940242</v>
      </c>
      <c r="I384" s="39"/>
      <c r="J384" s="39"/>
      <c r="K384" s="39">
        <f t="shared" ref="K384:K390" si="64">F384+$Q$10</f>
        <v>36090.211000001626</v>
      </c>
      <c r="L384" s="39">
        <v>55.26</v>
      </c>
    </row>
    <row r="385" spans="1:12" ht="15" customHeight="1" x14ac:dyDescent="0.25">
      <c r="A385">
        <v>1400</v>
      </c>
      <c r="B385" s="147">
        <v>43503</v>
      </c>
      <c r="C385" s="10">
        <v>2400</v>
      </c>
      <c r="D385" s="186">
        <v>6.9870000000000001</v>
      </c>
      <c r="E385" s="39">
        <v>15.27</v>
      </c>
      <c r="F385" s="39">
        <f t="shared" si="60"/>
        <v>19879.199999999997</v>
      </c>
      <c r="G385" s="39">
        <f t="shared" si="61"/>
        <v>16768.8</v>
      </c>
      <c r="H385" s="175">
        <f t="shared" si="62"/>
        <v>1.185487333619579</v>
      </c>
      <c r="I385" s="39" t="s">
        <v>1202</v>
      </c>
      <c r="J385" s="39"/>
      <c r="K385" s="39">
        <f t="shared" si="64"/>
        <v>34494.771000001623</v>
      </c>
      <c r="L385" s="39">
        <v>52.48</v>
      </c>
    </row>
    <row r="386" spans="1:12" x14ac:dyDescent="0.25">
      <c r="A386">
        <v>1000</v>
      </c>
      <c r="B386" s="147">
        <v>43510</v>
      </c>
      <c r="C386" s="350">
        <v>2000</v>
      </c>
      <c r="D386" s="746">
        <v>5.109</v>
      </c>
      <c r="E386" s="39">
        <v>16.91</v>
      </c>
      <c r="F386" s="39">
        <f t="shared" si="60"/>
        <v>23602</v>
      </c>
      <c r="G386" s="39">
        <f t="shared" si="61"/>
        <v>10218</v>
      </c>
      <c r="H386" s="175">
        <f t="shared" si="62"/>
        <v>2.3098453709140734</v>
      </c>
      <c r="I386" s="39"/>
      <c r="J386" s="39"/>
      <c r="K386" s="39">
        <f t="shared" si="64"/>
        <v>38217.571000001626</v>
      </c>
      <c r="L386" s="39">
        <v>54.6</v>
      </c>
    </row>
    <row r="387" spans="1:12" x14ac:dyDescent="0.25">
      <c r="A387">
        <v>1000</v>
      </c>
      <c r="B387" s="147">
        <v>43510</v>
      </c>
      <c r="C387" s="10">
        <v>1800</v>
      </c>
      <c r="D387" s="186">
        <v>3.79</v>
      </c>
      <c r="E387" s="39">
        <v>16.91</v>
      </c>
      <c r="F387" s="39">
        <f t="shared" si="60"/>
        <v>23616</v>
      </c>
      <c r="G387" s="39">
        <f t="shared" si="61"/>
        <v>6822</v>
      </c>
      <c r="H387" s="175">
        <f t="shared" si="62"/>
        <v>3.4617414248021112</v>
      </c>
      <c r="I387" s="39"/>
      <c r="J387" s="39"/>
      <c r="K387" s="39">
        <f t="shared" si="64"/>
        <v>38231.571000001626</v>
      </c>
      <c r="L387" s="39">
        <v>54.6</v>
      </c>
    </row>
    <row r="388" spans="1:12" x14ac:dyDescent="0.25">
      <c r="A388">
        <v>1800</v>
      </c>
      <c r="B388" s="147">
        <v>43535</v>
      </c>
      <c r="C388" s="10">
        <v>1800</v>
      </c>
      <c r="D388" s="186">
        <v>3.74</v>
      </c>
      <c r="E388" s="39">
        <v>16.57</v>
      </c>
      <c r="F388" s="39">
        <f t="shared" ref="F388:F396" si="65">C388*(E388-D388)</f>
        <v>23094</v>
      </c>
      <c r="G388" s="39">
        <f t="shared" ref="G388:G396" si="66">D388*C388</f>
        <v>6732</v>
      </c>
      <c r="H388" s="175">
        <f t="shared" ref="H388:H396" si="67">(E388-D388)/D388</f>
        <v>3.4304812834224596</v>
      </c>
      <c r="I388" s="39"/>
      <c r="J388" s="39"/>
      <c r="K388" s="39">
        <f t="shared" si="64"/>
        <v>37709.571000001626</v>
      </c>
      <c r="L388" s="39"/>
    </row>
    <row r="389" spans="1:12" x14ac:dyDescent="0.25">
      <c r="A389">
        <v>1700</v>
      </c>
      <c r="B389" s="147">
        <v>43544</v>
      </c>
      <c r="C389" s="10">
        <v>1700</v>
      </c>
      <c r="D389" s="186">
        <v>2.92</v>
      </c>
      <c r="E389" s="39">
        <v>17.68</v>
      </c>
      <c r="F389" s="39">
        <f t="shared" si="65"/>
        <v>25092</v>
      </c>
      <c r="G389" s="39">
        <f t="shared" si="66"/>
        <v>4964</v>
      </c>
      <c r="H389" s="175">
        <f t="shared" si="67"/>
        <v>5.0547945205479454</v>
      </c>
      <c r="I389" s="39"/>
      <c r="J389" s="39"/>
      <c r="K389" s="39">
        <f t="shared" si="64"/>
        <v>39707.571000001626</v>
      </c>
      <c r="L389" s="39"/>
    </row>
    <row r="390" spans="1:12" x14ac:dyDescent="0.25">
      <c r="A390">
        <v>1700</v>
      </c>
      <c r="B390" s="147">
        <v>43546</v>
      </c>
      <c r="C390" s="10">
        <v>1800</v>
      </c>
      <c r="D390" s="186">
        <v>3.7111999999999998</v>
      </c>
      <c r="E390" s="39">
        <v>16.68</v>
      </c>
      <c r="F390" s="39">
        <f t="shared" si="65"/>
        <v>23343.84</v>
      </c>
      <c r="G390" s="39">
        <f t="shared" si="66"/>
        <v>6680.16</v>
      </c>
      <c r="H390" s="175">
        <f t="shared" si="67"/>
        <v>3.4945031256736367</v>
      </c>
      <c r="I390" s="39"/>
      <c r="J390" s="39"/>
      <c r="K390" s="39">
        <f t="shared" si="64"/>
        <v>37959.411000001623</v>
      </c>
      <c r="L390" s="39">
        <v>58.84</v>
      </c>
    </row>
    <row r="391" spans="1:12" x14ac:dyDescent="0.25">
      <c r="A391">
        <v>1700</v>
      </c>
      <c r="B391" s="147">
        <v>43546</v>
      </c>
      <c r="C391" s="350">
        <v>2000</v>
      </c>
      <c r="D391" s="746">
        <v>5.0152999999999999</v>
      </c>
      <c r="E391" s="39">
        <v>16.68</v>
      </c>
      <c r="F391" s="39">
        <f t="shared" si="65"/>
        <v>23329.4</v>
      </c>
      <c r="G391" s="39">
        <f t="shared" si="66"/>
        <v>10030.6</v>
      </c>
      <c r="H391" s="175">
        <f t="shared" si="67"/>
        <v>2.3258229816760712</v>
      </c>
      <c r="I391" s="39"/>
      <c r="J391" s="39"/>
      <c r="K391" s="39">
        <f t="shared" ref="K391:K396" si="68">F391+$Q$10</f>
        <v>37944.971000001628</v>
      </c>
      <c r="L391" s="39">
        <v>58.84</v>
      </c>
    </row>
    <row r="392" spans="1:12" x14ac:dyDescent="0.25">
      <c r="A392">
        <v>1400</v>
      </c>
      <c r="B392" s="147">
        <v>43556</v>
      </c>
      <c r="C392" s="10">
        <v>1700</v>
      </c>
      <c r="D392" s="186">
        <v>2.84</v>
      </c>
      <c r="E392" s="39">
        <v>17.39</v>
      </c>
      <c r="F392" s="39">
        <f t="shared" si="65"/>
        <v>24735</v>
      </c>
      <c r="G392" s="39">
        <f t="shared" si="66"/>
        <v>4828</v>
      </c>
      <c r="H392" s="175">
        <f t="shared" si="67"/>
        <v>5.1232394366197189</v>
      </c>
      <c r="I392" s="39"/>
      <c r="J392" s="39"/>
      <c r="K392" s="39">
        <f t="shared" si="68"/>
        <v>39350.571000001626</v>
      </c>
      <c r="L392" s="39">
        <v>61.69</v>
      </c>
    </row>
    <row r="393" spans="1:12" x14ac:dyDescent="0.25">
      <c r="A393">
        <v>1400</v>
      </c>
      <c r="B393" s="147">
        <v>43558</v>
      </c>
      <c r="C393" s="350">
        <v>2000</v>
      </c>
      <c r="D393" s="746">
        <v>4.9612999999999996</v>
      </c>
      <c r="E393" s="39">
        <v>16.93</v>
      </c>
      <c r="F393" s="39">
        <f t="shared" si="65"/>
        <v>23937.4</v>
      </c>
      <c r="G393" s="39">
        <f t="shared" si="66"/>
        <v>9922.5999999999985</v>
      </c>
      <c r="H393" s="175">
        <f t="shared" si="67"/>
        <v>2.4124120694172899</v>
      </c>
      <c r="I393" s="39"/>
      <c r="J393" s="39"/>
      <c r="K393" s="39">
        <f t="shared" si="68"/>
        <v>38552.971000001628</v>
      </c>
      <c r="L393" s="39"/>
    </row>
    <row r="394" spans="1:12" x14ac:dyDescent="0.25">
      <c r="A394">
        <v>1100</v>
      </c>
      <c r="B394" s="147">
        <v>43560</v>
      </c>
      <c r="C394" s="10">
        <v>1700</v>
      </c>
      <c r="D394" s="186">
        <v>2.72</v>
      </c>
      <c r="E394" s="39">
        <v>17.7</v>
      </c>
      <c r="F394" s="39">
        <f t="shared" si="65"/>
        <v>25465.999999999996</v>
      </c>
      <c r="G394" s="39">
        <f t="shared" si="66"/>
        <v>4624</v>
      </c>
      <c r="H394" s="175">
        <f t="shared" si="67"/>
        <v>5.5073529411764701</v>
      </c>
      <c r="I394" s="39"/>
      <c r="J394" s="39"/>
      <c r="K394" s="39">
        <f t="shared" si="68"/>
        <v>40081.571000001626</v>
      </c>
      <c r="L394" s="39">
        <v>63.25</v>
      </c>
    </row>
    <row r="395" spans="1:12" x14ac:dyDescent="0.25">
      <c r="B395" s="147">
        <v>43566</v>
      </c>
      <c r="C395" s="10">
        <v>1900</v>
      </c>
      <c r="D395" s="186">
        <v>4.24</v>
      </c>
      <c r="E395" s="39">
        <v>17.190000000000001</v>
      </c>
      <c r="F395" s="39">
        <f t="shared" si="65"/>
        <v>24605.000000000004</v>
      </c>
      <c r="G395" s="39">
        <f t="shared" si="66"/>
        <v>8056</v>
      </c>
      <c r="H395" s="175">
        <f t="shared" si="67"/>
        <v>3.0542452830188682</v>
      </c>
      <c r="I395" s="39"/>
      <c r="J395" s="39"/>
      <c r="K395" s="39">
        <f t="shared" si="68"/>
        <v>39220.571000001626</v>
      </c>
      <c r="L395" s="39">
        <v>63.68</v>
      </c>
    </row>
    <row r="396" spans="1:12" x14ac:dyDescent="0.25">
      <c r="A396">
        <v>900</v>
      </c>
      <c r="B396" s="147">
        <v>43572</v>
      </c>
      <c r="C396" s="10">
        <v>1700</v>
      </c>
      <c r="D396" s="186">
        <v>2.645</v>
      </c>
      <c r="E396" s="39">
        <v>17.739999999999998</v>
      </c>
      <c r="F396" s="39">
        <f t="shared" si="65"/>
        <v>25661.499999999996</v>
      </c>
      <c r="G396" s="39">
        <f t="shared" si="66"/>
        <v>4496.5</v>
      </c>
      <c r="H396" s="175">
        <f t="shared" si="67"/>
        <v>5.7069943289224945</v>
      </c>
      <c r="I396" s="39"/>
      <c r="J396" s="39"/>
      <c r="K396" s="39">
        <f t="shared" si="68"/>
        <v>40277.071000001626</v>
      </c>
      <c r="L396" s="39"/>
    </row>
    <row r="397" spans="1:12" x14ac:dyDescent="0.25">
      <c r="A397">
        <v>1000</v>
      </c>
      <c r="B397" s="147">
        <v>43577</v>
      </c>
      <c r="C397" s="10">
        <v>1500</v>
      </c>
      <c r="D397" s="186">
        <v>0.49</v>
      </c>
      <c r="E397" s="39">
        <v>18.78</v>
      </c>
      <c r="F397" s="39">
        <f t="shared" ref="F397" si="69">C397*(E397-D397)</f>
        <v>27435.000000000004</v>
      </c>
      <c r="G397" s="39">
        <f t="shared" ref="G397" si="70">D397*C397</f>
        <v>735</v>
      </c>
      <c r="H397" s="175">
        <f t="shared" ref="H397" si="71">(E397-D397)/D397</f>
        <v>37.326530612244902</v>
      </c>
      <c r="I397" s="39"/>
      <c r="J397" s="39"/>
      <c r="K397" s="39">
        <f t="shared" ref="K397" si="72">F397+$Q$10</f>
        <v>42050.571000001626</v>
      </c>
      <c r="L397" s="39">
        <v>65.59</v>
      </c>
    </row>
    <row r="398" spans="1:12" x14ac:dyDescent="0.25">
      <c r="B398" s="147">
        <v>43579</v>
      </c>
      <c r="C398" s="10">
        <v>1700</v>
      </c>
      <c r="D398" s="186">
        <v>2.5950000000000002</v>
      </c>
      <c r="E398" s="39">
        <v>18.149999999999999</v>
      </c>
      <c r="F398" s="39">
        <f t="shared" ref="F398:F401" si="73">C398*(E398-D398)</f>
        <v>26443.499999999996</v>
      </c>
      <c r="G398" s="39">
        <f t="shared" ref="G398:G401" si="74">D398*C398</f>
        <v>4411.5</v>
      </c>
      <c r="H398" s="175">
        <f t="shared" ref="H398:H401" si="75">(E398-D398)/D398</f>
        <v>5.9942196531791891</v>
      </c>
      <c r="I398" s="39"/>
      <c r="J398" s="39"/>
      <c r="K398" s="39">
        <f t="shared" ref="K398:K401" si="76">F398+$Q$10</f>
        <v>41059.071000001626</v>
      </c>
      <c r="L398" s="39"/>
    </row>
    <row r="399" spans="1:12" x14ac:dyDescent="0.25">
      <c r="A399">
        <v>1000</v>
      </c>
      <c r="B399" s="147">
        <v>43583</v>
      </c>
      <c r="C399" s="350">
        <v>2000</v>
      </c>
      <c r="D399" s="746">
        <v>4.83</v>
      </c>
      <c r="E399" s="39">
        <v>17.38</v>
      </c>
      <c r="F399" s="39">
        <f t="shared" si="73"/>
        <v>25099.999999999996</v>
      </c>
      <c r="G399" s="39">
        <f t="shared" si="74"/>
        <v>9660</v>
      </c>
      <c r="H399" s="175">
        <f t="shared" si="75"/>
        <v>2.5983436853002067</v>
      </c>
      <c r="I399" s="39"/>
      <c r="J399" s="39"/>
      <c r="K399" s="39">
        <f t="shared" si="76"/>
        <v>39715.571000001626</v>
      </c>
      <c r="L399" s="39">
        <v>63.3</v>
      </c>
    </row>
    <row r="400" spans="1:12" x14ac:dyDescent="0.25">
      <c r="A400">
        <v>1000</v>
      </c>
      <c r="B400" s="147">
        <v>43586</v>
      </c>
      <c r="C400" s="10">
        <v>2200</v>
      </c>
      <c r="D400" s="186">
        <v>5.9</v>
      </c>
      <c r="E400" s="39">
        <v>16.53</v>
      </c>
      <c r="F400" s="39">
        <f t="shared" si="73"/>
        <v>23386</v>
      </c>
      <c r="G400" s="39">
        <f t="shared" si="74"/>
        <v>12980</v>
      </c>
      <c r="H400" s="175">
        <f t="shared" si="75"/>
        <v>1.8016949152542374</v>
      </c>
      <c r="I400" s="39"/>
      <c r="J400" s="39"/>
      <c r="K400" s="39">
        <f t="shared" si="76"/>
        <v>38001.571000001626</v>
      </c>
      <c r="L400" s="39">
        <v>63.54</v>
      </c>
    </row>
    <row r="401" spans="1:12" x14ac:dyDescent="0.25">
      <c r="A401">
        <v>1000</v>
      </c>
      <c r="B401" s="147">
        <v>43587</v>
      </c>
      <c r="C401" s="10">
        <v>2800</v>
      </c>
      <c r="D401" s="186">
        <v>8.0139999999999993</v>
      </c>
      <c r="E401" s="39">
        <v>15.52</v>
      </c>
      <c r="F401" s="39">
        <f t="shared" si="73"/>
        <v>21016.799999999999</v>
      </c>
      <c r="G401" s="39">
        <f t="shared" si="74"/>
        <v>22439.199999999997</v>
      </c>
      <c r="H401" s="175">
        <f t="shared" si="75"/>
        <v>0.93661093087097591</v>
      </c>
      <c r="I401" s="39"/>
      <c r="J401" s="39"/>
      <c r="K401" s="39">
        <f t="shared" si="76"/>
        <v>35632.371000001629</v>
      </c>
      <c r="L401" s="39">
        <v>61.74</v>
      </c>
    </row>
    <row r="402" spans="1:12" x14ac:dyDescent="0.25">
      <c r="A402">
        <v>1500</v>
      </c>
      <c r="B402" s="147">
        <v>43608</v>
      </c>
      <c r="C402" s="10">
        <v>3200</v>
      </c>
      <c r="D402" s="186">
        <v>8.83</v>
      </c>
      <c r="E402" s="39">
        <v>14.56</v>
      </c>
      <c r="F402" s="39">
        <f t="shared" ref="F402:F405" si="77">C402*(E402-D402)</f>
        <v>18336</v>
      </c>
      <c r="G402" s="39">
        <f t="shared" ref="G402:G405" si="78">D402*C402</f>
        <v>28256</v>
      </c>
      <c r="H402" s="175">
        <f t="shared" ref="H402:H405" si="79">(E402-D402)/D402</f>
        <v>0.64892412231030583</v>
      </c>
      <c r="I402" s="39"/>
      <c r="J402" s="39"/>
      <c r="K402" s="39">
        <f t="shared" ref="K402:K405" si="80">F402+$Q$10</f>
        <v>32951.571000001626</v>
      </c>
      <c r="L402" s="39"/>
    </row>
    <row r="403" spans="1:12" x14ac:dyDescent="0.25">
      <c r="A403">
        <v>2000</v>
      </c>
      <c r="B403" s="147">
        <v>43614</v>
      </c>
      <c r="C403" s="10">
        <v>3200</v>
      </c>
      <c r="D403" s="186">
        <v>8.83</v>
      </c>
      <c r="E403" s="39">
        <v>14.09</v>
      </c>
      <c r="F403" s="39">
        <f t="shared" si="77"/>
        <v>16832</v>
      </c>
      <c r="G403" s="39">
        <f t="shared" si="78"/>
        <v>28256</v>
      </c>
      <c r="H403" s="175">
        <f t="shared" si="79"/>
        <v>0.59569648924122309</v>
      </c>
      <c r="I403" s="39"/>
      <c r="J403" s="39"/>
      <c r="K403" s="39">
        <f t="shared" si="80"/>
        <v>31447.571000001626</v>
      </c>
      <c r="L403" s="39">
        <v>59.1</v>
      </c>
    </row>
    <row r="404" spans="1:12" x14ac:dyDescent="0.25">
      <c r="A404">
        <v>2800</v>
      </c>
      <c r="B404" s="147">
        <v>43626</v>
      </c>
      <c r="C404" s="10">
        <v>3200</v>
      </c>
      <c r="D404" s="186">
        <v>8.7858999999999998</v>
      </c>
      <c r="E404" s="39">
        <v>13.45</v>
      </c>
      <c r="F404" s="39">
        <f t="shared" si="77"/>
        <v>14925.119999999999</v>
      </c>
      <c r="G404" s="39">
        <f t="shared" si="78"/>
        <v>28114.880000000001</v>
      </c>
      <c r="H404" s="175">
        <f t="shared" si="79"/>
        <v>0.53086194925960906</v>
      </c>
      <c r="I404" s="39"/>
      <c r="J404" s="39"/>
      <c r="K404" s="39">
        <f t="shared" si="80"/>
        <v>29540.691000001625</v>
      </c>
      <c r="L404" s="39">
        <v>53.38</v>
      </c>
    </row>
    <row r="405" spans="1:12" x14ac:dyDescent="0.25">
      <c r="A405">
        <v>2800</v>
      </c>
      <c r="B405" s="147">
        <v>43636</v>
      </c>
      <c r="C405" s="10">
        <v>3400</v>
      </c>
      <c r="D405" s="186">
        <v>9.1</v>
      </c>
      <c r="E405" s="39">
        <v>14.11</v>
      </c>
      <c r="F405" s="39">
        <f t="shared" si="77"/>
        <v>17034</v>
      </c>
      <c r="G405" s="39">
        <f t="shared" si="78"/>
        <v>30940</v>
      </c>
      <c r="H405" s="175">
        <f t="shared" si="79"/>
        <v>0.55054945054945059</v>
      </c>
      <c r="I405" s="39"/>
      <c r="J405" s="39"/>
      <c r="K405" s="39">
        <f t="shared" si="80"/>
        <v>31649.571000001626</v>
      </c>
      <c r="L405" s="39">
        <v>57.39</v>
      </c>
    </row>
    <row r="406" spans="1:12" x14ac:dyDescent="0.25">
      <c r="B406" s="147">
        <v>43640</v>
      </c>
      <c r="C406" s="7">
        <v>4000</v>
      </c>
      <c r="D406" s="349">
        <v>9.85</v>
      </c>
      <c r="E406" s="39">
        <v>13.9</v>
      </c>
      <c r="F406" s="39">
        <f t="shared" ref="F406:F409" si="81">C406*(E406-D406)</f>
        <v>16200.000000000004</v>
      </c>
      <c r="G406" s="39">
        <f t="shared" ref="G406:G409" si="82">D406*C406</f>
        <v>39400</v>
      </c>
      <c r="H406" s="175">
        <f t="shared" ref="H406:H409" si="83">(E406-D406)/D406</f>
        <v>0.4111675126903554</v>
      </c>
      <c r="I406" s="39"/>
      <c r="J406" s="39"/>
      <c r="K406" s="39">
        <f t="shared" ref="K406:K409" si="84">F406+$Q$10</f>
        <v>30815.57100000163</v>
      </c>
      <c r="L406" s="39"/>
    </row>
    <row r="407" spans="1:12" ht="15" customHeight="1" x14ac:dyDescent="0.25">
      <c r="B407" s="147">
        <v>43641</v>
      </c>
      <c r="C407" s="10">
        <v>4500</v>
      </c>
      <c r="D407" s="186">
        <v>10.32</v>
      </c>
      <c r="E407" s="39">
        <v>13.9</v>
      </c>
      <c r="F407" s="39">
        <f t="shared" si="81"/>
        <v>16110</v>
      </c>
      <c r="G407" s="39">
        <f t="shared" si="82"/>
        <v>46440</v>
      </c>
      <c r="H407" s="175">
        <f t="shared" si="83"/>
        <v>0.34689922480620156</v>
      </c>
      <c r="I407" s="39"/>
      <c r="J407" s="39"/>
      <c r="K407" s="39">
        <f t="shared" si="84"/>
        <v>30725.571000001626</v>
      </c>
      <c r="L407" s="39"/>
    </row>
    <row r="408" spans="1:12" x14ac:dyDescent="0.25">
      <c r="A408">
        <v>3200</v>
      </c>
      <c r="B408" s="147">
        <v>43648</v>
      </c>
      <c r="C408" s="717">
        <v>5000</v>
      </c>
      <c r="D408" s="718">
        <v>10.645</v>
      </c>
      <c r="E408" s="39">
        <v>13.55</v>
      </c>
      <c r="F408" s="39">
        <f t="shared" si="81"/>
        <v>14525.000000000005</v>
      </c>
      <c r="G408" s="39">
        <f t="shared" si="82"/>
        <v>53225</v>
      </c>
      <c r="H408" s="175">
        <f t="shared" si="83"/>
        <v>0.2728980742132458</v>
      </c>
      <c r="I408" s="39"/>
      <c r="J408" s="39"/>
      <c r="K408" s="39">
        <f t="shared" si="84"/>
        <v>29140.571000001633</v>
      </c>
      <c r="L408" s="39"/>
    </row>
    <row r="409" spans="1:12" x14ac:dyDescent="0.25">
      <c r="A409">
        <v>3200</v>
      </c>
      <c r="B409" s="147">
        <v>43655</v>
      </c>
      <c r="C409" s="10">
        <v>7000</v>
      </c>
      <c r="D409" s="186">
        <v>11.489000000000001</v>
      </c>
      <c r="E409" s="39">
        <v>13.54</v>
      </c>
      <c r="F409" s="39">
        <f t="shared" si="81"/>
        <v>14356.999999999989</v>
      </c>
      <c r="G409" s="39">
        <f t="shared" si="82"/>
        <v>80423</v>
      </c>
      <c r="H409" s="175">
        <f t="shared" si="83"/>
        <v>0.1785185829924274</v>
      </c>
      <c r="I409" s="39"/>
      <c r="J409" s="39"/>
      <c r="K409" s="39">
        <f t="shared" si="84"/>
        <v>28972.571000001615</v>
      </c>
      <c r="L409" s="39"/>
    </row>
    <row r="410" spans="1:12" x14ac:dyDescent="0.25">
      <c r="A410">
        <v>3200</v>
      </c>
      <c r="B410" s="147">
        <v>43657</v>
      </c>
      <c r="C410" s="10">
        <v>7200</v>
      </c>
      <c r="D410" s="186">
        <v>11.55</v>
      </c>
      <c r="E410" s="39">
        <v>13.65</v>
      </c>
      <c r="F410" s="39">
        <f t="shared" ref="F410" si="85">C410*(E410-D410)</f>
        <v>15119.999999999998</v>
      </c>
      <c r="G410" s="39">
        <f t="shared" ref="G410" si="86">D410*C410</f>
        <v>83160</v>
      </c>
      <c r="H410" s="175">
        <f t="shared" ref="H410" si="87">(E410-D410)/D410</f>
        <v>0.18181818181818177</v>
      </c>
      <c r="I410" s="39"/>
      <c r="J410" s="39"/>
      <c r="K410" s="39">
        <f t="shared" ref="K410:K414" si="88">F410+$Q$10</f>
        <v>29735.571000001626</v>
      </c>
      <c r="L410" s="39"/>
    </row>
    <row r="411" spans="1:12" x14ac:dyDescent="0.25">
      <c r="A411">
        <v>3100</v>
      </c>
      <c r="B411" s="147">
        <v>43658</v>
      </c>
      <c r="C411" s="10">
        <v>7100</v>
      </c>
      <c r="D411" s="186">
        <v>11.52</v>
      </c>
      <c r="E411" s="39">
        <v>13.92</v>
      </c>
      <c r="F411" s="39">
        <f t="shared" ref="F411:F414" si="89">C411*(E411-D411)</f>
        <v>17040.000000000004</v>
      </c>
      <c r="G411" s="39">
        <f t="shared" ref="G411:G414" si="90">D411*C411</f>
        <v>81792</v>
      </c>
      <c r="H411" s="175">
        <f t="shared" ref="H411:H414" si="91">(E411-D411)/D411</f>
        <v>0.20833333333333337</v>
      </c>
      <c r="I411" s="39"/>
      <c r="J411" s="39"/>
      <c r="K411" s="39">
        <f t="shared" si="88"/>
        <v>31655.57100000163</v>
      </c>
      <c r="L411" s="39"/>
    </row>
    <row r="412" spans="1:12" x14ac:dyDescent="0.25">
      <c r="A412">
        <v>3100</v>
      </c>
      <c r="B412" s="147">
        <v>43661</v>
      </c>
      <c r="C412" s="10">
        <v>7400</v>
      </c>
      <c r="D412" s="186">
        <v>11.61</v>
      </c>
      <c r="E412" s="39">
        <v>13.48</v>
      </c>
      <c r="F412" s="39">
        <f t="shared" si="89"/>
        <v>13838.000000000007</v>
      </c>
      <c r="G412" s="39">
        <f t="shared" si="90"/>
        <v>85914</v>
      </c>
      <c r="H412" s="175">
        <f t="shared" si="91"/>
        <v>0.16106804478897513</v>
      </c>
      <c r="I412" s="39"/>
      <c r="J412" s="39"/>
      <c r="K412" s="39">
        <f t="shared" si="88"/>
        <v>28453.571000001633</v>
      </c>
      <c r="L412" s="39">
        <v>59.45</v>
      </c>
    </row>
    <row r="413" spans="1:12" x14ac:dyDescent="0.25">
      <c r="A413">
        <v>1500</v>
      </c>
      <c r="B413" s="147">
        <v>43670</v>
      </c>
      <c r="C413" s="717">
        <v>5000</v>
      </c>
      <c r="D413" s="718">
        <v>10.417</v>
      </c>
      <c r="E413" s="39">
        <v>13.97</v>
      </c>
      <c r="F413" s="39">
        <f t="shared" si="89"/>
        <v>17765.000000000004</v>
      </c>
      <c r="G413" s="39">
        <f t="shared" si="90"/>
        <v>52085</v>
      </c>
      <c r="H413" s="175">
        <f t="shared" si="91"/>
        <v>0.34107708553326305</v>
      </c>
      <c r="I413" s="39"/>
      <c r="J413" s="39"/>
      <c r="K413" s="39">
        <f t="shared" si="88"/>
        <v>32380.57100000163</v>
      </c>
      <c r="L413" s="39"/>
    </row>
    <row r="414" spans="1:12" ht="15" customHeight="1" x14ac:dyDescent="0.25">
      <c r="A414">
        <v>2000</v>
      </c>
      <c r="B414" s="147">
        <v>43676</v>
      </c>
      <c r="C414" s="10">
        <v>5000</v>
      </c>
      <c r="D414" s="186">
        <v>10.417</v>
      </c>
      <c r="E414" s="39">
        <v>14.13</v>
      </c>
      <c r="F414" s="39">
        <f t="shared" si="89"/>
        <v>18565.000000000004</v>
      </c>
      <c r="G414" s="39">
        <f t="shared" si="90"/>
        <v>52085</v>
      </c>
      <c r="H414" s="175">
        <f t="shared" si="91"/>
        <v>0.35643659402899119</v>
      </c>
      <c r="I414" s="39"/>
      <c r="J414" s="39"/>
      <c r="K414" s="39">
        <f t="shared" si="88"/>
        <v>33180.571000001626</v>
      </c>
      <c r="L414" s="39"/>
    </row>
    <row r="415" spans="1:12" x14ac:dyDescent="0.25">
      <c r="A415">
        <v>2500</v>
      </c>
      <c r="B415" s="147">
        <v>43678</v>
      </c>
      <c r="C415" s="352">
        <v>6000</v>
      </c>
      <c r="D415" s="554">
        <v>10.944000000000001</v>
      </c>
      <c r="E415" s="39">
        <v>13.53</v>
      </c>
      <c r="F415" s="39">
        <f t="shared" ref="F415:F418" si="92">C415*(E415-D415)</f>
        <v>15515.999999999991</v>
      </c>
      <c r="G415" s="39">
        <f t="shared" ref="G415:G418" si="93">D415*C415</f>
        <v>65664</v>
      </c>
      <c r="H415" s="175">
        <f t="shared" ref="H415:H418" si="94">(E415-D415)/D415</f>
        <v>0.23629385964912267</v>
      </c>
      <c r="I415" s="39"/>
      <c r="J415" s="39"/>
      <c r="K415" s="39">
        <f t="shared" ref="K415:K418" si="95">F415+$Q$10</f>
        <v>30131.571000001619</v>
      </c>
      <c r="L415" s="39"/>
    </row>
    <row r="416" spans="1:12" x14ac:dyDescent="0.25">
      <c r="A416">
        <v>2500</v>
      </c>
      <c r="B416" s="147">
        <v>43679</v>
      </c>
      <c r="C416" s="10">
        <v>6500</v>
      </c>
      <c r="D416" s="186">
        <v>11.11</v>
      </c>
      <c r="E416" s="39">
        <v>13.28</v>
      </c>
      <c r="F416" s="39">
        <f t="shared" si="92"/>
        <v>14105</v>
      </c>
      <c r="G416" s="39">
        <f t="shared" si="93"/>
        <v>72215</v>
      </c>
      <c r="H416" s="175">
        <f t="shared" si="94"/>
        <v>0.19531953195319532</v>
      </c>
      <c r="I416" s="39"/>
      <c r="J416" s="39"/>
      <c r="K416" s="39">
        <f t="shared" si="95"/>
        <v>28720.571000001626</v>
      </c>
      <c r="L416" s="39"/>
    </row>
    <row r="417" spans="1:12" x14ac:dyDescent="0.25">
      <c r="A417">
        <v>2500</v>
      </c>
      <c r="B417" s="147">
        <v>43682</v>
      </c>
      <c r="C417" s="10">
        <v>6800</v>
      </c>
      <c r="D417" s="186">
        <v>11.176600000000001</v>
      </c>
      <c r="E417" s="39">
        <v>12.5</v>
      </c>
      <c r="F417" s="39">
        <f t="shared" si="92"/>
        <v>8999.1199999999972</v>
      </c>
      <c r="G417" s="39">
        <f t="shared" si="93"/>
        <v>76000.88</v>
      </c>
      <c r="H417" s="175">
        <f t="shared" si="94"/>
        <v>0.11840810264302197</v>
      </c>
      <c r="I417" s="39"/>
      <c r="J417" s="39"/>
      <c r="K417" s="39">
        <f t="shared" si="95"/>
        <v>23614.691000001621</v>
      </c>
      <c r="L417" s="39"/>
    </row>
    <row r="418" spans="1:12" x14ac:dyDescent="0.25">
      <c r="A418">
        <v>2500</v>
      </c>
      <c r="B418" s="147">
        <v>43683</v>
      </c>
      <c r="C418" s="10">
        <v>7000</v>
      </c>
      <c r="D418" s="186">
        <v>11.2</v>
      </c>
      <c r="E418" s="39">
        <v>12.16</v>
      </c>
      <c r="F418" s="39">
        <f t="shared" si="92"/>
        <v>6720.0000000000064</v>
      </c>
      <c r="G418" s="39">
        <f t="shared" si="93"/>
        <v>78400</v>
      </c>
      <c r="H418" s="175">
        <f t="shared" si="94"/>
        <v>8.5714285714285798E-2</v>
      </c>
      <c r="I418" s="39"/>
      <c r="J418" s="39"/>
      <c r="K418" s="39">
        <f t="shared" si="95"/>
        <v>21335.571000001633</v>
      </c>
      <c r="L418" s="39"/>
    </row>
    <row r="419" spans="1:12" x14ac:dyDescent="0.25">
      <c r="A419">
        <v>2000</v>
      </c>
      <c r="B419" s="147">
        <v>43686</v>
      </c>
      <c r="C419" s="10">
        <v>6500</v>
      </c>
      <c r="D419" s="186">
        <v>11.061999999999999</v>
      </c>
      <c r="E419" s="39">
        <v>12.87</v>
      </c>
      <c r="F419" s="39">
        <f t="shared" ref="F419:F422" si="96">C419*(E419-D419)</f>
        <v>11751.999999999998</v>
      </c>
      <c r="G419" s="39">
        <f t="shared" ref="G419:G422" si="97">D419*C419</f>
        <v>71903</v>
      </c>
      <c r="H419" s="175">
        <f t="shared" ref="H419:H422" si="98">(E419-D419)/D419</f>
        <v>0.1634424154764057</v>
      </c>
      <c r="I419" s="39"/>
      <c r="J419" s="39"/>
      <c r="K419" s="39">
        <f t="shared" ref="K419:K422" si="99">F419+$Q$10</f>
        <v>26367.571000001626</v>
      </c>
      <c r="L419" s="39"/>
    </row>
    <row r="420" spans="1:12" x14ac:dyDescent="0.25">
      <c r="A420">
        <v>4200</v>
      </c>
      <c r="B420" s="147">
        <v>43691</v>
      </c>
      <c r="C420" s="10">
        <v>7000</v>
      </c>
      <c r="D420" s="186">
        <v>11.15</v>
      </c>
      <c r="E420" s="39">
        <v>12.3</v>
      </c>
      <c r="F420" s="39">
        <f t="shared" si="96"/>
        <v>8050.0000000000027</v>
      </c>
      <c r="G420" s="39">
        <f t="shared" si="97"/>
        <v>78050</v>
      </c>
      <c r="H420" s="175">
        <f t="shared" si="98"/>
        <v>0.10313901345291483</v>
      </c>
      <c r="I420" s="39"/>
      <c r="J420" s="39"/>
      <c r="K420" s="39">
        <f t="shared" si="99"/>
        <v>22665.57100000163</v>
      </c>
      <c r="L420" s="39"/>
    </row>
    <row r="421" spans="1:12" x14ac:dyDescent="0.25">
      <c r="A421">
        <v>4000</v>
      </c>
      <c r="B421" s="147">
        <v>43696</v>
      </c>
      <c r="C421" s="10">
        <v>6500</v>
      </c>
      <c r="D421" s="186">
        <v>11.013999999999999</v>
      </c>
      <c r="E421" s="39">
        <v>12.88</v>
      </c>
      <c r="F421" s="39">
        <f t="shared" si="96"/>
        <v>12129.000000000009</v>
      </c>
      <c r="G421" s="39">
        <f t="shared" si="97"/>
        <v>71591</v>
      </c>
      <c r="H421" s="175">
        <f t="shared" si="98"/>
        <v>0.1694207372435084</v>
      </c>
      <c r="I421" s="39"/>
      <c r="J421" s="39"/>
      <c r="K421" s="39">
        <f t="shared" si="99"/>
        <v>26744.571000001633</v>
      </c>
      <c r="L421" s="39"/>
    </row>
    <row r="422" spans="1:12" x14ac:dyDescent="0.25">
      <c r="A422">
        <v>4000</v>
      </c>
      <c r="B422" s="147">
        <v>43698</v>
      </c>
      <c r="C422" s="10">
        <v>6800</v>
      </c>
      <c r="D422" s="186">
        <v>11.08</v>
      </c>
      <c r="E422" s="39">
        <v>12.42</v>
      </c>
      <c r="F422" s="39">
        <f t="shared" si="96"/>
        <v>9111.9999999999982</v>
      </c>
      <c r="G422" s="39">
        <f t="shared" si="97"/>
        <v>75344</v>
      </c>
      <c r="H422" s="175">
        <f t="shared" si="98"/>
        <v>0.12093862815884475</v>
      </c>
      <c r="I422" s="39"/>
      <c r="J422" s="39"/>
      <c r="K422" s="39">
        <f t="shared" si="99"/>
        <v>23727.571000001626</v>
      </c>
      <c r="L422" s="39"/>
    </row>
    <row r="423" spans="1:12" x14ac:dyDescent="0.25">
      <c r="A423">
        <v>4000</v>
      </c>
      <c r="B423" s="147">
        <v>43702</v>
      </c>
      <c r="C423" s="10">
        <v>7000</v>
      </c>
      <c r="D423" s="186">
        <v>11.1</v>
      </c>
      <c r="E423" s="39">
        <v>11.75</v>
      </c>
      <c r="F423" s="39">
        <f t="shared" ref="F423:F426" si="100">C423*(E423-D423)</f>
        <v>4550.0000000000027</v>
      </c>
      <c r="G423" s="39">
        <f t="shared" ref="G423:G426" si="101">D423*C423</f>
        <v>77700</v>
      </c>
      <c r="H423" s="175">
        <f t="shared" ref="H423:H426" si="102">(E423-D423)/D423</f>
        <v>5.8558558558558592E-2</v>
      </c>
      <c r="I423" s="39"/>
      <c r="J423" s="39"/>
      <c r="K423" s="39">
        <f t="shared" ref="K423:K426" si="103">F423+$Q$10</f>
        <v>19165.57100000163</v>
      </c>
      <c r="L423" s="39"/>
    </row>
    <row r="424" spans="1:12" ht="15" customHeight="1" x14ac:dyDescent="0.25">
      <c r="A424">
        <v>4000</v>
      </c>
      <c r="B424" s="147">
        <v>43706</v>
      </c>
      <c r="C424" s="10">
        <v>6800</v>
      </c>
      <c r="D424" s="186">
        <v>11.063000000000001</v>
      </c>
      <c r="E424" s="39">
        <v>12.2</v>
      </c>
      <c r="F424" s="39">
        <f t="shared" si="100"/>
        <v>7731.5999999999913</v>
      </c>
      <c r="G424" s="39">
        <f t="shared" si="101"/>
        <v>75228.400000000009</v>
      </c>
      <c r="H424" s="175">
        <f t="shared" si="102"/>
        <v>0.10277501581849395</v>
      </c>
      <c r="I424" s="39"/>
      <c r="J424" s="39"/>
      <c r="K424" s="39">
        <f t="shared" si="103"/>
        <v>22347.171000001617</v>
      </c>
      <c r="L424" s="39"/>
    </row>
    <row r="425" spans="1:12" x14ac:dyDescent="0.25">
      <c r="A425">
        <v>3800</v>
      </c>
      <c r="B425" s="147">
        <v>43707</v>
      </c>
      <c r="C425" s="10">
        <v>7000</v>
      </c>
      <c r="D425" s="186">
        <v>11.085000000000001</v>
      </c>
      <c r="E425" s="39">
        <v>11.84</v>
      </c>
      <c r="F425" s="39">
        <f t="shared" si="100"/>
        <v>5284.9999999999927</v>
      </c>
      <c r="G425" s="39">
        <f t="shared" si="101"/>
        <v>77595</v>
      </c>
      <c r="H425" s="175">
        <f t="shared" si="102"/>
        <v>6.8110058637798732E-2</v>
      </c>
      <c r="I425" s="39"/>
      <c r="J425" s="39"/>
      <c r="K425" s="39">
        <f t="shared" si="103"/>
        <v>19900.571000001619</v>
      </c>
      <c r="L425" s="39"/>
    </row>
    <row r="426" spans="1:12" x14ac:dyDescent="0.25">
      <c r="A426">
        <v>2400</v>
      </c>
      <c r="B426" s="147">
        <v>43713</v>
      </c>
      <c r="C426" s="10">
        <v>6800</v>
      </c>
      <c r="D426" s="186">
        <v>11.045999999999999</v>
      </c>
      <c r="E426" s="39">
        <v>12.54</v>
      </c>
      <c r="F426" s="39">
        <f t="shared" si="100"/>
        <v>10159.199999999999</v>
      </c>
      <c r="G426" s="39">
        <f t="shared" si="101"/>
        <v>75112.800000000003</v>
      </c>
      <c r="H426" s="175">
        <f t="shared" si="102"/>
        <v>0.13525258011950025</v>
      </c>
      <c r="I426" s="39"/>
      <c r="J426" s="39"/>
      <c r="K426" s="39">
        <f t="shared" si="103"/>
        <v>24774.771000001623</v>
      </c>
      <c r="L426" s="39"/>
    </row>
    <row r="427" spans="1:12" x14ac:dyDescent="0.25">
      <c r="A427">
        <v>5300</v>
      </c>
      <c r="B427" s="147">
        <v>43717</v>
      </c>
      <c r="C427" s="10">
        <v>6500</v>
      </c>
      <c r="D427" s="186">
        <v>10.9</v>
      </c>
      <c r="E427" s="39">
        <v>13.14</v>
      </c>
      <c r="F427" s="39">
        <f t="shared" ref="F427:F436" si="104">C427*(E427-D427)</f>
        <v>14560.000000000002</v>
      </c>
      <c r="G427" s="39">
        <f t="shared" ref="G427:G436" si="105">D427*C427</f>
        <v>70850</v>
      </c>
      <c r="H427" s="175">
        <f t="shared" ref="H427:H436" si="106">(E427-D427)/D427</f>
        <v>0.20550458715596331</v>
      </c>
      <c r="I427" s="39" t="s">
        <v>182</v>
      </c>
      <c r="J427" s="39"/>
      <c r="K427" s="39">
        <f t="shared" ref="K427:K436" si="107">F427+$Q$10</f>
        <v>29175.571000001626</v>
      </c>
      <c r="L427" s="39"/>
    </row>
    <row r="428" spans="1:12" x14ac:dyDescent="0.25">
      <c r="A428">
        <v>5119</v>
      </c>
      <c r="B428" s="147">
        <v>43724</v>
      </c>
      <c r="C428" s="352">
        <v>6000</v>
      </c>
      <c r="D428" s="554">
        <v>10.576000000000001</v>
      </c>
      <c r="E428" s="39">
        <v>14.17</v>
      </c>
      <c r="F428" s="39">
        <f t="shared" si="104"/>
        <v>21563.999999999996</v>
      </c>
      <c r="G428" s="39">
        <f t="shared" si="105"/>
        <v>63456</v>
      </c>
      <c r="H428" s="175">
        <f t="shared" si="106"/>
        <v>0.33982602118003019</v>
      </c>
      <c r="I428" s="39"/>
      <c r="J428" s="39"/>
      <c r="K428" s="39">
        <f t="shared" si="107"/>
        <v>36179.571000001626</v>
      </c>
      <c r="L428" s="39"/>
    </row>
    <row r="429" spans="1:12" x14ac:dyDescent="0.25">
      <c r="A429">
        <v>5119</v>
      </c>
      <c r="B429" s="147">
        <v>43725</v>
      </c>
      <c r="C429" s="10">
        <v>6500</v>
      </c>
      <c r="D429" s="186">
        <v>10.77</v>
      </c>
      <c r="E429" s="39">
        <v>13.07</v>
      </c>
      <c r="F429" s="39">
        <f t="shared" si="104"/>
        <v>14950.000000000005</v>
      </c>
      <c r="G429" s="39">
        <f t="shared" si="105"/>
        <v>70005</v>
      </c>
      <c r="H429" s="175">
        <f t="shared" si="106"/>
        <v>0.21355617455896014</v>
      </c>
      <c r="I429" s="39"/>
      <c r="J429" s="39"/>
      <c r="K429" s="39">
        <f t="shared" si="107"/>
        <v>29565.571000001633</v>
      </c>
      <c r="L429" s="39"/>
    </row>
    <row r="430" spans="1:12" x14ac:dyDescent="0.25">
      <c r="A430">
        <v>5619</v>
      </c>
      <c r="B430" s="147">
        <v>43732</v>
      </c>
      <c r="C430" s="10">
        <v>7000</v>
      </c>
      <c r="D430" s="186">
        <v>10.875</v>
      </c>
      <c r="E430" s="39">
        <v>12.22</v>
      </c>
      <c r="F430" s="39">
        <f t="shared" si="104"/>
        <v>9415.0000000000036</v>
      </c>
      <c r="G430" s="39">
        <f t="shared" si="105"/>
        <v>76125</v>
      </c>
      <c r="H430" s="175">
        <f t="shared" si="106"/>
        <v>0.12367816091954029</v>
      </c>
      <c r="I430" s="39"/>
      <c r="J430" s="39"/>
      <c r="K430" s="39">
        <f t="shared" si="107"/>
        <v>24030.57100000163</v>
      </c>
      <c r="L430" s="39"/>
    </row>
    <row r="431" spans="1:12" ht="15" customHeight="1" x14ac:dyDescent="0.25">
      <c r="A431">
        <v>7000</v>
      </c>
      <c r="B431" s="147">
        <v>43772</v>
      </c>
      <c r="C431" s="10">
        <v>7000</v>
      </c>
      <c r="D431" s="186">
        <v>10.875</v>
      </c>
      <c r="E431" s="39">
        <v>12.05</v>
      </c>
      <c r="F431" s="39">
        <f t="shared" si="104"/>
        <v>8225.0000000000055</v>
      </c>
      <c r="G431" s="39">
        <f t="shared" si="105"/>
        <v>76125</v>
      </c>
      <c r="H431" s="175">
        <f t="shared" si="106"/>
        <v>0.10804597701149432</v>
      </c>
      <c r="I431" s="39"/>
      <c r="J431" s="39"/>
      <c r="K431" s="39">
        <f t="shared" si="107"/>
        <v>22840.571000001633</v>
      </c>
      <c r="L431" s="39"/>
    </row>
    <row r="432" spans="1:12" x14ac:dyDescent="0.25">
      <c r="A432">
        <v>6500</v>
      </c>
      <c r="B432" s="147">
        <v>43773</v>
      </c>
      <c r="C432" s="10">
        <v>6500</v>
      </c>
      <c r="D432" s="186">
        <v>10.747999999999999</v>
      </c>
      <c r="E432" s="39">
        <v>12.52</v>
      </c>
      <c r="F432" s="39">
        <f t="shared" si="104"/>
        <v>11518.000000000002</v>
      </c>
      <c r="G432" s="39">
        <f t="shared" si="105"/>
        <v>69862</v>
      </c>
      <c r="H432" s="175">
        <f t="shared" si="106"/>
        <v>0.16486788239672501</v>
      </c>
      <c r="I432" s="39"/>
      <c r="J432" s="39"/>
      <c r="K432" s="39">
        <f t="shared" si="107"/>
        <v>26133.571000001626</v>
      </c>
      <c r="L432" s="39"/>
    </row>
    <row r="433" spans="1:12" x14ac:dyDescent="0.25">
      <c r="A433">
        <v>6000</v>
      </c>
      <c r="B433" s="147">
        <v>43777</v>
      </c>
      <c r="C433" s="10">
        <v>6500</v>
      </c>
      <c r="D433" s="186">
        <v>10.731</v>
      </c>
      <c r="E433" s="39">
        <v>12.4</v>
      </c>
      <c r="F433" s="39">
        <f t="shared" si="104"/>
        <v>10848.500000000004</v>
      </c>
      <c r="G433" s="39">
        <f t="shared" si="105"/>
        <v>69751.5</v>
      </c>
      <c r="H433" s="175">
        <f t="shared" si="106"/>
        <v>0.15553070543285813</v>
      </c>
      <c r="I433" s="39"/>
      <c r="J433" s="39"/>
      <c r="K433" s="39">
        <f t="shared" si="107"/>
        <v>25464.07100000163</v>
      </c>
      <c r="L433" s="39"/>
    </row>
    <row r="434" spans="1:12" x14ac:dyDescent="0.25">
      <c r="A434">
        <v>5500</v>
      </c>
      <c r="B434" s="147">
        <v>43781</v>
      </c>
      <c r="C434" s="10">
        <v>6700</v>
      </c>
      <c r="D434" s="186">
        <v>10.769399999999999</v>
      </c>
      <c r="E434" s="39">
        <v>12</v>
      </c>
      <c r="F434" s="39">
        <f t="shared" si="104"/>
        <v>8245.0200000000059</v>
      </c>
      <c r="G434" s="39">
        <f t="shared" si="105"/>
        <v>72154.98</v>
      </c>
      <c r="H434" s="175">
        <f t="shared" si="106"/>
        <v>0.11426820435678876</v>
      </c>
      <c r="I434" s="39"/>
      <c r="J434" s="39"/>
      <c r="K434" s="39">
        <f t="shared" si="107"/>
        <v>22860.59100000163</v>
      </c>
      <c r="L434" s="39"/>
    </row>
    <row r="435" spans="1:12" x14ac:dyDescent="0.25">
      <c r="A435">
        <v>6000</v>
      </c>
      <c r="B435" s="147">
        <v>43788</v>
      </c>
      <c r="C435" s="10">
        <v>7000</v>
      </c>
      <c r="D435" s="186">
        <v>10.81</v>
      </c>
      <c r="E435" s="39">
        <v>11.77</v>
      </c>
      <c r="F435" s="39">
        <f t="shared" si="104"/>
        <v>6719.9999999999936</v>
      </c>
      <c r="G435" s="39">
        <f t="shared" si="105"/>
        <v>75670</v>
      </c>
      <c r="H435" s="175">
        <f t="shared" si="106"/>
        <v>8.8806660499537379E-2</v>
      </c>
      <c r="I435" s="39"/>
      <c r="J435" s="39"/>
      <c r="K435" s="39">
        <f t="shared" si="107"/>
        <v>21335.571000001619</v>
      </c>
      <c r="L435" s="39"/>
    </row>
    <row r="436" spans="1:12" x14ac:dyDescent="0.25">
      <c r="A436">
        <v>6000</v>
      </c>
      <c r="B436" s="147">
        <v>43807</v>
      </c>
      <c r="C436" s="10">
        <v>6500</v>
      </c>
      <c r="D436" s="186">
        <v>10.686</v>
      </c>
      <c r="E436" s="39">
        <v>12.45</v>
      </c>
      <c r="F436" s="39">
        <f t="shared" si="104"/>
        <v>11465.999999999996</v>
      </c>
      <c r="G436" s="39">
        <f t="shared" si="105"/>
        <v>69459</v>
      </c>
      <c r="H436" s="175">
        <f t="shared" si="106"/>
        <v>0.16507580011229639</v>
      </c>
      <c r="I436" s="39"/>
      <c r="J436" s="39"/>
      <c r="K436" s="39">
        <f t="shared" si="107"/>
        <v>26081.571000001622</v>
      </c>
      <c r="L436" s="39"/>
    </row>
    <row r="437" spans="1:12" ht="15" customHeight="1" x14ac:dyDescent="0.25">
      <c r="A437">
        <v>6000</v>
      </c>
      <c r="B437" s="147">
        <v>43809</v>
      </c>
      <c r="C437" s="10">
        <v>6500</v>
      </c>
      <c r="D437" s="186">
        <v>10.632</v>
      </c>
      <c r="E437" s="39">
        <v>12.59</v>
      </c>
      <c r="F437" s="39">
        <f t="shared" ref="F437" si="108">C437*(E437-D437)</f>
        <v>12727.000000000002</v>
      </c>
      <c r="G437" s="39">
        <f t="shared" ref="G437" si="109">D437*C437</f>
        <v>69108</v>
      </c>
      <c r="H437" s="175">
        <f t="shared" ref="H437" si="110">(E437-D437)/D437</f>
        <v>0.18416102332580891</v>
      </c>
      <c r="I437" s="39" t="s">
        <v>182</v>
      </c>
      <c r="J437" s="39"/>
      <c r="K437" s="39">
        <f t="shared" ref="K437" si="111">F437+$Q$10</f>
        <v>27342.571000001626</v>
      </c>
      <c r="L437" s="39"/>
    </row>
    <row r="438" spans="1:12" x14ac:dyDescent="0.25">
      <c r="B438" s="147"/>
      <c r="C438" s="10"/>
      <c r="D438" s="186"/>
      <c r="E438" s="39"/>
      <c r="F438" s="39"/>
      <c r="G438" s="39"/>
      <c r="H438" s="175"/>
      <c r="I438" s="39"/>
      <c r="J438" s="39"/>
      <c r="K438" s="39"/>
      <c r="L438" s="39"/>
    </row>
    <row r="439" spans="1:12" x14ac:dyDescent="0.25">
      <c r="B439" s="147"/>
      <c r="C439" s="10"/>
      <c r="D439" s="186"/>
      <c r="E439" s="39"/>
      <c r="F439" s="39"/>
      <c r="G439" s="39"/>
      <c r="H439" s="175"/>
      <c r="I439" s="39"/>
      <c r="J439" s="39"/>
      <c r="K439" s="39"/>
      <c r="L439" s="39"/>
    </row>
    <row r="440" spans="1:12" x14ac:dyDescent="0.25">
      <c r="B440" s="147"/>
      <c r="C440" s="10"/>
      <c r="D440" s="186"/>
      <c r="E440" s="39"/>
      <c r="F440" s="39"/>
      <c r="G440" s="39"/>
      <c r="H440" s="175"/>
      <c r="I440" s="39"/>
      <c r="J440" s="39"/>
      <c r="K440" s="39"/>
      <c r="L440" s="39"/>
    </row>
    <row r="441" spans="1:12" x14ac:dyDescent="0.25">
      <c r="B441" s="147"/>
      <c r="C441" s="10"/>
      <c r="D441" s="186"/>
      <c r="E441" s="39"/>
      <c r="F441" s="39"/>
      <c r="G441" s="39"/>
      <c r="H441" s="175"/>
      <c r="I441" s="39"/>
      <c r="J441" s="39"/>
      <c r="K441" s="39"/>
      <c r="L441" s="39"/>
    </row>
    <row r="442" spans="1:12" x14ac:dyDescent="0.25">
      <c r="B442" s="147"/>
      <c r="C442" s="10"/>
      <c r="D442" s="186"/>
      <c r="E442" s="39"/>
      <c r="F442" s="39"/>
      <c r="G442" s="39"/>
      <c r="H442" s="175"/>
      <c r="I442" s="39"/>
      <c r="J442" s="39"/>
      <c r="K442" s="39"/>
      <c r="L442" s="39"/>
    </row>
    <row r="443" spans="1:12" x14ac:dyDescent="0.25">
      <c r="B443" s="147"/>
      <c r="C443" s="10"/>
      <c r="D443" s="186"/>
      <c r="E443" s="39"/>
      <c r="F443" s="39"/>
      <c r="G443" s="39"/>
      <c r="H443" s="175"/>
      <c r="I443" s="39"/>
      <c r="J443" s="39"/>
      <c r="K443" s="39"/>
      <c r="L443" s="39"/>
    </row>
    <row r="445" spans="1:12" x14ac:dyDescent="0.25">
      <c r="B445" s="531" t="s">
        <v>113</v>
      </c>
      <c r="C445" s="405" t="s">
        <v>143</v>
      </c>
      <c r="D445" s="532" t="s">
        <v>142</v>
      </c>
      <c r="E445" s="407" t="s">
        <v>144</v>
      </c>
      <c r="F445" s="408" t="s">
        <v>65</v>
      </c>
      <c r="G445" s="409" t="s">
        <v>148</v>
      </c>
      <c r="H445" s="408" t="s">
        <v>88</v>
      </c>
      <c r="I445" s="409" t="s">
        <v>151</v>
      </c>
    </row>
    <row r="446" spans="1:12" x14ac:dyDescent="0.25">
      <c r="B446" s="533">
        <v>42305</v>
      </c>
      <c r="C446" s="291">
        <v>2000</v>
      </c>
      <c r="D446" s="534">
        <v>34.06</v>
      </c>
      <c r="E446" s="292">
        <v>17.68</v>
      </c>
      <c r="F446" s="292">
        <v>-32767.45</v>
      </c>
      <c r="G446" s="292">
        <f t="shared" ref="G446:G452" si="112">IF(C446=0, 0,D446*C446)</f>
        <v>68120</v>
      </c>
      <c r="H446" s="294">
        <f t="shared" ref="H446:H452" si="113">IF(C446=0, D446, (E446-D446)/D446)</f>
        <v>-0.48091603053435117</v>
      </c>
      <c r="I446" s="292"/>
    </row>
    <row r="447" spans="1:12" x14ac:dyDescent="0.25">
      <c r="B447" s="533">
        <v>42307</v>
      </c>
      <c r="C447" s="291">
        <v>0</v>
      </c>
      <c r="D447" s="534" t="s">
        <v>128</v>
      </c>
      <c r="E447" s="292">
        <v>17.55</v>
      </c>
      <c r="F447" s="292">
        <v>-30722.2</v>
      </c>
      <c r="G447" s="292">
        <f t="shared" si="112"/>
        <v>0</v>
      </c>
      <c r="H447" s="294" t="str">
        <f t="shared" si="113"/>
        <v>N/A</v>
      </c>
      <c r="I447" s="292"/>
    </row>
    <row r="448" spans="1:12" x14ac:dyDescent="0.25">
      <c r="B448" s="533">
        <v>42310</v>
      </c>
      <c r="C448" s="291">
        <v>0</v>
      </c>
      <c r="D448" s="534" t="s">
        <v>128</v>
      </c>
      <c r="E448" s="292">
        <v>19.010000000000002</v>
      </c>
      <c r="F448" s="292">
        <v>-30693.25</v>
      </c>
      <c r="G448" s="292">
        <f t="shared" si="112"/>
        <v>0</v>
      </c>
      <c r="H448" s="294" t="str">
        <f t="shared" si="113"/>
        <v>N/A</v>
      </c>
      <c r="I448" s="292"/>
    </row>
    <row r="449" spans="2:14" x14ac:dyDescent="0.25">
      <c r="B449" s="533">
        <v>42314</v>
      </c>
      <c r="C449" s="291">
        <v>2500</v>
      </c>
      <c r="D449" s="534">
        <v>30.24</v>
      </c>
      <c r="E449" s="292">
        <v>18.29</v>
      </c>
      <c r="F449" s="292">
        <v>-29878.25</v>
      </c>
      <c r="G449" s="292">
        <f t="shared" si="112"/>
        <v>75600</v>
      </c>
      <c r="H449" s="294">
        <f t="shared" si="113"/>
        <v>-0.39517195767195767</v>
      </c>
      <c r="I449" s="292"/>
    </row>
    <row r="450" spans="2:14" x14ac:dyDescent="0.25">
      <c r="B450" s="533">
        <v>42318</v>
      </c>
      <c r="C450" s="291">
        <v>0</v>
      </c>
      <c r="D450" s="534" t="s">
        <v>128</v>
      </c>
      <c r="E450" s="292">
        <v>18.78</v>
      </c>
      <c r="F450" s="292">
        <v>-28604.09</v>
      </c>
      <c r="G450" s="292">
        <f t="shared" si="112"/>
        <v>0</v>
      </c>
      <c r="H450" s="294" t="str">
        <f t="shared" si="113"/>
        <v>N/A</v>
      </c>
      <c r="I450" s="292"/>
      <c r="N450" s="67"/>
    </row>
    <row r="451" spans="2:14" x14ac:dyDescent="0.25">
      <c r="B451" s="533">
        <v>42328</v>
      </c>
      <c r="C451" s="291">
        <v>3078</v>
      </c>
      <c r="D451" s="534">
        <v>26.76</v>
      </c>
      <c r="E451" s="292">
        <v>17.440000000000001</v>
      </c>
      <c r="F451" s="292">
        <v>-28696.448999999906</v>
      </c>
      <c r="G451" s="292">
        <f t="shared" si="112"/>
        <v>82367.28</v>
      </c>
      <c r="H451" s="294">
        <f t="shared" si="113"/>
        <v>-0.34828101644245141</v>
      </c>
      <c r="I451" s="292"/>
    </row>
    <row r="452" spans="2:14" x14ac:dyDescent="0.25">
      <c r="B452" s="533">
        <v>42331</v>
      </c>
      <c r="C452" s="291">
        <v>0</v>
      </c>
      <c r="D452" s="534" t="s">
        <v>128</v>
      </c>
      <c r="E452" s="292">
        <v>17.53</v>
      </c>
      <c r="F452" s="292">
        <v>-28051.068999999901</v>
      </c>
      <c r="G452" s="292">
        <f t="shared" si="112"/>
        <v>0</v>
      </c>
      <c r="H452" s="294" t="str">
        <f t="shared" si="113"/>
        <v>N/A</v>
      </c>
      <c r="I452" s="292"/>
    </row>
    <row r="453" spans="2:14" x14ac:dyDescent="0.25">
      <c r="B453" s="533">
        <v>42335</v>
      </c>
      <c r="C453" s="291">
        <v>3078</v>
      </c>
      <c r="D453" s="534">
        <v>26.85</v>
      </c>
      <c r="E453" s="292">
        <v>17.73</v>
      </c>
      <c r="F453" s="292">
        <f>C453*(E453-D453)</f>
        <v>-28071.360000000004</v>
      </c>
      <c r="G453" s="292">
        <f>D453*C453</f>
        <v>82644.3</v>
      </c>
      <c r="H453" s="293">
        <f>(E453-D453)/D453</f>
        <v>-0.33966480446927377</v>
      </c>
      <c r="I453" s="292"/>
    </row>
    <row r="454" spans="2:14" x14ac:dyDescent="0.25">
      <c r="B454" s="533">
        <v>42335</v>
      </c>
      <c r="C454" s="291">
        <v>3578</v>
      </c>
      <c r="D454" s="534">
        <v>25.55</v>
      </c>
      <c r="E454" s="292">
        <v>17.440000000000001</v>
      </c>
      <c r="F454" s="292">
        <f t="shared" ref="F454:F485" si="114">C454*(E454-D454)</f>
        <v>-29017.579999999998</v>
      </c>
      <c r="G454" s="292">
        <f t="shared" ref="G454:G483" si="115">D454*C454</f>
        <v>91417.900000000009</v>
      </c>
      <c r="H454" s="293">
        <f t="shared" ref="H454:H483" si="116">(E454-D454)/D454</f>
        <v>-0.31741682974559682</v>
      </c>
      <c r="I454" s="292"/>
    </row>
    <row r="455" spans="2:14" x14ac:dyDescent="0.25">
      <c r="B455" s="533">
        <v>42340</v>
      </c>
      <c r="C455" s="291">
        <v>4178</v>
      </c>
      <c r="D455" s="534">
        <v>24.29</v>
      </c>
      <c r="E455" s="292">
        <v>16.670000000000002</v>
      </c>
      <c r="F455" s="292">
        <f t="shared" si="114"/>
        <v>-31836.35999999999</v>
      </c>
      <c r="G455" s="292">
        <f t="shared" si="115"/>
        <v>101483.62</v>
      </c>
      <c r="H455" s="293">
        <f t="shared" si="116"/>
        <v>-0.31370934540963352</v>
      </c>
      <c r="I455" s="292"/>
    </row>
    <row r="456" spans="2:14" x14ac:dyDescent="0.25">
      <c r="B456" s="533">
        <v>42342</v>
      </c>
      <c r="C456" s="291">
        <v>4678</v>
      </c>
      <c r="D456" s="534">
        <v>23.39</v>
      </c>
      <c r="E456" s="292">
        <v>16.12</v>
      </c>
      <c r="F456" s="292">
        <f t="shared" si="114"/>
        <v>-34009.06</v>
      </c>
      <c r="G456" s="292">
        <f t="shared" si="115"/>
        <v>109418.42</v>
      </c>
      <c r="H456" s="293">
        <f t="shared" si="116"/>
        <v>-0.31081658828559211</v>
      </c>
      <c r="I456" s="292"/>
    </row>
    <row r="457" spans="2:14" x14ac:dyDescent="0.25">
      <c r="B457" s="533">
        <v>42342</v>
      </c>
      <c r="C457" s="291">
        <v>4178</v>
      </c>
      <c r="D457" s="534">
        <v>24.26</v>
      </c>
      <c r="E457" s="292">
        <v>16.12</v>
      </c>
      <c r="F457" s="292">
        <f t="shared" si="114"/>
        <v>-34008.920000000006</v>
      </c>
      <c r="G457" s="292">
        <f t="shared" si="115"/>
        <v>101358.28000000001</v>
      </c>
      <c r="H457" s="293">
        <f t="shared" si="116"/>
        <v>-0.33553173948887055</v>
      </c>
      <c r="I457" s="292"/>
    </row>
    <row r="458" spans="2:14" ht="15" customHeight="1" x14ac:dyDescent="0.25">
      <c r="B458" s="533">
        <v>42345</v>
      </c>
      <c r="C458" s="291">
        <v>4678</v>
      </c>
      <c r="D458" s="534">
        <v>23.24</v>
      </c>
      <c r="E458" s="292">
        <v>14.78</v>
      </c>
      <c r="F458" s="292">
        <f t="shared" si="114"/>
        <v>-39575.879999999997</v>
      </c>
      <c r="G458" s="292">
        <f t="shared" si="115"/>
        <v>108716.71999999999</v>
      </c>
      <c r="H458" s="293">
        <f t="shared" si="116"/>
        <v>-0.36402753872633387</v>
      </c>
      <c r="I458" s="292"/>
    </row>
    <row r="459" spans="2:14" x14ac:dyDescent="0.25">
      <c r="B459" s="533">
        <v>42347</v>
      </c>
      <c r="C459" s="291">
        <v>4778</v>
      </c>
      <c r="D459" s="534">
        <v>23.06</v>
      </c>
      <c r="E459" s="292">
        <v>14.92</v>
      </c>
      <c r="F459" s="292">
        <f t="shared" si="114"/>
        <v>-38892.919999999991</v>
      </c>
      <c r="G459" s="292">
        <f t="shared" si="115"/>
        <v>110180.68</v>
      </c>
      <c r="H459" s="293">
        <f t="shared" si="116"/>
        <v>-0.3529921942758022</v>
      </c>
      <c r="I459" s="292"/>
    </row>
    <row r="460" spans="2:14" x14ac:dyDescent="0.25">
      <c r="B460" s="533">
        <v>42348</v>
      </c>
      <c r="C460" s="291">
        <v>4178</v>
      </c>
      <c r="D460" s="534">
        <v>24.23</v>
      </c>
      <c r="E460" s="292">
        <v>14.74</v>
      </c>
      <c r="F460" s="292">
        <f t="shared" si="114"/>
        <v>-39649.22</v>
      </c>
      <c r="G460" s="292">
        <f t="shared" si="115"/>
        <v>101232.94</v>
      </c>
      <c r="H460" s="293">
        <f t="shared" si="116"/>
        <v>-0.39166322740404458</v>
      </c>
      <c r="I460" s="292"/>
    </row>
    <row r="461" spans="2:14" x14ac:dyDescent="0.25">
      <c r="B461" s="533">
        <v>42349</v>
      </c>
      <c r="C461" s="291">
        <v>3678</v>
      </c>
      <c r="D461" s="534">
        <v>25.57</v>
      </c>
      <c r="E461" s="292">
        <v>14.34</v>
      </c>
      <c r="F461" s="292">
        <f t="shared" si="114"/>
        <v>-41303.94</v>
      </c>
      <c r="G461" s="292">
        <f t="shared" si="115"/>
        <v>94046.46</v>
      </c>
      <c r="H461" s="293">
        <f t="shared" si="116"/>
        <v>-0.43918654673445445</v>
      </c>
      <c r="I461" s="292"/>
    </row>
    <row r="462" spans="2:14" x14ac:dyDescent="0.25">
      <c r="B462" s="533">
        <v>42352</v>
      </c>
      <c r="C462" s="291">
        <v>4178</v>
      </c>
      <c r="D462" s="534">
        <v>24.18</v>
      </c>
      <c r="E462" s="292">
        <v>13.96</v>
      </c>
      <c r="F462" s="292">
        <f t="shared" si="114"/>
        <v>-42699.159999999996</v>
      </c>
      <c r="G462" s="292">
        <f t="shared" si="115"/>
        <v>101024.04</v>
      </c>
      <c r="H462" s="293">
        <f t="shared" si="116"/>
        <v>-0.42266335814722905</v>
      </c>
      <c r="I462" s="292"/>
    </row>
    <row r="463" spans="2:14" x14ac:dyDescent="0.25">
      <c r="B463" s="533">
        <v>42355</v>
      </c>
      <c r="C463" s="291">
        <v>4678</v>
      </c>
      <c r="D463" s="534">
        <v>22.98</v>
      </c>
      <c r="E463" s="292">
        <v>12.78</v>
      </c>
      <c r="F463" s="292">
        <f t="shared" si="114"/>
        <v>-47715.600000000006</v>
      </c>
      <c r="G463" s="292">
        <f t="shared" si="115"/>
        <v>107500.44</v>
      </c>
      <c r="H463" s="293">
        <f t="shared" si="116"/>
        <v>-0.44386422976501311</v>
      </c>
      <c r="I463" s="292"/>
    </row>
    <row r="464" spans="2:14" x14ac:dyDescent="0.25">
      <c r="B464" s="533">
        <v>42356</v>
      </c>
      <c r="C464" s="291">
        <v>5178</v>
      </c>
      <c r="D464" s="534">
        <v>21.99</v>
      </c>
      <c r="E464" s="292">
        <v>12.95</v>
      </c>
      <c r="F464" s="292">
        <f t="shared" si="114"/>
        <v>-46809.119999999995</v>
      </c>
      <c r="G464" s="292">
        <f t="shared" si="115"/>
        <v>113864.21999999999</v>
      </c>
      <c r="H464" s="293">
        <f t="shared" si="116"/>
        <v>-0.41109595270577537</v>
      </c>
      <c r="I464" s="292"/>
    </row>
    <row r="465" spans="2:14" x14ac:dyDescent="0.25">
      <c r="B465" s="533">
        <v>42356</v>
      </c>
      <c r="C465" s="291">
        <v>6178</v>
      </c>
      <c r="D465" s="534">
        <v>20.48</v>
      </c>
      <c r="E465" s="292">
        <v>12.76</v>
      </c>
      <c r="F465" s="292">
        <f t="shared" si="114"/>
        <v>-47694.16</v>
      </c>
      <c r="G465" s="292">
        <f t="shared" si="115"/>
        <v>126525.44</v>
      </c>
      <c r="H465" s="293">
        <f t="shared" si="116"/>
        <v>-0.376953125</v>
      </c>
      <c r="I465" s="292"/>
    </row>
    <row r="466" spans="2:14" x14ac:dyDescent="0.25">
      <c r="B466" s="533">
        <v>42356</v>
      </c>
      <c r="C466" s="291">
        <v>6400</v>
      </c>
      <c r="D466" s="534">
        <v>20.2</v>
      </c>
      <c r="E466" s="292">
        <v>12.68</v>
      </c>
      <c r="F466" s="292">
        <f t="shared" si="114"/>
        <v>-48128</v>
      </c>
      <c r="G466" s="292">
        <f t="shared" si="115"/>
        <v>129280</v>
      </c>
      <c r="H466" s="293">
        <f t="shared" si="116"/>
        <v>-0.37227722772277227</v>
      </c>
      <c r="I466" s="292"/>
    </row>
    <row r="467" spans="2:14" x14ac:dyDescent="0.25">
      <c r="B467" s="533">
        <v>42359</v>
      </c>
      <c r="C467" s="291">
        <v>5178</v>
      </c>
      <c r="D467" s="534">
        <v>21.96</v>
      </c>
      <c r="E467" s="292">
        <v>12.66</v>
      </c>
      <c r="F467" s="292">
        <f t="shared" si="114"/>
        <v>-48155.4</v>
      </c>
      <c r="G467" s="292">
        <f t="shared" si="115"/>
        <v>113708.88</v>
      </c>
      <c r="H467" s="293">
        <f t="shared" si="116"/>
        <v>-0.42349726775956287</v>
      </c>
      <c r="I467" s="292"/>
    </row>
    <row r="468" spans="2:14" x14ac:dyDescent="0.25">
      <c r="B468" s="533">
        <v>42361</v>
      </c>
      <c r="C468" s="291">
        <v>4178</v>
      </c>
      <c r="D468" s="534">
        <v>24.07</v>
      </c>
      <c r="E468" s="292">
        <v>13.96</v>
      </c>
      <c r="F468" s="292">
        <f t="shared" si="114"/>
        <v>-42239.579999999994</v>
      </c>
      <c r="G468" s="292">
        <f t="shared" si="115"/>
        <v>100564.46</v>
      </c>
      <c r="H468" s="293">
        <f t="shared" si="116"/>
        <v>-0.42002492729538843</v>
      </c>
      <c r="I468" s="292"/>
      <c r="N468" s="67"/>
    </row>
    <row r="469" spans="2:14" x14ac:dyDescent="0.25">
      <c r="B469" s="533">
        <v>42361</v>
      </c>
      <c r="C469" s="291">
        <v>4178</v>
      </c>
      <c r="D469" s="534">
        <v>24.03</v>
      </c>
      <c r="E469" s="292">
        <v>13.96</v>
      </c>
      <c r="F469" s="292">
        <f t="shared" si="114"/>
        <v>-42072.46</v>
      </c>
      <c r="G469" s="292">
        <f t="shared" si="115"/>
        <v>100397.34000000001</v>
      </c>
      <c r="H469" s="293">
        <f t="shared" si="116"/>
        <v>-0.41905950894714938</v>
      </c>
      <c r="I469" s="292"/>
    </row>
    <row r="470" spans="2:14" x14ac:dyDescent="0.25">
      <c r="B470" s="533">
        <v>42366</v>
      </c>
      <c r="C470" s="312">
        <v>6678</v>
      </c>
      <c r="D470" s="535">
        <v>19.91</v>
      </c>
      <c r="E470" s="292">
        <v>13.09</v>
      </c>
      <c r="F470" s="292">
        <f t="shared" si="114"/>
        <v>-45543.96</v>
      </c>
      <c r="G470" s="292">
        <f t="shared" si="115"/>
        <v>132958.98000000001</v>
      </c>
      <c r="H470" s="293">
        <f t="shared" si="116"/>
        <v>-0.34254143646408841</v>
      </c>
      <c r="I470" s="292"/>
    </row>
    <row r="471" spans="2:14" x14ac:dyDescent="0.25">
      <c r="B471" s="533">
        <v>42367</v>
      </c>
      <c r="C471" s="312">
        <v>8678</v>
      </c>
      <c r="D471" s="535">
        <v>18.32</v>
      </c>
      <c r="E471" s="292">
        <v>13.03</v>
      </c>
      <c r="F471" s="292">
        <f t="shared" si="114"/>
        <v>-45906.62000000001</v>
      </c>
      <c r="G471" s="292">
        <f t="shared" si="115"/>
        <v>158980.96</v>
      </c>
      <c r="H471" s="293">
        <f t="shared" si="116"/>
        <v>-0.28875545851528389</v>
      </c>
      <c r="I471" s="292"/>
    </row>
    <row r="472" spans="2:14" x14ac:dyDescent="0.25">
      <c r="B472" s="533">
        <v>42368</v>
      </c>
      <c r="C472" s="291">
        <v>9678</v>
      </c>
      <c r="D472" s="534">
        <v>17.73</v>
      </c>
      <c r="E472" s="292">
        <v>12.38</v>
      </c>
      <c r="F472" s="292">
        <f t="shared" si="114"/>
        <v>-51777.299999999996</v>
      </c>
      <c r="G472" s="292">
        <f t="shared" si="115"/>
        <v>171590.94</v>
      </c>
      <c r="H472" s="294">
        <f t="shared" si="116"/>
        <v>-0.30174844895657077</v>
      </c>
      <c r="I472" s="292"/>
    </row>
    <row r="473" spans="2:14" x14ac:dyDescent="0.25">
      <c r="B473" s="533">
        <v>42369</v>
      </c>
      <c r="C473" s="291">
        <v>8678</v>
      </c>
      <c r="D473" s="534">
        <v>18.312999999999999</v>
      </c>
      <c r="E473" s="292">
        <v>12.59</v>
      </c>
      <c r="F473" s="292">
        <f t="shared" si="114"/>
        <v>-49664.193999999989</v>
      </c>
      <c r="G473" s="292">
        <f t="shared" si="115"/>
        <v>158920.21399999998</v>
      </c>
      <c r="H473" s="294">
        <f t="shared" si="116"/>
        <v>-0.3125102386282968</v>
      </c>
      <c r="I473" s="292"/>
    </row>
    <row r="474" spans="2:14" x14ac:dyDescent="0.25">
      <c r="B474" s="533">
        <v>42374</v>
      </c>
      <c r="C474" s="291">
        <v>7678</v>
      </c>
      <c r="D474" s="534">
        <v>19.010000000000002</v>
      </c>
      <c r="E474" s="292">
        <v>12.76</v>
      </c>
      <c r="F474" s="292">
        <f t="shared" si="114"/>
        <v>-47987.500000000015</v>
      </c>
      <c r="G474" s="292">
        <f t="shared" si="115"/>
        <v>145958.78</v>
      </c>
      <c r="H474" s="294">
        <f t="shared" si="116"/>
        <v>-0.32877432930036832</v>
      </c>
      <c r="I474" s="292"/>
    </row>
    <row r="475" spans="2:14" x14ac:dyDescent="0.25">
      <c r="B475" s="533">
        <v>42375</v>
      </c>
      <c r="C475" s="291">
        <v>8678</v>
      </c>
      <c r="D475" s="534">
        <v>18.257000000000001</v>
      </c>
      <c r="E475" s="292">
        <v>12.76</v>
      </c>
      <c r="F475" s="292">
        <f t="shared" si="114"/>
        <v>-47702.966000000015</v>
      </c>
      <c r="G475" s="292">
        <f t="shared" si="115"/>
        <v>158434.24600000001</v>
      </c>
      <c r="H475" s="294">
        <f t="shared" si="116"/>
        <v>-0.30108999287944355</v>
      </c>
      <c r="I475" s="292"/>
    </row>
    <row r="476" spans="2:14" x14ac:dyDescent="0.25">
      <c r="B476" s="533">
        <v>42375</v>
      </c>
      <c r="C476" s="291">
        <v>9678</v>
      </c>
      <c r="D476" s="534">
        <v>17.579999999999998</v>
      </c>
      <c r="E476" s="292">
        <v>11.28</v>
      </c>
      <c r="F476" s="292">
        <f t="shared" si="114"/>
        <v>-60971.399999999987</v>
      </c>
      <c r="G476" s="292">
        <f t="shared" si="115"/>
        <v>170139.24</v>
      </c>
      <c r="H476" s="294">
        <f t="shared" si="116"/>
        <v>-0.35836177474402725</v>
      </c>
      <c r="I476" s="292"/>
    </row>
    <row r="477" spans="2:14" x14ac:dyDescent="0.25">
      <c r="B477" s="533">
        <v>42398</v>
      </c>
      <c r="C477" s="291">
        <v>9278</v>
      </c>
      <c r="D477" s="534">
        <v>17.93</v>
      </c>
      <c r="E477" s="292">
        <v>9.56</v>
      </c>
      <c r="F477" s="292">
        <f t="shared" si="114"/>
        <v>-77656.859999999986</v>
      </c>
      <c r="G477" s="292">
        <f t="shared" si="115"/>
        <v>166354.54</v>
      </c>
      <c r="H477" s="294">
        <f t="shared" si="116"/>
        <v>-0.46681539319576126</v>
      </c>
      <c r="I477" s="292"/>
    </row>
    <row r="478" spans="2:14" ht="15" customHeight="1" x14ac:dyDescent="0.25">
      <c r="B478" s="533">
        <v>42402</v>
      </c>
      <c r="C478" s="291">
        <v>9678</v>
      </c>
      <c r="D478" s="534">
        <v>17.559999999999999</v>
      </c>
      <c r="E478" s="292">
        <v>8.74</v>
      </c>
      <c r="F478" s="292">
        <f t="shared" si="114"/>
        <v>-85359.959999999992</v>
      </c>
      <c r="G478" s="292">
        <f t="shared" si="115"/>
        <v>169945.68</v>
      </c>
      <c r="H478" s="294">
        <f t="shared" si="116"/>
        <v>-0.50227790432801822</v>
      </c>
      <c r="I478" s="292"/>
    </row>
    <row r="479" spans="2:14" x14ac:dyDescent="0.25">
      <c r="B479" s="533">
        <v>42411</v>
      </c>
      <c r="C479" s="291">
        <v>9678</v>
      </c>
      <c r="D479" s="534">
        <v>17.553999999999998</v>
      </c>
      <c r="E479" s="292">
        <v>7.13</v>
      </c>
      <c r="F479" s="292">
        <f t="shared" si="114"/>
        <v>-100883.47199999999</v>
      </c>
      <c r="G479" s="292">
        <f t="shared" si="115"/>
        <v>169887.61199999999</v>
      </c>
      <c r="H479" s="293">
        <f t="shared" si="116"/>
        <v>-0.59382476928335426</v>
      </c>
      <c r="I479" s="292"/>
    </row>
    <row r="480" spans="2:14" x14ac:dyDescent="0.25">
      <c r="B480" s="533">
        <v>42412</v>
      </c>
      <c r="C480" s="291">
        <v>9678</v>
      </c>
      <c r="D480" s="534">
        <v>17.55</v>
      </c>
      <c r="E480" s="292">
        <v>7.46</v>
      </c>
      <c r="F480" s="292">
        <f t="shared" si="114"/>
        <v>-97651.02</v>
      </c>
      <c r="G480" s="292">
        <f t="shared" si="115"/>
        <v>169848.9</v>
      </c>
      <c r="H480" s="293">
        <f t="shared" si="116"/>
        <v>-0.57492877492877492</v>
      </c>
      <c r="I480" s="292"/>
    </row>
    <row r="481" spans="2:9" x14ac:dyDescent="0.25">
      <c r="B481" s="533">
        <v>42416</v>
      </c>
      <c r="C481" s="291">
        <v>9178</v>
      </c>
      <c r="D481" s="534">
        <v>18.084</v>
      </c>
      <c r="E481" s="292">
        <v>7.49</v>
      </c>
      <c r="F481" s="292">
        <f t="shared" si="114"/>
        <v>-97231.731999999989</v>
      </c>
      <c r="G481" s="292">
        <f t="shared" si="115"/>
        <v>165974.95199999999</v>
      </c>
      <c r="H481" s="293">
        <f t="shared" si="116"/>
        <v>-0.58582172085821715</v>
      </c>
      <c r="I481" s="292"/>
    </row>
    <row r="482" spans="2:9" x14ac:dyDescent="0.25">
      <c r="B482" s="533">
        <v>42416</v>
      </c>
      <c r="C482" s="291">
        <v>9678</v>
      </c>
      <c r="D482" s="534">
        <v>17.536999999999999</v>
      </c>
      <c r="E482" s="292">
        <v>7.49</v>
      </c>
      <c r="F482" s="292">
        <f t="shared" si="114"/>
        <v>-97234.865999999995</v>
      </c>
      <c r="G482" s="292">
        <f t="shared" si="115"/>
        <v>169723.08599999998</v>
      </c>
      <c r="H482" s="293">
        <f t="shared" si="116"/>
        <v>-0.57290300507498426</v>
      </c>
      <c r="I482" s="292"/>
    </row>
    <row r="483" spans="2:9" x14ac:dyDescent="0.25">
      <c r="B483" s="533">
        <v>42418</v>
      </c>
      <c r="C483" s="291">
        <v>13478</v>
      </c>
      <c r="D483" s="534">
        <v>14.673999999999999</v>
      </c>
      <c r="E483" s="292">
        <v>6.93</v>
      </c>
      <c r="F483" s="292">
        <f t="shared" si="114"/>
        <v>-104373.632</v>
      </c>
      <c r="G483" s="292">
        <f t="shared" si="115"/>
        <v>197776.17199999999</v>
      </c>
      <c r="H483" s="293">
        <f t="shared" si="116"/>
        <v>-0.52773613193403301</v>
      </c>
      <c r="I483" s="292"/>
    </row>
    <row r="484" spans="2:9" x14ac:dyDescent="0.25">
      <c r="B484" s="533">
        <v>42422</v>
      </c>
      <c r="C484" s="291">
        <v>10978</v>
      </c>
      <c r="D484" s="534">
        <v>16.314</v>
      </c>
      <c r="E484" s="292">
        <v>7.49</v>
      </c>
      <c r="F484" s="292">
        <f t="shared" si="114"/>
        <v>-96869.872000000003</v>
      </c>
      <c r="G484" s="292">
        <f>IF(C484=0, 0,D484*C484)</f>
        <v>179095.092</v>
      </c>
      <c r="H484" s="293">
        <f>IF(C484=0, D484, (E484-D484)/D484)</f>
        <v>-0.54088512933676591</v>
      </c>
      <c r="I484" s="292"/>
    </row>
    <row r="485" spans="2:9" x14ac:dyDescent="0.25">
      <c r="B485" s="533">
        <v>42422</v>
      </c>
      <c r="C485" s="291">
        <v>9978</v>
      </c>
      <c r="D485" s="534">
        <v>17.199000000000002</v>
      </c>
      <c r="E485" s="292">
        <v>7.49</v>
      </c>
      <c r="F485" s="292">
        <f t="shared" si="114"/>
        <v>-96876.402000000016</v>
      </c>
      <c r="G485" s="292">
        <f>IF(C485=0, 0,D485*C485)</f>
        <v>171611.622</v>
      </c>
      <c r="H485" s="293">
        <f>IF(C485=0, D485, (E485-D485)/D485)</f>
        <v>-0.56450956450956458</v>
      </c>
      <c r="I485" s="292"/>
    </row>
    <row r="486" spans="2:9" x14ac:dyDescent="0.25">
      <c r="B486" s="533">
        <v>42426</v>
      </c>
      <c r="C486" s="291">
        <v>9678</v>
      </c>
      <c r="D486" s="534">
        <v>17.489000000000001</v>
      </c>
      <c r="E486" s="292">
        <v>7.49</v>
      </c>
      <c r="F486" s="292">
        <f t="shared" ref="F486:F494" si="117">C486*(E486-D486)</f>
        <v>-96770.322</v>
      </c>
      <c r="G486" s="292">
        <f>IF(C486=0, 0,D486*C486)</f>
        <v>169258.54200000002</v>
      </c>
      <c r="H486" s="293">
        <f>IF(C486=0, D486, (E486-D486)/D486)</f>
        <v>-0.57173080221853734</v>
      </c>
      <c r="I486" s="292"/>
    </row>
    <row r="487" spans="2:9" ht="15" customHeight="1" x14ac:dyDescent="0.25">
      <c r="B487" s="533">
        <v>42426</v>
      </c>
      <c r="C487" s="291">
        <v>9178</v>
      </c>
      <c r="D487" s="534">
        <v>18.02</v>
      </c>
      <c r="E487" s="292">
        <v>7.76</v>
      </c>
      <c r="F487" s="292">
        <f t="shared" si="117"/>
        <v>-94166.28</v>
      </c>
      <c r="G487" s="292">
        <f t="shared" ref="G487:G494" si="118">IF(C487=0, 0,D487*C487)</f>
        <v>165387.56</v>
      </c>
      <c r="H487" s="293">
        <f t="shared" ref="H487:H494" si="119">IF(C487=0, D487, (E487-D487)/D487)</f>
        <v>-0.5693673695893452</v>
      </c>
      <c r="I487" s="292"/>
    </row>
    <row r="488" spans="2:9" x14ac:dyDescent="0.25">
      <c r="B488" s="533">
        <v>42426</v>
      </c>
      <c r="C488" s="291">
        <v>8178</v>
      </c>
      <c r="D488" s="534">
        <v>19.245999999999999</v>
      </c>
      <c r="E488" s="292">
        <v>8</v>
      </c>
      <c r="F488" s="292">
        <f t="shared" si="117"/>
        <v>-91969.787999999986</v>
      </c>
      <c r="G488" s="292">
        <f t="shared" si="118"/>
        <v>157393.788</v>
      </c>
      <c r="H488" s="293">
        <f t="shared" si="119"/>
        <v>-0.58432921126467829</v>
      </c>
      <c r="I488" s="292"/>
    </row>
    <row r="489" spans="2:9" x14ac:dyDescent="0.25">
      <c r="B489" s="533">
        <v>42426</v>
      </c>
      <c r="C489" s="291">
        <v>6678</v>
      </c>
      <c r="D489" s="534">
        <v>21.75</v>
      </c>
      <c r="E489" s="292">
        <v>8.1</v>
      </c>
      <c r="F489" s="292">
        <f t="shared" si="117"/>
        <v>-91154.7</v>
      </c>
      <c r="G489" s="292">
        <f t="shared" si="118"/>
        <v>145246.5</v>
      </c>
      <c r="H489" s="293">
        <f t="shared" si="119"/>
        <v>-0.62758620689655176</v>
      </c>
      <c r="I489" s="292"/>
    </row>
    <row r="490" spans="2:9" x14ac:dyDescent="0.25">
      <c r="B490" s="533">
        <v>42426</v>
      </c>
      <c r="C490" s="291">
        <v>8678</v>
      </c>
      <c r="D490" s="534">
        <v>18.568999999999999</v>
      </c>
      <c r="E490" s="292">
        <v>7.94</v>
      </c>
      <c r="F490" s="292">
        <f t="shared" si="117"/>
        <v>-92238.461999999985</v>
      </c>
      <c r="G490" s="292">
        <f t="shared" si="118"/>
        <v>161141.78199999998</v>
      </c>
      <c r="H490" s="293">
        <f t="shared" si="119"/>
        <v>-0.57240562227368186</v>
      </c>
      <c r="I490" s="292"/>
    </row>
    <row r="491" spans="2:9" x14ac:dyDescent="0.25">
      <c r="B491" s="533">
        <v>42429</v>
      </c>
      <c r="C491" s="291">
        <v>7678</v>
      </c>
      <c r="D491" s="534">
        <v>19.876000000000001</v>
      </c>
      <c r="E491" s="292">
        <v>8.2100000000000009</v>
      </c>
      <c r="F491" s="292">
        <f t="shared" si="117"/>
        <v>-89571.54800000001</v>
      </c>
      <c r="G491" s="292">
        <f t="shared" si="118"/>
        <v>152607.92800000001</v>
      </c>
      <c r="H491" s="293">
        <f t="shared" si="119"/>
        <v>-0.58693902193600322</v>
      </c>
      <c r="I491" s="292"/>
    </row>
    <row r="492" spans="2:9" x14ac:dyDescent="0.25">
      <c r="B492" s="533">
        <v>42429</v>
      </c>
      <c r="C492" s="291">
        <v>9678</v>
      </c>
      <c r="D492" s="534">
        <v>17.463000000000001</v>
      </c>
      <c r="E492" s="292">
        <v>8.2100000000000009</v>
      </c>
      <c r="F492" s="292">
        <f t="shared" si="117"/>
        <v>-89550.534</v>
      </c>
      <c r="G492" s="292">
        <f t="shared" si="118"/>
        <v>169006.91400000002</v>
      </c>
      <c r="H492" s="293">
        <f t="shared" si="119"/>
        <v>-0.5298631392086125</v>
      </c>
      <c r="I492" s="292"/>
    </row>
    <row r="493" spans="2:9" x14ac:dyDescent="0.25">
      <c r="B493" s="533">
        <v>42429</v>
      </c>
      <c r="C493" s="291">
        <v>9178</v>
      </c>
      <c r="D493" s="534">
        <v>17.981000000000002</v>
      </c>
      <c r="E493" s="292">
        <v>8.2100000000000009</v>
      </c>
      <c r="F493" s="292">
        <f t="shared" si="117"/>
        <v>-89678.238000000012</v>
      </c>
      <c r="G493" s="292">
        <f t="shared" si="118"/>
        <v>165029.61800000002</v>
      </c>
      <c r="H493" s="293">
        <f t="shared" si="119"/>
        <v>-0.5434069295367332</v>
      </c>
      <c r="I493" s="292"/>
    </row>
    <row r="494" spans="2:9" x14ac:dyDescent="0.25">
      <c r="B494" s="533">
        <v>42429</v>
      </c>
      <c r="C494" s="291">
        <v>9678</v>
      </c>
      <c r="D494" s="534">
        <v>17.459</v>
      </c>
      <c r="E494" s="292">
        <v>8.2100000000000009</v>
      </c>
      <c r="F494" s="292">
        <f t="shared" si="117"/>
        <v>-89511.821999999986</v>
      </c>
      <c r="G494" s="292">
        <f t="shared" si="118"/>
        <v>168968.20199999999</v>
      </c>
      <c r="H494" s="293">
        <f t="shared" si="119"/>
        <v>-0.5297554270004009</v>
      </c>
      <c r="I494" s="292"/>
    </row>
    <row r="495" spans="2:9" x14ac:dyDescent="0.25">
      <c r="B495" s="533">
        <v>42429</v>
      </c>
      <c r="C495" s="291">
        <v>9178</v>
      </c>
      <c r="D495" s="534">
        <v>17.975999999999999</v>
      </c>
      <c r="E495" s="292">
        <v>8.2100000000000009</v>
      </c>
      <c r="F495" s="292">
        <f t="shared" ref="F495:F506" si="120">C495*(E495-D495)</f>
        <v>-89632.347999999984</v>
      </c>
      <c r="G495" s="292">
        <f t="shared" ref="G495:G506" si="121">IF(C495=0, 0,D495*C495)</f>
        <v>164983.728</v>
      </c>
      <c r="H495" s="293">
        <f t="shared" ref="H495:H546" si="122">IF(C495=0, D495, (E495-D495)/D495)</f>
        <v>-0.54327992879394738</v>
      </c>
      <c r="I495" s="292" t="s">
        <v>183</v>
      </c>
    </row>
    <row r="496" spans="2:9" x14ac:dyDescent="0.25">
      <c r="B496" s="533">
        <v>42430</v>
      </c>
      <c r="C496" s="312">
        <v>10178</v>
      </c>
      <c r="D496" s="535">
        <v>16.974</v>
      </c>
      <c r="E496" s="292">
        <v>7.8</v>
      </c>
      <c r="F496" s="292">
        <f t="shared" si="120"/>
        <v>-93372.971999999994</v>
      </c>
      <c r="G496" s="292">
        <f t="shared" si="121"/>
        <v>172761.372</v>
      </c>
      <c r="H496" s="293">
        <f t="shared" si="122"/>
        <v>-0.54047366560622123</v>
      </c>
      <c r="I496" s="292"/>
    </row>
    <row r="497" spans="2:14" x14ac:dyDescent="0.25">
      <c r="B497" s="533">
        <v>42430</v>
      </c>
      <c r="C497" s="312">
        <v>9678</v>
      </c>
      <c r="D497" s="535">
        <v>17.440000000000001</v>
      </c>
      <c r="E497" s="292">
        <v>7.96</v>
      </c>
      <c r="F497" s="292">
        <f t="shared" si="120"/>
        <v>-91747.44</v>
      </c>
      <c r="G497" s="292">
        <f t="shared" si="121"/>
        <v>168784.32</v>
      </c>
      <c r="H497" s="293">
        <f t="shared" si="122"/>
        <v>-0.54357798165137616</v>
      </c>
      <c r="I497" s="292"/>
    </row>
    <row r="498" spans="2:14" x14ac:dyDescent="0.25">
      <c r="B498" s="533">
        <v>42431</v>
      </c>
      <c r="C498" s="291">
        <v>8678</v>
      </c>
      <c r="D498" s="534">
        <v>18.405999999999999</v>
      </c>
      <c r="E498" s="292">
        <v>9.1</v>
      </c>
      <c r="F498" s="292">
        <f t="shared" si="120"/>
        <v>-80757.467999999993</v>
      </c>
      <c r="G498" s="292">
        <f t="shared" si="121"/>
        <v>159727.26799999998</v>
      </c>
      <c r="H498" s="294">
        <f t="shared" si="122"/>
        <v>-0.50559600130392257</v>
      </c>
      <c r="I498" s="292"/>
    </row>
    <row r="499" spans="2:14" x14ac:dyDescent="0.25">
      <c r="B499" s="533">
        <v>42432</v>
      </c>
      <c r="C499" s="291">
        <v>9278</v>
      </c>
      <c r="D499" s="534">
        <v>17.771999999999998</v>
      </c>
      <c r="E499" s="292">
        <v>9.9700000000000006</v>
      </c>
      <c r="F499" s="292">
        <f t="shared" si="120"/>
        <v>-72386.955999999976</v>
      </c>
      <c r="G499" s="292">
        <f t="shared" si="121"/>
        <v>164888.61599999998</v>
      </c>
      <c r="H499" s="294">
        <f t="shared" si="122"/>
        <v>-0.43900517668242173</v>
      </c>
      <c r="I499" s="292"/>
      <c r="N499" s="29"/>
    </row>
    <row r="500" spans="2:14" x14ac:dyDescent="0.25">
      <c r="B500" s="533">
        <v>42433</v>
      </c>
      <c r="C500" s="291">
        <v>9278</v>
      </c>
      <c r="D500" s="534">
        <v>17.771999999999998</v>
      </c>
      <c r="E500" s="292">
        <v>11</v>
      </c>
      <c r="F500" s="292">
        <f t="shared" si="120"/>
        <v>-62830.615999999987</v>
      </c>
      <c r="G500" s="292">
        <f t="shared" si="121"/>
        <v>164888.61599999998</v>
      </c>
      <c r="H500" s="294">
        <f t="shared" si="122"/>
        <v>-0.38104884087328378</v>
      </c>
      <c r="I500" s="292"/>
    </row>
    <row r="501" spans="2:14" x14ac:dyDescent="0.25">
      <c r="B501" s="533">
        <v>42439</v>
      </c>
      <c r="C501" s="291">
        <v>9278</v>
      </c>
      <c r="D501" s="534">
        <v>17.718</v>
      </c>
      <c r="E501" s="292">
        <v>10.59</v>
      </c>
      <c r="F501" s="292">
        <f t="shared" si="120"/>
        <v>-66133.584000000003</v>
      </c>
      <c r="G501" s="292">
        <f t="shared" si="121"/>
        <v>164387.60399999999</v>
      </c>
      <c r="H501" s="294">
        <f t="shared" si="122"/>
        <v>-0.40230274297324753</v>
      </c>
      <c r="I501" s="292" t="s">
        <v>182</v>
      </c>
    </row>
    <row r="502" spans="2:14" x14ac:dyDescent="0.25">
      <c r="B502" s="533">
        <v>42440</v>
      </c>
      <c r="C502" s="291">
        <v>9278</v>
      </c>
      <c r="D502" s="534">
        <v>17.712</v>
      </c>
      <c r="E502" s="292">
        <v>11.12</v>
      </c>
      <c r="F502" s="292">
        <f t="shared" si="120"/>
        <v>-61160.576000000008</v>
      </c>
      <c r="G502" s="292">
        <f t="shared" si="121"/>
        <v>164331.93599999999</v>
      </c>
      <c r="H502" s="294">
        <f t="shared" si="122"/>
        <v>-0.37217705510388438</v>
      </c>
      <c r="I502" s="292"/>
    </row>
    <row r="503" spans="2:14" x14ac:dyDescent="0.25">
      <c r="B503" s="533">
        <v>42446</v>
      </c>
      <c r="C503" s="291">
        <v>9278</v>
      </c>
      <c r="D503" s="534">
        <v>17.704999999999998</v>
      </c>
      <c r="E503" s="292">
        <v>11.45</v>
      </c>
      <c r="F503" s="292">
        <f t="shared" si="120"/>
        <v>-58033.889999999992</v>
      </c>
      <c r="G503" s="292">
        <f t="shared" si="121"/>
        <v>164266.99</v>
      </c>
      <c r="H503" s="294">
        <f t="shared" si="122"/>
        <v>-0.353290031064671</v>
      </c>
      <c r="I503" s="292"/>
    </row>
    <row r="504" spans="2:14" x14ac:dyDescent="0.25">
      <c r="B504" s="533">
        <v>42447</v>
      </c>
      <c r="C504" s="291">
        <v>7928</v>
      </c>
      <c r="D504" s="534">
        <v>18.734999999999999</v>
      </c>
      <c r="E504" s="292">
        <v>11.63</v>
      </c>
      <c r="F504" s="292">
        <f t="shared" si="120"/>
        <v>-56328.439999999988</v>
      </c>
      <c r="G504" s="292">
        <f t="shared" si="121"/>
        <v>148531.07999999999</v>
      </c>
      <c r="H504" s="294">
        <f t="shared" si="122"/>
        <v>-0.37923672271150249</v>
      </c>
      <c r="I504" s="292"/>
    </row>
    <row r="505" spans="2:14" x14ac:dyDescent="0.25">
      <c r="B505" s="533">
        <v>42450</v>
      </c>
      <c r="C505" s="291">
        <v>9278</v>
      </c>
      <c r="D505" s="534">
        <v>17.670000000000002</v>
      </c>
      <c r="E505" s="292">
        <v>11.43</v>
      </c>
      <c r="F505" s="292">
        <f t="shared" si="120"/>
        <v>-57894.720000000016</v>
      </c>
      <c r="G505" s="292">
        <f t="shared" si="121"/>
        <v>163942.26</v>
      </c>
      <c r="H505" s="293">
        <f t="shared" si="122"/>
        <v>-0.35314091680814946</v>
      </c>
      <c r="I505" s="292"/>
    </row>
    <row r="506" spans="2:14" x14ac:dyDescent="0.25">
      <c r="B506" s="533">
        <v>42451</v>
      </c>
      <c r="C506" s="291">
        <v>9628</v>
      </c>
      <c r="D506" s="534">
        <v>17.428000000000001</v>
      </c>
      <c r="E506" s="292">
        <v>11.31</v>
      </c>
      <c r="F506" s="292">
        <f t="shared" si="120"/>
        <v>-58904.104000000007</v>
      </c>
      <c r="G506" s="292">
        <f t="shared" si="121"/>
        <v>167796.78400000001</v>
      </c>
      <c r="H506" s="293">
        <f t="shared" si="122"/>
        <v>-0.35104429653431263</v>
      </c>
      <c r="I506" s="292"/>
    </row>
    <row r="507" spans="2:14" x14ac:dyDescent="0.25">
      <c r="B507" s="533">
        <v>42453</v>
      </c>
      <c r="C507" s="291">
        <v>13278</v>
      </c>
      <c r="D507" s="534">
        <v>15.5565</v>
      </c>
      <c r="E507" s="292">
        <v>10.29</v>
      </c>
      <c r="F507" s="292">
        <f t="shared" ref="F507:F546" si="123">C507*(E507-D507)</f>
        <v>-69928.587000000014</v>
      </c>
      <c r="G507" s="292">
        <f t="shared" ref="G507:G546" si="124">IF(C507=0, 0,D507*C507)</f>
        <v>206559.20699999999</v>
      </c>
      <c r="H507" s="293">
        <f t="shared" si="122"/>
        <v>-0.33854016006171056</v>
      </c>
      <c r="I507" s="292"/>
    </row>
    <row r="508" spans="2:14" x14ac:dyDescent="0.25">
      <c r="B508" s="533">
        <v>42459</v>
      </c>
      <c r="C508" s="291">
        <v>11278</v>
      </c>
      <c r="D508" s="534">
        <v>16.408899999999999</v>
      </c>
      <c r="E508" s="292">
        <v>10.53</v>
      </c>
      <c r="F508" s="292">
        <f t="shared" si="123"/>
        <v>-66302.234199999992</v>
      </c>
      <c r="G508" s="292">
        <f t="shared" si="124"/>
        <v>185059.5742</v>
      </c>
      <c r="H508" s="293">
        <f t="shared" si="122"/>
        <v>-0.35827508242478168</v>
      </c>
      <c r="I508" s="292"/>
    </row>
    <row r="509" spans="2:14" x14ac:dyDescent="0.25">
      <c r="B509" s="533">
        <v>42460</v>
      </c>
      <c r="C509" s="291">
        <v>9678</v>
      </c>
      <c r="D509" s="534">
        <v>17.311699999999998</v>
      </c>
      <c r="E509" s="292">
        <v>11.14</v>
      </c>
      <c r="F509" s="292">
        <f t="shared" si="123"/>
        <v>-59729.712599999977</v>
      </c>
      <c r="G509" s="292">
        <f t="shared" si="124"/>
        <v>167542.63259999998</v>
      </c>
      <c r="H509" s="293">
        <f t="shared" si="122"/>
        <v>-0.35650456049954643</v>
      </c>
      <c r="I509" s="292"/>
    </row>
    <row r="510" spans="2:14" x14ac:dyDescent="0.25">
      <c r="B510" s="533">
        <v>42461</v>
      </c>
      <c r="C510" s="291">
        <v>11678</v>
      </c>
      <c r="D510" s="534">
        <v>16.116</v>
      </c>
      <c r="E510" s="292">
        <v>10.53</v>
      </c>
      <c r="F510" s="292">
        <f t="shared" si="123"/>
        <v>-65233.308000000005</v>
      </c>
      <c r="G510" s="292">
        <f t="shared" si="124"/>
        <v>188202.64799999999</v>
      </c>
      <c r="H510" s="293">
        <f t="shared" si="122"/>
        <v>-0.34661206254653765</v>
      </c>
      <c r="I510" s="292"/>
    </row>
    <row r="511" spans="2:14" x14ac:dyDescent="0.25">
      <c r="B511" s="533">
        <v>42461</v>
      </c>
      <c r="C511" s="291">
        <v>9678</v>
      </c>
      <c r="D511" s="534">
        <v>17.266200000000001</v>
      </c>
      <c r="E511" s="292">
        <v>10.56</v>
      </c>
      <c r="F511" s="292">
        <f t="shared" si="123"/>
        <v>-64902.603600000009</v>
      </c>
      <c r="G511" s="292">
        <f t="shared" si="124"/>
        <v>167102.28360000002</v>
      </c>
      <c r="H511" s="293">
        <f t="shared" si="122"/>
        <v>-0.388400458699656</v>
      </c>
      <c r="I511" s="292"/>
    </row>
    <row r="512" spans="2:14" ht="15" customHeight="1" x14ac:dyDescent="0.25">
      <c r="B512" s="533">
        <v>42464</v>
      </c>
      <c r="C512" s="291">
        <v>9778</v>
      </c>
      <c r="D512" s="534">
        <v>17.196100000000001</v>
      </c>
      <c r="E512" s="292">
        <v>10.4</v>
      </c>
      <c r="F512" s="292">
        <f t="shared" si="123"/>
        <v>-66452.265800000008</v>
      </c>
      <c r="G512" s="292">
        <f t="shared" si="124"/>
        <v>168143.46580000001</v>
      </c>
      <c r="H512" s="293">
        <f t="shared" si="122"/>
        <v>-0.3952117049796175</v>
      </c>
      <c r="I512" s="292"/>
    </row>
    <row r="513" spans="2:9" x14ac:dyDescent="0.25">
      <c r="B513" s="533">
        <v>42465</v>
      </c>
      <c r="C513" s="291">
        <v>9678</v>
      </c>
      <c r="D513" s="534">
        <v>17.262699999999999</v>
      </c>
      <c r="E513" s="292">
        <v>10.63</v>
      </c>
      <c r="F513" s="292">
        <f t="shared" si="123"/>
        <v>-64191.270599999982</v>
      </c>
      <c r="G513" s="292">
        <f t="shared" si="124"/>
        <v>167068.4106</v>
      </c>
      <c r="H513" s="293">
        <f t="shared" si="122"/>
        <v>-0.38422147172806098</v>
      </c>
      <c r="I513" s="292"/>
    </row>
    <row r="514" spans="2:9" x14ac:dyDescent="0.25">
      <c r="B514" s="533">
        <v>42469</v>
      </c>
      <c r="C514" s="291">
        <v>8678</v>
      </c>
      <c r="D514" s="534">
        <v>17.895700000000001</v>
      </c>
      <c r="E514" s="292">
        <v>11.78</v>
      </c>
      <c r="F514" s="292">
        <f t="shared" si="123"/>
        <v>-53072.044600000016</v>
      </c>
      <c r="G514" s="292">
        <f t="shared" si="124"/>
        <v>155298.88460000002</v>
      </c>
      <c r="H514" s="293">
        <f t="shared" si="122"/>
        <v>-0.34174131215878684</v>
      </c>
      <c r="I514" s="292"/>
    </row>
    <row r="515" spans="2:9" x14ac:dyDescent="0.25">
      <c r="B515" s="533">
        <v>42471</v>
      </c>
      <c r="C515" s="291">
        <v>9678</v>
      </c>
      <c r="D515" s="534">
        <v>17.2514</v>
      </c>
      <c r="E515" s="292">
        <v>11.67</v>
      </c>
      <c r="F515" s="292">
        <f t="shared" si="123"/>
        <v>-54016.789200000007</v>
      </c>
      <c r="G515" s="292">
        <f t="shared" si="124"/>
        <v>166959.04920000001</v>
      </c>
      <c r="H515" s="293">
        <f t="shared" si="122"/>
        <v>-0.32353316252593994</v>
      </c>
      <c r="I515" s="292"/>
    </row>
    <row r="516" spans="2:9" x14ac:dyDescent="0.25">
      <c r="B516" s="533">
        <v>42472</v>
      </c>
      <c r="C516" s="291">
        <v>8288</v>
      </c>
      <c r="D516" s="534">
        <v>17.96</v>
      </c>
      <c r="E516" s="292">
        <v>13.05</v>
      </c>
      <c r="F516" s="292">
        <f t="shared" si="123"/>
        <v>-40694.080000000002</v>
      </c>
      <c r="G516" s="292">
        <f t="shared" si="124"/>
        <v>148852.48000000001</v>
      </c>
      <c r="H516" s="293">
        <f t="shared" si="122"/>
        <v>-0.27338530066815142</v>
      </c>
      <c r="I516" s="292"/>
    </row>
    <row r="517" spans="2:9" x14ac:dyDescent="0.25">
      <c r="B517" s="533">
        <v>42473</v>
      </c>
      <c r="C517" s="291">
        <v>9258</v>
      </c>
      <c r="D517" s="534">
        <v>17.415800000000001</v>
      </c>
      <c r="E517" s="292">
        <v>12.92</v>
      </c>
      <c r="F517" s="292">
        <f t="shared" si="123"/>
        <v>-41622.116400000006</v>
      </c>
      <c r="G517" s="292">
        <f t="shared" si="124"/>
        <v>161235.47640000001</v>
      </c>
      <c r="H517" s="293">
        <f t="shared" si="122"/>
        <v>-0.2581449029042594</v>
      </c>
      <c r="I517" s="292"/>
    </row>
    <row r="518" spans="2:9" x14ac:dyDescent="0.25">
      <c r="B518" s="533">
        <v>42474</v>
      </c>
      <c r="C518" s="291">
        <v>9678</v>
      </c>
      <c r="D518" s="534">
        <v>17.2135</v>
      </c>
      <c r="E518" s="292">
        <v>13.11</v>
      </c>
      <c r="F518" s="292">
        <f t="shared" si="123"/>
        <v>-39713.673000000003</v>
      </c>
      <c r="G518" s="292">
        <f t="shared" si="124"/>
        <v>166592.253</v>
      </c>
      <c r="H518" s="293">
        <f t="shared" si="122"/>
        <v>-0.23838847416272113</v>
      </c>
      <c r="I518" s="292"/>
    </row>
    <row r="519" spans="2:9" x14ac:dyDescent="0.25">
      <c r="B519" s="533">
        <v>42474</v>
      </c>
      <c r="C519" s="291">
        <v>9178</v>
      </c>
      <c r="D519" s="534">
        <v>17.433299999999999</v>
      </c>
      <c r="E519" s="292">
        <v>13.11</v>
      </c>
      <c r="F519" s="292">
        <f t="shared" si="123"/>
        <v>-39679.2474</v>
      </c>
      <c r="G519" s="292">
        <f t="shared" si="124"/>
        <v>160002.82739999998</v>
      </c>
      <c r="H519" s="293">
        <f t="shared" si="122"/>
        <v>-0.24799091394056202</v>
      </c>
      <c r="I519" s="292"/>
    </row>
    <row r="520" spans="2:9" x14ac:dyDescent="0.25">
      <c r="B520" s="533">
        <v>42475</v>
      </c>
      <c r="C520" s="291">
        <v>9678</v>
      </c>
      <c r="D520" s="534">
        <v>17.205100000000002</v>
      </c>
      <c r="E520" s="292">
        <v>13.01</v>
      </c>
      <c r="F520" s="292">
        <f t="shared" si="123"/>
        <v>-40600.177800000019</v>
      </c>
      <c r="G520" s="292">
        <f t="shared" si="124"/>
        <v>166510.9578</v>
      </c>
      <c r="H520" s="293">
        <f t="shared" si="122"/>
        <v>-0.24382886469709572</v>
      </c>
      <c r="I520" s="292"/>
    </row>
    <row r="521" spans="2:9" x14ac:dyDescent="0.25">
      <c r="B521" s="533">
        <v>42478</v>
      </c>
      <c r="C521" s="291">
        <v>9178</v>
      </c>
      <c r="D521" s="534">
        <v>17.412400000000002</v>
      </c>
      <c r="E521" s="292">
        <v>13.36</v>
      </c>
      <c r="F521" s="292">
        <f t="shared" si="123"/>
        <v>-37192.92720000002</v>
      </c>
      <c r="G521" s="292">
        <f t="shared" si="124"/>
        <v>159811.00720000002</v>
      </c>
      <c r="H521" s="293">
        <f t="shared" si="122"/>
        <v>-0.232730697663734</v>
      </c>
      <c r="I521" s="292"/>
    </row>
    <row r="522" spans="2:9" x14ac:dyDescent="0.25">
      <c r="B522" s="533">
        <v>42484</v>
      </c>
      <c r="C522" s="312">
        <v>9178</v>
      </c>
      <c r="D522" s="535">
        <v>17.412400000000002</v>
      </c>
      <c r="E522" s="292">
        <v>14.34</v>
      </c>
      <c r="F522" s="292">
        <f t="shared" si="123"/>
        <v>-28198.487200000018</v>
      </c>
      <c r="G522" s="292">
        <f t="shared" si="124"/>
        <v>159811.00720000002</v>
      </c>
      <c r="H522" s="293">
        <f t="shared" si="122"/>
        <v>-0.17644896740254082</v>
      </c>
      <c r="I522" s="292"/>
    </row>
    <row r="523" spans="2:9" x14ac:dyDescent="0.25">
      <c r="B523" s="533">
        <v>42485</v>
      </c>
      <c r="C523" s="312">
        <v>9678</v>
      </c>
      <c r="D523" s="535">
        <v>17.233499999999999</v>
      </c>
      <c r="E523" s="292">
        <v>13.83</v>
      </c>
      <c r="F523" s="292">
        <f t="shared" si="123"/>
        <v>-32939.072999999997</v>
      </c>
      <c r="G523" s="292">
        <f t="shared" si="124"/>
        <v>166785.81299999999</v>
      </c>
      <c r="H523" s="293">
        <f t="shared" si="122"/>
        <v>-0.19749325441726867</v>
      </c>
      <c r="I523" s="292"/>
    </row>
    <row r="524" spans="2:9" x14ac:dyDescent="0.25">
      <c r="B524" s="533">
        <v>42486</v>
      </c>
      <c r="C524" s="291">
        <v>9178</v>
      </c>
      <c r="D524" s="534">
        <v>17.390599999999999</v>
      </c>
      <c r="E524" s="292">
        <v>14.44</v>
      </c>
      <c r="F524" s="292">
        <f t="shared" si="123"/>
        <v>-27080.606799999998</v>
      </c>
      <c r="G524" s="292">
        <f t="shared" si="124"/>
        <v>159610.92679999999</v>
      </c>
      <c r="H524" s="294">
        <f t="shared" si="122"/>
        <v>-0.16966637148804525</v>
      </c>
      <c r="I524" s="292"/>
    </row>
    <row r="525" spans="2:9" x14ac:dyDescent="0.25">
      <c r="B525" s="533">
        <v>42487</v>
      </c>
      <c r="C525" s="291">
        <v>9178</v>
      </c>
      <c r="D525" s="534">
        <v>17.376300000000001</v>
      </c>
      <c r="E525" s="292">
        <v>14.84</v>
      </c>
      <c r="F525" s="292">
        <f t="shared" si="123"/>
        <v>-23278.161400000005</v>
      </c>
      <c r="G525" s="292">
        <f t="shared" si="124"/>
        <v>159479.6814</v>
      </c>
      <c r="H525" s="294">
        <f t="shared" si="122"/>
        <v>-0.14596317973331496</v>
      </c>
      <c r="I525" s="292"/>
    </row>
    <row r="526" spans="2:9" x14ac:dyDescent="0.25">
      <c r="B526" s="533">
        <v>42488</v>
      </c>
      <c r="C526" s="291">
        <v>9678</v>
      </c>
      <c r="D526" s="534">
        <v>17.2287</v>
      </c>
      <c r="E526" s="292">
        <v>14.35</v>
      </c>
      <c r="F526" s="292">
        <f t="shared" si="123"/>
        <v>-27860.058600000004</v>
      </c>
      <c r="G526" s="292">
        <f t="shared" si="124"/>
        <v>166739.35860000001</v>
      </c>
      <c r="H526" s="294">
        <f t="shared" si="122"/>
        <v>-0.16708747612994598</v>
      </c>
      <c r="I526" s="292"/>
    </row>
    <row r="527" spans="2:9" x14ac:dyDescent="0.25">
      <c r="B527" s="533">
        <v>42489</v>
      </c>
      <c r="C527" s="291">
        <v>9678</v>
      </c>
      <c r="D527" s="534">
        <v>17.179200000000002</v>
      </c>
      <c r="E527" s="292">
        <v>14.09</v>
      </c>
      <c r="F527" s="292">
        <f t="shared" si="123"/>
        <v>-29897.277600000016</v>
      </c>
      <c r="G527" s="292">
        <f t="shared" si="124"/>
        <v>166260.29760000002</v>
      </c>
      <c r="H527" s="294">
        <f t="shared" si="122"/>
        <v>-0.17982211045916</v>
      </c>
      <c r="I527" s="292"/>
    </row>
    <row r="528" spans="2:9" x14ac:dyDescent="0.25">
      <c r="B528" s="533">
        <v>42492</v>
      </c>
      <c r="C528" s="291">
        <v>9678</v>
      </c>
      <c r="D528" s="534">
        <v>17.136399999999998</v>
      </c>
      <c r="E528" s="292">
        <v>13.55</v>
      </c>
      <c r="F528" s="292">
        <f t="shared" si="123"/>
        <v>-34709.179199999977</v>
      </c>
      <c r="G528" s="292">
        <f t="shared" si="124"/>
        <v>165846.07919999998</v>
      </c>
      <c r="H528" s="294">
        <f t="shared" si="122"/>
        <v>-0.20928549753740563</v>
      </c>
      <c r="I528" s="292"/>
    </row>
    <row r="529" spans="2:9" x14ac:dyDescent="0.25">
      <c r="B529" s="533">
        <v>42493</v>
      </c>
      <c r="C529" s="291">
        <v>9678</v>
      </c>
      <c r="D529" s="534">
        <v>17.1221</v>
      </c>
      <c r="E529" s="292">
        <v>12.79</v>
      </c>
      <c r="F529" s="292">
        <f t="shared" si="123"/>
        <v>-41926.063800000004</v>
      </c>
      <c r="G529" s="292">
        <f t="shared" si="124"/>
        <v>165707.6838</v>
      </c>
      <c r="H529" s="294">
        <f t="shared" si="122"/>
        <v>-0.25301218892542388</v>
      </c>
      <c r="I529" s="292"/>
    </row>
    <row r="530" spans="2:9" x14ac:dyDescent="0.25">
      <c r="B530" s="533">
        <v>42494</v>
      </c>
      <c r="C530" s="291">
        <v>11678</v>
      </c>
      <c r="D530" s="534">
        <v>16.316800000000001</v>
      </c>
      <c r="E530" s="292">
        <v>12.17</v>
      </c>
      <c r="F530" s="292">
        <f t="shared" si="123"/>
        <v>-48426.330400000006</v>
      </c>
      <c r="G530" s="292">
        <f t="shared" si="124"/>
        <v>190547.59040000002</v>
      </c>
      <c r="H530" s="294">
        <f t="shared" si="122"/>
        <v>-0.25414296920964896</v>
      </c>
      <c r="I530" s="292"/>
    </row>
    <row r="531" spans="2:9" x14ac:dyDescent="0.25">
      <c r="B531" s="533">
        <v>42495</v>
      </c>
      <c r="C531" s="291">
        <v>9678</v>
      </c>
      <c r="D531" s="534">
        <v>17.0684</v>
      </c>
      <c r="E531" s="292">
        <v>12.07</v>
      </c>
      <c r="F531" s="292">
        <f t="shared" si="123"/>
        <v>-48374.515200000002</v>
      </c>
      <c r="G531" s="292">
        <f t="shared" si="124"/>
        <v>165187.97520000002</v>
      </c>
      <c r="H531" s="293">
        <f t="shared" si="122"/>
        <v>-0.29284525790349419</v>
      </c>
      <c r="I531" s="292"/>
    </row>
    <row r="532" spans="2:9" x14ac:dyDescent="0.25">
      <c r="B532" s="533">
        <v>42499</v>
      </c>
      <c r="C532" s="291">
        <v>10678</v>
      </c>
      <c r="D532" s="534">
        <v>16.537600000000001</v>
      </c>
      <c r="E532" s="292">
        <v>11.44</v>
      </c>
      <c r="F532" s="292">
        <f t="shared" si="123"/>
        <v>-54432.172800000015</v>
      </c>
      <c r="G532" s="292">
        <f t="shared" si="124"/>
        <v>176588.49280000001</v>
      </c>
      <c r="H532" s="293">
        <f t="shared" si="122"/>
        <v>-0.30824303405572762</v>
      </c>
      <c r="I532" s="292"/>
    </row>
    <row r="533" spans="2:9" x14ac:dyDescent="0.25">
      <c r="B533" s="533">
        <v>42500</v>
      </c>
      <c r="C533" s="291">
        <v>9678</v>
      </c>
      <c r="D533" s="534">
        <v>17.042100000000001</v>
      </c>
      <c r="E533" s="292">
        <v>11.94</v>
      </c>
      <c r="F533" s="292">
        <f t="shared" si="123"/>
        <v>-49378.123800000016</v>
      </c>
      <c r="G533" s="292">
        <f t="shared" si="124"/>
        <v>164933.44380000001</v>
      </c>
      <c r="H533" s="293">
        <f t="shared" si="122"/>
        <v>-0.2993821184009014</v>
      </c>
      <c r="I533" s="292"/>
    </row>
    <row r="534" spans="2:9" x14ac:dyDescent="0.25">
      <c r="B534" s="533">
        <v>42502</v>
      </c>
      <c r="C534" s="291">
        <v>10678</v>
      </c>
      <c r="D534" s="534">
        <v>16.601800000000001</v>
      </c>
      <c r="E534" s="292">
        <v>12.33</v>
      </c>
      <c r="F534" s="292">
        <f t="shared" si="123"/>
        <v>-45614.280400000011</v>
      </c>
      <c r="G534" s="292">
        <f t="shared" si="124"/>
        <v>177274.02040000001</v>
      </c>
      <c r="H534" s="293">
        <f t="shared" si="122"/>
        <v>-0.25730944837306802</v>
      </c>
      <c r="I534" s="292"/>
    </row>
    <row r="535" spans="2:9" x14ac:dyDescent="0.25">
      <c r="B535" s="533">
        <v>42502</v>
      </c>
      <c r="C535" s="291">
        <v>9678</v>
      </c>
      <c r="D535" s="534">
        <v>17.0334</v>
      </c>
      <c r="E535" s="292">
        <v>12.33</v>
      </c>
      <c r="F535" s="292">
        <f t="shared" si="123"/>
        <v>-45519.5052</v>
      </c>
      <c r="G535" s="292">
        <f t="shared" si="124"/>
        <v>164849.2452</v>
      </c>
      <c r="H535" s="293">
        <f t="shared" si="122"/>
        <v>-0.27612807777660364</v>
      </c>
      <c r="I535" s="292"/>
    </row>
    <row r="536" spans="2:9" x14ac:dyDescent="0.25">
      <c r="B536" s="533">
        <v>42503</v>
      </c>
      <c r="C536" s="291">
        <v>9678</v>
      </c>
      <c r="D536" s="534">
        <v>17.029299999999999</v>
      </c>
      <c r="E536" s="292">
        <v>12.3</v>
      </c>
      <c r="F536" s="292">
        <f t="shared" si="123"/>
        <v>-45770.165399999983</v>
      </c>
      <c r="G536" s="292">
        <f t="shared" si="124"/>
        <v>164809.56539999999</v>
      </c>
      <c r="H536" s="293">
        <f t="shared" si="122"/>
        <v>-0.27771546687180321</v>
      </c>
      <c r="I536" s="292"/>
    </row>
    <row r="537" spans="2:9" x14ac:dyDescent="0.25">
      <c r="B537" s="533">
        <v>42506</v>
      </c>
      <c r="C537" s="291">
        <v>9678</v>
      </c>
      <c r="D537" s="534">
        <v>17.027699999999999</v>
      </c>
      <c r="E537" s="292">
        <v>12.78</v>
      </c>
      <c r="F537" s="292">
        <f t="shared" si="123"/>
        <v>-41109.240599999997</v>
      </c>
      <c r="G537" s="292">
        <f t="shared" si="124"/>
        <v>164794.08059999999</v>
      </c>
      <c r="H537" s="293">
        <f t="shared" si="122"/>
        <v>-0.24945823569830336</v>
      </c>
      <c r="I537" s="292"/>
    </row>
    <row r="538" spans="2:9" x14ac:dyDescent="0.25">
      <c r="B538" s="533">
        <v>42513</v>
      </c>
      <c r="C538" s="291">
        <v>9178</v>
      </c>
      <c r="D538" s="534">
        <v>17.244399999999999</v>
      </c>
      <c r="E538" s="292">
        <v>13.19</v>
      </c>
      <c r="F538" s="292">
        <f t="shared" si="123"/>
        <v>-37211.283199999991</v>
      </c>
      <c r="G538" s="292">
        <f t="shared" si="124"/>
        <v>158269.10319999998</v>
      </c>
      <c r="H538" s="293">
        <f t="shared" si="122"/>
        <v>-0.23511400802579385</v>
      </c>
      <c r="I538" s="292"/>
    </row>
    <row r="539" spans="2:9" x14ac:dyDescent="0.25">
      <c r="B539" s="533">
        <v>42514</v>
      </c>
      <c r="C539" s="291">
        <v>9678</v>
      </c>
      <c r="D539" s="534">
        <v>17.026</v>
      </c>
      <c r="E539" s="292">
        <v>13.02</v>
      </c>
      <c r="F539" s="292">
        <f t="shared" si="123"/>
        <v>-38770.067999999999</v>
      </c>
      <c r="G539" s="292">
        <f t="shared" si="124"/>
        <v>164777.628</v>
      </c>
      <c r="H539" s="293">
        <f t="shared" si="122"/>
        <v>-0.23528720779983556</v>
      </c>
      <c r="I539" s="292"/>
    </row>
    <row r="540" spans="2:9" x14ac:dyDescent="0.25">
      <c r="B540" s="533">
        <v>42515</v>
      </c>
      <c r="C540" s="291">
        <v>9178</v>
      </c>
      <c r="D540" s="534">
        <v>17.206800000000001</v>
      </c>
      <c r="E540" s="292">
        <v>13.54</v>
      </c>
      <c r="F540" s="292">
        <f t="shared" si="123"/>
        <v>-33653.890400000018</v>
      </c>
      <c r="G540" s="292">
        <f t="shared" si="124"/>
        <v>157924.0104</v>
      </c>
      <c r="H540" s="293">
        <f t="shared" si="122"/>
        <v>-0.21310179696399109</v>
      </c>
      <c r="I540" s="292"/>
    </row>
    <row r="541" spans="2:9" x14ac:dyDescent="0.25">
      <c r="B541" s="533">
        <v>42516</v>
      </c>
      <c r="C541" s="291">
        <v>9678</v>
      </c>
      <c r="D541" s="534">
        <v>17.003799999999998</v>
      </c>
      <c r="E541" s="292">
        <v>13.17</v>
      </c>
      <c r="F541" s="292">
        <f t="shared" si="123"/>
        <v>-37103.516399999986</v>
      </c>
      <c r="G541" s="292">
        <f t="shared" si="124"/>
        <v>164562.77639999997</v>
      </c>
      <c r="H541" s="293">
        <f t="shared" si="122"/>
        <v>-0.22546724849739463</v>
      </c>
      <c r="I541" s="292"/>
    </row>
    <row r="542" spans="2:9" x14ac:dyDescent="0.25">
      <c r="B542" s="533">
        <v>42517</v>
      </c>
      <c r="C542" s="291">
        <v>9678</v>
      </c>
      <c r="D542" s="534">
        <v>16.999700000000001</v>
      </c>
      <c r="E542" s="292">
        <v>12.9</v>
      </c>
      <c r="F542" s="292">
        <f t="shared" si="123"/>
        <v>-39676.8966</v>
      </c>
      <c r="G542" s="292">
        <f t="shared" si="124"/>
        <v>164523.09660000002</v>
      </c>
      <c r="H542" s="293">
        <f t="shared" si="122"/>
        <v>-0.2411630793484591</v>
      </c>
      <c r="I542" s="292"/>
    </row>
    <row r="543" spans="2:9" x14ac:dyDescent="0.25">
      <c r="B543" s="533">
        <v>42525</v>
      </c>
      <c r="C543" s="291">
        <v>9678</v>
      </c>
      <c r="D543" s="534">
        <v>16.9956</v>
      </c>
      <c r="E543" s="292">
        <v>13.32</v>
      </c>
      <c r="F543" s="292">
        <f t="shared" si="123"/>
        <v>-35572.456799999993</v>
      </c>
      <c r="G543" s="292">
        <f t="shared" si="124"/>
        <v>164483.41680000001</v>
      </c>
      <c r="H543" s="293">
        <f t="shared" si="122"/>
        <v>-0.21626773988561743</v>
      </c>
      <c r="I543" s="292"/>
    </row>
    <row r="544" spans="2:9" x14ac:dyDescent="0.25">
      <c r="B544" s="533">
        <v>42527</v>
      </c>
      <c r="C544" s="291">
        <v>8178</v>
      </c>
      <c r="D544" s="534">
        <v>17.568999999999999</v>
      </c>
      <c r="E544" s="292">
        <v>13.96</v>
      </c>
      <c r="F544" s="292">
        <f t="shared" si="123"/>
        <v>-29514.401999999984</v>
      </c>
      <c r="G544" s="292">
        <f t="shared" si="124"/>
        <v>143679.28200000001</v>
      </c>
      <c r="H544" s="293">
        <f t="shared" si="122"/>
        <v>-0.20541863509590746</v>
      </c>
      <c r="I544" s="292"/>
    </row>
    <row r="545" spans="2:9" x14ac:dyDescent="0.25">
      <c r="B545" s="533">
        <v>42528</v>
      </c>
      <c r="C545" s="291">
        <v>7678</v>
      </c>
      <c r="D545" s="534">
        <v>17.759599999999999</v>
      </c>
      <c r="E545" s="292">
        <v>14.62</v>
      </c>
      <c r="F545" s="292">
        <f t="shared" si="123"/>
        <v>-24105.848799999996</v>
      </c>
      <c r="G545" s="292">
        <f t="shared" si="124"/>
        <v>136358.20879999999</v>
      </c>
      <c r="H545" s="293">
        <f t="shared" si="122"/>
        <v>-0.17678326088425414</v>
      </c>
      <c r="I545" s="292"/>
    </row>
    <row r="546" spans="2:9" x14ac:dyDescent="0.25">
      <c r="B546" s="533">
        <v>42529</v>
      </c>
      <c r="C546" s="291">
        <v>8178</v>
      </c>
      <c r="D546" s="534">
        <v>17.5654</v>
      </c>
      <c r="E546" s="292">
        <v>14.53</v>
      </c>
      <c r="F546" s="292">
        <f t="shared" si="123"/>
        <v>-24823.50120000001</v>
      </c>
      <c r="G546" s="292">
        <f t="shared" si="124"/>
        <v>143649.8412</v>
      </c>
      <c r="H546" s="293">
        <f t="shared" si="122"/>
        <v>-0.17280562924840887</v>
      </c>
      <c r="I546" s="292"/>
    </row>
    <row r="547" spans="2:9" x14ac:dyDescent="0.25">
      <c r="B547" s="533">
        <v>42531</v>
      </c>
      <c r="C547" s="291">
        <v>8978</v>
      </c>
      <c r="D547" s="534">
        <v>17.1751</v>
      </c>
      <c r="E547" s="292">
        <v>13.42</v>
      </c>
      <c r="F547" s="292">
        <f t="shared" ref="F547:F555" si="125">C547*(E547-D547)</f>
        <v>-33713.287800000006</v>
      </c>
      <c r="G547" s="292">
        <f t="shared" ref="G547:G555" si="126">IF(C547=0, 0,D547*C547)</f>
        <v>154198.0478</v>
      </c>
      <c r="H547" s="293">
        <f t="shared" ref="H547:H555" si="127">IF(C547=0, D547, (E547-D547)/D547)</f>
        <v>-0.21863628159370255</v>
      </c>
      <c r="I547" s="292"/>
    </row>
    <row r="548" spans="2:9" x14ac:dyDescent="0.25">
      <c r="B548" s="533">
        <v>42531</v>
      </c>
      <c r="C548" s="312">
        <v>9278</v>
      </c>
      <c r="D548" s="535">
        <v>17.1052</v>
      </c>
      <c r="E548" s="292">
        <v>13.42</v>
      </c>
      <c r="F548" s="292">
        <f t="shared" si="125"/>
        <v>-34191.285600000003</v>
      </c>
      <c r="G548" s="292">
        <f t="shared" si="126"/>
        <v>158702.04560000001</v>
      </c>
      <c r="H548" s="293">
        <f t="shared" si="127"/>
        <v>-0.21544325702125669</v>
      </c>
      <c r="I548" s="292"/>
    </row>
    <row r="549" spans="2:9" x14ac:dyDescent="0.25">
      <c r="B549" s="533">
        <v>42532</v>
      </c>
      <c r="C549" s="291">
        <v>9278</v>
      </c>
      <c r="D549" s="534">
        <v>17.053000000000001</v>
      </c>
      <c r="E549" s="292">
        <v>13.42</v>
      </c>
      <c r="F549" s="292">
        <f t="shared" si="125"/>
        <v>-33706.974000000009</v>
      </c>
      <c r="G549" s="292">
        <f t="shared" si="126"/>
        <v>158217.734</v>
      </c>
      <c r="H549" s="293">
        <f t="shared" si="127"/>
        <v>-0.21304169354365804</v>
      </c>
      <c r="I549" s="292" t="s">
        <v>179</v>
      </c>
    </row>
    <row r="550" spans="2:9" x14ac:dyDescent="0.25">
      <c r="B550" s="533">
        <v>42535</v>
      </c>
      <c r="C550" s="291">
        <v>9678</v>
      </c>
      <c r="D550" s="534">
        <v>16.879300000000001</v>
      </c>
      <c r="E550" s="292">
        <v>13.23</v>
      </c>
      <c r="F550" s="292">
        <f t="shared" si="125"/>
        <v>-35317.9254</v>
      </c>
      <c r="G550" s="292">
        <f t="shared" si="126"/>
        <v>163357.86540000001</v>
      </c>
      <c r="H550" s="293">
        <f t="shared" si="127"/>
        <v>-0.21619972392220058</v>
      </c>
      <c r="I550" s="292" t="s">
        <v>211</v>
      </c>
    </row>
    <row r="551" spans="2:9" x14ac:dyDescent="0.25">
      <c r="B551" s="533">
        <v>42536</v>
      </c>
      <c r="C551" s="291">
        <v>9278</v>
      </c>
      <c r="D551" s="534">
        <v>17.027999999999999</v>
      </c>
      <c r="E551" s="292">
        <v>13.06</v>
      </c>
      <c r="F551" s="292">
        <f t="shared" si="125"/>
        <v>-36815.103999999985</v>
      </c>
      <c r="G551" s="292">
        <f t="shared" si="126"/>
        <v>157985.78399999999</v>
      </c>
      <c r="H551" s="293">
        <f t="shared" si="127"/>
        <v>-0.23302795395818643</v>
      </c>
      <c r="I551" s="292"/>
    </row>
    <row r="552" spans="2:9" x14ac:dyDescent="0.25">
      <c r="B552" s="533">
        <v>42537</v>
      </c>
      <c r="C552" s="312">
        <v>9278</v>
      </c>
      <c r="D552" s="535">
        <v>17.0168</v>
      </c>
      <c r="E552" s="292">
        <v>12.67</v>
      </c>
      <c r="F552" s="292">
        <f t="shared" si="125"/>
        <v>-40329.610399999998</v>
      </c>
      <c r="G552" s="292">
        <f t="shared" si="126"/>
        <v>157881.87039999999</v>
      </c>
      <c r="H552" s="293">
        <f t="shared" si="127"/>
        <v>-0.25544168116214566</v>
      </c>
      <c r="I552" s="292"/>
    </row>
    <row r="553" spans="2:9" x14ac:dyDescent="0.25">
      <c r="B553" s="533">
        <v>42538</v>
      </c>
      <c r="C553" s="312">
        <v>9278</v>
      </c>
      <c r="D553" s="535">
        <v>17.0061</v>
      </c>
      <c r="E553" s="292">
        <v>13.16</v>
      </c>
      <c r="F553" s="292">
        <f t="shared" si="125"/>
        <v>-35684.1158</v>
      </c>
      <c r="G553" s="292">
        <f t="shared" si="126"/>
        <v>157782.59580000001</v>
      </c>
      <c r="H553" s="293">
        <f t="shared" si="127"/>
        <v>-0.2261600249322302</v>
      </c>
      <c r="I553" s="292"/>
    </row>
    <row r="554" spans="2:9" x14ac:dyDescent="0.25">
      <c r="B554" s="533">
        <v>42541</v>
      </c>
      <c r="C554" s="291">
        <v>7678</v>
      </c>
      <c r="D554" s="534">
        <v>17.568000000000001</v>
      </c>
      <c r="E554" s="292">
        <v>14.48</v>
      </c>
      <c r="F554" s="292">
        <f t="shared" si="125"/>
        <v>-23709.664000000008</v>
      </c>
      <c r="G554" s="292">
        <f t="shared" si="126"/>
        <v>134887.10400000002</v>
      </c>
      <c r="H554" s="294">
        <f t="shared" si="127"/>
        <v>-0.17577413479052828</v>
      </c>
      <c r="I554" s="292"/>
    </row>
    <row r="555" spans="2:9" x14ac:dyDescent="0.25">
      <c r="B555" s="533">
        <v>42542</v>
      </c>
      <c r="C555" s="291">
        <v>6800</v>
      </c>
      <c r="D555" s="534">
        <v>17.892099999999999</v>
      </c>
      <c r="E555" s="292">
        <v>15.09</v>
      </c>
      <c r="F555" s="292">
        <f t="shared" si="125"/>
        <v>-19054.279999999995</v>
      </c>
      <c r="G555" s="292">
        <f t="shared" si="126"/>
        <v>121666.28</v>
      </c>
      <c r="H555" s="294">
        <f t="shared" si="127"/>
        <v>-0.15661101827063337</v>
      </c>
      <c r="I555" s="292"/>
    </row>
    <row r="556" spans="2:9" x14ac:dyDescent="0.25">
      <c r="B556" s="533">
        <v>42543</v>
      </c>
      <c r="C556" s="291">
        <v>7300</v>
      </c>
      <c r="D556" s="534">
        <v>17.6769</v>
      </c>
      <c r="E556" s="292">
        <v>14.75</v>
      </c>
      <c r="F556" s="292">
        <f t="shared" ref="F556:F564" si="128">C556*(E556-D556)</f>
        <v>-21366.37</v>
      </c>
      <c r="G556" s="292">
        <f t="shared" ref="G556:G564" si="129">IF(C556=0, 0,D556*C556)</f>
        <v>129041.37</v>
      </c>
      <c r="H556" s="294">
        <f t="shared" ref="H556:H564" si="130">IF(C556=0, D556, (E556-D556)/D556)</f>
        <v>-0.16557767481854849</v>
      </c>
      <c r="I556" s="292"/>
    </row>
    <row r="557" spans="2:9" x14ac:dyDescent="0.25">
      <c r="B557" s="533">
        <v>42544</v>
      </c>
      <c r="C557" s="291">
        <v>6800</v>
      </c>
      <c r="D557" s="534">
        <v>17.856100000000001</v>
      </c>
      <c r="E557" s="292">
        <v>15.27</v>
      </c>
      <c r="F557" s="292">
        <f t="shared" si="128"/>
        <v>-17585.480000000014</v>
      </c>
      <c r="G557" s="292">
        <f t="shared" si="129"/>
        <v>121421.48000000001</v>
      </c>
      <c r="H557" s="294">
        <f t="shared" si="130"/>
        <v>-0.1448300580753917</v>
      </c>
      <c r="I557" s="292"/>
    </row>
    <row r="558" spans="2:9" x14ac:dyDescent="0.25">
      <c r="B558" s="533">
        <v>42545</v>
      </c>
      <c r="C558" s="291">
        <v>7678</v>
      </c>
      <c r="D558" s="534">
        <v>17.462</v>
      </c>
      <c r="E558" s="292">
        <v>14.41</v>
      </c>
      <c r="F558" s="292">
        <f t="shared" si="128"/>
        <v>-23433.255999999998</v>
      </c>
      <c r="G558" s="292">
        <f t="shared" si="129"/>
        <v>134073.236</v>
      </c>
      <c r="H558" s="294">
        <f t="shared" si="130"/>
        <v>-0.17477952124613444</v>
      </c>
      <c r="I558" s="292"/>
    </row>
    <row r="559" spans="2:9" x14ac:dyDescent="0.25">
      <c r="B559" s="533">
        <v>42545</v>
      </c>
      <c r="C559" s="291">
        <v>8013</v>
      </c>
      <c r="D559" s="534">
        <v>17.32</v>
      </c>
      <c r="E559" s="292">
        <v>14.68</v>
      </c>
      <c r="F559" s="292">
        <f t="shared" si="128"/>
        <v>-21154.320000000003</v>
      </c>
      <c r="G559" s="292">
        <f t="shared" si="129"/>
        <v>138785.16</v>
      </c>
      <c r="H559" s="294">
        <f t="shared" si="130"/>
        <v>-0.15242494226327949</v>
      </c>
      <c r="I559" s="292"/>
    </row>
    <row r="560" spans="2:9" x14ac:dyDescent="0.25">
      <c r="B560" s="533">
        <v>42548</v>
      </c>
      <c r="C560" s="291">
        <v>8978</v>
      </c>
      <c r="D560" s="534">
        <v>16.943300000000001</v>
      </c>
      <c r="E560" s="292">
        <v>13.66</v>
      </c>
      <c r="F560" s="292">
        <f t="shared" si="128"/>
        <v>-29477.467400000005</v>
      </c>
      <c r="G560" s="292">
        <f t="shared" si="129"/>
        <v>152116.9474</v>
      </c>
      <c r="H560" s="294">
        <f t="shared" si="130"/>
        <v>-0.19378161279089673</v>
      </c>
      <c r="I560" s="292"/>
    </row>
    <row r="561" spans="2:9" x14ac:dyDescent="0.25">
      <c r="B561" s="533">
        <v>42548</v>
      </c>
      <c r="C561" s="291">
        <v>9278</v>
      </c>
      <c r="D561" s="534">
        <v>16.834599999999998</v>
      </c>
      <c r="E561" s="292">
        <v>13.66</v>
      </c>
      <c r="F561" s="292">
        <f t="shared" si="128"/>
        <v>-29453.938799999982</v>
      </c>
      <c r="G561" s="292">
        <f t="shared" si="129"/>
        <v>156191.41879999998</v>
      </c>
      <c r="H561" s="293">
        <f t="shared" si="130"/>
        <v>-0.18857590913951019</v>
      </c>
      <c r="I561" s="292"/>
    </row>
    <row r="562" spans="2:9" x14ac:dyDescent="0.25">
      <c r="B562" s="533">
        <v>42549</v>
      </c>
      <c r="C562" s="291">
        <v>8178</v>
      </c>
      <c r="D562" s="534">
        <v>17.124400000000001</v>
      </c>
      <c r="E562" s="292">
        <v>14.78</v>
      </c>
      <c r="F562" s="292">
        <f t="shared" si="128"/>
        <v>-19172.503200000017</v>
      </c>
      <c r="G562" s="292">
        <f t="shared" si="129"/>
        <v>140043.3432</v>
      </c>
      <c r="H562" s="293">
        <f t="shared" si="130"/>
        <v>-0.13690406671182651</v>
      </c>
      <c r="I562" s="292">
        <v>17</v>
      </c>
    </row>
    <row r="563" spans="2:9" x14ac:dyDescent="0.25">
      <c r="B563" s="533">
        <v>42552</v>
      </c>
      <c r="C563" s="291">
        <v>7678</v>
      </c>
      <c r="D563" s="534">
        <v>17.2315</v>
      </c>
      <c r="E563" s="292">
        <v>15.48</v>
      </c>
      <c r="F563" s="292">
        <f t="shared" si="128"/>
        <v>-13448.017</v>
      </c>
      <c r="G563" s="292">
        <f t="shared" si="129"/>
        <v>132303.45699999999</v>
      </c>
      <c r="H563" s="293">
        <f t="shared" si="130"/>
        <v>-0.1016452427240809</v>
      </c>
      <c r="I563" s="292">
        <v>17</v>
      </c>
    </row>
    <row r="564" spans="2:9" x14ac:dyDescent="0.25">
      <c r="B564" s="533">
        <v>42552</v>
      </c>
      <c r="C564" s="291">
        <v>7300</v>
      </c>
      <c r="D564" s="534">
        <v>17.313400000000001</v>
      </c>
      <c r="E564" s="292">
        <v>15.65</v>
      </c>
      <c r="F564" s="292">
        <f t="shared" si="128"/>
        <v>-12142.820000000009</v>
      </c>
      <c r="G564" s="292">
        <f t="shared" si="129"/>
        <v>126387.82</v>
      </c>
      <c r="H564" s="293">
        <f t="shared" si="130"/>
        <v>-9.6075871868032903E-2</v>
      </c>
      <c r="I564" s="292"/>
    </row>
    <row r="565" spans="2:9" x14ac:dyDescent="0.25">
      <c r="B565" s="533">
        <v>42552</v>
      </c>
      <c r="C565" s="291">
        <v>6800</v>
      </c>
      <c r="D565" s="534">
        <v>17.446100000000001</v>
      </c>
      <c r="E565" s="292">
        <v>15.7</v>
      </c>
      <c r="F565" s="292">
        <f t="shared" ref="F565:F586" si="131">C565*(E565-D565)</f>
        <v>-11873.480000000014</v>
      </c>
      <c r="G565" s="292">
        <f t="shared" ref="G565:G586" si="132">IF(C565=0, 0,D565*C565)</f>
        <v>118633.48000000001</v>
      </c>
      <c r="H565" s="293">
        <f t="shared" ref="H565:H586" si="133">IF(C565=0, D565, (E565-D565)/D565)</f>
        <v>-0.10008540590733757</v>
      </c>
      <c r="I565" s="292"/>
    </row>
    <row r="566" spans="2:9" x14ac:dyDescent="0.25">
      <c r="B566" s="533">
        <v>42552</v>
      </c>
      <c r="C566" s="291">
        <v>6000</v>
      </c>
      <c r="D566" s="534">
        <v>17.668199999999999</v>
      </c>
      <c r="E566" s="292">
        <v>15.68</v>
      </c>
      <c r="F566" s="292">
        <f t="shared" si="131"/>
        <v>-11929.199999999995</v>
      </c>
      <c r="G566" s="292">
        <f t="shared" si="132"/>
        <v>106009.2</v>
      </c>
      <c r="H566" s="293">
        <f t="shared" si="133"/>
        <v>-0.11252985589929926</v>
      </c>
      <c r="I566" s="292"/>
    </row>
    <row r="567" spans="2:9" x14ac:dyDescent="0.25">
      <c r="B567" s="533">
        <v>42556</v>
      </c>
      <c r="C567" s="291">
        <v>8178</v>
      </c>
      <c r="D567" s="534">
        <v>16.978899999999999</v>
      </c>
      <c r="E567" s="292">
        <v>14.72</v>
      </c>
      <c r="F567" s="292">
        <f t="shared" si="131"/>
        <v>-18473.284199999991</v>
      </c>
      <c r="G567" s="292">
        <f t="shared" si="132"/>
        <v>138853.4442</v>
      </c>
      <c r="H567" s="293">
        <f t="shared" si="133"/>
        <v>-0.13304159869013887</v>
      </c>
      <c r="I567" s="292">
        <v>16.75</v>
      </c>
    </row>
    <row r="568" spans="2:9" x14ac:dyDescent="0.25">
      <c r="B568" s="533">
        <v>42556</v>
      </c>
      <c r="C568" s="291">
        <v>8678</v>
      </c>
      <c r="D568" s="534">
        <v>16.843</v>
      </c>
      <c r="E568" s="292">
        <v>14.72</v>
      </c>
      <c r="F568" s="292">
        <f t="shared" si="131"/>
        <v>-18423.393999999993</v>
      </c>
      <c r="G568" s="292">
        <f t="shared" si="132"/>
        <v>146163.554</v>
      </c>
      <c r="H568" s="293">
        <f t="shared" si="133"/>
        <v>-0.12604642878347083</v>
      </c>
      <c r="I568" s="292"/>
    </row>
    <row r="569" spans="2:9" x14ac:dyDescent="0.25">
      <c r="B569" s="533">
        <v>42557</v>
      </c>
      <c r="C569" s="291">
        <v>8178</v>
      </c>
      <c r="D569" s="534">
        <v>16.960599999999999</v>
      </c>
      <c r="E569" s="292">
        <v>14.84</v>
      </c>
      <c r="F569" s="292">
        <f t="shared" si="131"/>
        <v>-17342.266799999998</v>
      </c>
      <c r="G569" s="292">
        <f t="shared" si="132"/>
        <v>138703.7868</v>
      </c>
      <c r="H569" s="293">
        <f t="shared" si="133"/>
        <v>-0.12503095409360515</v>
      </c>
      <c r="I569" s="292">
        <v>16.75</v>
      </c>
    </row>
    <row r="570" spans="2:9" x14ac:dyDescent="0.25">
      <c r="B570" s="533">
        <v>42557</v>
      </c>
      <c r="C570" s="291">
        <v>8678</v>
      </c>
      <c r="D570" s="534">
        <v>16.835000000000001</v>
      </c>
      <c r="E570" s="292">
        <v>14.84</v>
      </c>
      <c r="F570" s="292">
        <f t="shared" si="131"/>
        <v>-17312.610000000008</v>
      </c>
      <c r="G570" s="292">
        <f t="shared" si="132"/>
        <v>146094.13</v>
      </c>
      <c r="H570" s="293">
        <f t="shared" si="133"/>
        <v>-0.11850311850311855</v>
      </c>
      <c r="I570" s="292"/>
    </row>
    <row r="571" spans="2:9" x14ac:dyDescent="0.25">
      <c r="B571" s="533">
        <v>42559</v>
      </c>
      <c r="C571" s="291">
        <v>8678</v>
      </c>
      <c r="D571" s="534">
        <v>16.835000000000001</v>
      </c>
      <c r="E571" s="292">
        <v>14.92</v>
      </c>
      <c r="F571" s="292">
        <f t="shared" si="131"/>
        <v>-16618.370000000006</v>
      </c>
      <c r="G571" s="292">
        <f t="shared" si="132"/>
        <v>146094.13</v>
      </c>
      <c r="H571" s="293">
        <f t="shared" si="133"/>
        <v>-0.1137511137511138</v>
      </c>
      <c r="I571" s="292"/>
    </row>
    <row r="572" spans="2:9" x14ac:dyDescent="0.25">
      <c r="B572" s="533">
        <v>42562</v>
      </c>
      <c r="C572" s="291">
        <v>8678</v>
      </c>
      <c r="D572" s="534">
        <v>16.835000000000001</v>
      </c>
      <c r="E572" s="292">
        <v>14.69</v>
      </c>
      <c r="F572" s="292">
        <f t="shared" si="131"/>
        <v>-18614.310000000012</v>
      </c>
      <c r="G572" s="292">
        <f t="shared" si="132"/>
        <v>146094.13</v>
      </c>
      <c r="H572" s="293">
        <f t="shared" si="133"/>
        <v>-0.12741312741312749</v>
      </c>
      <c r="I572" s="292"/>
    </row>
    <row r="573" spans="2:9" x14ac:dyDescent="0.25">
      <c r="B573" s="533">
        <v>42563</v>
      </c>
      <c r="C573" s="291">
        <v>8678</v>
      </c>
      <c r="D573" s="534">
        <v>16.835000000000001</v>
      </c>
      <c r="E573" s="292">
        <v>15.6</v>
      </c>
      <c r="F573" s="292">
        <f t="shared" si="131"/>
        <v>-10717.330000000011</v>
      </c>
      <c r="G573" s="292">
        <f t="shared" si="132"/>
        <v>146094.13</v>
      </c>
      <c r="H573" s="293">
        <f t="shared" si="133"/>
        <v>-7.3359073359073421E-2</v>
      </c>
      <c r="I573" s="292"/>
    </row>
    <row r="574" spans="2:9" x14ac:dyDescent="0.25">
      <c r="B574" s="533">
        <v>42564</v>
      </c>
      <c r="C574" s="291">
        <v>8738</v>
      </c>
      <c r="D574" s="534">
        <v>16.816099999999999</v>
      </c>
      <c r="E574" s="292">
        <v>15.29</v>
      </c>
      <c r="F574" s="292">
        <f t="shared" si="131"/>
        <v>-13335.061799999996</v>
      </c>
      <c r="G574" s="292">
        <f t="shared" si="132"/>
        <v>146939.08179999999</v>
      </c>
      <c r="H574" s="293">
        <f t="shared" si="133"/>
        <v>-9.0752314745987453E-2</v>
      </c>
      <c r="I574" s="292"/>
    </row>
    <row r="575" spans="2:9" x14ac:dyDescent="0.25">
      <c r="B575" s="533">
        <v>42566</v>
      </c>
      <c r="C575" s="291">
        <v>8738</v>
      </c>
      <c r="D575" s="534">
        <v>16.816099999999999</v>
      </c>
      <c r="E575" s="292">
        <v>15.21</v>
      </c>
      <c r="F575" s="292">
        <f t="shared" si="131"/>
        <v>-14034.101799999982</v>
      </c>
      <c r="G575" s="292">
        <f t="shared" si="132"/>
        <v>146939.08179999999</v>
      </c>
      <c r="H575" s="293">
        <f t="shared" si="133"/>
        <v>-9.5509660384988079E-2</v>
      </c>
      <c r="I575" s="292"/>
    </row>
    <row r="576" spans="2:9" x14ac:dyDescent="0.25">
      <c r="B576" s="533">
        <v>42570</v>
      </c>
      <c r="C576" s="291">
        <v>9138</v>
      </c>
      <c r="D576" s="534">
        <v>16.733499999999999</v>
      </c>
      <c r="E576" s="292">
        <v>14.75</v>
      </c>
      <c r="F576" s="292">
        <f t="shared" si="131"/>
        <v>-18125.222999999994</v>
      </c>
      <c r="G576" s="292">
        <f t="shared" si="132"/>
        <v>152910.723</v>
      </c>
      <c r="H576" s="293">
        <f t="shared" si="133"/>
        <v>-0.1185346759494427</v>
      </c>
      <c r="I576" s="292"/>
    </row>
    <row r="577" spans="2:9" x14ac:dyDescent="0.25">
      <c r="B577" s="533">
        <v>42571</v>
      </c>
      <c r="C577" s="312">
        <v>9138</v>
      </c>
      <c r="D577" s="535">
        <v>16.7227</v>
      </c>
      <c r="E577" s="292">
        <v>14.84</v>
      </c>
      <c r="F577" s="292">
        <f t="shared" si="131"/>
        <v>-17204.112599999997</v>
      </c>
      <c r="G577" s="292">
        <f t="shared" si="132"/>
        <v>152812.03260000001</v>
      </c>
      <c r="H577" s="293">
        <f t="shared" si="133"/>
        <v>-0.11258349429218965</v>
      </c>
      <c r="I577" s="292"/>
    </row>
    <row r="578" spans="2:9" x14ac:dyDescent="0.25">
      <c r="B578" s="533">
        <v>42572</v>
      </c>
      <c r="C578" s="291">
        <v>9138</v>
      </c>
      <c r="D578" s="534">
        <v>16.718900000000001</v>
      </c>
      <c r="E578" s="292">
        <v>14.42</v>
      </c>
      <c r="F578" s="292">
        <f t="shared" si="131"/>
        <v>-21007.348200000015</v>
      </c>
      <c r="G578" s="292">
        <f t="shared" si="132"/>
        <v>152777.3082</v>
      </c>
      <c r="H578" s="293">
        <f t="shared" si="133"/>
        <v>-0.13750306539305823</v>
      </c>
      <c r="I578" s="292"/>
    </row>
    <row r="579" spans="2:9" x14ac:dyDescent="0.25">
      <c r="B579" s="533">
        <v>42573</v>
      </c>
      <c r="C579" s="291">
        <v>9278</v>
      </c>
      <c r="D579" s="534">
        <v>16.679099999999998</v>
      </c>
      <c r="E579" s="292">
        <v>14.11</v>
      </c>
      <c r="F579" s="292">
        <f t="shared" si="131"/>
        <v>-23836.109799999987</v>
      </c>
      <c r="G579" s="292">
        <f t="shared" si="132"/>
        <v>154748.68979999999</v>
      </c>
      <c r="H579" s="293">
        <f t="shared" si="133"/>
        <v>-0.15403109280476759</v>
      </c>
      <c r="I579" s="292"/>
    </row>
    <row r="580" spans="2:9" x14ac:dyDescent="0.25">
      <c r="B580" s="533">
        <v>42576</v>
      </c>
      <c r="C580" s="291">
        <v>9478</v>
      </c>
      <c r="D580" s="534">
        <v>16.613099999999999</v>
      </c>
      <c r="E580" s="292">
        <v>13.58</v>
      </c>
      <c r="F580" s="292">
        <f t="shared" si="131"/>
        <v>-28747.721799999992</v>
      </c>
      <c r="G580" s="292">
        <f t="shared" si="132"/>
        <v>157458.96179999999</v>
      </c>
      <c r="H580" s="293">
        <f t="shared" si="133"/>
        <v>-0.18257278894366491</v>
      </c>
      <c r="I580" s="292"/>
    </row>
    <row r="581" spans="2:9" x14ac:dyDescent="0.25">
      <c r="B581" s="533">
        <v>42577</v>
      </c>
      <c r="C581" s="312">
        <v>9278</v>
      </c>
      <c r="D581" s="535">
        <v>16.674199999999999</v>
      </c>
      <c r="E581" s="292">
        <v>13.78</v>
      </c>
      <c r="F581" s="292">
        <f t="shared" si="131"/>
        <v>-26852.387599999998</v>
      </c>
      <c r="G581" s="292">
        <f t="shared" si="132"/>
        <v>154703.22759999998</v>
      </c>
      <c r="H581" s="293">
        <f t="shared" si="133"/>
        <v>-0.17357354475776948</v>
      </c>
      <c r="I581" s="292">
        <v>16.53</v>
      </c>
    </row>
    <row r="582" spans="2:9" x14ac:dyDescent="0.25">
      <c r="B582" s="533">
        <v>42578</v>
      </c>
      <c r="C582" s="312">
        <v>9478</v>
      </c>
      <c r="D582" s="535">
        <v>16.6004</v>
      </c>
      <c r="E582" s="292">
        <v>13.13</v>
      </c>
      <c r="F582" s="292">
        <f t="shared" si="131"/>
        <v>-32892.451199999996</v>
      </c>
      <c r="G582" s="292">
        <f t="shared" si="132"/>
        <v>157338.5912</v>
      </c>
      <c r="H582" s="293">
        <f t="shared" si="133"/>
        <v>-0.20905520348907253</v>
      </c>
      <c r="I582" s="292"/>
    </row>
    <row r="583" spans="2:9" x14ac:dyDescent="0.25">
      <c r="B583" s="533">
        <v>42580</v>
      </c>
      <c r="C583" s="291">
        <v>9478</v>
      </c>
      <c r="D583" s="534">
        <v>16.599</v>
      </c>
      <c r="E583" s="292">
        <v>13.64</v>
      </c>
      <c r="F583" s="292">
        <f t="shared" si="131"/>
        <v>-28045.401999999998</v>
      </c>
      <c r="G583" s="292">
        <f t="shared" si="132"/>
        <v>157325.32200000001</v>
      </c>
      <c r="H583" s="294">
        <f t="shared" si="133"/>
        <v>-0.17826375082836313</v>
      </c>
      <c r="I583" s="292"/>
    </row>
    <row r="584" spans="2:9" x14ac:dyDescent="0.25">
      <c r="B584" s="533">
        <v>42580</v>
      </c>
      <c r="C584" s="291">
        <v>9278</v>
      </c>
      <c r="D584" s="534">
        <v>16.664000000000001</v>
      </c>
      <c r="E584" s="292">
        <v>13.64</v>
      </c>
      <c r="F584" s="292">
        <f t="shared" si="131"/>
        <v>-28056.67200000001</v>
      </c>
      <c r="G584" s="292">
        <f t="shared" si="132"/>
        <v>154608.592</v>
      </c>
      <c r="H584" s="294">
        <f t="shared" si="133"/>
        <v>-0.18146903504560732</v>
      </c>
      <c r="I584" s="292">
        <v>16.53</v>
      </c>
    </row>
    <row r="585" spans="2:9" x14ac:dyDescent="0.25">
      <c r="B585" s="533">
        <v>42583</v>
      </c>
      <c r="C585" s="291">
        <v>9478</v>
      </c>
      <c r="D585" s="534">
        <v>16.5871</v>
      </c>
      <c r="E585" s="292">
        <v>12.92</v>
      </c>
      <c r="F585" s="292">
        <f t="shared" si="131"/>
        <v>-34756.773799999995</v>
      </c>
      <c r="G585" s="292">
        <f t="shared" si="132"/>
        <v>157212.5338</v>
      </c>
      <c r="H585" s="294">
        <f t="shared" si="133"/>
        <v>-0.22108144280796521</v>
      </c>
      <c r="I585" s="292"/>
    </row>
    <row r="586" spans="2:9" x14ac:dyDescent="0.25">
      <c r="B586" s="533">
        <v>42584</v>
      </c>
      <c r="C586" s="291">
        <v>9678</v>
      </c>
      <c r="D586" s="534">
        <v>16.5063</v>
      </c>
      <c r="E586" s="292">
        <v>12.9</v>
      </c>
      <c r="F586" s="292">
        <f t="shared" si="131"/>
        <v>-34901.771399999991</v>
      </c>
      <c r="G586" s="292">
        <f t="shared" si="132"/>
        <v>159747.97140000001</v>
      </c>
      <c r="H586" s="294">
        <f t="shared" si="133"/>
        <v>-0.21848021664455386</v>
      </c>
      <c r="I586" s="292"/>
    </row>
    <row r="587" spans="2:9" x14ac:dyDescent="0.25">
      <c r="B587" s="533">
        <v>42585</v>
      </c>
      <c r="C587" s="291">
        <v>10078</v>
      </c>
      <c r="D587" s="534">
        <v>16.5063</v>
      </c>
      <c r="E587" s="292">
        <v>12.9</v>
      </c>
      <c r="F587" s="292">
        <f t="shared" ref="F587:F602" si="134">C587*(E587-D587)</f>
        <v>-36344.291399999995</v>
      </c>
      <c r="G587" s="292">
        <f t="shared" ref="G587:G602" si="135">IF(C587=0, 0,D587*C587)</f>
        <v>166350.4914</v>
      </c>
      <c r="H587" s="294">
        <f t="shared" ref="H587:H602" si="136">IF(C587=0, D587, (E587-D587)/D587)</f>
        <v>-0.21848021664455386</v>
      </c>
      <c r="I587" s="292"/>
    </row>
    <row r="588" spans="2:9" x14ac:dyDescent="0.25">
      <c r="B588" s="533">
        <v>42586</v>
      </c>
      <c r="C588" s="291">
        <v>9678</v>
      </c>
      <c r="D588" s="534">
        <v>16.489799999999999</v>
      </c>
      <c r="E588" s="292">
        <v>13.41</v>
      </c>
      <c r="F588" s="292">
        <f t="shared" si="134"/>
        <v>-29806.304399999986</v>
      </c>
      <c r="G588" s="292">
        <f t="shared" si="135"/>
        <v>159588.28439999997</v>
      </c>
      <c r="H588" s="294">
        <f t="shared" si="136"/>
        <v>-0.1867700032747516</v>
      </c>
      <c r="I588" s="292"/>
    </row>
    <row r="589" spans="2:9" x14ac:dyDescent="0.25">
      <c r="B589" s="533">
        <v>42586</v>
      </c>
      <c r="C589" s="291">
        <v>9278</v>
      </c>
      <c r="D589" s="534">
        <v>16.609200000000001</v>
      </c>
      <c r="E589" s="292">
        <v>13.66</v>
      </c>
      <c r="F589" s="292">
        <f t="shared" si="134"/>
        <v>-27362.67760000001</v>
      </c>
      <c r="G589" s="292">
        <f t="shared" si="135"/>
        <v>154100.15760000001</v>
      </c>
      <c r="H589" s="294">
        <f t="shared" si="136"/>
        <v>-0.17756424150470829</v>
      </c>
      <c r="I589" s="292">
        <v>16.53</v>
      </c>
    </row>
    <row r="590" spans="2:9" x14ac:dyDescent="0.25">
      <c r="B590" s="533">
        <v>42586</v>
      </c>
      <c r="C590" s="291">
        <v>9138</v>
      </c>
      <c r="D590" s="534">
        <v>16.6511</v>
      </c>
      <c r="E590" s="292">
        <v>13.87</v>
      </c>
      <c r="F590" s="292">
        <f t="shared" si="134"/>
        <v>-25413.691800000004</v>
      </c>
      <c r="G590" s="292">
        <f t="shared" si="135"/>
        <v>152157.7518</v>
      </c>
      <c r="H590" s="293">
        <f t="shared" si="136"/>
        <v>-0.1670219985466426</v>
      </c>
      <c r="I590" s="292"/>
    </row>
    <row r="591" spans="2:9" x14ac:dyDescent="0.25">
      <c r="B591" s="533">
        <v>42593</v>
      </c>
      <c r="C591" s="291">
        <v>8678</v>
      </c>
      <c r="D591" s="534">
        <v>16.760300000000001</v>
      </c>
      <c r="E591" s="292">
        <v>14.61</v>
      </c>
      <c r="F591" s="292">
        <f t="shared" si="134"/>
        <v>-18660.303400000012</v>
      </c>
      <c r="G591" s="292">
        <f t="shared" si="135"/>
        <v>145445.88340000002</v>
      </c>
      <c r="H591" s="293">
        <f t="shared" si="136"/>
        <v>-0.12829722618330228</v>
      </c>
      <c r="I591" s="292"/>
    </row>
    <row r="592" spans="2:9" x14ac:dyDescent="0.25">
      <c r="B592" s="533">
        <v>42597</v>
      </c>
      <c r="C592" s="291">
        <v>8678</v>
      </c>
      <c r="D592" s="534">
        <v>16.7471</v>
      </c>
      <c r="E592" s="292">
        <v>14.9</v>
      </c>
      <c r="F592" s="292">
        <f t="shared" si="134"/>
        <v>-16029.133799999994</v>
      </c>
      <c r="G592" s="292">
        <f t="shared" si="135"/>
        <v>145331.33379999999</v>
      </c>
      <c r="H592" s="293">
        <f t="shared" si="136"/>
        <v>-0.11029372249523794</v>
      </c>
      <c r="I592" s="292"/>
    </row>
    <row r="593" spans="2:9" x14ac:dyDescent="0.25">
      <c r="B593" s="533">
        <v>42598</v>
      </c>
      <c r="C593" s="291">
        <v>8178</v>
      </c>
      <c r="D593" s="534">
        <v>16.8429</v>
      </c>
      <c r="E593" s="292">
        <v>15.17</v>
      </c>
      <c r="F593" s="292">
        <f t="shared" si="134"/>
        <v>-13680.976200000003</v>
      </c>
      <c r="G593" s="292">
        <f t="shared" si="135"/>
        <v>137741.23620000001</v>
      </c>
      <c r="H593" s="293">
        <f t="shared" si="136"/>
        <v>-9.9323750660515728E-2</v>
      </c>
      <c r="I593" s="292">
        <v>16.75</v>
      </c>
    </row>
    <row r="594" spans="2:9" x14ac:dyDescent="0.25">
      <c r="B594" s="533">
        <v>42599</v>
      </c>
      <c r="C594" s="291">
        <v>7178</v>
      </c>
      <c r="D594" s="534">
        <v>17.009899999999998</v>
      </c>
      <c r="E594" s="292">
        <v>15.7</v>
      </c>
      <c r="F594" s="292">
        <f t="shared" si="134"/>
        <v>-9402.4621999999927</v>
      </c>
      <c r="G594" s="292">
        <f t="shared" si="135"/>
        <v>122097.06219999999</v>
      </c>
      <c r="H594" s="293">
        <f t="shared" si="136"/>
        <v>-7.7008095285686515E-2</v>
      </c>
      <c r="I594" s="292"/>
    </row>
    <row r="595" spans="2:9" x14ac:dyDescent="0.25">
      <c r="B595" s="533">
        <v>42600</v>
      </c>
      <c r="C595" s="291">
        <v>5500</v>
      </c>
      <c r="D595" s="534">
        <v>17.185600000000001</v>
      </c>
      <c r="E595" s="292">
        <v>16.68</v>
      </c>
      <c r="F595" s="292">
        <f t="shared" si="134"/>
        <v>-2780.8000000000065</v>
      </c>
      <c r="G595" s="292">
        <f t="shared" si="135"/>
        <v>94520.8</v>
      </c>
      <c r="H595" s="293">
        <f t="shared" si="136"/>
        <v>-2.9419979517735846E-2</v>
      </c>
      <c r="I595" s="292"/>
    </row>
    <row r="596" spans="2:9" x14ac:dyDescent="0.25">
      <c r="B596" s="533">
        <v>42601</v>
      </c>
      <c r="C596" s="291">
        <v>5000</v>
      </c>
      <c r="D596" s="534">
        <v>17.222200000000001</v>
      </c>
      <c r="E596" s="292">
        <v>16.8</v>
      </c>
      <c r="F596" s="292">
        <f t="shared" si="134"/>
        <v>-2111.0000000000005</v>
      </c>
      <c r="G596" s="292">
        <f t="shared" si="135"/>
        <v>86111</v>
      </c>
      <c r="H596" s="293">
        <f t="shared" si="136"/>
        <v>-2.4514870341768188E-2</v>
      </c>
      <c r="I596" s="292"/>
    </row>
    <row r="597" spans="2:9" x14ac:dyDescent="0.25">
      <c r="B597" s="533">
        <v>42604</v>
      </c>
      <c r="C597" s="291">
        <v>6000</v>
      </c>
      <c r="D597" s="534">
        <v>16.9651</v>
      </c>
      <c r="E597" s="292">
        <v>15.64</v>
      </c>
      <c r="F597" s="292">
        <f t="shared" si="134"/>
        <v>-7950.599999999994</v>
      </c>
      <c r="G597" s="292">
        <f t="shared" si="135"/>
        <v>101790.59999999999</v>
      </c>
      <c r="H597" s="293">
        <f t="shared" si="136"/>
        <v>-7.8107408739117312E-2</v>
      </c>
      <c r="I597" s="292"/>
    </row>
    <row r="598" spans="2:9" x14ac:dyDescent="0.25">
      <c r="B598" s="533">
        <v>42604</v>
      </c>
      <c r="C598" s="291">
        <v>6500</v>
      </c>
      <c r="D598" s="534">
        <v>16.850899999999999</v>
      </c>
      <c r="E598" s="292">
        <v>15.64</v>
      </c>
      <c r="F598" s="292">
        <f t="shared" si="134"/>
        <v>-7870.8499999999922</v>
      </c>
      <c r="G598" s="292">
        <f t="shared" si="135"/>
        <v>109530.84999999999</v>
      </c>
      <c r="H598" s="293">
        <f t="shared" si="136"/>
        <v>-7.1859663282079822E-2</v>
      </c>
      <c r="I598" s="292"/>
    </row>
    <row r="599" spans="2:9" x14ac:dyDescent="0.25">
      <c r="B599" s="533">
        <v>42605</v>
      </c>
      <c r="C599" s="291">
        <v>6000</v>
      </c>
      <c r="D599" s="534">
        <v>16.923500000000001</v>
      </c>
      <c r="E599" s="292">
        <v>16.43</v>
      </c>
      <c r="F599" s="292">
        <f t="shared" si="134"/>
        <v>-2961.0000000000055</v>
      </c>
      <c r="G599" s="292">
        <f t="shared" si="135"/>
        <v>101541</v>
      </c>
      <c r="H599" s="293">
        <f t="shared" si="136"/>
        <v>-2.9160634620498178E-2</v>
      </c>
      <c r="I599" s="292"/>
    </row>
    <row r="600" spans="2:9" x14ac:dyDescent="0.25">
      <c r="B600" s="533">
        <v>42605</v>
      </c>
      <c r="C600" s="291">
        <v>5500</v>
      </c>
      <c r="D600" s="534">
        <v>16.9848</v>
      </c>
      <c r="E600" s="292">
        <v>16.43</v>
      </c>
      <c r="F600" s="292">
        <f t="shared" si="134"/>
        <v>-3051.400000000001</v>
      </c>
      <c r="G600" s="292">
        <f t="shared" si="135"/>
        <v>93416.4</v>
      </c>
      <c r="H600" s="293">
        <f t="shared" si="136"/>
        <v>-3.266450002355048E-2</v>
      </c>
      <c r="I600" s="292"/>
    </row>
    <row r="601" spans="2:9" x14ac:dyDescent="0.25">
      <c r="B601" s="533">
        <v>42605</v>
      </c>
      <c r="C601" s="291">
        <v>5000</v>
      </c>
      <c r="D601" s="534">
        <v>17.035299999999999</v>
      </c>
      <c r="E601" s="292">
        <v>16.43</v>
      </c>
      <c r="F601" s="292">
        <f t="shared" si="134"/>
        <v>-3026.4999999999986</v>
      </c>
      <c r="G601" s="292">
        <f t="shared" si="135"/>
        <v>85176.5</v>
      </c>
      <c r="H601" s="293">
        <f t="shared" si="136"/>
        <v>-3.5532100990296606E-2</v>
      </c>
      <c r="I601" s="292"/>
    </row>
    <row r="602" spans="2:9" x14ac:dyDescent="0.25">
      <c r="B602" s="533">
        <v>42606</v>
      </c>
      <c r="C602" s="291">
        <v>5178</v>
      </c>
      <c r="D602" s="534">
        <v>17.0017</v>
      </c>
      <c r="E602" s="292">
        <v>16.059999999999999</v>
      </c>
      <c r="F602" s="292">
        <f t="shared" si="134"/>
        <v>-4876.1226000000042</v>
      </c>
      <c r="G602" s="292">
        <f t="shared" si="135"/>
        <v>88034.802599999995</v>
      </c>
      <c r="H602" s="293">
        <f t="shared" si="136"/>
        <v>-5.5388578789179958E-2</v>
      </c>
      <c r="I602" s="292"/>
    </row>
    <row r="603" spans="2:9" x14ac:dyDescent="0.25">
      <c r="B603" s="533">
        <v>42607</v>
      </c>
      <c r="C603" s="291">
        <v>5178</v>
      </c>
      <c r="D603" s="534">
        <v>17.0017</v>
      </c>
      <c r="E603" s="292">
        <v>16.010000000000002</v>
      </c>
      <c r="F603" s="292">
        <f>C603*(E603-D603)</f>
        <v>-5135.0225999999902</v>
      </c>
      <c r="G603" s="292">
        <f>IF(C603=0, 0,D603*C603)</f>
        <v>88034.802599999995</v>
      </c>
      <c r="H603" s="293">
        <f>IF(C603=0, D603, (E603-D603)/D603)</f>
        <v>-5.8329461171529789E-2</v>
      </c>
      <c r="I603" s="292"/>
    </row>
    <row r="604" spans="2:9" x14ac:dyDescent="0.25">
      <c r="B604" s="533">
        <v>42608</v>
      </c>
      <c r="C604" s="291">
        <v>6178</v>
      </c>
      <c r="D604" s="534">
        <v>16.825800000000001</v>
      </c>
      <c r="E604" s="292">
        <v>15.95</v>
      </c>
      <c r="F604" s="292">
        <f>C604*(E604-D604)</f>
        <v>-5410.6924000000108</v>
      </c>
      <c r="G604" s="292">
        <f>IF(C604=0, 0,D604*C604)</f>
        <v>103949.79240000001</v>
      </c>
      <c r="H604" s="293">
        <f>IF(C604=0, D604, (E604-D604)/D604)</f>
        <v>-5.2051016890727435E-2</v>
      </c>
      <c r="I604" s="292"/>
    </row>
    <row r="605" spans="2:9" x14ac:dyDescent="0.25">
      <c r="B605" s="533">
        <v>42611</v>
      </c>
      <c r="C605" s="291">
        <v>6178</v>
      </c>
      <c r="D605" s="534">
        <v>16.825800000000001</v>
      </c>
      <c r="E605" s="292">
        <v>15.99</v>
      </c>
      <c r="F605" s="292">
        <f t="shared" ref="F605:F610" si="137">C605*(E605-D605)</f>
        <v>-5163.5724000000046</v>
      </c>
      <c r="G605" s="292">
        <f t="shared" ref="G605:G610" si="138">IF(C605=0, 0,D605*C605)</f>
        <v>103949.79240000001</v>
      </c>
      <c r="H605" s="293">
        <f t="shared" ref="H605:H610" si="139">IF(C605=0, D605, (E605-D605)/D605)</f>
        <v>-4.9673715365688452E-2</v>
      </c>
      <c r="I605" s="292"/>
    </row>
    <row r="606" spans="2:9" x14ac:dyDescent="0.25">
      <c r="B606" s="533">
        <v>42612</v>
      </c>
      <c r="C606" s="291">
        <v>6678</v>
      </c>
      <c r="D606" s="534">
        <v>16.739999999999998</v>
      </c>
      <c r="E606" s="292">
        <v>15.55</v>
      </c>
      <c r="F606" s="369">
        <f t="shared" si="137"/>
        <v>-7946.8199999999852</v>
      </c>
      <c r="G606" s="292">
        <f t="shared" si="138"/>
        <v>111789.71999999999</v>
      </c>
      <c r="H606" s="294">
        <f t="shared" si="139"/>
        <v>-7.1087216248506446E-2</v>
      </c>
      <c r="I606" s="311"/>
    </row>
    <row r="607" spans="2:9" x14ac:dyDescent="0.25">
      <c r="B607" s="533">
        <v>42612</v>
      </c>
      <c r="C607" s="291">
        <v>7178</v>
      </c>
      <c r="D607" s="534">
        <v>16.6571</v>
      </c>
      <c r="E607" s="292">
        <v>15.55</v>
      </c>
      <c r="F607" s="292">
        <f t="shared" si="137"/>
        <v>-7946.7637999999934</v>
      </c>
      <c r="G607" s="292">
        <f t="shared" si="138"/>
        <v>119564.66379999999</v>
      </c>
      <c r="H607" s="293">
        <f t="shared" si="139"/>
        <v>-6.6464150422342369E-2</v>
      </c>
      <c r="I607" s="292"/>
    </row>
    <row r="608" spans="2:9" x14ac:dyDescent="0.25">
      <c r="B608" s="533">
        <v>42613</v>
      </c>
      <c r="C608" s="291">
        <v>7678</v>
      </c>
      <c r="D608" s="534">
        <v>16.565200000000001</v>
      </c>
      <c r="E608" s="292">
        <v>15.02</v>
      </c>
      <c r="F608" s="292">
        <f t="shared" si="137"/>
        <v>-11864.04560000001</v>
      </c>
      <c r="G608" s="292">
        <f t="shared" si="138"/>
        <v>127187.60560000001</v>
      </c>
      <c r="H608" s="293">
        <f t="shared" si="139"/>
        <v>-9.3279887957887692E-2</v>
      </c>
      <c r="I608" s="292" t="s">
        <v>250</v>
      </c>
    </row>
    <row r="609" spans="2:9" x14ac:dyDescent="0.25">
      <c r="B609" s="533">
        <v>42613</v>
      </c>
      <c r="C609" s="291">
        <v>8178</v>
      </c>
      <c r="D609" s="534">
        <v>16.474399999999999</v>
      </c>
      <c r="E609" s="292">
        <v>15.02</v>
      </c>
      <c r="F609" s="292">
        <f t="shared" si="137"/>
        <v>-11894.083199999997</v>
      </c>
      <c r="G609" s="292">
        <f t="shared" si="138"/>
        <v>134727.64319999999</v>
      </c>
      <c r="H609" s="293">
        <f t="shared" si="139"/>
        <v>-8.8282426067110162E-2</v>
      </c>
      <c r="I609" s="292" t="s">
        <v>251</v>
      </c>
    </row>
    <row r="610" spans="2:9" x14ac:dyDescent="0.25">
      <c r="B610" s="533">
        <v>42615</v>
      </c>
      <c r="C610" s="291">
        <v>7678</v>
      </c>
      <c r="D610" s="534">
        <v>16.528099999999998</v>
      </c>
      <c r="E610" s="292">
        <v>15.49</v>
      </c>
      <c r="F610" s="292">
        <f t="shared" si="137"/>
        <v>-7970.5317999999861</v>
      </c>
      <c r="G610" s="292">
        <f t="shared" si="138"/>
        <v>126902.75179999998</v>
      </c>
      <c r="H610" s="293">
        <f t="shared" si="139"/>
        <v>-6.2808187268953986E-2</v>
      </c>
      <c r="I610" s="292">
        <v>16.350000000000001</v>
      </c>
    </row>
    <row r="611" spans="2:9" x14ac:dyDescent="0.25">
      <c r="B611" s="533">
        <v>42616</v>
      </c>
      <c r="C611" s="291">
        <v>7678</v>
      </c>
      <c r="D611" s="534">
        <v>16.528099999999998</v>
      </c>
      <c r="E611" s="292">
        <v>15.64</v>
      </c>
      <c r="F611" s="292">
        <f>C611*(E611-D611)</f>
        <v>-6818.8317999999836</v>
      </c>
      <c r="G611" s="292">
        <f>IF(C611=0, 0,D611*C611)</f>
        <v>126902.75179999998</v>
      </c>
      <c r="H611" s="293">
        <f>IF(C611=0, D611, (E611-D611)/D611)</f>
        <v>-5.3732733950060681E-2</v>
      </c>
      <c r="I611" s="292"/>
    </row>
    <row r="612" spans="2:9" x14ac:dyDescent="0.25">
      <c r="B612" s="533">
        <v>42621</v>
      </c>
      <c r="C612" s="291">
        <v>7178</v>
      </c>
      <c r="D612" s="534">
        <v>16.545400000000001</v>
      </c>
      <c r="E612" s="292">
        <v>16.739999999999998</v>
      </c>
      <c r="F612" s="292">
        <f>C612*(E612-D612)</f>
        <v>1396.8387999999832</v>
      </c>
      <c r="G612" s="292">
        <f>IF(C612=0, 0,D612*C612)</f>
        <v>118762.8812</v>
      </c>
      <c r="H612" s="293">
        <f>IF(C612=0, D612, (E612-D612)/D612)</f>
        <v>1.1761577235968768E-2</v>
      </c>
      <c r="I612" s="292"/>
    </row>
    <row r="613" spans="2:9" x14ac:dyDescent="0.25">
      <c r="B613" s="533">
        <v>42621</v>
      </c>
      <c r="C613" s="312">
        <v>6678</v>
      </c>
      <c r="D613" s="535">
        <v>16.532299999999999</v>
      </c>
      <c r="E613" s="292">
        <v>16.739999999999998</v>
      </c>
      <c r="F613" s="292">
        <f>C613*(E613-D613)</f>
        <v>1387.0205999999941</v>
      </c>
      <c r="G613" s="292">
        <f>IF(C613=0, 0,D613*C613)</f>
        <v>110402.6994</v>
      </c>
      <c r="H613" s="293">
        <f>IF(C613=0, D613, (E613-D613)/D613)</f>
        <v>1.256328520532528E-2</v>
      </c>
      <c r="I613" s="292"/>
    </row>
    <row r="614" spans="2:9" x14ac:dyDescent="0.25">
      <c r="B614" s="533">
        <v>42621</v>
      </c>
      <c r="C614" s="291">
        <v>6458</v>
      </c>
      <c r="D614" s="534">
        <v>16.524263999999999</v>
      </c>
      <c r="E614" s="292">
        <v>16.739999999999998</v>
      </c>
      <c r="F614" s="292">
        <f>C614*(E614-D614)</f>
        <v>1393.2230879999981</v>
      </c>
      <c r="G614" s="292">
        <f>IF(C614=0, 0,D614*C614)</f>
        <v>106713.69691199998</v>
      </c>
      <c r="H614" s="293">
        <f>IF(C614=0, D614, (E614-D614)/D614)</f>
        <v>1.3055710075801242E-2</v>
      </c>
      <c r="I614" s="292"/>
    </row>
    <row r="615" spans="2:9" x14ac:dyDescent="0.25">
      <c r="B615" s="533">
        <v>42622</v>
      </c>
      <c r="C615" s="291">
        <v>7178</v>
      </c>
      <c r="D615" s="534">
        <v>16.477945999999999</v>
      </c>
      <c r="E615" s="292">
        <v>15.67</v>
      </c>
      <c r="F615" s="292">
        <f>C615*(E615-D615)</f>
        <v>-5799.4363879999955</v>
      </c>
      <c r="G615" s="292">
        <f>IF(C615=0, 0,D615*C615)</f>
        <v>118278.696388</v>
      </c>
      <c r="H615" s="293">
        <f>IF(C615=0, D615, (E615-D615)/D615)</f>
        <v>-4.9031960658203359E-2</v>
      </c>
      <c r="I615" s="292"/>
    </row>
    <row r="616" spans="2:9" x14ac:dyDescent="0.25">
      <c r="B616" s="533">
        <v>42622</v>
      </c>
      <c r="C616" s="291">
        <v>7678</v>
      </c>
      <c r="D616" s="534">
        <v>16.430541999999999</v>
      </c>
      <c r="E616" s="292">
        <v>15.67</v>
      </c>
      <c r="F616" s="292">
        <f t="shared" ref="F616:F622" si="140">C616*(E616-D616)</f>
        <v>-5839.4414759999936</v>
      </c>
      <c r="G616" s="292">
        <f t="shared" ref="G616:G622" si="141">IF(C616=0, 0,D616*C616)</f>
        <v>126153.70147599999</v>
      </c>
      <c r="H616" s="293">
        <f t="shared" ref="H616:H622" si="142">IF(C616=0, D616, (E616-D616)/D616)</f>
        <v>-4.6288308687564853E-2</v>
      </c>
      <c r="I616" s="292">
        <v>16.350000000000001</v>
      </c>
    </row>
    <row r="617" spans="2:9" x14ac:dyDescent="0.25">
      <c r="B617" s="533">
        <v>42625</v>
      </c>
      <c r="C617" s="312">
        <v>7678</v>
      </c>
      <c r="D617" s="535">
        <v>16.412330000000001</v>
      </c>
      <c r="E617" s="292">
        <v>15.47</v>
      </c>
      <c r="F617" s="292">
        <f t="shared" si="140"/>
        <v>-7235.2097400000011</v>
      </c>
      <c r="G617" s="292">
        <f t="shared" si="141"/>
        <v>126013.86974000001</v>
      </c>
      <c r="H617" s="293">
        <f t="shared" si="142"/>
        <v>-5.7415979327737135E-2</v>
      </c>
      <c r="I617" s="292"/>
    </row>
    <row r="618" spans="2:9" x14ac:dyDescent="0.25">
      <c r="B618" s="533">
        <v>42625</v>
      </c>
      <c r="C618" s="312">
        <v>7678</v>
      </c>
      <c r="D618" s="535">
        <v>16.355817999999999</v>
      </c>
      <c r="E618" s="292">
        <v>15.47</v>
      </c>
      <c r="F618" s="292">
        <f t="shared" si="140"/>
        <v>-6801.3106039999893</v>
      </c>
      <c r="G618" s="292">
        <f t="shared" si="141"/>
        <v>125579.970604</v>
      </c>
      <c r="H618" s="293">
        <f t="shared" si="142"/>
        <v>-5.4159198885680847E-2</v>
      </c>
      <c r="I618" s="292" t="s">
        <v>265</v>
      </c>
    </row>
    <row r="619" spans="2:9" x14ac:dyDescent="0.25">
      <c r="B619" s="533">
        <v>42626</v>
      </c>
      <c r="C619" s="291">
        <v>8278</v>
      </c>
      <c r="D619" s="534">
        <v>16.25066</v>
      </c>
      <c r="E619" s="292">
        <v>14.34</v>
      </c>
      <c r="F619" s="292">
        <f t="shared" si="140"/>
        <v>-15816.44348</v>
      </c>
      <c r="G619" s="292">
        <f t="shared" si="141"/>
        <v>134522.96348000001</v>
      </c>
      <c r="H619" s="294">
        <f t="shared" si="142"/>
        <v>-0.11757430159759666</v>
      </c>
      <c r="I619" s="292"/>
    </row>
    <row r="620" spans="2:9" x14ac:dyDescent="0.25">
      <c r="B620" s="533">
        <v>42626</v>
      </c>
      <c r="C620" s="291">
        <v>8678</v>
      </c>
      <c r="D620" s="534">
        <v>16.18149</v>
      </c>
      <c r="E620" s="292">
        <v>14.34</v>
      </c>
      <c r="F620" s="292">
        <f t="shared" si="140"/>
        <v>-15980.450220000002</v>
      </c>
      <c r="G620" s="292">
        <f t="shared" si="141"/>
        <v>140422.97021999999</v>
      </c>
      <c r="H620" s="294">
        <f t="shared" si="142"/>
        <v>-0.11380225183218605</v>
      </c>
      <c r="I620" s="292"/>
    </row>
    <row r="621" spans="2:9" x14ac:dyDescent="0.25">
      <c r="B621" s="533">
        <v>42626</v>
      </c>
      <c r="C621" s="291">
        <v>8978</v>
      </c>
      <c r="D621" s="534">
        <v>16.124635000000001</v>
      </c>
      <c r="E621" s="292">
        <v>14.34</v>
      </c>
      <c r="F621" s="292">
        <f t="shared" si="140"/>
        <v>-16022.453030000013</v>
      </c>
      <c r="G621" s="292">
        <f t="shared" si="141"/>
        <v>144766.97303000002</v>
      </c>
      <c r="H621" s="294">
        <f t="shared" si="142"/>
        <v>-0.11067754401882594</v>
      </c>
      <c r="I621" s="292"/>
    </row>
    <row r="622" spans="2:9" x14ac:dyDescent="0.25">
      <c r="B622" s="533">
        <v>42626</v>
      </c>
      <c r="C622" s="291">
        <v>9278</v>
      </c>
      <c r="D622" s="534">
        <v>16.064019999999999</v>
      </c>
      <c r="E622" s="292">
        <v>14.34</v>
      </c>
      <c r="F622" s="292">
        <f t="shared" si="140"/>
        <v>-15995.457559999995</v>
      </c>
      <c r="G622" s="292">
        <f t="shared" si="141"/>
        <v>149041.97756</v>
      </c>
      <c r="H622" s="294">
        <f t="shared" si="142"/>
        <v>-0.10732182853357998</v>
      </c>
      <c r="I622" s="292" t="s">
        <v>266</v>
      </c>
    </row>
    <row r="623" spans="2:9" x14ac:dyDescent="0.25">
      <c r="B623" s="533">
        <v>42627</v>
      </c>
      <c r="C623" s="291">
        <v>9478</v>
      </c>
      <c r="D623" s="534">
        <v>16.020790999999999</v>
      </c>
      <c r="E623" s="292">
        <v>14.01</v>
      </c>
      <c r="F623" s="292">
        <f t="shared" ref="F623:F630" si="143">C623*(E623-D623)</f>
        <v>-19058.277097999995</v>
      </c>
      <c r="G623" s="292">
        <f t="shared" ref="G623:G630" si="144">IF(C623=0, 0,D623*C623)</f>
        <v>151845.05709799999</v>
      </c>
      <c r="H623" s="294">
        <f t="shared" ref="H623:H630" si="145">IF(C623=0, D623, (E623-D623)/D623)</f>
        <v>-0.1255113433537707</v>
      </c>
      <c r="I623" s="292"/>
    </row>
    <row r="624" spans="2:9" x14ac:dyDescent="0.25">
      <c r="B624" s="533">
        <v>42628</v>
      </c>
      <c r="C624" s="291">
        <v>9478</v>
      </c>
      <c r="D624" s="534">
        <v>16.015726999999998</v>
      </c>
      <c r="E624" s="292">
        <v>14.26</v>
      </c>
      <c r="F624" s="292">
        <f t="shared" si="143"/>
        <v>-16640.780505999985</v>
      </c>
      <c r="G624" s="292">
        <f t="shared" si="144"/>
        <v>151797.06050599998</v>
      </c>
      <c r="H624" s="294">
        <f t="shared" si="145"/>
        <v>-0.1096251827968845</v>
      </c>
      <c r="I624" s="292"/>
    </row>
    <row r="625" spans="2:9" x14ac:dyDescent="0.25">
      <c r="B625" s="533">
        <v>42629</v>
      </c>
      <c r="C625" s="291">
        <v>9478</v>
      </c>
      <c r="D625" s="534">
        <v>16.015726999999998</v>
      </c>
      <c r="E625" s="292">
        <v>14.24</v>
      </c>
      <c r="F625" s="292">
        <f t="shared" si="143"/>
        <v>-16830.340505999982</v>
      </c>
      <c r="G625" s="292">
        <f t="shared" si="144"/>
        <v>151797.06050599998</v>
      </c>
      <c r="H625" s="294">
        <f t="shared" si="145"/>
        <v>-0.1108739553315312</v>
      </c>
      <c r="I625" s="292"/>
    </row>
    <row r="626" spans="2:9" x14ac:dyDescent="0.25">
      <c r="B626" s="533">
        <v>42632</v>
      </c>
      <c r="C626" s="291">
        <v>9678</v>
      </c>
      <c r="D626" s="534">
        <v>15.975311</v>
      </c>
      <c r="E626" s="292">
        <v>14.09</v>
      </c>
      <c r="F626" s="292">
        <f t="shared" si="143"/>
        <v>-18246.039857999996</v>
      </c>
      <c r="G626" s="292">
        <f t="shared" si="144"/>
        <v>154609.05985799999</v>
      </c>
      <c r="H626" s="293">
        <f t="shared" si="145"/>
        <v>-0.11801404054043141</v>
      </c>
      <c r="I626" s="292"/>
    </row>
    <row r="627" spans="2:9" x14ac:dyDescent="0.25">
      <c r="B627" s="533">
        <v>42633</v>
      </c>
      <c r="C627" s="291">
        <v>9878</v>
      </c>
      <c r="D627" s="534">
        <v>15.937544000000001</v>
      </c>
      <c r="E627" s="292">
        <v>13.87</v>
      </c>
      <c r="F627" s="292">
        <f t="shared" si="143"/>
        <v>-20423.199632000014</v>
      </c>
      <c r="G627" s="292">
        <f t="shared" si="144"/>
        <v>157431.05963200002</v>
      </c>
      <c r="H627" s="293">
        <f t="shared" si="145"/>
        <v>-0.12972789282966068</v>
      </c>
      <c r="I627" s="292"/>
    </row>
    <row r="628" spans="2:9" x14ac:dyDescent="0.25">
      <c r="B628" s="533">
        <v>42633</v>
      </c>
      <c r="C628" s="291">
        <v>10000</v>
      </c>
      <c r="D628" s="534">
        <v>15.915126000000001</v>
      </c>
      <c r="E628" s="292">
        <v>13.87</v>
      </c>
      <c r="F628" s="292">
        <f t="shared" si="143"/>
        <v>-20451.260000000017</v>
      </c>
      <c r="G628" s="292">
        <f t="shared" si="144"/>
        <v>159151.26</v>
      </c>
      <c r="H628" s="293">
        <f t="shared" si="145"/>
        <v>-0.12850203008132022</v>
      </c>
      <c r="I628" s="292"/>
    </row>
    <row r="629" spans="2:9" x14ac:dyDescent="0.25">
      <c r="B629" s="533">
        <v>42634</v>
      </c>
      <c r="C629" s="291">
        <v>9678</v>
      </c>
      <c r="D629" s="534">
        <v>15.969538999999999</v>
      </c>
      <c r="E629" s="292">
        <v>14.65</v>
      </c>
      <c r="F629" s="292">
        <f t="shared" si="143"/>
        <v>-12770.498441999989</v>
      </c>
      <c r="G629" s="292">
        <f t="shared" si="144"/>
        <v>154553.19844199999</v>
      </c>
      <c r="H629" s="293">
        <f t="shared" si="145"/>
        <v>-8.2628496664806608E-2</v>
      </c>
      <c r="I629" s="292"/>
    </row>
    <row r="630" spans="2:9" x14ac:dyDescent="0.25">
      <c r="B630" s="533">
        <v>42634</v>
      </c>
      <c r="C630" s="291">
        <v>9278</v>
      </c>
      <c r="D630" s="534">
        <v>16.026872999999998</v>
      </c>
      <c r="E630" s="292">
        <v>14.65</v>
      </c>
      <c r="F630" s="292">
        <f t="shared" si="143"/>
        <v>-12774.627693999981</v>
      </c>
      <c r="G630" s="292">
        <f t="shared" si="144"/>
        <v>148697.32769399998</v>
      </c>
      <c r="H630" s="293">
        <f t="shared" si="145"/>
        <v>-8.5910270830747718E-2</v>
      </c>
      <c r="I630" s="292">
        <v>16</v>
      </c>
    </row>
    <row r="631" spans="2:9" x14ac:dyDescent="0.25">
      <c r="B631" s="533">
        <v>42635</v>
      </c>
      <c r="C631" s="291">
        <v>9278</v>
      </c>
      <c r="D631" s="534">
        <v>16.026872999999998</v>
      </c>
      <c r="E631" s="292">
        <v>14.87</v>
      </c>
      <c r="F631" s="292">
        <f t="shared" ref="F631:F642" si="146">C631*(E631-D631)</f>
        <v>-10733.467693999992</v>
      </c>
      <c r="G631" s="292">
        <f t="shared" ref="G631:G642" si="147">IF(C631=0, 0,D631*C631)</f>
        <v>148697.32769399998</v>
      </c>
      <c r="H631" s="293">
        <f t="shared" ref="H631:H642" si="148">IF(C631=0, D631, (E631-D631)/D631)</f>
        <v>-7.2183326092369937E-2</v>
      </c>
      <c r="I631" s="292"/>
    </row>
    <row r="632" spans="2:9" x14ac:dyDescent="0.25">
      <c r="B632" s="533">
        <v>42636</v>
      </c>
      <c r="C632" s="291">
        <v>9478</v>
      </c>
      <c r="D632" s="534">
        <v>15.992122</v>
      </c>
      <c r="E632" s="292">
        <v>14.49</v>
      </c>
      <c r="F632" s="292">
        <f t="shared" si="146"/>
        <v>-14237.112315999999</v>
      </c>
      <c r="G632" s="292">
        <f t="shared" si="147"/>
        <v>151573.33231600001</v>
      </c>
      <c r="H632" s="293">
        <f t="shared" si="148"/>
        <v>-9.39288732289561E-2</v>
      </c>
      <c r="I632" s="292"/>
    </row>
    <row r="633" spans="2:9" x14ac:dyDescent="0.25">
      <c r="B633" s="533">
        <v>42639</v>
      </c>
      <c r="C633" s="291">
        <v>9278</v>
      </c>
      <c r="D633" s="534">
        <v>16.019549999999999</v>
      </c>
      <c r="E633" s="292">
        <v>14.41</v>
      </c>
      <c r="F633" s="292">
        <f t="shared" si="146"/>
        <v>-14933.404899999989</v>
      </c>
      <c r="G633" s="292">
        <f t="shared" si="147"/>
        <v>148629.38489999998</v>
      </c>
      <c r="H633" s="293">
        <f t="shared" si="148"/>
        <v>-0.10047410819904422</v>
      </c>
      <c r="I633" s="292">
        <v>16</v>
      </c>
    </row>
    <row r="634" spans="2:9" x14ac:dyDescent="0.25">
      <c r="B634" s="533">
        <v>42639</v>
      </c>
      <c r="C634" s="291">
        <v>9478</v>
      </c>
      <c r="D634" s="534">
        <v>15.987468</v>
      </c>
      <c r="E634" s="292">
        <v>14.41</v>
      </c>
      <c r="F634" s="292">
        <f t="shared" si="146"/>
        <v>-14951.241703999996</v>
      </c>
      <c r="G634" s="292">
        <f t="shared" si="147"/>
        <v>151529.221704</v>
      </c>
      <c r="H634" s="293">
        <f t="shared" si="148"/>
        <v>-9.8669032519721048E-2</v>
      </c>
      <c r="I634" s="292"/>
    </row>
    <row r="635" spans="2:9" x14ac:dyDescent="0.25">
      <c r="B635" s="533">
        <v>42639</v>
      </c>
      <c r="C635" s="291">
        <v>9678</v>
      </c>
      <c r="D635" s="534">
        <v>15.954266000000001</v>
      </c>
      <c r="E635" s="292">
        <v>14.41</v>
      </c>
      <c r="F635" s="292">
        <f t="shared" si="146"/>
        <v>-14945.406348000004</v>
      </c>
      <c r="G635" s="292">
        <f t="shared" si="147"/>
        <v>154405.386348</v>
      </c>
      <c r="H635" s="293">
        <f t="shared" si="148"/>
        <v>-9.6793296538994669E-2</v>
      </c>
      <c r="I635" s="292"/>
    </row>
    <row r="636" spans="2:9" x14ac:dyDescent="0.25">
      <c r="B636" s="533">
        <v>42640</v>
      </c>
      <c r="C636" s="291">
        <v>10000</v>
      </c>
      <c r="D636" s="534">
        <v>15.890373</v>
      </c>
      <c r="E636" s="292">
        <v>14.06</v>
      </c>
      <c r="F636" s="292">
        <f t="shared" si="146"/>
        <v>-18303.73</v>
      </c>
      <c r="G636" s="292">
        <f t="shared" si="147"/>
        <v>158903.73000000001</v>
      </c>
      <c r="H636" s="293">
        <f t="shared" si="148"/>
        <v>-0.11518754153851517</v>
      </c>
      <c r="I636" s="292"/>
    </row>
    <row r="637" spans="2:9" x14ac:dyDescent="0.25">
      <c r="B637" s="533">
        <v>42641</v>
      </c>
      <c r="C637" s="291">
        <v>9278</v>
      </c>
      <c r="D637" s="534">
        <v>15.968</v>
      </c>
      <c r="E637" s="292">
        <v>15.18</v>
      </c>
      <c r="F637" s="292">
        <f t="shared" si="146"/>
        <v>-7311.0640000000021</v>
      </c>
      <c r="G637" s="292">
        <f t="shared" si="147"/>
        <v>148151.10399999999</v>
      </c>
      <c r="H637" s="293">
        <f t="shared" si="148"/>
        <v>-4.9348697394789594E-2</v>
      </c>
      <c r="I637" s="292" t="s">
        <v>276</v>
      </c>
    </row>
    <row r="638" spans="2:9" x14ac:dyDescent="0.25">
      <c r="B638" s="533">
        <v>42641</v>
      </c>
      <c r="C638" s="291">
        <v>8978</v>
      </c>
      <c r="D638" s="534">
        <v>15.991466000000001</v>
      </c>
      <c r="E638" s="292">
        <v>15.18</v>
      </c>
      <c r="F638" s="292">
        <f t="shared" si="146"/>
        <v>-7285.3417480000098</v>
      </c>
      <c r="G638" s="292">
        <f t="shared" si="147"/>
        <v>143571.38174800001</v>
      </c>
      <c r="H638" s="293">
        <f t="shared" si="148"/>
        <v>-5.0743690415875634E-2</v>
      </c>
      <c r="I638" s="292"/>
    </row>
    <row r="639" spans="2:9" x14ac:dyDescent="0.25">
      <c r="B639" s="533">
        <v>42642</v>
      </c>
      <c r="C639" s="291">
        <v>8678</v>
      </c>
      <c r="D639" s="534">
        <v>16.016100000000002</v>
      </c>
      <c r="E639" s="292">
        <v>15.9</v>
      </c>
      <c r="F639" s="292">
        <f t="shared" si="146"/>
        <v>-1007.5158000000105</v>
      </c>
      <c r="G639" s="292">
        <f t="shared" si="147"/>
        <v>138987.71580000001</v>
      </c>
      <c r="H639" s="293">
        <f t="shared" si="148"/>
        <v>-7.2489557382884214E-3</v>
      </c>
      <c r="I639" s="292"/>
    </row>
    <row r="640" spans="2:9" x14ac:dyDescent="0.25">
      <c r="B640" s="533">
        <v>42642</v>
      </c>
      <c r="C640" s="291">
        <v>7978</v>
      </c>
      <c r="D640" s="534">
        <v>16.036825</v>
      </c>
      <c r="E640" s="292">
        <v>15.9</v>
      </c>
      <c r="F640" s="292">
        <f t="shared" si="146"/>
        <v>-1091.5898499999998</v>
      </c>
      <c r="G640" s="292">
        <f t="shared" si="147"/>
        <v>127941.78985</v>
      </c>
      <c r="H640" s="293">
        <f t="shared" si="148"/>
        <v>-8.5319257396648009E-3</v>
      </c>
      <c r="I640" s="292"/>
    </row>
    <row r="641" spans="2:9" x14ac:dyDescent="0.25">
      <c r="B641" s="533">
        <v>42642</v>
      </c>
      <c r="C641" s="291">
        <v>7764</v>
      </c>
      <c r="D641" s="534">
        <v>16.038399999999999</v>
      </c>
      <c r="E641" s="292">
        <v>15.9</v>
      </c>
      <c r="F641" s="292">
        <f t="shared" si="146"/>
        <v>-1074.5375999999919</v>
      </c>
      <c r="G641" s="292">
        <f t="shared" si="147"/>
        <v>124522.1376</v>
      </c>
      <c r="H641" s="293">
        <f t="shared" si="148"/>
        <v>-8.6292897047086353E-3</v>
      </c>
      <c r="I641" s="292"/>
    </row>
    <row r="642" spans="2:9" x14ac:dyDescent="0.25">
      <c r="B642" s="533">
        <v>42642</v>
      </c>
      <c r="C642" s="291">
        <v>8178</v>
      </c>
      <c r="D642" s="534">
        <v>16.019235999999999</v>
      </c>
      <c r="E642" s="292">
        <v>15.9</v>
      </c>
      <c r="F642" s="292">
        <f t="shared" si="146"/>
        <v>-975.11200799999187</v>
      </c>
      <c r="G642" s="292">
        <f t="shared" si="147"/>
        <v>131005.31200799999</v>
      </c>
      <c r="H642" s="293">
        <f t="shared" si="148"/>
        <v>-7.4433012910228059E-3</v>
      </c>
      <c r="I642" s="292" t="s">
        <v>277</v>
      </c>
    </row>
    <row r="643" spans="2:9" x14ac:dyDescent="0.25">
      <c r="B643" s="533">
        <v>42643</v>
      </c>
      <c r="C643" s="291">
        <v>8178</v>
      </c>
      <c r="D643" s="534">
        <v>16.019235999999999</v>
      </c>
      <c r="E643" s="292">
        <v>15.81</v>
      </c>
      <c r="F643" s="292">
        <f>C643*(E643-D643)</f>
        <v>-1711.1320079999907</v>
      </c>
      <c r="G643" s="292">
        <f>IF(C643=0, 0,D643*C643)</f>
        <v>131005.31200799999</v>
      </c>
      <c r="H643" s="293">
        <f>IF(C643=0, D643, (E643-D643)/D643)</f>
        <v>-1.3061546755413234E-2</v>
      </c>
      <c r="I643" s="292"/>
    </row>
    <row r="644" spans="2:9" x14ac:dyDescent="0.25">
      <c r="B644" s="533">
        <v>42646</v>
      </c>
      <c r="C644" s="291">
        <v>8178</v>
      </c>
      <c r="D644" s="534">
        <v>16.019235999999999</v>
      </c>
      <c r="E644" s="292">
        <v>15.98</v>
      </c>
      <c r="F644" s="292">
        <f t="shared" ref="F644:F653" si="149">C644*(E644-D644)</f>
        <v>-320.8720079999913</v>
      </c>
      <c r="G644" s="292">
        <f t="shared" ref="G644:G653" si="150">IF(C644=0, 0,D644*C644)</f>
        <v>131005.31200799999</v>
      </c>
      <c r="H644" s="293">
        <f t="shared" ref="H644:H653" si="151">IF(C644=0, D644, (E644-D644)/D644)</f>
        <v>-2.4493053226757469E-3</v>
      </c>
      <c r="I644" s="292"/>
    </row>
    <row r="645" spans="2:9" x14ac:dyDescent="0.25">
      <c r="B645" s="533">
        <v>42647</v>
      </c>
      <c r="C645" s="291">
        <v>8678</v>
      </c>
      <c r="D645" s="534">
        <v>16.010061</v>
      </c>
      <c r="E645" s="292">
        <v>15.63</v>
      </c>
      <c r="F645" s="292">
        <f t="shared" si="149"/>
        <v>-3298.169357999996</v>
      </c>
      <c r="G645" s="292">
        <f t="shared" si="150"/>
        <v>138935.309358</v>
      </c>
      <c r="H645" s="293">
        <f t="shared" si="151"/>
        <v>-2.3738885192255015E-2</v>
      </c>
      <c r="I645" s="292"/>
    </row>
    <row r="646" spans="2:9" x14ac:dyDescent="0.25">
      <c r="B646" s="533">
        <v>42647</v>
      </c>
      <c r="C646" s="291">
        <v>9178</v>
      </c>
      <c r="D646" s="534">
        <v>15.988811</v>
      </c>
      <c r="E646" s="292">
        <v>15.63</v>
      </c>
      <c r="F646" s="292">
        <f t="shared" si="149"/>
        <v>-3293.1673579999938</v>
      </c>
      <c r="G646" s="292">
        <f t="shared" si="150"/>
        <v>146745.30735799999</v>
      </c>
      <c r="H646" s="293">
        <f t="shared" si="151"/>
        <v>-2.2441381038277287E-2</v>
      </c>
      <c r="I646" s="292"/>
    </row>
    <row r="647" spans="2:9" x14ac:dyDescent="0.25">
      <c r="B647" s="533">
        <v>42648</v>
      </c>
      <c r="C647" s="291">
        <v>8178</v>
      </c>
      <c r="D647" s="534">
        <v>15.977725</v>
      </c>
      <c r="E647" s="292">
        <v>16.12</v>
      </c>
      <c r="F647" s="292">
        <f t="shared" si="149"/>
        <v>1163.524950000012</v>
      </c>
      <c r="G647" s="292">
        <f t="shared" si="150"/>
        <v>130665.83504999999</v>
      </c>
      <c r="H647" s="293">
        <f t="shared" si="151"/>
        <v>8.904584351026288E-3</v>
      </c>
      <c r="I647" s="292">
        <v>15.75</v>
      </c>
    </row>
    <row r="648" spans="2:9" x14ac:dyDescent="0.25">
      <c r="B648" s="533">
        <v>42648</v>
      </c>
      <c r="C648" s="312">
        <v>7678</v>
      </c>
      <c r="D648" s="535">
        <v>15.951529000000001</v>
      </c>
      <c r="E648" s="292">
        <v>16.12</v>
      </c>
      <c r="F648" s="292">
        <f t="shared" si="149"/>
        <v>1293.5203380000021</v>
      </c>
      <c r="G648" s="292">
        <f t="shared" si="150"/>
        <v>122475.839662</v>
      </c>
      <c r="H648" s="293">
        <f t="shared" si="151"/>
        <v>1.0561432700275958E-2</v>
      </c>
      <c r="I648" s="292" t="s">
        <v>281</v>
      </c>
    </row>
    <row r="649" spans="2:9" x14ac:dyDescent="0.25">
      <c r="B649" s="533">
        <v>42649</v>
      </c>
      <c r="C649" s="291">
        <v>8678</v>
      </c>
      <c r="D649" s="534">
        <v>15.941579000000001</v>
      </c>
      <c r="E649" s="292">
        <v>16.079999999999998</v>
      </c>
      <c r="F649" s="292">
        <f t="shared" si="149"/>
        <v>1201.2174379999781</v>
      </c>
      <c r="G649" s="292">
        <f t="shared" si="150"/>
        <v>138341.022562</v>
      </c>
      <c r="H649" s="293">
        <f t="shared" si="151"/>
        <v>8.683016908174369E-3</v>
      </c>
      <c r="I649" s="292"/>
    </row>
    <row r="650" spans="2:9" x14ac:dyDescent="0.25">
      <c r="B650" s="533">
        <v>42650</v>
      </c>
      <c r="C650" s="291">
        <v>8978</v>
      </c>
      <c r="D650" s="534">
        <v>15.935176999999999</v>
      </c>
      <c r="E650" s="292">
        <v>15.56</v>
      </c>
      <c r="F650" s="292">
        <f t="shared" si="149"/>
        <v>-3368.3391059999908</v>
      </c>
      <c r="G650" s="292">
        <f t="shared" si="150"/>
        <v>143066.01910599999</v>
      </c>
      <c r="H650" s="293">
        <f t="shared" si="151"/>
        <v>-2.354394933925108E-2</v>
      </c>
      <c r="I650" s="292"/>
    </row>
    <row r="651" spans="2:9" x14ac:dyDescent="0.25">
      <c r="B651" s="533">
        <v>42650</v>
      </c>
      <c r="C651" s="291">
        <v>9278</v>
      </c>
      <c r="D651" s="534">
        <v>15.923692000000001</v>
      </c>
      <c r="E651" s="292">
        <v>15.56</v>
      </c>
      <c r="F651" s="292">
        <f t="shared" si="149"/>
        <v>-3374.3343760000034</v>
      </c>
      <c r="G651" s="292">
        <f t="shared" si="150"/>
        <v>147740.01437600001</v>
      </c>
      <c r="H651" s="293">
        <f t="shared" si="151"/>
        <v>-2.2839678134945106E-2</v>
      </c>
      <c r="I651" s="292">
        <v>15.8</v>
      </c>
    </row>
    <row r="652" spans="2:9" x14ac:dyDescent="0.25">
      <c r="B652" s="533">
        <v>42653</v>
      </c>
      <c r="C652" s="312">
        <v>9678</v>
      </c>
      <c r="D652" s="535">
        <v>15.9153</v>
      </c>
      <c r="E652" s="292">
        <v>15.72</v>
      </c>
      <c r="F652" s="292">
        <f t="shared" si="149"/>
        <v>-1890.1133999999961</v>
      </c>
      <c r="G652" s="292">
        <f t="shared" si="150"/>
        <v>154028.27340000001</v>
      </c>
      <c r="H652" s="293">
        <f t="shared" si="151"/>
        <v>-1.2271210721758281E-2</v>
      </c>
      <c r="I652" s="292"/>
    </row>
    <row r="653" spans="2:9" x14ac:dyDescent="0.25">
      <c r="B653" s="533">
        <v>42661</v>
      </c>
      <c r="C653" s="312">
        <v>10000</v>
      </c>
      <c r="D653" s="535">
        <v>15.901258</v>
      </c>
      <c r="E653" s="292">
        <v>14.2</v>
      </c>
      <c r="F653" s="292">
        <f t="shared" si="149"/>
        <v>-17012.580000000009</v>
      </c>
      <c r="G653" s="292">
        <f t="shared" si="150"/>
        <v>159012.58000000002</v>
      </c>
      <c r="H653" s="293">
        <f t="shared" si="151"/>
        <v>-0.10698889358313669</v>
      </c>
      <c r="I653" s="292"/>
    </row>
    <row r="654" spans="2:9" x14ac:dyDescent="0.25">
      <c r="B654" s="533">
        <v>42663</v>
      </c>
      <c r="C654" s="291">
        <v>10000</v>
      </c>
      <c r="D654" s="534">
        <v>15.901258</v>
      </c>
      <c r="E654" s="292">
        <v>14.7</v>
      </c>
      <c r="F654" s="292">
        <f>C654*(E654-D654)</f>
        <v>-12012.580000000011</v>
      </c>
      <c r="G654" s="292">
        <f>IF(C654=0, 0,D654*C654)</f>
        <v>159012.58000000002</v>
      </c>
      <c r="H654" s="294">
        <f>IF(C654=0, D654, (E654-D654)/D654)</f>
        <v>-7.5544840540289399E-2</v>
      </c>
      <c r="I654" s="292"/>
    </row>
    <row r="655" spans="2:9" x14ac:dyDescent="0.25">
      <c r="B655" s="533">
        <v>42668</v>
      </c>
      <c r="C655" s="291">
        <v>11000</v>
      </c>
      <c r="D655" s="534">
        <v>15.74728</v>
      </c>
      <c r="E655" s="292">
        <v>14.18</v>
      </c>
      <c r="F655" s="292">
        <f>C655*(E655-D655)</f>
        <v>-17240.080000000002</v>
      </c>
      <c r="G655" s="292">
        <f>IF(C655=0, 0,D655*C655)</f>
        <v>173220.08</v>
      </c>
      <c r="H655" s="294">
        <f>IF(C655=0, D655, (E655-D655)/D655)</f>
        <v>-9.9527029429844413E-2</v>
      </c>
      <c r="I655" s="292"/>
    </row>
    <row r="656" spans="2:9" x14ac:dyDescent="0.25">
      <c r="B656" s="533">
        <v>42670</v>
      </c>
      <c r="C656" s="291">
        <v>11500</v>
      </c>
      <c r="D656" s="534">
        <v>15.679137000000001</v>
      </c>
      <c r="E656" s="292">
        <v>13.95</v>
      </c>
      <c r="F656" s="292">
        <f>C656*(E656-D656)</f>
        <v>-19885.075500000017</v>
      </c>
      <c r="G656" s="292">
        <f>IF(C656=0, 0,D656*C656)</f>
        <v>180310.07550000001</v>
      </c>
      <c r="H656" s="294">
        <f>IF(C656=0, D656, (E656-D656)/D656)</f>
        <v>-0.11028266415428357</v>
      </c>
      <c r="I656" s="292"/>
    </row>
    <row r="657" spans="2:9" x14ac:dyDescent="0.25">
      <c r="B657" s="533">
        <v>42670</v>
      </c>
      <c r="C657" s="291">
        <v>12000</v>
      </c>
      <c r="D657" s="534">
        <v>15.6113</v>
      </c>
      <c r="E657" s="292">
        <v>13.95</v>
      </c>
      <c r="F657" s="292">
        <f t="shared" ref="F657:F664" si="152">C657*(E657-D657)</f>
        <v>-19935.600000000009</v>
      </c>
      <c r="G657" s="292">
        <f t="shared" ref="G657:G664" si="153">IF(C657=0, 0,D657*C657)</f>
        <v>187335.6</v>
      </c>
      <c r="H657" s="294">
        <f t="shared" ref="H657:H664" si="154">IF(C657=0, D657, (E657-D657)/D657)</f>
        <v>-0.10641650599245422</v>
      </c>
      <c r="I657" s="292"/>
    </row>
    <row r="658" spans="2:9" x14ac:dyDescent="0.25">
      <c r="B658" s="533">
        <v>42670</v>
      </c>
      <c r="C658" s="291">
        <v>12500</v>
      </c>
      <c r="D658" s="534">
        <v>15.542006000000001</v>
      </c>
      <c r="E658" s="292">
        <v>13.95</v>
      </c>
      <c r="F658" s="292">
        <f t="shared" si="152"/>
        <v>-19900.075000000015</v>
      </c>
      <c r="G658" s="292">
        <f t="shared" si="153"/>
        <v>194275.07500000001</v>
      </c>
      <c r="H658" s="294">
        <f t="shared" si="154"/>
        <v>-0.10243246592492637</v>
      </c>
      <c r="I658" s="292"/>
    </row>
    <row r="659" spans="2:9" x14ac:dyDescent="0.25">
      <c r="B659" s="533">
        <v>42671</v>
      </c>
      <c r="C659" s="291">
        <v>12500</v>
      </c>
      <c r="D659" s="534">
        <v>15.536431</v>
      </c>
      <c r="E659" s="292">
        <v>13.72</v>
      </c>
      <c r="F659" s="292">
        <f t="shared" si="152"/>
        <v>-22705.387499999997</v>
      </c>
      <c r="G659" s="292">
        <f t="shared" si="153"/>
        <v>194205.38750000001</v>
      </c>
      <c r="H659" s="294">
        <f t="shared" si="154"/>
        <v>-0.11691430290521676</v>
      </c>
      <c r="I659" s="292"/>
    </row>
    <row r="660" spans="2:9" x14ac:dyDescent="0.25">
      <c r="B660" s="533">
        <v>42674</v>
      </c>
      <c r="C660" s="291">
        <v>12500</v>
      </c>
      <c r="D660" s="534">
        <v>15.5313</v>
      </c>
      <c r="E660" s="292">
        <v>13.18</v>
      </c>
      <c r="F660" s="292">
        <f t="shared" si="152"/>
        <v>-29391.250000000004</v>
      </c>
      <c r="G660" s="292">
        <f t="shared" si="153"/>
        <v>194141.25</v>
      </c>
      <c r="H660" s="294">
        <f t="shared" si="154"/>
        <v>-0.15139106192012261</v>
      </c>
      <c r="I660" s="292"/>
    </row>
    <row r="661" spans="2:9" x14ac:dyDescent="0.25">
      <c r="B661" s="533">
        <v>42676</v>
      </c>
      <c r="C661" s="291">
        <v>12500</v>
      </c>
      <c r="D661" s="534">
        <v>15.528746</v>
      </c>
      <c r="E661" s="292">
        <v>12.78</v>
      </c>
      <c r="F661" s="292">
        <f t="shared" si="152"/>
        <v>-34359.325000000004</v>
      </c>
      <c r="G661" s="292">
        <f t="shared" si="153"/>
        <v>194109.32500000001</v>
      </c>
      <c r="H661" s="293">
        <f t="shared" si="154"/>
        <v>-0.17701017197396368</v>
      </c>
      <c r="I661" s="292"/>
    </row>
    <row r="662" spans="2:9" x14ac:dyDescent="0.25">
      <c r="B662" s="533">
        <v>42677</v>
      </c>
      <c r="C662" s="291">
        <v>10000</v>
      </c>
      <c r="D662" s="534">
        <v>15.813000000000001</v>
      </c>
      <c r="E662" s="292">
        <v>14.15</v>
      </c>
      <c r="F662" s="292">
        <f t="shared" si="152"/>
        <v>-16630.000000000004</v>
      </c>
      <c r="G662" s="292">
        <f t="shared" si="153"/>
        <v>158130</v>
      </c>
      <c r="H662" s="293">
        <f t="shared" si="154"/>
        <v>-0.10516663504711314</v>
      </c>
      <c r="I662" s="292"/>
    </row>
    <row r="663" spans="2:9" x14ac:dyDescent="0.25">
      <c r="B663" s="533">
        <v>42678</v>
      </c>
      <c r="C663" s="291">
        <v>11000</v>
      </c>
      <c r="D663" s="534">
        <v>15.62</v>
      </c>
      <c r="E663" s="292">
        <v>13.69</v>
      </c>
      <c r="F663" s="292">
        <f t="shared" si="152"/>
        <v>-21229.999999999996</v>
      </c>
      <c r="G663" s="292">
        <f t="shared" si="153"/>
        <v>171820</v>
      </c>
      <c r="H663" s="293">
        <f t="shared" si="154"/>
        <v>-0.12355953905249678</v>
      </c>
      <c r="I663" s="292"/>
    </row>
    <row r="664" spans="2:9" x14ac:dyDescent="0.25">
      <c r="B664" s="533">
        <v>42701</v>
      </c>
      <c r="C664" s="291">
        <v>7678</v>
      </c>
      <c r="D664" s="534">
        <v>15.484220000000001</v>
      </c>
      <c r="E664" s="292">
        <v>16.28</v>
      </c>
      <c r="F664" s="292">
        <f t="shared" si="152"/>
        <v>6109.9988400000047</v>
      </c>
      <c r="G664" s="292">
        <f t="shared" si="153"/>
        <v>118887.84116000001</v>
      </c>
      <c r="H664" s="293">
        <f t="shared" si="154"/>
        <v>5.1392966516879801E-2</v>
      </c>
      <c r="I664" s="292" t="s">
        <v>286</v>
      </c>
    </row>
    <row r="665" spans="2:9" x14ac:dyDescent="0.25">
      <c r="B665" s="533">
        <v>42702</v>
      </c>
      <c r="C665" s="291">
        <v>8178</v>
      </c>
      <c r="D665" s="534">
        <v>15.519399999999999</v>
      </c>
      <c r="E665" s="292">
        <v>15.62</v>
      </c>
      <c r="F665" s="292">
        <f t="shared" ref="F665:F682" si="155">C665*(E665-D665)</f>
        <v>822.70680000000016</v>
      </c>
      <c r="G665" s="292">
        <f t="shared" ref="G665:G682" si="156">IF(C665=0, 0,D665*C665)</f>
        <v>126917.6532</v>
      </c>
      <c r="H665" s="293">
        <f t="shared" ref="H665:H682" si="157">IF(C665=0, D665, (E665-D665)/D665)</f>
        <v>6.4822093637640649E-3</v>
      </c>
      <c r="I665" s="292" t="s">
        <v>289</v>
      </c>
    </row>
    <row r="666" spans="2:9" x14ac:dyDescent="0.25">
      <c r="B666" s="533">
        <v>42702</v>
      </c>
      <c r="C666" s="291">
        <v>8678</v>
      </c>
      <c r="D666" s="534">
        <v>15.5304</v>
      </c>
      <c r="E666" s="292">
        <v>15.54</v>
      </c>
      <c r="F666" s="292">
        <f t="shared" si="155"/>
        <v>83.308799999990825</v>
      </c>
      <c r="G666" s="292">
        <f t="shared" si="156"/>
        <v>134772.8112</v>
      </c>
      <c r="H666" s="293">
        <f t="shared" si="157"/>
        <v>6.1814248184199655E-4</v>
      </c>
      <c r="I666" s="292"/>
    </row>
    <row r="667" spans="2:9" x14ac:dyDescent="0.25">
      <c r="B667" s="533">
        <v>42703</v>
      </c>
      <c r="C667" s="291">
        <v>8978</v>
      </c>
      <c r="D667" s="534">
        <v>15.5053</v>
      </c>
      <c r="E667" s="292">
        <v>14.95</v>
      </c>
      <c r="F667" s="292">
        <f t="shared" si="155"/>
        <v>-4985.4834000000074</v>
      </c>
      <c r="G667" s="292">
        <f t="shared" si="156"/>
        <v>139206.5834</v>
      </c>
      <c r="H667" s="293">
        <f t="shared" si="157"/>
        <v>-3.5813560524465882E-2</v>
      </c>
      <c r="I667" s="292"/>
    </row>
    <row r="668" spans="2:9" x14ac:dyDescent="0.25">
      <c r="B668" s="533">
        <v>42704</v>
      </c>
      <c r="C668" s="291">
        <v>5178</v>
      </c>
      <c r="D668" s="534">
        <v>14.3947</v>
      </c>
      <c r="E668" s="292">
        <v>18.059999999999999</v>
      </c>
      <c r="F668" s="292">
        <f t="shared" si="155"/>
        <v>18978.923399999992</v>
      </c>
      <c r="G668" s="292">
        <f t="shared" si="156"/>
        <v>74535.756600000008</v>
      </c>
      <c r="H668" s="293">
        <f t="shared" si="157"/>
        <v>0.25462843963403187</v>
      </c>
      <c r="I668" s="292"/>
    </row>
    <row r="669" spans="2:9" x14ac:dyDescent="0.25">
      <c r="B669" s="533">
        <v>42705</v>
      </c>
      <c r="C669" s="291">
        <v>4678</v>
      </c>
      <c r="D669" s="534">
        <v>13.905799999999999</v>
      </c>
      <c r="E669" s="292">
        <v>17.89</v>
      </c>
      <c r="F669" s="292">
        <f t="shared" si="155"/>
        <v>18638.087600000006</v>
      </c>
      <c r="G669" s="292">
        <f t="shared" si="156"/>
        <v>65051.332399999999</v>
      </c>
      <c r="H669" s="293">
        <f t="shared" si="157"/>
        <v>0.28651354111234173</v>
      </c>
      <c r="I669" s="292"/>
    </row>
    <row r="670" spans="2:9" x14ac:dyDescent="0.25">
      <c r="B670" s="533">
        <v>42705</v>
      </c>
      <c r="C670" s="291">
        <v>5000</v>
      </c>
      <c r="D670" s="534">
        <v>14.1645</v>
      </c>
      <c r="E670" s="292">
        <v>17.89</v>
      </c>
      <c r="F670" s="292">
        <f t="shared" si="155"/>
        <v>18627.5</v>
      </c>
      <c r="G670" s="292">
        <f t="shared" si="156"/>
        <v>70822.5</v>
      </c>
      <c r="H670" s="293">
        <f t="shared" si="157"/>
        <v>0.2630166966712556</v>
      </c>
      <c r="I670" s="292"/>
    </row>
    <row r="671" spans="2:9" x14ac:dyDescent="0.25">
      <c r="B671" s="533">
        <v>42708</v>
      </c>
      <c r="C671" s="291">
        <v>5000</v>
      </c>
      <c r="D671" s="534">
        <v>14.1645</v>
      </c>
      <c r="E671" s="292">
        <v>18.2</v>
      </c>
      <c r="F671" s="292">
        <f t="shared" si="155"/>
        <v>20177.499999999996</v>
      </c>
      <c r="G671" s="292">
        <f t="shared" si="156"/>
        <v>70822.5</v>
      </c>
      <c r="H671" s="293">
        <f t="shared" si="157"/>
        <v>0.28490239683716323</v>
      </c>
      <c r="I671" s="292"/>
    </row>
    <row r="672" spans="2:9" x14ac:dyDescent="0.25">
      <c r="B672" s="533">
        <v>42711</v>
      </c>
      <c r="C672" s="291">
        <v>5000</v>
      </c>
      <c r="D672" s="534">
        <v>14.143514</v>
      </c>
      <c r="E672" s="292">
        <v>18.420000000000002</v>
      </c>
      <c r="F672" s="292">
        <f t="shared" si="155"/>
        <v>21382.430000000011</v>
      </c>
      <c r="G672" s="292">
        <f t="shared" si="156"/>
        <v>70717.569999999992</v>
      </c>
      <c r="H672" s="293">
        <f t="shared" si="157"/>
        <v>0.3023637548631834</v>
      </c>
      <c r="I672" s="292"/>
    </row>
    <row r="673" spans="1:10" x14ac:dyDescent="0.25">
      <c r="B673" s="533">
        <v>42713</v>
      </c>
      <c r="C673" s="291">
        <v>5000</v>
      </c>
      <c r="D673" s="534">
        <v>14.127554</v>
      </c>
      <c r="E673" s="292">
        <v>18.25</v>
      </c>
      <c r="F673" s="292">
        <f t="shared" si="155"/>
        <v>20612.23</v>
      </c>
      <c r="G673" s="292">
        <f t="shared" si="156"/>
        <v>70637.77</v>
      </c>
      <c r="H673" s="293">
        <f t="shared" si="157"/>
        <v>0.29180182216964096</v>
      </c>
      <c r="I673" s="292"/>
    </row>
    <row r="674" spans="1:10" x14ac:dyDescent="0.25">
      <c r="B674" s="533">
        <v>42716</v>
      </c>
      <c r="C674" s="291">
        <v>5000</v>
      </c>
      <c r="D674" s="534">
        <v>14.0276</v>
      </c>
      <c r="E674" s="292">
        <v>18.489999999999998</v>
      </c>
      <c r="F674" s="292">
        <f t="shared" si="155"/>
        <v>22311.999999999993</v>
      </c>
      <c r="G674" s="292">
        <f t="shared" si="156"/>
        <v>70138</v>
      </c>
      <c r="H674" s="293">
        <f t="shared" si="157"/>
        <v>0.3181157147338104</v>
      </c>
      <c r="I674" s="292" t="s">
        <v>182</v>
      </c>
    </row>
    <row r="675" spans="1:10" x14ac:dyDescent="0.25">
      <c r="B675" s="533">
        <v>42718</v>
      </c>
      <c r="C675" s="291">
        <v>5000</v>
      </c>
      <c r="D675" s="534">
        <v>14.025399999999999</v>
      </c>
      <c r="E675" s="292">
        <v>18.2</v>
      </c>
      <c r="F675" s="292">
        <f t="shared" si="155"/>
        <v>20873</v>
      </c>
      <c r="G675" s="292">
        <f t="shared" si="156"/>
        <v>70127</v>
      </c>
      <c r="H675" s="293">
        <f t="shared" si="157"/>
        <v>0.29764569994438661</v>
      </c>
      <c r="I675" s="292">
        <v>13.8</v>
      </c>
    </row>
    <row r="676" spans="1:10" x14ac:dyDescent="0.25">
      <c r="B676" s="533">
        <v>42726</v>
      </c>
      <c r="C676" s="291">
        <v>5000</v>
      </c>
      <c r="D676" s="534">
        <v>14.025399999999999</v>
      </c>
      <c r="E676" s="292">
        <v>18.04</v>
      </c>
      <c r="F676" s="292">
        <f t="shared" si="155"/>
        <v>20073</v>
      </c>
      <c r="G676" s="292">
        <f t="shared" si="156"/>
        <v>70127</v>
      </c>
      <c r="H676" s="293">
        <f t="shared" si="157"/>
        <v>0.28623782565916123</v>
      </c>
      <c r="I676" s="292"/>
    </row>
    <row r="677" spans="1:10" x14ac:dyDescent="0.25">
      <c r="B677" s="533">
        <v>42733</v>
      </c>
      <c r="C677" s="291">
        <v>6000</v>
      </c>
      <c r="D677" s="534">
        <v>14.627558000000001</v>
      </c>
      <c r="E677" s="292">
        <v>17.57</v>
      </c>
      <c r="F677" s="369">
        <f t="shared" si="155"/>
        <v>17654.651999999998</v>
      </c>
      <c r="G677" s="292">
        <f t="shared" si="156"/>
        <v>87765.347999999998</v>
      </c>
      <c r="H677" s="294">
        <f t="shared" si="157"/>
        <v>0.20115743174629694</v>
      </c>
      <c r="I677" s="292"/>
      <c r="J677" s="3"/>
    </row>
    <row r="678" spans="1:10" x14ac:dyDescent="0.25">
      <c r="B678" s="533">
        <v>42734</v>
      </c>
      <c r="C678" s="291">
        <v>6000</v>
      </c>
      <c r="D678" s="534">
        <v>14.562623</v>
      </c>
      <c r="E678" s="292">
        <v>17.309999999999999</v>
      </c>
      <c r="F678" s="369">
        <f t="shared" si="155"/>
        <v>16484.261999999992</v>
      </c>
      <c r="G678" s="292">
        <f t="shared" si="156"/>
        <v>87375.737999999998</v>
      </c>
      <c r="H678" s="294">
        <f t="shared" si="157"/>
        <v>0.18865948806063293</v>
      </c>
      <c r="I678" s="292"/>
    </row>
    <row r="679" spans="1:10" x14ac:dyDescent="0.25">
      <c r="B679" s="533">
        <v>42739</v>
      </c>
      <c r="C679" s="291">
        <v>5500</v>
      </c>
      <c r="D679" s="534">
        <v>14.242898</v>
      </c>
      <c r="E679" s="292">
        <v>18.05</v>
      </c>
      <c r="F679" s="369">
        <f t="shared" si="155"/>
        <v>20939.061000000002</v>
      </c>
      <c r="G679" s="292">
        <f t="shared" si="156"/>
        <v>78335.938999999998</v>
      </c>
      <c r="H679" s="294">
        <f t="shared" si="157"/>
        <v>0.26729827033796072</v>
      </c>
      <c r="I679" s="292"/>
    </row>
    <row r="680" spans="1:10" x14ac:dyDescent="0.25">
      <c r="B680" s="533">
        <v>42741</v>
      </c>
      <c r="C680" s="291">
        <v>6000</v>
      </c>
      <c r="D680" s="534">
        <v>14.54599</v>
      </c>
      <c r="E680" s="292">
        <v>17.98</v>
      </c>
      <c r="F680" s="369">
        <f t="shared" si="155"/>
        <v>20604.060000000005</v>
      </c>
      <c r="G680" s="292">
        <f t="shared" si="156"/>
        <v>87275.94</v>
      </c>
      <c r="H680" s="294">
        <f t="shared" si="157"/>
        <v>0.23607949682352322</v>
      </c>
      <c r="I680" s="292"/>
    </row>
    <row r="681" spans="1:10" x14ac:dyDescent="0.25">
      <c r="B681" s="533">
        <v>42748</v>
      </c>
      <c r="C681" s="291">
        <v>6000</v>
      </c>
      <c r="D681" s="534">
        <v>14.527687999999999</v>
      </c>
      <c r="E681" s="292">
        <v>17.46</v>
      </c>
      <c r="F681" s="369">
        <f t="shared" si="155"/>
        <v>17593.872000000007</v>
      </c>
      <c r="G681" s="292">
        <f t="shared" si="156"/>
        <v>87166.127999999997</v>
      </c>
      <c r="H681" s="294">
        <f t="shared" si="157"/>
        <v>0.20184299112150547</v>
      </c>
      <c r="I681" s="292"/>
    </row>
    <row r="682" spans="1:10" x14ac:dyDescent="0.25">
      <c r="A682" s="179" t="s">
        <v>312</v>
      </c>
      <c r="B682" s="533">
        <v>42754</v>
      </c>
      <c r="C682" s="291">
        <v>6000</v>
      </c>
      <c r="D682" s="534">
        <v>14.527687999999999</v>
      </c>
      <c r="E682" s="292">
        <v>17.27</v>
      </c>
      <c r="F682" s="369">
        <f t="shared" si="155"/>
        <v>16453.871999999999</v>
      </c>
      <c r="G682" s="292">
        <f t="shared" si="156"/>
        <v>87166.127999999997</v>
      </c>
      <c r="H682" s="294">
        <f t="shared" si="157"/>
        <v>0.1887645164185795</v>
      </c>
      <c r="I682" s="292"/>
    </row>
    <row r="683" spans="1:10" x14ac:dyDescent="0.25">
      <c r="A683" t="s">
        <v>312</v>
      </c>
      <c r="B683" s="533">
        <v>42760</v>
      </c>
      <c r="C683" s="291">
        <v>6000</v>
      </c>
      <c r="D683" s="534">
        <v>14.527687999999999</v>
      </c>
      <c r="E683" s="292">
        <v>17.75</v>
      </c>
      <c r="F683" s="369">
        <f t="shared" ref="F683:F697" si="158">C683*(E683-D683)</f>
        <v>19333.872000000003</v>
      </c>
      <c r="G683" s="292">
        <f t="shared" ref="G683:G697" si="159">IF(C683=0, 0,D683*C683)</f>
        <v>87166.127999999997</v>
      </c>
      <c r="H683" s="294">
        <f t="shared" ref="H683:H697" si="160">IF(C683=0, D683, (E683-D683)/D683)</f>
        <v>0.22180487356281334</v>
      </c>
      <c r="I683" s="292"/>
    </row>
    <row r="684" spans="1:10" x14ac:dyDescent="0.25">
      <c r="A684" t="s">
        <v>339</v>
      </c>
      <c r="B684" s="533">
        <v>42761</v>
      </c>
      <c r="C684" s="291">
        <v>6000</v>
      </c>
      <c r="D684" s="534">
        <v>14.50817</v>
      </c>
      <c r="E684" s="292">
        <v>17.75</v>
      </c>
      <c r="F684" s="369">
        <f t="shared" si="158"/>
        <v>19450.98</v>
      </c>
      <c r="G684" s="292">
        <f t="shared" si="159"/>
        <v>87049.02</v>
      </c>
      <c r="H684" s="294">
        <f t="shared" si="160"/>
        <v>0.22344858104088938</v>
      </c>
      <c r="I684" s="292"/>
    </row>
    <row r="685" spans="1:10" x14ac:dyDescent="0.25">
      <c r="A685" t="s">
        <v>342</v>
      </c>
      <c r="B685" s="533">
        <v>42762</v>
      </c>
      <c r="C685" s="291">
        <v>6100</v>
      </c>
      <c r="D685" s="534">
        <v>14.553610000000001</v>
      </c>
      <c r="E685" s="292">
        <v>17.41</v>
      </c>
      <c r="F685" s="369">
        <f t="shared" si="158"/>
        <v>17423.978999999996</v>
      </c>
      <c r="G685" s="292">
        <f t="shared" si="159"/>
        <v>88777.021000000008</v>
      </c>
      <c r="H685" s="294">
        <f t="shared" si="160"/>
        <v>0.19626676817641803</v>
      </c>
      <c r="I685" s="292"/>
    </row>
    <row r="686" spans="1:10" x14ac:dyDescent="0.25">
      <c r="A686" t="s">
        <v>351</v>
      </c>
      <c r="B686" s="533">
        <v>42765</v>
      </c>
      <c r="C686" s="291">
        <v>6900</v>
      </c>
      <c r="D686" s="534">
        <v>14.793915999999999</v>
      </c>
      <c r="E686" s="292">
        <v>16.53</v>
      </c>
      <c r="F686" s="369">
        <f t="shared" si="158"/>
        <v>11978.979600000011</v>
      </c>
      <c r="G686" s="292">
        <f t="shared" si="159"/>
        <v>102078.02039999999</v>
      </c>
      <c r="H686" s="294">
        <f t="shared" si="160"/>
        <v>0.11735121383682331</v>
      </c>
      <c r="I686" s="292"/>
    </row>
    <row r="687" spans="1:10" x14ac:dyDescent="0.25">
      <c r="A687" t="s">
        <v>352</v>
      </c>
      <c r="B687" s="533">
        <v>42766</v>
      </c>
      <c r="C687" s="291">
        <v>6900</v>
      </c>
      <c r="D687" s="534">
        <v>14.783497000000001</v>
      </c>
      <c r="E687" s="292">
        <v>16.75</v>
      </c>
      <c r="F687" s="369">
        <f t="shared" si="158"/>
        <v>13568.870699999996</v>
      </c>
      <c r="G687" s="292">
        <f t="shared" si="159"/>
        <v>102006.1293</v>
      </c>
      <c r="H687" s="294">
        <f t="shared" si="160"/>
        <v>0.13302015078029233</v>
      </c>
      <c r="I687" s="292"/>
    </row>
    <row r="688" spans="1:10" x14ac:dyDescent="0.25">
      <c r="B688" s="533">
        <v>42767</v>
      </c>
      <c r="C688" s="291">
        <v>6000</v>
      </c>
      <c r="D688" s="534">
        <v>14.442175000000001</v>
      </c>
      <c r="E688" s="292">
        <v>16.59</v>
      </c>
      <c r="F688" s="369">
        <f t="shared" si="158"/>
        <v>12886.949999999995</v>
      </c>
      <c r="G688" s="292">
        <f t="shared" si="159"/>
        <v>86653.05</v>
      </c>
      <c r="H688" s="294">
        <f t="shared" si="160"/>
        <v>0.14871894295699914</v>
      </c>
      <c r="I688" s="292"/>
    </row>
    <row r="689" spans="1:9" x14ac:dyDescent="0.25">
      <c r="B689" s="533">
        <v>42767</v>
      </c>
      <c r="C689" s="291">
        <v>7000</v>
      </c>
      <c r="D689" s="534">
        <v>14.725436</v>
      </c>
      <c r="E689" s="292">
        <v>16.59</v>
      </c>
      <c r="F689" s="369">
        <f t="shared" si="158"/>
        <v>13051.947999999999</v>
      </c>
      <c r="G689" s="292">
        <f t="shared" si="159"/>
        <v>103078.052</v>
      </c>
      <c r="H689" s="294">
        <f t="shared" si="160"/>
        <v>0.1266219893251378</v>
      </c>
      <c r="I689" s="292"/>
    </row>
    <row r="690" spans="1:9" x14ac:dyDescent="0.25">
      <c r="B690" s="533">
        <v>42767</v>
      </c>
      <c r="C690" s="291">
        <v>7200</v>
      </c>
      <c r="D690" s="534">
        <v>14.771951</v>
      </c>
      <c r="E690" s="292">
        <v>16.59</v>
      </c>
      <c r="F690" s="369">
        <f t="shared" si="158"/>
        <v>13089.952800000001</v>
      </c>
      <c r="G690" s="292">
        <f t="shared" si="159"/>
        <v>106358.0472</v>
      </c>
      <c r="H690" s="294">
        <f t="shared" si="160"/>
        <v>0.12307439958337259</v>
      </c>
      <c r="I690" s="292"/>
    </row>
    <row r="691" spans="1:9" x14ac:dyDescent="0.25">
      <c r="A691" t="s">
        <v>355</v>
      </c>
      <c r="B691" s="533">
        <v>42767</v>
      </c>
      <c r="C691" s="291">
        <v>6500</v>
      </c>
      <c r="D691" s="534">
        <v>14.578353999999999</v>
      </c>
      <c r="E691" s="292">
        <v>16.59</v>
      </c>
      <c r="F691" s="369">
        <f t="shared" si="158"/>
        <v>13075.699000000004</v>
      </c>
      <c r="G691" s="292">
        <f t="shared" si="159"/>
        <v>94759.300999999992</v>
      </c>
      <c r="H691" s="294">
        <f t="shared" si="160"/>
        <v>0.13798855481215511</v>
      </c>
      <c r="I691" s="292"/>
    </row>
    <row r="692" spans="1:9" x14ac:dyDescent="0.25">
      <c r="A692" t="s">
        <v>357</v>
      </c>
      <c r="B692" s="533">
        <v>42768</v>
      </c>
      <c r="C692" s="291">
        <v>6000</v>
      </c>
      <c r="D692" s="534">
        <v>14.368788</v>
      </c>
      <c r="E692" s="292">
        <v>16.68</v>
      </c>
      <c r="F692" s="369">
        <f t="shared" si="158"/>
        <v>13867.271999999995</v>
      </c>
      <c r="G692" s="292">
        <f>IF(C692=0, 0,D692*C692)</f>
        <v>86212.728000000003</v>
      </c>
      <c r="H692" s="294">
        <f t="shared" si="160"/>
        <v>0.16084947456946261</v>
      </c>
      <c r="I692" s="292"/>
    </row>
    <row r="693" spans="1:9" x14ac:dyDescent="0.25">
      <c r="A693" t="s">
        <v>364</v>
      </c>
      <c r="B693" s="533">
        <v>42769</v>
      </c>
      <c r="C693" s="291">
        <v>5300</v>
      </c>
      <c r="D693" s="534">
        <v>14.006677</v>
      </c>
      <c r="E693" s="292">
        <v>17.23</v>
      </c>
      <c r="F693" s="369">
        <f t="shared" si="158"/>
        <v>17083.611900000004</v>
      </c>
      <c r="G693" s="292">
        <f t="shared" si="159"/>
        <v>74235.388099999996</v>
      </c>
      <c r="H693" s="294">
        <f t="shared" si="160"/>
        <v>0.2301276027140485</v>
      </c>
      <c r="I693" s="292"/>
    </row>
    <row r="694" spans="1:9" x14ac:dyDescent="0.25">
      <c r="A694" t="s">
        <v>371</v>
      </c>
      <c r="B694" s="533">
        <v>42772</v>
      </c>
      <c r="C694" s="291">
        <v>6000</v>
      </c>
      <c r="D694" s="534">
        <v>14.311230999999999</v>
      </c>
      <c r="E694" s="292">
        <v>16.52</v>
      </c>
      <c r="F694" s="369">
        <f t="shared" si="158"/>
        <v>13252.614000000001</v>
      </c>
      <c r="G694" s="292">
        <f t="shared" si="159"/>
        <v>85867.385999999999</v>
      </c>
      <c r="H694" s="294">
        <f t="shared" si="160"/>
        <v>0.15433815581622576</v>
      </c>
      <c r="I694" s="292"/>
    </row>
    <row r="695" spans="1:9" x14ac:dyDescent="0.25">
      <c r="A695" t="s">
        <v>374</v>
      </c>
      <c r="B695" s="533">
        <v>42773</v>
      </c>
      <c r="C695" s="291">
        <v>6600</v>
      </c>
      <c r="D695" s="534">
        <v>14.461574000000001</v>
      </c>
      <c r="E695" s="292">
        <v>16.03</v>
      </c>
      <c r="F695" s="369">
        <f t="shared" si="158"/>
        <v>10351.611600000004</v>
      </c>
      <c r="G695" s="292">
        <f t="shared" si="159"/>
        <v>95446.388400000011</v>
      </c>
      <c r="H695" s="294">
        <f t="shared" si="160"/>
        <v>0.10845472283998965</v>
      </c>
      <c r="I695" s="292"/>
    </row>
    <row r="696" spans="1:9" x14ac:dyDescent="0.25">
      <c r="A696" t="s">
        <v>392</v>
      </c>
      <c r="B696" s="533">
        <v>42781</v>
      </c>
      <c r="C696" s="291">
        <v>5700</v>
      </c>
      <c r="D696" s="534">
        <v>14.140828000000001</v>
      </c>
      <c r="E696" s="292">
        <v>16.3</v>
      </c>
      <c r="F696" s="369">
        <f t="shared" si="158"/>
        <v>12307.2804</v>
      </c>
      <c r="G696" s="292">
        <f t="shared" si="159"/>
        <v>80602.719600000011</v>
      </c>
      <c r="H696" s="294">
        <f t="shared" si="160"/>
        <v>0.1526906345229572</v>
      </c>
      <c r="I696" s="292"/>
    </row>
    <row r="697" spans="1:9" x14ac:dyDescent="0.25">
      <c r="A697" t="s">
        <v>394</v>
      </c>
      <c r="B697" s="533">
        <v>42782</v>
      </c>
      <c r="C697" s="291">
        <v>5700</v>
      </c>
      <c r="D697" s="534">
        <v>14.103</v>
      </c>
      <c r="E697" s="292">
        <v>16.170000000000002</v>
      </c>
      <c r="F697" s="369">
        <f t="shared" si="158"/>
        <v>11781.900000000011</v>
      </c>
      <c r="G697" s="292">
        <f t="shared" si="159"/>
        <v>80387.100000000006</v>
      </c>
      <c r="H697" s="294">
        <f t="shared" si="160"/>
        <v>0.14656456073175933</v>
      </c>
      <c r="I697" s="292"/>
    </row>
    <row r="698" spans="1:9" x14ac:dyDescent="0.25">
      <c r="B698" s="533"/>
      <c r="C698" s="291"/>
      <c r="D698" s="534"/>
      <c r="E698" s="292"/>
      <c r="F698" s="369"/>
      <c r="G698" s="292"/>
      <c r="H698" s="294"/>
      <c r="I698" s="292"/>
    </row>
    <row r="699" spans="1:9" x14ac:dyDescent="0.25">
      <c r="B699" s="533"/>
      <c r="C699" s="291"/>
      <c r="D699" s="534"/>
      <c r="E699" s="292"/>
      <c r="F699" s="369"/>
      <c r="G699" s="292"/>
      <c r="H699" s="294"/>
      <c r="I699" s="292"/>
    </row>
    <row r="700" spans="1:9" x14ac:dyDescent="0.25">
      <c r="B700" s="533"/>
      <c r="C700" s="291"/>
      <c r="D700" s="534"/>
      <c r="E700" s="292"/>
      <c r="F700" s="369"/>
      <c r="G700" s="292"/>
      <c r="H700" s="294"/>
      <c r="I700" s="292"/>
    </row>
    <row r="701" spans="1:9" x14ac:dyDescent="0.25">
      <c r="B701" s="533"/>
      <c r="C701" s="291"/>
      <c r="D701" s="534"/>
      <c r="E701" s="292"/>
      <c r="F701" s="369"/>
      <c r="G701" s="292"/>
      <c r="H701" s="294"/>
      <c r="I701" s="292"/>
    </row>
    <row r="705" spans="1:13" x14ac:dyDescent="0.25">
      <c r="L705" t="s">
        <v>65</v>
      </c>
      <c r="M705" s="180">
        <f>K968+M968-F968</f>
        <v>14615.571000001626</v>
      </c>
    </row>
    <row r="706" spans="1:13" x14ac:dyDescent="0.25">
      <c r="A706" s="431" t="s">
        <v>1</v>
      </c>
      <c r="B706" s="500" t="s">
        <v>2</v>
      </c>
      <c r="C706" s="431" t="s">
        <v>4</v>
      </c>
      <c r="D706" s="501" t="s">
        <v>5</v>
      </c>
      <c r="E706" s="432" t="s">
        <v>90</v>
      </c>
      <c r="F706" s="432" t="s">
        <v>60</v>
      </c>
      <c r="G706" s="431" t="s">
        <v>3</v>
      </c>
      <c r="H706" s="502" t="s">
        <v>6</v>
      </c>
      <c r="I706" s="501" t="s">
        <v>7</v>
      </c>
      <c r="J706" s="432" t="s">
        <v>89</v>
      </c>
      <c r="K706" s="432" t="s">
        <v>61</v>
      </c>
      <c r="L706" s="431" t="s">
        <v>37</v>
      </c>
      <c r="M706" s="432" t="s">
        <v>38</v>
      </c>
    </row>
    <row r="707" spans="1:13" x14ac:dyDescent="0.25">
      <c r="A707" s="433" t="s">
        <v>50</v>
      </c>
      <c r="B707" s="463">
        <v>42187</v>
      </c>
      <c r="C707" s="418">
        <v>1000</v>
      </c>
      <c r="D707" s="419">
        <v>27.25</v>
      </c>
      <c r="E707" s="420">
        <v>0</v>
      </c>
      <c r="F707" s="420">
        <f>C707*D707+E707</f>
        <v>27250</v>
      </c>
      <c r="G707" s="417">
        <v>42187</v>
      </c>
      <c r="H707" s="434">
        <v>2000</v>
      </c>
      <c r="I707" s="419">
        <v>27.34</v>
      </c>
      <c r="J707" s="420">
        <v>-5.49</v>
      </c>
      <c r="K707" s="420">
        <f>H707*I707-J707</f>
        <v>54685.49</v>
      </c>
      <c r="L707" s="417">
        <v>42257</v>
      </c>
      <c r="M707" s="420">
        <v>850.5</v>
      </c>
    </row>
    <row r="708" spans="1:13" x14ac:dyDescent="0.25">
      <c r="A708" s="435" t="s">
        <v>71</v>
      </c>
      <c r="B708" s="463">
        <v>42187</v>
      </c>
      <c r="C708" s="418">
        <v>80</v>
      </c>
      <c r="D708" s="419">
        <v>27.152249999999999</v>
      </c>
      <c r="E708" s="420">
        <v>0</v>
      </c>
      <c r="F708" s="420">
        <f t="shared" ref="F708:F771" si="161">C708*D708+E708</f>
        <v>2172.1799999999998</v>
      </c>
      <c r="G708" s="417">
        <v>42199</v>
      </c>
      <c r="H708" s="434">
        <v>102</v>
      </c>
      <c r="I708" s="419">
        <v>25.28</v>
      </c>
      <c r="J708" s="420">
        <v>0.05</v>
      </c>
      <c r="K708" s="420">
        <f t="shared" ref="K708:K735" si="162">H708*I708-J708</f>
        <v>2578.5099999999998</v>
      </c>
      <c r="L708" s="417">
        <v>42439</v>
      </c>
      <c r="M708" s="420">
        <v>483.9</v>
      </c>
    </row>
    <row r="709" spans="1:13" x14ac:dyDescent="0.25">
      <c r="A709" s="418"/>
      <c r="B709" s="463">
        <v>42187</v>
      </c>
      <c r="C709" s="418">
        <v>1000</v>
      </c>
      <c r="D709" s="419">
        <v>27.1</v>
      </c>
      <c r="E709" s="420">
        <v>0</v>
      </c>
      <c r="F709" s="420">
        <f t="shared" si="161"/>
        <v>27100</v>
      </c>
      <c r="G709" s="417">
        <v>42227</v>
      </c>
      <c r="H709" s="434">
        <v>200</v>
      </c>
      <c r="I709" s="419">
        <v>19.649999999999999</v>
      </c>
      <c r="J709" s="420">
        <v>7.0000000000000007E-2</v>
      </c>
      <c r="K709" s="420">
        <f t="shared" si="162"/>
        <v>3929.9299999999994</v>
      </c>
      <c r="L709" s="417">
        <v>42531</v>
      </c>
      <c r="M709" s="420">
        <v>483.9</v>
      </c>
    </row>
    <row r="710" spans="1:13" x14ac:dyDescent="0.25">
      <c r="A710" s="418"/>
      <c r="B710" s="521">
        <v>42187</v>
      </c>
      <c r="C710" s="418">
        <v>500</v>
      </c>
      <c r="D710" s="419">
        <v>27.039332999999999</v>
      </c>
      <c r="E710" s="420">
        <v>0</v>
      </c>
      <c r="F710" s="420">
        <f t="shared" si="161"/>
        <v>13519.666499999999</v>
      </c>
      <c r="G710" s="417">
        <v>42227</v>
      </c>
      <c r="H710" s="434">
        <v>200</v>
      </c>
      <c r="I710" s="419">
        <v>18.7</v>
      </c>
      <c r="J710" s="420">
        <v>7.0000000000000007E-2</v>
      </c>
      <c r="K710" s="420">
        <f t="shared" si="162"/>
        <v>3739.93</v>
      </c>
      <c r="L710" s="417">
        <v>42625</v>
      </c>
      <c r="M710" s="420">
        <v>433.9</v>
      </c>
    </row>
    <row r="711" spans="1:13" x14ac:dyDescent="0.25">
      <c r="A711" s="418"/>
      <c r="B711" s="521"/>
      <c r="C711" s="418">
        <v>500</v>
      </c>
      <c r="D711" s="419">
        <v>27.039332999999999</v>
      </c>
      <c r="E711" s="420">
        <v>0</v>
      </c>
      <c r="F711" s="420">
        <f t="shared" si="161"/>
        <v>13519.666499999999</v>
      </c>
      <c r="G711" s="417">
        <v>42257</v>
      </c>
      <c r="H711" s="434">
        <v>1600</v>
      </c>
      <c r="I711" s="419">
        <v>16.445</v>
      </c>
      <c r="J711" s="420">
        <v>0.48</v>
      </c>
      <c r="K711" s="420">
        <f t="shared" si="162"/>
        <v>26311.52</v>
      </c>
      <c r="L711" s="417">
        <v>42716</v>
      </c>
      <c r="M711" s="420">
        <v>500</v>
      </c>
    </row>
    <row r="712" spans="1:13" x14ac:dyDescent="0.25">
      <c r="A712" s="418"/>
      <c r="B712" s="521"/>
      <c r="C712" s="418">
        <v>500</v>
      </c>
      <c r="D712" s="419">
        <v>27.039332999999999</v>
      </c>
      <c r="E712" s="420">
        <v>0</v>
      </c>
      <c r="F712" s="420">
        <f t="shared" si="161"/>
        <v>13519.666499999999</v>
      </c>
      <c r="G712" s="522">
        <v>42265</v>
      </c>
      <c r="H712" s="434">
        <v>200</v>
      </c>
      <c r="I712" s="419">
        <v>15.65</v>
      </c>
      <c r="J712" s="420">
        <v>0.05</v>
      </c>
      <c r="K712" s="420">
        <f t="shared" si="162"/>
        <v>3129.95</v>
      </c>
      <c r="L712" s="418"/>
      <c r="M712" s="420"/>
    </row>
    <row r="713" spans="1:13" x14ac:dyDescent="0.25">
      <c r="A713" s="418"/>
      <c r="B713" s="521"/>
      <c r="C713" s="418">
        <v>500</v>
      </c>
      <c r="D713" s="419">
        <v>27.039332999999999</v>
      </c>
      <c r="E713" s="420">
        <v>0</v>
      </c>
      <c r="F713" s="420">
        <f t="shared" si="161"/>
        <v>13519.666499999999</v>
      </c>
      <c r="G713" s="522"/>
      <c r="H713" s="434">
        <v>2400</v>
      </c>
      <c r="I713" s="419">
        <v>15.7</v>
      </c>
      <c r="J713" s="420">
        <v>0.7</v>
      </c>
      <c r="K713" s="420">
        <f t="shared" si="162"/>
        <v>37679.300000000003</v>
      </c>
      <c r="L713" s="418"/>
      <c r="M713" s="420"/>
    </row>
    <row r="714" spans="1:13" x14ac:dyDescent="0.25">
      <c r="A714" s="418"/>
      <c r="B714" s="521"/>
      <c r="C714" s="418">
        <v>1000</v>
      </c>
      <c r="D714" s="419">
        <v>27.039332999999999</v>
      </c>
      <c r="E714" s="420">
        <v>0</v>
      </c>
      <c r="F714" s="420">
        <f t="shared" si="161"/>
        <v>27039.332999999999</v>
      </c>
      <c r="G714" s="417">
        <v>42271</v>
      </c>
      <c r="H714" s="503">
        <v>918</v>
      </c>
      <c r="I714" s="504">
        <v>16.45</v>
      </c>
      <c r="J714" s="505">
        <v>0.28000000000000003</v>
      </c>
      <c r="K714" s="505">
        <f t="shared" si="162"/>
        <v>15100.819999999998</v>
      </c>
      <c r="L714" s="418"/>
      <c r="M714" s="420"/>
    </row>
    <row r="715" spans="1:13" ht="60" x14ac:dyDescent="0.25">
      <c r="A715" s="418"/>
      <c r="B715" s="463">
        <v>42198</v>
      </c>
      <c r="C715" s="418">
        <v>100</v>
      </c>
      <c r="D715" s="419">
        <v>24.77</v>
      </c>
      <c r="E715" s="420">
        <v>0</v>
      </c>
      <c r="F715" s="420">
        <f t="shared" si="161"/>
        <v>2477</v>
      </c>
      <c r="G715" s="523" t="s">
        <v>137</v>
      </c>
      <c r="H715" s="434">
        <v>500</v>
      </c>
      <c r="I715" s="419">
        <v>15.95</v>
      </c>
      <c r="J715" s="420">
        <v>0.15</v>
      </c>
      <c r="K715" s="505">
        <f t="shared" si="162"/>
        <v>7974.85</v>
      </c>
      <c r="L715" s="418"/>
      <c r="M715" s="420"/>
    </row>
    <row r="716" spans="1:13" x14ac:dyDescent="0.25">
      <c r="A716" s="418"/>
      <c r="B716" s="463">
        <v>42205</v>
      </c>
      <c r="C716" s="418">
        <v>50</v>
      </c>
      <c r="D716" s="419">
        <v>24.35</v>
      </c>
      <c r="E716" s="420">
        <v>0</v>
      </c>
      <c r="F716" s="420">
        <f t="shared" si="161"/>
        <v>1217.5</v>
      </c>
      <c r="G716" s="523"/>
      <c r="H716" s="434">
        <v>500</v>
      </c>
      <c r="I716" s="419">
        <v>16.100000000000001</v>
      </c>
      <c r="J716" s="420">
        <v>0.15</v>
      </c>
      <c r="K716" s="505">
        <f t="shared" si="162"/>
        <v>8049.8500000000013</v>
      </c>
      <c r="L716" s="418"/>
      <c r="M716" s="420"/>
    </row>
    <row r="717" spans="1:13" x14ac:dyDescent="0.25">
      <c r="A717" s="418"/>
      <c r="B717" s="463">
        <v>42207</v>
      </c>
      <c r="C717" s="418">
        <v>20</v>
      </c>
      <c r="D717" s="419">
        <v>24.02</v>
      </c>
      <c r="E717" s="420">
        <v>0</v>
      </c>
      <c r="F717" s="420">
        <f t="shared" si="161"/>
        <v>480.4</v>
      </c>
      <c r="G717" s="523"/>
      <c r="H717" s="434">
        <v>500</v>
      </c>
      <c r="I717" s="419">
        <v>16.170000000000002</v>
      </c>
      <c r="J717" s="420">
        <v>0.15</v>
      </c>
      <c r="K717" s="505">
        <f t="shared" si="162"/>
        <v>8084.8500000000013</v>
      </c>
      <c r="L717" s="418"/>
      <c r="M717" s="420"/>
    </row>
    <row r="718" spans="1:13" x14ac:dyDescent="0.25">
      <c r="A718" s="418"/>
      <c r="B718" s="463">
        <v>42207</v>
      </c>
      <c r="C718" s="418">
        <v>20</v>
      </c>
      <c r="D718" s="419">
        <v>23.91</v>
      </c>
      <c r="E718" s="420">
        <v>0</v>
      </c>
      <c r="F718" s="420">
        <f t="shared" si="161"/>
        <v>478.2</v>
      </c>
      <c r="G718" s="523"/>
      <c r="H718" s="434">
        <v>500</v>
      </c>
      <c r="I718" s="419">
        <v>16.28</v>
      </c>
      <c r="J718" s="420">
        <v>0.15</v>
      </c>
      <c r="K718" s="505">
        <f t="shared" si="162"/>
        <v>8139.8500000000013</v>
      </c>
      <c r="L718" s="420"/>
      <c r="M718" s="420"/>
    </row>
    <row r="719" spans="1:13" x14ac:dyDescent="0.25">
      <c r="A719" s="418"/>
      <c r="B719" s="463">
        <v>42207</v>
      </c>
      <c r="C719" s="418">
        <v>20</v>
      </c>
      <c r="D719" s="419">
        <v>23.7</v>
      </c>
      <c r="E719" s="420">
        <v>0</v>
      </c>
      <c r="F719" s="420">
        <f t="shared" si="161"/>
        <v>474</v>
      </c>
      <c r="G719" s="523"/>
      <c r="H719" s="434">
        <v>500</v>
      </c>
      <c r="I719" s="419">
        <v>16.39</v>
      </c>
      <c r="J719" s="420">
        <v>0.15</v>
      </c>
      <c r="K719" s="505">
        <f t="shared" si="162"/>
        <v>8194.85</v>
      </c>
      <c r="L719" s="418"/>
      <c r="M719" s="420"/>
    </row>
    <row r="720" spans="1:13" x14ac:dyDescent="0.25">
      <c r="A720" s="418"/>
      <c r="B720" s="463">
        <v>42207</v>
      </c>
      <c r="C720" s="418">
        <v>20</v>
      </c>
      <c r="D720" s="419">
        <v>23.6</v>
      </c>
      <c r="E720" s="420">
        <v>0</v>
      </c>
      <c r="F720" s="420">
        <f t="shared" si="161"/>
        <v>472</v>
      </c>
      <c r="G720" s="523"/>
      <c r="H720" s="434">
        <v>500</v>
      </c>
      <c r="I720" s="419">
        <v>16.55</v>
      </c>
      <c r="J720" s="420">
        <v>0.17</v>
      </c>
      <c r="K720" s="505">
        <f t="shared" si="162"/>
        <v>8274.83</v>
      </c>
      <c r="L720" s="418"/>
      <c r="M720" s="420"/>
    </row>
    <row r="721" spans="1:13" x14ac:dyDescent="0.25">
      <c r="A721" s="418"/>
      <c r="B721" s="463">
        <v>42209</v>
      </c>
      <c r="C721" s="418">
        <v>40</v>
      </c>
      <c r="D721" s="419">
        <v>22.3</v>
      </c>
      <c r="E721" s="420">
        <v>0</v>
      </c>
      <c r="F721" s="420">
        <f t="shared" si="161"/>
        <v>892</v>
      </c>
      <c r="G721" s="523"/>
      <c r="H721" s="434">
        <v>50</v>
      </c>
      <c r="I721" s="419">
        <v>16.55</v>
      </c>
      <c r="J721" s="420">
        <v>0</v>
      </c>
      <c r="K721" s="505">
        <f t="shared" si="162"/>
        <v>827.5</v>
      </c>
      <c r="L721" s="418"/>
      <c r="M721" s="420"/>
    </row>
    <row r="722" spans="1:13" x14ac:dyDescent="0.25">
      <c r="A722" s="420"/>
      <c r="B722" s="463">
        <v>42221</v>
      </c>
      <c r="C722" s="418">
        <v>12</v>
      </c>
      <c r="D722" s="419">
        <v>20.95</v>
      </c>
      <c r="E722" s="420">
        <v>0</v>
      </c>
      <c r="F722" s="420">
        <f t="shared" si="161"/>
        <v>251.39999999999998</v>
      </c>
      <c r="G722" s="523"/>
      <c r="H722" s="434">
        <v>28</v>
      </c>
      <c r="I722" s="419">
        <v>16.68</v>
      </c>
      <c r="J722" s="420">
        <v>0.01</v>
      </c>
      <c r="K722" s="505">
        <f t="shared" si="162"/>
        <v>467.03</v>
      </c>
      <c r="L722" s="434"/>
      <c r="M722" s="420"/>
    </row>
    <row r="723" spans="1:13" x14ac:dyDescent="0.25">
      <c r="A723" s="418"/>
      <c r="B723" s="463">
        <v>42223</v>
      </c>
      <c r="C723" s="418">
        <v>100</v>
      </c>
      <c r="D723" s="419">
        <v>20.399999999999999</v>
      </c>
      <c r="E723" s="420">
        <v>0</v>
      </c>
      <c r="F723" s="420">
        <f t="shared" si="161"/>
        <v>2039.9999999999998</v>
      </c>
      <c r="G723" s="417">
        <v>42285</v>
      </c>
      <c r="H723" s="434">
        <v>632</v>
      </c>
      <c r="I723" s="419">
        <v>17.850000000000001</v>
      </c>
      <c r="J723" s="420">
        <v>0.21</v>
      </c>
      <c r="K723" s="505">
        <f t="shared" si="162"/>
        <v>11280.990000000002</v>
      </c>
      <c r="L723" s="420"/>
      <c r="M723" s="420"/>
    </row>
    <row r="724" spans="1:13" x14ac:dyDescent="0.25">
      <c r="A724" s="420"/>
      <c r="B724" s="463">
        <v>42226</v>
      </c>
      <c r="C724" s="418">
        <v>200</v>
      </c>
      <c r="D724" s="419">
        <v>19.95</v>
      </c>
      <c r="E724" s="420">
        <v>0</v>
      </c>
      <c r="F724" s="420">
        <f t="shared" si="161"/>
        <v>3990</v>
      </c>
      <c r="G724" s="417">
        <v>42297</v>
      </c>
      <c r="H724" s="434">
        <v>500</v>
      </c>
      <c r="I724" s="419">
        <v>19.149999999999999</v>
      </c>
      <c r="J724" s="420">
        <v>0.18</v>
      </c>
      <c r="K724" s="505">
        <f t="shared" si="162"/>
        <v>9574.82</v>
      </c>
      <c r="L724" s="418"/>
      <c r="M724" s="420"/>
    </row>
    <row r="725" spans="1:13" x14ac:dyDescent="0.25">
      <c r="A725" s="418"/>
      <c r="B725" s="463">
        <v>42226</v>
      </c>
      <c r="C725" s="418">
        <v>50</v>
      </c>
      <c r="D725" s="419">
        <v>20.010000000000002</v>
      </c>
      <c r="E725" s="420">
        <v>0</v>
      </c>
      <c r="F725" s="420">
        <f t="shared" si="161"/>
        <v>1000.5000000000001</v>
      </c>
      <c r="G725" s="417">
        <v>42300</v>
      </c>
      <c r="H725" s="434">
        <v>1000</v>
      </c>
      <c r="I725" s="419">
        <v>18.62</v>
      </c>
      <c r="J725" s="420">
        <v>0.34</v>
      </c>
      <c r="K725" s="505">
        <f t="shared" si="162"/>
        <v>18619.66</v>
      </c>
      <c r="L725" s="418"/>
      <c r="M725" s="420"/>
    </row>
    <row r="726" spans="1:13" x14ac:dyDescent="0.25">
      <c r="A726" s="418"/>
      <c r="B726" s="463">
        <v>42226</v>
      </c>
      <c r="C726" s="418">
        <v>100</v>
      </c>
      <c r="D726" s="419">
        <v>20.2</v>
      </c>
      <c r="E726" s="420">
        <v>0</v>
      </c>
      <c r="F726" s="420">
        <f t="shared" si="161"/>
        <v>2020</v>
      </c>
      <c r="G726" s="417">
        <v>42312</v>
      </c>
      <c r="H726" s="434">
        <v>2500</v>
      </c>
      <c r="I726" s="419">
        <v>18.48</v>
      </c>
      <c r="J726" s="420">
        <v>7.8</v>
      </c>
      <c r="K726" s="420">
        <f t="shared" si="162"/>
        <v>46192.2</v>
      </c>
      <c r="L726" s="418"/>
      <c r="M726" s="420"/>
    </row>
    <row r="727" spans="1:13" x14ac:dyDescent="0.25">
      <c r="A727" s="418"/>
      <c r="B727" s="463">
        <v>42227</v>
      </c>
      <c r="C727" s="418">
        <v>200</v>
      </c>
      <c r="D727" s="419">
        <v>18.399999999999999</v>
      </c>
      <c r="E727" s="420">
        <v>0</v>
      </c>
      <c r="F727" s="420">
        <f t="shared" si="161"/>
        <v>3679.9999999999995</v>
      </c>
      <c r="G727" s="417">
        <v>42313</v>
      </c>
      <c r="H727" s="434">
        <v>3000</v>
      </c>
      <c r="I727" s="419">
        <v>19.059999999999999</v>
      </c>
      <c r="J727" s="420">
        <v>1.05</v>
      </c>
      <c r="K727" s="420">
        <f t="shared" si="162"/>
        <v>57178.94999999999</v>
      </c>
      <c r="L727" s="418"/>
      <c r="M727" s="420"/>
    </row>
    <row r="728" spans="1:13" x14ac:dyDescent="0.25">
      <c r="A728" s="418"/>
      <c r="B728" s="463">
        <v>42227</v>
      </c>
      <c r="C728" s="418">
        <v>200</v>
      </c>
      <c r="D728" s="419">
        <v>19.55</v>
      </c>
      <c r="E728" s="420">
        <v>0</v>
      </c>
      <c r="F728" s="420">
        <f t="shared" si="161"/>
        <v>3910</v>
      </c>
      <c r="G728" s="417">
        <v>42324</v>
      </c>
      <c r="H728" s="434">
        <v>2500</v>
      </c>
      <c r="I728" s="419">
        <v>18.8</v>
      </c>
      <c r="J728" s="420">
        <v>0.86</v>
      </c>
      <c r="K728" s="420">
        <f t="shared" si="162"/>
        <v>46999.14</v>
      </c>
      <c r="L728" s="420"/>
      <c r="M728" s="420"/>
    </row>
    <row r="729" spans="1:13" x14ac:dyDescent="0.25">
      <c r="A729" s="418"/>
      <c r="B729" s="463">
        <v>42234</v>
      </c>
      <c r="C729" s="418">
        <v>40</v>
      </c>
      <c r="D729" s="419">
        <v>18.149999999999999</v>
      </c>
      <c r="E729" s="420">
        <v>0</v>
      </c>
      <c r="F729" s="420">
        <f t="shared" si="161"/>
        <v>726</v>
      </c>
      <c r="G729" s="417">
        <v>42335</v>
      </c>
      <c r="H729" s="434">
        <v>3078</v>
      </c>
      <c r="I729" s="419">
        <v>17.649999999999999</v>
      </c>
      <c r="J729" s="420">
        <v>1</v>
      </c>
      <c r="K729" s="420">
        <f t="shared" si="162"/>
        <v>54325.7</v>
      </c>
      <c r="L729" s="418"/>
      <c r="M729" s="420"/>
    </row>
    <row r="730" spans="1:13" x14ac:dyDescent="0.25">
      <c r="A730" s="418"/>
      <c r="B730" s="463">
        <v>42234</v>
      </c>
      <c r="C730" s="418">
        <v>100</v>
      </c>
      <c r="D730" s="419">
        <v>18</v>
      </c>
      <c r="E730" s="420">
        <v>0</v>
      </c>
      <c r="F730" s="420">
        <f t="shared" si="161"/>
        <v>1800</v>
      </c>
      <c r="G730" s="417">
        <v>42347</v>
      </c>
      <c r="H730" s="434">
        <v>500</v>
      </c>
      <c r="I730" s="419">
        <v>16.149999999999999</v>
      </c>
      <c r="J730" s="420">
        <v>0.15</v>
      </c>
      <c r="K730" s="420">
        <f t="shared" si="162"/>
        <v>8074.8499999999995</v>
      </c>
      <c r="L730" s="418"/>
      <c r="M730" s="420"/>
    </row>
    <row r="731" spans="1:13" x14ac:dyDescent="0.25">
      <c r="A731" s="418"/>
      <c r="B731" s="463">
        <v>42235</v>
      </c>
      <c r="C731" s="418">
        <v>100</v>
      </c>
      <c r="D731" s="419">
        <v>17.78</v>
      </c>
      <c r="E731" s="420">
        <v>0</v>
      </c>
      <c r="F731" s="420">
        <f t="shared" si="161"/>
        <v>1778</v>
      </c>
      <c r="G731" s="417">
        <v>42353</v>
      </c>
      <c r="H731" s="434">
        <v>600</v>
      </c>
      <c r="I731" s="419">
        <v>14.95</v>
      </c>
      <c r="J731" s="420">
        <v>0.17</v>
      </c>
      <c r="K731" s="420">
        <f t="shared" si="162"/>
        <v>8969.83</v>
      </c>
      <c r="L731" s="418"/>
      <c r="M731" s="420"/>
    </row>
    <row r="732" spans="1:13" x14ac:dyDescent="0.25">
      <c r="A732" s="418"/>
      <c r="B732" s="463">
        <v>42235</v>
      </c>
      <c r="C732" s="418">
        <v>100</v>
      </c>
      <c r="D732" s="419">
        <v>17.68</v>
      </c>
      <c r="E732" s="420">
        <v>0</v>
      </c>
      <c r="F732" s="420">
        <f t="shared" si="161"/>
        <v>1768</v>
      </c>
      <c r="G732" s="417">
        <v>42354</v>
      </c>
      <c r="H732" s="434">
        <v>500</v>
      </c>
      <c r="I732" s="419">
        <v>14.32</v>
      </c>
      <c r="J732" s="420">
        <v>0.13</v>
      </c>
      <c r="K732" s="420">
        <f t="shared" si="162"/>
        <v>7159.87</v>
      </c>
      <c r="L732" s="418"/>
      <c r="M732" s="420"/>
    </row>
    <row r="733" spans="1:13" x14ac:dyDescent="0.25">
      <c r="A733" s="418"/>
      <c r="B733" s="463">
        <v>42240</v>
      </c>
      <c r="C733" s="418">
        <v>100</v>
      </c>
      <c r="D733" s="419">
        <v>16.649999999999999</v>
      </c>
      <c r="E733" s="420">
        <v>0</v>
      </c>
      <c r="F733" s="420">
        <f t="shared" si="161"/>
        <v>1664.9999999999998</v>
      </c>
      <c r="G733" s="417">
        <v>42361</v>
      </c>
      <c r="H733" s="434">
        <v>500</v>
      </c>
      <c r="I733" s="419">
        <v>12.83</v>
      </c>
      <c r="J733" s="420">
        <v>0.12</v>
      </c>
      <c r="K733" s="420">
        <f t="shared" si="162"/>
        <v>6414.88</v>
      </c>
      <c r="L733" s="418"/>
      <c r="M733" s="420"/>
    </row>
    <row r="734" spans="1:13" x14ac:dyDescent="0.25">
      <c r="A734" s="418"/>
      <c r="B734" s="463">
        <v>42240</v>
      </c>
      <c r="C734" s="418">
        <v>100</v>
      </c>
      <c r="D734" s="419">
        <v>16.100000000000001</v>
      </c>
      <c r="E734" s="420">
        <v>0</v>
      </c>
      <c r="F734" s="420">
        <f t="shared" si="161"/>
        <v>1610.0000000000002</v>
      </c>
      <c r="G734" s="417">
        <v>42362</v>
      </c>
      <c r="H734" s="434">
        <v>1222</v>
      </c>
      <c r="I734" s="419">
        <v>12.75</v>
      </c>
      <c r="J734" s="420">
        <v>0.28999999999999998</v>
      </c>
      <c r="K734" s="420">
        <f t="shared" si="162"/>
        <v>15580.21</v>
      </c>
      <c r="L734" s="418"/>
      <c r="M734" s="420"/>
    </row>
    <row r="735" spans="1:13" x14ac:dyDescent="0.25">
      <c r="A735" s="418"/>
      <c r="B735" s="463">
        <v>42257</v>
      </c>
      <c r="C735" s="418">
        <v>1500</v>
      </c>
      <c r="D735" s="419">
        <v>16.350000000000001</v>
      </c>
      <c r="E735" s="420">
        <v>0</v>
      </c>
      <c r="F735" s="420">
        <f t="shared" si="161"/>
        <v>24525.000000000004</v>
      </c>
      <c r="G735" s="417">
        <v>42367</v>
      </c>
      <c r="H735" s="434">
        <v>1000</v>
      </c>
      <c r="I735" s="419">
        <v>13.15</v>
      </c>
      <c r="J735" s="420">
        <v>0.24</v>
      </c>
      <c r="K735" s="420">
        <f t="shared" si="162"/>
        <v>13149.76</v>
      </c>
      <c r="L735" s="418"/>
      <c r="M735" s="420"/>
    </row>
    <row r="736" spans="1:13" x14ac:dyDescent="0.25">
      <c r="A736" s="418"/>
      <c r="B736" s="463">
        <v>42258</v>
      </c>
      <c r="C736" s="418">
        <v>100</v>
      </c>
      <c r="D736" s="419">
        <v>16.100000000000001</v>
      </c>
      <c r="E736" s="420">
        <v>0</v>
      </c>
      <c r="F736" s="420">
        <f t="shared" si="161"/>
        <v>1610.0000000000002</v>
      </c>
      <c r="G736" s="417">
        <v>42367</v>
      </c>
      <c r="H736" s="434">
        <v>2178</v>
      </c>
      <c r="I736" s="419">
        <v>13.75</v>
      </c>
      <c r="J736" s="420">
        <v>0.55000000000000004</v>
      </c>
      <c r="K736" s="420">
        <f>H736*I736-J736</f>
        <v>29946.95</v>
      </c>
      <c r="L736" s="418"/>
      <c r="M736" s="420"/>
    </row>
    <row r="737" spans="1:13" x14ac:dyDescent="0.25">
      <c r="A737" s="418"/>
      <c r="B737" s="463">
        <v>42261</v>
      </c>
      <c r="C737" s="418">
        <v>1000</v>
      </c>
      <c r="D737" s="419">
        <v>15.416</v>
      </c>
      <c r="E737" s="420">
        <v>0</v>
      </c>
      <c r="F737" s="420">
        <f t="shared" si="161"/>
        <v>15416</v>
      </c>
      <c r="G737" s="417">
        <v>42010</v>
      </c>
      <c r="H737" s="434">
        <v>1000</v>
      </c>
      <c r="I737" s="419">
        <v>12.63</v>
      </c>
      <c r="J737" s="420">
        <v>0.23</v>
      </c>
      <c r="K737" s="420">
        <f>H737*I737-J737</f>
        <v>12629.77</v>
      </c>
      <c r="L737" s="418"/>
      <c r="M737" s="420"/>
    </row>
    <row r="738" spans="1:13" x14ac:dyDescent="0.25">
      <c r="A738" s="418"/>
      <c r="B738" s="463">
        <v>42261</v>
      </c>
      <c r="C738" s="418">
        <v>1000</v>
      </c>
      <c r="D738" s="419">
        <v>15.1</v>
      </c>
      <c r="E738" s="420">
        <v>0</v>
      </c>
      <c r="F738" s="420">
        <f t="shared" si="161"/>
        <v>15100</v>
      </c>
      <c r="G738" s="506">
        <v>42374</v>
      </c>
      <c r="H738" s="434">
        <v>2000</v>
      </c>
      <c r="I738" s="419">
        <v>12.81</v>
      </c>
      <c r="J738" s="420">
        <v>0.47</v>
      </c>
      <c r="K738" s="420">
        <f t="shared" ref="K738:K750" si="163">H738*I738-J738</f>
        <v>25619.53</v>
      </c>
      <c r="L738" s="418"/>
      <c r="M738" s="420"/>
    </row>
    <row r="739" spans="1:13" x14ac:dyDescent="0.25">
      <c r="A739" s="418"/>
      <c r="B739" s="463">
        <v>42261</v>
      </c>
      <c r="C739" s="418">
        <v>200</v>
      </c>
      <c r="D739" s="419">
        <v>14.87</v>
      </c>
      <c r="E739" s="420">
        <v>0</v>
      </c>
      <c r="F739" s="420">
        <f t="shared" si="161"/>
        <v>2974</v>
      </c>
      <c r="G739" s="417">
        <v>42374</v>
      </c>
      <c r="H739" s="434">
        <v>1000</v>
      </c>
      <c r="I739" s="419">
        <v>12.82</v>
      </c>
      <c r="J739" s="420">
        <v>0.24</v>
      </c>
      <c r="K739" s="420">
        <f t="shared" si="163"/>
        <v>12819.76</v>
      </c>
      <c r="L739" s="418"/>
      <c r="M739" s="420"/>
    </row>
    <row r="740" spans="1:13" x14ac:dyDescent="0.25">
      <c r="A740" s="418"/>
      <c r="B740" s="463">
        <v>42261</v>
      </c>
      <c r="C740" s="418">
        <v>300</v>
      </c>
      <c r="D740" s="419">
        <v>14.87</v>
      </c>
      <c r="E740" s="420">
        <v>0</v>
      </c>
      <c r="F740" s="420">
        <f t="shared" si="161"/>
        <v>4461</v>
      </c>
      <c r="G740" s="417">
        <v>42398</v>
      </c>
      <c r="H740" s="434">
        <v>400</v>
      </c>
      <c r="I740" s="419">
        <v>9.5500000000000007</v>
      </c>
      <c r="J740" s="420">
        <v>7.0000000000000007E-2</v>
      </c>
      <c r="K740" s="420">
        <f t="shared" si="163"/>
        <v>3819.9300000000003</v>
      </c>
      <c r="L740" s="418"/>
      <c r="M740" s="420"/>
    </row>
    <row r="741" spans="1:13" x14ac:dyDescent="0.25">
      <c r="A741" s="418"/>
      <c r="B741" s="463">
        <v>42270</v>
      </c>
      <c r="C741" s="418">
        <v>478</v>
      </c>
      <c r="D741" s="419">
        <v>15.85</v>
      </c>
      <c r="E741" s="420">
        <v>0</v>
      </c>
      <c r="F741" s="420">
        <f t="shared" si="161"/>
        <v>7576.3</v>
      </c>
      <c r="G741" s="417">
        <v>42411</v>
      </c>
      <c r="H741" s="434">
        <v>500</v>
      </c>
      <c r="I741" s="419">
        <v>6.97</v>
      </c>
      <c r="J741" s="420">
        <v>0.08</v>
      </c>
      <c r="K741" s="420">
        <f t="shared" si="163"/>
        <v>3484.92</v>
      </c>
      <c r="L741" s="418"/>
      <c r="M741" s="420"/>
    </row>
    <row r="742" spans="1:13" x14ac:dyDescent="0.25">
      <c r="A742" s="418"/>
      <c r="B742" s="463">
        <v>42292</v>
      </c>
      <c r="C742" s="418">
        <v>500</v>
      </c>
      <c r="D742" s="419">
        <v>18.55</v>
      </c>
      <c r="E742" s="420">
        <v>0</v>
      </c>
      <c r="F742" s="420">
        <f t="shared" si="161"/>
        <v>9275</v>
      </c>
      <c r="G742" s="417">
        <v>42412</v>
      </c>
      <c r="H742" s="434">
        <v>200</v>
      </c>
      <c r="I742" s="419">
        <v>7.45</v>
      </c>
      <c r="J742" s="420">
        <v>0.03</v>
      </c>
      <c r="K742" s="420">
        <f t="shared" si="163"/>
        <v>1489.97</v>
      </c>
      <c r="L742" s="418"/>
      <c r="M742" s="420"/>
    </row>
    <row r="743" spans="1:13" x14ac:dyDescent="0.25">
      <c r="A743" s="418"/>
      <c r="B743" s="463">
        <v>42299</v>
      </c>
      <c r="C743" s="418">
        <v>500</v>
      </c>
      <c r="D743" s="419">
        <v>18.55</v>
      </c>
      <c r="E743" s="420">
        <v>0</v>
      </c>
      <c r="F743" s="420">
        <f t="shared" si="161"/>
        <v>9275</v>
      </c>
      <c r="G743" s="417">
        <v>42416</v>
      </c>
      <c r="H743" s="434">
        <v>500</v>
      </c>
      <c r="I743" s="419">
        <v>7.75</v>
      </c>
      <c r="J743" s="420">
        <v>0.08</v>
      </c>
      <c r="K743" s="420">
        <f t="shared" si="163"/>
        <v>3874.92</v>
      </c>
      <c r="L743" s="418"/>
      <c r="M743" s="420"/>
    </row>
    <row r="744" spans="1:13" x14ac:dyDescent="0.25">
      <c r="A744" s="418"/>
      <c r="B744" s="463">
        <v>42299</v>
      </c>
      <c r="C744" s="418">
        <v>500</v>
      </c>
      <c r="D744" s="419">
        <v>18.28</v>
      </c>
      <c r="E744" s="420">
        <v>0</v>
      </c>
      <c r="F744" s="420">
        <f t="shared" si="161"/>
        <v>9140</v>
      </c>
      <c r="G744" s="417">
        <v>42422</v>
      </c>
      <c r="H744" s="434">
        <v>2500</v>
      </c>
      <c r="I744" s="419">
        <v>7.47</v>
      </c>
      <c r="J744" s="420">
        <v>0.41</v>
      </c>
      <c r="K744" s="420">
        <f t="shared" si="163"/>
        <v>18674.59</v>
      </c>
      <c r="L744" s="418"/>
      <c r="M744" s="420"/>
    </row>
    <row r="745" spans="1:13" x14ac:dyDescent="0.25">
      <c r="A745" s="418"/>
      <c r="B745" s="463">
        <v>42299</v>
      </c>
      <c r="C745" s="418">
        <v>1000</v>
      </c>
      <c r="D745" s="419">
        <v>18.100000000000001</v>
      </c>
      <c r="E745" s="420">
        <v>0</v>
      </c>
      <c r="F745" s="420">
        <f t="shared" si="161"/>
        <v>18100</v>
      </c>
      <c r="G745" s="417">
        <v>42422</v>
      </c>
      <c r="H745" s="434">
        <v>1000</v>
      </c>
      <c r="I745" s="419">
        <v>7.49</v>
      </c>
      <c r="J745" s="420">
        <v>0.16</v>
      </c>
      <c r="K745" s="420">
        <f t="shared" si="163"/>
        <v>7489.84</v>
      </c>
      <c r="L745" s="418"/>
      <c r="M745" s="420"/>
    </row>
    <row r="746" spans="1:13" x14ac:dyDescent="0.25">
      <c r="A746" s="418"/>
      <c r="B746" s="521">
        <v>42306</v>
      </c>
      <c r="C746" s="418">
        <v>660</v>
      </c>
      <c r="D746" s="419">
        <v>17.8</v>
      </c>
      <c r="E746" s="420">
        <v>0</v>
      </c>
      <c r="F746" s="420">
        <f t="shared" si="161"/>
        <v>11748</v>
      </c>
      <c r="G746" s="417">
        <v>42426</v>
      </c>
      <c r="H746" s="434">
        <v>900</v>
      </c>
      <c r="I746" s="419">
        <v>7.7</v>
      </c>
      <c r="J746" s="420">
        <v>0.15</v>
      </c>
      <c r="K746" s="420">
        <f t="shared" si="163"/>
        <v>6929.85</v>
      </c>
      <c r="L746" s="418"/>
      <c r="M746" s="420"/>
    </row>
    <row r="747" spans="1:13" ht="30" x14ac:dyDescent="0.25">
      <c r="A747" s="418"/>
      <c r="B747" s="521"/>
      <c r="C747" s="418">
        <v>340</v>
      </c>
      <c r="D747" s="419">
        <v>17.8</v>
      </c>
      <c r="E747" s="420">
        <v>0</v>
      </c>
      <c r="F747" s="420">
        <f t="shared" si="161"/>
        <v>6052</v>
      </c>
      <c r="G747" s="524" t="s">
        <v>178</v>
      </c>
      <c r="H747" s="434">
        <v>500</v>
      </c>
      <c r="I747" s="419">
        <v>7.73</v>
      </c>
      <c r="J747" s="420">
        <v>0.08</v>
      </c>
      <c r="K747" s="420">
        <f t="shared" si="163"/>
        <v>3864.92</v>
      </c>
      <c r="L747" s="418"/>
      <c r="M747" s="420"/>
    </row>
    <row r="748" spans="1:13" x14ac:dyDescent="0.25">
      <c r="A748" s="418"/>
      <c r="B748" s="463">
        <v>42312</v>
      </c>
      <c r="C748" s="507">
        <v>500</v>
      </c>
      <c r="D748" s="504">
        <v>17.559999999999999</v>
      </c>
      <c r="E748" s="505">
        <v>6.95</v>
      </c>
      <c r="F748" s="505">
        <f t="shared" si="161"/>
        <v>8786.9500000000007</v>
      </c>
      <c r="G748" s="524"/>
      <c r="H748" s="434">
        <v>500</v>
      </c>
      <c r="I748" s="419">
        <v>7.96</v>
      </c>
      <c r="J748" s="420">
        <v>0.09</v>
      </c>
      <c r="K748" s="420">
        <f t="shared" si="163"/>
        <v>3979.91</v>
      </c>
      <c r="L748" s="418"/>
      <c r="M748" s="420"/>
    </row>
    <row r="749" spans="1:13" x14ac:dyDescent="0.25">
      <c r="A749" s="418"/>
      <c r="B749" s="463">
        <v>42313</v>
      </c>
      <c r="C749" s="418">
        <v>3000</v>
      </c>
      <c r="D749" s="419">
        <v>19.05</v>
      </c>
      <c r="E749" s="420">
        <v>0</v>
      </c>
      <c r="F749" s="420">
        <f t="shared" si="161"/>
        <v>57150</v>
      </c>
      <c r="G749" s="524"/>
      <c r="H749" s="434">
        <v>500</v>
      </c>
      <c r="I749" s="419">
        <v>8.0299999999999994</v>
      </c>
      <c r="J749" s="420">
        <v>0.09</v>
      </c>
      <c r="K749" s="420">
        <f t="shared" si="163"/>
        <v>4014.9099999999994</v>
      </c>
      <c r="L749" s="418"/>
      <c r="M749" s="419"/>
    </row>
    <row r="750" spans="1:13" x14ac:dyDescent="0.25">
      <c r="A750" s="418"/>
      <c r="B750" s="463">
        <v>42320</v>
      </c>
      <c r="C750" s="418">
        <v>500</v>
      </c>
      <c r="D750" s="419">
        <v>18.079999999999998</v>
      </c>
      <c r="E750" s="420">
        <v>0</v>
      </c>
      <c r="F750" s="420">
        <f t="shared" si="161"/>
        <v>9040</v>
      </c>
      <c r="G750" s="524"/>
      <c r="H750" s="434">
        <v>1500</v>
      </c>
      <c r="I750" s="419">
        <v>8.1</v>
      </c>
      <c r="J750" s="420">
        <v>0.26</v>
      </c>
      <c r="K750" s="420">
        <f t="shared" si="163"/>
        <v>12149.74</v>
      </c>
      <c r="L750" s="418"/>
      <c r="M750" s="420"/>
    </row>
    <row r="751" spans="1:13" x14ac:dyDescent="0.25">
      <c r="A751" s="418"/>
      <c r="B751" s="463">
        <v>42320</v>
      </c>
      <c r="C751" s="418">
        <v>1000</v>
      </c>
      <c r="D751" s="419">
        <v>18.05</v>
      </c>
      <c r="E751" s="420">
        <v>0</v>
      </c>
      <c r="F751" s="420">
        <f t="shared" si="161"/>
        <v>18050</v>
      </c>
      <c r="G751" s="417">
        <v>42429</v>
      </c>
      <c r="H751" s="434">
        <v>1000</v>
      </c>
      <c r="I751" s="419">
        <v>8.5399999999999991</v>
      </c>
      <c r="J751" s="420">
        <v>0.19</v>
      </c>
      <c r="K751" s="420">
        <f>H751*I751-J751</f>
        <v>8539.81</v>
      </c>
      <c r="L751" s="418"/>
      <c r="M751" s="508"/>
    </row>
    <row r="752" spans="1:13" x14ac:dyDescent="0.25">
      <c r="A752" s="418"/>
      <c r="B752" s="463">
        <v>42320</v>
      </c>
      <c r="C752" s="418">
        <v>1000</v>
      </c>
      <c r="D752" s="419">
        <v>17.82</v>
      </c>
      <c r="E752" s="420">
        <v>0</v>
      </c>
      <c r="F752" s="420">
        <f t="shared" si="161"/>
        <v>17820</v>
      </c>
      <c r="G752" s="417">
        <v>42429</v>
      </c>
      <c r="H752" s="434">
        <v>500</v>
      </c>
      <c r="I752" s="419">
        <v>7.95</v>
      </c>
      <c r="J752" s="420">
        <v>0.09</v>
      </c>
      <c r="K752" s="420">
        <f>H752*I752-J752</f>
        <v>3974.91</v>
      </c>
      <c r="L752" s="418"/>
      <c r="M752" s="420"/>
    </row>
    <row r="753" spans="1:13" x14ac:dyDescent="0.25">
      <c r="A753" s="418"/>
      <c r="B753" s="463">
        <v>42328</v>
      </c>
      <c r="C753" s="418">
        <v>3078</v>
      </c>
      <c r="D753" s="419">
        <v>17.47</v>
      </c>
      <c r="E753" s="420">
        <v>0</v>
      </c>
      <c r="F753" s="420">
        <f t="shared" si="161"/>
        <v>53772.659999999996</v>
      </c>
      <c r="G753" s="417">
        <v>42429</v>
      </c>
      <c r="H753" s="434">
        <v>500</v>
      </c>
      <c r="I753" s="419">
        <v>7.97</v>
      </c>
      <c r="J753" s="420">
        <v>0.09</v>
      </c>
      <c r="K753" s="420">
        <f t="shared" ref="K753:K812" si="164">H753*I753-J753</f>
        <v>3984.91</v>
      </c>
      <c r="L753" s="418"/>
      <c r="M753" s="420"/>
    </row>
    <row r="754" spans="1:13" x14ac:dyDescent="0.25">
      <c r="A754" s="418"/>
      <c r="B754" s="463">
        <v>42340</v>
      </c>
      <c r="C754" s="418">
        <v>3078</v>
      </c>
      <c r="D754" s="419">
        <v>17.739999999999998</v>
      </c>
      <c r="E754" s="420">
        <v>0</v>
      </c>
      <c r="F754" s="420">
        <f t="shared" si="161"/>
        <v>54603.719999999994</v>
      </c>
      <c r="G754" s="417">
        <v>42430</v>
      </c>
      <c r="H754" s="434">
        <v>500</v>
      </c>
      <c r="I754" s="419">
        <v>7.85</v>
      </c>
      <c r="J754" s="420">
        <v>0.09</v>
      </c>
      <c r="K754" s="420">
        <f t="shared" si="164"/>
        <v>3924.91</v>
      </c>
      <c r="L754" s="418"/>
      <c r="M754" s="420"/>
    </row>
    <row r="755" spans="1:13" x14ac:dyDescent="0.25">
      <c r="A755" s="418"/>
      <c r="B755" s="463">
        <v>42340</v>
      </c>
      <c r="C755" s="418">
        <v>500</v>
      </c>
      <c r="D755" s="419">
        <v>17.5</v>
      </c>
      <c r="E755" s="420">
        <v>0</v>
      </c>
      <c r="F755" s="420">
        <f t="shared" si="161"/>
        <v>8750</v>
      </c>
      <c r="G755" s="417">
        <v>42430</v>
      </c>
      <c r="H755" s="434">
        <v>500</v>
      </c>
      <c r="I755" s="419">
        <v>8.0299999999999994</v>
      </c>
      <c r="J755" s="420">
        <v>0.09</v>
      </c>
      <c r="K755" s="420">
        <f t="shared" si="164"/>
        <v>4014.9099999999994</v>
      </c>
      <c r="L755" s="420"/>
      <c r="M755" s="420"/>
    </row>
    <row r="756" spans="1:13" x14ac:dyDescent="0.25">
      <c r="A756" s="418"/>
      <c r="B756" s="463">
        <v>42345</v>
      </c>
      <c r="C756" s="418">
        <v>100</v>
      </c>
      <c r="D756" s="419">
        <v>16.7</v>
      </c>
      <c r="E756" s="420">
        <v>0</v>
      </c>
      <c r="F756" s="420">
        <f t="shared" si="161"/>
        <v>1670</v>
      </c>
      <c r="G756" s="417">
        <v>42431</v>
      </c>
      <c r="H756" s="434">
        <v>500</v>
      </c>
      <c r="I756" s="419">
        <v>8.3800000000000008</v>
      </c>
      <c r="J756" s="420">
        <v>0.09</v>
      </c>
      <c r="K756" s="420">
        <f t="shared" si="164"/>
        <v>4189.91</v>
      </c>
      <c r="L756" s="420"/>
      <c r="M756" s="420"/>
    </row>
    <row r="757" spans="1:13" x14ac:dyDescent="0.25">
      <c r="A757" s="418"/>
      <c r="B757" s="463">
        <v>42345</v>
      </c>
      <c r="C757" s="418">
        <v>500</v>
      </c>
      <c r="D757" s="419">
        <v>16.850000000000001</v>
      </c>
      <c r="E757" s="420">
        <v>0</v>
      </c>
      <c r="F757" s="420">
        <f t="shared" si="161"/>
        <v>8425</v>
      </c>
      <c r="G757" s="417">
        <v>42431</v>
      </c>
      <c r="H757" s="434">
        <v>500</v>
      </c>
      <c r="I757" s="419">
        <v>8.58</v>
      </c>
      <c r="J757" s="420">
        <v>0.09</v>
      </c>
      <c r="K757" s="420">
        <f t="shared" si="164"/>
        <v>4289.91</v>
      </c>
      <c r="L757" s="418"/>
      <c r="M757" s="420"/>
    </row>
    <row r="758" spans="1:13" ht="30" x14ac:dyDescent="0.25">
      <c r="A758" s="418"/>
      <c r="B758" s="463">
        <v>42347</v>
      </c>
      <c r="C758" s="418">
        <v>500</v>
      </c>
      <c r="D758" s="419">
        <v>15.84</v>
      </c>
      <c r="E758" s="420">
        <v>0</v>
      </c>
      <c r="F758" s="420">
        <f t="shared" si="161"/>
        <v>7920</v>
      </c>
      <c r="G758" s="523" t="s">
        <v>180</v>
      </c>
      <c r="H758" s="434">
        <v>400</v>
      </c>
      <c r="I758" s="419">
        <v>9.09</v>
      </c>
      <c r="J758" s="420">
        <v>0.1</v>
      </c>
      <c r="K758" s="420">
        <f t="shared" si="164"/>
        <v>3635.9</v>
      </c>
      <c r="L758" s="418"/>
      <c r="M758" s="420"/>
    </row>
    <row r="759" spans="1:13" x14ac:dyDescent="0.25">
      <c r="A759" s="418"/>
      <c r="B759" s="463">
        <v>42348</v>
      </c>
      <c r="C759" s="418">
        <v>500</v>
      </c>
      <c r="D759" s="419">
        <v>14.78</v>
      </c>
      <c r="E759" s="420">
        <v>0</v>
      </c>
      <c r="F759" s="420">
        <f t="shared" si="161"/>
        <v>7390</v>
      </c>
      <c r="G759" s="523"/>
      <c r="H759" s="434">
        <v>100</v>
      </c>
      <c r="I759" s="419">
        <v>9.09</v>
      </c>
      <c r="J759" s="420">
        <v>0</v>
      </c>
      <c r="K759" s="420">
        <f t="shared" si="164"/>
        <v>909</v>
      </c>
      <c r="L759" s="418"/>
      <c r="M759" s="420"/>
    </row>
    <row r="760" spans="1:13" x14ac:dyDescent="0.25">
      <c r="A760" s="418"/>
      <c r="B760" s="463">
        <v>42352</v>
      </c>
      <c r="C760" s="418">
        <v>100</v>
      </c>
      <c r="D760" s="419">
        <v>14.57</v>
      </c>
      <c r="E760" s="420">
        <v>0</v>
      </c>
      <c r="F760" s="420">
        <f t="shared" si="161"/>
        <v>1457</v>
      </c>
      <c r="G760" s="523"/>
      <c r="H760" s="434">
        <v>500</v>
      </c>
      <c r="I760" s="419">
        <v>8.81</v>
      </c>
      <c r="J760" s="420">
        <v>0.1</v>
      </c>
      <c r="K760" s="420">
        <f t="shared" si="164"/>
        <v>4404.8999999999996</v>
      </c>
      <c r="L760" s="418"/>
      <c r="M760" s="420"/>
    </row>
    <row r="761" spans="1:13" x14ac:dyDescent="0.25">
      <c r="A761" s="418"/>
      <c r="B761" s="463">
        <v>42355</v>
      </c>
      <c r="C761" s="418">
        <v>500</v>
      </c>
      <c r="D761" s="419">
        <v>13.89</v>
      </c>
      <c r="E761" s="420">
        <v>0</v>
      </c>
      <c r="F761" s="420">
        <f t="shared" si="161"/>
        <v>6945</v>
      </c>
      <c r="G761" s="417">
        <v>42432</v>
      </c>
      <c r="H761" s="434">
        <v>600</v>
      </c>
      <c r="I761" s="419">
        <v>9.65</v>
      </c>
      <c r="J761" s="420">
        <v>0.13</v>
      </c>
      <c r="K761" s="420">
        <f t="shared" si="164"/>
        <v>5789.87</v>
      </c>
      <c r="L761" s="418"/>
      <c r="M761" s="420"/>
    </row>
    <row r="762" spans="1:13" x14ac:dyDescent="0.25">
      <c r="A762" s="418"/>
      <c r="B762" s="463">
        <v>42360</v>
      </c>
      <c r="C762" s="418">
        <v>500</v>
      </c>
      <c r="D762" s="419">
        <v>12.95</v>
      </c>
      <c r="E762" s="420">
        <v>0</v>
      </c>
      <c r="F762" s="420">
        <f t="shared" si="161"/>
        <v>6475</v>
      </c>
      <c r="G762" s="417">
        <v>42433</v>
      </c>
      <c r="H762" s="434">
        <v>600</v>
      </c>
      <c r="I762" s="419">
        <v>10.45</v>
      </c>
      <c r="J762" s="420">
        <v>0.14000000000000001</v>
      </c>
      <c r="K762" s="420">
        <f t="shared" si="164"/>
        <v>6269.86</v>
      </c>
      <c r="L762" s="418"/>
      <c r="M762" s="420"/>
    </row>
    <row r="763" spans="1:13" x14ac:dyDescent="0.25">
      <c r="A763" s="418"/>
      <c r="B763" s="463">
        <v>42361</v>
      </c>
      <c r="C763" s="418">
        <v>500</v>
      </c>
      <c r="D763" s="419">
        <v>12.75</v>
      </c>
      <c r="E763" s="420">
        <v>0</v>
      </c>
      <c r="F763" s="420">
        <f t="shared" si="161"/>
        <v>6375</v>
      </c>
      <c r="G763" s="417">
        <v>42440</v>
      </c>
      <c r="H763" s="434">
        <v>400</v>
      </c>
      <c r="I763" s="419">
        <v>11.25</v>
      </c>
      <c r="J763" s="420">
        <v>0.1</v>
      </c>
      <c r="K763" s="420">
        <f t="shared" si="164"/>
        <v>4499.8999999999996</v>
      </c>
      <c r="L763" s="418"/>
      <c r="M763" s="420"/>
    </row>
    <row r="764" spans="1:13" x14ac:dyDescent="0.25">
      <c r="A764" s="418"/>
      <c r="B764" s="463">
        <v>42361</v>
      </c>
      <c r="C764" s="418">
        <v>500</v>
      </c>
      <c r="D764" s="419">
        <v>12.8</v>
      </c>
      <c r="E764" s="420">
        <v>0</v>
      </c>
      <c r="F764" s="420">
        <f t="shared" si="161"/>
        <v>6400</v>
      </c>
      <c r="G764" s="417">
        <v>42446</v>
      </c>
      <c r="H764" s="434">
        <v>1500</v>
      </c>
      <c r="I764" s="419">
        <v>11.49</v>
      </c>
      <c r="J764" s="420">
        <v>0.38</v>
      </c>
      <c r="K764" s="420">
        <f t="shared" si="164"/>
        <v>17234.62</v>
      </c>
      <c r="L764" s="418"/>
      <c r="M764" s="420"/>
    </row>
    <row r="765" spans="1:13" x14ac:dyDescent="0.25">
      <c r="A765" s="418"/>
      <c r="B765" s="463">
        <v>42361</v>
      </c>
      <c r="C765" s="418">
        <v>1000</v>
      </c>
      <c r="D765" s="419">
        <v>12.67</v>
      </c>
      <c r="E765" s="420">
        <v>0</v>
      </c>
      <c r="F765" s="420">
        <f t="shared" si="161"/>
        <v>12670</v>
      </c>
      <c r="G765" s="417">
        <v>42447</v>
      </c>
      <c r="H765" s="434">
        <v>1500</v>
      </c>
      <c r="I765" s="419">
        <v>11.44</v>
      </c>
      <c r="J765" s="420">
        <v>0.37</v>
      </c>
      <c r="K765" s="420">
        <f t="shared" si="164"/>
        <v>17159.63</v>
      </c>
      <c r="L765" s="418"/>
      <c r="M765" s="420"/>
    </row>
    <row r="766" spans="1:13" x14ac:dyDescent="0.25">
      <c r="A766" s="418"/>
      <c r="B766" s="463">
        <v>42361</v>
      </c>
      <c r="C766" s="418">
        <v>222</v>
      </c>
      <c r="D766" s="419">
        <v>12.44</v>
      </c>
      <c r="E766" s="420">
        <v>0</v>
      </c>
      <c r="F766" s="420">
        <f t="shared" si="161"/>
        <v>2761.68</v>
      </c>
      <c r="G766" s="417">
        <v>42447</v>
      </c>
      <c r="H766" s="434">
        <v>500</v>
      </c>
      <c r="I766" s="419">
        <v>11.484999999999999</v>
      </c>
      <c r="J766" s="420">
        <v>0.13</v>
      </c>
      <c r="K766" s="420">
        <f t="shared" si="164"/>
        <v>5742.37</v>
      </c>
      <c r="L766" s="418"/>
      <c r="M766" s="420"/>
    </row>
    <row r="767" spans="1:13" x14ac:dyDescent="0.25">
      <c r="A767" s="418"/>
      <c r="B767" s="463">
        <v>42367</v>
      </c>
      <c r="C767" s="418">
        <v>2178</v>
      </c>
      <c r="D767" s="419">
        <v>13.68</v>
      </c>
      <c r="E767" s="420">
        <v>0</v>
      </c>
      <c r="F767" s="420">
        <f t="shared" si="161"/>
        <v>29795.040000000001</v>
      </c>
      <c r="G767" s="522">
        <v>42447</v>
      </c>
      <c r="H767" s="434">
        <v>650</v>
      </c>
      <c r="I767" s="419">
        <v>11.56</v>
      </c>
      <c r="J767" s="420">
        <v>0.25</v>
      </c>
      <c r="K767" s="420">
        <f t="shared" si="164"/>
        <v>7513.75</v>
      </c>
      <c r="L767" s="418"/>
      <c r="M767" s="420"/>
    </row>
    <row r="768" spans="1:13" x14ac:dyDescent="0.25">
      <c r="A768" s="418"/>
      <c r="B768" s="463">
        <v>42369</v>
      </c>
      <c r="C768" s="418">
        <v>2500</v>
      </c>
      <c r="D768" s="419">
        <v>13.04</v>
      </c>
      <c r="E768" s="420">
        <v>0</v>
      </c>
      <c r="F768" s="420">
        <f t="shared" si="161"/>
        <v>32599.999999999996</v>
      </c>
      <c r="G768" s="522"/>
      <c r="H768" s="434">
        <v>350</v>
      </c>
      <c r="I768" s="419">
        <v>11.56</v>
      </c>
      <c r="J768" s="420">
        <v>0</v>
      </c>
      <c r="K768" s="420">
        <f t="shared" si="164"/>
        <v>4046</v>
      </c>
      <c r="L768" s="418"/>
      <c r="M768" s="420"/>
    </row>
    <row r="769" spans="1:13" x14ac:dyDescent="0.25">
      <c r="A769" s="418"/>
      <c r="B769" s="463">
        <v>42008</v>
      </c>
      <c r="C769" s="418">
        <v>2000</v>
      </c>
      <c r="D769" s="419">
        <v>13.01</v>
      </c>
      <c r="E769" s="420">
        <v>0</v>
      </c>
      <c r="F769" s="420">
        <f t="shared" si="161"/>
        <v>26020</v>
      </c>
      <c r="G769" s="417">
        <v>42447</v>
      </c>
      <c r="H769" s="434">
        <v>1000</v>
      </c>
      <c r="I769" s="419">
        <v>11.62</v>
      </c>
      <c r="J769" s="420">
        <v>0.25</v>
      </c>
      <c r="K769" s="420">
        <f t="shared" si="164"/>
        <v>11619.75</v>
      </c>
      <c r="L769" s="418"/>
      <c r="M769" s="420"/>
    </row>
    <row r="770" spans="1:13" x14ac:dyDescent="0.25">
      <c r="A770" s="418"/>
      <c r="B770" s="463">
        <v>42009</v>
      </c>
      <c r="C770" s="418">
        <v>500</v>
      </c>
      <c r="D770" s="419">
        <v>12.62</v>
      </c>
      <c r="E770" s="420">
        <v>0</v>
      </c>
      <c r="F770" s="420">
        <f t="shared" si="161"/>
        <v>6310</v>
      </c>
      <c r="G770" s="417">
        <v>42451</v>
      </c>
      <c r="H770" s="434">
        <v>1000</v>
      </c>
      <c r="I770" s="419">
        <v>11.45</v>
      </c>
      <c r="J770" s="420">
        <v>0.25</v>
      </c>
      <c r="K770" s="420">
        <f t="shared" si="164"/>
        <v>11449.75</v>
      </c>
      <c r="L770" s="418"/>
      <c r="M770" s="420"/>
    </row>
    <row r="771" spans="1:13" x14ac:dyDescent="0.25">
      <c r="A771" s="418"/>
      <c r="B771" s="463">
        <v>42009</v>
      </c>
      <c r="C771" s="418">
        <v>500</v>
      </c>
      <c r="D771" s="419">
        <v>12.45</v>
      </c>
      <c r="E771" s="420">
        <v>0</v>
      </c>
      <c r="F771" s="420">
        <f t="shared" si="161"/>
        <v>6225</v>
      </c>
      <c r="G771" s="417">
        <v>42451</v>
      </c>
      <c r="H771" s="434">
        <v>50</v>
      </c>
      <c r="I771" s="419">
        <v>11.28</v>
      </c>
      <c r="J771" s="420">
        <v>0.01</v>
      </c>
      <c r="K771" s="420">
        <f t="shared" si="164"/>
        <v>563.99</v>
      </c>
      <c r="L771" s="418"/>
      <c r="M771" s="420"/>
    </row>
    <row r="772" spans="1:13" x14ac:dyDescent="0.25">
      <c r="A772" s="418"/>
      <c r="B772" s="509">
        <v>42374</v>
      </c>
      <c r="C772" s="418">
        <v>2000</v>
      </c>
      <c r="D772" s="419">
        <v>12.73</v>
      </c>
      <c r="E772" s="420">
        <v>0</v>
      </c>
      <c r="F772" s="420">
        <f t="shared" ref="F772:F835" si="165">C772*D772+E772</f>
        <v>25460</v>
      </c>
      <c r="G772" s="417">
        <v>42459</v>
      </c>
      <c r="H772" s="434">
        <v>2000</v>
      </c>
      <c r="I772" s="419">
        <v>10.75</v>
      </c>
      <c r="J772" s="420">
        <v>0.47</v>
      </c>
      <c r="K772" s="420">
        <f t="shared" si="164"/>
        <v>21499.53</v>
      </c>
      <c r="L772" s="418"/>
      <c r="M772" s="420"/>
    </row>
    <row r="773" spans="1:13" x14ac:dyDescent="0.25">
      <c r="A773" s="418"/>
      <c r="B773" s="463">
        <v>42375</v>
      </c>
      <c r="C773" s="418">
        <v>1000</v>
      </c>
      <c r="D773" s="419">
        <v>12.5</v>
      </c>
      <c r="E773" s="420">
        <v>0</v>
      </c>
      <c r="F773" s="420">
        <f t="shared" si="165"/>
        <v>12500</v>
      </c>
      <c r="G773" s="417">
        <v>42460</v>
      </c>
      <c r="H773" s="434">
        <v>1600</v>
      </c>
      <c r="I773" s="419">
        <v>10.95</v>
      </c>
      <c r="J773" s="420">
        <v>2.88</v>
      </c>
      <c r="K773" s="420">
        <f t="shared" si="164"/>
        <v>17517.12</v>
      </c>
      <c r="L773" s="418"/>
      <c r="M773" s="420"/>
    </row>
    <row r="774" spans="1:13" x14ac:dyDescent="0.25">
      <c r="A774" s="418"/>
      <c r="B774" s="463">
        <v>42375</v>
      </c>
      <c r="C774" s="418">
        <v>1000</v>
      </c>
      <c r="D774" s="419">
        <v>11.7</v>
      </c>
      <c r="E774" s="420">
        <v>0</v>
      </c>
      <c r="F774" s="420">
        <f t="shared" si="165"/>
        <v>11700</v>
      </c>
      <c r="G774" s="417">
        <v>42461</v>
      </c>
      <c r="H774" s="434">
        <v>2000</v>
      </c>
      <c r="I774" s="419">
        <v>10.52</v>
      </c>
      <c r="J774" s="420">
        <v>0.46</v>
      </c>
      <c r="K774" s="420">
        <f t="shared" si="164"/>
        <v>21039.54</v>
      </c>
      <c r="L774" s="418"/>
      <c r="M774" s="420"/>
    </row>
    <row r="775" spans="1:13" x14ac:dyDescent="0.25">
      <c r="A775" s="418"/>
      <c r="B775" s="463">
        <v>42402</v>
      </c>
      <c r="C775" s="418">
        <v>400</v>
      </c>
      <c r="D775" s="419">
        <v>9.1</v>
      </c>
      <c r="E775" s="420">
        <v>0</v>
      </c>
      <c r="F775" s="420">
        <f t="shared" si="165"/>
        <v>3640</v>
      </c>
      <c r="G775" s="417">
        <v>42461</v>
      </c>
      <c r="H775" s="434">
        <v>2000</v>
      </c>
      <c r="I775" s="419">
        <v>10.55</v>
      </c>
      <c r="J775" s="420">
        <v>0.46</v>
      </c>
      <c r="K775" s="420">
        <f t="shared" si="164"/>
        <v>21099.54</v>
      </c>
      <c r="L775" s="418"/>
      <c r="M775" s="420"/>
    </row>
    <row r="776" spans="1:13" x14ac:dyDescent="0.25">
      <c r="A776" s="418"/>
      <c r="B776" s="463">
        <v>42411</v>
      </c>
      <c r="C776" s="418">
        <v>500</v>
      </c>
      <c r="D776" s="419">
        <v>6.835</v>
      </c>
      <c r="E776" s="420">
        <v>0</v>
      </c>
      <c r="F776" s="420">
        <f t="shared" si="165"/>
        <v>3417.5</v>
      </c>
      <c r="G776" s="417">
        <v>42465</v>
      </c>
      <c r="H776" s="434">
        <v>100</v>
      </c>
      <c r="I776" s="419">
        <v>10.75</v>
      </c>
      <c r="J776" s="420">
        <v>0.02</v>
      </c>
      <c r="K776" s="420">
        <f t="shared" si="164"/>
        <v>1074.98</v>
      </c>
      <c r="L776" s="418"/>
      <c r="M776" s="420"/>
    </row>
    <row r="777" spans="1:13" x14ac:dyDescent="0.25">
      <c r="A777" s="418"/>
      <c r="B777" s="463">
        <v>42412</v>
      </c>
      <c r="C777" s="418">
        <v>200</v>
      </c>
      <c r="D777" s="419">
        <v>7.23</v>
      </c>
      <c r="E777" s="420">
        <v>0</v>
      </c>
      <c r="F777" s="420">
        <f t="shared" si="165"/>
        <v>1446</v>
      </c>
      <c r="G777" s="417">
        <v>42468</v>
      </c>
      <c r="H777" s="434">
        <v>1000</v>
      </c>
      <c r="I777" s="419">
        <v>11.77</v>
      </c>
      <c r="J777" s="420">
        <v>0.26</v>
      </c>
      <c r="K777" s="420">
        <f t="shared" si="164"/>
        <v>11769.74</v>
      </c>
      <c r="L777" s="418"/>
      <c r="M777" s="420"/>
    </row>
    <row r="778" spans="1:13" x14ac:dyDescent="0.25">
      <c r="A778" s="418"/>
      <c r="B778" s="463">
        <v>42416</v>
      </c>
      <c r="C778" s="418">
        <v>500</v>
      </c>
      <c r="D778" s="419">
        <v>7.5</v>
      </c>
      <c r="E778" s="420">
        <v>0</v>
      </c>
      <c r="F778" s="420">
        <f t="shared" si="165"/>
        <v>3750</v>
      </c>
      <c r="G778" s="522">
        <v>42472</v>
      </c>
      <c r="H778" s="434">
        <v>420</v>
      </c>
      <c r="I778" s="419">
        <v>13.35</v>
      </c>
      <c r="J778" s="420">
        <v>0.15</v>
      </c>
      <c r="K778" s="420">
        <f t="shared" si="164"/>
        <v>5606.85</v>
      </c>
      <c r="L778" s="418"/>
      <c r="M778" s="420"/>
    </row>
    <row r="779" spans="1:13" ht="30" x14ac:dyDescent="0.25">
      <c r="A779" s="418"/>
      <c r="B779" s="525" t="s">
        <v>176</v>
      </c>
      <c r="C779" s="418">
        <v>3000</v>
      </c>
      <c r="D779" s="419">
        <v>7.55</v>
      </c>
      <c r="E779" s="420">
        <v>0</v>
      </c>
      <c r="F779" s="420">
        <f t="shared" si="165"/>
        <v>22650</v>
      </c>
      <c r="G779" s="522"/>
      <c r="H779" s="434">
        <v>80</v>
      </c>
      <c r="I779" s="419">
        <v>13.35</v>
      </c>
      <c r="J779" s="420">
        <v>0</v>
      </c>
      <c r="K779" s="420">
        <f t="shared" si="164"/>
        <v>1068</v>
      </c>
      <c r="L779" s="418"/>
      <c r="M779" s="420"/>
    </row>
    <row r="780" spans="1:13" x14ac:dyDescent="0.25">
      <c r="A780" s="418"/>
      <c r="B780" s="525"/>
      <c r="C780" s="418">
        <v>500</v>
      </c>
      <c r="D780" s="419">
        <v>6.75</v>
      </c>
      <c r="E780" s="420">
        <v>0</v>
      </c>
      <c r="F780" s="420">
        <f t="shared" si="165"/>
        <v>3375</v>
      </c>
      <c r="G780" s="417">
        <v>42472</v>
      </c>
      <c r="H780" s="434">
        <v>500</v>
      </c>
      <c r="I780" s="419">
        <v>13.15</v>
      </c>
      <c r="J780" s="420">
        <v>0.14000000000000001</v>
      </c>
      <c r="K780" s="420">
        <f t="shared" si="164"/>
        <v>6574.86</v>
      </c>
      <c r="L780" s="418"/>
      <c r="M780" s="420"/>
    </row>
    <row r="781" spans="1:13" x14ac:dyDescent="0.25">
      <c r="A781" s="418"/>
      <c r="B781" s="525"/>
      <c r="C781" s="418">
        <v>300</v>
      </c>
      <c r="D781" s="419">
        <v>6.75</v>
      </c>
      <c r="E781" s="420">
        <v>0</v>
      </c>
      <c r="F781" s="420">
        <f t="shared" si="165"/>
        <v>2025</v>
      </c>
      <c r="G781" s="417">
        <v>42472</v>
      </c>
      <c r="H781" s="434">
        <v>500</v>
      </c>
      <c r="I781" s="419">
        <v>12.92</v>
      </c>
      <c r="J781" s="420">
        <v>0.14000000000000001</v>
      </c>
      <c r="K781" s="420">
        <f t="shared" si="164"/>
        <v>6459.86</v>
      </c>
      <c r="L781" s="418"/>
      <c r="M781" s="420"/>
    </row>
    <row r="782" spans="1:13" x14ac:dyDescent="0.25">
      <c r="A782" s="418"/>
      <c r="B782" s="463">
        <v>42426</v>
      </c>
      <c r="C782" s="418">
        <v>600</v>
      </c>
      <c r="D782" s="419">
        <v>7.63</v>
      </c>
      <c r="E782" s="420">
        <v>0</v>
      </c>
      <c r="F782" s="420">
        <f t="shared" si="165"/>
        <v>4578</v>
      </c>
      <c r="G782" s="417">
        <v>42472</v>
      </c>
      <c r="H782" s="434">
        <v>500</v>
      </c>
      <c r="I782" s="419">
        <v>12.59</v>
      </c>
      <c r="J782" s="420">
        <v>0.14000000000000001</v>
      </c>
      <c r="K782" s="420">
        <f t="shared" si="164"/>
        <v>6294.86</v>
      </c>
      <c r="L782" s="418"/>
      <c r="M782" s="420"/>
    </row>
    <row r="783" spans="1:13" x14ac:dyDescent="0.25">
      <c r="A783" s="418"/>
      <c r="B783" s="463">
        <v>42426</v>
      </c>
      <c r="C783" s="418">
        <v>2000</v>
      </c>
      <c r="D783" s="419">
        <v>7.95</v>
      </c>
      <c r="E783" s="420">
        <v>0</v>
      </c>
      <c r="F783" s="420">
        <f t="shared" si="165"/>
        <v>15900</v>
      </c>
      <c r="G783" s="417">
        <v>42474</v>
      </c>
      <c r="H783" s="434">
        <v>500</v>
      </c>
      <c r="I783" s="419">
        <v>13.18</v>
      </c>
      <c r="J783" s="420">
        <v>0.14000000000000001</v>
      </c>
      <c r="K783" s="420">
        <f t="shared" si="164"/>
        <v>6589.86</v>
      </c>
      <c r="L783" s="418"/>
      <c r="M783" s="420"/>
    </row>
    <row r="784" spans="1:13" x14ac:dyDescent="0.25">
      <c r="A784" s="418"/>
      <c r="B784" s="463">
        <v>42429</v>
      </c>
      <c r="C784" s="418">
        <v>2000</v>
      </c>
      <c r="D784" s="419">
        <v>8.1999999999999993</v>
      </c>
      <c r="E784" s="420">
        <v>0</v>
      </c>
      <c r="F784" s="420">
        <f t="shared" si="165"/>
        <v>16400</v>
      </c>
      <c r="G784" s="417">
        <v>42478</v>
      </c>
      <c r="H784" s="434">
        <v>500</v>
      </c>
      <c r="I784" s="419">
        <v>13.4</v>
      </c>
      <c r="J784" s="420">
        <v>0.15</v>
      </c>
      <c r="K784" s="420">
        <f t="shared" si="164"/>
        <v>6699.85</v>
      </c>
      <c r="L784" s="418"/>
      <c r="M784" s="420"/>
    </row>
    <row r="785" spans="1:13" x14ac:dyDescent="0.25">
      <c r="A785" s="420"/>
      <c r="B785" s="463">
        <v>42429</v>
      </c>
      <c r="C785" s="418">
        <v>500</v>
      </c>
      <c r="D785" s="419">
        <v>7.88</v>
      </c>
      <c r="E785" s="420">
        <v>0</v>
      </c>
      <c r="F785" s="420">
        <f t="shared" si="165"/>
        <v>3940</v>
      </c>
      <c r="G785" s="417">
        <v>42486</v>
      </c>
      <c r="H785" s="434">
        <v>500</v>
      </c>
      <c r="I785" s="419">
        <v>14.35</v>
      </c>
      <c r="J785" s="420">
        <v>0.16</v>
      </c>
      <c r="K785" s="420">
        <f t="shared" si="164"/>
        <v>7174.84</v>
      </c>
      <c r="L785" s="418"/>
      <c r="M785" s="420"/>
    </row>
    <row r="786" spans="1:13" x14ac:dyDescent="0.25">
      <c r="A786" s="418"/>
      <c r="B786" s="463">
        <v>42430</v>
      </c>
      <c r="C786" s="418">
        <v>1000</v>
      </c>
      <c r="D786" s="419">
        <v>7.77</v>
      </c>
      <c r="E786" s="420">
        <v>0</v>
      </c>
      <c r="F786" s="420">
        <f t="shared" si="165"/>
        <v>7770</v>
      </c>
      <c r="G786" s="417">
        <v>42487</v>
      </c>
      <c r="H786" s="434">
        <v>600</v>
      </c>
      <c r="I786" s="419">
        <v>14.85</v>
      </c>
      <c r="J786" s="420">
        <v>0.19</v>
      </c>
      <c r="K786" s="420">
        <f t="shared" si="164"/>
        <v>8909.81</v>
      </c>
      <c r="L786" s="418"/>
      <c r="M786" s="420"/>
    </row>
    <row r="787" spans="1:13" x14ac:dyDescent="0.25">
      <c r="A787" s="418"/>
      <c r="B787" s="463">
        <v>42430</v>
      </c>
      <c r="C787" s="418">
        <v>500</v>
      </c>
      <c r="D787" s="419">
        <v>7.94</v>
      </c>
      <c r="E787" s="420">
        <v>0</v>
      </c>
      <c r="F787" s="420">
        <f t="shared" si="165"/>
        <v>3970</v>
      </c>
      <c r="G787" s="417">
        <v>42489</v>
      </c>
      <c r="H787" s="434">
        <v>3000</v>
      </c>
      <c r="I787" s="419">
        <v>14.15</v>
      </c>
      <c r="J787" s="420">
        <v>0.93</v>
      </c>
      <c r="K787" s="420">
        <f t="shared" si="164"/>
        <v>42449.07</v>
      </c>
      <c r="L787" s="418"/>
      <c r="M787" s="420"/>
    </row>
    <row r="788" spans="1:13" x14ac:dyDescent="0.25">
      <c r="A788" s="418"/>
      <c r="B788" s="463">
        <v>42431</v>
      </c>
      <c r="C788" s="418">
        <v>1000</v>
      </c>
      <c r="D788" s="419">
        <v>8.3699999999999992</v>
      </c>
      <c r="E788" s="420">
        <v>0</v>
      </c>
      <c r="F788" s="420">
        <f t="shared" si="165"/>
        <v>8370</v>
      </c>
      <c r="G788" s="417">
        <v>42492</v>
      </c>
      <c r="H788" s="434">
        <v>1000</v>
      </c>
      <c r="I788" s="419">
        <v>13.48</v>
      </c>
      <c r="J788" s="420">
        <v>0.28999999999999998</v>
      </c>
      <c r="K788" s="420">
        <f t="shared" si="164"/>
        <v>13479.71</v>
      </c>
      <c r="L788" s="418"/>
      <c r="M788" s="420"/>
    </row>
    <row r="789" spans="1:13" x14ac:dyDescent="0.25">
      <c r="A789" s="418"/>
      <c r="B789" s="463">
        <v>42432</v>
      </c>
      <c r="C789" s="418">
        <v>600</v>
      </c>
      <c r="D789" s="419">
        <v>9.3699999999999992</v>
      </c>
      <c r="E789" s="420">
        <v>0</v>
      </c>
      <c r="F789" s="420">
        <f t="shared" si="165"/>
        <v>5621.9999999999991</v>
      </c>
      <c r="G789" s="417">
        <v>42492</v>
      </c>
      <c r="H789" s="434">
        <v>1000</v>
      </c>
      <c r="I789" s="419">
        <v>13.61</v>
      </c>
      <c r="J789" s="420">
        <v>0.3</v>
      </c>
      <c r="K789" s="420">
        <f t="shared" si="164"/>
        <v>13609.7</v>
      </c>
      <c r="L789" s="418"/>
      <c r="M789" s="420"/>
    </row>
    <row r="790" spans="1:13" x14ac:dyDescent="0.25">
      <c r="A790" s="418"/>
      <c r="B790" s="463">
        <v>42432</v>
      </c>
      <c r="C790" s="418">
        <v>600</v>
      </c>
      <c r="D790" s="419">
        <v>8.8800000000000008</v>
      </c>
      <c r="E790" s="420">
        <v>0</v>
      </c>
      <c r="F790" s="420">
        <f t="shared" si="165"/>
        <v>5328.0000000000009</v>
      </c>
      <c r="G790" s="417">
        <v>42493</v>
      </c>
      <c r="H790" s="434">
        <v>322</v>
      </c>
      <c r="I790" s="419">
        <v>13.28</v>
      </c>
      <c r="J790" s="420">
        <v>0.09</v>
      </c>
      <c r="K790" s="420">
        <f t="shared" si="164"/>
        <v>4276.07</v>
      </c>
      <c r="L790" s="418"/>
      <c r="M790" s="420"/>
    </row>
    <row r="791" spans="1:13" x14ac:dyDescent="0.25">
      <c r="A791" s="418"/>
      <c r="B791" s="463">
        <v>42433</v>
      </c>
      <c r="C791" s="418">
        <v>600</v>
      </c>
      <c r="D791" s="419">
        <v>10.42</v>
      </c>
      <c r="E791" s="420">
        <v>0</v>
      </c>
      <c r="F791" s="420">
        <f t="shared" si="165"/>
        <v>6252</v>
      </c>
      <c r="G791" s="417">
        <v>42495</v>
      </c>
      <c r="H791" s="434">
        <v>1000</v>
      </c>
      <c r="I791" s="419">
        <v>12.05</v>
      </c>
      <c r="J791" s="420">
        <v>0.26</v>
      </c>
      <c r="K791" s="420">
        <f t="shared" si="164"/>
        <v>12049.74</v>
      </c>
      <c r="L791" s="418"/>
      <c r="M791" s="420"/>
    </row>
    <row r="792" spans="1:13" x14ac:dyDescent="0.25">
      <c r="A792" s="418"/>
      <c r="B792" s="463">
        <v>42440</v>
      </c>
      <c r="C792" s="418">
        <v>400</v>
      </c>
      <c r="D792" s="419">
        <v>11.12</v>
      </c>
      <c r="E792" s="420">
        <v>0</v>
      </c>
      <c r="F792" s="420">
        <f t="shared" si="165"/>
        <v>4448</v>
      </c>
      <c r="G792" s="417">
        <v>42495</v>
      </c>
      <c r="H792" s="434">
        <v>2000</v>
      </c>
      <c r="I792" s="419">
        <v>12.63</v>
      </c>
      <c r="J792" s="420">
        <v>0.55000000000000004</v>
      </c>
      <c r="K792" s="420">
        <f t="shared" si="164"/>
        <v>25259.45</v>
      </c>
      <c r="L792" s="418"/>
      <c r="M792" s="420"/>
    </row>
    <row r="793" spans="1:13" x14ac:dyDescent="0.25">
      <c r="A793" s="418"/>
      <c r="B793" s="463">
        <v>42446</v>
      </c>
      <c r="C793" s="418">
        <v>1500</v>
      </c>
      <c r="D793" s="419">
        <v>11.445</v>
      </c>
      <c r="E793" s="420">
        <v>0</v>
      </c>
      <c r="F793" s="420">
        <f t="shared" si="165"/>
        <v>17167.5</v>
      </c>
      <c r="G793" s="417">
        <v>42500</v>
      </c>
      <c r="H793" s="434">
        <v>1000</v>
      </c>
      <c r="I793" s="419">
        <v>11.66</v>
      </c>
      <c r="J793" s="420">
        <v>5.25</v>
      </c>
      <c r="K793" s="420">
        <f t="shared" si="164"/>
        <v>11654.75</v>
      </c>
      <c r="L793" s="418"/>
      <c r="M793" s="420"/>
    </row>
    <row r="794" spans="1:13" x14ac:dyDescent="0.25">
      <c r="A794" s="418"/>
      <c r="B794" s="521">
        <v>42447</v>
      </c>
      <c r="C794" s="418">
        <v>1500</v>
      </c>
      <c r="D794" s="419">
        <v>11.42</v>
      </c>
      <c r="E794" s="420">
        <v>0</v>
      </c>
      <c r="F794" s="420">
        <f t="shared" si="165"/>
        <v>17130</v>
      </c>
      <c r="G794" s="417">
        <v>42502</v>
      </c>
      <c r="H794" s="434">
        <v>1500</v>
      </c>
      <c r="I794" s="419">
        <v>12.36</v>
      </c>
      <c r="J794" s="420">
        <v>0.4</v>
      </c>
      <c r="K794" s="420">
        <f t="shared" si="164"/>
        <v>18539.599999999999</v>
      </c>
      <c r="L794" s="418"/>
      <c r="M794" s="420"/>
    </row>
    <row r="795" spans="1:13" x14ac:dyDescent="0.25">
      <c r="A795" s="418"/>
      <c r="B795" s="526"/>
      <c r="C795" s="418">
        <v>500</v>
      </c>
      <c r="D795" s="419">
        <v>11.42</v>
      </c>
      <c r="E795" s="420">
        <v>0</v>
      </c>
      <c r="F795" s="420">
        <f t="shared" si="165"/>
        <v>5710</v>
      </c>
      <c r="G795" s="417">
        <v>42503</v>
      </c>
      <c r="H795" s="434">
        <v>500</v>
      </c>
      <c r="I795" s="419">
        <v>12.49</v>
      </c>
      <c r="J795" s="420">
        <v>0.14000000000000001</v>
      </c>
      <c r="K795" s="420">
        <f t="shared" si="164"/>
        <v>6244.86</v>
      </c>
      <c r="L795" s="418"/>
      <c r="M795" s="420"/>
    </row>
    <row r="796" spans="1:13" x14ac:dyDescent="0.25">
      <c r="A796" s="418"/>
      <c r="B796" s="463">
        <v>42447</v>
      </c>
      <c r="C796" s="418">
        <v>650</v>
      </c>
      <c r="D796" s="419">
        <v>11.545</v>
      </c>
      <c r="E796" s="420">
        <v>0.75</v>
      </c>
      <c r="F796" s="420">
        <f t="shared" si="165"/>
        <v>7505</v>
      </c>
      <c r="G796" s="417">
        <v>42506</v>
      </c>
      <c r="H796" s="434">
        <v>300</v>
      </c>
      <c r="I796" s="419">
        <v>12.85</v>
      </c>
      <c r="J796" s="420">
        <v>0.08</v>
      </c>
      <c r="K796" s="420">
        <f t="shared" si="164"/>
        <v>3854.92</v>
      </c>
      <c r="L796" s="418"/>
      <c r="M796" s="420"/>
    </row>
    <row r="797" spans="1:13" x14ac:dyDescent="0.25">
      <c r="A797" s="418"/>
      <c r="B797" s="463">
        <v>42450</v>
      </c>
      <c r="C797" s="418">
        <v>1350</v>
      </c>
      <c r="D797" s="419">
        <v>11.42</v>
      </c>
      <c r="E797" s="420">
        <v>0</v>
      </c>
      <c r="F797" s="420">
        <f t="shared" si="165"/>
        <v>15417</v>
      </c>
      <c r="G797" s="417">
        <v>42513</v>
      </c>
      <c r="H797" s="434">
        <v>500</v>
      </c>
      <c r="I797" s="419">
        <v>13.05</v>
      </c>
      <c r="J797" s="420">
        <v>0.14000000000000001</v>
      </c>
      <c r="K797" s="420">
        <f t="shared" si="164"/>
        <v>6524.86</v>
      </c>
      <c r="L797" s="418"/>
      <c r="M797" s="420"/>
    </row>
    <row r="798" spans="1:13" x14ac:dyDescent="0.25">
      <c r="A798" s="418"/>
      <c r="B798" s="463">
        <v>42451</v>
      </c>
      <c r="C798" s="418">
        <v>1000</v>
      </c>
      <c r="D798" s="419">
        <v>11.38</v>
      </c>
      <c r="E798" s="420">
        <v>0</v>
      </c>
      <c r="F798" s="420">
        <f t="shared" si="165"/>
        <v>11380</v>
      </c>
      <c r="G798" s="417">
        <v>42515</v>
      </c>
      <c r="H798" s="434">
        <v>500</v>
      </c>
      <c r="I798" s="419">
        <v>13.59</v>
      </c>
      <c r="J798" s="420">
        <v>0.15</v>
      </c>
      <c r="K798" s="420">
        <f t="shared" si="164"/>
        <v>6794.85</v>
      </c>
      <c r="L798" s="418"/>
      <c r="M798" s="420"/>
    </row>
    <row r="799" spans="1:13" x14ac:dyDescent="0.25">
      <c r="A799" s="418"/>
      <c r="B799" s="521">
        <v>42451</v>
      </c>
      <c r="C799" s="418">
        <v>50</v>
      </c>
      <c r="D799" s="419">
        <v>11.22</v>
      </c>
      <c r="E799" s="420">
        <v>0</v>
      </c>
      <c r="F799" s="420">
        <f t="shared" si="165"/>
        <v>561</v>
      </c>
      <c r="G799" s="417">
        <v>42515</v>
      </c>
      <c r="H799" s="434">
        <v>500</v>
      </c>
      <c r="I799" s="419">
        <v>13.57</v>
      </c>
      <c r="J799" s="420">
        <v>0.15</v>
      </c>
      <c r="K799" s="420">
        <f t="shared" si="164"/>
        <v>6784.85</v>
      </c>
      <c r="L799" s="418"/>
      <c r="M799" s="420"/>
    </row>
    <row r="800" spans="1:13" x14ac:dyDescent="0.25">
      <c r="A800" s="418"/>
      <c r="B800" s="521"/>
      <c r="C800" s="418">
        <v>350</v>
      </c>
      <c r="D800" s="419">
        <v>11.22</v>
      </c>
      <c r="E800" s="420">
        <v>0</v>
      </c>
      <c r="F800" s="420">
        <f t="shared" si="165"/>
        <v>3927</v>
      </c>
      <c r="G800" s="417">
        <v>42517</v>
      </c>
      <c r="H800" s="434">
        <v>500</v>
      </c>
      <c r="I800" s="419">
        <v>12.87</v>
      </c>
      <c r="J800" s="420">
        <v>0.14000000000000001</v>
      </c>
      <c r="K800" s="420">
        <f t="shared" si="164"/>
        <v>6434.86</v>
      </c>
      <c r="L800" s="418"/>
      <c r="M800" s="420"/>
    </row>
    <row r="801" spans="1:13" ht="45" x14ac:dyDescent="0.25">
      <c r="A801" s="418"/>
      <c r="B801" s="525" t="s">
        <v>188</v>
      </c>
      <c r="C801" s="418">
        <v>650</v>
      </c>
      <c r="D801" s="419">
        <v>11.22</v>
      </c>
      <c r="E801" s="420">
        <v>0</v>
      </c>
      <c r="F801" s="420">
        <f t="shared" si="165"/>
        <v>7293</v>
      </c>
      <c r="G801" s="417">
        <v>42524</v>
      </c>
      <c r="H801" s="434">
        <v>400</v>
      </c>
      <c r="I801" s="419">
        <v>13.38</v>
      </c>
      <c r="J801" s="420">
        <v>0.12</v>
      </c>
      <c r="K801" s="420">
        <f t="shared" si="164"/>
        <v>5351.88</v>
      </c>
      <c r="L801" s="418"/>
      <c r="M801" s="420"/>
    </row>
    <row r="802" spans="1:13" x14ac:dyDescent="0.25">
      <c r="A802" s="418"/>
      <c r="B802" s="525"/>
      <c r="C802" s="418">
        <v>500</v>
      </c>
      <c r="D802" s="419">
        <v>11.01</v>
      </c>
      <c r="E802" s="420">
        <v>0</v>
      </c>
      <c r="F802" s="420">
        <f t="shared" si="165"/>
        <v>5505</v>
      </c>
      <c r="G802" s="417">
        <v>42527</v>
      </c>
      <c r="H802" s="434">
        <v>1000</v>
      </c>
      <c r="I802" s="419">
        <v>13.82</v>
      </c>
      <c r="J802" s="420">
        <v>0.3</v>
      </c>
      <c r="K802" s="420">
        <f t="shared" si="164"/>
        <v>13819.7</v>
      </c>
      <c r="L802" s="418"/>
      <c r="M802" s="420"/>
    </row>
    <row r="803" spans="1:13" x14ac:dyDescent="0.25">
      <c r="A803" s="418"/>
      <c r="B803" s="525"/>
      <c r="C803" s="418">
        <v>500</v>
      </c>
      <c r="D803" s="419">
        <v>10.75</v>
      </c>
      <c r="E803" s="420">
        <v>0</v>
      </c>
      <c r="F803" s="420">
        <f t="shared" si="165"/>
        <v>5375</v>
      </c>
      <c r="G803" s="417">
        <v>42527</v>
      </c>
      <c r="H803" s="434">
        <v>500</v>
      </c>
      <c r="I803" s="419">
        <v>13.97</v>
      </c>
      <c r="J803" s="420">
        <v>1.1499999999999999</v>
      </c>
      <c r="K803" s="420">
        <f t="shared" si="164"/>
        <v>6983.85</v>
      </c>
      <c r="L803" s="418"/>
      <c r="M803" s="420"/>
    </row>
    <row r="804" spans="1:13" x14ac:dyDescent="0.25">
      <c r="A804" s="418"/>
      <c r="B804" s="525"/>
      <c r="C804" s="418">
        <v>1000</v>
      </c>
      <c r="D804" s="419">
        <v>10.4</v>
      </c>
      <c r="E804" s="420">
        <v>0</v>
      </c>
      <c r="F804" s="420">
        <f t="shared" si="165"/>
        <v>10400</v>
      </c>
      <c r="G804" s="417">
        <v>42528</v>
      </c>
      <c r="H804" s="434">
        <v>500</v>
      </c>
      <c r="I804" s="419">
        <v>14.65</v>
      </c>
      <c r="J804" s="420">
        <v>0.16</v>
      </c>
      <c r="K804" s="420">
        <f t="shared" si="164"/>
        <v>7324.84</v>
      </c>
      <c r="L804" s="418"/>
      <c r="M804" s="420"/>
    </row>
    <row r="805" spans="1:13" x14ac:dyDescent="0.25">
      <c r="A805" s="418"/>
      <c r="B805" s="525"/>
      <c r="C805" s="418">
        <v>1000</v>
      </c>
      <c r="D805" s="419">
        <v>10.185</v>
      </c>
      <c r="E805" s="420">
        <v>0</v>
      </c>
      <c r="F805" s="420">
        <f t="shared" si="165"/>
        <v>10185</v>
      </c>
      <c r="G805" s="417">
        <v>42536</v>
      </c>
      <c r="H805" s="434">
        <v>400</v>
      </c>
      <c r="I805" s="419">
        <v>13.43</v>
      </c>
      <c r="J805" s="420">
        <v>0.12</v>
      </c>
      <c r="K805" s="420">
        <f t="shared" si="164"/>
        <v>5371.88</v>
      </c>
      <c r="L805" s="418"/>
      <c r="M805" s="420"/>
    </row>
    <row r="806" spans="1:13" x14ac:dyDescent="0.25">
      <c r="A806" s="418"/>
      <c r="B806" s="463">
        <v>42461</v>
      </c>
      <c r="C806" s="418">
        <v>2000</v>
      </c>
      <c r="D806" s="419">
        <v>10.43</v>
      </c>
      <c r="E806" s="420">
        <v>0</v>
      </c>
      <c r="F806" s="420">
        <f t="shared" si="165"/>
        <v>20860</v>
      </c>
      <c r="G806" s="417">
        <v>42537</v>
      </c>
      <c r="H806" s="434">
        <v>400</v>
      </c>
      <c r="I806" s="419">
        <v>12.69</v>
      </c>
      <c r="J806" s="420">
        <v>0.11</v>
      </c>
      <c r="K806" s="420">
        <f t="shared" si="164"/>
        <v>5075.8900000000003</v>
      </c>
      <c r="L806" s="418"/>
      <c r="M806" s="420"/>
    </row>
    <row r="807" spans="1:13" x14ac:dyDescent="0.25">
      <c r="A807" s="418"/>
      <c r="B807" s="463">
        <v>42461</v>
      </c>
      <c r="C807" s="418">
        <v>2000</v>
      </c>
      <c r="D807" s="419">
        <v>10.42</v>
      </c>
      <c r="E807" s="420">
        <v>0</v>
      </c>
      <c r="F807" s="420">
        <f t="shared" si="165"/>
        <v>20840</v>
      </c>
      <c r="G807" s="417">
        <v>42538</v>
      </c>
      <c r="H807" s="434">
        <v>500</v>
      </c>
      <c r="I807" s="419">
        <v>13.34</v>
      </c>
      <c r="J807" s="420">
        <v>0.15</v>
      </c>
      <c r="K807" s="420">
        <f t="shared" si="164"/>
        <v>6669.85</v>
      </c>
      <c r="L807" s="418"/>
      <c r="M807" s="420"/>
    </row>
    <row r="808" spans="1:13" ht="45" x14ac:dyDescent="0.25">
      <c r="A808" s="418"/>
      <c r="B808" s="463">
        <v>42465</v>
      </c>
      <c r="C808" s="418">
        <v>100</v>
      </c>
      <c r="D808" s="419">
        <v>10.4</v>
      </c>
      <c r="E808" s="420">
        <v>0</v>
      </c>
      <c r="F808" s="420">
        <f t="shared" si="165"/>
        <v>1040</v>
      </c>
      <c r="G808" s="527" t="s">
        <v>212</v>
      </c>
      <c r="H808" s="434">
        <v>500</v>
      </c>
      <c r="I808" s="419">
        <v>13.91</v>
      </c>
      <c r="J808" s="420">
        <v>0.15</v>
      </c>
      <c r="K808" s="420">
        <f t="shared" si="164"/>
        <v>6954.85</v>
      </c>
      <c r="L808" s="418"/>
      <c r="M808" s="420"/>
    </row>
    <row r="809" spans="1:13" x14ac:dyDescent="0.25">
      <c r="A809" s="418"/>
      <c r="B809" s="463">
        <v>42471</v>
      </c>
      <c r="C809" s="418">
        <v>500</v>
      </c>
      <c r="D809" s="419">
        <v>11.77</v>
      </c>
      <c r="E809" s="420">
        <v>0</v>
      </c>
      <c r="F809" s="420">
        <f t="shared" si="165"/>
        <v>5885</v>
      </c>
      <c r="G809" s="527"/>
      <c r="H809" s="434">
        <v>600</v>
      </c>
      <c r="I809" s="419">
        <v>14.36</v>
      </c>
      <c r="J809" s="420">
        <v>0.19</v>
      </c>
      <c r="K809" s="420">
        <f t="shared" si="164"/>
        <v>8615.81</v>
      </c>
      <c r="L809" s="418"/>
      <c r="M809" s="420"/>
    </row>
    <row r="810" spans="1:13" x14ac:dyDescent="0.25">
      <c r="A810" s="418"/>
      <c r="B810" s="463">
        <v>42471</v>
      </c>
      <c r="C810" s="418">
        <v>500</v>
      </c>
      <c r="D810" s="419">
        <v>11.55</v>
      </c>
      <c r="E810" s="420">
        <v>0</v>
      </c>
      <c r="F810" s="420">
        <f t="shared" si="165"/>
        <v>5775</v>
      </c>
      <c r="G810" s="527"/>
      <c r="H810" s="434">
        <v>500</v>
      </c>
      <c r="I810" s="419">
        <v>14.65</v>
      </c>
      <c r="J810" s="420">
        <v>0.16</v>
      </c>
      <c r="K810" s="420">
        <f t="shared" si="164"/>
        <v>7324.84</v>
      </c>
      <c r="L810" s="418"/>
      <c r="M810" s="420"/>
    </row>
    <row r="811" spans="1:13" x14ac:dyDescent="0.25">
      <c r="A811" s="418"/>
      <c r="B811" s="463">
        <v>42472</v>
      </c>
      <c r="C811" s="418">
        <v>610</v>
      </c>
      <c r="D811" s="419">
        <v>12.95</v>
      </c>
      <c r="E811" s="420">
        <v>0</v>
      </c>
      <c r="F811" s="420">
        <f t="shared" si="165"/>
        <v>7899.5</v>
      </c>
      <c r="G811" s="417">
        <v>42542</v>
      </c>
      <c r="H811" s="434">
        <v>500</v>
      </c>
      <c r="I811" s="419">
        <v>14.95</v>
      </c>
      <c r="J811" s="420">
        <v>0.16</v>
      </c>
      <c r="K811" s="420">
        <f t="shared" si="164"/>
        <v>7474.84</v>
      </c>
      <c r="L811" s="418"/>
      <c r="M811" s="420"/>
    </row>
    <row r="812" spans="1:13" x14ac:dyDescent="0.25">
      <c r="A812" s="418"/>
      <c r="B812" s="463">
        <v>42473</v>
      </c>
      <c r="C812" s="418">
        <v>970</v>
      </c>
      <c r="D812" s="419">
        <v>12.76</v>
      </c>
      <c r="E812" s="420">
        <v>4.0999999999999996</v>
      </c>
      <c r="F812" s="420">
        <f t="shared" si="165"/>
        <v>12381.3</v>
      </c>
      <c r="G812" s="417">
        <v>42542</v>
      </c>
      <c r="H812" s="434">
        <v>378</v>
      </c>
      <c r="I812" s="419">
        <v>15.2</v>
      </c>
      <c r="J812" s="420">
        <v>0.13</v>
      </c>
      <c r="K812" s="420">
        <f t="shared" si="164"/>
        <v>5745.4699999999993</v>
      </c>
      <c r="L812" s="418"/>
      <c r="M812" s="420"/>
    </row>
    <row r="813" spans="1:13" x14ac:dyDescent="0.25">
      <c r="A813" s="418"/>
      <c r="B813" s="463">
        <v>42474</v>
      </c>
      <c r="C813" s="418">
        <v>420</v>
      </c>
      <c r="D813" s="419">
        <v>12.755000000000001</v>
      </c>
      <c r="E813" s="420">
        <v>0.34</v>
      </c>
      <c r="F813" s="420">
        <f t="shared" si="165"/>
        <v>5357.4400000000005</v>
      </c>
      <c r="G813" s="418"/>
      <c r="H813" s="434"/>
      <c r="I813" s="419"/>
      <c r="J813" s="420"/>
      <c r="K813" s="420"/>
      <c r="L813" s="418"/>
      <c r="M813" s="420"/>
    </row>
    <row r="814" spans="1:13" x14ac:dyDescent="0.25">
      <c r="A814" s="418"/>
      <c r="B814" s="463">
        <v>42475</v>
      </c>
      <c r="C814" s="418">
        <v>500</v>
      </c>
      <c r="D814" s="419">
        <v>13.02</v>
      </c>
      <c r="E814" s="420">
        <v>-1.75</v>
      </c>
      <c r="F814" s="420">
        <f t="shared" si="165"/>
        <v>6508.25</v>
      </c>
      <c r="G814" s="418"/>
      <c r="H814" s="434"/>
      <c r="I814" s="419"/>
      <c r="J814" s="420"/>
      <c r="K814" s="420"/>
      <c r="L814" s="418"/>
      <c r="M814" s="420"/>
    </row>
    <row r="815" spans="1:13" x14ac:dyDescent="0.25">
      <c r="A815" s="418"/>
      <c r="B815" s="463">
        <v>42485</v>
      </c>
      <c r="C815" s="418">
        <v>500</v>
      </c>
      <c r="D815" s="419">
        <v>13.95</v>
      </c>
      <c r="E815" s="420">
        <v>0</v>
      </c>
      <c r="F815" s="420">
        <f t="shared" si="165"/>
        <v>6975</v>
      </c>
      <c r="G815" s="418"/>
      <c r="H815" s="434"/>
      <c r="I815" s="419"/>
      <c r="J815" s="420"/>
      <c r="K815" s="420"/>
      <c r="L815" s="418"/>
      <c r="M815" s="420"/>
    </row>
    <row r="816" spans="1:13" x14ac:dyDescent="0.25">
      <c r="A816" s="418"/>
      <c r="B816" s="463">
        <v>42487</v>
      </c>
      <c r="C816" s="418">
        <v>600</v>
      </c>
      <c r="D816" s="419">
        <v>14.63</v>
      </c>
      <c r="E816" s="420">
        <v>0</v>
      </c>
      <c r="F816" s="420">
        <f t="shared" si="165"/>
        <v>8778</v>
      </c>
      <c r="G816" s="418"/>
      <c r="H816" s="434"/>
      <c r="I816" s="419"/>
      <c r="J816" s="420"/>
      <c r="K816" s="420"/>
      <c r="L816" s="418"/>
      <c r="M816" s="420"/>
    </row>
    <row r="817" spans="1:13" x14ac:dyDescent="0.25">
      <c r="A817" s="418"/>
      <c r="B817" s="463">
        <v>42488</v>
      </c>
      <c r="C817" s="418">
        <v>500</v>
      </c>
      <c r="D817" s="419">
        <v>14.52</v>
      </c>
      <c r="E817" s="420">
        <v>0</v>
      </c>
      <c r="F817" s="420">
        <f t="shared" si="165"/>
        <v>7260</v>
      </c>
      <c r="G817" s="418"/>
      <c r="H817" s="434"/>
      <c r="I817" s="419"/>
      <c r="J817" s="420"/>
      <c r="K817" s="420"/>
      <c r="L817" s="418"/>
      <c r="M817" s="420"/>
    </row>
    <row r="818" spans="1:13" ht="30" x14ac:dyDescent="0.25">
      <c r="A818" s="528" t="s">
        <v>193</v>
      </c>
      <c r="B818" s="463">
        <v>42489</v>
      </c>
      <c r="C818" s="418">
        <v>500</v>
      </c>
      <c r="D818" s="419">
        <v>14.35</v>
      </c>
      <c r="E818" s="420">
        <v>0</v>
      </c>
      <c r="F818" s="420">
        <f t="shared" si="165"/>
        <v>7175</v>
      </c>
      <c r="G818" s="418"/>
      <c r="H818" s="434"/>
      <c r="I818" s="419"/>
      <c r="J818" s="420"/>
      <c r="K818" s="420"/>
      <c r="L818" s="418"/>
      <c r="M818" s="420"/>
    </row>
    <row r="819" spans="1:13" x14ac:dyDescent="0.25">
      <c r="A819" s="528"/>
      <c r="B819" s="463">
        <v>42489</v>
      </c>
      <c r="C819" s="418">
        <v>500</v>
      </c>
      <c r="D819" s="419">
        <v>14.15</v>
      </c>
      <c r="E819" s="420">
        <v>0</v>
      </c>
      <c r="F819" s="420">
        <f t="shared" si="165"/>
        <v>7075</v>
      </c>
      <c r="G819" s="418"/>
      <c r="H819" s="434"/>
      <c r="I819" s="419"/>
      <c r="J819" s="420"/>
      <c r="K819" s="420"/>
      <c r="L819" s="418"/>
      <c r="M819" s="420"/>
    </row>
    <row r="820" spans="1:13" x14ac:dyDescent="0.25">
      <c r="A820" s="528"/>
      <c r="B820" s="463">
        <v>42489</v>
      </c>
      <c r="C820" s="418">
        <v>1000</v>
      </c>
      <c r="D820" s="419">
        <v>13.92</v>
      </c>
      <c r="E820" s="420">
        <v>0</v>
      </c>
      <c r="F820" s="420">
        <f t="shared" si="165"/>
        <v>13920</v>
      </c>
      <c r="G820" s="418"/>
      <c r="H820" s="434"/>
      <c r="I820" s="419"/>
      <c r="J820" s="420"/>
      <c r="K820" s="420"/>
      <c r="L820" s="418"/>
      <c r="M820" s="420"/>
    </row>
    <row r="821" spans="1:13" x14ac:dyDescent="0.25">
      <c r="A821" s="528"/>
      <c r="B821" s="463">
        <v>42489</v>
      </c>
      <c r="C821" s="418">
        <v>1000</v>
      </c>
      <c r="D821" s="419">
        <v>13.8</v>
      </c>
      <c r="E821" s="420">
        <v>0</v>
      </c>
      <c r="F821" s="420">
        <f t="shared" si="165"/>
        <v>13800</v>
      </c>
      <c r="G821" s="418"/>
      <c r="H821" s="434"/>
      <c r="I821" s="419"/>
      <c r="J821" s="420"/>
      <c r="K821" s="420"/>
      <c r="L821" s="418"/>
      <c r="M821" s="420"/>
    </row>
    <row r="822" spans="1:13" x14ac:dyDescent="0.25">
      <c r="A822" s="418"/>
      <c r="B822" s="463">
        <v>42492</v>
      </c>
      <c r="C822" s="418">
        <v>1500</v>
      </c>
      <c r="D822" s="419">
        <v>13.25</v>
      </c>
      <c r="E822" s="420">
        <v>0</v>
      </c>
      <c r="F822" s="420">
        <f t="shared" si="165"/>
        <v>19875</v>
      </c>
      <c r="G822" s="418"/>
      <c r="H822" s="434"/>
      <c r="I822" s="419"/>
      <c r="J822" s="420"/>
      <c r="K822" s="420"/>
      <c r="L822" s="418"/>
      <c r="M822" s="420"/>
    </row>
    <row r="823" spans="1:13" x14ac:dyDescent="0.25">
      <c r="A823" s="418"/>
      <c r="B823" s="463">
        <v>42492</v>
      </c>
      <c r="C823" s="418">
        <v>500</v>
      </c>
      <c r="D823" s="419">
        <v>13.6</v>
      </c>
      <c r="E823" s="420">
        <v>0</v>
      </c>
      <c r="F823" s="420">
        <f t="shared" si="165"/>
        <v>6800</v>
      </c>
      <c r="G823" s="418"/>
      <c r="H823" s="434"/>
      <c r="I823" s="419"/>
      <c r="J823" s="420"/>
      <c r="K823" s="420"/>
      <c r="L823" s="418"/>
      <c r="M823" s="420"/>
    </row>
    <row r="824" spans="1:13" x14ac:dyDescent="0.25">
      <c r="A824" s="418"/>
      <c r="B824" s="463">
        <v>42493</v>
      </c>
      <c r="C824" s="418">
        <v>322</v>
      </c>
      <c r="D824" s="419">
        <v>12.85</v>
      </c>
      <c r="E824" s="420">
        <v>0</v>
      </c>
      <c r="F824" s="420">
        <f t="shared" si="165"/>
        <v>4137.7</v>
      </c>
      <c r="G824" s="418"/>
      <c r="H824" s="434"/>
      <c r="I824" s="419"/>
      <c r="J824" s="420"/>
      <c r="K824" s="420"/>
      <c r="L824" s="418"/>
      <c r="M824" s="420"/>
    </row>
    <row r="825" spans="1:13" ht="30" x14ac:dyDescent="0.25">
      <c r="A825" s="512" t="s">
        <v>196</v>
      </c>
      <c r="B825" s="463">
        <v>42494</v>
      </c>
      <c r="C825" s="418">
        <v>1000</v>
      </c>
      <c r="D825" s="419">
        <v>12.25</v>
      </c>
      <c r="E825" s="420">
        <v>0</v>
      </c>
      <c r="F825" s="420">
        <f t="shared" si="165"/>
        <v>12250</v>
      </c>
      <c r="G825" s="418"/>
      <c r="H825" s="434"/>
      <c r="I825" s="419"/>
      <c r="J825" s="420"/>
      <c r="K825" s="420"/>
      <c r="L825" s="418"/>
      <c r="M825" s="420"/>
    </row>
    <row r="826" spans="1:13" x14ac:dyDescent="0.25">
      <c r="A826" s="512"/>
      <c r="B826" s="463">
        <v>42494</v>
      </c>
      <c r="C826" s="418">
        <v>500</v>
      </c>
      <c r="D826" s="419">
        <v>12.53</v>
      </c>
      <c r="E826" s="420">
        <v>0</v>
      </c>
      <c r="F826" s="420">
        <f t="shared" si="165"/>
        <v>6265</v>
      </c>
      <c r="G826" s="418"/>
      <c r="H826" s="434"/>
      <c r="I826" s="419"/>
      <c r="J826" s="420"/>
      <c r="K826" s="420"/>
      <c r="L826" s="418"/>
      <c r="M826" s="420"/>
    </row>
    <row r="827" spans="1:13" x14ac:dyDescent="0.25">
      <c r="A827" s="512"/>
      <c r="B827" s="463">
        <v>42494</v>
      </c>
      <c r="C827" s="418">
        <v>500</v>
      </c>
      <c r="D827" s="419">
        <v>12.65</v>
      </c>
      <c r="E827" s="420">
        <v>0</v>
      </c>
      <c r="F827" s="420">
        <f t="shared" si="165"/>
        <v>6325</v>
      </c>
      <c r="G827" s="418"/>
      <c r="H827" s="434"/>
      <c r="I827" s="419"/>
      <c r="J827" s="420"/>
      <c r="K827" s="420"/>
      <c r="L827" s="418"/>
      <c r="M827" s="420"/>
    </row>
    <row r="828" spans="1:13" x14ac:dyDescent="0.25">
      <c r="A828" s="418"/>
      <c r="B828" s="463">
        <v>42495</v>
      </c>
      <c r="C828" s="418">
        <v>1000</v>
      </c>
      <c r="D828" s="419">
        <v>11.95</v>
      </c>
      <c r="E828" s="420">
        <v>0</v>
      </c>
      <c r="F828" s="420">
        <f t="shared" si="165"/>
        <v>11950</v>
      </c>
      <c r="G828" s="418"/>
      <c r="H828" s="434"/>
      <c r="I828" s="419"/>
      <c r="J828" s="420"/>
      <c r="K828" s="420"/>
      <c r="L828" s="418"/>
      <c r="M828" s="420"/>
    </row>
    <row r="829" spans="1:13" x14ac:dyDescent="0.25">
      <c r="A829" s="418"/>
      <c r="B829" s="463">
        <v>42499</v>
      </c>
      <c r="C829" s="418">
        <v>500</v>
      </c>
      <c r="D829" s="419">
        <v>11.48</v>
      </c>
      <c r="E829" s="420">
        <v>0</v>
      </c>
      <c r="F829" s="420">
        <f t="shared" si="165"/>
        <v>5740</v>
      </c>
      <c r="G829" s="418"/>
      <c r="H829" s="434"/>
      <c r="I829" s="419"/>
      <c r="J829" s="420"/>
      <c r="K829" s="420"/>
      <c r="L829" s="418"/>
      <c r="M829" s="420"/>
    </row>
    <row r="830" spans="1:13" x14ac:dyDescent="0.25">
      <c r="A830" s="418"/>
      <c r="B830" s="463">
        <v>42499</v>
      </c>
      <c r="C830" s="418">
        <v>500</v>
      </c>
      <c r="D830" s="419">
        <v>11.32</v>
      </c>
      <c r="E830" s="420">
        <v>0</v>
      </c>
      <c r="F830" s="420">
        <f t="shared" si="165"/>
        <v>5660</v>
      </c>
      <c r="G830" s="418"/>
      <c r="H830" s="434"/>
      <c r="I830" s="419"/>
      <c r="J830" s="420"/>
      <c r="K830" s="420"/>
      <c r="L830" s="418"/>
      <c r="M830" s="420"/>
    </row>
    <row r="831" spans="1:13" ht="30" x14ac:dyDescent="0.25">
      <c r="A831" s="528" t="s">
        <v>199</v>
      </c>
      <c r="B831" s="463">
        <v>42502</v>
      </c>
      <c r="C831" s="418">
        <v>500</v>
      </c>
      <c r="D831" s="419">
        <v>12.38</v>
      </c>
      <c r="E831" s="420">
        <v>0</v>
      </c>
      <c r="F831" s="420">
        <f t="shared" si="165"/>
        <v>6190</v>
      </c>
      <c r="G831" s="418"/>
      <c r="H831" s="434"/>
      <c r="I831" s="419"/>
      <c r="J831" s="420"/>
      <c r="K831" s="420"/>
      <c r="L831" s="418"/>
      <c r="M831" s="420"/>
    </row>
    <row r="832" spans="1:13" x14ac:dyDescent="0.25">
      <c r="A832" s="528"/>
      <c r="B832" s="463">
        <v>42502</v>
      </c>
      <c r="C832" s="418">
        <v>500</v>
      </c>
      <c r="D832" s="419">
        <v>12.3</v>
      </c>
      <c r="E832" s="420">
        <v>0</v>
      </c>
      <c r="F832" s="420">
        <f t="shared" si="165"/>
        <v>6150</v>
      </c>
      <c r="G832" s="418"/>
      <c r="H832" s="434"/>
      <c r="I832" s="419"/>
      <c r="J832" s="420"/>
      <c r="K832" s="420"/>
      <c r="L832" s="418"/>
      <c r="M832" s="420"/>
    </row>
    <row r="833" spans="1:13" x14ac:dyDescent="0.25">
      <c r="A833" s="528"/>
      <c r="B833" s="463">
        <v>42502</v>
      </c>
      <c r="C833" s="418">
        <v>500</v>
      </c>
      <c r="D833" s="419">
        <v>12.23</v>
      </c>
      <c r="E833" s="420">
        <v>0</v>
      </c>
      <c r="F833" s="420">
        <f t="shared" si="165"/>
        <v>6115</v>
      </c>
      <c r="G833" s="418"/>
      <c r="H833" s="434"/>
      <c r="I833" s="419"/>
      <c r="J833" s="420"/>
      <c r="K833" s="420"/>
      <c r="L833" s="418"/>
      <c r="M833" s="420"/>
    </row>
    <row r="834" spans="1:13" x14ac:dyDescent="0.25">
      <c r="A834" s="418"/>
      <c r="B834" s="463">
        <v>42503</v>
      </c>
      <c r="C834" s="418">
        <v>500</v>
      </c>
      <c r="D834" s="419">
        <v>12.41</v>
      </c>
      <c r="E834" s="420">
        <v>0</v>
      </c>
      <c r="F834" s="420">
        <f t="shared" si="165"/>
        <v>6205</v>
      </c>
      <c r="G834" s="418"/>
      <c r="H834" s="434"/>
      <c r="I834" s="419"/>
      <c r="J834" s="420"/>
      <c r="K834" s="420"/>
      <c r="L834" s="418"/>
      <c r="M834" s="420"/>
    </row>
    <row r="835" spans="1:13" x14ac:dyDescent="0.25">
      <c r="A835" s="418"/>
      <c r="B835" s="463">
        <v>42506</v>
      </c>
      <c r="C835" s="418">
        <v>300</v>
      </c>
      <c r="D835" s="419">
        <v>12.8</v>
      </c>
      <c r="E835" s="420">
        <v>0</v>
      </c>
      <c r="F835" s="420">
        <f t="shared" si="165"/>
        <v>3840</v>
      </c>
      <c r="G835" s="418"/>
      <c r="H835" s="434"/>
      <c r="I835" s="419"/>
      <c r="J835" s="420"/>
      <c r="K835" s="420"/>
      <c r="L835" s="418"/>
      <c r="M835" s="420"/>
    </row>
    <row r="836" spans="1:13" x14ac:dyDescent="0.25">
      <c r="A836" s="418"/>
      <c r="B836" s="463">
        <v>42514</v>
      </c>
      <c r="C836" s="418">
        <v>500</v>
      </c>
      <c r="D836" s="419">
        <v>13.02</v>
      </c>
      <c r="E836" s="420">
        <v>-1.65</v>
      </c>
      <c r="F836" s="420">
        <f t="shared" ref="F836:F899" si="166">C836*D836+E836</f>
        <v>6508.35</v>
      </c>
      <c r="G836" s="418"/>
      <c r="H836" s="434"/>
      <c r="I836" s="419"/>
      <c r="J836" s="420"/>
      <c r="K836" s="420"/>
      <c r="L836" s="418"/>
      <c r="M836" s="420"/>
    </row>
    <row r="837" spans="1:13" x14ac:dyDescent="0.25">
      <c r="A837" s="418"/>
      <c r="B837" s="463">
        <v>42515</v>
      </c>
      <c r="C837" s="418">
        <v>500</v>
      </c>
      <c r="D837" s="419">
        <v>13.45</v>
      </c>
      <c r="E837" s="420">
        <v>1</v>
      </c>
      <c r="F837" s="420">
        <f t="shared" si="166"/>
        <v>6726</v>
      </c>
      <c r="G837" s="418"/>
      <c r="H837" s="434"/>
      <c r="I837" s="419"/>
      <c r="J837" s="420"/>
      <c r="K837" s="420"/>
      <c r="L837" s="418"/>
      <c r="M837" s="420"/>
    </row>
    <row r="838" spans="1:13" x14ac:dyDescent="0.25">
      <c r="A838" s="418"/>
      <c r="B838" s="463">
        <v>42516</v>
      </c>
      <c r="C838" s="418">
        <v>500</v>
      </c>
      <c r="D838" s="419">
        <v>13.28</v>
      </c>
      <c r="E838" s="420">
        <v>-1.04</v>
      </c>
      <c r="F838" s="420">
        <f t="shared" si="166"/>
        <v>6638.96</v>
      </c>
      <c r="G838" s="418"/>
      <c r="H838" s="434"/>
      <c r="I838" s="419"/>
      <c r="J838" s="420"/>
      <c r="K838" s="420"/>
      <c r="L838" s="418"/>
      <c r="M838" s="420"/>
    </row>
    <row r="839" spans="1:13" x14ac:dyDescent="0.25">
      <c r="A839" s="418"/>
      <c r="B839" s="463">
        <v>42517</v>
      </c>
      <c r="C839" s="418">
        <v>500</v>
      </c>
      <c r="D839" s="419">
        <v>12.79</v>
      </c>
      <c r="E839" s="420">
        <v>0</v>
      </c>
      <c r="F839" s="420">
        <f t="shared" si="166"/>
        <v>6395</v>
      </c>
      <c r="G839" s="418"/>
      <c r="H839" s="434"/>
      <c r="I839" s="419"/>
      <c r="J839" s="420"/>
      <c r="K839" s="420"/>
      <c r="L839" s="418"/>
      <c r="M839" s="420"/>
    </row>
    <row r="840" spans="1:13" x14ac:dyDescent="0.25">
      <c r="A840" s="418"/>
      <c r="B840" s="463">
        <v>42524</v>
      </c>
      <c r="C840" s="418">
        <v>400</v>
      </c>
      <c r="D840" s="419">
        <v>13.28</v>
      </c>
      <c r="E840" s="420">
        <v>0</v>
      </c>
      <c r="F840" s="420">
        <f t="shared" si="166"/>
        <v>5312</v>
      </c>
      <c r="G840" s="418"/>
      <c r="H840" s="434"/>
      <c r="I840" s="419"/>
      <c r="J840" s="420"/>
      <c r="K840" s="420"/>
      <c r="L840" s="418"/>
      <c r="M840" s="420"/>
    </row>
    <row r="841" spans="1:13" x14ac:dyDescent="0.25">
      <c r="A841" s="418"/>
      <c r="B841" s="463">
        <v>42529</v>
      </c>
      <c r="C841" s="418">
        <v>500</v>
      </c>
      <c r="D841" s="419">
        <v>14.59</v>
      </c>
      <c r="E841" s="420">
        <v>0</v>
      </c>
      <c r="F841" s="420">
        <f t="shared" si="166"/>
        <v>7295</v>
      </c>
      <c r="G841" s="418"/>
      <c r="H841" s="434"/>
      <c r="I841" s="419"/>
      <c r="J841" s="420"/>
      <c r="K841" s="420"/>
      <c r="L841" s="418"/>
      <c r="M841" s="420"/>
    </row>
    <row r="842" spans="1:13" x14ac:dyDescent="0.25">
      <c r="A842" s="418"/>
      <c r="B842" s="463">
        <v>42531</v>
      </c>
      <c r="C842" s="418">
        <v>800</v>
      </c>
      <c r="D842" s="419">
        <v>13.79</v>
      </c>
      <c r="E842" s="420">
        <v>0</v>
      </c>
      <c r="F842" s="420">
        <f t="shared" si="166"/>
        <v>11032</v>
      </c>
      <c r="G842" s="418"/>
      <c r="H842" s="434"/>
      <c r="I842" s="419"/>
      <c r="J842" s="420"/>
      <c r="K842" s="420"/>
      <c r="L842" s="418"/>
      <c r="M842" s="420"/>
    </row>
    <row r="843" spans="1:13" x14ac:dyDescent="0.25">
      <c r="A843" s="418"/>
      <c r="B843" s="463">
        <v>42531</v>
      </c>
      <c r="C843" s="418">
        <v>300</v>
      </c>
      <c r="D843" s="419">
        <v>13.4</v>
      </c>
      <c r="E843" s="420">
        <v>0</v>
      </c>
      <c r="F843" s="420">
        <f t="shared" si="166"/>
        <v>4020</v>
      </c>
      <c r="G843" s="418"/>
      <c r="H843" s="434"/>
      <c r="I843" s="419"/>
      <c r="J843" s="420"/>
      <c r="K843" s="420"/>
      <c r="L843" s="418"/>
      <c r="M843" s="420"/>
    </row>
    <row r="844" spans="1:13" x14ac:dyDescent="0.25">
      <c r="A844" s="418"/>
      <c r="B844" s="463">
        <v>42535</v>
      </c>
      <c r="C844" s="418">
        <v>400</v>
      </c>
      <c r="D844" s="419">
        <v>12.85</v>
      </c>
      <c r="E844" s="420">
        <v>0</v>
      </c>
      <c r="F844" s="420">
        <f t="shared" si="166"/>
        <v>5140</v>
      </c>
      <c r="G844" s="418"/>
      <c r="H844" s="434"/>
      <c r="I844" s="419"/>
      <c r="J844" s="420"/>
      <c r="K844" s="420"/>
      <c r="L844" s="418"/>
      <c r="M844" s="420"/>
    </row>
    <row r="845" spans="1:13" x14ac:dyDescent="0.25">
      <c r="A845" s="418"/>
      <c r="B845" s="463">
        <v>42537</v>
      </c>
      <c r="C845" s="418">
        <v>400</v>
      </c>
      <c r="D845" s="419">
        <v>12.43</v>
      </c>
      <c r="E845" s="420">
        <v>-0.04</v>
      </c>
      <c r="F845" s="420">
        <f t="shared" si="166"/>
        <v>4971.96</v>
      </c>
      <c r="G845" s="418"/>
      <c r="H845" s="434"/>
      <c r="I845" s="419"/>
      <c r="J845" s="420"/>
      <c r="K845" s="420"/>
      <c r="L845" s="418"/>
      <c r="M845" s="420"/>
    </row>
    <row r="846" spans="1:13" x14ac:dyDescent="0.25">
      <c r="A846" s="418"/>
      <c r="B846" s="463">
        <v>42538</v>
      </c>
      <c r="C846" s="418">
        <v>500</v>
      </c>
      <c r="D846" s="419">
        <v>13.14</v>
      </c>
      <c r="E846" s="420">
        <v>0</v>
      </c>
      <c r="F846" s="420">
        <f t="shared" si="166"/>
        <v>6570</v>
      </c>
      <c r="G846" s="418"/>
      <c r="H846" s="434"/>
      <c r="I846" s="419"/>
      <c r="J846" s="420"/>
      <c r="K846" s="420"/>
      <c r="L846" s="418"/>
      <c r="M846" s="420"/>
    </row>
    <row r="847" spans="1:13" x14ac:dyDescent="0.25">
      <c r="A847" s="418"/>
      <c r="B847" s="463">
        <v>42543</v>
      </c>
      <c r="C847" s="418">
        <v>500</v>
      </c>
      <c r="D847" s="419">
        <v>14.75</v>
      </c>
      <c r="E847" s="420">
        <v>0</v>
      </c>
      <c r="F847" s="420">
        <f t="shared" si="166"/>
        <v>7375</v>
      </c>
      <c r="G847" s="417">
        <v>42544</v>
      </c>
      <c r="H847" s="434">
        <v>500</v>
      </c>
      <c r="I847" s="419">
        <v>15.24</v>
      </c>
      <c r="J847" s="420">
        <v>0.17</v>
      </c>
      <c r="K847" s="420">
        <f>H847*I847-J847</f>
        <v>7619.83</v>
      </c>
      <c r="L847" s="418"/>
      <c r="M847" s="420"/>
    </row>
    <row r="848" spans="1:13" x14ac:dyDescent="0.25">
      <c r="A848" s="418"/>
      <c r="B848" s="463">
        <v>42545</v>
      </c>
      <c r="C848" s="418">
        <v>878</v>
      </c>
      <c r="D848" s="419">
        <v>14.41</v>
      </c>
      <c r="E848" s="420">
        <v>0</v>
      </c>
      <c r="F848" s="420">
        <f t="shared" si="166"/>
        <v>12651.98</v>
      </c>
      <c r="G848" s="418"/>
      <c r="H848" s="434"/>
      <c r="I848" s="419"/>
      <c r="J848" s="420"/>
      <c r="K848" s="420"/>
      <c r="L848" s="418"/>
      <c r="M848" s="420"/>
    </row>
    <row r="849" spans="1:13" x14ac:dyDescent="0.25">
      <c r="A849" s="418"/>
      <c r="B849" s="463">
        <v>42545</v>
      </c>
      <c r="C849" s="418">
        <v>335</v>
      </c>
      <c r="D849" s="419">
        <v>14.08</v>
      </c>
      <c r="E849" s="420">
        <v>0</v>
      </c>
      <c r="F849" s="420">
        <f t="shared" si="166"/>
        <v>4716.8</v>
      </c>
      <c r="G849" s="418"/>
      <c r="H849" s="434"/>
      <c r="I849" s="419"/>
      <c r="J849" s="420"/>
      <c r="K849" s="420"/>
      <c r="L849" s="418"/>
      <c r="M849" s="420"/>
    </row>
    <row r="850" spans="1:13" x14ac:dyDescent="0.25">
      <c r="A850" s="418"/>
      <c r="B850" s="463">
        <v>42548</v>
      </c>
      <c r="C850" s="418">
        <v>965</v>
      </c>
      <c r="D850" s="419">
        <v>13.81</v>
      </c>
      <c r="E850" s="420">
        <v>0</v>
      </c>
      <c r="F850" s="420">
        <f t="shared" si="166"/>
        <v>13326.65</v>
      </c>
      <c r="G850" s="418"/>
      <c r="H850" s="434"/>
      <c r="I850" s="419"/>
      <c r="J850" s="420"/>
      <c r="K850" s="420"/>
      <c r="L850" s="418"/>
      <c r="M850" s="420"/>
    </row>
    <row r="851" spans="1:13" x14ac:dyDescent="0.25">
      <c r="A851" s="418"/>
      <c r="B851" s="463">
        <v>42548</v>
      </c>
      <c r="C851" s="418">
        <v>300</v>
      </c>
      <c r="D851" s="419">
        <v>13.58</v>
      </c>
      <c r="E851" s="420">
        <v>0</v>
      </c>
      <c r="F851" s="420">
        <f t="shared" si="166"/>
        <v>4074</v>
      </c>
      <c r="G851" s="417">
        <v>42549</v>
      </c>
      <c r="H851" s="434">
        <v>1100</v>
      </c>
      <c r="I851" s="419">
        <v>14.68</v>
      </c>
      <c r="J851" s="420">
        <v>0.35</v>
      </c>
      <c r="K851" s="420">
        <f t="shared" ref="K851:K936" si="167">H851*I851-J851</f>
        <v>16147.65</v>
      </c>
      <c r="L851" s="418"/>
      <c r="M851" s="420"/>
    </row>
    <row r="852" spans="1:13" ht="45" x14ac:dyDescent="0.25">
      <c r="A852" s="418"/>
      <c r="B852" s="463">
        <v>42556</v>
      </c>
      <c r="C852" s="418">
        <v>2178</v>
      </c>
      <c r="D852" s="419">
        <v>15.08</v>
      </c>
      <c r="E852" s="420">
        <v>0</v>
      </c>
      <c r="F852" s="420">
        <f t="shared" si="166"/>
        <v>32844.239999999998</v>
      </c>
      <c r="G852" s="524" t="s">
        <v>220</v>
      </c>
      <c r="H852" s="434">
        <v>500</v>
      </c>
      <c r="I852" s="419">
        <v>15.48</v>
      </c>
      <c r="J852" s="420">
        <v>0.17</v>
      </c>
      <c r="K852" s="420">
        <f t="shared" si="167"/>
        <v>7739.83</v>
      </c>
      <c r="L852" s="418"/>
      <c r="M852" s="420"/>
    </row>
    <row r="853" spans="1:13" x14ac:dyDescent="0.25">
      <c r="A853" s="418"/>
      <c r="B853" s="463">
        <v>42556</v>
      </c>
      <c r="C853" s="418">
        <v>500</v>
      </c>
      <c r="D853" s="419">
        <v>14.62</v>
      </c>
      <c r="E853" s="420">
        <v>0</v>
      </c>
      <c r="F853" s="420">
        <f t="shared" si="166"/>
        <v>7310</v>
      </c>
      <c r="G853" s="524"/>
      <c r="H853" s="434">
        <v>378</v>
      </c>
      <c r="I853" s="419">
        <v>15.65</v>
      </c>
      <c r="J853" s="420">
        <v>0.13</v>
      </c>
      <c r="K853" s="420">
        <f t="shared" si="167"/>
        <v>5915.57</v>
      </c>
      <c r="L853" s="418"/>
      <c r="M853" s="420"/>
    </row>
    <row r="854" spans="1:13" x14ac:dyDescent="0.25">
      <c r="A854" s="418"/>
      <c r="B854" s="463">
        <v>42557</v>
      </c>
      <c r="C854" s="418">
        <v>500</v>
      </c>
      <c r="D854" s="419">
        <v>14.78</v>
      </c>
      <c r="E854" s="420">
        <v>0</v>
      </c>
      <c r="F854" s="420">
        <f t="shared" si="166"/>
        <v>7390</v>
      </c>
      <c r="G854" s="524"/>
      <c r="H854" s="434">
        <v>500</v>
      </c>
      <c r="I854" s="419">
        <v>15.51</v>
      </c>
      <c r="J854" s="420">
        <v>0.17</v>
      </c>
      <c r="K854" s="420">
        <f t="shared" si="167"/>
        <v>7754.83</v>
      </c>
      <c r="L854" s="418"/>
      <c r="M854" s="420"/>
    </row>
    <row r="855" spans="1:13" x14ac:dyDescent="0.25">
      <c r="A855" s="418"/>
      <c r="B855" s="510">
        <v>42564</v>
      </c>
      <c r="C855" s="418">
        <v>320</v>
      </c>
      <c r="D855" s="419">
        <v>15.48</v>
      </c>
      <c r="E855" s="420">
        <v>0</v>
      </c>
      <c r="F855" s="420">
        <f t="shared" si="166"/>
        <v>4953.6000000000004</v>
      </c>
      <c r="G855" s="524"/>
      <c r="H855" s="434">
        <v>800</v>
      </c>
      <c r="I855" s="419">
        <v>15.78</v>
      </c>
      <c r="J855" s="420">
        <v>0.28000000000000003</v>
      </c>
      <c r="K855" s="420">
        <f t="shared" si="167"/>
        <v>12623.72</v>
      </c>
      <c r="L855" s="418"/>
      <c r="M855" s="420"/>
    </row>
    <row r="856" spans="1:13" x14ac:dyDescent="0.25">
      <c r="A856" s="511"/>
      <c r="B856" s="510">
        <v>42564</v>
      </c>
      <c r="C856" s="418">
        <v>160</v>
      </c>
      <c r="D856" s="419">
        <v>15.48</v>
      </c>
      <c r="E856" s="420">
        <v>0</v>
      </c>
      <c r="F856" s="420">
        <f t="shared" si="166"/>
        <v>2476.8000000000002</v>
      </c>
      <c r="G856" s="417">
        <v>42557</v>
      </c>
      <c r="H856" s="434">
        <v>500</v>
      </c>
      <c r="I856" s="419">
        <v>14.92</v>
      </c>
      <c r="J856" s="420">
        <v>0.16</v>
      </c>
      <c r="K856" s="420">
        <f t="shared" si="167"/>
        <v>7459.84</v>
      </c>
      <c r="L856" s="418"/>
      <c r="M856" s="420"/>
    </row>
    <row r="857" spans="1:13" x14ac:dyDescent="0.25">
      <c r="A857" s="511"/>
      <c r="B857" s="463">
        <v>42570</v>
      </c>
      <c r="C857" s="418">
        <v>200</v>
      </c>
      <c r="D857" s="419">
        <v>15.18</v>
      </c>
      <c r="E857" s="420">
        <v>0</v>
      </c>
      <c r="F857" s="420">
        <f t="shared" si="166"/>
        <v>3036</v>
      </c>
      <c r="G857" s="417">
        <v>42564</v>
      </c>
      <c r="H857" s="434">
        <v>420</v>
      </c>
      <c r="I857" s="419">
        <v>15.68</v>
      </c>
      <c r="J857" s="420">
        <v>0.14000000000000001</v>
      </c>
      <c r="K857" s="420">
        <f t="shared" si="167"/>
        <v>6585.4599999999991</v>
      </c>
      <c r="L857" s="418"/>
      <c r="M857" s="420"/>
    </row>
    <row r="858" spans="1:13" x14ac:dyDescent="0.25">
      <c r="A858" s="511"/>
      <c r="B858" s="463">
        <v>42570</v>
      </c>
      <c r="C858" s="418">
        <v>200</v>
      </c>
      <c r="D858" s="419">
        <v>14.68</v>
      </c>
      <c r="E858" s="420">
        <v>0</v>
      </c>
      <c r="F858" s="420">
        <f t="shared" si="166"/>
        <v>2936</v>
      </c>
      <c r="G858" s="417">
        <v>42571</v>
      </c>
      <c r="H858" s="434">
        <v>200</v>
      </c>
      <c r="I858" s="419">
        <v>14.82</v>
      </c>
      <c r="J858" s="420">
        <v>0.06</v>
      </c>
      <c r="K858" s="420">
        <f t="shared" si="167"/>
        <v>2963.94</v>
      </c>
      <c r="L858" s="418"/>
      <c r="M858" s="420"/>
    </row>
    <row r="859" spans="1:13" x14ac:dyDescent="0.25">
      <c r="A859" s="418"/>
      <c r="B859" s="463">
        <v>42571</v>
      </c>
      <c r="C859" s="418">
        <v>200</v>
      </c>
      <c r="D859" s="419">
        <v>14.33</v>
      </c>
      <c r="E859" s="420">
        <v>-1</v>
      </c>
      <c r="F859" s="420">
        <f t="shared" si="166"/>
        <v>2865</v>
      </c>
      <c r="G859" s="417">
        <v>42572</v>
      </c>
      <c r="H859" s="434">
        <v>200</v>
      </c>
      <c r="I859" s="419">
        <v>14.8</v>
      </c>
      <c r="J859" s="420">
        <v>0.06</v>
      </c>
      <c r="K859" s="420">
        <f t="shared" si="167"/>
        <v>2959.94</v>
      </c>
      <c r="L859" s="418"/>
      <c r="M859" s="420"/>
    </row>
    <row r="860" spans="1:13" x14ac:dyDescent="0.25">
      <c r="A860" s="418"/>
      <c r="B860" s="463">
        <v>42572</v>
      </c>
      <c r="C860" s="418">
        <v>60</v>
      </c>
      <c r="D860" s="419">
        <v>14.58</v>
      </c>
      <c r="E860" s="420">
        <v>0</v>
      </c>
      <c r="F860" s="420">
        <f t="shared" si="166"/>
        <v>874.8</v>
      </c>
      <c r="G860" s="417">
        <v>42577</v>
      </c>
      <c r="H860" s="434">
        <v>200</v>
      </c>
      <c r="I860" s="419">
        <v>13.78</v>
      </c>
      <c r="J860" s="420">
        <v>0.06</v>
      </c>
      <c r="K860" s="420">
        <f t="shared" si="167"/>
        <v>2755.94</v>
      </c>
      <c r="L860" s="418"/>
      <c r="M860" s="420"/>
    </row>
    <row r="861" spans="1:13" x14ac:dyDescent="0.25">
      <c r="A861" s="418"/>
      <c r="B861" s="463">
        <v>42572</v>
      </c>
      <c r="C861" s="418">
        <v>140</v>
      </c>
      <c r="D861" s="419">
        <v>14.65</v>
      </c>
      <c r="E861" s="420">
        <v>0</v>
      </c>
      <c r="F861" s="420">
        <f t="shared" si="166"/>
        <v>2051</v>
      </c>
      <c r="G861" s="417">
        <v>42580</v>
      </c>
      <c r="H861" s="434">
        <v>200</v>
      </c>
      <c r="I861" s="419">
        <v>13.224</v>
      </c>
      <c r="J861" s="420">
        <v>0.08</v>
      </c>
      <c r="K861" s="420">
        <f t="shared" si="167"/>
        <v>2644.7200000000003</v>
      </c>
      <c r="L861" s="418"/>
      <c r="M861" s="420"/>
    </row>
    <row r="862" spans="1:13" x14ac:dyDescent="0.25">
      <c r="A862" s="418"/>
      <c r="B862" s="463">
        <v>42573</v>
      </c>
      <c r="C862" s="418">
        <v>140</v>
      </c>
      <c r="D862" s="419">
        <v>14.08</v>
      </c>
      <c r="E862" s="420">
        <v>0</v>
      </c>
      <c r="F862" s="420">
        <f t="shared" si="166"/>
        <v>1971.2</v>
      </c>
      <c r="G862" s="417">
        <v>42580</v>
      </c>
      <c r="H862" s="434">
        <v>200</v>
      </c>
      <c r="I862" s="419">
        <v>13.58</v>
      </c>
      <c r="J862" s="420">
        <v>0.06</v>
      </c>
      <c r="K862" s="420">
        <f t="shared" si="167"/>
        <v>2715.94</v>
      </c>
      <c r="L862" s="418"/>
      <c r="M862" s="420"/>
    </row>
    <row r="863" spans="1:13" x14ac:dyDescent="0.25">
      <c r="A863" s="418"/>
      <c r="B863" s="463">
        <v>42576</v>
      </c>
      <c r="C863" s="418">
        <v>200</v>
      </c>
      <c r="D863" s="419">
        <v>13.55</v>
      </c>
      <c r="E863" s="420">
        <v>0</v>
      </c>
      <c r="F863" s="420">
        <f t="shared" si="166"/>
        <v>2710</v>
      </c>
      <c r="G863" s="417">
        <v>42586</v>
      </c>
      <c r="H863" s="434">
        <v>400</v>
      </c>
      <c r="I863" s="419">
        <v>13.78</v>
      </c>
      <c r="J863" s="420">
        <v>0.12</v>
      </c>
      <c r="K863" s="420">
        <f t="shared" si="167"/>
        <v>5511.88</v>
      </c>
      <c r="L863" s="418"/>
      <c r="M863" s="420"/>
    </row>
    <row r="864" spans="1:13" x14ac:dyDescent="0.25">
      <c r="A864" s="418"/>
      <c r="B864" s="463">
        <v>42578</v>
      </c>
      <c r="C864" s="418">
        <v>200</v>
      </c>
      <c r="D864" s="419">
        <v>13.18</v>
      </c>
      <c r="E864" s="420">
        <v>0</v>
      </c>
      <c r="F864" s="420">
        <f t="shared" si="166"/>
        <v>2636</v>
      </c>
      <c r="G864" s="417">
        <v>42586</v>
      </c>
      <c r="H864" s="434">
        <v>400</v>
      </c>
      <c r="I864" s="419">
        <v>13.72</v>
      </c>
      <c r="J864" s="420">
        <v>0.12</v>
      </c>
      <c r="K864" s="420">
        <f t="shared" si="167"/>
        <v>5487.88</v>
      </c>
      <c r="L864" s="418"/>
      <c r="M864" s="420"/>
    </row>
    <row r="865" spans="1:13" x14ac:dyDescent="0.25">
      <c r="A865" s="418"/>
      <c r="B865" s="463">
        <v>42580</v>
      </c>
      <c r="C865" s="418">
        <v>200</v>
      </c>
      <c r="D865" s="419">
        <v>13.15</v>
      </c>
      <c r="E865" s="420">
        <v>0</v>
      </c>
      <c r="F865" s="420">
        <f t="shared" si="166"/>
        <v>2630</v>
      </c>
      <c r="G865" s="417">
        <v>42586</v>
      </c>
      <c r="H865" s="434">
        <v>140</v>
      </c>
      <c r="I865" s="419">
        <v>13.88</v>
      </c>
      <c r="J865" s="420">
        <v>0.04</v>
      </c>
      <c r="K865" s="420">
        <f t="shared" si="167"/>
        <v>1943.16</v>
      </c>
      <c r="L865" s="418"/>
      <c r="M865" s="420"/>
    </row>
    <row r="866" spans="1:13" x14ac:dyDescent="0.25">
      <c r="A866" s="418"/>
      <c r="B866" s="463">
        <v>42583</v>
      </c>
      <c r="C866" s="507">
        <v>20</v>
      </c>
      <c r="D866" s="419">
        <v>13.02</v>
      </c>
      <c r="E866" s="420">
        <v>0</v>
      </c>
      <c r="F866" s="420">
        <f t="shared" si="166"/>
        <v>260.39999999999998</v>
      </c>
      <c r="G866" s="417">
        <v>42593</v>
      </c>
      <c r="H866" s="434">
        <v>460</v>
      </c>
      <c r="I866" s="419">
        <v>14.59</v>
      </c>
      <c r="J866" s="420">
        <v>0.15</v>
      </c>
      <c r="K866" s="420">
        <f t="shared" si="167"/>
        <v>6711.25</v>
      </c>
      <c r="L866" s="418"/>
      <c r="M866" s="420"/>
    </row>
    <row r="867" spans="1:13" x14ac:dyDescent="0.25">
      <c r="A867" s="418"/>
      <c r="B867" s="463">
        <v>42583</v>
      </c>
      <c r="C867" s="418">
        <v>180</v>
      </c>
      <c r="D867" s="419">
        <v>13.02</v>
      </c>
      <c r="E867" s="420">
        <v>0</v>
      </c>
      <c r="F867" s="420">
        <f t="shared" si="166"/>
        <v>2343.6</v>
      </c>
      <c r="G867" s="417">
        <v>42594</v>
      </c>
      <c r="H867" s="434">
        <v>500</v>
      </c>
      <c r="I867" s="419">
        <v>14.88</v>
      </c>
      <c r="J867" s="420">
        <v>0.16</v>
      </c>
      <c r="K867" s="420">
        <f t="shared" si="167"/>
        <v>7439.84</v>
      </c>
      <c r="L867" s="418"/>
      <c r="M867" s="420"/>
    </row>
    <row r="868" spans="1:13" x14ac:dyDescent="0.25">
      <c r="A868" s="418"/>
      <c r="B868" s="463">
        <v>42584</v>
      </c>
      <c r="C868" s="418">
        <v>120</v>
      </c>
      <c r="D868" s="419">
        <v>12.68</v>
      </c>
      <c r="E868" s="420">
        <v>0</v>
      </c>
      <c r="F868" s="420">
        <f t="shared" si="166"/>
        <v>1521.6</v>
      </c>
      <c r="G868" s="417">
        <v>42598</v>
      </c>
      <c r="H868" s="434">
        <v>500</v>
      </c>
      <c r="I868" s="419">
        <v>15.18</v>
      </c>
      <c r="J868" s="420">
        <v>0.17</v>
      </c>
      <c r="K868" s="420">
        <f t="shared" si="167"/>
        <v>7589.83</v>
      </c>
      <c r="L868" s="418"/>
      <c r="M868" s="420"/>
    </row>
    <row r="869" spans="1:13" x14ac:dyDescent="0.25">
      <c r="A869" s="418"/>
      <c r="B869" s="463">
        <v>42584</v>
      </c>
      <c r="C869" s="418">
        <v>80</v>
      </c>
      <c r="D869" s="419">
        <v>12.68</v>
      </c>
      <c r="E869" s="420">
        <v>0</v>
      </c>
      <c r="F869" s="420">
        <f t="shared" si="166"/>
        <v>1014.4</v>
      </c>
      <c r="G869" s="417">
        <v>42599</v>
      </c>
      <c r="H869" s="434">
        <v>500</v>
      </c>
      <c r="I869" s="419">
        <v>15.18</v>
      </c>
      <c r="J869" s="420">
        <v>0.17</v>
      </c>
      <c r="K869" s="420">
        <f t="shared" si="167"/>
        <v>7589.83</v>
      </c>
      <c r="L869" s="418"/>
      <c r="M869" s="420"/>
    </row>
    <row r="870" spans="1:13" x14ac:dyDescent="0.25">
      <c r="A870" s="418"/>
      <c r="B870" s="463">
        <v>42585</v>
      </c>
      <c r="C870" s="418">
        <v>242</v>
      </c>
      <c r="D870" s="419">
        <v>13.38</v>
      </c>
      <c r="E870" s="420">
        <v>0</v>
      </c>
      <c r="F870" s="420">
        <f t="shared" si="166"/>
        <v>3237.96</v>
      </c>
      <c r="G870" s="417">
        <v>42599</v>
      </c>
      <c r="H870" s="434">
        <v>500</v>
      </c>
      <c r="I870" s="419">
        <v>15.41</v>
      </c>
      <c r="J870" s="420">
        <v>0.17</v>
      </c>
      <c r="K870" s="420">
        <f t="shared" si="167"/>
        <v>7704.83</v>
      </c>
      <c r="L870" s="418"/>
      <c r="M870" s="420"/>
    </row>
    <row r="871" spans="1:13" x14ac:dyDescent="0.25">
      <c r="A871" s="418"/>
      <c r="B871" s="463">
        <v>42585</v>
      </c>
      <c r="C871" s="418">
        <v>158</v>
      </c>
      <c r="D871" s="419">
        <v>13.38</v>
      </c>
      <c r="E871" s="420">
        <v>0</v>
      </c>
      <c r="F871" s="420">
        <f t="shared" si="166"/>
        <v>2114.04</v>
      </c>
      <c r="G871" s="417">
        <v>42599</v>
      </c>
      <c r="H871" s="434">
        <v>500</v>
      </c>
      <c r="I871" s="419">
        <v>15.65</v>
      </c>
      <c r="J871" s="420">
        <v>0.17</v>
      </c>
      <c r="K871" s="420">
        <f t="shared" si="167"/>
        <v>7824.83</v>
      </c>
      <c r="L871" s="418"/>
      <c r="M871" s="420"/>
    </row>
    <row r="872" spans="1:13" ht="45" x14ac:dyDescent="0.25">
      <c r="A872" s="418"/>
      <c r="B872" s="463">
        <v>42594</v>
      </c>
      <c r="C872" s="418">
        <v>500</v>
      </c>
      <c r="D872" s="419">
        <v>14.65</v>
      </c>
      <c r="E872" s="420">
        <v>0</v>
      </c>
      <c r="F872" s="420">
        <f t="shared" si="166"/>
        <v>7325</v>
      </c>
      <c r="G872" s="529" t="s">
        <v>248</v>
      </c>
      <c r="H872" s="434">
        <v>500</v>
      </c>
      <c r="I872" s="419">
        <v>16.18</v>
      </c>
      <c r="J872" s="420">
        <v>0.18</v>
      </c>
      <c r="K872" s="420">
        <f t="shared" si="167"/>
        <v>8089.82</v>
      </c>
      <c r="L872" s="418"/>
      <c r="M872" s="420"/>
    </row>
    <row r="873" spans="1:13" x14ac:dyDescent="0.25">
      <c r="A873" s="418"/>
      <c r="B873" s="463">
        <v>42599</v>
      </c>
      <c r="C873" s="418">
        <v>242</v>
      </c>
      <c r="D873" s="419">
        <v>14.95</v>
      </c>
      <c r="E873" s="420">
        <v>0</v>
      </c>
      <c r="F873" s="420">
        <f t="shared" si="166"/>
        <v>3617.8999999999996</v>
      </c>
      <c r="G873" s="529"/>
      <c r="H873" s="434">
        <v>500</v>
      </c>
      <c r="I873" s="419">
        <v>16.38</v>
      </c>
      <c r="J873" s="420">
        <v>0.18</v>
      </c>
      <c r="K873" s="420">
        <f t="shared" si="167"/>
        <v>8189.8199999999988</v>
      </c>
      <c r="L873" s="418"/>
      <c r="M873" s="420"/>
    </row>
    <row r="874" spans="1:13" x14ac:dyDescent="0.25">
      <c r="A874" s="418"/>
      <c r="B874" s="463">
        <v>42599</v>
      </c>
      <c r="C874" s="418">
        <v>200</v>
      </c>
      <c r="D874" s="419">
        <v>14.95</v>
      </c>
      <c r="E874" s="420">
        <v>0</v>
      </c>
      <c r="F874" s="420">
        <f t="shared" si="166"/>
        <v>2990</v>
      </c>
      <c r="G874" s="529"/>
      <c r="H874" s="434">
        <v>178</v>
      </c>
      <c r="I874" s="419">
        <v>16.5</v>
      </c>
      <c r="J874" s="420">
        <v>0.06</v>
      </c>
      <c r="K874" s="420">
        <f t="shared" si="167"/>
        <v>2936.94</v>
      </c>
      <c r="L874" s="418"/>
      <c r="M874" s="420"/>
    </row>
    <row r="875" spans="1:13" x14ac:dyDescent="0.25">
      <c r="A875" s="418"/>
      <c r="B875" s="463">
        <v>42599</v>
      </c>
      <c r="C875" s="418">
        <v>36</v>
      </c>
      <c r="D875" s="419">
        <v>14.95</v>
      </c>
      <c r="E875" s="420">
        <v>0</v>
      </c>
      <c r="F875" s="420">
        <f t="shared" si="166"/>
        <v>538.19999999999993</v>
      </c>
      <c r="G875" s="529"/>
      <c r="H875" s="434">
        <v>500</v>
      </c>
      <c r="I875" s="419">
        <v>16.72</v>
      </c>
      <c r="J875" s="420">
        <v>0.18</v>
      </c>
      <c r="K875" s="420">
        <f t="shared" si="167"/>
        <v>8359.82</v>
      </c>
      <c r="L875" s="418"/>
      <c r="M875" s="420"/>
    </row>
    <row r="876" spans="1:13" x14ac:dyDescent="0.25">
      <c r="A876" s="418"/>
      <c r="B876" s="463">
        <v>42599</v>
      </c>
      <c r="C876" s="418">
        <v>22</v>
      </c>
      <c r="D876" s="419">
        <v>14.95</v>
      </c>
      <c r="E876" s="420">
        <v>0</v>
      </c>
      <c r="F876" s="420">
        <f t="shared" si="166"/>
        <v>328.9</v>
      </c>
      <c r="G876" s="417">
        <v>42601</v>
      </c>
      <c r="H876" s="434">
        <v>500</v>
      </c>
      <c r="I876" s="419">
        <v>16.82</v>
      </c>
      <c r="J876" s="420">
        <v>0.18</v>
      </c>
      <c r="K876" s="420">
        <f t="shared" si="167"/>
        <v>8409.82</v>
      </c>
      <c r="L876" s="418"/>
      <c r="M876" s="420"/>
    </row>
    <row r="877" spans="1:13" x14ac:dyDescent="0.25">
      <c r="A877" s="418"/>
      <c r="B877" s="463">
        <v>42604</v>
      </c>
      <c r="C877" s="418">
        <v>1000</v>
      </c>
      <c r="D877" s="419">
        <v>15.68</v>
      </c>
      <c r="E877" s="420">
        <v>0</v>
      </c>
      <c r="F877" s="420">
        <f t="shared" si="166"/>
        <v>15680</v>
      </c>
      <c r="G877" s="417">
        <v>42605</v>
      </c>
      <c r="H877" s="434">
        <v>500</v>
      </c>
      <c r="I877" s="419">
        <v>15.98</v>
      </c>
      <c r="J877" s="420">
        <v>0.17</v>
      </c>
      <c r="K877" s="420">
        <f t="shared" si="167"/>
        <v>7989.83</v>
      </c>
      <c r="L877" s="418"/>
      <c r="M877" s="420"/>
    </row>
    <row r="878" spans="1:13" x14ac:dyDescent="0.25">
      <c r="A878" s="418"/>
      <c r="B878" s="463">
        <v>42604</v>
      </c>
      <c r="C878" s="418">
        <v>500</v>
      </c>
      <c r="D878" s="419">
        <v>15.48</v>
      </c>
      <c r="E878" s="420">
        <v>0</v>
      </c>
      <c r="F878" s="420">
        <f t="shared" si="166"/>
        <v>7740</v>
      </c>
      <c r="G878" s="417">
        <v>42605</v>
      </c>
      <c r="H878" s="434">
        <v>500</v>
      </c>
      <c r="I878" s="419">
        <v>16.25</v>
      </c>
      <c r="J878" s="420">
        <v>0.18</v>
      </c>
      <c r="K878" s="420">
        <f t="shared" si="167"/>
        <v>8124.82</v>
      </c>
      <c r="L878" s="418"/>
      <c r="M878" s="420"/>
    </row>
    <row r="879" spans="1:13" x14ac:dyDescent="0.25">
      <c r="A879" s="418"/>
      <c r="B879" s="463">
        <v>42606</v>
      </c>
      <c r="C879" s="418">
        <v>178</v>
      </c>
      <c r="D879" s="419">
        <v>16.059999999999999</v>
      </c>
      <c r="E879" s="420">
        <v>0</v>
      </c>
      <c r="F879" s="420">
        <f t="shared" si="166"/>
        <v>2858.68</v>
      </c>
      <c r="G879" s="417">
        <v>42605</v>
      </c>
      <c r="H879" s="434">
        <v>500</v>
      </c>
      <c r="I879" s="419">
        <v>16.48</v>
      </c>
      <c r="J879" s="420">
        <v>0.18</v>
      </c>
      <c r="K879" s="420">
        <f t="shared" si="167"/>
        <v>8239.82</v>
      </c>
      <c r="L879" s="418"/>
      <c r="M879" s="420"/>
    </row>
    <row r="880" spans="1:13" x14ac:dyDescent="0.25">
      <c r="A880" s="418"/>
      <c r="B880" s="463">
        <v>42608</v>
      </c>
      <c r="C880" s="418">
        <v>500</v>
      </c>
      <c r="D880" s="419">
        <v>15.98</v>
      </c>
      <c r="E880" s="420">
        <v>0</v>
      </c>
      <c r="F880" s="420">
        <f t="shared" si="166"/>
        <v>7990</v>
      </c>
      <c r="G880" s="417">
        <v>42615</v>
      </c>
      <c r="H880" s="434">
        <v>500</v>
      </c>
      <c r="I880" s="419">
        <v>15.65</v>
      </c>
      <c r="J880" s="420">
        <v>0.17</v>
      </c>
      <c r="K880" s="420">
        <f t="shared" si="167"/>
        <v>7824.83</v>
      </c>
      <c r="L880" s="418"/>
      <c r="M880" s="420"/>
    </row>
    <row r="881" spans="1:13" ht="30" x14ac:dyDescent="0.25">
      <c r="A881" s="418"/>
      <c r="B881" s="463">
        <v>42608</v>
      </c>
      <c r="C881" s="418">
        <v>500</v>
      </c>
      <c r="D881" s="419">
        <v>15.85</v>
      </c>
      <c r="E881" s="420">
        <v>0</v>
      </c>
      <c r="F881" s="420">
        <f t="shared" si="166"/>
        <v>7925</v>
      </c>
      <c r="G881" s="417">
        <v>42621</v>
      </c>
      <c r="H881" s="434">
        <v>500</v>
      </c>
      <c r="I881" s="419">
        <v>16.72</v>
      </c>
      <c r="J881" s="420">
        <v>0.18</v>
      </c>
      <c r="K881" s="420">
        <f t="shared" si="167"/>
        <v>8359.82</v>
      </c>
      <c r="L881" s="530" t="s">
        <v>261</v>
      </c>
      <c r="M881" s="420"/>
    </row>
    <row r="882" spans="1:13" x14ac:dyDescent="0.25">
      <c r="A882" s="418"/>
      <c r="B882" s="463">
        <v>42612</v>
      </c>
      <c r="C882" s="418">
        <v>500</v>
      </c>
      <c r="D882" s="419">
        <v>15.68</v>
      </c>
      <c r="E882" s="420">
        <v>0</v>
      </c>
      <c r="F882" s="420">
        <f t="shared" si="166"/>
        <v>7840</v>
      </c>
      <c r="G882" s="417">
        <v>42621</v>
      </c>
      <c r="H882" s="434">
        <v>500</v>
      </c>
      <c r="I882" s="419">
        <v>16.28</v>
      </c>
      <c r="J882" s="420">
        <v>0.18</v>
      </c>
      <c r="K882" s="420">
        <f t="shared" si="167"/>
        <v>8139.8200000000006</v>
      </c>
      <c r="L882" s="530"/>
      <c r="M882" s="420"/>
    </row>
    <row r="883" spans="1:13" x14ac:dyDescent="0.25">
      <c r="A883" s="418"/>
      <c r="B883" s="463">
        <v>42612</v>
      </c>
      <c r="C883" s="418">
        <v>500</v>
      </c>
      <c r="D883" s="419">
        <v>15.55</v>
      </c>
      <c r="E883" s="420">
        <v>0</v>
      </c>
      <c r="F883" s="420">
        <f t="shared" si="166"/>
        <v>7775</v>
      </c>
      <c r="G883" s="417">
        <v>42621</v>
      </c>
      <c r="H883" s="434">
        <v>220</v>
      </c>
      <c r="I883" s="419">
        <v>16.77</v>
      </c>
      <c r="J883" s="420">
        <v>0.08</v>
      </c>
      <c r="K883" s="420">
        <f t="shared" si="167"/>
        <v>3689.32</v>
      </c>
      <c r="L883" s="530"/>
      <c r="M883" s="420"/>
    </row>
    <row r="884" spans="1:13" x14ac:dyDescent="0.25">
      <c r="A884" s="418"/>
      <c r="B884" s="463">
        <v>42613</v>
      </c>
      <c r="C884" s="418">
        <v>500</v>
      </c>
      <c r="D884" s="419">
        <v>15.244999999999999</v>
      </c>
      <c r="E884" s="420">
        <v>0</v>
      </c>
      <c r="F884" s="420">
        <f t="shared" si="166"/>
        <v>7622.5</v>
      </c>
      <c r="G884" s="417">
        <v>42625</v>
      </c>
      <c r="H884" s="434">
        <v>500</v>
      </c>
      <c r="I884" s="419">
        <v>15.5</v>
      </c>
      <c r="J884" s="420">
        <v>0.17</v>
      </c>
      <c r="K884" s="420">
        <f t="shared" si="167"/>
        <v>7749.83</v>
      </c>
      <c r="L884" s="418"/>
      <c r="M884" s="420"/>
    </row>
    <row r="885" spans="1:13" x14ac:dyDescent="0.25">
      <c r="A885" s="418"/>
      <c r="B885" s="463">
        <v>42613</v>
      </c>
      <c r="C885" s="418">
        <v>500</v>
      </c>
      <c r="D885" s="419">
        <v>15.08</v>
      </c>
      <c r="E885" s="420">
        <v>0</v>
      </c>
      <c r="F885" s="420">
        <f t="shared" si="166"/>
        <v>7540</v>
      </c>
      <c r="G885" s="417">
        <v>42628</v>
      </c>
      <c r="H885" s="434">
        <v>300</v>
      </c>
      <c r="I885" s="419">
        <v>14.46</v>
      </c>
      <c r="J885" s="420">
        <v>0.09</v>
      </c>
      <c r="K885" s="420">
        <f t="shared" si="167"/>
        <v>4337.91</v>
      </c>
      <c r="L885" s="418"/>
      <c r="M885" s="420"/>
    </row>
    <row r="886" spans="1:13" x14ac:dyDescent="0.25">
      <c r="A886" s="418"/>
      <c r="B886" s="463">
        <v>42622</v>
      </c>
      <c r="C886" s="418">
        <v>220</v>
      </c>
      <c r="D886" s="419">
        <v>16.25</v>
      </c>
      <c r="E886" s="420">
        <v>0</v>
      </c>
      <c r="F886" s="420">
        <f t="shared" si="166"/>
        <v>3575</v>
      </c>
      <c r="G886" s="417">
        <v>42634</v>
      </c>
      <c r="H886" s="434">
        <v>322</v>
      </c>
      <c r="I886" s="419">
        <v>14.28</v>
      </c>
      <c r="J886" s="420">
        <v>0.1</v>
      </c>
      <c r="K886" s="420">
        <f t="shared" si="167"/>
        <v>4598.0599999999995</v>
      </c>
      <c r="L886" s="418"/>
      <c r="M886" s="420"/>
    </row>
    <row r="887" spans="1:13" x14ac:dyDescent="0.25">
      <c r="A887" s="418"/>
      <c r="B887" s="463">
        <v>42622</v>
      </c>
      <c r="C887" s="418">
        <v>500</v>
      </c>
      <c r="D887" s="419">
        <v>15.98</v>
      </c>
      <c r="E887" s="420">
        <v>0</v>
      </c>
      <c r="F887" s="420">
        <f t="shared" si="166"/>
        <v>7990</v>
      </c>
      <c r="G887" s="417">
        <v>42634</v>
      </c>
      <c r="H887" s="434">
        <v>400</v>
      </c>
      <c r="I887" s="419">
        <v>14.64</v>
      </c>
      <c r="J887" s="420">
        <v>0.13</v>
      </c>
      <c r="K887" s="420">
        <f t="shared" si="167"/>
        <v>5855.87</v>
      </c>
      <c r="L887" s="418"/>
      <c r="M887" s="420"/>
    </row>
    <row r="888" spans="1:13" x14ac:dyDescent="0.25">
      <c r="A888" s="418"/>
      <c r="B888" s="463">
        <v>42622</v>
      </c>
      <c r="C888" s="418">
        <v>500</v>
      </c>
      <c r="D888" s="419">
        <v>15.75</v>
      </c>
      <c r="E888" s="420">
        <v>0</v>
      </c>
      <c r="F888" s="420">
        <f t="shared" si="166"/>
        <v>7875</v>
      </c>
      <c r="G888" s="417">
        <v>42639</v>
      </c>
      <c r="H888" s="434">
        <v>200</v>
      </c>
      <c r="I888" s="419">
        <v>14.72</v>
      </c>
      <c r="J888" s="420">
        <v>0.06</v>
      </c>
      <c r="K888" s="420">
        <f t="shared" si="167"/>
        <v>2943.94</v>
      </c>
      <c r="L888" s="418"/>
      <c r="M888" s="420"/>
    </row>
    <row r="889" spans="1:13" x14ac:dyDescent="0.25">
      <c r="A889" s="418"/>
      <c r="B889" s="463">
        <v>42625</v>
      </c>
      <c r="C889" s="418">
        <v>500</v>
      </c>
      <c r="D889" s="419">
        <v>15.22</v>
      </c>
      <c r="E889" s="420">
        <v>0</v>
      </c>
      <c r="F889" s="420">
        <f t="shared" si="166"/>
        <v>7610</v>
      </c>
      <c r="G889" s="417">
        <v>42641</v>
      </c>
      <c r="H889" s="434">
        <v>300</v>
      </c>
      <c r="I889" s="419">
        <v>15.28</v>
      </c>
      <c r="J889" s="420">
        <v>0.1</v>
      </c>
      <c r="K889" s="420">
        <f t="shared" si="167"/>
        <v>4583.8999999999996</v>
      </c>
      <c r="L889" s="418"/>
      <c r="M889" s="420"/>
    </row>
    <row r="890" spans="1:13" ht="30" x14ac:dyDescent="0.25">
      <c r="A890" s="512" t="s">
        <v>269</v>
      </c>
      <c r="B890" s="463">
        <v>42626</v>
      </c>
      <c r="C890" s="418">
        <v>600</v>
      </c>
      <c r="D890" s="419">
        <v>14.91</v>
      </c>
      <c r="E890" s="420">
        <v>-3</v>
      </c>
      <c r="F890" s="420">
        <f t="shared" si="166"/>
        <v>8943</v>
      </c>
      <c r="G890" s="417">
        <v>42641</v>
      </c>
      <c r="H890" s="434">
        <v>400</v>
      </c>
      <c r="I890" s="419">
        <v>15.06</v>
      </c>
      <c r="J890" s="420">
        <v>0.13</v>
      </c>
      <c r="K890" s="420">
        <f t="shared" si="167"/>
        <v>6023.87</v>
      </c>
      <c r="L890" s="418"/>
      <c r="M890" s="420"/>
    </row>
    <row r="891" spans="1:13" x14ac:dyDescent="0.25">
      <c r="A891" s="512"/>
      <c r="B891" s="463">
        <v>42626</v>
      </c>
      <c r="C891" s="418">
        <v>400</v>
      </c>
      <c r="D891" s="419">
        <v>14.75</v>
      </c>
      <c r="E891" s="420">
        <v>0</v>
      </c>
      <c r="F891" s="420">
        <f t="shared" si="166"/>
        <v>5900</v>
      </c>
      <c r="G891" s="417">
        <v>42641</v>
      </c>
      <c r="H891" s="434">
        <v>322</v>
      </c>
      <c r="I891" s="419">
        <v>14.39</v>
      </c>
      <c r="J891" s="420">
        <v>0.1</v>
      </c>
      <c r="K891" s="420">
        <f t="shared" si="167"/>
        <v>4633.4799999999996</v>
      </c>
      <c r="L891" s="418"/>
      <c r="M891" s="420"/>
    </row>
    <row r="892" spans="1:13" x14ac:dyDescent="0.25">
      <c r="A892" s="512"/>
      <c r="B892" s="463">
        <v>42626</v>
      </c>
      <c r="C892" s="418">
        <v>300</v>
      </c>
      <c r="D892" s="419">
        <v>14.48</v>
      </c>
      <c r="E892" s="420">
        <v>0</v>
      </c>
      <c r="F892" s="420">
        <f t="shared" si="166"/>
        <v>4344</v>
      </c>
      <c r="G892" s="417">
        <v>42641</v>
      </c>
      <c r="H892" s="434">
        <v>500</v>
      </c>
      <c r="I892" s="419">
        <v>14.26</v>
      </c>
      <c r="J892" s="420">
        <v>0.16</v>
      </c>
      <c r="K892" s="420">
        <f t="shared" si="167"/>
        <v>7129.84</v>
      </c>
      <c r="L892" s="418"/>
      <c r="M892" s="420"/>
    </row>
    <row r="893" spans="1:13" x14ac:dyDescent="0.25">
      <c r="A893" s="512"/>
      <c r="B893" s="463">
        <v>42626</v>
      </c>
      <c r="C893" s="418">
        <v>300</v>
      </c>
      <c r="D893" s="419">
        <v>14.25</v>
      </c>
      <c r="E893" s="420">
        <v>0</v>
      </c>
      <c r="F893" s="420">
        <f t="shared" si="166"/>
        <v>4275</v>
      </c>
      <c r="G893" s="417">
        <v>42642</v>
      </c>
      <c r="H893" s="434">
        <v>300</v>
      </c>
      <c r="I893" s="419">
        <v>15.28</v>
      </c>
      <c r="J893" s="420">
        <v>0.1</v>
      </c>
      <c r="K893" s="420">
        <f t="shared" si="167"/>
        <v>4583.8999999999996</v>
      </c>
      <c r="L893" s="418"/>
      <c r="M893" s="420"/>
    </row>
    <row r="894" spans="1:13" x14ac:dyDescent="0.25">
      <c r="A894" s="512"/>
      <c r="B894" s="463">
        <v>42627</v>
      </c>
      <c r="C894" s="418">
        <v>200</v>
      </c>
      <c r="D894" s="419">
        <v>14.02</v>
      </c>
      <c r="E894" s="420">
        <v>-1</v>
      </c>
      <c r="F894" s="420">
        <f t="shared" si="166"/>
        <v>2803</v>
      </c>
      <c r="G894" s="417">
        <v>42642</v>
      </c>
      <c r="H894" s="434">
        <v>700</v>
      </c>
      <c r="I894" s="419">
        <v>15.78</v>
      </c>
      <c r="J894" s="420">
        <v>0.24</v>
      </c>
      <c r="K894" s="420">
        <f t="shared" si="167"/>
        <v>11045.76</v>
      </c>
      <c r="L894" s="418"/>
      <c r="M894" s="420"/>
    </row>
    <row r="895" spans="1:13" x14ac:dyDescent="0.25">
      <c r="A895" s="418"/>
      <c r="B895" s="463">
        <v>42628</v>
      </c>
      <c r="C895" s="418">
        <v>300</v>
      </c>
      <c r="D895" s="419">
        <v>14.3</v>
      </c>
      <c r="E895" s="420">
        <v>0</v>
      </c>
      <c r="F895" s="420">
        <f t="shared" si="166"/>
        <v>4290</v>
      </c>
      <c r="G895" s="417">
        <v>42642</v>
      </c>
      <c r="H895" s="434">
        <v>214</v>
      </c>
      <c r="I895" s="419">
        <v>15.98</v>
      </c>
      <c r="J895" s="420">
        <v>7.0000000000000007E-2</v>
      </c>
      <c r="K895" s="420">
        <f t="shared" si="167"/>
        <v>3419.65</v>
      </c>
      <c r="L895" s="418"/>
      <c r="M895" s="420"/>
    </row>
    <row r="896" spans="1:13" x14ac:dyDescent="0.25">
      <c r="A896" s="418"/>
      <c r="B896" s="463">
        <v>42632</v>
      </c>
      <c r="C896" s="418">
        <v>200</v>
      </c>
      <c r="D896" s="419">
        <v>14.06</v>
      </c>
      <c r="E896" s="420">
        <v>0</v>
      </c>
      <c r="F896" s="420">
        <f t="shared" si="166"/>
        <v>2812</v>
      </c>
      <c r="G896" s="417">
        <v>42648</v>
      </c>
      <c r="H896" s="434">
        <v>1000</v>
      </c>
      <c r="I896" s="419">
        <v>16.079999999999998</v>
      </c>
      <c r="J896" s="420">
        <v>0.35</v>
      </c>
      <c r="K896" s="420">
        <f t="shared" si="167"/>
        <v>16079.649999999998</v>
      </c>
      <c r="L896" s="418"/>
      <c r="M896" s="420"/>
    </row>
    <row r="897" spans="1:13" x14ac:dyDescent="0.25">
      <c r="A897" s="418"/>
      <c r="B897" s="463">
        <v>42633</v>
      </c>
      <c r="C897" s="418">
        <v>200</v>
      </c>
      <c r="D897" s="419">
        <v>14.11</v>
      </c>
      <c r="E897" s="420">
        <v>0</v>
      </c>
      <c r="F897" s="420">
        <f t="shared" si="166"/>
        <v>2822</v>
      </c>
      <c r="G897" s="417">
        <v>42648</v>
      </c>
      <c r="H897" s="434">
        <v>500</v>
      </c>
      <c r="I897" s="419">
        <v>16.38</v>
      </c>
      <c r="J897" s="420">
        <v>0.18</v>
      </c>
      <c r="K897" s="420">
        <f t="shared" si="167"/>
        <v>8189.8199999999988</v>
      </c>
      <c r="L897" s="418"/>
      <c r="M897" s="420"/>
    </row>
    <row r="898" spans="1:13" x14ac:dyDescent="0.25">
      <c r="A898" s="418"/>
      <c r="B898" s="463">
        <v>42633</v>
      </c>
      <c r="C898" s="418">
        <v>122</v>
      </c>
      <c r="D898" s="419">
        <v>14.1</v>
      </c>
      <c r="E898" s="420">
        <v>0</v>
      </c>
      <c r="F898" s="420">
        <f t="shared" si="166"/>
        <v>1720.2</v>
      </c>
      <c r="G898" s="417">
        <v>42649</v>
      </c>
      <c r="H898" s="434">
        <v>500</v>
      </c>
      <c r="I898" s="419">
        <v>16.16</v>
      </c>
      <c r="J898" s="420">
        <v>0.18</v>
      </c>
      <c r="K898" s="420">
        <f t="shared" si="167"/>
        <v>8079.82</v>
      </c>
      <c r="L898" s="418"/>
      <c r="M898" s="420"/>
    </row>
    <row r="899" spans="1:13" x14ac:dyDescent="0.25">
      <c r="A899" s="418"/>
      <c r="B899" s="463">
        <v>42636</v>
      </c>
      <c r="C899" s="418">
        <v>200</v>
      </c>
      <c r="D899" s="419">
        <v>14.38</v>
      </c>
      <c r="E899" s="420">
        <v>0</v>
      </c>
      <c r="F899" s="420">
        <f t="shared" si="166"/>
        <v>2876</v>
      </c>
      <c r="G899" s="417">
        <v>42671</v>
      </c>
      <c r="H899" s="434">
        <v>1000</v>
      </c>
      <c r="I899" s="419">
        <v>14.22</v>
      </c>
      <c r="J899" s="420">
        <v>0.31</v>
      </c>
      <c r="K899" s="420">
        <f t="shared" si="167"/>
        <v>14219.69</v>
      </c>
      <c r="L899" s="418"/>
      <c r="M899" s="420"/>
    </row>
    <row r="900" spans="1:13" x14ac:dyDescent="0.25">
      <c r="A900" s="418"/>
      <c r="B900" s="463">
        <v>42639</v>
      </c>
      <c r="C900" s="418">
        <v>200</v>
      </c>
      <c r="D900" s="419">
        <v>14.5</v>
      </c>
      <c r="E900" s="420">
        <v>0</v>
      </c>
      <c r="F900" s="420">
        <f t="shared" ref="F900:F914" si="168">C900*D900+E900</f>
        <v>2900</v>
      </c>
      <c r="G900" s="417">
        <v>42674</v>
      </c>
      <c r="H900" s="434">
        <v>300</v>
      </c>
      <c r="I900" s="419">
        <v>13.42</v>
      </c>
      <c r="J900" s="420">
        <v>0.09</v>
      </c>
      <c r="K900" s="420">
        <f t="shared" si="167"/>
        <v>4025.91</v>
      </c>
      <c r="L900" s="418"/>
      <c r="M900" s="420"/>
    </row>
    <row r="901" spans="1:13" x14ac:dyDescent="0.25">
      <c r="A901" s="418"/>
      <c r="B901" s="463">
        <v>42639</v>
      </c>
      <c r="C901" s="418">
        <v>200</v>
      </c>
      <c r="D901" s="419">
        <v>14.38</v>
      </c>
      <c r="E901" s="420">
        <v>0</v>
      </c>
      <c r="F901" s="420">
        <f t="shared" si="168"/>
        <v>2876</v>
      </c>
      <c r="G901" s="417">
        <v>42674</v>
      </c>
      <c r="H901" s="434">
        <v>200</v>
      </c>
      <c r="I901" s="419">
        <v>13.25</v>
      </c>
      <c r="J901" s="420">
        <v>-0.74</v>
      </c>
      <c r="K901" s="420">
        <f t="shared" si="167"/>
        <v>2650.74</v>
      </c>
      <c r="L901" s="418"/>
      <c r="M901" s="420"/>
    </row>
    <row r="902" spans="1:13" x14ac:dyDescent="0.25">
      <c r="A902" s="418"/>
      <c r="B902" s="463">
        <v>42640</v>
      </c>
      <c r="C902" s="418">
        <v>322</v>
      </c>
      <c r="D902" s="419">
        <v>13.97</v>
      </c>
      <c r="E902" s="420">
        <v>0</v>
      </c>
      <c r="F902" s="420">
        <f t="shared" si="168"/>
        <v>4498.34</v>
      </c>
      <c r="G902" s="417">
        <v>42676</v>
      </c>
      <c r="H902" s="434">
        <v>200</v>
      </c>
      <c r="I902" s="419">
        <v>13.05</v>
      </c>
      <c r="J902" s="420">
        <v>0.06</v>
      </c>
      <c r="K902" s="420">
        <f t="shared" si="167"/>
        <v>2609.94</v>
      </c>
      <c r="L902" s="418"/>
      <c r="M902" s="420"/>
    </row>
    <row r="903" spans="1:13" x14ac:dyDescent="0.25">
      <c r="A903" s="418"/>
      <c r="B903" s="463">
        <v>42641</v>
      </c>
      <c r="C903" s="418">
        <v>300</v>
      </c>
      <c r="D903" s="419">
        <v>14.02</v>
      </c>
      <c r="E903" s="420">
        <v>-1.26</v>
      </c>
      <c r="F903" s="420">
        <f t="shared" si="168"/>
        <v>4204.74</v>
      </c>
      <c r="G903" s="417">
        <v>42677</v>
      </c>
      <c r="H903" s="434">
        <v>500</v>
      </c>
      <c r="I903" s="419">
        <v>13.96</v>
      </c>
      <c r="J903" s="420">
        <v>0.15</v>
      </c>
      <c r="K903" s="420">
        <f t="shared" si="167"/>
        <v>6979.85</v>
      </c>
      <c r="L903" s="418"/>
      <c r="M903" s="420"/>
    </row>
    <row r="904" spans="1:13" x14ac:dyDescent="0.25">
      <c r="A904" s="418"/>
      <c r="B904" s="463">
        <v>42641</v>
      </c>
      <c r="C904" s="418">
        <v>200</v>
      </c>
      <c r="D904" s="419">
        <v>14.17</v>
      </c>
      <c r="E904" s="420">
        <v>0</v>
      </c>
      <c r="F904" s="420">
        <f t="shared" si="168"/>
        <v>2834</v>
      </c>
      <c r="G904" s="417">
        <v>42677</v>
      </c>
      <c r="H904" s="434">
        <v>2000</v>
      </c>
      <c r="I904" s="419">
        <v>14.5</v>
      </c>
      <c r="J904" s="420">
        <v>0.63</v>
      </c>
      <c r="K904" s="420">
        <f t="shared" si="167"/>
        <v>28999.37</v>
      </c>
      <c r="L904" s="418"/>
      <c r="M904" s="420"/>
    </row>
    <row r="905" spans="1:13" x14ac:dyDescent="0.25">
      <c r="A905" s="418"/>
      <c r="B905" s="463">
        <v>42642</v>
      </c>
      <c r="C905" s="418">
        <v>414</v>
      </c>
      <c r="D905" s="419">
        <v>15.66</v>
      </c>
      <c r="E905" s="420">
        <v>0</v>
      </c>
      <c r="F905" s="420">
        <f t="shared" si="168"/>
        <v>6483.24</v>
      </c>
      <c r="G905" s="417">
        <v>42682</v>
      </c>
      <c r="H905" s="434">
        <v>1000</v>
      </c>
      <c r="I905" s="419">
        <v>14.28</v>
      </c>
      <c r="J905" s="420">
        <v>0.31</v>
      </c>
      <c r="K905" s="420">
        <f t="shared" si="167"/>
        <v>14279.69</v>
      </c>
      <c r="L905" s="418"/>
      <c r="M905" s="420"/>
    </row>
    <row r="906" spans="1:13" ht="30" x14ac:dyDescent="0.25">
      <c r="A906" s="512" t="s">
        <v>283</v>
      </c>
      <c r="B906" s="463">
        <v>42647</v>
      </c>
      <c r="C906" s="418">
        <v>500</v>
      </c>
      <c r="D906" s="419">
        <v>15.86</v>
      </c>
      <c r="E906" s="420">
        <v>0</v>
      </c>
      <c r="F906" s="420">
        <f t="shared" si="168"/>
        <v>7930</v>
      </c>
      <c r="G906" s="417">
        <v>42685</v>
      </c>
      <c r="H906" s="434">
        <v>500</v>
      </c>
      <c r="I906" s="419">
        <v>15.88</v>
      </c>
      <c r="J906" s="420">
        <v>0.17</v>
      </c>
      <c r="K906" s="420">
        <f t="shared" si="167"/>
        <v>7939.83</v>
      </c>
      <c r="L906" s="418"/>
      <c r="M906" s="420"/>
    </row>
    <row r="907" spans="1:13" x14ac:dyDescent="0.25">
      <c r="A907" s="512"/>
      <c r="B907" s="463">
        <v>42647</v>
      </c>
      <c r="C907" s="418">
        <v>500</v>
      </c>
      <c r="D907" s="419">
        <v>15.62</v>
      </c>
      <c r="E907" s="420">
        <v>0</v>
      </c>
      <c r="F907" s="420">
        <f t="shared" si="168"/>
        <v>7810</v>
      </c>
      <c r="G907" s="417">
        <v>42695</v>
      </c>
      <c r="H907" s="434">
        <v>2272</v>
      </c>
      <c r="I907" s="419">
        <v>16.28</v>
      </c>
      <c r="J907" s="420">
        <v>0.81</v>
      </c>
      <c r="K907" s="420">
        <f t="shared" si="167"/>
        <v>36987.350000000006</v>
      </c>
      <c r="L907" s="418"/>
      <c r="M907" s="420"/>
    </row>
    <row r="908" spans="1:13" x14ac:dyDescent="0.25">
      <c r="A908" s="512"/>
      <c r="B908" s="463">
        <v>42649</v>
      </c>
      <c r="C908" s="418">
        <v>500</v>
      </c>
      <c r="D908" s="419">
        <v>15.97</v>
      </c>
      <c r="E908" s="420">
        <v>0</v>
      </c>
      <c r="F908" s="420">
        <f t="shared" si="168"/>
        <v>7985</v>
      </c>
      <c r="G908" s="417">
        <v>42695</v>
      </c>
      <c r="H908" s="434">
        <v>500</v>
      </c>
      <c r="I908" s="419">
        <v>16.45</v>
      </c>
      <c r="J908" s="420">
        <v>0.18</v>
      </c>
      <c r="K908" s="420">
        <f t="shared" si="167"/>
        <v>8224.82</v>
      </c>
      <c r="L908" s="418"/>
      <c r="M908" s="420"/>
    </row>
    <row r="909" spans="1:13" x14ac:dyDescent="0.25">
      <c r="A909" s="512"/>
      <c r="B909" s="463">
        <v>42649</v>
      </c>
      <c r="C909" s="418">
        <v>500</v>
      </c>
      <c r="D909" s="419">
        <v>15.84</v>
      </c>
      <c r="E909" s="420">
        <v>0</v>
      </c>
      <c r="F909" s="420">
        <f t="shared" si="168"/>
        <v>7920</v>
      </c>
      <c r="G909" s="417">
        <v>42696</v>
      </c>
      <c r="H909" s="434">
        <v>500</v>
      </c>
      <c r="I909" s="419">
        <v>16.54</v>
      </c>
      <c r="J909" s="420">
        <v>0.18</v>
      </c>
      <c r="K909" s="420">
        <f t="shared" si="167"/>
        <v>8269.82</v>
      </c>
      <c r="L909" s="418"/>
      <c r="M909" s="420"/>
    </row>
    <row r="910" spans="1:13" x14ac:dyDescent="0.25">
      <c r="A910" s="418"/>
      <c r="B910" s="463">
        <v>42649</v>
      </c>
      <c r="C910" s="418">
        <v>500</v>
      </c>
      <c r="D910" s="419">
        <v>16.079999999999998</v>
      </c>
      <c r="E910" s="420">
        <v>0</v>
      </c>
      <c r="F910" s="420">
        <f t="shared" si="168"/>
        <v>8039.9999999999991</v>
      </c>
      <c r="G910" s="417">
        <v>42697</v>
      </c>
      <c r="H910" s="434">
        <v>200</v>
      </c>
      <c r="I910" s="419">
        <v>16.79</v>
      </c>
      <c r="J910" s="420">
        <v>7.0000000000000007E-2</v>
      </c>
      <c r="K910" s="420">
        <f t="shared" si="167"/>
        <v>3357.93</v>
      </c>
      <c r="L910" s="418"/>
      <c r="M910" s="420"/>
    </row>
    <row r="911" spans="1:13" x14ac:dyDescent="0.25">
      <c r="A911" s="418"/>
      <c r="B911" s="463">
        <v>42650</v>
      </c>
      <c r="C911" s="418">
        <v>300</v>
      </c>
      <c r="D911" s="419">
        <v>15.75</v>
      </c>
      <c r="E911" s="420">
        <v>0</v>
      </c>
      <c r="F911" s="420">
        <f t="shared" si="168"/>
        <v>4725</v>
      </c>
      <c r="G911" s="417">
        <v>42697</v>
      </c>
      <c r="H911" s="434">
        <v>500</v>
      </c>
      <c r="I911" s="419">
        <v>16.59</v>
      </c>
      <c r="J911" s="420">
        <v>0.18</v>
      </c>
      <c r="K911" s="420">
        <f t="shared" si="167"/>
        <v>8294.82</v>
      </c>
      <c r="L911" s="418"/>
      <c r="M911" s="420"/>
    </row>
    <row r="912" spans="1:13" x14ac:dyDescent="0.25">
      <c r="A912" s="418"/>
      <c r="B912" s="463">
        <v>42650</v>
      </c>
      <c r="C912" s="418">
        <v>300</v>
      </c>
      <c r="D912" s="419">
        <v>15.58</v>
      </c>
      <c r="E912" s="420">
        <v>0</v>
      </c>
      <c r="F912" s="420">
        <f t="shared" si="168"/>
        <v>4674</v>
      </c>
      <c r="G912" s="417">
        <v>42704</v>
      </c>
      <c r="H912" s="434">
        <v>1000</v>
      </c>
      <c r="I912" s="419">
        <v>16.420000000000002</v>
      </c>
      <c r="J912" s="420">
        <v>0.36</v>
      </c>
      <c r="K912" s="420">
        <f t="shared" si="167"/>
        <v>16419.64</v>
      </c>
      <c r="L912" s="418"/>
      <c r="M912" s="420"/>
    </row>
    <row r="913" spans="1:13" x14ac:dyDescent="0.25">
      <c r="A913" s="418"/>
      <c r="B913" s="463">
        <v>42653</v>
      </c>
      <c r="C913" s="418">
        <v>394</v>
      </c>
      <c r="D913" s="419">
        <v>15.72</v>
      </c>
      <c r="E913" s="420">
        <v>0</v>
      </c>
      <c r="F913" s="420">
        <f t="shared" si="168"/>
        <v>6193.68</v>
      </c>
      <c r="G913" s="417">
        <v>42704</v>
      </c>
      <c r="H913" s="434">
        <v>300</v>
      </c>
      <c r="I913" s="419">
        <v>16.78</v>
      </c>
      <c r="J913" s="420">
        <v>1.61</v>
      </c>
      <c r="K913" s="420">
        <f t="shared" si="167"/>
        <v>5032.3900000000003</v>
      </c>
      <c r="L913" s="418"/>
      <c r="M913" s="420"/>
    </row>
    <row r="914" spans="1:13" x14ac:dyDescent="0.25">
      <c r="A914" s="418"/>
      <c r="B914" s="463">
        <v>42653</v>
      </c>
      <c r="C914" s="418">
        <v>6</v>
      </c>
      <c r="D914" s="419">
        <v>15.72</v>
      </c>
      <c r="E914" s="420">
        <v>0</v>
      </c>
      <c r="F914" s="420">
        <f t="shared" si="168"/>
        <v>94.320000000000007</v>
      </c>
      <c r="G914" s="417">
        <v>42704</v>
      </c>
      <c r="H914" s="434">
        <v>1000</v>
      </c>
      <c r="I914" s="419">
        <v>17.079999999999998</v>
      </c>
      <c r="J914" s="420">
        <v>0.37</v>
      </c>
      <c r="K914" s="420">
        <f t="shared" si="167"/>
        <v>17079.63</v>
      </c>
      <c r="L914" s="418"/>
      <c r="M914" s="420"/>
    </row>
    <row r="915" spans="1:13" x14ac:dyDescent="0.25">
      <c r="A915" s="418"/>
      <c r="B915" s="463">
        <v>42655</v>
      </c>
      <c r="C915" s="418">
        <v>22</v>
      </c>
      <c r="D915" s="419">
        <v>15.48</v>
      </c>
      <c r="E915" s="420">
        <v>0</v>
      </c>
      <c r="F915" s="420">
        <f>C915*D915+E915</f>
        <v>340.56</v>
      </c>
      <c r="G915" s="417">
        <v>42704</v>
      </c>
      <c r="H915" s="434">
        <v>1000</v>
      </c>
      <c r="I915" s="419">
        <v>17.32</v>
      </c>
      <c r="J915" s="420">
        <v>0.38</v>
      </c>
      <c r="K915" s="420">
        <f t="shared" si="167"/>
        <v>17319.62</v>
      </c>
      <c r="L915" s="418"/>
      <c r="M915" s="420"/>
    </row>
    <row r="916" spans="1:13" x14ac:dyDescent="0.25">
      <c r="A916" s="418"/>
      <c r="B916" s="463">
        <v>42655</v>
      </c>
      <c r="C916" s="418">
        <v>300</v>
      </c>
      <c r="D916" s="419">
        <v>15.48</v>
      </c>
      <c r="E916" s="420">
        <v>0</v>
      </c>
      <c r="F916" s="420">
        <f>C916*D916+E916</f>
        <v>4644</v>
      </c>
      <c r="G916" s="417">
        <v>42704</v>
      </c>
      <c r="H916" s="434">
        <v>500</v>
      </c>
      <c r="I916" s="419">
        <v>17.64</v>
      </c>
      <c r="J916" s="420">
        <v>0.19</v>
      </c>
      <c r="K916" s="420">
        <f t="shared" si="167"/>
        <v>8819.81</v>
      </c>
      <c r="L916" s="418"/>
      <c r="M916" s="420"/>
    </row>
    <row r="917" spans="1:13" x14ac:dyDescent="0.25">
      <c r="A917" s="513"/>
      <c r="B917" s="463">
        <v>42668</v>
      </c>
      <c r="C917" s="418">
        <v>500</v>
      </c>
      <c r="D917" s="419">
        <v>14.26</v>
      </c>
      <c r="E917" s="420">
        <v>-2.5</v>
      </c>
      <c r="F917" s="420">
        <f t="shared" ref="F917:F926" si="169">C917*D917+E917</f>
        <v>7127.5</v>
      </c>
      <c r="G917" s="417">
        <v>42705</v>
      </c>
      <c r="H917" s="434">
        <v>528</v>
      </c>
      <c r="I917" s="419">
        <v>18.7</v>
      </c>
      <c r="J917" s="420">
        <v>0.22</v>
      </c>
      <c r="K917" s="420">
        <f t="shared" si="167"/>
        <v>9873.380000000001</v>
      </c>
      <c r="L917" s="418"/>
      <c r="M917" s="420"/>
    </row>
    <row r="918" spans="1:13" x14ac:dyDescent="0.25">
      <c r="A918" s="513"/>
      <c r="B918" s="463">
        <v>42668</v>
      </c>
      <c r="C918" s="418">
        <v>500</v>
      </c>
      <c r="D918" s="419">
        <v>14.16</v>
      </c>
      <c r="E918" s="420">
        <v>0</v>
      </c>
      <c r="F918" s="420">
        <f t="shared" si="169"/>
        <v>7080</v>
      </c>
      <c r="G918" s="417">
        <v>42711</v>
      </c>
      <c r="H918" s="434">
        <v>500</v>
      </c>
      <c r="I918" s="419">
        <v>18.329999999999998</v>
      </c>
      <c r="J918" s="420">
        <v>0.2</v>
      </c>
      <c r="K918" s="420">
        <f t="shared" si="167"/>
        <v>9164.7999999999993</v>
      </c>
      <c r="L918" s="418"/>
      <c r="M918" s="420"/>
    </row>
    <row r="919" spans="1:13" x14ac:dyDescent="0.25">
      <c r="A919" s="513"/>
      <c r="B919" s="463">
        <v>42670</v>
      </c>
      <c r="C919" s="418">
        <v>500</v>
      </c>
      <c r="D919" s="419">
        <v>14.18</v>
      </c>
      <c r="E919" s="420">
        <v>0</v>
      </c>
      <c r="F919" s="420">
        <f t="shared" si="169"/>
        <v>7090</v>
      </c>
      <c r="G919" s="417">
        <v>42713</v>
      </c>
      <c r="H919" s="434">
        <v>500</v>
      </c>
      <c r="I919" s="419">
        <v>18.28</v>
      </c>
      <c r="J919" s="420">
        <v>0.2</v>
      </c>
      <c r="K919" s="420">
        <f t="shared" si="167"/>
        <v>9139.7999999999993</v>
      </c>
      <c r="L919" s="418"/>
      <c r="M919" s="420"/>
    </row>
    <row r="920" spans="1:13" x14ac:dyDescent="0.25">
      <c r="A920" s="513"/>
      <c r="B920" s="463">
        <v>42670</v>
      </c>
      <c r="C920" s="418">
        <v>500</v>
      </c>
      <c r="D920" s="419">
        <v>14.05</v>
      </c>
      <c r="E920" s="420">
        <v>0</v>
      </c>
      <c r="F920" s="420">
        <f t="shared" si="169"/>
        <v>7025</v>
      </c>
      <c r="G920" s="417">
        <v>42718</v>
      </c>
      <c r="H920" s="434">
        <v>200</v>
      </c>
      <c r="I920" s="419">
        <v>18.78</v>
      </c>
      <c r="J920" s="420">
        <v>0.08</v>
      </c>
      <c r="K920" s="420">
        <f t="shared" si="167"/>
        <v>3755.92</v>
      </c>
      <c r="L920" s="418"/>
      <c r="M920" s="420"/>
    </row>
    <row r="921" spans="1:13" x14ac:dyDescent="0.25">
      <c r="A921" s="513"/>
      <c r="B921" s="463">
        <v>42670</v>
      </c>
      <c r="C921" s="418">
        <v>500</v>
      </c>
      <c r="D921" s="419">
        <v>13.88</v>
      </c>
      <c r="E921" s="420">
        <v>0</v>
      </c>
      <c r="F921" s="420">
        <f t="shared" si="169"/>
        <v>6940</v>
      </c>
      <c r="G921" s="417">
        <v>42734</v>
      </c>
      <c r="H921" s="434">
        <v>1000</v>
      </c>
      <c r="I921" s="419">
        <v>17.72</v>
      </c>
      <c r="J921" s="420">
        <v>0.39</v>
      </c>
      <c r="K921" s="420">
        <f t="shared" si="167"/>
        <v>17719.61</v>
      </c>
      <c r="L921" s="418"/>
      <c r="M921" s="420"/>
    </row>
    <row r="922" spans="1:13" x14ac:dyDescent="0.25">
      <c r="A922" s="418"/>
      <c r="B922" s="463">
        <v>42671</v>
      </c>
      <c r="C922" s="418">
        <v>1000</v>
      </c>
      <c r="D922" s="419">
        <v>14.15</v>
      </c>
      <c r="E922" s="420">
        <v>0</v>
      </c>
      <c r="F922" s="420">
        <f t="shared" si="169"/>
        <v>14150</v>
      </c>
      <c r="G922" s="417">
        <v>42739</v>
      </c>
      <c r="H922" s="434">
        <v>500</v>
      </c>
      <c r="I922" s="419">
        <v>18.079999999999998</v>
      </c>
      <c r="J922" s="420">
        <v>0.2</v>
      </c>
      <c r="K922" s="420">
        <f t="shared" si="167"/>
        <v>9039.7999999999993</v>
      </c>
      <c r="L922" s="418"/>
      <c r="M922" s="420"/>
    </row>
    <row r="923" spans="1:13" x14ac:dyDescent="0.25">
      <c r="A923" s="418"/>
      <c r="B923" s="463">
        <v>42674</v>
      </c>
      <c r="C923" s="418">
        <v>300</v>
      </c>
      <c r="D923" s="419">
        <v>13.28</v>
      </c>
      <c r="E923" s="420">
        <v>-1.5</v>
      </c>
      <c r="F923" s="420">
        <f t="shared" si="169"/>
        <v>3982.5</v>
      </c>
      <c r="G923" s="417">
        <v>42748</v>
      </c>
      <c r="H923" s="434">
        <v>500</v>
      </c>
      <c r="I923" s="419">
        <v>17.48</v>
      </c>
      <c r="J923" s="420">
        <v>0.19</v>
      </c>
      <c r="K923" s="420">
        <f t="shared" si="167"/>
        <v>8739.81</v>
      </c>
      <c r="L923" s="418"/>
      <c r="M923" s="420"/>
    </row>
    <row r="924" spans="1:13" x14ac:dyDescent="0.25">
      <c r="A924" s="418"/>
      <c r="B924" s="463">
        <v>42674</v>
      </c>
      <c r="C924" s="418">
        <v>200</v>
      </c>
      <c r="D924" s="419">
        <v>13.15</v>
      </c>
      <c r="E924" s="420">
        <v>0.02</v>
      </c>
      <c r="F924" s="420">
        <f t="shared" si="169"/>
        <v>2630.02</v>
      </c>
      <c r="G924" s="417">
        <v>42761</v>
      </c>
      <c r="H924" s="434">
        <v>1000</v>
      </c>
      <c r="I924" s="419">
        <v>17.899999999999999</v>
      </c>
      <c r="J924" s="420">
        <v>0.39</v>
      </c>
      <c r="K924" s="420">
        <f t="shared" si="167"/>
        <v>17899.61</v>
      </c>
      <c r="L924" s="418"/>
      <c r="M924" s="420"/>
    </row>
    <row r="925" spans="1:13" x14ac:dyDescent="0.25">
      <c r="A925" s="418"/>
      <c r="B925" s="463">
        <v>42676</v>
      </c>
      <c r="C925" s="418">
        <v>200</v>
      </c>
      <c r="D925" s="419">
        <v>12.89</v>
      </c>
      <c r="E925" s="420">
        <v>0</v>
      </c>
      <c r="F925" s="420">
        <f t="shared" si="169"/>
        <v>2578</v>
      </c>
      <c r="G925" s="417">
        <v>42766</v>
      </c>
      <c r="H925" s="434">
        <v>300</v>
      </c>
      <c r="I925" s="419">
        <v>16.649999999999999</v>
      </c>
      <c r="J925" s="420">
        <v>0.11</v>
      </c>
      <c r="K925" s="420">
        <f t="shared" si="167"/>
        <v>4994.8900000000003</v>
      </c>
      <c r="L925" s="418"/>
      <c r="M925" s="420"/>
    </row>
    <row r="926" spans="1:13" x14ac:dyDescent="0.25">
      <c r="A926" s="418"/>
      <c r="B926" s="463">
        <v>42678</v>
      </c>
      <c r="C926" s="418">
        <v>500</v>
      </c>
      <c r="D926" s="419">
        <v>13.69</v>
      </c>
      <c r="E926" s="420">
        <v>0</v>
      </c>
      <c r="F926" s="420">
        <f t="shared" si="169"/>
        <v>6845</v>
      </c>
      <c r="G926" s="417">
        <v>42767</v>
      </c>
      <c r="H926" s="434">
        <v>612</v>
      </c>
      <c r="I926" s="419">
        <v>17.03</v>
      </c>
      <c r="J926" s="420">
        <v>0.23</v>
      </c>
      <c r="K926" s="420">
        <f t="shared" si="167"/>
        <v>10422.130000000001</v>
      </c>
      <c r="L926" s="418"/>
      <c r="M926" s="420"/>
    </row>
    <row r="927" spans="1:13" x14ac:dyDescent="0.25">
      <c r="A927" s="418"/>
      <c r="B927" s="463">
        <v>42678</v>
      </c>
      <c r="C927" s="418">
        <v>500</v>
      </c>
      <c r="D927" s="419">
        <v>13.69</v>
      </c>
      <c r="E927" s="420">
        <v>0</v>
      </c>
      <c r="F927" s="420">
        <f>C927*D927+E927</f>
        <v>6845</v>
      </c>
      <c r="G927" s="417">
        <v>42767</v>
      </c>
      <c r="H927" s="434">
        <v>288</v>
      </c>
      <c r="I927" s="419">
        <v>17.12</v>
      </c>
      <c r="J927" s="420">
        <v>0.11</v>
      </c>
      <c r="K927" s="420">
        <f t="shared" si="167"/>
        <v>4930.4500000000007</v>
      </c>
      <c r="L927" s="418"/>
      <c r="M927" s="420"/>
    </row>
    <row r="928" spans="1:13" x14ac:dyDescent="0.25">
      <c r="A928" s="418"/>
      <c r="B928" s="463">
        <v>42691</v>
      </c>
      <c r="C928" s="418">
        <v>150</v>
      </c>
      <c r="D928" s="419">
        <v>15.48</v>
      </c>
      <c r="E928" s="420">
        <v>0</v>
      </c>
      <c r="F928" s="420">
        <f t="shared" ref="F928:F944" si="170">C928*D928+E928</f>
        <v>2322</v>
      </c>
      <c r="G928" s="417">
        <v>42767</v>
      </c>
      <c r="H928" s="434">
        <v>700</v>
      </c>
      <c r="I928" s="419">
        <v>16.57</v>
      </c>
      <c r="J928" s="420">
        <v>0.25</v>
      </c>
      <c r="K928" s="420">
        <f t="shared" si="167"/>
        <v>11598.75</v>
      </c>
      <c r="L928" s="418"/>
      <c r="M928" s="420"/>
    </row>
    <row r="929" spans="1:13" x14ac:dyDescent="0.25">
      <c r="A929" s="418"/>
      <c r="B929" s="463">
        <v>42691</v>
      </c>
      <c r="C929" s="418">
        <v>300</v>
      </c>
      <c r="D929" s="419">
        <v>15.48</v>
      </c>
      <c r="E929" s="420">
        <v>0</v>
      </c>
      <c r="F929" s="420">
        <f t="shared" si="170"/>
        <v>4644</v>
      </c>
      <c r="G929" s="417">
        <v>42768</v>
      </c>
      <c r="H929" s="434">
        <v>200</v>
      </c>
      <c r="I929" s="419">
        <v>16.7</v>
      </c>
      <c r="J929" s="420">
        <v>7.0000000000000007E-2</v>
      </c>
      <c r="K929" s="420">
        <f t="shared" si="167"/>
        <v>3339.93</v>
      </c>
      <c r="L929" s="418"/>
      <c r="M929" s="420"/>
    </row>
    <row r="930" spans="1:13" x14ac:dyDescent="0.25">
      <c r="A930" s="418"/>
      <c r="B930" s="463">
        <v>42696</v>
      </c>
      <c r="C930" s="418">
        <v>1000</v>
      </c>
      <c r="D930" s="419">
        <v>16.12</v>
      </c>
      <c r="E930" s="420">
        <v>0</v>
      </c>
      <c r="F930" s="420">
        <f t="shared" si="170"/>
        <v>16120.000000000002</v>
      </c>
      <c r="G930" s="417">
        <v>42768</v>
      </c>
      <c r="H930" s="434">
        <v>500</v>
      </c>
      <c r="I930" s="419">
        <v>16.600000000000001</v>
      </c>
      <c r="J930" s="420">
        <v>-1.82</v>
      </c>
      <c r="K930" s="420">
        <f t="shared" si="167"/>
        <v>8301.82</v>
      </c>
      <c r="L930" s="418"/>
      <c r="M930" s="420"/>
    </row>
    <row r="931" spans="1:13" x14ac:dyDescent="0.25">
      <c r="A931" s="418"/>
      <c r="B931" s="463">
        <v>42699</v>
      </c>
      <c r="C931" s="418">
        <v>200</v>
      </c>
      <c r="D931" s="419">
        <v>16.28</v>
      </c>
      <c r="E931" s="420">
        <v>0</v>
      </c>
      <c r="F931" s="420">
        <f t="shared" si="170"/>
        <v>3256</v>
      </c>
      <c r="G931" s="417">
        <v>42768</v>
      </c>
      <c r="H931" s="434">
        <v>500</v>
      </c>
      <c r="I931" s="419">
        <v>16.75</v>
      </c>
      <c r="J931" s="420">
        <v>0.18</v>
      </c>
      <c r="K931" s="420">
        <f t="shared" si="167"/>
        <v>8374.82</v>
      </c>
      <c r="L931" s="418"/>
      <c r="M931" s="420"/>
    </row>
    <row r="932" spans="1:13" x14ac:dyDescent="0.25">
      <c r="A932" s="513"/>
      <c r="B932" s="463">
        <v>42699</v>
      </c>
      <c r="C932" s="418">
        <v>500</v>
      </c>
      <c r="D932" s="419">
        <v>16.16</v>
      </c>
      <c r="E932" s="420">
        <v>0</v>
      </c>
      <c r="F932" s="420">
        <f t="shared" si="170"/>
        <v>8080</v>
      </c>
      <c r="G932" s="417">
        <v>42769</v>
      </c>
      <c r="H932" s="514">
        <v>400</v>
      </c>
      <c r="I932" s="515">
        <v>16.95</v>
      </c>
      <c r="J932" s="516">
        <v>0.15</v>
      </c>
      <c r="K932" s="516">
        <f t="shared" si="167"/>
        <v>6779.85</v>
      </c>
      <c r="L932" s="418"/>
      <c r="M932" s="420"/>
    </row>
    <row r="933" spans="1:13" x14ac:dyDescent="0.25">
      <c r="A933" s="513"/>
      <c r="B933" s="463">
        <v>42702</v>
      </c>
      <c r="C933" s="418">
        <v>500</v>
      </c>
      <c r="D933" s="419">
        <v>16.059999999999999</v>
      </c>
      <c r="E933" s="420">
        <v>0</v>
      </c>
      <c r="F933" s="420">
        <f t="shared" si="170"/>
        <v>8029.9999999999991</v>
      </c>
      <c r="G933" s="417">
        <v>42769</v>
      </c>
      <c r="H933" s="514">
        <v>300</v>
      </c>
      <c r="I933" s="515">
        <v>17.32</v>
      </c>
      <c r="J933" s="516">
        <v>0.11</v>
      </c>
      <c r="K933" s="516">
        <f t="shared" si="167"/>
        <v>5195.8900000000003</v>
      </c>
      <c r="L933" s="418"/>
      <c r="M933" s="420"/>
    </row>
    <row r="934" spans="1:13" x14ac:dyDescent="0.25">
      <c r="A934" s="513"/>
      <c r="B934" s="463">
        <v>42702</v>
      </c>
      <c r="C934" s="418">
        <v>200</v>
      </c>
      <c r="D934" s="419">
        <v>15.8</v>
      </c>
      <c r="E934" s="420">
        <v>0</v>
      </c>
      <c r="F934" s="420">
        <f t="shared" si="170"/>
        <v>3160</v>
      </c>
      <c r="G934" s="417">
        <v>42781</v>
      </c>
      <c r="H934" s="434">
        <v>600</v>
      </c>
      <c r="I934" s="419">
        <v>16.52</v>
      </c>
      <c r="J934" s="420">
        <v>0.22</v>
      </c>
      <c r="K934" s="420">
        <f t="shared" si="167"/>
        <v>9911.7800000000007</v>
      </c>
      <c r="L934" s="418"/>
      <c r="M934" s="420"/>
    </row>
    <row r="935" spans="1:13" x14ac:dyDescent="0.25">
      <c r="A935" s="513"/>
      <c r="B935" s="463">
        <v>42702</v>
      </c>
      <c r="C935" s="418">
        <v>300</v>
      </c>
      <c r="D935" s="419">
        <v>15.65</v>
      </c>
      <c r="E935" s="420">
        <v>0</v>
      </c>
      <c r="F935" s="420">
        <f t="shared" si="170"/>
        <v>4695</v>
      </c>
      <c r="G935" s="417">
        <v>42781</v>
      </c>
      <c r="H935" s="434">
        <v>300</v>
      </c>
      <c r="I935" s="419">
        <v>16.440000000000001</v>
      </c>
      <c r="J935" s="420">
        <v>0.11</v>
      </c>
      <c r="K935" s="420">
        <f t="shared" si="167"/>
        <v>4931.8900000000003</v>
      </c>
      <c r="L935" s="418"/>
      <c r="M935" s="420"/>
    </row>
    <row r="936" spans="1:13" x14ac:dyDescent="0.25">
      <c r="A936" s="418"/>
      <c r="B936" s="463">
        <v>42703</v>
      </c>
      <c r="C936" s="418">
        <v>300</v>
      </c>
      <c r="D936" s="419">
        <v>14.78</v>
      </c>
      <c r="E936" s="420">
        <v>0</v>
      </c>
      <c r="F936" s="420">
        <f t="shared" si="170"/>
        <v>4434</v>
      </c>
      <c r="G936" s="417">
        <v>42782</v>
      </c>
      <c r="H936" s="434">
        <v>300</v>
      </c>
      <c r="I936" s="419">
        <v>17</v>
      </c>
      <c r="J936" s="420">
        <v>0.11</v>
      </c>
      <c r="K936" s="420">
        <f t="shared" si="167"/>
        <v>5099.8900000000003</v>
      </c>
      <c r="L936" s="418"/>
      <c r="M936" s="420"/>
    </row>
    <row r="937" spans="1:13" x14ac:dyDescent="0.25">
      <c r="A937" s="418"/>
      <c r="B937" s="463">
        <v>42705</v>
      </c>
      <c r="C937" s="418">
        <v>350</v>
      </c>
      <c r="D937" s="419">
        <v>17.600000000000001</v>
      </c>
      <c r="E937" s="420">
        <v>0</v>
      </c>
      <c r="F937" s="420">
        <f t="shared" si="170"/>
        <v>6160.0000000000009</v>
      </c>
      <c r="G937" s="418"/>
      <c r="H937" s="434"/>
      <c r="I937" s="419"/>
      <c r="J937" s="420"/>
      <c r="K937" s="420"/>
      <c r="L937" s="418"/>
      <c r="M937" s="420"/>
    </row>
    <row r="938" spans="1:13" x14ac:dyDescent="0.25">
      <c r="A938" s="418"/>
      <c r="B938" s="463">
        <v>42711</v>
      </c>
      <c r="C938" s="418">
        <v>500</v>
      </c>
      <c r="D938" s="419">
        <v>18.12</v>
      </c>
      <c r="E938" s="420">
        <v>0</v>
      </c>
      <c r="F938" s="420">
        <f t="shared" si="170"/>
        <v>9060</v>
      </c>
      <c r="G938" s="418"/>
      <c r="H938" s="434"/>
      <c r="I938" s="419"/>
      <c r="J938" s="420"/>
      <c r="K938" s="420"/>
      <c r="L938" s="418"/>
      <c r="M938" s="420"/>
    </row>
    <row r="939" spans="1:13" x14ac:dyDescent="0.25">
      <c r="A939" s="418"/>
      <c r="B939" s="463">
        <v>42713</v>
      </c>
      <c r="C939" s="418">
        <v>500</v>
      </c>
      <c r="D939" s="419">
        <v>18.12</v>
      </c>
      <c r="E939" s="420">
        <v>0</v>
      </c>
      <c r="F939" s="420">
        <f t="shared" si="170"/>
        <v>9060</v>
      </c>
      <c r="G939" s="418"/>
      <c r="H939" s="434"/>
      <c r="I939" s="419"/>
      <c r="J939" s="420"/>
      <c r="K939" s="420"/>
      <c r="L939" s="418"/>
      <c r="M939" s="420"/>
    </row>
    <row r="940" spans="1:13" x14ac:dyDescent="0.25">
      <c r="A940" s="418"/>
      <c r="B940" s="463">
        <v>42718</v>
      </c>
      <c r="C940" s="418">
        <v>200</v>
      </c>
      <c r="D940" s="419">
        <v>18.73</v>
      </c>
      <c r="E940" s="420">
        <v>-1</v>
      </c>
      <c r="F940" s="420">
        <f t="shared" si="170"/>
        <v>3745</v>
      </c>
      <c r="G940" s="418"/>
      <c r="H940" s="434"/>
      <c r="I940" s="419"/>
      <c r="J940" s="420"/>
      <c r="K940" s="420"/>
      <c r="L940" s="418"/>
      <c r="M940" s="420"/>
    </row>
    <row r="941" spans="1:13" x14ac:dyDescent="0.25">
      <c r="A941" s="418"/>
      <c r="B941" s="463">
        <v>42733</v>
      </c>
      <c r="C941" s="418">
        <v>1000</v>
      </c>
      <c r="D941" s="419">
        <v>17.64</v>
      </c>
      <c r="E941" s="420">
        <v>-1.5</v>
      </c>
      <c r="F941" s="420">
        <f t="shared" si="170"/>
        <v>17638.5</v>
      </c>
      <c r="G941" s="418"/>
      <c r="H941" s="434"/>
      <c r="I941" s="419"/>
      <c r="J941" s="420"/>
      <c r="K941" s="420"/>
      <c r="L941" s="418"/>
      <c r="M941" s="420"/>
    </row>
    <row r="942" spans="1:13" x14ac:dyDescent="0.25">
      <c r="A942" s="418"/>
      <c r="B942" s="463">
        <v>42734</v>
      </c>
      <c r="C942" s="418">
        <v>1000</v>
      </c>
      <c r="D942" s="419">
        <v>17.329999999999998</v>
      </c>
      <c r="E942" s="420">
        <v>0</v>
      </c>
      <c r="F942" s="420">
        <f t="shared" si="170"/>
        <v>17330</v>
      </c>
      <c r="G942" s="418"/>
      <c r="H942" s="434"/>
      <c r="I942" s="419"/>
      <c r="J942" s="420"/>
      <c r="K942" s="420"/>
      <c r="L942" s="418"/>
      <c r="M942" s="420"/>
    </row>
    <row r="943" spans="1:13" x14ac:dyDescent="0.25">
      <c r="A943" s="418"/>
      <c r="B943" s="463">
        <v>42741</v>
      </c>
      <c r="C943" s="418">
        <v>500</v>
      </c>
      <c r="D943" s="419">
        <v>17.88</v>
      </c>
      <c r="E943" s="420">
        <v>0</v>
      </c>
      <c r="F943" s="420">
        <f t="shared" si="170"/>
        <v>8940</v>
      </c>
      <c r="G943" s="418"/>
      <c r="H943" s="434"/>
      <c r="I943" s="419"/>
      <c r="J943" s="420"/>
      <c r="K943" s="420"/>
      <c r="L943" s="418"/>
      <c r="M943" s="420"/>
    </row>
    <row r="944" spans="1:13" x14ac:dyDescent="0.25">
      <c r="A944" s="418"/>
      <c r="B944" s="463">
        <v>42748</v>
      </c>
      <c r="C944" s="418">
        <v>500</v>
      </c>
      <c r="D944" s="419">
        <v>17.260000000000002</v>
      </c>
      <c r="E944" s="420">
        <v>0</v>
      </c>
      <c r="F944" s="420">
        <f t="shared" si="170"/>
        <v>8630</v>
      </c>
      <c r="G944" s="418"/>
      <c r="H944" s="434"/>
      <c r="I944" s="419"/>
      <c r="J944" s="420"/>
      <c r="K944" s="420"/>
      <c r="L944" s="418"/>
      <c r="M944" s="420"/>
    </row>
    <row r="945" spans="1:13" x14ac:dyDescent="0.25">
      <c r="A945" s="418"/>
      <c r="B945" s="463"/>
      <c r="C945" s="418"/>
      <c r="D945" s="419"/>
      <c r="E945" s="420"/>
      <c r="F945" s="420"/>
      <c r="G945" s="418"/>
      <c r="H945" s="434"/>
      <c r="I945" s="419"/>
      <c r="J945" s="420"/>
      <c r="K945" s="420"/>
      <c r="L945" s="418"/>
      <c r="M945" s="420"/>
    </row>
    <row r="946" spans="1:13" x14ac:dyDescent="0.25">
      <c r="A946" s="418"/>
      <c r="B946" s="463"/>
      <c r="C946" s="418"/>
      <c r="D946" s="419"/>
      <c r="E946" s="420"/>
      <c r="F946" s="420"/>
      <c r="G946" s="418"/>
      <c r="H946" s="434"/>
      <c r="I946" s="419"/>
      <c r="J946" s="420"/>
      <c r="K946" s="420"/>
      <c r="L946" s="418"/>
      <c r="M946" s="420"/>
    </row>
    <row r="947" spans="1:13" x14ac:dyDescent="0.25">
      <c r="A947" s="512"/>
      <c r="B947" s="463"/>
      <c r="C947" s="418"/>
      <c r="D947" s="419"/>
      <c r="E947" s="420"/>
      <c r="F947" s="420"/>
      <c r="G947" s="418"/>
      <c r="H947" s="434"/>
      <c r="I947" s="419"/>
      <c r="J947" s="420"/>
      <c r="K947" s="420"/>
      <c r="L947" s="418"/>
      <c r="M947" s="420"/>
    </row>
    <row r="948" spans="1:13" x14ac:dyDescent="0.25">
      <c r="A948" s="512"/>
      <c r="B948" s="463"/>
      <c r="C948" s="418"/>
      <c r="D948" s="419"/>
      <c r="E948" s="420"/>
      <c r="F948" s="420"/>
      <c r="G948" s="418"/>
      <c r="H948" s="434"/>
      <c r="I948" s="419"/>
      <c r="J948" s="420"/>
      <c r="K948" s="420"/>
      <c r="L948" s="418"/>
      <c r="M948" s="420"/>
    </row>
    <row r="949" spans="1:13" x14ac:dyDescent="0.25">
      <c r="A949" s="512"/>
      <c r="B949" s="463"/>
      <c r="C949" s="418"/>
      <c r="D949" s="419"/>
      <c r="E949" s="420"/>
      <c r="F949" s="420"/>
      <c r="G949" s="418"/>
      <c r="H949" s="434"/>
      <c r="I949" s="419"/>
      <c r="J949" s="420"/>
      <c r="K949" s="420"/>
      <c r="L949" s="418"/>
      <c r="M949" s="420"/>
    </row>
    <row r="950" spans="1:13" x14ac:dyDescent="0.25">
      <c r="A950" s="512"/>
      <c r="B950" s="463"/>
      <c r="C950" s="418"/>
      <c r="D950" s="419"/>
      <c r="E950" s="420"/>
      <c r="F950" s="420"/>
      <c r="G950" s="418"/>
      <c r="H950" s="434"/>
      <c r="I950" s="419"/>
      <c r="J950" s="420"/>
      <c r="K950" s="420"/>
      <c r="L950" s="418"/>
      <c r="M950" s="420"/>
    </row>
    <row r="951" spans="1:13" x14ac:dyDescent="0.25">
      <c r="A951" s="418"/>
      <c r="B951" s="463"/>
      <c r="C951" s="418"/>
      <c r="D951" s="419"/>
      <c r="E951" s="420"/>
      <c r="F951" s="420"/>
      <c r="G951" s="418"/>
      <c r="H951" s="434"/>
      <c r="I951" s="419"/>
      <c r="J951" s="420"/>
      <c r="K951" s="420"/>
      <c r="L951" s="418"/>
      <c r="M951" s="420"/>
    </row>
    <row r="952" spans="1:13" x14ac:dyDescent="0.25">
      <c r="A952" s="418"/>
      <c r="B952" s="463"/>
      <c r="C952" s="418"/>
      <c r="D952" s="419"/>
      <c r="E952" s="420"/>
      <c r="F952" s="420"/>
      <c r="G952" s="418"/>
      <c r="H952" s="434"/>
      <c r="I952" s="419"/>
      <c r="J952" s="420"/>
      <c r="K952" s="420"/>
      <c r="L952" s="418"/>
      <c r="M952" s="420"/>
    </row>
    <row r="953" spans="1:13" x14ac:dyDescent="0.25">
      <c r="A953" s="418"/>
      <c r="B953" s="463"/>
      <c r="C953" s="418"/>
      <c r="D953" s="419"/>
      <c r="E953" s="420"/>
      <c r="F953" s="420"/>
      <c r="G953" s="418"/>
      <c r="H953" s="434"/>
      <c r="I953" s="419"/>
      <c r="J953" s="420"/>
      <c r="K953" s="420"/>
      <c r="L953" s="418"/>
      <c r="M953" s="420"/>
    </row>
    <row r="954" spans="1:13" x14ac:dyDescent="0.25">
      <c r="A954" s="418"/>
      <c r="B954" s="463"/>
      <c r="C954" s="418"/>
      <c r="D954" s="419"/>
      <c r="E954" s="420"/>
      <c r="F954" s="420"/>
      <c r="G954" s="418"/>
      <c r="H954" s="434"/>
      <c r="I954" s="419"/>
      <c r="J954" s="420"/>
      <c r="K954" s="420"/>
      <c r="L954" s="418"/>
      <c r="M954" s="420"/>
    </row>
    <row r="955" spans="1:13" x14ac:dyDescent="0.25">
      <c r="A955" s="418"/>
      <c r="B955" s="463"/>
      <c r="C955" s="418"/>
      <c r="D955" s="419"/>
      <c r="E955" s="420"/>
      <c r="F955" s="420"/>
      <c r="G955" s="418"/>
      <c r="H955" s="434"/>
      <c r="I955" s="419"/>
      <c r="J955" s="420"/>
      <c r="K955" s="420"/>
      <c r="L955" s="418"/>
      <c r="M955" s="420"/>
    </row>
    <row r="956" spans="1:13" x14ac:dyDescent="0.25">
      <c r="A956" s="418"/>
      <c r="B956" s="463"/>
      <c r="C956" s="418"/>
      <c r="D956" s="419"/>
      <c r="E956" s="420"/>
      <c r="F956" s="420"/>
      <c r="G956" s="418"/>
      <c r="H956" s="434"/>
      <c r="I956" s="419"/>
      <c r="J956" s="420"/>
      <c r="K956" s="420"/>
      <c r="L956" s="418"/>
      <c r="M956" s="420"/>
    </row>
    <row r="957" spans="1:13" x14ac:dyDescent="0.25">
      <c r="A957" s="418"/>
      <c r="B957" s="463"/>
      <c r="C957" s="418"/>
      <c r="D957" s="419"/>
      <c r="E957" s="420"/>
      <c r="F957" s="420"/>
      <c r="G957" s="418"/>
      <c r="H957" s="434"/>
      <c r="I957" s="419"/>
      <c r="J957" s="420"/>
      <c r="K957" s="420"/>
      <c r="L957" s="418"/>
      <c r="M957" s="420"/>
    </row>
    <row r="958" spans="1:13" x14ac:dyDescent="0.25">
      <c r="A958" s="418"/>
      <c r="B958" s="463"/>
      <c r="C958" s="418"/>
      <c r="D958" s="419"/>
      <c r="E958" s="420"/>
      <c r="F958" s="420"/>
      <c r="G958" s="418"/>
      <c r="H958" s="434"/>
      <c r="I958" s="419"/>
      <c r="J958" s="420"/>
      <c r="K958" s="420"/>
      <c r="L958" s="418"/>
      <c r="M958" s="420"/>
    </row>
    <row r="959" spans="1:13" x14ac:dyDescent="0.25">
      <c r="A959" s="418"/>
      <c r="B959" s="463"/>
      <c r="C959" s="418"/>
      <c r="D959" s="419"/>
      <c r="E959" s="420"/>
      <c r="F959" s="420"/>
      <c r="G959" s="418"/>
      <c r="H959" s="434"/>
      <c r="I959" s="419"/>
      <c r="J959" s="420"/>
      <c r="K959" s="420"/>
      <c r="L959" s="418"/>
      <c r="M959" s="420"/>
    </row>
    <row r="960" spans="1:13" x14ac:dyDescent="0.25">
      <c r="A960" s="418"/>
      <c r="B960" s="463"/>
      <c r="C960" s="418"/>
      <c r="D960" s="419"/>
      <c r="E960" s="420"/>
      <c r="F960" s="420"/>
      <c r="G960" s="418"/>
      <c r="H960" s="434"/>
      <c r="I960" s="419"/>
      <c r="J960" s="420"/>
      <c r="K960" s="420"/>
      <c r="L960" s="418"/>
      <c r="M960" s="420"/>
    </row>
    <row r="961" spans="1:13" x14ac:dyDescent="0.25">
      <c r="A961" s="418"/>
      <c r="B961" s="463"/>
      <c r="C961" s="418"/>
      <c r="D961" s="419"/>
      <c r="E961" s="420"/>
      <c r="F961" s="420"/>
      <c r="G961" s="418"/>
      <c r="H961" s="434"/>
      <c r="I961" s="419"/>
      <c r="J961" s="420"/>
      <c r="K961" s="420"/>
      <c r="L961" s="418"/>
      <c r="M961" s="420"/>
    </row>
    <row r="962" spans="1:13" x14ac:dyDescent="0.25">
      <c r="A962" s="418"/>
      <c r="B962" s="463"/>
      <c r="C962" s="418"/>
      <c r="D962" s="419"/>
      <c r="E962" s="420"/>
      <c r="F962" s="420"/>
      <c r="G962" s="418"/>
      <c r="H962" s="434"/>
      <c r="I962" s="419"/>
      <c r="J962" s="420"/>
      <c r="K962" s="420"/>
      <c r="L962" s="418"/>
      <c r="M962" s="420"/>
    </row>
    <row r="963" spans="1:13" x14ac:dyDescent="0.25">
      <c r="A963" s="418"/>
      <c r="B963" s="463"/>
      <c r="C963" s="418"/>
      <c r="D963" s="419"/>
      <c r="E963" s="420"/>
      <c r="F963" s="420"/>
      <c r="G963" s="418"/>
      <c r="H963" s="434"/>
      <c r="I963" s="419"/>
      <c r="J963" s="420"/>
      <c r="K963" s="420"/>
      <c r="L963" s="418"/>
      <c r="M963" s="420"/>
    </row>
    <row r="964" spans="1:13" x14ac:dyDescent="0.25">
      <c r="A964" s="418"/>
      <c r="B964" s="463"/>
      <c r="C964" s="418"/>
      <c r="D964" s="419"/>
      <c r="E964" s="420"/>
      <c r="F964" s="420"/>
      <c r="G964" s="418"/>
      <c r="H964" s="434"/>
      <c r="I964" s="419"/>
      <c r="J964" s="420"/>
      <c r="K964" s="420"/>
      <c r="L964" s="418"/>
      <c r="M964" s="420"/>
    </row>
    <row r="965" spans="1:13" x14ac:dyDescent="0.25">
      <c r="A965" s="418"/>
      <c r="B965" s="463"/>
      <c r="C965" s="418"/>
      <c r="D965" s="419"/>
      <c r="E965" s="420"/>
      <c r="F965" s="420"/>
      <c r="G965" s="418"/>
      <c r="H965" s="434"/>
      <c r="I965" s="419"/>
      <c r="J965" s="420"/>
      <c r="K965" s="420"/>
      <c r="L965" s="418"/>
      <c r="M965" s="420"/>
    </row>
    <row r="966" spans="1:13" x14ac:dyDescent="0.25">
      <c r="A966" s="418"/>
      <c r="B966" s="463"/>
      <c r="C966" s="418"/>
      <c r="D966" s="419"/>
      <c r="E966" s="420"/>
      <c r="F966" s="420"/>
      <c r="G966" s="418"/>
      <c r="H966" s="434"/>
      <c r="I966" s="419"/>
      <c r="J966" s="420"/>
      <c r="K966" s="420"/>
      <c r="L966" s="418"/>
      <c r="M966" s="420"/>
    </row>
    <row r="967" spans="1:13" x14ac:dyDescent="0.25">
      <c r="A967" s="418"/>
      <c r="B967" s="463"/>
      <c r="C967" s="418"/>
      <c r="D967" s="419"/>
      <c r="E967" s="420"/>
      <c r="F967" s="420"/>
      <c r="G967" s="418"/>
      <c r="H967" s="434"/>
      <c r="I967" s="419"/>
      <c r="J967" s="420"/>
      <c r="K967" s="420"/>
      <c r="L967" s="418"/>
      <c r="M967" s="420"/>
    </row>
    <row r="968" spans="1:13" x14ac:dyDescent="0.25">
      <c r="A968" s="436" t="s">
        <v>81</v>
      </c>
      <c r="B968" s="517"/>
      <c r="C968" s="459">
        <f>SUM(C707:C967)</f>
        <v>133812</v>
      </c>
      <c r="D968" s="438"/>
      <c r="E968" s="438"/>
      <c r="F968" s="438">
        <f>SUM(F707:F967)</f>
        <v>1899450.8389999999</v>
      </c>
      <c r="G968" s="437"/>
      <c r="H968" s="459">
        <f>SUM(H707:H967)</f>
        <v>133812</v>
      </c>
      <c r="I968" s="518"/>
      <c r="J968" s="438"/>
      <c r="K968" s="438">
        <f>SUM(K707:K967)</f>
        <v>1911314.2100000016</v>
      </c>
      <c r="L968" s="437"/>
      <c r="M968" s="438">
        <f>SUM(M707:M717)</f>
        <v>2752.2000000000003</v>
      </c>
    </row>
    <row r="969" spans="1:13" ht="15.75" thickBot="1" x14ac:dyDescent="0.3">
      <c r="A969" s="439" t="s">
        <v>189</v>
      </c>
      <c r="B969" s="519"/>
      <c r="C969" s="441">
        <f>SumByColor($A$159, C707:C967)</f>
        <v>0</v>
      </c>
      <c r="D969" s="441"/>
      <c r="E969" s="441"/>
      <c r="F969" s="442">
        <f>SumByColor($A$159, F707:F967)</f>
        <v>0</v>
      </c>
      <c r="G969" s="441"/>
      <c r="H969" s="441">
        <f>SumByColor($A$159, H707:H967)</f>
        <v>0</v>
      </c>
      <c r="I969" s="441"/>
      <c r="J969" s="442"/>
      <c r="K969" s="442">
        <f>SumByColor($A$159, K707:K967)</f>
        <v>0</v>
      </c>
      <c r="L969" s="441"/>
      <c r="M969" s="442">
        <f>SumByColor($A$159, M707:M967)</f>
        <v>0</v>
      </c>
    </row>
    <row r="970" spans="1:13" x14ac:dyDescent="0.25">
      <c r="A970" s="418"/>
      <c r="B970" s="463"/>
      <c r="C970" s="418"/>
      <c r="D970" s="419"/>
      <c r="E970" s="420"/>
      <c r="F970" s="420"/>
      <c r="G970" s="418"/>
      <c r="H970" s="434"/>
      <c r="I970" s="419"/>
      <c r="J970" s="420"/>
      <c r="K970" s="420"/>
      <c r="L970" s="418"/>
      <c r="M970" s="420"/>
    </row>
  </sheetData>
  <mergeCells count="5">
    <mergeCell ref="O23:P23"/>
    <mergeCell ref="A80:A82"/>
    <mergeCell ref="A87:A90"/>
    <mergeCell ref="A96:A99"/>
    <mergeCell ref="A100:A104"/>
  </mergeCells>
  <conditionalFormatting sqref="F453:F471 H453:H471 H606 F606 H677:H701 F677:F701 F181:F270 H181:H270 H323:H327 F323:F327 K163:K333 F337:F340 H337:H340 K338:K340 H350:H352 F350:F352 K350:K352 K396:K398 F396:F398 H396:H398 H403 F403 K403 K408 F408 H408 H412 F412 K412 K434 F434 H434 H441:H443 F441:F443 K441:K443">
    <cfRule type="expression" dxfId="1621" priority="271">
      <formula>F163&gt;0</formula>
    </cfRule>
    <cfRule type="expression" dxfId="1620" priority="272">
      <formula>F163&lt;0</formula>
    </cfRule>
  </conditionalFormatting>
  <conditionalFormatting sqref="O24:O61">
    <cfRule type="colorScale" priority="269">
      <colorScale>
        <cfvo type="min"/>
        <cfvo type="percentile" val="50"/>
        <cfvo type="max"/>
        <color rgb="FFF8696B"/>
        <color rgb="FFFFEB84"/>
        <color rgb="FF63BE7B"/>
      </colorScale>
    </cfRule>
  </conditionalFormatting>
  <conditionalFormatting sqref="P24:P61">
    <cfRule type="colorScale" priority="268">
      <colorScale>
        <cfvo type="min"/>
        <cfvo type="percentile" val="50"/>
        <cfvo type="max"/>
        <color rgb="FFF8696B"/>
        <color rgb="FFFFEB84"/>
        <color rgb="FF63BE7B"/>
      </colorScale>
    </cfRule>
  </conditionalFormatting>
  <conditionalFormatting sqref="Z89:Z1048576">
    <cfRule type="dataBar" priority="267">
      <dataBar>
        <cfvo type="min"/>
        <cfvo type="max"/>
        <color rgb="FFFF555A"/>
      </dataBar>
      <extLst>
        <ext xmlns:x14="http://schemas.microsoft.com/office/spreadsheetml/2009/9/main" uri="{B025F937-C7B1-47D3-B67F-A62EFF666E3E}">
          <x14:id>{C8DFB105-6FDF-45F6-A8C4-AC09349E11B6}</x14:id>
        </ext>
      </extLst>
    </cfRule>
  </conditionalFormatting>
  <conditionalFormatting sqref="AA89:AA1048576">
    <cfRule type="iconSet" priority="266">
      <iconSet iconSet="3Arrows">
        <cfvo type="percent" val="0"/>
        <cfvo type="num" val="0"/>
        <cfvo type="num" val="0"/>
      </iconSet>
    </cfRule>
  </conditionalFormatting>
  <conditionalFormatting sqref="F446:F452">
    <cfRule type="expression" dxfId="1619" priority="264">
      <formula>F446&gt;0</formula>
    </cfRule>
    <cfRule type="expression" dxfId="1618" priority="265">
      <formula>F446&lt;0</formula>
    </cfRule>
  </conditionalFormatting>
  <conditionalFormatting sqref="H446:H452">
    <cfRule type="expression" dxfId="1617" priority="260">
      <formula>H446&gt;0</formula>
    </cfRule>
    <cfRule type="expression" dxfId="1616" priority="261">
      <formula>H446&lt;0</formula>
    </cfRule>
  </conditionalFormatting>
  <conditionalFormatting sqref="Q8">
    <cfRule type="expression" dxfId="1615" priority="246">
      <formula>Q8&gt;0</formula>
    </cfRule>
    <cfRule type="expression" dxfId="1614" priority="247">
      <formula>Q8&lt;0</formula>
    </cfRule>
  </conditionalFormatting>
  <conditionalFormatting sqref="Q7">
    <cfRule type="expression" dxfId="1613" priority="248">
      <formula>Q7&gt;0</formula>
    </cfRule>
    <cfRule type="expression" dxfId="1612" priority="249">
      <formula>Q7&lt;0</formula>
    </cfRule>
  </conditionalFormatting>
  <conditionalFormatting sqref="F554:F560">
    <cfRule type="expression" dxfId="1611" priority="220">
      <formula>F554&gt;0</formula>
    </cfRule>
    <cfRule type="expression" dxfId="1610" priority="221">
      <formula>F554&lt;0</formula>
    </cfRule>
  </conditionalFormatting>
  <conditionalFormatting sqref="F479:F497 H479:H497">
    <cfRule type="expression" dxfId="1609" priority="242">
      <formula>F479&gt;0</formula>
    </cfRule>
    <cfRule type="expression" dxfId="1608" priority="243">
      <formula>F479&lt;0</formula>
    </cfRule>
  </conditionalFormatting>
  <conditionalFormatting sqref="F472:F478">
    <cfRule type="expression" dxfId="1607" priority="240">
      <formula>F472&gt;0</formula>
    </cfRule>
    <cfRule type="expression" dxfId="1606" priority="241">
      <formula>F472&lt;0</formula>
    </cfRule>
  </conditionalFormatting>
  <conditionalFormatting sqref="H472:H478">
    <cfRule type="expression" dxfId="1605" priority="238">
      <formula>H472&gt;0</formula>
    </cfRule>
    <cfRule type="expression" dxfId="1604" priority="239">
      <formula>H472&lt;0</formula>
    </cfRule>
  </conditionalFormatting>
  <conditionalFormatting sqref="F505:F523 H505:H523">
    <cfRule type="expression" dxfId="1603" priority="236">
      <formula>F505&gt;0</formula>
    </cfRule>
    <cfRule type="expression" dxfId="1602" priority="237">
      <formula>F505&lt;0</formula>
    </cfRule>
  </conditionalFormatting>
  <conditionalFormatting sqref="F498:F504">
    <cfRule type="expression" dxfId="1601" priority="234">
      <formula>F498&gt;0</formula>
    </cfRule>
    <cfRule type="expression" dxfId="1600" priority="235">
      <formula>F498&lt;0</formula>
    </cfRule>
  </conditionalFormatting>
  <conditionalFormatting sqref="H498:H504">
    <cfRule type="expression" dxfId="1599" priority="232">
      <formula>H498&gt;0</formula>
    </cfRule>
    <cfRule type="expression" dxfId="1598" priority="233">
      <formula>H498&lt;0</formula>
    </cfRule>
  </conditionalFormatting>
  <conditionalFormatting sqref="F531:F548 H531:H548">
    <cfRule type="expression" dxfId="1597" priority="230">
      <formula>F531&gt;0</formula>
    </cfRule>
    <cfRule type="expression" dxfId="1596" priority="231">
      <formula>F531&lt;0</formula>
    </cfRule>
  </conditionalFormatting>
  <conditionalFormatting sqref="F524:F530">
    <cfRule type="expression" dxfId="1595" priority="228">
      <formula>F524&gt;0</formula>
    </cfRule>
    <cfRule type="expression" dxfId="1594" priority="229">
      <formula>F524&lt;0</formula>
    </cfRule>
  </conditionalFormatting>
  <conditionalFormatting sqref="H524:H530">
    <cfRule type="expression" dxfId="1593" priority="226">
      <formula>H524&gt;0</formula>
    </cfRule>
    <cfRule type="expression" dxfId="1592" priority="227">
      <formula>H524&lt;0</formula>
    </cfRule>
  </conditionalFormatting>
  <conditionalFormatting sqref="F549:F553 H549:H553">
    <cfRule type="expression" dxfId="1591" priority="224">
      <formula>F549&gt;0</formula>
    </cfRule>
    <cfRule type="expression" dxfId="1590" priority="225">
      <formula>F549&lt;0</formula>
    </cfRule>
  </conditionalFormatting>
  <conditionalFormatting sqref="F561:F576 H561:H576">
    <cfRule type="expression" dxfId="1589" priority="222">
      <formula>F561&gt;0</formula>
    </cfRule>
    <cfRule type="expression" dxfId="1588" priority="223">
      <formula>F561&lt;0</formula>
    </cfRule>
  </conditionalFormatting>
  <conditionalFormatting sqref="H554:H560">
    <cfRule type="expression" dxfId="1587" priority="218">
      <formula>H554&gt;0</formula>
    </cfRule>
    <cfRule type="expression" dxfId="1586" priority="219">
      <formula>H554&lt;0</formula>
    </cfRule>
  </conditionalFormatting>
  <conditionalFormatting sqref="F577 H577">
    <cfRule type="expression" dxfId="1585" priority="216">
      <formula>F577&gt;0</formula>
    </cfRule>
    <cfRule type="expression" dxfId="1584" priority="217">
      <formula>F577&lt;0</formula>
    </cfRule>
  </conditionalFormatting>
  <conditionalFormatting sqref="F578:F582 H578:H582">
    <cfRule type="expression" dxfId="1583" priority="214">
      <formula>F578&gt;0</formula>
    </cfRule>
    <cfRule type="expression" dxfId="1582" priority="215">
      <formula>F578&lt;0</formula>
    </cfRule>
  </conditionalFormatting>
  <conditionalFormatting sqref="F590:F605 H590:H605">
    <cfRule type="expression" dxfId="1581" priority="212">
      <formula>F590&gt;0</formula>
    </cfRule>
    <cfRule type="expression" dxfId="1580" priority="213">
      <formula>F590&lt;0</formula>
    </cfRule>
  </conditionalFormatting>
  <conditionalFormatting sqref="F583:F589">
    <cfRule type="expression" dxfId="1579" priority="210">
      <formula>F583&gt;0</formula>
    </cfRule>
    <cfRule type="expression" dxfId="1578" priority="211">
      <formula>F583&lt;0</formula>
    </cfRule>
  </conditionalFormatting>
  <conditionalFormatting sqref="H583:H589">
    <cfRule type="expression" dxfId="1577" priority="208">
      <formula>H583&gt;0</formula>
    </cfRule>
    <cfRule type="expression" dxfId="1576" priority="209">
      <formula>H583&lt;0</formula>
    </cfRule>
  </conditionalFormatting>
  <conditionalFormatting sqref="F607:F612 H607:H612">
    <cfRule type="expression" dxfId="1575" priority="206">
      <formula>F607&gt;0</formula>
    </cfRule>
    <cfRule type="expression" dxfId="1574" priority="207">
      <formula>F607&lt;0</formula>
    </cfRule>
  </conditionalFormatting>
  <conditionalFormatting sqref="F613 H613">
    <cfRule type="expression" dxfId="1573" priority="204">
      <formula>F613&gt;0</formula>
    </cfRule>
    <cfRule type="expression" dxfId="1572" priority="205">
      <formula>F613&lt;0</formula>
    </cfRule>
  </conditionalFormatting>
  <conditionalFormatting sqref="F614:F618 H614:H618">
    <cfRule type="expression" dxfId="1571" priority="202">
      <formula>F614&gt;0</formula>
    </cfRule>
    <cfRule type="expression" dxfId="1570" priority="203">
      <formula>F614&lt;0</formula>
    </cfRule>
  </conditionalFormatting>
  <conditionalFormatting sqref="F626:F641 H626:H641">
    <cfRule type="expression" dxfId="1569" priority="200">
      <formula>F626&gt;0</formula>
    </cfRule>
    <cfRule type="expression" dxfId="1568" priority="201">
      <formula>F626&lt;0</formula>
    </cfRule>
  </conditionalFormatting>
  <conditionalFormatting sqref="F619:F625">
    <cfRule type="expression" dxfId="1567" priority="198">
      <formula>F619&gt;0</formula>
    </cfRule>
    <cfRule type="expression" dxfId="1566" priority="199">
      <formula>F619&lt;0</formula>
    </cfRule>
  </conditionalFormatting>
  <conditionalFormatting sqref="H619:H625">
    <cfRule type="expression" dxfId="1565" priority="196">
      <formula>H619&gt;0</formula>
    </cfRule>
    <cfRule type="expression" dxfId="1564" priority="197">
      <formula>H619&lt;0</formula>
    </cfRule>
  </conditionalFormatting>
  <conditionalFormatting sqref="F642:F647 H642:H647">
    <cfRule type="expression" dxfId="1563" priority="194">
      <formula>F642&gt;0</formula>
    </cfRule>
    <cfRule type="expression" dxfId="1562" priority="195">
      <formula>F642&lt;0</formula>
    </cfRule>
  </conditionalFormatting>
  <conditionalFormatting sqref="F648 H648">
    <cfRule type="expression" dxfId="1561" priority="192">
      <formula>F648&gt;0</formula>
    </cfRule>
    <cfRule type="expression" dxfId="1560" priority="193">
      <formula>F648&lt;0</formula>
    </cfRule>
  </conditionalFormatting>
  <conditionalFormatting sqref="F649:F653 H649:H653">
    <cfRule type="expression" dxfId="1559" priority="190">
      <formula>F649&gt;0</formula>
    </cfRule>
    <cfRule type="expression" dxfId="1558" priority="191">
      <formula>F649&lt;0</formula>
    </cfRule>
  </conditionalFormatting>
  <conditionalFormatting sqref="F661:F676 H661:H676">
    <cfRule type="expression" dxfId="1557" priority="188">
      <formula>F661&gt;0</formula>
    </cfRule>
    <cfRule type="expression" dxfId="1556" priority="189">
      <formula>F661&lt;0</formula>
    </cfRule>
  </conditionalFormatting>
  <conditionalFormatting sqref="F654:F660">
    <cfRule type="expression" dxfId="1555" priority="186">
      <formula>F654&gt;0</formula>
    </cfRule>
    <cfRule type="expression" dxfId="1554" priority="187">
      <formula>F654&lt;0</formula>
    </cfRule>
  </conditionalFormatting>
  <conditionalFormatting sqref="H654:H660">
    <cfRule type="expression" dxfId="1553" priority="184">
      <formula>H654&gt;0</formula>
    </cfRule>
    <cfRule type="expression" dxfId="1552" priority="185">
      <formula>H654&lt;0</formula>
    </cfRule>
  </conditionalFormatting>
  <conditionalFormatting sqref="M705">
    <cfRule type="expression" dxfId="1551" priority="182">
      <formula>M705&gt;0</formula>
    </cfRule>
    <cfRule type="expression" dxfId="1550" priority="183">
      <formula>M705&lt;0</formula>
    </cfRule>
  </conditionalFormatting>
  <conditionalFormatting sqref="F169:F180">
    <cfRule type="expression" dxfId="1549" priority="178">
      <formula>F169&gt;0</formula>
    </cfRule>
    <cfRule type="expression" dxfId="1548" priority="179">
      <formula>F169&lt;0</formula>
    </cfRule>
  </conditionalFormatting>
  <conditionalFormatting sqref="H169:H180">
    <cfRule type="expression" dxfId="1547" priority="176">
      <formula>H169&gt;0</formula>
    </cfRule>
    <cfRule type="expression" dxfId="1546" priority="177">
      <formula>H169&lt;0</formula>
    </cfRule>
  </conditionalFormatting>
  <conditionalFormatting sqref="F163:F168 H163:H168">
    <cfRule type="expression" dxfId="1545" priority="174">
      <formula>F163&gt;0</formula>
    </cfRule>
    <cfRule type="expression" dxfId="1544" priority="175">
      <formula>F163&lt;0</formula>
    </cfRule>
  </conditionalFormatting>
  <conditionalFormatting sqref="J165">
    <cfRule type="expression" dxfId="1543" priority="172">
      <formula>J165&gt;0</formula>
    </cfRule>
    <cfRule type="expression" dxfId="1542" priority="173">
      <formula>J165&lt;0</formula>
    </cfRule>
  </conditionalFormatting>
  <conditionalFormatting sqref="J166:J172">
    <cfRule type="expression" dxfId="1541" priority="170">
      <formula>J166&gt;0</formula>
    </cfRule>
    <cfRule type="expression" dxfId="1540" priority="171">
      <formula>J166&lt;0</formula>
    </cfRule>
  </conditionalFormatting>
  <conditionalFormatting sqref="L165:L247 L254 L256">
    <cfRule type="expression" dxfId="1539" priority="166">
      <formula>L165&gt;0</formula>
    </cfRule>
    <cfRule type="expression" dxfId="1538" priority="167">
      <formula>L165&lt;0</formula>
    </cfRule>
  </conditionalFormatting>
  <conditionalFormatting sqref="Q10">
    <cfRule type="expression" dxfId="1537" priority="164">
      <formula>Q10&gt;0</formula>
    </cfRule>
    <cfRule type="expression" dxfId="1536" priority="165">
      <formula>Q10&lt;0</formula>
    </cfRule>
  </conditionalFormatting>
  <conditionalFormatting sqref="H276:H278 F276:F278">
    <cfRule type="expression" dxfId="1535" priority="161">
      <formula>F276&gt;0</formula>
    </cfRule>
    <cfRule type="expression" dxfId="1534" priority="162">
      <formula>F276&lt;0</formula>
    </cfRule>
  </conditionalFormatting>
  <conditionalFormatting sqref="H272:H274 F272:F274">
    <cfRule type="expression" dxfId="1533" priority="159">
      <formula>F272&gt;0</formula>
    </cfRule>
    <cfRule type="expression" dxfId="1532" priority="160">
      <formula>F272&lt;0</formula>
    </cfRule>
  </conditionalFormatting>
  <conditionalFormatting sqref="H271 F271">
    <cfRule type="expression" dxfId="1531" priority="157">
      <formula>F271&gt;0</formula>
    </cfRule>
    <cfRule type="expression" dxfId="1530" priority="158">
      <formula>F271&lt;0</formula>
    </cfRule>
  </conditionalFormatting>
  <conditionalFormatting sqref="H275 F275">
    <cfRule type="expression" dxfId="1529" priority="155">
      <formula>F275&gt;0</formula>
    </cfRule>
    <cfRule type="expression" dxfId="1528" priority="156">
      <formula>F275&lt;0</formula>
    </cfRule>
  </conditionalFormatting>
  <conditionalFormatting sqref="H281:H284 F281:F284">
    <cfRule type="expression" dxfId="1527" priority="151">
      <formula>F281&gt;0</formula>
    </cfRule>
    <cfRule type="expression" dxfId="1526" priority="152">
      <formula>F281&lt;0</formula>
    </cfRule>
  </conditionalFormatting>
  <conditionalFormatting sqref="H279:H280 F279:F280">
    <cfRule type="expression" dxfId="1525" priority="149">
      <formula>F279&gt;0</formula>
    </cfRule>
    <cfRule type="expression" dxfId="1524" priority="150">
      <formula>F279&lt;0</formula>
    </cfRule>
  </conditionalFormatting>
  <conditionalFormatting sqref="H306 F306">
    <cfRule type="expression" dxfId="1523" priority="147">
      <formula>F306&gt;0</formula>
    </cfRule>
    <cfRule type="expression" dxfId="1522" priority="148">
      <formula>F306&lt;0</formula>
    </cfRule>
  </conditionalFormatting>
  <conditionalFormatting sqref="H287:H289 F287:F289">
    <cfRule type="expression" dxfId="1521" priority="145">
      <formula>F287&gt;0</formula>
    </cfRule>
    <cfRule type="expression" dxfId="1520" priority="146">
      <formula>F287&lt;0</formula>
    </cfRule>
  </conditionalFormatting>
  <conditionalFormatting sqref="H285:H286 F285:F286">
    <cfRule type="expression" dxfId="1519" priority="143">
      <formula>F285&gt;0</formula>
    </cfRule>
    <cfRule type="expression" dxfId="1518" priority="144">
      <formula>F285&lt;0</formula>
    </cfRule>
  </conditionalFormatting>
  <conditionalFormatting sqref="H299:H301 F299:F301">
    <cfRule type="expression" dxfId="1517" priority="141">
      <formula>F299&gt;0</formula>
    </cfRule>
    <cfRule type="expression" dxfId="1516" priority="142">
      <formula>F299&lt;0</formula>
    </cfRule>
  </conditionalFormatting>
  <conditionalFormatting sqref="H298 F298">
    <cfRule type="expression" dxfId="1515" priority="139">
      <formula>F298&gt;0</formula>
    </cfRule>
    <cfRule type="expression" dxfId="1514" priority="140">
      <formula>F298&lt;0</formula>
    </cfRule>
  </conditionalFormatting>
  <conditionalFormatting sqref="H295:H297 F295:F297">
    <cfRule type="expression" dxfId="1513" priority="137">
      <formula>F295&gt;0</formula>
    </cfRule>
    <cfRule type="expression" dxfId="1512" priority="138">
      <formula>F295&lt;0</formula>
    </cfRule>
  </conditionalFormatting>
  <conditionalFormatting sqref="H294 F294">
    <cfRule type="expression" dxfId="1511" priority="135">
      <formula>F294&gt;0</formula>
    </cfRule>
    <cfRule type="expression" dxfId="1510" priority="136">
      <formula>F294&lt;0</formula>
    </cfRule>
  </conditionalFormatting>
  <conditionalFormatting sqref="H291:H293 F291:F293">
    <cfRule type="expression" dxfId="1509" priority="133">
      <formula>F291&gt;0</formula>
    </cfRule>
    <cfRule type="expression" dxfId="1508" priority="134">
      <formula>F291&lt;0</formula>
    </cfRule>
  </conditionalFormatting>
  <conditionalFormatting sqref="H290 F290">
    <cfRule type="expression" dxfId="1507" priority="131">
      <formula>F290&gt;0</formula>
    </cfRule>
    <cfRule type="expression" dxfId="1506" priority="132">
      <formula>F290&lt;0</formula>
    </cfRule>
  </conditionalFormatting>
  <conditionalFormatting sqref="H303:H305 F303:F305">
    <cfRule type="expression" dxfId="1505" priority="129">
      <formula>F303&gt;0</formula>
    </cfRule>
    <cfRule type="expression" dxfId="1504" priority="130">
      <formula>F303&lt;0</formula>
    </cfRule>
  </conditionalFormatting>
  <conditionalFormatting sqref="H302 F302">
    <cfRule type="expression" dxfId="1503" priority="127">
      <formula>F302&gt;0</formula>
    </cfRule>
    <cfRule type="expression" dxfId="1502" priority="128">
      <formula>F302&lt;0</formula>
    </cfRule>
  </conditionalFormatting>
  <conditionalFormatting sqref="H310 F310">
    <cfRule type="expression" dxfId="1501" priority="123">
      <formula>F310&gt;0</formula>
    </cfRule>
    <cfRule type="expression" dxfId="1500" priority="124">
      <formula>F310&lt;0</formula>
    </cfRule>
  </conditionalFormatting>
  <conditionalFormatting sqref="H307:H309 F307:F309">
    <cfRule type="expression" dxfId="1499" priority="121">
      <formula>F307&gt;0</formula>
    </cfRule>
    <cfRule type="expression" dxfId="1498" priority="122">
      <formula>F307&lt;0</formula>
    </cfRule>
  </conditionalFormatting>
  <conditionalFormatting sqref="H321:H322 F321:F322">
    <cfRule type="expression" dxfId="1497" priority="119">
      <formula>F321&gt;0</formula>
    </cfRule>
    <cfRule type="expression" dxfId="1496" priority="120">
      <formula>F321&lt;0</formula>
    </cfRule>
  </conditionalFormatting>
  <conditionalFormatting sqref="H317:H320 F317:F320">
    <cfRule type="expression" dxfId="1495" priority="115">
      <formula>F317&gt;0</formula>
    </cfRule>
    <cfRule type="expression" dxfId="1494" priority="116">
      <formula>F317&lt;0</formula>
    </cfRule>
  </conditionalFormatting>
  <conditionalFormatting sqref="H315:H316 F315:F316">
    <cfRule type="expression" dxfId="1493" priority="113">
      <formula>F315&gt;0</formula>
    </cfRule>
    <cfRule type="expression" dxfId="1492" priority="114">
      <formula>F315&lt;0</formula>
    </cfRule>
  </conditionalFormatting>
  <conditionalFormatting sqref="H311:H314 F311:F314">
    <cfRule type="expression" dxfId="1491" priority="109">
      <formula>F311&gt;0</formula>
    </cfRule>
    <cfRule type="expression" dxfId="1490" priority="110">
      <formula>F311&lt;0</formula>
    </cfRule>
  </conditionalFormatting>
  <conditionalFormatting sqref="F330:F333 H330:H333">
    <cfRule type="expression" dxfId="1489" priority="107">
      <formula>F330&gt;0</formula>
    </cfRule>
    <cfRule type="expression" dxfId="1488" priority="108">
      <formula>F330&lt;0</formula>
    </cfRule>
  </conditionalFormatting>
  <conditionalFormatting sqref="F328:F329 H328:H329">
    <cfRule type="expression" dxfId="1487" priority="105">
      <formula>F328&gt;0</formula>
    </cfRule>
    <cfRule type="expression" dxfId="1486" priority="106">
      <formula>F328&lt;0</formula>
    </cfRule>
  </conditionalFormatting>
  <conditionalFormatting sqref="F334:F336 H334:H336 K334:K337">
    <cfRule type="expression" dxfId="1485" priority="99">
      <formula>F334&gt;0</formula>
    </cfRule>
    <cfRule type="expression" dxfId="1484" priority="100">
      <formula>F334&lt;0</formula>
    </cfRule>
  </conditionalFormatting>
  <conditionalFormatting sqref="H341:H343 F341:F343 K341:K344">
    <cfRule type="expression" dxfId="1483" priority="95">
      <formula>F341&gt;0</formula>
    </cfRule>
    <cfRule type="expression" dxfId="1482" priority="96">
      <formula>F341&lt;0</formula>
    </cfRule>
  </conditionalFormatting>
  <conditionalFormatting sqref="H344:H347 F344:F347 K345:K347">
    <cfRule type="expression" dxfId="1481" priority="93">
      <formula>F344&gt;0</formula>
    </cfRule>
    <cfRule type="expression" dxfId="1480" priority="94">
      <formula>F344&lt;0</formula>
    </cfRule>
  </conditionalFormatting>
  <conditionalFormatting sqref="H348:H349 F348:F349 K348:K349">
    <cfRule type="expression" dxfId="1479" priority="91">
      <formula>F348&gt;0</formula>
    </cfRule>
    <cfRule type="expression" dxfId="1478" priority="92">
      <formula>F348&lt;0</formula>
    </cfRule>
  </conditionalFormatting>
  <conditionalFormatting sqref="K365 F365 H365">
    <cfRule type="expression" dxfId="1477" priority="89">
      <formula>F365&gt;0</formula>
    </cfRule>
    <cfRule type="expression" dxfId="1476" priority="90">
      <formula>F365&lt;0</formula>
    </cfRule>
  </conditionalFormatting>
  <conditionalFormatting sqref="K353:K355 F353:F355 H353:H355">
    <cfRule type="expression" dxfId="1475" priority="87">
      <formula>F353&gt;0</formula>
    </cfRule>
    <cfRule type="expression" dxfId="1474" priority="88">
      <formula>F353&lt;0</formula>
    </cfRule>
  </conditionalFormatting>
  <conditionalFormatting sqref="F357:F359 H357:H359 K357:K359">
    <cfRule type="expression" dxfId="1473" priority="83">
      <formula>F357&gt;0</formula>
    </cfRule>
    <cfRule type="expression" dxfId="1472" priority="84">
      <formula>F357&lt;0</formula>
    </cfRule>
  </conditionalFormatting>
  <conditionalFormatting sqref="K356 F356 H356">
    <cfRule type="expression" dxfId="1471" priority="81">
      <formula>F356&gt;0</formula>
    </cfRule>
    <cfRule type="expression" dxfId="1470" priority="82">
      <formula>F356&lt;0</formula>
    </cfRule>
  </conditionalFormatting>
  <conditionalFormatting sqref="K360:K361 F360:F361 H360:H361">
    <cfRule type="expression" dxfId="1469" priority="79">
      <formula>F360&gt;0</formula>
    </cfRule>
    <cfRule type="expression" dxfId="1468" priority="80">
      <formula>F360&lt;0</formula>
    </cfRule>
  </conditionalFormatting>
  <conditionalFormatting sqref="K362:K364 F362:F364 H362:H364">
    <cfRule type="expression" dxfId="1467" priority="73">
      <formula>F362&gt;0</formula>
    </cfRule>
    <cfRule type="expression" dxfId="1466" priority="74">
      <formula>F362&lt;0</formula>
    </cfRule>
  </conditionalFormatting>
  <conditionalFormatting sqref="F370:F372 H370:H372">
    <cfRule type="expression" dxfId="1465" priority="71">
      <formula>F370&gt;0</formula>
    </cfRule>
    <cfRule type="expression" dxfId="1464" priority="72">
      <formula>F370&lt;0</formula>
    </cfRule>
  </conditionalFormatting>
  <conditionalFormatting sqref="F369 H369">
    <cfRule type="expression" dxfId="1463" priority="69">
      <formula>F369&gt;0</formula>
    </cfRule>
    <cfRule type="expression" dxfId="1462" priority="70">
      <formula>F369&lt;0</formula>
    </cfRule>
  </conditionalFormatting>
  <conditionalFormatting sqref="F366:F368 H366:H368 K366:K372">
    <cfRule type="expression" dxfId="1461" priority="67">
      <formula>F366&gt;0</formula>
    </cfRule>
    <cfRule type="expression" dxfId="1460" priority="68">
      <formula>F366&lt;0</formula>
    </cfRule>
  </conditionalFormatting>
  <conditionalFormatting sqref="K373 F373 H373">
    <cfRule type="expression" dxfId="1459" priority="65">
      <formula>F373&gt;0</formula>
    </cfRule>
    <cfRule type="expression" dxfId="1458" priority="66">
      <formula>F373&lt;0</formula>
    </cfRule>
  </conditionalFormatting>
  <conditionalFormatting sqref="K374:K376 F374:F376 H374:H376">
    <cfRule type="expression" dxfId="1457" priority="63">
      <formula>F374&gt;0</formula>
    </cfRule>
    <cfRule type="expression" dxfId="1456" priority="64">
      <formula>F374&lt;0</formula>
    </cfRule>
  </conditionalFormatting>
  <conditionalFormatting sqref="K381 F381 H381">
    <cfRule type="expression" dxfId="1455" priority="61">
      <formula>F381&gt;0</formula>
    </cfRule>
    <cfRule type="expression" dxfId="1454" priority="62">
      <formula>F381&lt;0</formula>
    </cfRule>
  </conditionalFormatting>
  <conditionalFormatting sqref="F378:F380 H378:H380 K378:K380">
    <cfRule type="expression" dxfId="1453" priority="59">
      <formula>F378&gt;0</formula>
    </cfRule>
    <cfRule type="expression" dxfId="1452" priority="60">
      <formula>F378&lt;0</formula>
    </cfRule>
  </conditionalFormatting>
  <conditionalFormatting sqref="K377 F377 H377">
    <cfRule type="expression" dxfId="1451" priority="57">
      <formula>F377&gt;0</formula>
    </cfRule>
    <cfRule type="expression" dxfId="1450" priority="58">
      <formula>F377&lt;0</formula>
    </cfRule>
  </conditionalFormatting>
  <conditionalFormatting sqref="F386:F388 H386:H388 K386:K388">
    <cfRule type="expression" dxfId="1449" priority="55">
      <formula>F386&gt;0</formula>
    </cfRule>
    <cfRule type="expression" dxfId="1448" priority="56">
      <formula>F386&lt;0</formula>
    </cfRule>
  </conditionalFormatting>
  <conditionalFormatting sqref="K385 F385 H385">
    <cfRule type="expression" dxfId="1447" priority="53">
      <formula>F385&gt;0</formula>
    </cfRule>
    <cfRule type="expression" dxfId="1446" priority="54">
      <formula>F385&lt;0</formula>
    </cfRule>
  </conditionalFormatting>
  <conditionalFormatting sqref="K382:K384 F382:F384 H382:H384">
    <cfRule type="expression" dxfId="1445" priority="51">
      <formula>F382&gt;0</formula>
    </cfRule>
    <cfRule type="expression" dxfId="1444" priority="52">
      <formula>F382&lt;0</formula>
    </cfRule>
  </conditionalFormatting>
  <conditionalFormatting sqref="K395 F395 H395">
    <cfRule type="expression" dxfId="1443" priority="49">
      <formula>F395&gt;0</formula>
    </cfRule>
    <cfRule type="expression" dxfId="1442" priority="50">
      <formula>F395&lt;0</formula>
    </cfRule>
  </conditionalFormatting>
  <conditionalFormatting sqref="K390 F390 H390">
    <cfRule type="expression" dxfId="1441" priority="47">
      <formula>F390&gt;0</formula>
    </cfRule>
    <cfRule type="expression" dxfId="1440" priority="48">
      <formula>F390&lt;0</formula>
    </cfRule>
  </conditionalFormatting>
  <conditionalFormatting sqref="K389 F389 H389">
    <cfRule type="expression" dxfId="1439" priority="45">
      <formula>F389&gt;0</formula>
    </cfRule>
    <cfRule type="expression" dxfId="1438" priority="46">
      <formula>F389&lt;0</formula>
    </cfRule>
  </conditionalFormatting>
  <conditionalFormatting sqref="F391:F393 H391:H393 K391:K393">
    <cfRule type="expression" dxfId="1437" priority="43">
      <formula>F391&gt;0</formula>
    </cfRule>
    <cfRule type="expression" dxfId="1436" priority="44">
      <formula>F391&lt;0</formula>
    </cfRule>
  </conditionalFormatting>
  <conditionalFormatting sqref="K394 F394 H394">
    <cfRule type="expression" dxfId="1435" priority="41">
      <formula>F394&gt;0</formula>
    </cfRule>
    <cfRule type="expression" dxfId="1434" priority="42">
      <formula>F394&lt;0</formula>
    </cfRule>
  </conditionalFormatting>
  <conditionalFormatting sqref="H399 F399 K399">
    <cfRule type="expression" dxfId="1433" priority="35">
      <formula>F399&gt;0</formula>
    </cfRule>
    <cfRule type="expression" dxfId="1432" priority="36">
      <formula>F399&lt;0</formula>
    </cfRule>
  </conditionalFormatting>
  <conditionalFormatting sqref="H400:H402 F400:F402 K400:K402">
    <cfRule type="expression" dxfId="1431" priority="33">
      <formula>F400&gt;0</formula>
    </cfRule>
    <cfRule type="expression" dxfId="1430" priority="34">
      <formula>F400&lt;0</formula>
    </cfRule>
  </conditionalFormatting>
  <conditionalFormatting sqref="K407 F407 H407">
    <cfRule type="expression" dxfId="1429" priority="29">
      <formula>F407&gt;0</formula>
    </cfRule>
    <cfRule type="expression" dxfId="1428" priority="30">
      <formula>F407&lt;0</formula>
    </cfRule>
  </conditionalFormatting>
  <conditionalFormatting sqref="K404:K406 F404:F406 H404:H406">
    <cfRule type="expression" dxfId="1427" priority="27">
      <formula>F404&gt;0</formula>
    </cfRule>
    <cfRule type="expression" dxfId="1426" priority="28">
      <formula>F404&lt;0</formula>
    </cfRule>
  </conditionalFormatting>
  <conditionalFormatting sqref="H409:H411 F409:F411 K409:K411">
    <cfRule type="expression" dxfId="1425" priority="25">
      <formula>F409&gt;0</formula>
    </cfRule>
    <cfRule type="expression" dxfId="1424" priority="26">
      <formula>F409&lt;0</formula>
    </cfRule>
  </conditionalFormatting>
  <conditionalFormatting sqref="K417:K419 F417:F419 H417:H419">
    <cfRule type="expression" dxfId="1423" priority="23">
      <formula>F417&gt;0</formula>
    </cfRule>
    <cfRule type="expression" dxfId="1422" priority="24">
      <formula>F417&lt;0</formula>
    </cfRule>
  </conditionalFormatting>
  <conditionalFormatting sqref="K416 F416 H416">
    <cfRule type="expression" dxfId="1421" priority="21">
      <formula>F416&gt;0</formula>
    </cfRule>
    <cfRule type="expression" dxfId="1420" priority="22">
      <formula>F416&lt;0</formula>
    </cfRule>
  </conditionalFormatting>
  <conditionalFormatting sqref="K413:K415 F413:F415 H413:H415">
    <cfRule type="expression" dxfId="1419" priority="19">
      <formula>F413&gt;0</formula>
    </cfRule>
    <cfRule type="expression" dxfId="1418" priority="20">
      <formula>F413&lt;0</formula>
    </cfRule>
  </conditionalFormatting>
  <conditionalFormatting sqref="K424 F424 H424">
    <cfRule type="expression" dxfId="1417" priority="17">
      <formula>F424&gt;0</formula>
    </cfRule>
    <cfRule type="expression" dxfId="1416" priority="18">
      <formula>F424&lt;0</formula>
    </cfRule>
  </conditionalFormatting>
  <conditionalFormatting sqref="K421:K423 F421:F423 H421:H423">
    <cfRule type="expression" dxfId="1415" priority="15">
      <formula>F421&gt;0</formula>
    </cfRule>
    <cfRule type="expression" dxfId="1414" priority="16">
      <formula>F421&lt;0</formula>
    </cfRule>
  </conditionalFormatting>
  <conditionalFormatting sqref="K420 F420 H420">
    <cfRule type="expression" dxfId="1413" priority="13">
      <formula>F420&gt;0</formula>
    </cfRule>
    <cfRule type="expression" dxfId="1412" priority="14">
      <formula>F420&lt;0</formula>
    </cfRule>
  </conditionalFormatting>
  <conditionalFormatting sqref="K425:K427 F425:F427 H425:H427">
    <cfRule type="expression" dxfId="1411" priority="11">
      <formula>F425&gt;0</formula>
    </cfRule>
    <cfRule type="expression" dxfId="1410" priority="12">
      <formula>F425&lt;0</formula>
    </cfRule>
  </conditionalFormatting>
  <conditionalFormatting sqref="H435:H437 F435:F437 K435:K437">
    <cfRule type="expression" dxfId="1409" priority="7">
      <formula>F435&gt;0</formula>
    </cfRule>
    <cfRule type="expression" dxfId="1408" priority="8">
      <formula>F435&lt;0</formula>
    </cfRule>
  </conditionalFormatting>
  <conditionalFormatting sqref="H431:H433 F431:F433 K431:K433">
    <cfRule type="expression" dxfId="1407" priority="5">
      <formula>F431&gt;0</formula>
    </cfRule>
    <cfRule type="expression" dxfId="1406" priority="6">
      <formula>F431&lt;0</formula>
    </cfRule>
  </conditionalFormatting>
  <conditionalFormatting sqref="H428:H430 F428:F430 K428:K430">
    <cfRule type="expression" dxfId="1405" priority="3">
      <formula>F428&gt;0</formula>
    </cfRule>
    <cfRule type="expression" dxfId="1404" priority="4">
      <formula>F428&lt;0</formula>
    </cfRule>
  </conditionalFormatting>
  <conditionalFormatting sqref="H438:H440 F438:F440 K438:K440">
    <cfRule type="expression" dxfId="1" priority="1">
      <formula>F438&gt;0</formula>
    </cfRule>
    <cfRule type="expression" dxfId="0" priority="2">
      <formula>F438&lt;0</formula>
    </cfRule>
  </conditionalFormatting>
  <hyperlinks>
    <hyperlink ref="A3" location="ACTIVE!A1" display="Back"/>
    <hyperlink ref="A708"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C8DFB105-6FDF-45F6-A8C4-AC09349E11B6}">
            <x14:dataBar minLength="0" maxLength="100" border="1" negativeBarBorderColorSameAsPositive="0">
              <x14:cfvo type="autoMin"/>
              <x14:cfvo type="autoMax"/>
              <x14:borderColor rgb="FFFF555A"/>
              <x14:negativeFillColor rgb="FFFF0000"/>
              <x14:negativeBorderColor rgb="FFFF0000"/>
              <x14:axisColor rgb="FF000000"/>
            </x14:dataBar>
          </x14:cfRule>
          <xm:sqref>Z89:Z1048576</xm:sqref>
        </x14:conditionalFormatting>
      </x14:conditionalFormattings>
    </ext>
  </extLst>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AN68"/>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140625" customWidth="1"/>
    <col min="23" max="23" width="11.7109375" customWidth="1"/>
    <col min="24" max="27" width="6" bestFit="1" customWidth="1"/>
    <col min="28" max="28" width="10.140625" bestFit="1" customWidth="1"/>
    <col min="29" max="29" width="10.28515625" bestFit="1"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c r="W1" s="88" t="s">
        <v>113</v>
      </c>
      <c r="X1" s="88" t="s">
        <v>114</v>
      </c>
      <c r="Y1" s="88" t="s">
        <v>115</v>
      </c>
      <c r="Z1" s="88" t="s">
        <v>116</v>
      </c>
      <c r="AA1" s="88" t="s">
        <v>117</v>
      </c>
      <c r="AB1" s="88" t="s">
        <v>118</v>
      </c>
      <c r="AC1" s="88" t="s">
        <v>119</v>
      </c>
      <c r="AD1" s="11" t="s">
        <v>125</v>
      </c>
      <c r="AE1" s="11" t="s">
        <v>127</v>
      </c>
    </row>
    <row r="2" spans="1:40" x14ac:dyDescent="0.25">
      <c r="A2" s="6" t="s">
        <v>198</v>
      </c>
      <c r="B2" s="69"/>
      <c r="C2" s="4"/>
      <c r="D2" s="3"/>
      <c r="E2" s="3"/>
      <c r="F2" s="3"/>
      <c r="G2" s="69"/>
      <c r="H2" s="4"/>
      <c r="I2" s="3"/>
      <c r="J2" s="3"/>
      <c r="K2" s="3"/>
      <c r="L2" s="4"/>
      <c r="O2" s="11" t="s">
        <v>57</v>
      </c>
      <c r="Q2">
        <f>C18-H18</f>
        <v>0</v>
      </c>
      <c r="W2" s="127">
        <v>42830</v>
      </c>
      <c r="X2" s="10">
        <v>38.74</v>
      </c>
      <c r="Y2" s="10">
        <v>39.24</v>
      </c>
      <c r="Z2" s="10">
        <v>38.590000000000003</v>
      </c>
      <c r="AA2" s="10">
        <v>38.82</v>
      </c>
      <c r="AB2" s="90">
        <v>5371900</v>
      </c>
      <c r="AC2" s="10">
        <v>38.82</v>
      </c>
      <c r="AD2" s="2">
        <f>Y2-Z2</f>
        <v>0.64999999999999858</v>
      </c>
      <c r="AE2" s="131">
        <f>AC2/AC3-1</f>
        <v>3.1007751937983663E-3</v>
      </c>
    </row>
    <row r="3" spans="1:40" x14ac:dyDescent="0.25">
      <c r="A3" s="22" t="s">
        <v>71</v>
      </c>
      <c r="B3" s="154"/>
      <c r="C3" s="4"/>
      <c r="D3" s="3"/>
      <c r="E3" s="3"/>
      <c r="F3" s="3"/>
      <c r="G3" s="69"/>
      <c r="H3" s="158"/>
      <c r="I3" s="3"/>
      <c r="J3" s="3"/>
      <c r="K3" s="3"/>
      <c r="L3" s="4"/>
      <c r="O3" s="11" t="s">
        <v>58</v>
      </c>
      <c r="Q3" s="174">
        <f>IF(Q2=0, Q4, (F18-K18-M18)/Q2)</f>
        <v>20.86</v>
      </c>
      <c r="W3" s="127">
        <v>42829</v>
      </c>
      <c r="X3" s="10">
        <v>38.979999999999997</v>
      </c>
      <c r="Y3" s="10">
        <v>39.020000000000003</v>
      </c>
      <c r="Z3" s="10">
        <v>38.340000000000003</v>
      </c>
      <c r="AA3" s="10">
        <v>38.700000000000003</v>
      </c>
      <c r="AB3" s="90">
        <v>5412500</v>
      </c>
      <c r="AC3" s="10">
        <v>38.700000000000003</v>
      </c>
      <c r="AD3" s="2">
        <f t="shared" ref="AD3:AD66" si="0">Y3-Z3</f>
        <v>0.67999999999999972</v>
      </c>
      <c r="AE3" s="131">
        <f t="shared" ref="AE3:AE66" si="1">AC3/AC4-1</f>
        <v>-7.9466803383746454E-3</v>
      </c>
      <c r="AG3" s="1"/>
      <c r="AK3" s="178"/>
      <c r="AN3" s="178"/>
    </row>
    <row r="4" spans="1:40" x14ac:dyDescent="0.25">
      <c r="B4" s="154"/>
      <c r="C4" s="4"/>
      <c r="D4" s="3"/>
      <c r="E4" s="3"/>
      <c r="F4" s="3"/>
      <c r="G4" s="69"/>
      <c r="H4" s="158"/>
      <c r="I4" s="3"/>
      <c r="J4" s="3"/>
      <c r="K4" s="3"/>
      <c r="L4" s="4"/>
      <c r="O4" s="11" t="s">
        <v>66</v>
      </c>
      <c r="Q4" s="53">
        <v>20.86</v>
      </c>
      <c r="R4" s="411">
        <v>4.7999999999999996E-3</v>
      </c>
      <c r="T4" s="1"/>
      <c r="W4" s="127">
        <v>42828</v>
      </c>
      <c r="X4" s="10">
        <v>38.630000000000003</v>
      </c>
      <c r="Y4" s="10">
        <v>39.159999999999997</v>
      </c>
      <c r="Z4" s="10">
        <v>38.57</v>
      </c>
      <c r="AA4" s="10">
        <v>39.01</v>
      </c>
      <c r="AB4" s="90">
        <v>7571700</v>
      </c>
      <c r="AC4" s="10">
        <v>39.01</v>
      </c>
      <c r="AD4" s="2">
        <f t="shared" si="0"/>
        <v>0.58999999999999631</v>
      </c>
      <c r="AE4" s="131">
        <f t="shared" si="1"/>
        <v>5.129520389841602E-4</v>
      </c>
      <c r="AK4" s="178"/>
      <c r="AN4" s="178"/>
    </row>
    <row r="5" spans="1:40" x14ac:dyDescent="0.25">
      <c r="B5" s="69"/>
      <c r="C5" s="4"/>
      <c r="D5" s="3"/>
      <c r="E5" s="3"/>
      <c r="F5" s="3"/>
      <c r="G5" s="69"/>
      <c r="H5" s="158"/>
      <c r="I5" s="3"/>
      <c r="J5" s="3"/>
      <c r="K5" s="3"/>
      <c r="L5" s="4"/>
      <c r="O5" s="11" t="s">
        <v>67</v>
      </c>
      <c r="Q5" s="3">
        <f>Q4*Q2</f>
        <v>0</v>
      </c>
      <c r="T5" s="1"/>
      <c r="W5" s="127">
        <v>42825</v>
      </c>
      <c r="X5" s="10">
        <v>39.479999999999997</v>
      </c>
      <c r="Y5" s="10">
        <v>39.659999999999997</v>
      </c>
      <c r="Z5" s="10">
        <v>38.950000000000003</v>
      </c>
      <c r="AA5" s="10">
        <v>38.99</v>
      </c>
      <c r="AB5" s="90">
        <v>6547000</v>
      </c>
      <c r="AC5" s="10">
        <v>38.99</v>
      </c>
      <c r="AD5" s="2">
        <f t="shared" si="0"/>
        <v>0.70999999999999375</v>
      </c>
      <c r="AE5" s="131">
        <f t="shared" si="1"/>
        <v>-1.5155342258146076E-2</v>
      </c>
      <c r="AK5" s="178"/>
      <c r="AN5" s="178"/>
    </row>
    <row r="6" spans="1:40" x14ac:dyDescent="0.25">
      <c r="B6" s="154"/>
      <c r="C6" s="4"/>
      <c r="D6" s="3"/>
      <c r="E6" s="3"/>
      <c r="F6" s="3"/>
      <c r="G6" s="69"/>
      <c r="H6" s="158"/>
      <c r="I6" s="3"/>
      <c r="J6" s="3"/>
      <c r="K6" s="3"/>
      <c r="L6" s="4"/>
      <c r="O6" s="11" t="s">
        <v>64</v>
      </c>
      <c r="Q6" s="2">
        <f>Q3*Q2</f>
        <v>0</v>
      </c>
      <c r="W6" s="127">
        <v>42824</v>
      </c>
      <c r="X6" s="10">
        <v>40.21</v>
      </c>
      <c r="Y6" s="10">
        <v>40.43</v>
      </c>
      <c r="Z6" s="10">
        <v>39.5</v>
      </c>
      <c r="AA6" s="10">
        <v>39.590000000000003</v>
      </c>
      <c r="AB6" s="90">
        <v>7330600</v>
      </c>
      <c r="AC6" s="10">
        <v>39.590000000000003</v>
      </c>
      <c r="AD6" s="2">
        <f t="shared" si="0"/>
        <v>0.92999999999999972</v>
      </c>
      <c r="AE6" s="131">
        <f t="shared" si="1"/>
        <v>-1.883519206939277E-2</v>
      </c>
      <c r="AK6" s="178"/>
      <c r="AN6" s="178"/>
    </row>
    <row r="7" spans="1:40" x14ac:dyDescent="0.25">
      <c r="B7" s="154"/>
      <c r="C7" s="4"/>
      <c r="D7" s="3"/>
      <c r="E7" s="3"/>
      <c r="F7" s="3"/>
      <c r="G7" s="69"/>
      <c r="H7" s="158"/>
      <c r="I7" s="3"/>
      <c r="J7" s="3"/>
      <c r="K7" s="3"/>
      <c r="L7" s="4"/>
      <c r="O7" s="11" t="s">
        <v>175</v>
      </c>
      <c r="Q7" s="2">
        <f>Q10+Q8</f>
        <v>555.54</v>
      </c>
      <c r="R7">
        <v>0</v>
      </c>
      <c r="W7" s="127">
        <v>42823</v>
      </c>
      <c r="X7" s="10">
        <v>41.5</v>
      </c>
      <c r="Y7" s="10">
        <v>41.89</v>
      </c>
      <c r="Z7" s="10">
        <v>40.130000000000003</v>
      </c>
      <c r="AA7" s="10">
        <v>40.35</v>
      </c>
      <c r="AB7" s="90">
        <v>10190700</v>
      </c>
      <c r="AC7" s="10">
        <v>40.35</v>
      </c>
      <c r="AD7" s="2">
        <f t="shared" si="0"/>
        <v>1.759999999999998</v>
      </c>
      <c r="AE7" s="131">
        <f t="shared" si="1"/>
        <v>-3.2837967401725732E-2</v>
      </c>
      <c r="AK7" s="178"/>
      <c r="AN7" s="178"/>
    </row>
    <row r="8" spans="1:40" x14ac:dyDescent="0.25">
      <c r="B8" s="69"/>
      <c r="C8" s="4"/>
      <c r="D8" s="3"/>
      <c r="E8" s="3"/>
      <c r="F8" s="3"/>
      <c r="G8" s="69"/>
      <c r="H8" s="158"/>
      <c r="I8" s="3"/>
      <c r="J8" s="3"/>
      <c r="K8" s="3"/>
      <c r="L8" s="4"/>
      <c r="O8" s="11" t="s">
        <v>177</v>
      </c>
      <c r="P8" s="33"/>
      <c r="Q8" s="2">
        <f>K18+M18-F18+Q2*Q4</f>
        <v>0</v>
      </c>
      <c r="W8" s="127">
        <v>42822</v>
      </c>
      <c r="X8" s="10">
        <v>41.94</v>
      </c>
      <c r="Y8" s="10">
        <v>42.48</v>
      </c>
      <c r="Z8" s="10">
        <v>41.55</v>
      </c>
      <c r="AA8" s="10">
        <v>41.72</v>
      </c>
      <c r="AB8" s="90">
        <v>4381200</v>
      </c>
      <c r="AC8" s="10">
        <v>41.72</v>
      </c>
      <c r="AD8" s="2">
        <f t="shared" si="0"/>
        <v>0.92999999999999972</v>
      </c>
      <c r="AE8" s="131">
        <f t="shared" si="1"/>
        <v>2.397506593143639E-4</v>
      </c>
      <c r="AK8" s="178"/>
      <c r="AN8" s="178"/>
    </row>
    <row r="9" spans="1:40" x14ac:dyDescent="0.25">
      <c r="B9" s="69"/>
      <c r="C9" s="4"/>
      <c r="D9" s="3"/>
      <c r="E9" s="3"/>
      <c r="F9" s="3"/>
      <c r="G9" s="69"/>
      <c r="H9" s="158"/>
      <c r="I9" s="3"/>
      <c r="J9" s="3"/>
      <c r="K9" s="3"/>
      <c r="L9" s="4"/>
      <c r="O9" s="11" t="s">
        <v>202</v>
      </c>
      <c r="Q9" s="131">
        <f>IF(Q2=0, 0, Q8/Q6)</f>
        <v>0</v>
      </c>
      <c r="T9" s="148"/>
      <c r="W9" s="127">
        <v>42821</v>
      </c>
      <c r="X9" s="10">
        <v>40.86</v>
      </c>
      <c r="Y9" s="10">
        <v>41.75</v>
      </c>
      <c r="Z9" s="10">
        <v>40.79</v>
      </c>
      <c r="AA9" s="10">
        <v>41.71</v>
      </c>
      <c r="AB9" s="90">
        <v>8048700</v>
      </c>
      <c r="AC9" s="10">
        <v>41.71</v>
      </c>
      <c r="AD9" s="2">
        <f t="shared" si="0"/>
        <v>0.96000000000000085</v>
      </c>
      <c r="AE9" s="131">
        <f t="shared" si="1"/>
        <v>1.8310546875E-2</v>
      </c>
    </row>
    <row r="10" spans="1:40" x14ac:dyDescent="0.25">
      <c r="B10" s="69"/>
      <c r="C10" s="4"/>
      <c r="D10" s="3"/>
      <c r="E10" s="3"/>
      <c r="F10" s="3"/>
      <c r="G10" s="69"/>
      <c r="H10" s="4"/>
      <c r="I10" s="4"/>
      <c r="J10" s="4"/>
      <c r="K10" s="3"/>
      <c r="L10" s="4"/>
      <c r="O10" s="11" t="s">
        <v>201</v>
      </c>
      <c r="P10" s="33"/>
      <c r="Q10" s="2">
        <f>M35</f>
        <v>555.54</v>
      </c>
      <c r="W10" s="127">
        <v>42818</v>
      </c>
      <c r="X10" s="10">
        <v>40.28</v>
      </c>
      <c r="Y10" s="10">
        <v>41.27</v>
      </c>
      <c r="Z10" s="10">
        <v>40.25</v>
      </c>
      <c r="AA10" s="10">
        <v>40.96</v>
      </c>
      <c r="AB10" s="90">
        <v>24449000</v>
      </c>
      <c r="AC10" s="10">
        <v>40.96</v>
      </c>
      <c r="AD10" s="2">
        <f t="shared" si="0"/>
        <v>1.0200000000000031</v>
      </c>
      <c r="AE10" s="131">
        <f t="shared" si="1"/>
        <v>-1.5621244893054498E-2</v>
      </c>
    </row>
    <row r="11" spans="1:40" x14ac:dyDescent="0.25">
      <c r="B11" s="69"/>
      <c r="C11" s="4"/>
      <c r="D11" s="3"/>
      <c r="E11" s="3"/>
      <c r="F11" s="3"/>
      <c r="G11" s="69"/>
      <c r="H11" s="4"/>
      <c r="I11" s="4"/>
      <c r="J11" s="4"/>
      <c r="K11" s="3"/>
      <c r="L11" s="4"/>
      <c r="O11" s="11" t="s">
        <v>173</v>
      </c>
      <c r="P11" s="33"/>
      <c r="Q11" s="131">
        <f>IF(U58="N/A (N/A)", 0, VALUE(TRIM(CLEAN(MID(U58, FIND("(", U58)+1, 5)))))</f>
        <v>0</v>
      </c>
      <c r="W11" s="127">
        <v>42817</v>
      </c>
      <c r="X11" s="10">
        <v>41.2</v>
      </c>
      <c r="Y11" s="10">
        <v>42.06</v>
      </c>
      <c r="Z11" s="10">
        <v>41.12</v>
      </c>
      <c r="AA11" s="10">
        <v>41.61</v>
      </c>
      <c r="AB11" s="90">
        <v>4924900</v>
      </c>
      <c r="AC11" s="10">
        <v>41.61</v>
      </c>
      <c r="AD11" s="2">
        <f t="shared" si="0"/>
        <v>0.94000000000000483</v>
      </c>
      <c r="AE11" s="131">
        <f t="shared" si="1"/>
        <v>-2.1582733812950394E-3</v>
      </c>
    </row>
    <row r="12" spans="1:40" x14ac:dyDescent="0.25">
      <c r="B12" s="69"/>
      <c r="C12" s="4"/>
      <c r="D12" s="3"/>
      <c r="E12" s="3"/>
      <c r="F12" s="3"/>
      <c r="G12" s="69"/>
      <c r="H12" s="4"/>
      <c r="I12" s="4"/>
      <c r="J12" s="4"/>
      <c r="K12" s="3"/>
      <c r="L12" s="4"/>
      <c r="W12" s="127">
        <v>42816</v>
      </c>
      <c r="X12" s="10">
        <v>41.6</v>
      </c>
      <c r="Y12" s="10">
        <v>41.86</v>
      </c>
      <c r="Z12" s="10">
        <v>41.37</v>
      </c>
      <c r="AA12" s="10">
        <v>41.7</v>
      </c>
      <c r="AB12" s="90">
        <v>4355800</v>
      </c>
      <c r="AC12" s="10">
        <v>41.7</v>
      </c>
      <c r="AD12" s="2">
        <f t="shared" si="0"/>
        <v>0.49000000000000199</v>
      </c>
      <c r="AE12" s="131">
        <f t="shared" si="1"/>
        <v>7.1994240460759862E-4</v>
      </c>
    </row>
    <row r="13" spans="1:40" x14ac:dyDescent="0.25">
      <c r="B13" s="69"/>
      <c r="C13" s="4"/>
      <c r="D13" s="3"/>
      <c r="E13" s="3"/>
      <c r="F13" s="3"/>
      <c r="G13" s="69"/>
      <c r="H13" s="4"/>
      <c r="I13" s="3"/>
      <c r="J13" s="4"/>
      <c r="K13" s="3"/>
      <c r="L13" s="4"/>
      <c r="W13" s="127">
        <v>42815</v>
      </c>
      <c r="X13" s="10">
        <v>42.17</v>
      </c>
      <c r="Y13" s="10">
        <v>42.17</v>
      </c>
      <c r="Z13" s="10">
        <v>41.58</v>
      </c>
      <c r="AA13" s="10">
        <v>41.67</v>
      </c>
      <c r="AB13" s="90">
        <v>4211200</v>
      </c>
      <c r="AC13" s="10">
        <v>41.67</v>
      </c>
      <c r="AD13" s="2">
        <f t="shared" si="0"/>
        <v>0.59000000000000341</v>
      </c>
      <c r="AE13" s="131">
        <f t="shared" si="1"/>
        <v>-1.1856770215793233E-2</v>
      </c>
    </row>
    <row r="14" spans="1:40" x14ac:dyDescent="0.25">
      <c r="B14" s="69"/>
      <c r="C14" s="4"/>
      <c r="D14" s="3"/>
      <c r="E14" s="3"/>
      <c r="F14" s="3"/>
      <c r="G14" s="69"/>
      <c r="H14" s="4"/>
      <c r="I14" s="4"/>
      <c r="J14" s="4"/>
      <c r="K14" s="3"/>
      <c r="L14" s="4"/>
      <c r="W14" s="127">
        <v>42814</v>
      </c>
      <c r="X14" s="10">
        <v>42.1</v>
      </c>
      <c r="Y14" s="10">
        <v>42.52</v>
      </c>
      <c r="Z14" s="10">
        <v>41.95</v>
      </c>
      <c r="AA14" s="10">
        <v>42.17</v>
      </c>
      <c r="AB14" s="90">
        <v>4965300</v>
      </c>
      <c r="AC14" s="10">
        <v>42.17</v>
      </c>
      <c r="AD14" s="2">
        <f t="shared" si="0"/>
        <v>0.57000000000000028</v>
      </c>
      <c r="AE14" s="131">
        <f t="shared" si="1"/>
        <v>3.3309540804187243E-3</v>
      </c>
    </row>
    <row r="15" spans="1:40" x14ac:dyDescent="0.25">
      <c r="B15" s="4"/>
      <c r="C15" s="4"/>
      <c r="D15" s="3"/>
      <c r="E15" s="3"/>
      <c r="F15" s="3"/>
      <c r="G15" s="69"/>
      <c r="H15" s="4"/>
      <c r="I15" s="4"/>
      <c r="J15" s="4"/>
      <c r="K15" s="3"/>
      <c r="L15" s="4"/>
      <c r="W15" s="127">
        <v>42811</v>
      </c>
      <c r="X15" s="10">
        <v>42.59</v>
      </c>
      <c r="Y15" s="10">
        <v>42.63</v>
      </c>
      <c r="Z15" s="10">
        <v>41.94</v>
      </c>
      <c r="AA15" s="10">
        <v>42.03</v>
      </c>
      <c r="AB15" s="90">
        <v>6065600</v>
      </c>
      <c r="AC15" s="10">
        <v>42.03</v>
      </c>
      <c r="AD15" s="2">
        <f t="shared" si="0"/>
        <v>0.69000000000000483</v>
      </c>
      <c r="AE15" s="131">
        <f t="shared" si="1"/>
        <v>-1.0826076723935096E-2</v>
      </c>
    </row>
    <row r="16" spans="1:40" x14ac:dyDescent="0.25">
      <c r="G16" s="1"/>
      <c r="W16" s="127">
        <v>42810</v>
      </c>
      <c r="X16" s="10">
        <v>42.71</v>
      </c>
      <c r="Y16" s="10">
        <v>42.89</v>
      </c>
      <c r="Z16" s="10">
        <v>42.3</v>
      </c>
      <c r="AA16" s="10">
        <v>42.49</v>
      </c>
      <c r="AB16" s="90">
        <v>4343000</v>
      </c>
      <c r="AC16" s="10">
        <v>42.49</v>
      </c>
      <c r="AD16" s="2">
        <f t="shared" si="0"/>
        <v>0.59000000000000341</v>
      </c>
      <c r="AE16" s="131">
        <f t="shared" si="1"/>
        <v>-7.9383609619424478E-3</v>
      </c>
    </row>
    <row r="17" spans="1:31" x14ac:dyDescent="0.25">
      <c r="G17" s="1"/>
      <c r="W17" s="127">
        <v>42809</v>
      </c>
      <c r="X17" s="10">
        <v>42.89</v>
      </c>
      <c r="Y17" s="10">
        <v>43</v>
      </c>
      <c r="Z17" s="10">
        <v>42.6</v>
      </c>
      <c r="AA17" s="10">
        <v>42.83</v>
      </c>
      <c r="AB17" s="90">
        <v>6843500</v>
      </c>
      <c r="AC17" s="10">
        <v>42.83</v>
      </c>
      <c r="AD17" s="2">
        <f t="shared" si="0"/>
        <v>0.39999999999999858</v>
      </c>
      <c r="AE17" s="131">
        <f t="shared" si="1"/>
        <v>1.4028524666820363E-3</v>
      </c>
    </row>
    <row r="18" spans="1:31" x14ac:dyDescent="0.25">
      <c r="A18" s="31" t="s">
        <v>81</v>
      </c>
      <c r="B18" s="14"/>
      <c r="C18" s="14">
        <f>SUM(C2:C14)</f>
        <v>0</v>
      </c>
      <c r="D18" s="14"/>
      <c r="E18" s="14"/>
      <c r="F18" s="18">
        <f t="shared" ref="F18:M18" si="2">SUM(F2:F14)</f>
        <v>0</v>
      </c>
      <c r="G18" s="14"/>
      <c r="H18" s="14">
        <f t="shared" si="2"/>
        <v>0</v>
      </c>
      <c r="I18" s="14"/>
      <c r="J18" s="14"/>
      <c r="K18" s="14">
        <f t="shared" si="2"/>
        <v>0</v>
      </c>
      <c r="L18" s="14">
        <f t="shared" si="2"/>
        <v>0</v>
      </c>
      <c r="M18" s="14">
        <f t="shared" si="2"/>
        <v>0</v>
      </c>
      <c r="W18" s="127">
        <v>42808</v>
      </c>
      <c r="X18" s="10">
        <v>42.68</v>
      </c>
      <c r="Y18" s="10">
        <v>42.93</v>
      </c>
      <c r="Z18" s="10">
        <v>42.32</v>
      </c>
      <c r="AA18" s="10">
        <v>42.77</v>
      </c>
      <c r="AB18" s="90">
        <v>3593100</v>
      </c>
      <c r="AC18" s="10">
        <v>42.77</v>
      </c>
      <c r="AD18" s="2">
        <f t="shared" si="0"/>
        <v>0.60999999999999943</v>
      </c>
      <c r="AE18" s="131">
        <f t="shared" si="1"/>
        <v>-4.8859934853419107E-3</v>
      </c>
    </row>
    <row r="19" spans="1:31" x14ac:dyDescent="0.25">
      <c r="N19" s="2"/>
      <c r="W19" s="127">
        <v>42807</v>
      </c>
      <c r="X19" s="10">
        <v>43.5</v>
      </c>
      <c r="Y19" s="10">
        <v>43.5</v>
      </c>
      <c r="Z19" s="10">
        <v>42.89</v>
      </c>
      <c r="AA19" s="10">
        <v>42.98</v>
      </c>
      <c r="AB19" s="90">
        <v>3180800</v>
      </c>
      <c r="AC19" s="10">
        <v>42.98</v>
      </c>
      <c r="AD19" s="2">
        <f t="shared" si="0"/>
        <v>0.60999999999999943</v>
      </c>
      <c r="AE19" s="131">
        <f t="shared" si="1"/>
        <v>-9.6774193548387899E-3</v>
      </c>
    </row>
    <row r="20" spans="1:31" x14ac:dyDescent="0.25">
      <c r="B20" s="159" t="s">
        <v>113</v>
      </c>
      <c r="C20" s="159" t="s">
        <v>143</v>
      </c>
      <c r="D20" s="160" t="s">
        <v>142</v>
      </c>
      <c r="E20" s="162" t="s">
        <v>144</v>
      </c>
      <c r="F20" s="163" t="s">
        <v>65</v>
      </c>
      <c r="G20" s="173" t="s">
        <v>148</v>
      </c>
      <c r="H20" s="163" t="s">
        <v>88</v>
      </c>
      <c r="I20" s="163" t="s">
        <v>151</v>
      </c>
      <c r="J20" s="163" t="s">
        <v>147</v>
      </c>
      <c r="W20" s="127">
        <v>42804</v>
      </c>
      <c r="X20" s="10">
        <v>43.68</v>
      </c>
      <c r="Y20" s="10">
        <v>43.73</v>
      </c>
      <c r="Z20" s="10">
        <v>42.97</v>
      </c>
      <c r="AA20" s="10">
        <v>43.4</v>
      </c>
      <c r="AB20" s="90">
        <v>3670700</v>
      </c>
      <c r="AC20" s="10">
        <v>43.4</v>
      </c>
      <c r="AD20" s="2">
        <f t="shared" si="0"/>
        <v>0.75999999999999801</v>
      </c>
      <c r="AE20" s="131">
        <f t="shared" si="1"/>
        <v>3.9324543141336932E-3</v>
      </c>
    </row>
    <row r="21" spans="1:31" x14ac:dyDescent="0.25">
      <c r="B21" s="161">
        <v>42998</v>
      </c>
      <c r="C21" s="10">
        <v>60</v>
      </c>
      <c r="D21" s="39">
        <v>30.15</v>
      </c>
      <c r="E21" s="39">
        <v>31.39</v>
      </c>
      <c r="F21" s="39">
        <f>C21*(E21-D21)</f>
        <v>74.400000000000119</v>
      </c>
      <c r="G21" s="39">
        <f>D21*C21</f>
        <v>1809</v>
      </c>
      <c r="H21" s="175">
        <f>(E21-D21)/D21</f>
        <v>4.1127694859038208E-2</v>
      </c>
      <c r="I21" s="175"/>
      <c r="J21" s="175"/>
      <c r="W21" s="127">
        <v>42803</v>
      </c>
      <c r="X21" s="10">
        <v>43.62</v>
      </c>
      <c r="Y21" s="10">
        <v>43.66</v>
      </c>
      <c r="Z21" s="10">
        <v>42.9</v>
      </c>
      <c r="AA21" s="10">
        <v>43.23</v>
      </c>
      <c r="AB21" s="90">
        <v>4386400</v>
      </c>
      <c r="AC21" s="10">
        <v>43.23</v>
      </c>
      <c r="AD21" s="2">
        <f t="shared" si="0"/>
        <v>0.75999999999999801</v>
      </c>
      <c r="AE21" s="131">
        <f t="shared" si="1"/>
        <v>-5.521048999309941E-3</v>
      </c>
    </row>
    <row r="22" spans="1:31" x14ac:dyDescent="0.25">
      <c r="B22" s="161">
        <v>43007</v>
      </c>
      <c r="C22" s="10">
        <v>0</v>
      </c>
      <c r="D22" s="39"/>
      <c r="E22" s="39"/>
      <c r="F22" s="39">
        <v>115.8</v>
      </c>
      <c r="G22" s="39"/>
      <c r="H22" s="175"/>
      <c r="I22" s="175"/>
      <c r="J22" s="639">
        <v>555.58000000000004</v>
      </c>
      <c r="W22" s="127">
        <v>42802</v>
      </c>
      <c r="X22" s="10">
        <v>43.32</v>
      </c>
      <c r="Y22" s="10">
        <v>43.88</v>
      </c>
      <c r="Z22" s="10">
        <v>43.07</v>
      </c>
      <c r="AA22" s="10">
        <v>43.47</v>
      </c>
      <c r="AB22" s="90">
        <v>4298400</v>
      </c>
      <c r="AC22" s="10">
        <v>43.47</v>
      </c>
      <c r="AD22" s="2">
        <f t="shared" si="0"/>
        <v>0.81000000000000227</v>
      </c>
      <c r="AE22" s="131">
        <f t="shared" si="1"/>
        <v>3.2310177705976439E-3</v>
      </c>
    </row>
    <row r="23" spans="1:31" x14ac:dyDescent="0.25">
      <c r="B23" s="161"/>
      <c r="C23" s="10"/>
      <c r="D23" s="39"/>
      <c r="E23" s="39"/>
      <c r="F23" s="39"/>
      <c r="G23" s="39"/>
      <c r="H23" s="175"/>
      <c r="I23" s="175"/>
      <c r="J23" s="175"/>
      <c r="W23" s="127">
        <v>42801</v>
      </c>
      <c r="X23" s="10">
        <v>43.45</v>
      </c>
      <c r="Y23" s="10">
        <v>43.75</v>
      </c>
      <c r="Z23" s="10">
        <v>42.79</v>
      </c>
      <c r="AA23" s="10">
        <v>43.33</v>
      </c>
      <c r="AB23" s="90">
        <v>6581200</v>
      </c>
      <c r="AC23" s="10">
        <v>43.33</v>
      </c>
      <c r="AD23" s="2">
        <f t="shared" si="0"/>
        <v>0.96000000000000085</v>
      </c>
      <c r="AE23" s="131">
        <f t="shared" si="1"/>
        <v>-1.6121707538601315E-2</v>
      </c>
    </row>
    <row r="24" spans="1:31" x14ac:dyDescent="0.25">
      <c r="B24" s="161"/>
      <c r="C24" s="10"/>
      <c r="D24" s="39"/>
      <c r="E24" s="39"/>
      <c r="F24" s="39"/>
      <c r="G24" s="39"/>
      <c r="H24" s="175"/>
      <c r="I24" s="175"/>
      <c r="J24" s="175"/>
      <c r="W24" s="127">
        <v>42800</v>
      </c>
      <c r="X24" s="10">
        <v>45.31</v>
      </c>
      <c r="Y24" s="10">
        <v>45.44</v>
      </c>
      <c r="Z24" s="10">
        <v>43.98</v>
      </c>
      <c r="AA24" s="10">
        <v>44.04</v>
      </c>
      <c r="AB24" s="90">
        <v>5192900</v>
      </c>
      <c r="AC24" s="10">
        <v>44.04</v>
      </c>
      <c r="AD24" s="2">
        <f t="shared" si="0"/>
        <v>1.4600000000000009</v>
      </c>
      <c r="AE24" s="131">
        <f t="shared" si="1"/>
        <v>-2.5232403718459473E-2</v>
      </c>
    </row>
    <row r="25" spans="1:31" x14ac:dyDescent="0.25">
      <c r="B25" s="161"/>
      <c r="C25" s="10"/>
      <c r="D25" s="39"/>
      <c r="E25" s="39"/>
      <c r="F25" s="39"/>
      <c r="G25" s="39"/>
      <c r="H25" s="175"/>
      <c r="I25" s="175"/>
      <c r="J25" s="175"/>
      <c r="W25" s="127">
        <v>42797</v>
      </c>
      <c r="X25" s="10">
        <v>45.21</v>
      </c>
      <c r="Y25" s="10">
        <v>45.75</v>
      </c>
      <c r="Z25" s="10">
        <v>44.91</v>
      </c>
      <c r="AA25" s="10">
        <v>45.18</v>
      </c>
      <c r="AB25" s="90">
        <v>5382300</v>
      </c>
      <c r="AC25" s="10">
        <v>45.18</v>
      </c>
      <c r="AD25" s="2">
        <f t="shared" si="0"/>
        <v>0.84000000000000341</v>
      </c>
      <c r="AE25" s="131">
        <f t="shared" si="1"/>
        <v>-2.2084805653710404E-3</v>
      </c>
    </row>
    <row r="26" spans="1:31" x14ac:dyDescent="0.25">
      <c r="B26" s="161"/>
      <c r="C26" s="10"/>
      <c r="D26" s="39"/>
      <c r="E26" s="39"/>
      <c r="F26" s="39"/>
      <c r="G26" s="39"/>
      <c r="H26" s="175"/>
      <c r="I26" s="175"/>
      <c r="J26" s="175"/>
      <c r="W26" s="127">
        <v>42796</v>
      </c>
      <c r="X26" s="10">
        <v>44.67</v>
      </c>
      <c r="Y26" s="10">
        <v>45.73</v>
      </c>
      <c r="Z26" s="10">
        <v>44.4</v>
      </c>
      <c r="AA26" s="10">
        <v>45.28</v>
      </c>
      <c r="AB26" s="90">
        <v>7208200</v>
      </c>
      <c r="AC26" s="10">
        <v>45.28</v>
      </c>
      <c r="AD26" s="2">
        <f t="shared" si="0"/>
        <v>1.3299999999999983</v>
      </c>
      <c r="AE26" s="131">
        <f t="shared" si="1"/>
        <v>9.1375083574771754E-3</v>
      </c>
    </row>
    <row r="27" spans="1:31" x14ac:dyDescent="0.25">
      <c r="B27" s="161"/>
      <c r="C27" s="10"/>
      <c r="D27" s="39"/>
      <c r="E27" s="39"/>
      <c r="F27" s="39"/>
      <c r="G27" s="39"/>
      <c r="H27" s="175"/>
      <c r="I27" s="175"/>
      <c r="J27" s="175"/>
      <c r="W27" s="127">
        <v>42795</v>
      </c>
      <c r="X27" s="10">
        <v>44.34</v>
      </c>
      <c r="Y27" s="10">
        <v>45.87</v>
      </c>
      <c r="Z27" s="10">
        <v>44.1</v>
      </c>
      <c r="AA27" s="10">
        <v>44.87</v>
      </c>
      <c r="AB27" s="90">
        <v>15915900</v>
      </c>
      <c r="AC27" s="10">
        <v>44.87</v>
      </c>
      <c r="AD27" s="2">
        <f t="shared" si="0"/>
        <v>1.769999999999996</v>
      </c>
      <c r="AE27" s="131">
        <f t="shared" si="1"/>
        <v>7.2162485065710769E-2</v>
      </c>
    </row>
    <row r="28" spans="1:31" x14ac:dyDescent="0.25">
      <c r="B28" s="161"/>
      <c r="C28" s="10"/>
      <c r="D28" s="39"/>
      <c r="E28" s="39"/>
      <c r="F28" s="39"/>
      <c r="G28" s="39"/>
      <c r="H28" s="175"/>
      <c r="I28" s="175"/>
      <c r="J28" s="175"/>
      <c r="W28" s="127">
        <v>42794</v>
      </c>
      <c r="X28" s="10">
        <v>42.45</v>
      </c>
      <c r="Y28" s="10">
        <v>42.48</v>
      </c>
      <c r="Z28" s="10">
        <v>41.42</v>
      </c>
      <c r="AA28" s="10">
        <v>41.85</v>
      </c>
      <c r="AB28" s="90">
        <v>6809700</v>
      </c>
      <c r="AC28" s="10">
        <v>41.85</v>
      </c>
      <c r="AD28" s="2">
        <f t="shared" si="0"/>
        <v>1.0599999999999952</v>
      </c>
      <c r="AE28" s="131">
        <f t="shared" si="1"/>
        <v>-1.3901979264844377E-2</v>
      </c>
    </row>
    <row r="29" spans="1:31" x14ac:dyDescent="0.25">
      <c r="B29" s="161"/>
      <c r="C29" s="10"/>
      <c r="D29" s="39"/>
      <c r="E29" s="39"/>
      <c r="F29" s="39"/>
      <c r="G29" s="39"/>
      <c r="H29" s="175"/>
      <c r="I29" s="175"/>
      <c r="J29" s="175"/>
      <c r="W29" s="127">
        <v>42793</v>
      </c>
      <c r="X29" s="10">
        <v>42.04</v>
      </c>
      <c r="Y29" s="10">
        <v>42.5</v>
      </c>
      <c r="Z29" s="10">
        <v>41.77</v>
      </c>
      <c r="AA29" s="10">
        <v>42.44</v>
      </c>
      <c r="AB29" s="90">
        <v>4057000</v>
      </c>
      <c r="AC29" s="10">
        <v>42.44</v>
      </c>
      <c r="AD29" s="2">
        <f t="shared" si="0"/>
        <v>0.72999999999999687</v>
      </c>
      <c r="AE29" s="131">
        <f t="shared" si="1"/>
        <v>6.6413662239088733E-3</v>
      </c>
    </row>
    <row r="30" spans="1:31" x14ac:dyDescent="0.25">
      <c r="B30" s="161"/>
      <c r="C30" s="10"/>
      <c r="D30" s="39"/>
      <c r="E30" s="39"/>
      <c r="F30" s="39"/>
      <c r="G30" s="39"/>
      <c r="H30" s="175"/>
      <c r="I30" s="175"/>
      <c r="J30" s="175"/>
      <c r="W30" s="127">
        <v>42790</v>
      </c>
      <c r="X30" s="10">
        <v>42.31</v>
      </c>
      <c r="Y30" s="10">
        <v>42.35</v>
      </c>
      <c r="Z30" s="10">
        <v>41.76</v>
      </c>
      <c r="AA30" s="10">
        <v>42.16</v>
      </c>
      <c r="AB30" s="90">
        <v>4853600</v>
      </c>
      <c r="AC30" s="10">
        <v>42.16</v>
      </c>
      <c r="AD30" s="2">
        <f t="shared" si="0"/>
        <v>0.59000000000000341</v>
      </c>
      <c r="AE30" s="131">
        <f t="shared" si="1"/>
        <v>-4.0160642570281624E-3</v>
      </c>
    </row>
    <row r="31" spans="1:31" x14ac:dyDescent="0.25">
      <c r="B31" s="161"/>
      <c r="C31" s="10"/>
      <c r="D31" s="39"/>
      <c r="E31" s="39"/>
      <c r="F31" s="39"/>
      <c r="G31" s="39"/>
      <c r="H31" s="175"/>
      <c r="I31" s="175"/>
      <c r="J31" s="175"/>
      <c r="W31" s="127">
        <v>42789</v>
      </c>
      <c r="X31" s="10">
        <v>42.03</v>
      </c>
      <c r="Y31" s="10">
        <v>42.54</v>
      </c>
      <c r="Z31" s="10">
        <v>41.77</v>
      </c>
      <c r="AA31" s="10">
        <v>42.33</v>
      </c>
      <c r="AB31" s="90">
        <v>4395100</v>
      </c>
      <c r="AC31" s="10">
        <v>42.33</v>
      </c>
      <c r="AD31" s="2">
        <f t="shared" si="0"/>
        <v>0.76999999999999602</v>
      </c>
      <c r="AE31" s="131">
        <f t="shared" si="1"/>
        <v>7.8571428571427848E-3</v>
      </c>
    </row>
    <row r="32" spans="1:31" x14ac:dyDescent="0.25">
      <c r="W32" s="127">
        <v>42788</v>
      </c>
      <c r="X32" s="10">
        <v>42.21</v>
      </c>
      <c r="Y32" s="10">
        <v>42.3</v>
      </c>
      <c r="Z32" s="10">
        <v>41.86</v>
      </c>
      <c r="AA32" s="10">
        <v>42</v>
      </c>
      <c r="AB32" s="90">
        <v>5059300</v>
      </c>
      <c r="AC32" s="10">
        <v>42</v>
      </c>
      <c r="AD32" s="2">
        <f t="shared" si="0"/>
        <v>0.43999999999999773</v>
      </c>
      <c r="AE32" s="131">
        <f t="shared" si="1"/>
        <v>-7.0921985815601829E-3</v>
      </c>
    </row>
    <row r="33" spans="1:31" x14ac:dyDescent="0.25">
      <c r="W33" s="127">
        <v>42787</v>
      </c>
      <c r="X33" s="10">
        <v>42.46</v>
      </c>
      <c r="Y33" s="10">
        <v>42.7</v>
      </c>
      <c r="Z33" s="10">
        <v>42.07</v>
      </c>
      <c r="AA33" s="10">
        <v>42.3</v>
      </c>
      <c r="AB33" s="90">
        <v>7352100</v>
      </c>
      <c r="AC33" s="10">
        <v>42.3</v>
      </c>
      <c r="AD33" s="2">
        <f t="shared" si="0"/>
        <v>0.63000000000000256</v>
      </c>
      <c r="AE33" s="131">
        <f t="shared" si="1"/>
        <v>5.9453032104637149E-3</v>
      </c>
    </row>
    <row r="34" spans="1:31" x14ac:dyDescent="0.25">
      <c r="W34" s="127">
        <v>42783</v>
      </c>
      <c r="X34" s="10">
        <v>41.86</v>
      </c>
      <c r="Y34" s="10">
        <v>42.33</v>
      </c>
      <c r="Z34" s="10">
        <v>41.78</v>
      </c>
      <c r="AA34" s="10">
        <v>42.05</v>
      </c>
      <c r="AB34" s="90">
        <v>6135400</v>
      </c>
      <c r="AC34" s="10">
        <v>42.05</v>
      </c>
      <c r="AD34" s="2">
        <f t="shared" si="0"/>
        <v>0.54999999999999716</v>
      </c>
      <c r="AE34" s="131">
        <f t="shared" si="1"/>
        <v>1.1904761904761862E-3</v>
      </c>
    </row>
    <row r="35" spans="1:31" x14ac:dyDescent="0.25">
      <c r="L35" t="s">
        <v>201</v>
      </c>
      <c r="M35" s="2">
        <f>K53+M53-F53</f>
        <v>555.54</v>
      </c>
      <c r="W35" s="127">
        <v>42782</v>
      </c>
      <c r="X35" s="10">
        <v>42.6</v>
      </c>
      <c r="Y35" s="10">
        <v>42.65</v>
      </c>
      <c r="Z35" s="10">
        <v>41.56</v>
      </c>
      <c r="AA35" s="10">
        <v>42</v>
      </c>
      <c r="AB35" s="90">
        <v>4437500</v>
      </c>
      <c r="AC35" s="10">
        <v>42</v>
      </c>
      <c r="AD35" s="2">
        <f t="shared" si="0"/>
        <v>1.0899999999999963</v>
      </c>
      <c r="AE35" s="131">
        <f t="shared" si="1"/>
        <v>-1.0367577756833168E-2</v>
      </c>
    </row>
    <row r="36" spans="1:31" x14ac:dyDescent="0.25">
      <c r="A36" s="297" t="s">
        <v>1</v>
      </c>
      <c r="B36" s="297" t="s">
        <v>2</v>
      </c>
      <c r="C36" s="297" t="s">
        <v>4</v>
      </c>
      <c r="D36" s="299" t="s">
        <v>5</v>
      </c>
      <c r="E36" s="299" t="s">
        <v>94</v>
      </c>
      <c r="F36" s="299" t="s">
        <v>60</v>
      </c>
      <c r="G36" s="297" t="s">
        <v>3</v>
      </c>
      <c r="H36" s="297" t="s">
        <v>6</v>
      </c>
      <c r="I36" s="297" t="s">
        <v>7</v>
      </c>
      <c r="J36" s="297" t="s">
        <v>95</v>
      </c>
      <c r="K36" s="299" t="s">
        <v>61</v>
      </c>
      <c r="L36" s="297" t="s">
        <v>77</v>
      </c>
      <c r="M36" s="297" t="s">
        <v>38</v>
      </c>
      <c r="W36" s="127">
        <v>42781</v>
      </c>
      <c r="X36" s="10">
        <v>40.67</v>
      </c>
      <c r="Y36" s="10">
        <v>42.59</v>
      </c>
      <c r="Z36" s="10">
        <v>40.590000000000003</v>
      </c>
      <c r="AA36" s="10">
        <v>42.44</v>
      </c>
      <c r="AB36" s="90">
        <v>10630400</v>
      </c>
      <c r="AC36" s="10">
        <v>42.44</v>
      </c>
      <c r="AD36" s="2">
        <f t="shared" si="0"/>
        <v>2</v>
      </c>
      <c r="AE36" s="131">
        <f t="shared" si="1"/>
        <v>4.1472392638036704E-2</v>
      </c>
    </row>
    <row r="37" spans="1:31" x14ac:dyDescent="0.25">
      <c r="A37" s="300" t="s">
        <v>198</v>
      </c>
      <c r="B37" s="290">
        <v>42502</v>
      </c>
      <c r="C37" s="291">
        <v>60</v>
      </c>
      <c r="D37" s="292">
        <v>38.25</v>
      </c>
      <c r="E37" s="292">
        <v>0</v>
      </c>
      <c r="F37" s="292">
        <f>C37*D37 + E37</f>
        <v>2295</v>
      </c>
      <c r="G37" s="290">
        <v>42528</v>
      </c>
      <c r="H37" s="295">
        <v>30</v>
      </c>
      <c r="I37" s="292">
        <v>45.25</v>
      </c>
      <c r="J37" s="292">
        <v>0.03</v>
      </c>
      <c r="K37" s="292">
        <f>H37*I37 - J37</f>
        <v>1357.47</v>
      </c>
      <c r="L37" s="291"/>
      <c r="M37" s="291"/>
      <c r="W37" s="127">
        <v>42780</v>
      </c>
      <c r="X37" s="10">
        <v>39.590000000000003</v>
      </c>
      <c r="Y37" s="10">
        <v>40.909999999999997</v>
      </c>
      <c r="Z37" s="10">
        <v>39.56</v>
      </c>
      <c r="AA37" s="10">
        <v>40.75</v>
      </c>
      <c r="AB37" s="90">
        <v>5497900</v>
      </c>
      <c r="AC37" s="10">
        <v>40.75</v>
      </c>
      <c r="AD37" s="2">
        <f t="shared" si="0"/>
        <v>1.3499999999999943</v>
      </c>
      <c r="AE37" s="131">
        <f t="shared" si="1"/>
        <v>2.438411261940665E-2</v>
      </c>
    </row>
    <row r="38" spans="1:31" x14ac:dyDescent="0.25">
      <c r="A38" s="301" t="s">
        <v>71</v>
      </c>
      <c r="B38" s="302"/>
      <c r="C38" s="291"/>
      <c r="D38" s="292"/>
      <c r="E38" s="292"/>
      <c r="F38" s="292"/>
      <c r="G38" s="290">
        <v>42544</v>
      </c>
      <c r="H38" s="295">
        <v>30</v>
      </c>
      <c r="I38" s="292">
        <v>45.91</v>
      </c>
      <c r="J38" s="292">
        <v>-0.01</v>
      </c>
      <c r="K38" s="292">
        <f>H38*I38 - J38</f>
        <v>1377.31</v>
      </c>
      <c r="L38" s="291"/>
      <c r="M38" s="291"/>
      <c r="W38" s="127">
        <v>42779</v>
      </c>
      <c r="X38" s="10">
        <v>39.71</v>
      </c>
      <c r="Y38" s="10">
        <v>39.89</v>
      </c>
      <c r="Z38" s="10">
        <v>39.56</v>
      </c>
      <c r="AA38" s="10">
        <v>39.78</v>
      </c>
      <c r="AB38" s="90">
        <v>3872500</v>
      </c>
      <c r="AC38" s="10">
        <v>39.78</v>
      </c>
      <c r="AD38" s="2">
        <f t="shared" si="0"/>
        <v>0.32999999999999829</v>
      </c>
      <c r="AE38" s="131">
        <f t="shared" si="1"/>
        <v>1.1956245230221318E-2</v>
      </c>
    </row>
    <row r="39" spans="1:31" x14ac:dyDescent="0.25">
      <c r="A39" s="291"/>
      <c r="B39" s="302"/>
      <c r="C39" s="291"/>
      <c r="D39" s="292"/>
      <c r="E39" s="292"/>
      <c r="F39" s="292"/>
      <c r="G39" s="290"/>
      <c r="H39" s="295"/>
      <c r="I39" s="292"/>
      <c r="J39" s="292"/>
      <c r="K39" s="292"/>
      <c r="L39" s="291"/>
      <c r="M39" s="291"/>
      <c r="W39" s="127">
        <v>42776</v>
      </c>
      <c r="X39" s="10">
        <v>39.090000000000003</v>
      </c>
      <c r="Y39" s="10">
        <v>39.46</v>
      </c>
      <c r="Z39" s="10">
        <v>39</v>
      </c>
      <c r="AA39" s="10">
        <v>39.31</v>
      </c>
      <c r="AB39" s="90">
        <v>2521900</v>
      </c>
      <c r="AC39" s="10">
        <v>39.31</v>
      </c>
      <c r="AD39" s="2">
        <f t="shared" si="0"/>
        <v>0.46000000000000085</v>
      </c>
      <c r="AE39" s="131">
        <f t="shared" si="1"/>
        <v>2.5445292620873694E-4</v>
      </c>
    </row>
    <row r="40" spans="1:31" x14ac:dyDescent="0.25">
      <c r="A40" s="291"/>
      <c r="B40" s="69">
        <v>42963</v>
      </c>
      <c r="C40" s="4">
        <v>60</v>
      </c>
      <c r="D40" s="3">
        <v>30.15</v>
      </c>
      <c r="E40" s="3">
        <v>0</v>
      </c>
      <c r="F40" s="3">
        <f>C40*D40+E40</f>
        <v>1809</v>
      </c>
      <c r="G40" s="69">
        <v>43007</v>
      </c>
      <c r="H40" s="4">
        <v>60</v>
      </c>
      <c r="I40" s="3">
        <v>32.08</v>
      </c>
      <c r="J40" s="3">
        <v>0.04</v>
      </c>
      <c r="K40" s="3">
        <f>H40*I40-J40</f>
        <v>1924.76</v>
      </c>
      <c r="L40" s="4"/>
      <c r="M40" s="291"/>
      <c r="W40" s="127">
        <v>42775</v>
      </c>
      <c r="X40" s="10">
        <v>39.36</v>
      </c>
      <c r="Y40" s="10">
        <v>39.6</v>
      </c>
      <c r="Z40" s="10">
        <v>39</v>
      </c>
      <c r="AA40" s="10">
        <v>39.299999999999997</v>
      </c>
      <c r="AB40" s="90">
        <v>5517100</v>
      </c>
      <c r="AC40" s="10">
        <v>39.299999999999997</v>
      </c>
      <c r="AD40" s="2">
        <f t="shared" si="0"/>
        <v>0.60000000000000142</v>
      </c>
      <c r="AE40" s="131">
        <f t="shared" si="1"/>
        <v>2.8068384792039325E-3</v>
      </c>
    </row>
    <row r="41" spans="1:31" x14ac:dyDescent="0.25">
      <c r="A41" s="291"/>
      <c r="B41" s="302"/>
      <c r="C41" s="291"/>
      <c r="D41" s="292"/>
      <c r="E41" s="292"/>
      <c r="F41" s="292"/>
      <c r="G41" s="290"/>
      <c r="H41" s="295"/>
      <c r="I41" s="292"/>
      <c r="J41" s="292"/>
      <c r="K41" s="292"/>
      <c r="L41" s="291"/>
      <c r="M41" s="291"/>
      <c r="W41" s="127">
        <v>42774</v>
      </c>
      <c r="X41" s="10">
        <v>39.22</v>
      </c>
      <c r="Y41" s="10">
        <v>39.65</v>
      </c>
      <c r="Z41" s="10">
        <v>39</v>
      </c>
      <c r="AA41" s="10">
        <v>39.19</v>
      </c>
      <c r="AB41" s="90">
        <v>5932000</v>
      </c>
      <c r="AC41" s="10">
        <v>39.19</v>
      </c>
      <c r="AD41" s="2">
        <f t="shared" si="0"/>
        <v>0.64999999999999858</v>
      </c>
      <c r="AE41" s="131">
        <f t="shared" si="1"/>
        <v>-5.0774308200051133E-3</v>
      </c>
    </row>
    <row r="42" spans="1:31" ht="20.25" thickBot="1" x14ac:dyDescent="0.35">
      <c r="A42" s="291"/>
      <c r="B42" s="302"/>
      <c r="C42" s="291"/>
      <c r="D42" s="292"/>
      <c r="E42" s="292"/>
      <c r="F42" s="292"/>
      <c r="G42" s="290"/>
      <c r="H42" s="295"/>
      <c r="I42" s="292"/>
      <c r="J42" s="292"/>
      <c r="K42" s="292"/>
      <c r="L42" s="291"/>
      <c r="M42" s="291"/>
      <c r="O42" s="886" t="s">
        <v>78</v>
      </c>
      <c r="P42" s="886"/>
      <c r="T42" s="107" t="s">
        <v>112</v>
      </c>
      <c r="U42" s="9"/>
      <c r="W42" s="127">
        <v>42773</v>
      </c>
      <c r="X42" s="10">
        <v>40.26</v>
      </c>
      <c r="Y42" s="10">
        <v>40.299999999999997</v>
      </c>
      <c r="Z42" s="10">
        <v>39.21</v>
      </c>
      <c r="AA42" s="10">
        <v>39.39</v>
      </c>
      <c r="AB42" s="90">
        <v>5989000</v>
      </c>
      <c r="AC42" s="10">
        <v>39.39</v>
      </c>
      <c r="AD42" s="2">
        <f t="shared" si="0"/>
        <v>1.0899999999999963</v>
      </c>
      <c r="AE42" s="131">
        <f t="shared" si="1"/>
        <v>-1.4757378689344569E-2</v>
      </c>
    </row>
    <row r="43" spans="1:31" ht="15.75" thickTop="1" x14ac:dyDescent="0.25">
      <c r="A43" s="291"/>
      <c r="B43" s="290"/>
      <c r="C43" s="291"/>
      <c r="D43" s="292"/>
      <c r="E43" s="292"/>
      <c r="F43" s="292"/>
      <c r="G43" s="290"/>
      <c r="H43" s="295"/>
      <c r="I43" s="292"/>
      <c r="J43" s="292"/>
      <c r="K43" s="292"/>
      <c r="L43" s="291"/>
      <c r="M43" s="291"/>
      <c r="O43" s="78">
        <v>1.1000000000000001</v>
      </c>
      <c r="P43" s="78">
        <f>O43*$Q$4</f>
        <v>22.946000000000002</v>
      </c>
      <c r="Q43" s="2"/>
      <c r="T43" s="132" t="s">
        <v>97</v>
      </c>
      <c r="U43" s="282">
        <v>38.700000000000003</v>
      </c>
      <c r="W43" s="127">
        <v>42772</v>
      </c>
      <c r="X43" s="10">
        <v>39.36</v>
      </c>
      <c r="Y43" s="10">
        <v>40.25</v>
      </c>
      <c r="Z43" s="10">
        <v>39.340000000000003</v>
      </c>
      <c r="AA43" s="10">
        <v>39.979999999999997</v>
      </c>
      <c r="AB43" s="90">
        <v>6050000</v>
      </c>
      <c r="AC43" s="10">
        <v>39.979999999999997</v>
      </c>
      <c r="AD43" s="2">
        <f t="shared" si="0"/>
        <v>0.90999999999999659</v>
      </c>
      <c r="AE43" s="131">
        <f t="shared" si="1"/>
        <v>1.9637847487885551E-2</v>
      </c>
    </row>
    <row r="44" spans="1:31" x14ac:dyDescent="0.25">
      <c r="A44" s="291"/>
      <c r="B44" s="290"/>
      <c r="C44" s="291"/>
      <c r="D44" s="292"/>
      <c r="E44" s="292"/>
      <c r="F44" s="292"/>
      <c r="G44" s="290"/>
      <c r="H44" s="295"/>
      <c r="I44" s="292"/>
      <c r="J44" s="292"/>
      <c r="K44" s="292"/>
      <c r="L44" s="291"/>
      <c r="M44" s="291"/>
      <c r="O44" s="78">
        <v>1.0900000000000001</v>
      </c>
      <c r="P44" s="78">
        <f t="shared" ref="P44:P63" si="3">O44*$Q$4</f>
        <v>22.737400000000001</v>
      </c>
      <c r="Q44" s="2"/>
      <c r="T44" s="103" t="s">
        <v>98</v>
      </c>
      <c r="U44" s="283">
        <v>38.74</v>
      </c>
      <c r="W44" s="127">
        <v>42769</v>
      </c>
      <c r="X44" s="10">
        <v>39.270000000000003</v>
      </c>
      <c r="Y44" s="10">
        <v>39.5</v>
      </c>
      <c r="Z44" s="10">
        <v>38.520000000000003</v>
      </c>
      <c r="AA44" s="10">
        <v>39.21</v>
      </c>
      <c r="AB44" s="90">
        <v>5677900</v>
      </c>
      <c r="AC44" s="10">
        <v>39.21</v>
      </c>
      <c r="AD44" s="2">
        <f t="shared" si="0"/>
        <v>0.97999999999999687</v>
      </c>
      <c r="AE44" s="131">
        <f t="shared" si="1"/>
        <v>5.3846153846153211E-3</v>
      </c>
    </row>
    <row r="45" spans="1:31" x14ac:dyDescent="0.25">
      <c r="A45" s="291"/>
      <c r="B45" s="290"/>
      <c r="C45" s="291"/>
      <c r="D45" s="292"/>
      <c r="E45" s="292"/>
      <c r="F45" s="292"/>
      <c r="G45" s="290"/>
      <c r="H45" s="291"/>
      <c r="I45" s="291"/>
      <c r="J45" s="291"/>
      <c r="K45" s="292"/>
      <c r="L45" s="291"/>
      <c r="M45" s="291"/>
      <c r="O45" s="78">
        <v>1.08</v>
      </c>
      <c r="P45" s="78">
        <f t="shared" si="3"/>
        <v>22.5288</v>
      </c>
      <c r="Q45" s="2"/>
      <c r="T45" s="103" t="s">
        <v>99</v>
      </c>
      <c r="U45" s="283" t="s">
        <v>507</v>
      </c>
      <c r="W45" s="127">
        <v>42768</v>
      </c>
      <c r="X45" s="10">
        <v>38.26</v>
      </c>
      <c r="Y45" s="10">
        <v>39.35</v>
      </c>
      <c r="Z45" s="10">
        <v>38.159999999999997</v>
      </c>
      <c r="AA45" s="10">
        <v>39</v>
      </c>
      <c r="AB45" s="90">
        <v>6173200</v>
      </c>
      <c r="AC45" s="10">
        <v>39</v>
      </c>
      <c r="AD45" s="2">
        <f t="shared" si="0"/>
        <v>1.1900000000000048</v>
      </c>
      <c r="AE45" s="131">
        <f t="shared" si="1"/>
        <v>8.7946197620281108E-3</v>
      </c>
    </row>
    <row r="46" spans="1:31" x14ac:dyDescent="0.25">
      <c r="A46" s="291"/>
      <c r="B46" s="290"/>
      <c r="C46" s="291"/>
      <c r="D46" s="292"/>
      <c r="E46" s="292"/>
      <c r="F46" s="292"/>
      <c r="G46" s="290"/>
      <c r="H46" s="291"/>
      <c r="I46" s="291"/>
      <c r="J46" s="291"/>
      <c r="K46" s="292"/>
      <c r="L46" s="291"/>
      <c r="M46" s="291"/>
      <c r="O46" s="78">
        <v>1.07</v>
      </c>
      <c r="P46" s="78">
        <f t="shared" si="3"/>
        <v>22.3202</v>
      </c>
      <c r="Q46" s="2"/>
      <c r="T46" s="103" t="s">
        <v>100</v>
      </c>
      <c r="U46" s="283" t="s">
        <v>508</v>
      </c>
      <c r="W46" s="127">
        <v>42767</v>
      </c>
      <c r="X46" s="10">
        <v>38.68</v>
      </c>
      <c r="Y46" s="10">
        <v>38.75</v>
      </c>
      <c r="Z46" s="10">
        <v>38.07</v>
      </c>
      <c r="AA46" s="10">
        <v>38.659999999999997</v>
      </c>
      <c r="AB46" s="90">
        <v>5822400</v>
      </c>
      <c r="AC46" s="10">
        <v>38.659999999999997</v>
      </c>
      <c r="AD46" s="2">
        <f t="shared" si="0"/>
        <v>0.67999999999999972</v>
      </c>
      <c r="AE46" s="131">
        <f t="shared" si="1"/>
        <v>1.6031537450722722E-2</v>
      </c>
    </row>
    <row r="47" spans="1:31" x14ac:dyDescent="0.25">
      <c r="A47" s="291"/>
      <c r="B47" s="290"/>
      <c r="C47" s="291"/>
      <c r="D47" s="292"/>
      <c r="E47" s="292"/>
      <c r="F47" s="292"/>
      <c r="G47" s="290"/>
      <c r="H47" s="291"/>
      <c r="I47" s="291"/>
      <c r="J47" s="291"/>
      <c r="K47" s="292"/>
      <c r="L47" s="291"/>
      <c r="M47" s="291"/>
      <c r="O47" s="78">
        <v>1.06</v>
      </c>
      <c r="P47" s="78">
        <f t="shared" si="3"/>
        <v>22.111599999999999</v>
      </c>
      <c r="Q47" s="2"/>
      <c r="T47" s="103" t="s">
        <v>101</v>
      </c>
      <c r="U47" s="283">
        <v>51.71</v>
      </c>
      <c r="W47" s="127">
        <v>42766</v>
      </c>
      <c r="X47" s="10">
        <v>37.020000000000003</v>
      </c>
      <c r="Y47" s="10">
        <v>38.090000000000003</v>
      </c>
      <c r="Z47" s="10">
        <v>36.409999999999997</v>
      </c>
      <c r="AA47" s="10">
        <v>38.049999999999997</v>
      </c>
      <c r="AB47" s="90">
        <v>7342100</v>
      </c>
      <c r="AC47" s="10">
        <v>38.049999999999997</v>
      </c>
      <c r="AD47" s="2">
        <f t="shared" si="0"/>
        <v>1.6800000000000068</v>
      </c>
      <c r="AE47" s="131">
        <f t="shared" si="1"/>
        <v>4.7055586130984928E-2</v>
      </c>
    </row>
    <row r="48" spans="1:31" x14ac:dyDescent="0.25">
      <c r="A48" s="291"/>
      <c r="B48" s="290"/>
      <c r="C48" s="291"/>
      <c r="D48" s="292"/>
      <c r="E48" s="292"/>
      <c r="F48" s="292"/>
      <c r="G48" s="290"/>
      <c r="H48" s="291"/>
      <c r="I48" s="292"/>
      <c r="J48" s="291"/>
      <c r="K48" s="292"/>
      <c r="L48" s="291"/>
      <c r="M48" s="291"/>
      <c r="O48" s="78">
        <v>1.05</v>
      </c>
      <c r="P48" s="78">
        <f t="shared" si="3"/>
        <v>21.902999999999999</v>
      </c>
      <c r="Q48" s="2"/>
      <c r="T48" s="103" t="s">
        <v>102</v>
      </c>
      <c r="U48" s="283">
        <v>1.4483900000000001</v>
      </c>
      <c r="W48" s="127">
        <v>42765</v>
      </c>
      <c r="X48" s="10">
        <v>36.57</v>
      </c>
      <c r="Y48" s="10">
        <v>36.729999999999997</v>
      </c>
      <c r="Z48" s="10">
        <v>35.5</v>
      </c>
      <c r="AA48" s="10">
        <v>36.340000000000003</v>
      </c>
      <c r="AB48" s="90">
        <v>5214500</v>
      </c>
      <c r="AC48" s="10">
        <v>36.340000000000003</v>
      </c>
      <c r="AD48" s="2">
        <f t="shared" si="0"/>
        <v>1.2299999999999969</v>
      </c>
      <c r="AE48" s="131">
        <f t="shared" si="1"/>
        <v>-8.7288597926894473E-3</v>
      </c>
    </row>
    <row r="49" spans="1:31" x14ac:dyDescent="0.25">
      <c r="A49" s="291"/>
      <c r="B49" s="290"/>
      <c r="C49" s="291"/>
      <c r="D49" s="292"/>
      <c r="E49" s="292"/>
      <c r="F49" s="292"/>
      <c r="G49" s="290"/>
      <c r="H49" s="291"/>
      <c r="I49" s="291"/>
      <c r="J49" s="291"/>
      <c r="K49" s="292"/>
      <c r="L49" s="291"/>
      <c r="M49" s="291"/>
      <c r="O49" s="78">
        <v>1.04</v>
      </c>
      <c r="P49" s="78">
        <f t="shared" si="3"/>
        <v>21.694400000000002</v>
      </c>
      <c r="Q49" s="2"/>
      <c r="T49" s="103" t="s">
        <v>121</v>
      </c>
      <c r="U49" s="283" t="s">
        <v>387</v>
      </c>
      <c r="W49" s="127">
        <v>42762</v>
      </c>
      <c r="X49" s="10">
        <v>36.159999999999997</v>
      </c>
      <c r="Y49" s="10">
        <v>36.83</v>
      </c>
      <c r="Z49" s="10">
        <v>36.01</v>
      </c>
      <c r="AA49" s="10">
        <v>36.659999999999997</v>
      </c>
      <c r="AB49" s="90">
        <v>2950600</v>
      </c>
      <c r="AC49" s="10">
        <v>36.659999999999997</v>
      </c>
      <c r="AD49" s="2">
        <f t="shared" si="0"/>
        <v>0.82000000000000028</v>
      </c>
      <c r="AE49" s="131">
        <f t="shared" si="1"/>
        <v>1.5512465373961115E-2</v>
      </c>
    </row>
    <row r="50" spans="1:31" x14ac:dyDescent="0.25">
      <c r="A50" s="291"/>
      <c r="B50" s="291"/>
      <c r="C50" s="291"/>
      <c r="D50" s="292"/>
      <c r="E50" s="292"/>
      <c r="F50" s="292"/>
      <c r="G50" s="290"/>
      <c r="H50" s="291"/>
      <c r="I50" s="291"/>
      <c r="J50" s="291"/>
      <c r="K50" s="292"/>
      <c r="L50" s="291"/>
      <c r="M50" s="291"/>
      <c r="O50" s="78">
        <v>1.03</v>
      </c>
      <c r="P50" s="78">
        <f t="shared" si="3"/>
        <v>21.485800000000001</v>
      </c>
      <c r="Q50" s="2"/>
      <c r="T50" s="103"/>
      <c r="U50" s="283"/>
      <c r="W50" s="127">
        <v>42761</v>
      </c>
      <c r="X50" s="10">
        <v>36.54</v>
      </c>
      <c r="Y50" s="10">
        <v>36.590000000000003</v>
      </c>
      <c r="Z50" s="10">
        <v>35.83</v>
      </c>
      <c r="AA50" s="10">
        <v>36.1</v>
      </c>
      <c r="AB50" s="90">
        <v>3517400</v>
      </c>
      <c r="AC50" s="10">
        <v>36.1</v>
      </c>
      <c r="AD50" s="2">
        <f t="shared" si="0"/>
        <v>0.76000000000000512</v>
      </c>
      <c r="AE50" s="131">
        <f t="shared" si="1"/>
        <v>-1.0416666666666519E-2</v>
      </c>
    </row>
    <row r="51" spans="1:31" x14ac:dyDescent="0.25">
      <c r="A51" s="291"/>
      <c r="B51" s="291"/>
      <c r="C51" s="291"/>
      <c r="D51" s="292"/>
      <c r="E51" s="292"/>
      <c r="F51" s="292"/>
      <c r="G51" s="290"/>
      <c r="H51" s="291"/>
      <c r="I51" s="291"/>
      <c r="J51" s="291"/>
      <c r="K51" s="292"/>
      <c r="L51" s="291"/>
      <c r="M51" s="291"/>
      <c r="O51" s="78">
        <v>1.02</v>
      </c>
      <c r="P51" s="78">
        <f t="shared" si="3"/>
        <v>21.277200000000001</v>
      </c>
      <c r="Q51" s="2"/>
      <c r="T51" s="103" t="s">
        <v>104</v>
      </c>
      <c r="U51" s="283" t="s">
        <v>509</v>
      </c>
      <c r="W51" s="127">
        <v>42760</v>
      </c>
      <c r="X51" s="10">
        <v>36</v>
      </c>
      <c r="Y51" s="10">
        <v>36.64</v>
      </c>
      <c r="Z51" s="10">
        <v>35.979999999999997</v>
      </c>
      <c r="AA51" s="10">
        <v>36.479999999999997</v>
      </c>
      <c r="AB51" s="90">
        <v>5124900</v>
      </c>
      <c r="AC51" s="10">
        <v>36.479999999999997</v>
      </c>
      <c r="AD51" s="2">
        <f t="shared" si="0"/>
        <v>0.66000000000000369</v>
      </c>
      <c r="AE51" s="131">
        <f t="shared" si="1"/>
        <v>1.8709857581680867E-2</v>
      </c>
    </row>
    <row r="52" spans="1:31" x14ac:dyDescent="0.25">
      <c r="A52" s="291"/>
      <c r="B52" s="291"/>
      <c r="C52" s="291"/>
      <c r="D52" s="292"/>
      <c r="E52" s="292"/>
      <c r="F52" s="292"/>
      <c r="G52" s="290"/>
      <c r="H52" s="291"/>
      <c r="I52" s="291"/>
      <c r="J52" s="291"/>
      <c r="K52" s="292"/>
      <c r="L52" s="291"/>
      <c r="M52" s="291"/>
      <c r="O52" s="78">
        <v>1.01</v>
      </c>
      <c r="P52" s="78">
        <f t="shared" si="3"/>
        <v>21.0686</v>
      </c>
      <c r="Q52" s="2"/>
      <c r="T52" s="103" t="s">
        <v>105</v>
      </c>
      <c r="U52" s="283" t="s">
        <v>378</v>
      </c>
      <c r="W52" s="127">
        <v>42759</v>
      </c>
      <c r="X52" s="10">
        <v>36.03</v>
      </c>
      <c r="Y52" s="10">
        <v>36.130000000000003</v>
      </c>
      <c r="Z52" s="10">
        <v>35.159999999999997</v>
      </c>
      <c r="AA52" s="10">
        <v>35.81</v>
      </c>
      <c r="AB52" s="90">
        <v>5067200</v>
      </c>
      <c r="AC52" s="10">
        <v>35.81</v>
      </c>
      <c r="AD52" s="2">
        <f t="shared" si="0"/>
        <v>0.97000000000000597</v>
      </c>
      <c r="AE52" s="131">
        <f t="shared" si="1"/>
        <v>-6.106022758812113E-3</v>
      </c>
    </row>
    <row r="53" spans="1:31" x14ac:dyDescent="0.25">
      <c r="A53" s="21" t="s">
        <v>81</v>
      </c>
      <c r="B53" s="12"/>
      <c r="C53" s="12">
        <f>SUM(C37:C49)</f>
        <v>120</v>
      </c>
      <c r="D53" s="12"/>
      <c r="E53" s="12"/>
      <c r="F53" s="13">
        <f>SUM(F37:F49)</f>
        <v>4104</v>
      </c>
      <c r="G53" s="12"/>
      <c r="H53" s="12">
        <f>SUM(H37:H49)</f>
        <v>120</v>
      </c>
      <c r="I53" s="12"/>
      <c r="J53" s="12"/>
      <c r="K53" s="12">
        <f>SUM(K37:K49)</f>
        <v>4659.54</v>
      </c>
      <c r="L53" s="12">
        <f>SUM(L37:L49)</f>
        <v>0</v>
      </c>
      <c r="M53" s="12">
        <f>SUM(M37:M49)</f>
        <v>0</v>
      </c>
      <c r="O53" s="78">
        <v>1</v>
      </c>
      <c r="P53" s="78">
        <f t="shared" si="3"/>
        <v>20.86</v>
      </c>
      <c r="Q53" s="2"/>
      <c r="T53" s="103" t="s">
        <v>106</v>
      </c>
      <c r="U53" s="284">
        <v>5372521</v>
      </c>
      <c r="W53" s="127">
        <v>42758</v>
      </c>
      <c r="X53" s="10">
        <v>36.869999999999997</v>
      </c>
      <c r="Y53" s="10">
        <v>37.19</v>
      </c>
      <c r="Z53" s="10">
        <v>35.82</v>
      </c>
      <c r="AA53" s="10">
        <v>36.03</v>
      </c>
      <c r="AB53" s="90">
        <v>4732200</v>
      </c>
      <c r="AC53" s="10">
        <v>36.03</v>
      </c>
      <c r="AD53" s="2">
        <f t="shared" si="0"/>
        <v>1.3699999999999974</v>
      </c>
      <c r="AE53" s="131">
        <f t="shared" si="1"/>
        <v>-2.8055031022390042E-2</v>
      </c>
    </row>
    <row r="54" spans="1:31" x14ac:dyDescent="0.25">
      <c r="O54" s="78">
        <v>0.99</v>
      </c>
      <c r="P54" s="78">
        <f t="shared" si="3"/>
        <v>20.651399999999999</v>
      </c>
      <c r="Q54" s="2"/>
      <c r="T54" s="103" t="s">
        <v>109</v>
      </c>
      <c r="U54" s="284">
        <v>5969030</v>
      </c>
      <c r="W54" s="127">
        <v>42755</v>
      </c>
      <c r="X54" s="10">
        <v>36.93</v>
      </c>
      <c r="Y54" s="10">
        <v>37.35</v>
      </c>
      <c r="Z54" s="10">
        <v>36.799999999999997</v>
      </c>
      <c r="AA54" s="10">
        <v>37.07</v>
      </c>
      <c r="AB54" s="90">
        <v>3554200</v>
      </c>
      <c r="AC54" s="10">
        <v>37.07</v>
      </c>
      <c r="AD54" s="2">
        <f t="shared" si="0"/>
        <v>0.55000000000000426</v>
      </c>
      <c r="AE54" s="131">
        <f t="shared" si="1"/>
        <v>3.2476319350474014E-3</v>
      </c>
    </row>
    <row r="55" spans="1:31" x14ac:dyDescent="0.25">
      <c r="B55" s="159" t="s">
        <v>113</v>
      </c>
      <c r="C55" s="159" t="s">
        <v>143</v>
      </c>
      <c r="D55" s="160" t="s">
        <v>142</v>
      </c>
      <c r="E55" s="162" t="s">
        <v>144</v>
      </c>
      <c r="F55" s="163" t="s">
        <v>65</v>
      </c>
      <c r="G55" s="173" t="s">
        <v>148</v>
      </c>
      <c r="H55" s="163" t="s">
        <v>88</v>
      </c>
      <c r="I55" s="163" t="s">
        <v>151</v>
      </c>
      <c r="O55" s="78">
        <v>0.98</v>
      </c>
      <c r="P55" s="78">
        <f t="shared" si="3"/>
        <v>20.442799999999998</v>
      </c>
      <c r="Q55" s="2"/>
      <c r="T55" s="103" t="s">
        <v>107</v>
      </c>
      <c r="U55" s="283" t="s">
        <v>510</v>
      </c>
      <c r="W55" s="127">
        <v>42754</v>
      </c>
      <c r="X55" s="10">
        <v>37.11</v>
      </c>
      <c r="Y55" s="10">
        <v>37.299999999999997</v>
      </c>
      <c r="Z55" s="10">
        <v>36.71</v>
      </c>
      <c r="AA55" s="10">
        <v>36.950000000000003</v>
      </c>
      <c r="AB55" s="90">
        <v>4062700</v>
      </c>
      <c r="AC55" s="10">
        <v>36.950000000000003</v>
      </c>
      <c r="AD55" s="2">
        <f t="shared" si="0"/>
        <v>0.58999999999999631</v>
      </c>
      <c r="AE55" s="131">
        <f t="shared" si="1"/>
        <v>-6.4533476741057694E-3</v>
      </c>
    </row>
    <row r="56" spans="1:31" x14ac:dyDescent="0.25">
      <c r="B56" s="161">
        <v>42502</v>
      </c>
      <c r="C56" s="10">
        <v>60</v>
      </c>
      <c r="D56" s="39">
        <v>38.25</v>
      </c>
      <c r="E56" s="39">
        <v>41.02</v>
      </c>
      <c r="F56" s="39">
        <f>C56*(E56-D56)</f>
        <v>166.20000000000019</v>
      </c>
      <c r="G56" s="39">
        <f>D56*C56</f>
        <v>2295</v>
      </c>
      <c r="H56" s="175">
        <f>(E56-D56)/D56</f>
        <v>7.241830065359485E-2</v>
      </c>
      <c r="I56" s="175"/>
      <c r="O56" s="78">
        <v>0.97</v>
      </c>
      <c r="P56" s="78">
        <f t="shared" si="3"/>
        <v>20.234199999999998</v>
      </c>
      <c r="T56" s="103" t="s">
        <v>110</v>
      </c>
      <c r="U56" s="283">
        <v>42.2</v>
      </c>
      <c r="W56" s="127">
        <v>42753</v>
      </c>
      <c r="X56" s="10">
        <v>37.18</v>
      </c>
      <c r="Y56" s="10">
        <v>37.380000000000003</v>
      </c>
      <c r="Z56" s="10">
        <v>36.71</v>
      </c>
      <c r="AA56" s="10">
        <v>37.19</v>
      </c>
      <c r="AB56" s="90">
        <v>4247600</v>
      </c>
      <c r="AC56" s="10">
        <v>37.19</v>
      </c>
      <c r="AD56" s="2">
        <f t="shared" si="0"/>
        <v>0.67000000000000171</v>
      </c>
      <c r="AE56" s="131">
        <f t="shared" si="1"/>
        <v>3.2371189641218212E-3</v>
      </c>
    </row>
    <row r="57" spans="1:31" x14ac:dyDescent="0.25">
      <c r="B57" s="161">
        <v>42509</v>
      </c>
      <c r="C57" s="10">
        <v>60</v>
      </c>
      <c r="D57" s="39">
        <v>38.25</v>
      </c>
      <c r="E57" s="39">
        <v>42.04</v>
      </c>
      <c r="F57" s="39">
        <f>C57*(E57-D57)</f>
        <v>227.39999999999995</v>
      </c>
      <c r="G57" s="39">
        <f>D57*C57</f>
        <v>2295</v>
      </c>
      <c r="H57" s="175">
        <f>(E57-D57)/D57</f>
        <v>9.9084967320261411E-2</v>
      </c>
      <c r="I57" s="175"/>
      <c r="O57" s="78">
        <v>0.96</v>
      </c>
      <c r="P57" s="78">
        <f t="shared" si="3"/>
        <v>20.025599999999997</v>
      </c>
      <c r="T57" s="103" t="s">
        <v>111</v>
      </c>
      <c r="U57" s="283">
        <v>0.92</v>
      </c>
      <c r="W57" s="127">
        <v>42752</v>
      </c>
      <c r="X57" s="10">
        <v>36.86</v>
      </c>
      <c r="Y57" s="10">
        <v>37.36</v>
      </c>
      <c r="Z57" s="10">
        <v>36.450000000000003</v>
      </c>
      <c r="AA57" s="10">
        <v>37.07</v>
      </c>
      <c r="AB57" s="90">
        <v>4540500</v>
      </c>
      <c r="AC57" s="10">
        <v>37.07</v>
      </c>
      <c r="AD57" s="2">
        <f t="shared" si="0"/>
        <v>0.90999999999999659</v>
      </c>
      <c r="AE57" s="131">
        <f t="shared" si="1"/>
        <v>9.2567383610129284E-3</v>
      </c>
    </row>
    <row r="58" spans="1:31" x14ac:dyDescent="0.25">
      <c r="B58" s="161">
        <v>42527</v>
      </c>
      <c r="C58" s="10">
        <v>60</v>
      </c>
      <c r="D58" s="39">
        <v>38.25</v>
      </c>
      <c r="E58" s="39">
        <v>46.52</v>
      </c>
      <c r="F58" s="39">
        <f>C58*(E58-D58)</f>
        <v>496.20000000000016</v>
      </c>
      <c r="G58" s="39">
        <f>D58*C58</f>
        <v>2295</v>
      </c>
      <c r="H58" s="175">
        <f>(E58-D58)/D58</f>
        <v>0.21620915032679747</v>
      </c>
      <c r="I58" s="175"/>
      <c r="O58" s="78">
        <v>0.95</v>
      </c>
      <c r="P58" s="78">
        <f t="shared" si="3"/>
        <v>19.817</v>
      </c>
      <c r="T58" s="103" t="s">
        <v>108</v>
      </c>
      <c r="U58" s="283" t="s">
        <v>122</v>
      </c>
      <c r="W58" s="127">
        <v>42748</v>
      </c>
      <c r="X58" s="10">
        <v>36.79</v>
      </c>
      <c r="Y58" s="10">
        <v>37.020000000000003</v>
      </c>
      <c r="Z58" s="10">
        <v>36.35</v>
      </c>
      <c r="AA58" s="10">
        <v>36.729999999999997</v>
      </c>
      <c r="AB58" s="90">
        <v>5031400</v>
      </c>
      <c r="AC58" s="10">
        <v>36.729999999999997</v>
      </c>
      <c r="AD58" s="2">
        <f t="shared" si="0"/>
        <v>0.67000000000000171</v>
      </c>
      <c r="AE58" s="131">
        <f t="shared" si="1"/>
        <v>-1.0878433505576712E-3</v>
      </c>
    </row>
    <row r="59" spans="1:31" x14ac:dyDescent="0.25">
      <c r="B59" s="161">
        <v>42538</v>
      </c>
      <c r="C59" s="10">
        <v>30</v>
      </c>
      <c r="D59" s="39">
        <v>31.251000000000001</v>
      </c>
      <c r="E59" s="39">
        <v>45.1</v>
      </c>
      <c r="F59" s="39">
        <f>C59*(E59-D59)</f>
        <v>415.47</v>
      </c>
      <c r="G59" s="39">
        <f>D59*C59</f>
        <v>937.53000000000009</v>
      </c>
      <c r="H59" s="175">
        <f>(E59-D59)/D59</f>
        <v>0.4431538190777895</v>
      </c>
      <c r="I59" s="175"/>
      <c r="O59" s="78">
        <v>0.94</v>
      </c>
      <c r="P59" s="78">
        <f t="shared" si="3"/>
        <v>19.6084</v>
      </c>
      <c r="W59" s="127">
        <v>42747</v>
      </c>
      <c r="X59" s="10">
        <v>37.44</v>
      </c>
      <c r="Y59" s="10">
        <v>37.44</v>
      </c>
      <c r="Z59" s="10">
        <v>36.17</v>
      </c>
      <c r="AA59" s="10">
        <v>36.770000000000003</v>
      </c>
      <c r="AB59" s="90">
        <v>7165400</v>
      </c>
      <c r="AC59" s="10">
        <v>36.770000000000003</v>
      </c>
      <c r="AD59" s="2">
        <f t="shared" si="0"/>
        <v>1.269999999999996</v>
      </c>
      <c r="AE59" s="131">
        <f t="shared" si="1"/>
        <v>-1.3680257510729543E-2</v>
      </c>
    </row>
    <row r="60" spans="1:31" x14ac:dyDescent="0.25">
      <c r="B60" s="161">
        <v>42544</v>
      </c>
      <c r="C60" s="10">
        <v>0</v>
      </c>
      <c r="D60" s="39"/>
      <c r="E60" s="39">
        <v>46.16</v>
      </c>
      <c r="F60" s="39">
        <v>439.78</v>
      </c>
      <c r="G60" s="39"/>
      <c r="H60" s="175"/>
      <c r="I60" s="175"/>
      <c r="O60" s="78">
        <v>0.93</v>
      </c>
      <c r="P60" s="78">
        <f t="shared" si="3"/>
        <v>19.399799999999999</v>
      </c>
      <c r="W60" s="127">
        <v>42746</v>
      </c>
      <c r="X60" s="10">
        <v>39.549999999999997</v>
      </c>
      <c r="Y60" s="10">
        <v>39.58</v>
      </c>
      <c r="Z60" s="10">
        <v>37.08</v>
      </c>
      <c r="AA60" s="10">
        <v>37.28</v>
      </c>
      <c r="AB60" s="90">
        <v>11748800</v>
      </c>
      <c r="AC60" s="10">
        <v>37.28</v>
      </c>
      <c r="AD60" s="2">
        <f t="shared" si="0"/>
        <v>2.5</v>
      </c>
      <c r="AE60" s="131">
        <f t="shared" si="1"/>
        <v>-4.2875481386392855E-2</v>
      </c>
    </row>
    <row r="61" spans="1:31" x14ac:dyDescent="0.25">
      <c r="B61" s="161"/>
      <c r="C61" s="10"/>
      <c r="D61" s="39"/>
      <c r="E61" s="39"/>
      <c r="F61" s="39"/>
      <c r="G61" s="39"/>
      <c r="H61" s="175"/>
      <c r="I61" s="175"/>
      <c r="O61" s="78">
        <v>0.92</v>
      </c>
      <c r="P61" s="78">
        <f t="shared" si="3"/>
        <v>19.191200000000002</v>
      </c>
      <c r="W61" s="127">
        <v>42745</v>
      </c>
      <c r="X61" s="10">
        <v>39.229999999999997</v>
      </c>
      <c r="Y61" s="10">
        <v>39.369999999999997</v>
      </c>
      <c r="Z61" s="10">
        <v>38.67</v>
      </c>
      <c r="AA61" s="10">
        <v>38.950000000000003</v>
      </c>
      <c r="AB61" s="90">
        <v>3409800</v>
      </c>
      <c r="AC61" s="10">
        <v>38.950000000000003</v>
      </c>
      <c r="AD61" s="2">
        <f t="shared" si="0"/>
        <v>0.69999999999999574</v>
      </c>
      <c r="AE61" s="131">
        <f t="shared" si="1"/>
        <v>0</v>
      </c>
    </row>
    <row r="62" spans="1:31" x14ac:dyDescent="0.25">
      <c r="B62" s="161"/>
      <c r="C62" s="10"/>
      <c r="D62" s="39"/>
      <c r="E62" s="39"/>
      <c r="F62" s="39"/>
      <c r="G62" s="39"/>
      <c r="H62" s="175"/>
      <c r="I62" s="175"/>
      <c r="O62" s="78">
        <v>0.91</v>
      </c>
      <c r="P62" s="78">
        <f t="shared" si="3"/>
        <v>18.982600000000001</v>
      </c>
      <c r="W62" s="127">
        <v>42744</v>
      </c>
      <c r="X62" s="10">
        <v>38.5</v>
      </c>
      <c r="Y62" s="10">
        <v>39.130000000000003</v>
      </c>
      <c r="Z62" s="10">
        <v>38.409999999999997</v>
      </c>
      <c r="AA62" s="10">
        <v>38.950000000000003</v>
      </c>
      <c r="AB62" s="90">
        <v>3382200</v>
      </c>
      <c r="AC62" s="10">
        <v>38.950000000000003</v>
      </c>
      <c r="AD62" s="2">
        <f t="shared" si="0"/>
        <v>0.72000000000000597</v>
      </c>
      <c r="AE62" s="131">
        <f t="shared" si="1"/>
        <v>1.1688311688311748E-2</v>
      </c>
    </row>
    <row r="63" spans="1:31" x14ac:dyDescent="0.25">
      <c r="B63" s="161"/>
      <c r="C63" s="10"/>
      <c r="D63" s="39"/>
      <c r="E63" s="39"/>
      <c r="F63" s="39"/>
      <c r="G63" s="39"/>
      <c r="H63" s="175"/>
      <c r="I63" s="175"/>
      <c r="O63" s="78">
        <v>0.9</v>
      </c>
      <c r="P63" s="78">
        <f t="shared" si="3"/>
        <v>18.774000000000001</v>
      </c>
      <c r="W63" s="127">
        <v>42741</v>
      </c>
      <c r="X63" s="10">
        <v>38.869999999999997</v>
      </c>
      <c r="Y63" s="10">
        <v>39.08</v>
      </c>
      <c r="Z63" s="10">
        <v>37.950000000000003</v>
      </c>
      <c r="AA63" s="10">
        <v>38.5</v>
      </c>
      <c r="AB63" s="90">
        <v>5640000</v>
      </c>
      <c r="AC63" s="10">
        <v>38.5</v>
      </c>
      <c r="AD63" s="2">
        <f t="shared" si="0"/>
        <v>1.1299999999999955</v>
      </c>
      <c r="AE63" s="131">
        <f t="shared" si="1"/>
        <v>-1.6853932584269593E-2</v>
      </c>
    </row>
    <row r="64" spans="1:31" x14ac:dyDescent="0.25">
      <c r="B64" s="161"/>
      <c r="C64" s="10"/>
      <c r="D64" s="39"/>
      <c r="E64" s="39"/>
      <c r="F64" s="39"/>
      <c r="G64" s="39"/>
      <c r="H64" s="175"/>
      <c r="I64" s="175"/>
      <c r="W64" s="127">
        <v>42740</v>
      </c>
      <c r="X64" s="10">
        <v>38.950000000000003</v>
      </c>
      <c r="Y64" s="10">
        <v>39.47</v>
      </c>
      <c r="Z64" s="10">
        <v>38.770000000000003</v>
      </c>
      <c r="AA64" s="10">
        <v>39.159999999999997</v>
      </c>
      <c r="AB64" s="90">
        <v>5799300</v>
      </c>
      <c r="AC64" s="10">
        <v>39.159999999999997</v>
      </c>
      <c r="AD64" s="2">
        <f t="shared" si="0"/>
        <v>0.69999999999999574</v>
      </c>
      <c r="AE64" s="131">
        <f t="shared" si="1"/>
        <v>-1.1859702245773596E-2</v>
      </c>
    </row>
    <row r="65" spans="2:31" x14ac:dyDescent="0.25">
      <c r="B65" s="161"/>
      <c r="C65" s="10"/>
      <c r="D65" s="39"/>
      <c r="E65" s="39"/>
      <c r="F65" s="39"/>
      <c r="G65" s="39"/>
      <c r="H65" s="175"/>
      <c r="I65" s="175"/>
      <c r="W65" s="127">
        <v>42739</v>
      </c>
      <c r="X65" s="10">
        <v>39.32</v>
      </c>
      <c r="Y65" s="10">
        <v>40.08</v>
      </c>
      <c r="Z65" s="10">
        <v>39.25</v>
      </c>
      <c r="AA65" s="10">
        <v>39.630000000000003</v>
      </c>
      <c r="AB65" s="90">
        <v>6490300</v>
      </c>
      <c r="AC65" s="10">
        <v>39.630000000000003</v>
      </c>
      <c r="AD65" s="2">
        <f t="shared" si="0"/>
        <v>0.82999999999999829</v>
      </c>
      <c r="AE65" s="131">
        <f t="shared" si="1"/>
        <v>1.329583226796216E-2</v>
      </c>
    </row>
    <row r="66" spans="2:31" x14ac:dyDescent="0.25">
      <c r="B66" s="161"/>
      <c r="C66" s="10"/>
      <c r="D66" s="39"/>
      <c r="E66" s="39"/>
      <c r="F66" s="39"/>
      <c r="G66" s="39"/>
      <c r="H66" s="175"/>
      <c r="I66" s="175"/>
      <c r="W66" s="127">
        <v>42738</v>
      </c>
      <c r="X66" s="10">
        <v>38.479999999999997</v>
      </c>
      <c r="Y66" s="10">
        <v>39.28</v>
      </c>
      <c r="Z66" s="10">
        <v>38.42</v>
      </c>
      <c r="AA66" s="10">
        <v>39.11</v>
      </c>
      <c r="AB66" s="90">
        <v>5030200</v>
      </c>
      <c r="AC66" s="10">
        <v>39.11</v>
      </c>
      <c r="AD66" s="2">
        <f t="shared" si="0"/>
        <v>0.85999999999999943</v>
      </c>
      <c r="AE66" s="131">
        <f t="shared" si="1"/>
        <v>2.5163826998689354E-2</v>
      </c>
    </row>
    <row r="67" spans="2:31" x14ac:dyDescent="0.25">
      <c r="W67" s="127">
        <v>42734</v>
      </c>
      <c r="X67" s="10">
        <v>37.979999999999997</v>
      </c>
      <c r="Y67" s="10">
        <v>38.79</v>
      </c>
      <c r="Z67" s="10">
        <v>37.840000000000003</v>
      </c>
      <c r="AA67" s="10">
        <v>38.15</v>
      </c>
      <c r="AB67" s="90">
        <v>6311000</v>
      </c>
      <c r="AC67" s="10">
        <v>38.15</v>
      </c>
      <c r="AD67" s="2">
        <f>Y67-Z67</f>
        <v>0.94999999999999574</v>
      </c>
      <c r="AE67" s="131" t="e">
        <f>AC67/AC68-1</f>
        <v>#DIV/0!</v>
      </c>
    </row>
    <row r="68" spans="2:31" x14ac:dyDescent="0.25">
      <c r="W68" s="10" t="s">
        <v>120</v>
      </c>
      <c r="X68" s="10"/>
      <c r="Y68" s="10"/>
      <c r="Z68" s="10"/>
      <c r="AA68" s="10"/>
      <c r="AB68" s="10"/>
      <c r="AC68" s="10"/>
      <c r="AD68" s="2">
        <f>Y68-Z68</f>
        <v>0</v>
      </c>
      <c r="AE68" s="131" t="e">
        <f>AC68/AC69-1</f>
        <v>#DIV/0!</v>
      </c>
    </row>
  </sheetData>
  <mergeCells count="1">
    <mergeCell ref="O42:P42"/>
  </mergeCells>
  <conditionalFormatting sqref="N19">
    <cfRule type="expression" dxfId="1403" priority="29">
      <formula>N19&gt;0</formula>
    </cfRule>
    <cfRule type="expression" dxfId="1402" priority="30">
      <formula>N19&lt;0</formula>
    </cfRule>
  </conditionalFormatting>
  <conditionalFormatting sqref="O43:O63">
    <cfRule type="colorScale" priority="28">
      <colorScale>
        <cfvo type="min"/>
        <cfvo type="percentile" val="50"/>
        <cfvo type="max"/>
        <color rgb="FFF8696B"/>
        <color rgb="FFFFEB84"/>
        <color rgb="FF63BE7B"/>
      </colorScale>
    </cfRule>
  </conditionalFormatting>
  <conditionalFormatting sqref="P43:P63">
    <cfRule type="colorScale" priority="27">
      <colorScale>
        <cfvo type="min"/>
        <cfvo type="percentile" val="50"/>
        <cfvo type="max"/>
        <color rgb="FFF8696B"/>
        <color rgb="FFFFEB84"/>
        <color rgb="FF63BE7B"/>
      </colorScale>
    </cfRule>
  </conditionalFormatting>
  <conditionalFormatting sqref="AD1:AD68">
    <cfRule type="dataBar" priority="26">
      <dataBar>
        <cfvo type="min"/>
        <cfvo type="max"/>
        <color rgb="FFFF555A"/>
      </dataBar>
      <extLst>
        <ext xmlns:x14="http://schemas.microsoft.com/office/spreadsheetml/2009/9/main" uri="{B025F937-C7B1-47D3-B67F-A62EFF666E3E}">
          <x14:id>{42BD99A8-3094-4F74-90F0-99BD3F3C4595}</x14:id>
        </ext>
      </extLst>
    </cfRule>
  </conditionalFormatting>
  <conditionalFormatting sqref="AE1:AE68">
    <cfRule type="iconSet" priority="25">
      <iconSet iconSet="3Arrows">
        <cfvo type="percent" val="0"/>
        <cfvo type="num" val="0"/>
        <cfvo type="num" val="0"/>
      </iconSet>
    </cfRule>
  </conditionalFormatting>
  <conditionalFormatting sqref="F22:F31">
    <cfRule type="expression" dxfId="1401" priority="23">
      <formula>F22&gt;0</formula>
    </cfRule>
    <cfRule type="expression" dxfId="1400" priority="24">
      <formula>F22&lt;0</formula>
    </cfRule>
  </conditionalFormatting>
  <conditionalFormatting sqref="H22:H31">
    <cfRule type="expression" dxfId="1399" priority="21">
      <formula>H22&gt;0</formula>
    </cfRule>
    <cfRule type="expression" dxfId="1398" priority="22">
      <formula>H22&lt;0</formula>
    </cfRule>
  </conditionalFormatting>
  <conditionalFormatting sqref="I21:J31">
    <cfRule type="expression" dxfId="1397" priority="19">
      <formula>I21&gt;0</formula>
    </cfRule>
    <cfRule type="expression" dxfId="1396" priority="20">
      <formula>I21&lt;0</formula>
    </cfRule>
  </conditionalFormatting>
  <conditionalFormatting sqref="Q8">
    <cfRule type="expression" dxfId="1395" priority="11">
      <formula>Q8&gt;0</formula>
    </cfRule>
    <cfRule type="expression" dxfId="1394" priority="12">
      <formula>Q8&lt;0</formula>
    </cfRule>
  </conditionalFormatting>
  <conditionalFormatting sqref="Q7">
    <cfRule type="expression" dxfId="1393" priority="13">
      <formula>Q7&gt;0</formula>
    </cfRule>
    <cfRule type="expression" dxfId="1392" priority="14">
      <formula>Q7&lt;0</formula>
    </cfRule>
  </conditionalFormatting>
  <conditionalFormatting sqref="F56:F66">
    <cfRule type="expression" dxfId="1391" priority="9">
      <formula>F56&gt;0</formula>
    </cfRule>
    <cfRule type="expression" dxfId="1390" priority="10">
      <formula>F56&lt;0</formula>
    </cfRule>
  </conditionalFormatting>
  <conditionalFormatting sqref="H56:H66">
    <cfRule type="expression" dxfId="1389" priority="7">
      <formula>H56&gt;0</formula>
    </cfRule>
    <cfRule type="expression" dxfId="1388" priority="8">
      <formula>H56&lt;0</formula>
    </cfRule>
  </conditionalFormatting>
  <conditionalFormatting sqref="I56:I66">
    <cfRule type="expression" dxfId="1387" priority="5">
      <formula>I56&gt;0</formula>
    </cfRule>
    <cfRule type="expression" dxfId="1386" priority="6">
      <formula>I56&lt;0</formula>
    </cfRule>
  </conditionalFormatting>
  <conditionalFormatting sqref="F21">
    <cfRule type="expression" dxfId="1385" priority="3">
      <formula>F21&gt;0</formula>
    </cfRule>
    <cfRule type="expression" dxfId="1384" priority="4">
      <formula>F21&lt;0</formula>
    </cfRule>
  </conditionalFormatting>
  <conditionalFormatting sqref="H21">
    <cfRule type="expression" dxfId="1383" priority="1">
      <formula>H21&gt;0</formula>
    </cfRule>
    <cfRule type="expression" dxfId="1382" priority="2">
      <formula>H21&lt;0</formula>
    </cfRule>
  </conditionalFormatting>
  <hyperlinks>
    <hyperlink ref="A3" location="ACTIVE!A1" display="Back"/>
    <hyperlink ref="A38"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42BD99A8-3094-4F74-90F0-99BD3F3C4595}">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dimension ref="A1:AE72"/>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7.85546875" customWidth="1"/>
    <col min="21" max="21" width="11.7109375" customWidth="1"/>
    <col min="23" max="23" width="43" customWidth="1"/>
    <col min="24" max="24" width="14.140625" customWidth="1"/>
    <col min="25" max="27" width="6" customWidth="1"/>
    <col min="28" max="28" width="9.140625"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217</v>
      </c>
      <c r="B2" s="69"/>
      <c r="C2" s="4"/>
      <c r="D2" s="3"/>
      <c r="E2" s="3"/>
      <c r="F2" s="3"/>
      <c r="G2" s="69"/>
      <c r="H2" s="158"/>
      <c r="I2" s="3"/>
      <c r="J2" s="3"/>
      <c r="K2" s="3"/>
      <c r="L2" s="69"/>
      <c r="M2" s="4"/>
      <c r="O2" s="11" t="s">
        <v>57</v>
      </c>
      <c r="Q2">
        <f>C18-H18</f>
        <v>0</v>
      </c>
      <c r="T2" s="1"/>
      <c r="W2" s="127">
        <v>42830</v>
      </c>
      <c r="X2" s="10">
        <v>51.4</v>
      </c>
      <c r="Y2" s="10">
        <v>51.53</v>
      </c>
      <c r="Z2" s="10">
        <v>51.13</v>
      </c>
      <c r="AA2" s="10">
        <v>51.13</v>
      </c>
      <c r="AB2" s="90">
        <v>3904300</v>
      </c>
      <c r="AC2" s="10">
        <v>51.13</v>
      </c>
      <c r="AD2" s="2">
        <f>Y2-Z2</f>
        <v>0.39999999999999858</v>
      </c>
      <c r="AE2" s="131">
        <f>AC2/AC3-1</f>
        <v>-5.2529182879376135E-3</v>
      </c>
    </row>
    <row r="3" spans="1:31" x14ac:dyDescent="0.25">
      <c r="A3" s="22" t="s">
        <v>71</v>
      </c>
      <c r="B3" s="69"/>
      <c r="C3" s="4"/>
      <c r="D3" s="3"/>
      <c r="E3" s="3"/>
      <c r="F3" s="3"/>
      <c r="G3" s="69"/>
      <c r="H3" s="158"/>
      <c r="I3" s="3"/>
      <c r="J3" s="3"/>
      <c r="K3" s="3"/>
      <c r="L3" s="4"/>
      <c r="O3" s="11" t="s">
        <v>58</v>
      </c>
      <c r="Q3" s="174">
        <f>IF(Q2=0, Q4, (F18-K18-M18)/Q2)</f>
        <v>54.08</v>
      </c>
      <c r="T3" s="1"/>
      <c r="W3" s="127">
        <v>42829</v>
      </c>
      <c r="X3" s="10">
        <v>51.22</v>
      </c>
      <c r="Y3" s="10">
        <v>51.41</v>
      </c>
      <c r="Z3" s="10">
        <v>51.12</v>
      </c>
      <c r="AA3" s="10">
        <v>51.4</v>
      </c>
      <c r="AB3" s="90">
        <v>1760900</v>
      </c>
      <c r="AC3" s="10">
        <v>51.4</v>
      </c>
      <c r="AD3" s="2">
        <f t="shared" ref="AD3:AD66" si="0">Y3-Z3</f>
        <v>0.28999999999999915</v>
      </c>
      <c r="AE3" s="131">
        <f t="shared" ref="AE3:AE66" si="1">AC3/AC4-1</f>
        <v>7.7881619937691937E-4</v>
      </c>
    </row>
    <row r="4" spans="1:31" x14ac:dyDescent="0.25">
      <c r="B4" s="69"/>
      <c r="C4" s="4"/>
      <c r="D4" s="3"/>
      <c r="E4" s="3"/>
      <c r="F4" s="3"/>
      <c r="G4" s="4"/>
      <c r="H4" s="158"/>
      <c r="I4" s="3"/>
      <c r="J4" s="3"/>
      <c r="K4" s="3"/>
      <c r="L4" s="4"/>
      <c r="O4" s="11" t="s">
        <v>66</v>
      </c>
      <c r="Q4" s="53">
        <v>54.08</v>
      </c>
      <c r="R4" s="396">
        <v>4.4999999999999997E-3</v>
      </c>
      <c r="T4" s="153"/>
      <c r="U4" s="1"/>
      <c r="W4" s="127">
        <v>42828</v>
      </c>
      <c r="X4" s="10">
        <v>51.46</v>
      </c>
      <c r="Y4" s="10">
        <v>51.51</v>
      </c>
      <c r="Z4" s="10">
        <v>50.99</v>
      </c>
      <c r="AA4" s="10">
        <v>51.36</v>
      </c>
      <c r="AB4" s="90">
        <v>2525700</v>
      </c>
      <c r="AC4" s="10">
        <v>51.36</v>
      </c>
      <c r="AD4" s="2">
        <f t="shared" si="0"/>
        <v>0.51999999999999602</v>
      </c>
      <c r="AE4" s="131">
        <f t="shared" si="1"/>
        <v>-4.0721349621872793E-3</v>
      </c>
    </row>
    <row r="5" spans="1:31" x14ac:dyDescent="0.25">
      <c r="B5" s="69"/>
      <c r="C5" s="4"/>
      <c r="D5" s="3"/>
      <c r="E5" s="3"/>
      <c r="F5" s="3"/>
      <c r="G5" s="4"/>
      <c r="H5" s="158"/>
      <c r="I5" s="3"/>
      <c r="J5" s="3"/>
      <c r="K5" s="3"/>
      <c r="L5" s="4"/>
      <c r="O5" s="11" t="s">
        <v>67</v>
      </c>
      <c r="Q5" s="3">
        <f>Q4*Q2</f>
        <v>0</v>
      </c>
      <c r="W5" s="127">
        <v>42825</v>
      </c>
      <c r="X5" s="10">
        <v>51.4</v>
      </c>
      <c r="Y5" s="10">
        <v>51.71</v>
      </c>
      <c r="Z5" s="10">
        <v>51.36</v>
      </c>
      <c r="AA5" s="10">
        <v>51.57</v>
      </c>
      <c r="AB5" s="90">
        <v>2122200</v>
      </c>
      <c r="AC5" s="10">
        <v>51.57</v>
      </c>
      <c r="AD5" s="2">
        <f t="shared" si="0"/>
        <v>0.35000000000000142</v>
      </c>
      <c r="AE5" s="131">
        <f t="shared" si="1"/>
        <v>2.5272161741836108E-3</v>
      </c>
    </row>
    <row r="6" spans="1:31" x14ac:dyDescent="0.25">
      <c r="B6" s="69"/>
      <c r="C6" s="4"/>
      <c r="D6" s="3"/>
      <c r="E6" s="3"/>
      <c r="F6" s="3"/>
      <c r="G6" s="4"/>
      <c r="H6" s="158"/>
      <c r="I6" s="3"/>
      <c r="J6" s="3"/>
      <c r="K6" s="3"/>
      <c r="L6" s="4"/>
      <c r="O6" s="11" t="s">
        <v>64</v>
      </c>
      <c r="Q6" s="2">
        <f>Q3*Q2</f>
        <v>0</v>
      </c>
      <c r="W6" s="127">
        <v>42824</v>
      </c>
      <c r="X6" s="10">
        <v>51.51</v>
      </c>
      <c r="Y6" s="10">
        <v>51.62</v>
      </c>
      <c r="Z6" s="10">
        <v>51.41</v>
      </c>
      <c r="AA6" s="10">
        <v>51.44</v>
      </c>
      <c r="AB6" s="90">
        <v>1987100</v>
      </c>
      <c r="AC6" s="10">
        <v>51.44</v>
      </c>
      <c r="AD6" s="2">
        <f t="shared" si="0"/>
        <v>0.21000000000000085</v>
      </c>
      <c r="AE6" s="131">
        <f t="shared" si="1"/>
        <v>-2.7142303218301578E-3</v>
      </c>
    </row>
    <row r="7" spans="1:31" x14ac:dyDescent="0.25">
      <c r="B7" s="4"/>
      <c r="C7" s="4"/>
      <c r="D7" s="3"/>
      <c r="E7" s="3"/>
      <c r="F7" s="3"/>
      <c r="G7" s="4"/>
      <c r="H7" s="158"/>
      <c r="I7" s="3"/>
      <c r="J7" s="3"/>
      <c r="K7" s="3"/>
      <c r="L7" s="4"/>
      <c r="O7" s="11" t="s">
        <v>175</v>
      </c>
      <c r="Q7" s="2">
        <f>Q10+Q8</f>
        <v>257.64999999999964</v>
      </c>
      <c r="R7">
        <v>0</v>
      </c>
      <c r="W7" s="127">
        <v>42823</v>
      </c>
      <c r="X7" s="10">
        <v>51.32</v>
      </c>
      <c r="Y7" s="10">
        <v>51.58</v>
      </c>
      <c r="Z7" s="10">
        <v>51.29</v>
      </c>
      <c r="AA7" s="10">
        <v>51.58</v>
      </c>
      <c r="AB7" s="90">
        <v>3306600</v>
      </c>
      <c r="AC7" s="10">
        <v>51.58</v>
      </c>
      <c r="AD7" s="2">
        <f t="shared" si="0"/>
        <v>0.28999999999999915</v>
      </c>
      <c r="AE7" s="131">
        <f t="shared" si="1"/>
        <v>-1.1618900077460248E-3</v>
      </c>
    </row>
    <row r="8" spans="1:31" x14ac:dyDescent="0.25">
      <c r="B8" s="4"/>
      <c r="C8" s="4"/>
      <c r="D8" s="3"/>
      <c r="E8" s="3"/>
      <c r="F8" s="3"/>
      <c r="G8" s="4"/>
      <c r="H8" s="158"/>
      <c r="I8" s="3"/>
      <c r="J8" s="3"/>
      <c r="K8" s="3"/>
      <c r="L8" s="4"/>
      <c r="O8" s="11" t="s">
        <v>177</v>
      </c>
      <c r="P8" s="33"/>
      <c r="Q8" s="2">
        <f>K18+M18-F18+Q2*Q4</f>
        <v>0</v>
      </c>
      <c r="W8" s="127">
        <v>42822</v>
      </c>
      <c r="X8" s="10">
        <v>51.59</v>
      </c>
      <c r="Y8" s="10">
        <v>51.79</v>
      </c>
      <c r="Z8" s="10">
        <v>51.53</v>
      </c>
      <c r="AA8" s="10">
        <v>51.64</v>
      </c>
      <c r="AB8" s="90">
        <v>4368900</v>
      </c>
      <c r="AC8" s="10">
        <v>51.64</v>
      </c>
      <c r="AD8" s="2">
        <f t="shared" si="0"/>
        <v>0.25999999999999801</v>
      </c>
      <c r="AE8" s="131">
        <f t="shared" si="1"/>
        <v>9.6918007365753844E-4</v>
      </c>
    </row>
    <row r="9" spans="1:31" x14ac:dyDescent="0.25">
      <c r="H9" s="67"/>
      <c r="O9" s="11" t="s">
        <v>202</v>
      </c>
      <c r="Q9" s="131">
        <f>IF(Q2=0, 0, Q8/Q6)</f>
        <v>0</v>
      </c>
      <c r="W9" s="127">
        <v>42821</v>
      </c>
      <c r="X9" s="10">
        <v>51.4</v>
      </c>
      <c r="Y9" s="10">
        <v>51.63</v>
      </c>
      <c r="Z9" s="10">
        <v>51.37</v>
      </c>
      <c r="AA9" s="10">
        <v>51.59</v>
      </c>
      <c r="AB9" s="90">
        <v>2865300</v>
      </c>
      <c r="AC9" s="10">
        <v>51.59</v>
      </c>
      <c r="AD9" s="2">
        <f t="shared" si="0"/>
        <v>0.26000000000000512</v>
      </c>
      <c r="AE9" s="131">
        <f t="shared" si="1"/>
        <v>4.282655246252709E-3</v>
      </c>
    </row>
    <row r="10" spans="1:31" x14ac:dyDescent="0.25">
      <c r="H10" s="67"/>
      <c r="O10" s="11" t="s">
        <v>201</v>
      </c>
      <c r="P10" s="33"/>
      <c r="Q10" s="2">
        <f>M53</f>
        <v>257.64999999999964</v>
      </c>
      <c r="W10" s="127">
        <v>42818</v>
      </c>
      <c r="X10" s="10">
        <v>51.33</v>
      </c>
      <c r="Y10" s="10">
        <v>51.47</v>
      </c>
      <c r="Z10" s="10">
        <v>51.27</v>
      </c>
      <c r="AA10" s="10">
        <v>51.37</v>
      </c>
      <c r="AB10" s="90">
        <v>2516100</v>
      </c>
      <c r="AC10" s="10">
        <v>51.37</v>
      </c>
      <c r="AD10" s="2">
        <f t="shared" si="0"/>
        <v>0.19999999999999574</v>
      </c>
      <c r="AE10" s="131">
        <f t="shared" si="1"/>
        <v>1.7550702028079623E-3</v>
      </c>
    </row>
    <row r="11" spans="1:31" x14ac:dyDescent="0.25">
      <c r="H11" s="67"/>
      <c r="O11" s="11" t="s">
        <v>173</v>
      </c>
      <c r="P11" s="33"/>
      <c r="Q11" s="131">
        <v>0</v>
      </c>
      <c r="W11" s="127">
        <v>42817</v>
      </c>
      <c r="X11" s="10">
        <v>51.02</v>
      </c>
      <c r="Y11" s="10">
        <v>51.4</v>
      </c>
      <c r="Z11" s="10">
        <v>51.02</v>
      </c>
      <c r="AA11" s="10">
        <v>51.28</v>
      </c>
      <c r="AB11" s="90">
        <v>3068100</v>
      </c>
      <c r="AC11" s="10">
        <v>51.28</v>
      </c>
      <c r="AD11" s="2">
        <f t="shared" si="0"/>
        <v>0.37999999999999545</v>
      </c>
      <c r="AE11" s="131">
        <f t="shared" si="1"/>
        <v>3.3261592643318849E-3</v>
      </c>
    </row>
    <row r="12" spans="1:31" x14ac:dyDescent="0.25">
      <c r="H12" s="67"/>
      <c r="W12" s="127">
        <v>42816</v>
      </c>
      <c r="X12" s="10">
        <v>50.95</v>
      </c>
      <c r="Y12" s="10">
        <v>51.15</v>
      </c>
      <c r="Z12" s="10">
        <v>50.86</v>
      </c>
      <c r="AA12" s="10">
        <v>51.11</v>
      </c>
      <c r="AB12" s="90">
        <v>3695200</v>
      </c>
      <c r="AC12" s="10">
        <v>51.11</v>
      </c>
      <c r="AD12" s="2">
        <f t="shared" si="0"/>
        <v>0.28999999999999915</v>
      </c>
      <c r="AE12" s="131" t="e">
        <f t="shared" si="1"/>
        <v>#DIV/0!</v>
      </c>
    </row>
    <row r="13" spans="1:31" x14ac:dyDescent="0.25">
      <c r="H13" s="67"/>
      <c r="W13" s="127">
        <v>42816</v>
      </c>
      <c r="X13" s="10" t="s">
        <v>467</v>
      </c>
      <c r="Y13" s="10"/>
      <c r="Z13" s="10"/>
      <c r="AA13" s="10"/>
      <c r="AB13" s="90"/>
      <c r="AC13" s="10"/>
      <c r="AD13" s="2">
        <f t="shared" si="0"/>
        <v>0</v>
      </c>
      <c r="AE13" s="131">
        <f t="shared" si="1"/>
        <v>-1</v>
      </c>
    </row>
    <row r="14" spans="1:31" x14ac:dyDescent="0.25">
      <c r="H14" s="67"/>
      <c r="W14" s="127">
        <v>42815</v>
      </c>
      <c r="X14" s="10">
        <v>52.03</v>
      </c>
      <c r="Y14" s="10">
        <v>52.07</v>
      </c>
      <c r="Z14" s="10">
        <v>51.36</v>
      </c>
      <c r="AA14" s="10">
        <v>51.36</v>
      </c>
      <c r="AB14" s="90">
        <v>3094700</v>
      </c>
      <c r="AC14" s="10">
        <v>51.08</v>
      </c>
      <c r="AD14" s="2">
        <f t="shared" si="0"/>
        <v>0.71000000000000085</v>
      </c>
      <c r="AE14" s="131">
        <f t="shared" si="1"/>
        <v>-2.9279718914697606E-3</v>
      </c>
    </row>
    <row r="15" spans="1:31" x14ac:dyDescent="0.25">
      <c r="H15" s="67"/>
      <c r="W15" s="127">
        <v>42814</v>
      </c>
      <c r="X15" s="10">
        <v>51.58</v>
      </c>
      <c r="Y15" s="10">
        <v>51.71</v>
      </c>
      <c r="Z15" s="10">
        <v>51.43</v>
      </c>
      <c r="AA15" s="10">
        <v>51.51</v>
      </c>
      <c r="AB15" s="90">
        <v>2343100</v>
      </c>
      <c r="AC15" s="10">
        <v>51.23</v>
      </c>
      <c r="AD15" s="2">
        <f t="shared" si="0"/>
        <v>0.28000000000000114</v>
      </c>
      <c r="AE15" s="131">
        <f t="shared" si="1"/>
        <v>-2.3369036027264256E-3</v>
      </c>
    </row>
    <row r="16" spans="1:31" x14ac:dyDescent="0.25">
      <c r="H16" s="67"/>
      <c r="W16" s="127">
        <v>42811</v>
      </c>
      <c r="X16" s="10">
        <v>51.62</v>
      </c>
      <c r="Y16" s="10">
        <v>51.76</v>
      </c>
      <c r="Z16" s="10">
        <v>51.48</v>
      </c>
      <c r="AA16" s="10">
        <v>51.63</v>
      </c>
      <c r="AB16" s="90">
        <v>2065900</v>
      </c>
      <c r="AC16" s="10">
        <v>51.35</v>
      </c>
      <c r="AD16" s="2">
        <f t="shared" si="0"/>
        <v>0.28000000000000114</v>
      </c>
      <c r="AE16" s="131">
        <f t="shared" si="1"/>
        <v>1.3650546021841681E-3</v>
      </c>
    </row>
    <row r="17" spans="1:31" x14ac:dyDescent="0.25">
      <c r="W17" s="127">
        <v>42810</v>
      </c>
      <c r="X17" s="10">
        <v>51.4</v>
      </c>
      <c r="Y17" s="10">
        <v>51.58</v>
      </c>
      <c r="Z17" s="10">
        <v>51.3</v>
      </c>
      <c r="AA17" s="10">
        <v>51.56</v>
      </c>
      <c r="AB17" s="90">
        <v>6021600</v>
      </c>
      <c r="AC17" s="10">
        <v>51.28</v>
      </c>
      <c r="AD17" s="2">
        <f t="shared" si="0"/>
        <v>0.28000000000000114</v>
      </c>
      <c r="AE17" s="131">
        <f t="shared" si="1"/>
        <v>1.0443349753694653E-2</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7">
        <v>42809</v>
      </c>
      <c r="X18" s="10">
        <v>50.4</v>
      </c>
      <c r="Y18" s="10">
        <v>51.04</v>
      </c>
      <c r="Z18" s="10">
        <v>50.36</v>
      </c>
      <c r="AA18" s="10">
        <v>51.03</v>
      </c>
      <c r="AB18" s="90">
        <v>3399000</v>
      </c>
      <c r="AC18" s="10">
        <v>50.75</v>
      </c>
      <c r="AD18" s="2">
        <f t="shared" si="0"/>
        <v>0.67999999999999972</v>
      </c>
      <c r="AE18" s="131">
        <f t="shared" si="1"/>
        <v>1.459416233506583E-2</v>
      </c>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v>42808</v>
      </c>
      <c r="X19" s="10">
        <v>50.35</v>
      </c>
      <c r="Y19" s="10">
        <v>50.4</v>
      </c>
      <c r="Z19" s="10">
        <v>50.23</v>
      </c>
      <c r="AA19" s="10">
        <v>50.29</v>
      </c>
      <c r="AB19" s="90">
        <v>2131700</v>
      </c>
      <c r="AC19" s="10">
        <v>50.02</v>
      </c>
      <c r="AD19" s="2">
        <f t="shared" si="0"/>
        <v>0.17000000000000171</v>
      </c>
      <c r="AE19" s="131">
        <f t="shared" si="1"/>
        <v>-8.1300813008129413E-3</v>
      </c>
    </row>
    <row r="20" spans="1:31" x14ac:dyDescent="0.25">
      <c r="W20" s="127">
        <v>42807</v>
      </c>
      <c r="X20" s="10">
        <v>50.59</v>
      </c>
      <c r="Y20" s="10">
        <v>50.72</v>
      </c>
      <c r="Z20" s="10">
        <v>50.57</v>
      </c>
      <c r="AA20" s="10">
        <v>50.7</v>
      </c>
      <c r="AB20" s="90">
        <v>3142700</v>
      </c>
      <c r="AC20" s="10">
        <v>50.43</v>
      </c>
      <c r="AD20" s="2">
        <f t="shared" si="0"/>
        <v>0.14999999999999858</v>
      </c>
      <c r="AE20" s="131">
        <f t="shared" si="1"/>
        <v>3.5820895522387097E-3</v>
      </c>
    </row>
    <row r="21" spans="1:31" x14ac:dyDescent="0.25">
      <c r="W21" s="127">
        <v>42804</v>
      </c>
      <c r="X21" s="10">
        <v>50.35</v>
      </c>
      <c r="Y21" s="10">
        <v>50.56</v>
      </c>
      <c r="Z21" s="10">
        <v>50.3</v>
      </c>
      <c r="AA21" s="10">
        <v>50.52</v>
      </c>
      <c r="AB21" s="90">
        <v>3818800</v>
      </c>
      <c r="AC21" s="10">
        <v>50.25</v>
      </c>
      <c r="AD21" s="2">
        <f t="shared" si="0"/>
        <v>0.26000000000000512</v>
      </c>
      <c r="AE21" s="131">
        <f t="shared" si="1"/>
        <v>9.0361445783133654E-3</v>
      </c>
    </row>
    <row r="22" spans="1:31" x14ac:dyDescent="0.25">
      <c r="W22" s="127">
        <v>42803</v>
      </c>
      <c r="X22" s="10">
        <v>49.95</v>
      </c>
      <c r="Y22" s="10">
        <v>50.08</v>
      </c>
      <c r="Z22" s="10">
        <v>49.89</v>
      </c>
      <c r="AA22" s="10">
        <v>50.07</v>
      </c>
      <c r="AB22" s="90">
        <v>2403700</v>
      </c>
      <c r="AC22" s="10">
        <v>49.8</v>
      </c>
      <c r="AD22" s="2">
        <f t="shared" si="0"/>
        <v>0.18999999999999773</v>
      </c>
      <c r="AE22" s="131">
        <f t="shared" si="1"/>
        <v>7.6891946580330828E-3</v>
      </c>
    </row>
    <row r="23" spans="1:31" x14ac:dyDescent="0.25">
      <c r="W23" s="127">
        <v>42802</v>
      </c>
      <c r="X23" s="10">
        <v>49.92</v>
      </c>
      <c r="Y23" s="10">
        <v>49.95</v>
      </c>
      <c r="Z23" s="10">
        <v>49.68</v>
      </c>
      <c r="AA23" s="10">
        <v>49.69</v>
      </c>
      <c r="AB23" s="90">
        <v>2809700</v>
      </c>
      <c r="AC23" s="10">
        <v>49.42</v>
      </c>
      <c r="AD23" s="2">
        <f t="shared" si="0"/>
        <v>0.27000000000000313</v>
      </c>
      <c r="AE23" s="131">
        <f t="shared" si="1"/>
        <v>-4.0306328093510091E-3</v>
      </c>
    </row>
    <row r="24" spans="1:31" x14ac:dyDescent="0.25">
      <c r="B24" s="159" t="s">
        <v>113</v>
      </c>
      <c r="C24" s="159" t="s">
        <v>143</v>
      </c>
      <c r="D24" s="160" t="s">
        <v>142</v>
      </c>
      <c r="E24" s="162" t="s">
        <v>144</v>
      </c>
      <c r="F24" s="162" t="s">
        <v>65</v>
      </c>
      <c r="G24" s="173" t="s">
        <v>148</v>
      </c>
      <c r="H24" s="173" t="s">
        <v>88</v>
      </c>
      <c r="I24" s="173" t="s">
        <v>151</v>
      </c>
      <c r="W24" s="127">
        <v>42801</v>
      </c>
      <c r="X24" s="10">
        <v>49.87</v>
      </c>
      <c r="Y24" s="10">
        <v>49.98</v>
      </c>
      <c r="Z24" s="10">
        <v>49.76</v>
      </c>
      <c r="AA24" s="10">
        <v>49.89</v>
      </c>
      <c r="AB24" s="90">
        <v>2096500</v>
      </c>
      <c r="AC24" s="10">
        <v>49.62</v>
      </c>
      <c r="AD24" s="2">
        <f t="shared" si="0"/>
        <v>0.21999999999999886</v>
      </c>
      <c r="AE24" s="131">
        <f t="shared" si="1"/>
        <v>-5.0130338881090308E-3</v>
      </c>
    </row>
    <row r="25" spans="1:31" x14ac:dyDescent="0.25">
      <c r="B25" s="161">
        <v>42545</v>
      </c>
      <c r="C25" s="10">
        <v>100</v>
      </c>
      <c r="D25" s="39">
        <v>45.25</v>
      </c>
      <c r="E25" s="39">
        <v>45.25</v>
      </c>
      <c r="F25" s="39">
        <f t="shared" ref="F25:F37" si="2">C25*(E25-D25)</f>
        <v>0</v>
      </c>
      <c r="G25" s="39">
        <f t="shared" ref="G25:G37" si="3">D25*C25</f>
        <v>4525</v>
      </c>
      <c r="H25" s="175">
        <f t="shared" ref="H25:H37" si="4">(E25-D25)/D25</f>
        <v>0</v>
      </c>
      <c r="I25" s="39"/>
      <c r="W25" s="127">
        <v>42800</v>
      </c>
      <c r="X25" s="10">
        <v>50.2</v>
      </c>
      <c r="Y25" s="10">
        <v>50.2</v>
      </c>
      <c r="Z25" s="10">
        <v>50.02</v>
      </c>
      <c r="AA25" s="10">
        <v>50.14</v>
      </c>
      <c r="AB25" s="90">
        <v>3400500</v>
      </c>
      <c r="AC25" s="10">
        <v>49.87</v>
      </c>
      <c r="AD25" s="2">
        <f t="shared" si="0"/>
        <v>0.17999999999999972</v>
      </c>
      <c r="AE25" s="131">
        <f t="shared" si="1"/>
        <v>-4.7894631810018184E-3</v>
      </c>
    </row>
    <row r="26" spans="1:31" x14ac:dyDescent="0.25">
      <c r="B26" s="161">
        <v>42549</v>
      </c>
      <c r="C26" s="10">
        <v>100</v>
      </c>
      <c r="D26" s="39">
        <v>45.25</v>
      </c>
      <c r="E26" s="39">
        <v>44.74</v>
      </c>
      <c r="F26" s="39">
        <f t="shared" si="2"/>
        <v>-50.999999999999801</v>
      </c>
      <c r="G26" s="39">
        <f t="shared" si="3"/>
        <v>4525</v>
      </c>
      <c r="H26" s="175">
        <f t="shared" si="4"/>
        <v>-1.1270718232044155E-2</v>
      </c>
      <c r="I26" s="39"/>
      <c r="W26" s="127">
        <v>42797</v>
      </c>
      <c r="X26" s="10">
        <v>50.11</v>
      </c>
      <c r="Y26" s="10">
        <v>50.45</v>
      </c>
      <c r="Z26" s="10">
        <v>50.05</v>
      </c>
      <c r="AA26" s="10">
        <v>50.38</v>
      </c>
      <c r="AB26" s="90">
        <v>4847800</v>
      </c>
      <c r="AC26" s="10">
        <v>50.11</v>
      </c>
      <c r="AD26" s="2">
        <f t="shared" si="0"/>
        <v>0.40000000000000568</v>
      </c>
      <c r="AE26" s="131">
        <f t="shared" si="1"/>
        <v>8.046670690001978E-3</v>
      </c>
    </row>
    <row r="27" spans="1:31" x14ac:dyDescent="0.25">
      <c r="B27" s="161">
        <v>42550</v>
      </c>
      <c r="C27" s="10">
        <v>100</v>
      </c>
      <c r="D27" s="39">
        <v>45.25</v>
      </c>
      <c r="E27" s="39">
        <v>45.65</v>
      </c>
      <c r="F27" s="39">
        <f t="shared" si="2"/>
        <v>39.999999999999858</v>
      </c>
      <c r="G27" s="39">
        <f t="shared" si="3"/>
        <v>4525</v>
      </c>
      <c r="H27" s="175">
        <f t="shared" si="4"/>
        <v>8.8397790055248313E-3</v>
      </c>
      <c r="I27" s="39"/>
      <c r="W27" s="127">
        <v>42796</v>
      </c>
      <c r="X27" s="10">
        <v>50.02</v>
      </c>
      <c r="Y27" s="10">
        <v>50.14</v>
      </c>
      <c r="Z27" s="10">
        <v>49.96</v>
      </c>
      <c r="AA27" s="10">
        <v>49.98</v>
      </c>
      <c r="AB27" s="90">
        <v>2195800</v>
      </c>
      <c r="AC27" s="10">
        <v>49.71</v>
      </c>
      <c r="AD27" s="2">
        <f t="shared" si="0"/>
        <v>0.17999999999999972</v>
      </c>
      <c r="AE27" s="131">
        <f t="shared" si="1"/>
        <v>-3.8076152304609145E-3</v>
      </c>
    </row>
    <row r="28" spans="1:31" x14ac:dyDescent="0.25">
      <c r="B28" s="161">
        <v>42552</v>
      </c>
      <c r="C28" s="10">
        <v>100</v>
      </c>
      <c r="D28" s="39">
        <v>45.25</v>
      </c>
      <c r="E28" s="39">
        <v>46.72</v>
      </c>
      <c r="F28" s="39">
        <f t="shared" si="2"/>
        <v>146.99999999999989</v>
      </c>
      <c r="G28" s="39">
        <f t="shared" si="3"/>
        <v>4525</v>
      </c>
      <c r="H28" s="175">
        <f t="shared" si="4"/>
        <v>3.2486187845303841E-2</v>
      </c>
      <c r="I28" s="39"/>
      <c r="W28" s="127">
        <v>42795</v>
      </c>
      <c r="X28" s="10">
        <v>49.98</v>
      </c>
      <c r="Y28" s="10">
        <v>50.32</v>
      </c>
      <c r="Z28" s="10">
        <v>49.96</v>
      </c>
      <c r="AA28" s="10">
        <v>50.17</v>
      </c>
      <c r="AB28" s="90">
        <v>3855500</v>
      </c>
      <c r="AC28" s="10">
        <v>49.9</v>
      </c>
      <c r="AD28" s="2">
        <f t="shared" si="0"/>
        <v>0.35999999999999943</v>
      </c>
      <c r="AE28" s="131">
        <f t="shared" si="1"/>
        <v>1.0530579181854849E-2</v>
      </c>
    </row>
    <row r="29" spans="1:31" x14ac:dyDescent="0.25">
      <c r="B29" s="161">
        <v>42556</v>
      </c>
      <c r="C29" s="10">
        <v>100</v>
      </c>
      <c r="D29" s="39">
        <v>45.25</v>
      </c>
      <c r="E29" s="39">
        <v>45.25</v>
      </c>
      <c r="F29" s="39">
        <f t="shared" si="2"/>
        <v>0</v>
      </c>
      <c r="G29" s="39">
        <f t="shared" si="3"/>
        <v>4525</v>
      </c>
      <c r="H29" s="175">
        <f t="shared" si="4"/>
        <v>0</v>
      </c>
      <c r="I29" s="39"/>
      <c r="W29" s="127">
        <v>42794</v>
      </c>
      <c r="X29" s="10">
        <v>49.66</v>
      </c>
      <c r="Y29" s="10">
        <v>49.84</v>
      </c>
      <c r="Z29" s="10">
        <v>49.59</v>
      </c>
      <c r="AA29" s="10">
        <v>49.65</v>
      </c>
      <c r="AB29" s="90">
        <v>3687600</v>
      </c>
      <c r="AC29" s="10">
        <v>49.38</v>
      </c>
      <c r="AD29" s="2">
        <f t="shared" si="0"/>
        <v>0.25</v>
      </c>
      <c r="AE29" s="131">
        <f t="shared" si="1"/>
        <v>-1.011531458628312E-3</v>
      </c>
    </row>
    <row r="30" spans="1:31" x14ac:dyDescent="0.25">
      <c r="B30" s="161">
        <v>42562</v>
      </c>
      <c r="C30" s="10">
        <v>100</v>
      </c>
      <c r="D30" s="39">
        <v>45.25</v>
      </c>
      <c r="E30" s="39">
        <v>46.34</v>
      </c>
      <c r="F30" s="39">
        <f t="shared" si="2"/>
        <v>109.00000000000034</v>
      </c>
      <c r="G30" s="39">
        <f t="shared" si="3"/>
        <v>4525</v>
      </c>
      <c r="H30" s="175">
        <f t="shared" si="4"/>
        <v>2.4088397790055324E-2</v>
      </c>
      <c r="I30" s="39"/>
      <c r="W30" s="127">
        <v>42793</v>
      </c>
      <c r="X30" s="10">
        <v>49.48</v>
      </c>
      <c r="Y30" s="10">
        <v>49.73</v>
      </c>
      <c r="Z30" s="10">
        <v>49.47</v>
      </c>
      <c r="AA30" s="10">
        <v>49.7</v>
      </c>
      <c r="AB30" s="90">
        <v>1937800</v>
      </c>
      <c r="AC30" s="10">
        <v>49.43</v>
      </c>
      <c r="AD30" s="2">
        <f t="shared" si="0"/>
        <v>0.25999999999999801</v>
      </c>
      <c r="AE30" s="131">
        <f t="shared" si="1"/>
        <v>2.4335834516324706E-3</v>
      </c>
    </row>
    <row r="31" spans="1:31" x14ac:dyDescent="0.25">
      <c r="B31" s="161">
        <v>42563</v>
      </c>
      <c r="C31" s="10">
        <v>100</v>
      </c>
      <c r="D31" s="39">
        <v>45.25</v>
      </c>
      <c r="E31" s="39">
        <v>47.02</v>
      </c>
      <c r="F31" s="39">
        <f t="shared" si="2"/>
        <v>177.00000000000031</v>
      </c>
      <c r="G31" s="39">
        <f t="shared" si="3"/>
        <v>4525</v>
      </c>
      <c r="H31" s="175">
        <f t="shared" si="4"/>
        <v>3.9116022099447582E-2</v>
      </c>
      <c r="I31" s="39"/>
      <c r="W31" s="127">
        <v>42790</v>
      </c>
      <c r="X31" s="10">
        <v>49.4</v>
      </c>
      <c r="Y31" s="10">
        <v>49.64</v>
      </c>
      <c r="Z31" s="10">
        <v>49.37</v>
      </c>
      <c r="AA31" s="10">
        <v>49.58</v>
      </c>
      <c r="AB31" s="90">
        <v>2722600</v>
      </c>
      <c r="AC31" s="10">
        <v>49.31</v>
      </c>
      <c r="AD31" s="2">
        <f t="shared" si="0"/>
        <v>0.27000000000000313</v>
      </c>
      <c r="AE31" s="131">
        <f t="shared" si="1"/>
        <v>-9.0434083601285131E-3</v>
      </c>
    </row>
    <row r="32" spans="1:31" x14ac:dyDescent="0.25">
      <c r="B32" s="161">
        <v>42566</v>
      </c>
      <c r="C32" s="10">
        <v>100</v>
      </c>
      <c r="D32" s="39">
        <v>45.25</v>
      </c>
      <c r="E32" s="39">
        <v>47.22</v>
      </c>
      <c r="F32" s="39">
        <f t="shared" si="2"/>
        <v>196.99999999999989</v>
      </c>
      <c r="G32" s="39">
        <f t="shared" si="3"/>
        <v>4525</v>
      </c>
      <c r="H32" s="175">
        <f t="shared" si="4"/>
        <v>4.3535911602209917E-2</v>
      </c>
      <c r="I32" s="39"/>
      <c r="W32" s="127">
        <v>42789</v>
      </c>
      <c r="X32" s="10">
        <v>50.06</v>
      </c>
      <c r="Y32" s="10">
        <v>50.1</v>
      </c>
      <c r="Z32" s="10">
        <v>49.9</v>
      </c>
      <c r="AA32" s="10">
        <v>50.03</v>
      </c>
      <c r="AB32" s="90">
        <v>2126800</v>
      </c>
      <c r="AC32" s="10">
        <v>49.76</v>
      </c>
      <c r="AD32" s="2">
        <f t="shared" si="0"/>
        <v>0.20000000000000284</v>
      </c>
      <c r="AE32" s="131">
        <f t="shared" si="1"/>
        <v>2.4174053182917099E-3</v>
      </c>
    </row>
    <row r="33" spans="2:31" x14ac:dyDescent="0.25">
      <c r="B33" s="161">
        <v>42570</v>
      </c>
      <c r="C33" s="10">
        <v>100</v>
      </c>
      <c r="D33" s="39">
        <v>45.25</v>
      </c>
      <c r="E33" s="39">
        <v>46.95</v>
      </c>
      <c r="F33" s="39">
        <f t="shared" si="2"/>
        <v>170.00000000000028</v>
      </c>
      <c r="G33" s="39">
        <f t="shared" si="3"/>
        <v>4525</v>
      </c>
      <c r="H33" s="175">
        <f t="shared" si="4"/>
        <v>3.7569060773480725E-2</v>
      </c>
      <c r="I33" s="39"/>
      <c r="W33" s="127">
        <v>42788</v>
      </c>
      <c r="X33" s="10">
        <v>49.63</v>
      </c>
      <c r="Y33" s="10">
        <v>49.94</v>
      </c>
      <c r="Z33" s="10">
        <v>49.57</v>
      </c>
      <c r="AA33" s="10">
        <v>49.91</v>
      </c>
      <c r="AB33" s="90">
        <v>4094600</v>
      </c>
      <c r="AC33" s="10">
        <v>49.64</v>
      </c>
      <c r="AD33" s="2">
        <f t="shared" si="0"/>
        <v>0.36999999999999744</v>
      </c>
      <c r="AE33" s="131">
        <f t="shared" si="1"/>
        <v>-2.0140986908356862E-4</v>
      </c>
    </row>
    <row r="34" spans="2:31" x14ac:dyDescent="0.25">
      <c r="B34" s="161">
        <v>42571</v>
      </c>
      <c r="C34" s="10">
        <v>100</v>
      </c>
      <c r="D34" s="39">
        <v>45.25</v>
      </c>
      <c r="E34" s="39">
        <v>47.4</v>
      </c>
      <c r="F34" s="39">
        <f t="shared" si="2"/>
        <v>214.99999999999986</v>
      </c>
      <c r="G34" s="39">
        <f t="shared" si="3"/>
        <v>4525</v>
      </c>
      <c r="H34" s="175">
        <f t="shared" si="4"/>
        <v>4.7513812154696099E-2</v>
      </c>
      <c r="I34" s="39"/>
      <c r="W34" s="127">
        <v>42787</v>
      </c>
      <c r="X34" s="10">
        <v>49.7</v>
      </c>
      <c r="Y34" s="10">
        <v>49.94</v>
      </c>
      <c r="Z34" s="10">
        <v>49.69</v>
      </c>
      <c r="AA34" s="10">
        <v>49.92</v>
      </c>
      <c r="AB34" s="90">
        <v>3164300</v>
      </c>
      <c r="AC34" s="10">
        <v>49.65</v>
      </c>
      <c r="AD34" s="2">
        <f t="shared" si="0"/>
        <v>0.25</v>
      </c>
      <c r="AE34" s="131">
        <f t="shared" si="1"/>
        <v>2.014504431908648E-4</v>
      </c>
    </row>
    <row r="35" spans="2:31" x14ac:dyDescent="0.25">
      <c r="B35" s="161">
        <v>42572</v>
      </c>
      <c r="C35" s="10">
        <v>100</v>
      </c>
      <c r="D35" s="39">
        <v>45.25</v>
      </c>
      <c r="E35" s="39">
        <v>47.26</v>
      </c>
      <c r="F35" s="39">
        <f t="shared" si="2"/>
        <v>200.9999999999998</v>
      </c>
      <c r="G35" s="39">
        <f t="shared" si="3"/>
        <v>4525</v>
      </c>
      <c r="H35" s="175">
        <f t="shared" si="4"/>
        <v>4.4419889502762384E-2</v>
      </c>
      <c r="I35" s="39"/>
      <c r="W35" s="127">
        <v>42783</v>
      </c>
      <c r="X35" s="10">
        <v>49.77</v>
      </c>
      <c r="Y35" s="10">
        <v>49.92</v>
      </c>
      <c r="Z35" s="10">
        <v>49.71</v>
      </c>
      <c r="AA35" s="10">
        <v>49.91</v>
      </c>
      <c r="AB35" s="90">
        <v>3813200</v>
      </c>
      <c r="AC35" s="10">
        <v>49.64</v>
      </c>
      <c r="AD35" s="2">
        <f t="shared" si="0"/>
        <v>0.21000000000000085</v>
      </c>
      <c r="AE35" s="131">
        <f t="shared" si="1"/>
        <v>-3.6130068245684432E-3</v>
      </c>
    </row>
    <row r="36" spans="2:31" x14ac:dyDescent="0.25">
      <c r="B36" s="161">
        <v>42576</v>
      </c>
      <c r="C36" s="10">
        <v>100</v>
      </c>
      <c r="D36" s="39">
        <v>45.25</v>
      </c>
      <c r="E36" s="39">
        <v>47.34</v>
      </c>
      <c r="F36" s="39">
        <f t="shared" si="2"/>
        <v>209.00000000000034</v>
      </c>
      <c r="G36" s="39">
        <f t="shared" si="3"/>
        <v>4525</v>
      </c>
      <c r="H36" s="175">
        <f t="shared" si="4"/>
        <v>4.6187845303867478E-2</v>
      </c>
      <c r="I36" s="39"/>
      <c r="W36" s="127">
        <v>42782</v>
      </c>
      <c r="X36" s="10">
        <v>49.96</v>
      </c>
      <c r="Y36" s="10">
        <v>50.09</v>
      </c>
      <c r="Z36" s="10">
        <v>49.93</v>
      </c>
      <c r="AA36" s="10">
        <v>50.09</v>
      </c>
      <c r="AB36" s="90">
        <v>2035500</v>
      </c>
      <c r="AC36" s="10">
        <v>49.82</v>
      </c>
      <c r="AD36" s="2">
        <f t="shared" si="0"/>
        <v>0.16000000000000369</v>
      </c>
      <c r="AE36" s="131">
        <f t="shared" si="1"/>
        <v>4.0306328093511201E-3</v>
      </c>
    </row>
    <row r="37" spans="2:31" x14ac:dyDescent="0.25">
      <c r="B37" s="161">
        <v>42577</v>
      </c>
      <c r="C37" s="10">
        <v>50</v>
      </c>
      <c r="D37" s="39">
        <v>43.000999999999998</v>
      </c>
      <c r="E37" s="39">
        <v>47.5</v>
      </c>
      <c r="F37" s="39">
        <f t="shared" si="2"/>
        <v>224.9500000000001</v>
      </c>
      <c r="G37" s="39">
        <f t="shared" si="3"/>
        <v>2150.0499999999997</v>
      </c>
      <c r="H37" s="175">
        <f t="shared" si="4"/>
        <v>0.10462547382619015</v>
      </c>
      <c r="I37" s="39"/>
      <c r="W37" s="127">
        <v>42781</v>
      </c>
      <c r="X37" s="10">
        <v>49.47</v>
      </c>
      <c r="Y37" s="10">
        <v>49.89</v>
      </c>
      <c r="Z37" s="10">
        <v>49.44</v>
      </c>
      <c r="AA37" s="10">
        <v>49.89</v>
      </c>
      <c r="AB37" s="90">
        <v>3167700</v>
      </c>
      <c r="AC37" s="10">
        <v>49.62</v>
      </c>
      <c r="AD37" s="2">
        <f t="shared" si="0"/>
        <v>0.45000000000000284</v>
      </c>
      <c r="AE37" s="131">
        <f t="shared" si="1"/>
        <v>4.6568131200648288E-3</v>
      </c>
    </row>
    <row r="38" spans="2:31" x14ac:dyDescent="0.25">
      <c r="B38" s="161">
        <v>42580</v>
      </c>
      <c r="C38" s="10">
        <v>0</v>
      </c>
      <c r="D38" s="39"/>
      <c r="E38" s="39"/>
      <c r="F38" s="39">
        <v>257.89999999999998</v>
      </c>
      <c r="G38" s="39"/>
      <c r="H38" s="175"/>
      <c r="I38" s="39"/>
      <c r="W38" s="127">
        <v>42780</v>
      </c>
      <c r="X38" s="10">
        <v>49.63</v>
      </c>
      <c r="Y38" s="10">
        <v>49.69</v>
      </c>
      <c r="Z38" s="10">
        <v>49.44</v>
      </c>
      <c r="AA38" s="10">
        <v>49.66</v>
      </c>
      <c r="AB38" s="90">
        <v>2379000</v>
      </c>
      <c r="AC38" s="10">
        <v>49.39</v>
      </c>
      <c r="AD38" s="2">
        <f t="shared" si="0"/>
        <v>0.25</v>
      </c>
      <c r="AE38" s="131">
        <f t="shared" si="1"/>
        <v>2.0251113811253774E-4</v>
      </c>
    </row>
    <row r="39" spans="2:31" x14ac:dyDescent="0.25">
      <c r="B39" s="161"/>
      <c r="C39" s="10"/>
      <c r="D39" s="39"/>
      <c r="E39" s="39"/>
      <c r="F39" s="39"/>
      <c r="G39" s="39"/>
      <c r="H39" s="175"/>
      <c r="I39" s="39"/>
      <c r="W39" s="127">
        <v>42779</v>
      </c>
      <c r="X39" s="10">
        <v>49.74</v>
      </c>
      <c r="Y39" s="10">
        <v>49.76</v>
      </c>
      <c r="Z39" s="10">
        <v>49.6</v>
      </c>
      <c r="AA39" s="10">
        <v>49.65</v>
      </c>
      <c r="AB39" s="90">
        <v>2474800</v>
      </c>
      <c r="AC39" s="10">
        <v>49.38</v>
      </c>
      <c r="AD39" s="2">
        <f t="shared" si="0"/>
        <v>0.15999999999999659</v>
      </c>
      <c r="AE39" s="131">
        <f t="shared" si="1"/>
        <v>3.6585365853658569E-3</v>
      </c>
    </row>
    <row r="40" spans="2:31" ht="20.25" thickBot="1" x14ac:dyDescent="0.35">
      <c r="B40" s="161"/>
      <c r="C40" s="10"/>
      <c r="D40" s="39"/>
      <c r="E40" s="39"/>
      <c r="F40" s="39"/>
      <c r="G40" s="39"/>
      <c r="H40" s="175"/>
      <c r="I40" s="39"/>
      <c r="O40" s="886" t="s">
        <v>78</v>
      </c>
      <c r="P40" s="886"/>
      <c r="W40" s="127">
        <v>42776</v>
      </c>
      <c r="X40" s="10">
        <v>49.3</v>
      </c>
      <c r="Y40" s="10">
        <v>49.53</v>
      </c>
      <c r="Z40" s="10">
        <v>49.27</v>
      </c>
      <c r="AA40" s="10">
        <v>49.47</v>
      </c>
      <c r="AB40" s="90">
        <v>2778800</v>
      </c>
      <c r="AC40" s="10">
        <v>49.2</v>
      </c>
      <c r="AD40" s="2">
        <f t="shared" si="0"/>
        <v>0.25999999999999801</v>
      </c>
      <c r="AE40" s="131">
        <f t="shared" si="1"/>
        <v>2.0329335230750978E-4</v>
      </c>
    </row>
    <row r="41" spans="2:31" ht="15.75" thickTop="1" x14ac:dyDescent="0.25">
      <c r="B41" s="161"/>
      <c r="C41" s="10"/>
      <c r="D41" s="39"/>
      <c r="E41" s="39"/>
      <c r="F41" s="39"/>
      <c r="G41" s="39"/>
      <c r="H41" s="175"/>
      <c r="I41" s="39"/>
      <c r="O41" s="78">
        <v>1.1000000000000001</v>
      </c>
      <c r="P41" s="78">
        <f>O41*$Q$4</f>
        <v>59.488</v>
      </c>
      <c r="Q41" s="2"/>
      <c r="W41" s="127">
        <v>42775</v>
      </c>
      <c r="X41" s="10">
        <v>49.44</v>
      </c>
      <c r="Y41" s="10">
        <v>49.57</v>
      </c>
      <c r="Z41" s="10">
        <v>49.37</v>
      </c>
      <c r="AA41" s="10">
        <v>49.46</v>
      </c>
      <c r="AB41" s="90">
        <v>3598000</v>
      </c>
      <c r="AC41" s="10">
        <v>49.19</v>
      </c>
      <c r="AD41" s="2">
        <f t="shared" si="0"/>
        <v>0.20000000000000284</v>
      </c>
      <c r="AE41" s="131">
        <f t="shared" si="1"/>
        <v>3.4679722562218629E-3</v>
      </c>
    </row>
    <row r="42" spans="2:31" ht="20.25" thickBot="1" x14ac:dyDescent="0.35">
      <c r="B42" s="161"/>
      <c r="C42" s="10"/>
      <c r="D42" s="39"/>
      <c r="E42" s="39"/>
      <c r="F42" s="39"/>
      <c r="G42" s="39"/>
      <c r="H42" s="175"/>
      <c r="I42" s="39"/>
      <c r="O42" s="78">
        <v>1.0900000000000001</v>
      </c>
      <c r="P42" s="78">
        <f t="shared" ref="P42:P61" si="5">O42*$Q$4</f>
        <v>58.947200000000002</v>
      </c>
      <c r="Q42" s="2"/>
      <c r="T42" s="86" t="s">
        <v>112</v>
      </c>
      <c r="W42" s="127">
        <v>42774</v>
      </c>
      <c r="X42" s="10">
        <v>49.09</v>
      </c>
      <c r="Y42" s="10">
        <v>49.3</v>
      </c>
      <c r="Z42" s="10">
        <v>48.99</v>
      </c>
      <c r="AA42" s="10">
        <v>49.29</v>
      </c>
      <c r="AB42" s="90">
        <v>1506200</v>
      </c>
      <c r="AC42" s="10">
        <v>49.02</v>
      </c>
      <c r="AD42" s="2">
        <f t="shared" si="0"/>
        <v>0.30999999999999517</v>
      </c>
      <c r="AE42" s="131">
        <f t="shared" si="1"/>
        <v>1.8393623543839777E-3</v>
      </c>
    </row>
    <row r="43" spans="2:31" ht="15.75" thickTop="1" x14ac:dyDescent="0.25">
      <c r="B43" s="161"/>
      <c r="C43" s="10"/>
      <c r="D43" s="39"/>
      <c r="E43" s="39"/>
      <c r="F43" s="39"/>
      <c r="G43" s="39"/>
      <c r="H43" s="175"/>
      <c r="I43" s="39"/>
      <c r="O43" s="78">
        <v>1.08</v>
      </c>
      <c r="P43" s="78">
        <f t="shared" si="5"/>
        <v>58.406400000000005</v>
      </c>
      <c r="Q43" s="2"/>
      <c r="T43" s="122" t="s">
        <v>97</v>
      </c>
      <c r="U43" s="93">
        <v>51.4</v>
      </c>
      <c r="W43" s="127">
        <v>42773</v>
      </c>
      <c r="X43" s="10">
        <v>49.07</v>
      </c>
      <c r="Y43" s="10">
        <v>49.22</v>
      </c>
      <c r="Z43" s="10">
        <v>49.07</v>
      </c>
      <c r="AA43" s="10">
        <v>49.2</v>
      </c>
      <c r="AB43" s="90">
        <v>2331600</v>
      </c>
      <c r="AC43" s="10">
        <v>48.93</v>
      </c>
      <c r="AD43" s="2">
        <f t="shared" si="0"/>
        <v>0.14999999999999858</v>
      </c>
      <c r="AE43" s="131">
        <f t="shared" si="1"/>
        <v>4.0891433244749642E-4</v>
      </c>
    </row>
    <row r="44" spans="2:31" x14ac:dyDescent="0.25">
      <c r="B44" s="161"/>
      <c r="C44" s="10"/>
      <c r="D44" s="39"/>
      <c r="E44" s="39"/>
      <c r="F44" s="39"/>
      <c r="G44" s="39"/>
      <c r="H44" s="175"/>
      <c r="I44" s="39"/>
      <c r="O44" s="78">
        <v>1.07</v>
      </c>
      <c r="P44" s="78">
        <f t="shared" si="5"/>
        <v>57.865600000000001</v>
      </c>
      <c r="Q44" s="2"/>
      <c r="T44" s="88" t="s">
        <v>98</v>
      </c>
      <c r="U44" s="83">
        <v>51.4</v>
      </c>
      <c r="W44" s="127">
        <v>42772</v>
      </c>
      <c r="X44" s="10">
        <v>49.15</v>
      </c>
      <c r="Y44" s="10">
        <v>49.23</v>
      </c>
      <c r="Z44" s="10">
        <v>49.03</v>
      </c>
      <c r="AA44" s="10">
        <v>49.18</v>
      </c>
      <c r="AB44" s="90">
        <v>2345600</v>
      </c>
      <c r="AC44" s="10">
        <v>48.91</v>
      </c>
      <c r="AD44" s="2">
        <f t="shared" si="0"/>
        <v>0.19999999999999574</v>
      </c>
      <c r="AE44" s="131">
        <f t="shared" si="1"/>
        <v>-9.5180234912921602E-3</v>
      </c>
    </row>
    <row r="45" spans="2:31" x14ac:dyDescent="0.25">
      <c r="B45" s="161"/>
      <c r="C45" s="10"/>
      <c r="D45" s="39"/>
      <c r="E45" s="39"/>
      <c r="F45" s="39"/>
      <c r="G45" s="39"/>
      <c r="H45" s="175"/>
      <c r="I45" s="39"/>
      <c r="O45" s="78">
        <v>1.06</v>
      </c>
      <c r="P45" s="78">
        <f t="shared" si="5"/>
        <v>57.324800000000003</v>
      </c>
      <c r="Q45" s="2"/>
      <c r="T45" s="88" t="s">
        <v>99</v>
      </c>
      <c r="U45" s="83" t="s">
        <v>128</v>
      </c>
      <c r="W45" s="127">
        <v>42769</v>
      </c>
      <c r="X45" s="10">
        <v>49.62</v>
      </c>
      <c r="Y45" s="10">
        <v>49.76</v>
      </c>
      <c r="Z45" s="10">
        <v>49.55</v>
      </c>
      <c r="AA45" s="10">
        <v>49.65</v>
      </c>
      <c r="AB45" s="90">
        <v>1961400</v>
      </c>
      <c r="AC45" s="10">
        <v>49.38</v>
      </c>
      <c r="AD45" s="2">
        <f t="shared" si="0"/>
        <v>0.21000000000000085</v>
      </c>
      <c r="AE45" s="131">
        <f t="shared" si="1"/>
        <v>3.6585365853658569E-3</v>
      </c>
    </row>
    <row r="46" spans="2:31" x14ac:dyDescent="0.25">
      <c r="B46" s="161"/>
      <c r="C46" s="10"/>
      <c r="D46" s="39"/>
      <c r="E46" s="39"/>
      <c r="F46" s="39"/>
      <c r="G46" s="39"/>
      <c r="H46" s="175"/>
      <c r="I46" s="39"/>
      <c r="O46" s="78">
        <v>1.05</v>
      </c>
      <c r="P46" s="78">
        <f t="shared" si="5"/>
        <v>56.783999999999999</v>
      </c>
      <c r="Q46" s="2"/>
      <c r="T46" s="88" t="s">
        <v>100</v>
      </c>
      <c r="U46" s="83" t="s">
        <v>128</v>
      </c>
      <c r="W46" s="127">
        <v>42768</v>
      </c>
      <c r="X46" s="10">
        <v>49.58</v>
      </c>
      <c r="Y46" s="10">
        <v>49.65</v>
      </c>
      <c r="Z46" s="10">
        <v>49.36</v>
      </c>
      <c r="AA46" s="10">
        <v>49.47</v>
      </c>
      <c r="AB46" s="90">
        <v>2448500</v>
      </c>
      <c r="AC46" s="10">
        <v>49.2</v>
      </c>
      <c r="AD46" s="2">
        <f t="shared" si="0"/>
        <v>0.28999999999999915</v>
      </c>
      <c r="AE46" s="131">
        <f t="shared" si="1"/>
        <v>-8.1234768480908937E-4</v>
      </c>
    </row>
    <row r="47" spans="2:31" x14ac:dyDescent="0.25">
      <c r="B47" s="161"/>
      <c r="C47" s="10"/>
      <c r="D47" s="39"/>
      <c r="E47" s="39"/>
      <c r="F47" s="39"/>
      <c r="G47" s="39"/>
      <c r="H47" s="175"/>
      <c r="I47" s="39"/>
      <c r="O47" s="78">
        <v>1.04</v>
      </c>
      <c r="P47" s="78">
        <f t="shared" si="5"/>
        <v>56.243200000000002</v>
      </c>
      <c r="Q47" s="2"/>
      <c r="T47" s="88" t="s">
        <v>298</v>
      </c>
      <c r="U47" s="83">
        <v>51.32</v>
      </c>
      <c r="W47" s="127">
        <v>42767</v>
      </c>
      <c r="X47" s="10">
        <v>49.64</v>
      </c>
      <c r="Y47" s="10">
        <v>49.64</v>
      </c>
      <c r="Z47" s="10">
        <v>49.36</v>
      </c>
      <c r="AA47" s="10">
        <v>49.51</v>
      </c>
      <c r="AB47" s="90">
        <v>3632300</v>
      </c>
      <c r="AC47" s="10">
        <v>49.24</v>
      </c>
      <c r="AD47" s="2">
        <f t="shared" si="0"/>
        <v>0.28000000000000114</v>
      </c>
      <c r="AE47" s="131">
        <f t="shared" si="1"/>
        <v>3.0556121409655024E-3</v>
      </c>
    </row>
    <row r="48" spans="2:31" x14ac:dyDescent="0.25">
      <c r="B48" s="161"/>
      <c r="C48" s="10"/>
      <c r="D48" s="39"/>
      <c r="E48" s="39"/>
      <c r="F48" s="39"/>
      <c r="G48" s="39"/>
      <c r="H48" s="175"/>
      <c r="I48" s="39"/>
      <c r="O48" s="78">
        <v>1.03</v>
      </c>
      <c r="P48" s="78">
        <f t="shared" si="5"/>
        <v>55.702399999999997</v>
      </c>
      <c r="Q48" s="2"/>
      <c r="T48" s="88" t="s">
        <v>299</v>
      </c>
      <c r="U48" s="83" t="s">
        <v>453</v>
      </c>
      <c r="W48" s="127">
        <v>42766</v>
      </c>
      <c r="X48" s="10">
        <v>49.37</v>
      </c>
      <c r="Y48" s="10">
        <v>49.41</v>
      </c>
      <c r="Z48" s="10">
        <v>49.11</v>
      </c>
      <c r="AA48" s="10">
        <v>49.36</v>
      </c>
      <c r="AB48" s="90">
        <v>3646000</v>
      </c>
      <c r="AC48" s="10">
        <v>49.09</v>
      </c>
      <c r="AD48" s="2">
        <f t="shared" si="0"/>
        <v>0.29999999999999716</v>
      </c>
      <c r="AE48" s="131">
        <f t="shared" si="1"/>
        <v>4.7073270568973591E-3</v>
      </c>
    </row>
    <row r="49" spans="1:31" x14ac:dyDescent="0.25">
      <c r="B49" s="161"/>
      <c r="C49" s="10"/>
      <c r="D49" s="39"/>
      <c r="E49" s="39"/>
      <c r="F49" s="39"/>
      <c r="G49" s="39"/>
      <c r="H49" s="175"/>
      <c r="I49" s="39"/>
      <c r="O49" s="78">
        <v>1.02</v>
      </c>
      <c r="P49" s="78">
        <f t="shared" si="5"/>
        <v>55.1616</v>
      </c>
      <c r="Q49" s="2"/>
      <c r="T49" s="88" t="s">
        <v>300</v>
      </c>
      <c r="U49" s="355">
        <v>3.5700000000000003E-2</v>
      </c>
      <c r="W49" s="127">
        <v>42765</v>
      </c>
      <c r="X49" s="10">
        <v>49.04</v>
      </c>
      <c r="Y49" s="10">
        <v>49.15</v>
      </c>
      <c r="Z49" s="10">
        <v>48.89</v>
      </c>
      <c r="AA49" s="10">
        <v>49.12</v>
      </c>
      <c r="AB49" s="90">
        <v>2517700</v>
      </c>
      <c r="AC49" s="10">
        <v>48.86</v>
      </c>
      <c r="AD49" s="2">
        <f t="shared" si="0"/>
        <v>0.25999999999999801</v>
      </c>
      <c r="AE49" s="131">
        <f t="shared" si="1"/>
        <v>-8.1201786439301094E-3</v>
      </c>
    </row>
    <row r="50" spans="1:31" x14ac:dyDescent="0.25">
      <c r="O50" s="78">
        <v>1.01</v>
      </c>
      <c r="P50" s="78">
        <f t="shared" si="5"/>
        <v>54.620799999999996</v>
      </c>
      <c r="Q50" s="2"/>
      <c r="T50" s="88"/>
      <c r="U50" s="83"/>
      <c r="W50" s="127">
        <v>42762</v>
      </c>
      <c r="X50" s="10">
        <v>49.54</v>
      </c>
      <c r="Y50" s="10">
        <v>49.61</v>
      </c>
      <c r="Z50" s="10">
        <v>49.46</v>
      </c>
      <c r="AA50" s="10">
        <v>49.53</v>
      </c>
      <c r="AB50" s="90">
        <v>1349100</v>
      </c>
      <c r="AC50" s="10">
        <v>49.26</v>
      </c>
      <c r="AD50" s="2">
        <f t="shared" si="0"/>
        <v>0.14999999999999858</v>
      </c>
      <c r="AE50" s="131">
        <f t="shared" si="1"/>
        <v>-2.0296326364943607E-4</v>
      </c>
    </row>
    <row r="51" spans="1:31" x14ac:dyDescent="0.25">
      <c r="O51" s="78">
        <v>1</v>
      </c>
      <c r="P51" s="78">
        <f t="shared" si="5"/>
        <v>54.08</v>
      </c>
      <c r="Q51" s="2"/>
      <c r="T51" s="88" t="s">
        <v>104</v>
      </c>
      <c r="U51" s="83" t="s">
        <v>539</v>
      </c>
      <c r="W51" s="127">
        <v>42761</v>
      </c>
      <c r="X51" s="10">
        <v>49.65</v>
      </c>
      <c r="Y51" s="10">
        <v>49.7</v>
      </c>
      <c r="Z51" s="10">
        <v>49.46</v>
      </c>
      <c r="AA51" s="10">
        <v>49.54</v>
      </c>
      <c r="AB51" s="90">
        <v>2366100</v>
      </c>
      <c r="AC51" s="10">
        <v>49.27</v>
      </c>
      <c r="AD51" s="2">
        <f t="shared" si="0"/>
        <v>0.24000000000000199</v>
      </c>
      <c r="AE51" s="131">
        <f t="shared" si="1"/>
        <v>-6.4529138939302122E-3</v>
      </c>
    </row>
    <row r="52" spans="1:31" x14ac:dyDescent="0.25">
      <c r="O52" s="78">
        <v>0.99</v>
      </c>
      <c r="P52" s="78">
        <f t="shared" si="5"/>
        <v>53.539200000000001</v>
      </c>
      <c r="Q52" s="2"/>
      <c r="T52" s="88" t="s">
        <v>105</v>
      </c>
      <c r="U52" s="83" t="s">
        <v>466</v>
      </c>
      <c r="W52" s="127">
        <v>42760</v>
      </c>
      <c r="X52" s="10">
        <v>49.64</v>
      </c>
      <c r="Y52" s="10">
        <v>49.88</v>
      </c>
      <c r="Z52" s="10">
        <v>49.63</v>
      </c>
      <c r="AA52" s="10">
        <v>49.86</v>
      </c>
      <c r="AB52" s="90">
        <v>2420900</v>
      </c>
      <c r="AC52" s="10">
        <v>49.59</v>
      </c>
      <c r="AD52" s="2">
        <f t="shared" si="0"/>
        <v>0.25</v>
      </c>
      <c r="AE52" s="131">
        <f t="shared" si="1"/>
        <v>1.2040816326530646E-2</v>
      </c>
    </row>
    <row r="53" spans="1:31" x14ac:dyDescent="0.25">
      <c r="L53" t="s">
        <v>65</v>
      </c>
      <c r="M53" s="2">
        <f>K71+M71-F71</f>
        <v>257.64999999999964</v>
      </c>
      <c r="O53" s="78">
        <v>0.98</v>
      </c>
      <c r="P53" s="78">
        <f t="shared" si="5"/>
        <v>52.998399999999997</v>
      </c>
      <c r="Q53" s="2"/>
      <c r="T53" s="88" t="s">
        <v>106</v>
      </c>
      <c r="U53" s="85">
        <v>3916048</v>
      </c>
      <c r="W53" s="127">
        <v>42759</v>
      </c>
      <c r="X53" s="10">
        <v>49.14</v>
      </c>
      <c r="Y53" s="10">
        <v>49.34</v>
      </c>
      <c r="Z53" s="10">
        <v>49.1</v>
      </c>
      <c r="AA53" s="10">
        <v>49.27</v>
      </c>
      <c r="AB53" s="90">
        <v>2249400</v>
      </c>
      <c r="AC53" s="10">
        <v>49</v>
      </c>
      <c r="AD53" s="2">
        <f t="shared" si="0"/>
        <v>0.24000000000000199</v>
      </c>
      <c r="AE53" s="131">
        <f t="shared" si="1"/>
        <v>2.2499488647984567E-3</v>
      </c>
    </row>
    <row r="54" spans="1:31" x14ac:dyDescent="0.25">
      <c r="A54" s="195" t="s">
        <v>1</v>
      </c>
      <c r="B54" s="195" t="s">
        <v>2</v>
      </c>
      <c r="C54" s="195" t="s">
        <v>4</v>
      </c>
      <c r="D54" s="196" t="s">
        <v>5</v>
      </c>
      <c r="E54" s="196" t="s">
        <v>94</v>
      </c>
      <c r="F54" s="196" t="s">
        <v>60</v>
      </c>
      <c r="G54" s="195" t="s">
        <v>3</v>
      </c>
      <c r="H54" s="195" t="s">
        <v>6</v>
      </c>
      <c r="I54" s="196" t="s">
        <v>7</v>
      </c>
      <c r="J54" s="196" t="s">
        <v>95</v>
      </c>
      <c r="K54" s="196" t="s">
        <v>61</v>
      </c>
      <c r="L54" s="195" t="s">
        <v>37</v>
      </c>
      <c r="M54" s="195" t="s">
        <v>38</v>
      </c>
      <c r="O54" s="78">
        <v>0.97</v>
      </c>
      <c r="P54" s="78">
        <f t="shared" si="5"/>
        <v>52.457599999999999</v>
      </c>
      <c r="T54" s="88" t="s">
        <v>109</v>
      </c>
      <c r="U54" s="85">
        <v>3019040</v>
      </c>
      <c r="W54" s="127">
        <v>42758</v>
      </c>
      <c r="X54" s="10">
        <v>49.02</v>
      </c>
      <c r="Y54" s="10">
        <v>49.2</v>
      </c>
      <c r="Z54" s="10">
        <v>48.89</v>
      </c>
      <c r="AA54" s="10">
        <v>49.16</v>
      </c>
      <c r="AB54" s="90">
        <v>4433300</v>
      </c>
      <c r="AC54" s="10">
        <v>48.89</v>
      </c>
      <c r="AD54" s="2">
        <f t="shared" si="0"/>
        <v>0.31000000000000227</v>
      </c>
      <c r="AE54" s="131">
        <f t="shared" si="1"/>
        <v>3.0775543701271335E-3</v>
      </c>
    </row>
    <row r="55" spans="1:31" x14ac:dyDescent="0.25">
      <c r="A55" s="197" t="s">
        <v>217</v>
      </c>
      <c r="B55" s="198">
        <v>42545</v>
      </c>
      <c r="C55" s="193">
        <v>100</v>
      </c>
      <c r="D55" s="194">
        <v>45.25</v>
      </c>
      <c r="E55" s="194">
        <v>0</v>
      </c>
      <c r="F55" s="194">
        <f>D55*C55+E55</f>
        <v>4525</v>
      </c>
      <c r="G55" s="198">
        <v>42577</v>
      </c>
      <c r="H55" s="199">
        <v>50</v>
      </c>
      <c r="I55" s="194">
        <v>47.5</v>
      </c>
      <c r="J55" s="194">
        <v>0.05</v>
      </c>
      <c r="K55" s="194">
        <f>H55*I55-J55</f>
        <v>2374.9499999999998</v>
      </c>
      <c r="L55" s="198" t="s">
        <v>227</v>
      </c>
      <c r="M55" s="193"/>
      <c r="O55" s="78">
        <v>0.96</v>
      </c>
      <c r="P55" s="78">
        <f t="shared" si="5"/>
        <v>51.916799999999995</v>
      </c>
      <c r="T55" s="88" t="s">
        <v>301</v>
      </c>
      <c r="U55" s="83">
        <v>15</v>
      </c>
      <c r="W55" s="127">
        <v>42755</v>
      </c>
      <c r="X55" s="10">
        <v>48.84</v>
      </c>
      <c r="Y55" s="10">
        <v>49.03</v>
      </c>
      <c r="Z55" s="10">
        <v>48.83</v>
      </c>
      <c r="AA55" s="10">
        <v>49</v>
      </c>
      <c r="AB55" s="90">
        <v>3698000</v>
      </c>
      <c r="AC55" s="10">
        <v>48.74</v>
      </c>
      <c r="AD55" s="2">
        <f t="shared" si="0"/>
        <v>0.20000000000000284</v>
      </c>
      <c r="AE55" s="131">
        <f t="shared" si="1"/>
        <v>5.5704559521354557E-3</v>
      </c>
    </row>
    <row r="56" spans="1:31" x14ac:dyDescent="0.25">
      <c r="A56" s="200" t="s">
        <v>71</v>
      </c>
      <c r="B56" s="198"/>
      <c r="C56" s="193"/>
      <c r="D56" s="194"/>
      <c r="E56" s="194"/>
      <c r="F56" s="194"/>
      <c r="G56" s="198">
        <v>42580</v>
      </c>
      <c r="H56" s="199">
        <v>50</v>
      </c>
      <c r="I56" s="194">
        <v>48.16</v>
      </c>
      <c r="J56" s="194">
        <v>0.3</v>
      </c>
      <c r="K56" s="194">
        <f>H56*I56-J56</f>
        <v>2407.6999999999998</v>
      </c>
      <c r="L56" s="193"/>
      <c r="M56" s="193"/>
      <c r="O56" s="78">
        <v>0.95</v>
      </c>
      <c r="P56" s="78">
        <f t="shared" si="5"/>
        <v>51.375999999999998</v>
      </c>
      <c r="T56" s="88" t="s">
        <v>302</v>
      </c>
      <c r="U56" s="83">
        <v>3.4</v>
      </c>
      <c r="W56" s="127">
        <v>42754</v>
      </c>
      <c r="X56" s="10">
        <v>48.73</v>
      </c>
      <c r="Y56" s="10">
        <v>48.82</v>
      </c>
      <c r="Z56" s="10">
        <v>48.56</v>
      </c>
      <c r="AA56" s="10">
        <v>48.73</v>
      </c>
      <c r="AB56" s="90">
        <v>3644800</v>
      </c>
      <c r="AC56" s="10">
        <v>48.47</v>
      </c>
      <c r="AD56" s="2">
        <f t="shared" si="0"/>
        <v>0.25999999999999801</v>
      </c>
      <c r="AE56" s="131">
        <f t="shared" si="1"/>
        <v>-2.0588840848260181E-3</v>
      </c>
    </row>
    <row r="57" spans="1:31" x14ac:dyDescent="0.25">
      <c r="A57" s="193"/>
      <c r="B57" s="198"/>
      <c r="C57" s="193"/>
      <c r="D57" s="194"/>
      <c r="E57" s="194"/>
      <c r="F57" s="194"/>
      <c r="G57" s="193"/>
      <c r="H57" s="199"/>
      <c r="I57" s="194"/>
      <c r="J57" s="194"/>
      <c r="K57" s="194"/>
      <c r="L57" s="193"/>
      <c r="M57" s="193"/>
      <c r="O57" s="78">
        <v>0.94</v>
      </c>
      <c r="P57" s="78">
        <f t="shared" si="5"/>
        <v>50.835199999999993</v>
      </c>
      <c r="T57" s="88"/>
      <c r="U57" s="83"/>
      <c r="W57" s="127">
        <v>42753</v>
      </c>
      <c r="X57" s="10">
        <v>48.88</v>
      </c>
      <c r="Y57" s="10">
        <v>49</v>
      </c>
      <c r="Z57" s="10">
        <v>48.73</v>
      </c>
      <c r="AA57" s="10">
        <v>48.83</v>
      </c>
      <c r="AB57" s="90">
        <v>2705000</v>
      </c>
      <c r="AC57" s="10">
        <v>48.57</v>
      </c>
      <c r="AD57" s="2">
        <f t="shared" si="0"/>
        <v>0.27000000000000313</v>
      </c>
      <c r="AE57" s="131">
        <f t="shared" si="1"/>
        <v>-4.1008816895633515E-3</v>
      </c>
    </row>
    <row r="58" spans="1:31" x14ac:dyDescent="0.25">
      <c r="A58" s="193"/>
      <c r="B58" s="198"/>
      <c r="C58" s="193"/>
      <c r="D58" s="194"/>
      <c r="E58" s="194"/>
      <c r="F58" s="194"/>
      <c r="G58" s="193"/>
      <c r="H58" s="199"/>
      <c r="I58" s="194"/>
      <c r="J58" s="194"/>
      <c r="K58" s="194"/>
      <c r="L58" s="193"/>
      <c r="M58" s="193"/>
      <c r="O58" s="78">
        <v>0.93</v>
      </c>
      <c r="P58" s="78">
        <f t="shared" si="5"/>
        <v>50.294400000000003</v>
      </c>
      <c r="T58" s="88"/>
      <c r="U58" s="83"/>
      <c r="W58" s="127">
        <v>42752</v>
      </c>
      <c r="X58" s="10">
        <v>49.04</v>
      </c>
      <c r="Y58" s="10">
        <v>49.12</v>
      </c>
      <c r="Z58" s="10">
        <v>48.97</v>
      </c>
      <c r="AA58" s="10">
        <v>49.03</v>
      </c>
      <c r="AB58" s="90">
        <v>4648400</v>
      </c>
      <c r="AC58" s="10">
        <v>48.77</v>
      </c>
      <c r="AD58" s="2">
        <f t="shared" si="0"/>
        <v>0.14999999999999858</v>
      </c>
      <c r="AE58" s="131">
        <f t="shared" si="1"/>
        <v>0</v>
      </c>
    </row>
    <row r="59" spans="1:31" x14ac:dyDescent="0.25">
      <c r="A59" s="193"/>
      <c r="B59" s="198"/>
      <c r="C59" s="193"/>
      <c r="D59" s="194"/>
      <c r="E59" s="194"/>
      <c r="F59" s="194"/>
      <c r="G59" s="193"/>
      <c r="H59" s="199"/>
      <c r="I59" s="194"/>
      <c r="J59" s="194"/>
      <c r="K59" s="194"/>
      <c r="L59" s="193"/>
      <c r="M59" s="193"/>
      <c r="O59" s="78">
        <v>0.92</v>
      </c>
      <c r="P59" s="78">
        <f t="shared" si="5"/>
        <v>49.753599999999999</v>
      </c>
      <c r="W59" s="127">
        <v>42748</v>
      </c>
      <c r="X59" s="10">
        <v>49.03</v>
      </c>
      <c r="Y59" s="10">
        <v>49.09</v>
      </c>
      <c r="Z59" s="10">
        <v>48.89</v>
      </c>
      <c r="AA59" s="10">
        <v>49.03</v>
      </c>
      <c r="AB59" s="90">
        <v>2840200</v>
      </c>
      <c r="AC59" s="10">
        <v>48.77</v>
      </c>
      <c r="AD59" s="2">
        <f t="shared" si="0"/>
        <v>0.20000000000000284</v>
      </c>
      <c r="AE59" s="131">
        <f t="shared" si="1"/>
        <v>4.3245469522241731E-3</v>
      </c>
    </row>
    <row r="60" spans="1:31" x14ac:dyDescent="0.25">
      <c r="A60" s="193"/>
      <c r="B60" s="193"/>
      <c r="C60" s="193"/>
      <c r="D60" s="194"/>
      <c r="E60" s="194"/>
      <c r="F60" s="194"/>
      <c r="G60" s="193"/>
      <c r="H60" s="199"/>
      <c r="I60" s="194"/>
      <c r="J60" s="194"/>
      <c r="K60" s="194"/>
      <c r="L60" s="193"/>
      <c r="M60" s="193"/>
      <c r="O60" s="78">
        <v>0.91</v>
      </c>
      <c r="P60" s="78">
        <f t="shared" si="5"/>
        <v>49.212800000000001</v>
      </c>
      <c r="W60" s="127">
        <v>42747</v>
      </c>
      <c r="X60" s="10">
        <v>48.88</v>
      </c>
      <c r="Y60" s="10">
        <v>48.98</v>
      </c>
      <c r="Z60" s="10">
        <v>48.73</v>
      </c>
      <c r="AA60" s="10">
        <v>48.82</v>
      </c>
      <c r="AB60" s="90">
        <v>6744200</v>
      </c>
      <c r="AC60" s="10">
        <v>48.56</v>
      </c>
      <c r="AD60" s="2">
        <f t="shared" si="0"/>
        <v>0.25</v>
      </c>
      <c r="AE60" s="131">
        <f t="shared" si="1"/>
        <v>1.0307153164297311E-3</v>
      </c>
    </row>
    <row r="61" spans="1:31" x14ac:dyDescent="0.25">
      <c r="A61" s="193"/>
      <c r="B61" s="193"/>
      <c r="C61" s="193"/>
      <c r="D61" s="194"/>
      <c r="E61" s="194"/>
      <c r="F61" s="194"/>
      <c r="G61" s="193"/>
      <c r="H61" s="199"/>
      <c r="I61" s="194"/>
      <c r="J61" s="194"/>
      <c r="K61" s="194"/>
      <c r="L61" s="193"/>
      <c r="M61" s="193"/>
      <c r="O61" s="78">
        <v>0.9</v>
      </c>
      <c r="P61" s="78">
        <f t="shared" si="5"/>
        <v>48.671999999999997</v>
      </c>
      <c r="W61" s="127">
        <v>42746</v>
      </c>
      <c r="X61" s="10">
        <v>48.41</v>
      </c>
      <c r="Y61" s="10">
        <v>48.81</v>
      </c>
      <c r="Z61" s="10">
        <v>48.32</v>
      </c>
      <c r="AA61" s="10">
        <v>48.77</v>
      </c>
      <c r="AB61" s="90">
        <v>4145700</v>
      </c>
      <c r="AC61" s="10">
        <v>48.51</v>
      </c>
      <c r="AD61" s="2">
        <f t="shared" si="0"/>
        <v>0.49000000000000199</v>
      </c>
      <c r="AE61" s="131">
        <f t="shared" si="1"/>
        <v>5.180273518441858E-3</v>
      </c>
    </row>
    <row r="62" spans="1:31" x14ac:dyDescent="0.25">
      <c r="A62" s="193"/>
      <c r="B62" s="193"/>
      <c r="C62" s="193"/>
      <c r="D62" s="194"/>
      <c r="E62" s="194"/>
      <c r="F62" s="194"/>
      <c r="G62" s="193"/>
      <c r="H62" s="199"/>
      <c r="I62" s="194"/>
      <c r="J62" s="194"/>
      <c r="K62" s="194"/>
      <c r="L62" s="193"/>
      <c r="M62" s="193"/>
      <c r="W62" s="127">
        <v>42745</v>
      </c>
      <c r="X62" s="10">
        <v>48.55</v>
      </c>
      <c r="Y62" s="10">
        <v>48.71</v>
      </c>
      <c r="Z62" s="10">
        <v>48.52</v>
      </c>
      <c r="AA62" s="10">
        <v>48.52</v>
      </c>
      <c r="AB62" s="90">
        <v>2667900</v>
      </c>
      <c r="AC62" s="10">
        <v>48.26</v>
      </c>
      <c r="AD62" s="2">
        <f t="shared" si="0"/>
        <v>0.18999999999999773</v>
      </c>
      <c r="AE62" s="131">
        <f t="shared" si="1"/>
        <v>-2.0716801325881828E-4</v>
      </c>
    </row>
    <row r="63" spans="1:31" x14ac:dyDescent="0.25">
      <c r="A63" s="193"/>
      <c r="B63" s="193"/>
      <c r="C63" s="193"/>
      <c r="D63" s="194"/>
      <c r="E63" s="194"/>
      <c r="F63" s="194"/>
      <c r="G63" s="193"/>
      <c r="H63" s="199"/>
      <c r="I63" s="194"/>
      <c r="J63" s="194"/>
      <c r="K63" s="194"/>
      <c r="L63" s="193"/>
      <c r="M63" s="193"/>
      <c r="W63" s="127">
        <v>42744</v>
      </c>
      <c r="X63" s="10">
        <v>48.41</v>
      </c>
      <c r="Y63" s="10">
        <v>48.59</v>
      </c>
      <c r="Z63" s="10">
        <v>48.32</v>
      </c>
      <c r="AA63" s="10">
        <v>48.53</v>
      </c>
      <c r="AB63" s="90">
        <v>2341400</v>
      </c>
      <c r="AC63" s="10">
        <v>48.27</v>
      </c>
      <c r="AD63" s="2">
        <f t="shared" si="0"/>
        <v>0.27000000000000313</v>
      </c>
      <c r="AE63" s="131">
        <f t="shared" si="1"/>
        <v>-3.5094962840626076E-3</v>
      </c>
    </row>
    <row r="64" spans="1:31" x14ac:dyDescent="0.25">
      <c r="A64" s="193"/>
      <c r="B64" s="193"/>
      <c r="C64" s="193"/>
      <c r="D64" s="194"/>
      <c r="E64" s="194"/>
      <c r="F64" s="194"/>
      <c r="G64" s="193"/>
      <c r="H64" s="199"/>
      <c r="I64" s="194"/>
      <c r="J64" s="194"/>
      <c r="K64" s="194"/>
      <c r="L64" s="193"/>
      <c r="M64" s="193"/>
      <c r="W64" s="127">
        <v>42741</v>
      </c>
      <c r="X64" s="10">
        <v>48.68</v>
      </c>
      <c r="Y64" s="10">
        <v>48.82</v>
      </c>
      <c r="Z64" s="10">
        <v>48.62</v>
      </c>
      <c r="AA64" s="10">
        <v>48.7</v>
      </c>
      <c r="AB64" s="90">
        <v>2808900</v>
      </c>
      <c r="AC64" s="10">
        <v>48.44</v>
      </c>
      <c r="AD64" s="2">
        <f t="shared" si="0"/>
        <v>0.20000000000000284</v>
      </c>
      <c r="AE64" s="131">
        <f t="shared" si="1"/>
        <v>-4.9301561216105183E-3</v>
      </c>
    </row>
    <row r="65" spans="1:31" x14ac:dyDescent="0.25">
      <c r="A65" s="193"/>
      <c r="B65" s="193"/>
      <c r="C65" s="193"/>
      <c r="D65" s="194"/>
      <c r="E65" s="194"/>
      <c r="F65" s="194"/>
      <c r="G65" s="193"/>
      <c r="H65" s="199"/>
      <c r="I65" s="194"/>
      <c r="J65" s="194"/>
      <c r="K65" s="194"/>
      <c r="L65" s="193"/>
      <c r="M65" s="193"/>
      <c r="W65" s="127">
        <v>42740</v>
      </c>
      <c r="X65" s="10">
        <v>48.58</v>
      </c>
      <c r="Y65" s="10">
        <v>49</v>
      </c>
      <c r="Z65" s="10">
        <v>48.58</v>
      </c>
      <c r="AA65" s="10">
        <v>48.94</v>
      </c>
      <c r="AB65" s="90">
        <v>5206000</v>
      </c>
      <c r="AC65" s="10">
        <v>48.68</v>
      </c>
      <c r="AD65" s="2">
        <f t="shared" si="0"/>
        <v>0.42000000000000171</v>
      </c>
      <c r="AE65" s="131">
        <f t="shared" si="1"/>
        <v>9.121061359867344E-3</v>
      </c>
    </row>
    <row r="66" spans="1:31" x14ac:dyDescent="0.25">
      <c r="A66" s="193"/>
      <c r="B66" s="193"/>
      <c r="C66" s="193"/>
      <c r="D66" s="194"/>
      <c r="E66" s="194"/>
      <c r="F66" s="194"/>
      <c r="G66" s="193"/>
      <c r="H66" s="199"/>
      <c r="I66" s="194"/>
      <c r="J66" s="194"/>
      <c r="K66" s="194"/>
      <c r="L66" s="193"/>
      <c r="M66" s="193"/>
      <c r="W66" s="127">
        <v>42739</v>
      </c>
      <c r="X66" s="10">
        <v>48.21</v>
      </c>
      <c r="Y66" s="10">
        <v>48.5</v>
      </c>
      <c r="Z66" s="10">
        <v>48.13</v>
      </c>
      <c r="AA66" s="10">
        <v>48.5</v>
      </c>
      <c r="AB66" s="90">
        <v>2786200</v>
      </c>
      <c r="AC66" s="10">
        <v>48.24</v>
      </c>
      <c r="AD66" s="2">
        <f t="shared" si="0"/>
        <v>0.36999999999999744</v>
      </c>
      <c r="AE66" s="131">
        <f t="shared" si="1"/>
        <v>8.3612040133778098E-3</v>
      </c>
    </row>
    <row r="67" spans="1:31" x14ac:dyDescent="0.25">
      <c r="A67" s="193"/>
      <c r="B67" s="193"/>
      <c r="C67" s="193"/>
      <c r="D67" s="194"/>
      <c r="E67" s="194"/>
      <c r="F67" s="194"/>
      <c r="G67" s="193"/>
      <c r="H67" s="199"/>
      <c r="I67" s="194"/>
      <c r="J67" s="194"/>
      <c r="K67" s="194"/>
      <c r="L67" s="193"/>
      <c r="M67" s="193"/>
      <c r="W67" s="127">
        <v>42738</v>
      </c>
      <c r="X67" s="10">
        <v>48.01</v>
      </c>
      <c r="Y67" s="10">
        <v>48.14</v>
      </c>
      <c r="Z67" s="10">
        <v>47.94</v>
      </c>
      <c r="AA67" s="10">
        <v>48.1</v>
      </c>
      <c r="AB67" s="90">
        <v>3817400</v>
      </c>
      <c r="AC67" s="10">
        <v>47.84</v>
      </c>
      <c r="AD67" s="2">
        <f>Y67-Z67</f>
        <v>0.20000000000000284</v>
      </c>
      <c r="AE67" s="131" t="e">
        <f>AC67/#REF!-1</f>
        <v>#REF!</v>
      </c>
    </row>
    <row r="68" spans="1:31" x14ac:dyDescent="0.25">
      <c r="A68" s="193"/>
      <c r="B68" s="193"/>
      <c r="C68" s="193"/>
      <c r="D68" s="194"/>
      <c r="E68" s="194"/>
      <c r="F68" s="194"/>
      <c r="G68" s="193"/>
      <c r="H68" s="199"/>
      <c r="I68" s="194"/>
      <c r="J68" s="194"/>
      <c r="K68" s="194"/>
      <c r="L68" s="193"/>
      <c r="M68" s="193"/>
      <c r="W68" s="127">
        <v>42734</v>
      </c>
      <c r="X68" s="10">
        <v>48.11</v>
      </c>
      <c r="Y68" s="10">
        <v>48.21</v>
      </c>
      <c r="Z68" s="10">
        <v>47.83</v>
      </c>
      <c r="AA68" s="10">
        <v>47.94</v>
      </c>
      <c r="AB68" s="90">
        <v>4807600</v>
      </c>
      <c r="AC68" s="10">
        <v>47.68</v>
      </c>
      <c r="AD68" s="2" t="e">
        <f>#REF!-#REF!</f>
        <v>#REF!</v>
      </c>
      <c r="AE68" s="131" t="e">
        <f>#REF!/AC69-1</f>
        <v>#REF!</v>
      </c>
    </row>
    <row r="69" spans="1:31" x14ac:dyDescent="0.25">
      <c r="A69" s="193"/>
      <c r="B69" s="193"/>
      <c r="C69" s="193"/>
      <c r="D69" s="194"/>
      <c r="E69" s="194"/>
      <c r="F69" s="194"/>
      <c r="G69" s="193"/>
      <c r="H69" s="199"/>
      <c r="I69" s="194"/>
      <c r="J69" s="194"/>
      <c r="K69" s="194"/>
      <c r="L69" s="193"/>
      <c r="M69" s="193"/>
      <c r="W69" s="127" t="s">
        <v>120</v>
      </c>
      <c r="X69" s="10"/>
      <c r="Y69" s="10"/>
      <c r="Z69" s="10"/>
      <c r="AA69" s="10"/>
      <c r="AB69" s="90"/>
      <c r="AC69" s="10"/>
      <c r="AD69" s="2">
        <f>Y69-Z69</f>
        <v>0</v>
      </c>
      <c r="AE69" s="131" t="e">
        <f>AC69/AC70-1</f>
        <v>#DIV/0!</v>
      </c>
    </row>
    <row r="70" spans="1:31" x14ac:dyDescent="0.25">
      <c r="A70" s="193"/>
      <c r="B70" s="193"/>
      <c r="C70" s="193"/>
      <c r="D70" s="194"/>
      <c r="E70" s="194"/>
      <c r="F70" s="194"/>
      <c r="G70" s="193"/>
      <c r="H70" s="193"/>
      <c r="I70" s="194"/>
      <c r="J70" s="194"/>
      <c r="K70" s="194"/>
      <c r="L70" s="193"/>
      <c r="M70" s="193"/>
    </row>
    <row r="71" spans="1:31" x14ac:dyDescent="0.25">
      <c r="A71" s="31" t="s">
        <v>81</v>
      </c>
      <c r="B71" s="14"/>
      <c r="C71" s="14">
        <f>SUM(C55:C59)</f>
        <v>100</v>
      </c>
      <c r="D71" s="18"/>
      <c r="E71" s="18"/>
      <c r="F71" s="18">
        <f>SUM(F55:F59)</f>
        <v>4525</v>
      </c>
      <c r="G71" s="14"/>
      <c r="H71" s="14">
        <f>SUM(H55:H58)</f>
        <v>100</v>
      </c>
      <c r="I71" s="18"/>
      <c r="J71" s="18"/>
      <c r="K71" s="18">
        <f>SUM(K55:K58)</f>
        <v>4782.6499999999996</v>
      </c>
      <c r="L71" s="14"/>
      <c r="M71" s="18">
        <f>SUM(M55:M63)</f>
        <v>0</v>
      </c>
    </row>
    <row r="72" spans="1:31" ht="15.75" thickBot="1" x14ac:dyDescent="0.3">
      <c r="A72" s="365" t="s">
        <v>189</v>
      </c>
      <c r="B72" s="366"/>
      <c r="C72" s="367">
        <f>SumByColor($A$19,C55:C70)</f>
        <v>0</v>
      </c>
      <c r="D72" s="367"/>
      <c r="E72" s="367"/>
      <c r="F72" s="368">
        <f>SumByColor($A$19,F55:F70)</f>
        <v>0</v>
      </c>
      <c r="G72" s="367"/>
      <c r="H72" s="367">
        <f>SumByColor($A$19,H55:H70)</f>
        <v>0</v>
      </c>
      <c r="I72" s="367"/>
      <c r="J72" s="367"/>
      <c r="K72" s="368">
        <f>SumByColor($A$19,K55:K70)</f>
        <v>0</v>
      </c>
      <c r="L72" s="367"/>
      <c r="M72" s="368">
        <f>SumByColor($A$19,M55:M70)</f>
        <v>0</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{1CD86E14-8776-48B4-8B65-CF459C41098E}</x14:id>
        </ext>
      </extLst>
    </cfRule>
  </conditionalFormatting>
  <conditionalFormatting sqref="AE1:AE69">
    <cfRule type="iconSet" priority="11">
      <iconSet iconSet="3Arrows">
        <cfvo type="percent" val="0"/>
        <cfvo type="num" val="0"/>
        <cfvo type="num" val="0"/>
      </iconSet>
    </cfRule>
  </conditionalFormatting>
  <conditionalFormatting sqref="F39:F49 H39:H49">
    <cfRule type="expression" dxfId="1381" priority="9">
      <formula>F39&gt;0</formula>
    </cfRule>
    <cfRule type="expression" dxfId="1380" priority="10">
      <formula>F39&lt;0</formula>
    </cfRule>
  </conditionalFormatting>
  <conditionalFormatting sqref="F25:F38">
    <cfRule type="expression" dxfId="1379" priority="7">
      <formula>F25&gt;0</formula>
    </cfRule>
    <cfRule type="expression" dxfId="1378" priority="8">
      <formula>F25&lt;0</formula>
    </cfRule>
  </conditionalFormatting>
  <conditionalFormatting sqref="H25:H38">
    <cfRule type="expression" dxfId="1377" priority="5">
      <formula>H25&gt;0</formula>
    </cfRule>
    <cfRule type="expression" dxfId="1376" priority="6">
      <formula>H25&lt;0</formula>
    </cfRule>
  </conditionalFormatting>
  <conditionalFormatting sqref="Q7">
    <cfRule type="expression" dxfId="1375" priority="3">
      <formula>Q7&gt;0</formula>
    </cfRule>
    <cfRule type="expression" dxfId="1374" priority="4">
      <formula>Q7&lt;0</formula>
    </cfRule>
  </conditionalFormatting>
  <conditionalFormatting sqref="Q8">
    <cfRule type="expression" dxfId="1373" priority="1">
      <formula>Q8&gt;0</formula>
    </cfRule>
    <cfRule type="expression" dxfId="1372" priority="2">
      <formula>Q8&lt;0</formula>
    </cfRule>
  </conditionalFormatting>
  <hyperlinks>
    <hyperlink ref="A3" location="ACTIVE!A1" display="Back"/>
    <hyperlink ref="A56"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CD86E14-8776-48B4-8B65-CF459C41098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G451"/>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11.7109375" customWidth="1"/>
    <col min="2" max="2" width="10.7109375" bestFit="1" customWidth="1"/>
    <col min="4" max="4" width="9.5703125" bestFit="1" customWidth="1"/>
    <col min="6" max="6" width="13.85546875" bestFit="1" customWidth="1"/>
    <col min="7" max="7" width="9.7109375" bestFit="1" customWidth="1"/>
    <col min="8" max="8" width="9.5703125" bestFit="1" customWidth="1"/>
    <col min="9" max="9" width="15" style="2" bestFit="1" customWidth="1"/>
    <col min="10" max="10" width="9.140625" style="2"/>
    <col min="11" max="11" width="11.7109375" style="2" customWidth="1"/>
    <col min="15" max="15" width="14.42578125" customWidth="1"/>
    <col min="16" max="16" width="9.85546875" bestFit="1" customWidth="1"/>
    <col min="17" max="17" width="10.28515625" bestFit="1" customWidth="1"/>
    <col min="18" max="18" width="12.140625" customWidth="1"/>
    <col min="19" max="19" width="11.7109375" bestFit="1" customWidth="1"/>
    <col min="20" max="20" width="13.7109375" customWidth="1"/>
    <col min="21" max="21" width="17" style="33" customWidth="1"/>
    <col min="23" max="23" width="14" customWidth="1"/>
    <col min="24" max="27" width="6" bestFit="1" customWidth="1"/>
    <col min="28" max="28" width="10.140625"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33" s="16" customFormat="1" x14ac:dyDescent="0.25">
      <c r="A1" s="15" t="s">
        <v>1</v>
      </c>
      <c r="B1" s="555" t="s">
        <v>2</v>
      </c>
      <c r="C1" s="15" t="s">
        <v>4</v>
      </c>
      <c r="D1" s="15" t="s">
        <v>5</v>
      </c>
      <c r="E1" s="15" t="s">
        <v>94</v>
      </c>
      <c r="F1" s="15" t="s">
        <v>60</v>
      </c>
      <c r="G1" s="15" t="s">
        <v>3</v>
      </c>
      <c r="H1" s="15" t="s">
        <v>6</v>
      </c>
      <c r="I1" s="44" t="s">
        <v>7</v>
      </c>
      <c r="J1" s="44" t="s">
        <v>95</v>
      </c>
      <c r="K1" s="44" t="s">
        <v>61</v>
      </c>
      <c r="L1" s="15" t="s">
        <v>37</v>
      </c>
      <c r="M1" s="15" t="s">
        <v>38</v>
      </c>
      <c r="T1" s="16" t="s">
        <v>70</v>
      </c>
      <c r="U1" s="121"/>
    </row>
    <row r="2" spans="1:33" x14ac:dyDescent="0.25">
      <c r="A2" s="6" t="s">
        <v>34</v>
      </c>
      <c r="B2" s="398"/>
      <c r="C2" s="4"/>
      <c r="D2" s="3"/>
      <c r="E2" s="3"/>
      <c r="F2" s="3"/>
      <c r="G2" s="398"/>
      <c r="H2" s="4"/>
      <c r="I2" s="3"/>
      <c r="J2" s="3"/>
      <c r="K2" s="3"/>
      <c r="L2" s="4"/>
      <c r="M2" s="4"/>
      <c r="N2" s="4"/>
      <c r="O2" s="11" t="s">
        <v>57</v>
      </c>
      <c r="Q2">
        <f>C22-H22</f>
        <v>0</v>
      </c>
      <c r="T2" s="361">
        <v>42568</v>
      </c>
      <c r="U2" s="121" t="s">
        <v>233</v>
      </c>
      <c r="V2" s="16"/>
    </row>
    <row r="3" spans="1:33" x14ac:dyDescent="0.25">
      <c r="A3" s="22" t="s">
        <v>71</v>
      </c>
      <c r="B3" s="398"/>
      <c r="C3" s="4"/>
      <c r="D3" s="3"/>
      <c r="E3" s="3"/>
      <c r="F3" s="3"/>
      <c r="G3" s="398"/>
      <c r="H3" s="158"/>
      <c r="I3" s="3"/>
      <c r="J3" s="3"/>
      <c r="K3" s="3"/>
      <c r="L3" s="4"/>
      <c r="M3" s="4"/>
      <c r="N3" s="4"/>
      <c r="O3" s="11" t="s">
        <v>58</v>
      </c>
      <c r="Q3" s="402">
        <f>IF(Q2=0, Q4, (F22-K22-M22)/Q2)</f>
        <v>49.6</v>
      </c>
      <c r="T3" s="1">
        <v>42621</v>
      </c>
      <c r="U3" s="33" t="s">
        <v>249</v>
      </c>
      <c r="AC3" s="178"/>
      <c r="AF3" s="178"/>
    </row>
    <row r="4" spans="1:33" x14ac:dyDescent="0.25">
      <c r="B4" s="398"/>
      <c r="C4" s="4"/>
      <c r="D4" s="3"/>
      <c r="E4" s="3"/>
      <c r="F4" s="3"/>
      <c r="G4" s="398"/>
      <c r="H4" s="158"/>
      <c r="I4" s="3"/>
      <c r="J4" s="3"/>
      <c r="K4" s="3"/>
      <c r="L4" s="4"/>
      <c r="M4" s="4"/>
      <c r="N4" s="4"/>
      <c r="O4" s="11" t="s">
        <v>66</v>
      </c>
      <c r="Q4" s="169">
        <v>49.6</v>
      </c>
      <c r="R4" s="396">
        <v>5.1000000000000004E-3</v>
      </c>
      <c r="T4" s="1">
        <v>42627</v>
      </c>
      <c r="U4" s="33" t="s">
        <v>249</v>
      </c>
      <c r="AC4" s="178"/>
      <c r="AF4" s="178"/>
    </row>
    <row r="5" spans="1:33" x14ac:dyDescent="0.25">
      <c r="B5" s="398"/>
      <c r="C5" s="4"/>
      <c r="D5" s="3"/>
      <c r="E5" s="3"/>
      <c r="F5" s="3"/>
      <c r="G5" s="69"/>
      <c r="H5" s="158"/>
      <c r="I5" s="3"/>
      <c r="J5" s="3"/>
      <c r="K5" s="3"/>
      <c r="L5" s="4"/>
      <c r="M5" s="4"/>
      <c r="N5" s="4"/>
      <c r="O5" s="11" t="s">
        <v>67</v>
      </c>
      <c r="Q5" s="3">
        <f>Q4*Q2</f>
        <v>0</v>
      </c>
      <c r="T5" t="s">
        <v>306</v>
      </c>
      <c r="AC5" s="178"/>
      <c r="AF5" s="178"/>
    </row>
    <row r="6" spans="1:33" x14ac:dyDescent="0.25">
      <c r="B6" s="398"/>
      <c r="C6" s="4"/>
      <c r="D6" s="3"/>
      <c r="E6" s="3"/>
      <c r="F6" s="3"/>
      <c r="G6" s="69"/>
      <c r="H6" s="158"/>
      <c r="I6" s="3"/>
      <c r="J6" s="3"/>
      <c r="K6" s="3"/>
      <c r="L6" s="4"/>
      <c r="M6" s="4"/>
      <c r="N6" s="4"/>
      <c r="O6" s="11" t="s">
        <v>64</v>
      </c>
      <c r="Q6" s="2">
        <f>Q3*Q2</f>
        <v>0</v>
      </c>
      <c r="T6" s="22" t="s">
        <v>421</v>
      </c>
      <c r="AC6" s="178"/>
      <c r="AF6" s="178"/>
    </row>
    <row r="7" spans="1:33" x14ac:dyDescent="0.25">
      <c r="G7" s="69"/>
      <c r="H7" s="158"/>
      <c r="I7" s="3"/>
      <c r="J7" s="3"/>
      <c r="K7" s="3"/>
      <c r="L7" s="4"/>
      <c r="M7" s="4"/>
      <c r="N7" s="4"/>
      <c r="O7" s="11" t="s">
        <v>175</v>
      </c>
      <c r="Q7" s="2">
        <f>Q10+Q8</f>
        <v>21137.586999999941</v>
      </c>
      <c r="R7">
        <v>0</v>
      </c>
    </row>
    <row r="8" spans="1:33" x14ac:dyDescent="0.25">
      <c r="G8" s="69"/>
      <c r="H8" s="158"/>
      <c r="I8" s="3"/>
      <c r="J8" s="3"/>
      <c r="K8" s="3"/>
      <c r="L8" s="4"/>
      <c r="M8" s="4"/>
      <c r="N8" s="4"/>
      <c r="O8" s="11" t="s">
        <v>177</v>
      </c>
      <c r="P8" s="33"/>
      <c r="Q8" s="2">
        <f>K22+M22-F22+Q2*Q4</f>
        <v>0</v>
      </c>
      <c r="T8" t="s">
        <v>471</v>
      </c>
      <c r="AC8" s="178"/>
      <c r="AF8" s="178"/>
      <c r="AG8" s="178"/>
    </row>
    <row r="9" spans="1:33" x14ac:dyDescent="0.25">
      <c r="B9" s="398"/>
      <c r="C9" s="4"/>
      <c r="D9" s="3"/>
      <c r="E9" s="3"/>
      <c r="F9" s="3"/>
      <c r="G9" s="154"/>
      <c r="H9" s="4"/>
      <c r="I9" s="3"/>
      <c r="J9" s="3"/>
      <c r="K9" s="3"/>
      <c r="L9" s="4"/>
      <c r="M9" s="4"/>
      <c r="N9" s="4"/>
      <c r="O9" s="11" t="s">
        <v>202</v>
      </c>
      <c r="Q9" s="294">
        <f>IF(Q2=0, 0, Q8/Q6)</f>
        <v>0</v>
      </c>
    </row>
    <row r="10" spans="1:33" x14ac:dyDescent="0.25">
      <c r="G10" s="154"/>
      <c r="H10" s="4"/>
      <c r="I10" s="3"/>
      <c r="J10" s="3"/>
      <c r="K10" s="3"/>
      <c r="L10" s="3"/>
      <c r="M10" s="4"/>
      <c r="N10" s="4"/>
      <c r="O10" s="11" t="s">
        <v>201</v>
      </c>
      <c r="P10" s="33"/>
      <c r="Q10" s="2">
        <f>M259</f>
        <v>21137.586999999941</v>
      </c>
      <c r="T10" s="11"/>
      <c r="AC10" s="178"/>
      <c r="AF10" s="178"/>
    </row>
    <row r="11" spans="1:33" x14ac:dyDescent="0.25">
      <c r="G11" s="69"/>
      <c r="H11" s="4"/>
      <c r="I11" s="3"/>
      <c r="J11" s="3"/>
      <c r="K11" s="3"/>
      <c r="L11" s="4"/>
      <c r="M11" s="4"/>
      <c r="N11" s="4"/>
      <c r="O11" s="11" t="s">
        <v>173</v>
      </c>
      <c r="P11" s="33"/>
      <c r="Q11" s="131">
        <v>0</v>
      </c>
      <c r="T11" s="1"/>
    </row>
    <row r="12" spans="1:33" x14ac:dyDescent="0.25">
      <c r="A12" s="2"/>
      <c r="B12" s="398"/>
      <c r="C12" s="4"/>
      <c r="D12" s="3"/>
      <c r="E12" s="3"/>
      <c r="F12" s="3"/>
      <c r="G12" s="69"/>
      <c r="H12" s="4"/>
      <c r="I12" s="3"/>
      <c r="J12" s="3"/>
      <c r="K12" s="3"/>
      <c r="L12" s="4"/>
      <c r="M12" s="4"/>
      <c r="N12" s="4"/>
      <c r="AC12" s="178"/>
      <c r="AF12" s="178"/>
    </row>
    <row r="13" spans="1:33" x14ac:dyDescent="0.25">
      <c r="B13" s="398"/>
      <c r="C13" s="4"/>
      <c r="D13" s="3"/>
      <c r="E13" s="3"/>
      <c r="F13" s="3"/>
      <c r="G13" s="894"/>
      <c r="H13" s="4"/>
      <c r="I13" s="3"/>
      <c r="J13" s="3"/>
      <c r="K13" s="3"/>
      <c r="L13" s="4"/>
      <c r="M13" s="4"/>
      <c r="N13" s="4"/>
      <c r="T13" s="1"/>
    </row>
    <row r="14" spans="1:33" x14ac:dyDescent="0.25">
      <c r="B14" s="398"/>
      <c r="C14" s="4"/>
      <c r="D14" s="3"/>
      <c r="E14" s="3"/>
      <c r="F14" s="3"/>
      <c r="G14" s="894"/>
      <c r="H14" s="4"/>
      <c r="I14" s="3"/>
      <c r="J14" s="3"/>
      <c r="K14" s="3"/>
      <c r="L14" s="4"/>
      <c r="M14" s="4"/>
      <c r="N14" s="4"/>
      <c r="AC14" s="178"/>
      <c r="AF14" s="178"/>
      <c r="AG14" s="178"/>
    </row>
    <row r="15" spans="1:33" x14ac:dyDescent="0.25">
      <c r="B15" s="398"/>
      <c r="C15" s="4"/>
      <c r="D15" s="3"/>
      <c r="E15" s="3"/>
      <c r="F15" s="3"/>
      <c r="G15" s="69"/>
      <c r="H15" s="4"/>
      <c r="I15" s="3"/>
      <c r="J15" s="3"/>
      <c r="K15" s="3"/>
      <c r="L15" s="4"/>
      <c r="M15" s="4"/>
      <c r="N15" s="4"/>
    </row>
    <row r="16" spans="1:33" x14ac:dyDescent="0.25">
      <c r="B16" s="398"/>
      <c r="C16" s="4"/>
      <c r="D16" s="3"/>
      <c r="E16" s="3"/>
      <c r="F16" s="3"/>
      <c r="G16" s="69"/>
      <c r="H16" s="4"/>
      <c r="I16" s="3"/>
      <c r="J16" s="3"/>
      <c r="K16" s="3"/>
      <c r="L16" s="4"/>
      <c r="M16" s="4"/>
      <c r="N16" s="4"/>
      <c r="O16" s="2"/>
      <c r="P16" s="2"/>
      <c r="Q16" s="2"/>
      <c r="T16" s="65"/>
    </row>
    <row r="17" spans="1:32" x14ac:dyDescent="0.25">
      <c r="B17" s="398"/>
      <c r="C17" s="4"/>
      <c r="D17" s="3"/>
      <c r="E17" s="3"/>
      <c r="F17" s="3"/>
      <c r="G17" s="69"/>
      <c r="H17" s="4"/>
      <c r="I17" s="3"/>
      <c r="J17" s="3"/>
      <c r="K17" s="3"/>
      <c r="L17" s="4"/>
      <c r="M17" s="4"/>
      <c r="N17" s="4"/>
      <c r="O17" s="2"/>
      <c r="P17" s="2"/>
      <c r="Q17" s="2"/>
    </row>
    <row r="18" spans="1:32" x14ac:dyDescent="0.25">
      <c r="B18" s="398"/>
      <c r="C18" s="4"/>
      <c r="D18" s="3"/>
      <c r="E18" s="3"/>
      <c r="F18" s="3"/>
      <c r="G18" s="69"/>
      <c r="H18" s="4"/>
      <c r="I18" s="3"/>
      <c r="J18" s="3"/>
      <c r="K18" s="3"/>
      <c r="L18" s="4"/>
      <c r="M18" s="4"/>
      <c r="N18" s="4"/>
      <c r="O18" s="2"/>
      <c r="P18" s="2"/>
      <c r="Q18" s="2"/>
      <c r="AC18" s="178"/>
      <c r="AF18" s="178"/>
    </row>
    <row r="19" spans="1:32" x14ac:dyDescent="0.25">
      <c r="B19" s="398"/>
      <c r="C19" s="4"/>
      <c r="D19" s="3"/>
      <c r="E19" s="3"/>
      <c r="F19" s="3"/>
      <c r="G19" s="69"/>
      <c r="H19" s="4"/>
      <c r="I19" s="3"/>
      <c r="J19" s="3"/>
      <c r="K19" s="3"/>
      <c r="L19" s="4"/>
      <c r="M19" s="4"/>
      <c r="N19" s="4"/>
      <c r="O19" s="2"/>
      <c r="P19" s="2"/>
      <c r="Q19" s="2"/>
    </row>
    <row r="20" spans="1:32" x14ac:dyDescent="0.25">
      <c r="B20" s="29"/>
      <c r="N20" s="4"/>
      <c r="O20" s="2"/>
      <c r="P20" s="2"/>
      <c r="Q20" s="2"/>
    </row>
    <row r="21" spans="1:32" x14ac:dyDescent="0.25">
      <c r="B21" s="29"/>
      <c r="N21" s="4"/>
      <c r="O21" s="2"/>
      <c r="P21" s="2"/>
      <c r="Q21" s="2"/>
    </row>
    <row r="22" spans="1:32" x14ac:dyDescent="0.25">
      <c r="A22" s="21" t="s">
        <v>81</v>
      </c>
      <c r="B22" s="12"/>
      <c r="C22" s="12">
        <f>SUM(C2:C21)</f>
        <v>0</v>
      </c>
      <c r="D22" s="12"/>
      <c r="E22" s="12"/>
      <c r="F22" s="13">
        <f>SUM(F2:F21)</f>
        <v>0</v>
      </c>
      <c r="G22" s="12"/>
      <c r="H22" s="12">
        <f>SUM(H2:H21)</f>
        <v>0</v>
      </c>
      <c r="I22" s="13"/>
      <c r="J22" s="13"/>
      <c r="K22" s="13">
        <f>SUM(K2:K21)</f>
        <v>0</v>
      </c>
      <c r="L22" s="13"/>
      <c r="M22" s="13">
        <f>SUM(M2:M21)</f>
        <v>0</v>
      </c>
      <c r="N22" s="4"/>
      <c r="O22" s="2"/>
      <c r="P22" s="2"/>
      <c r="Q22" s="2"/>
    </row>
    <row r="23" spans="1:32" ht="15.75" thickBot="1" x14ac:dyDescent="0.3">
      <c r="A23" s="273" t="s">
        <v>189</v>
      </c>
      <c r="B23" s="274"/>
      <c r="C23" s="275">
        <f>SumByColor($A$23,C2:C21)</f>
        <v>0</v>
      </c>
      <c r="D23" s="275"/>
      <c r="E23" s="275"/>
      <c r="F23" s="276">
        <f>SumByColor($A$23,F2:F21)</f>
        <v>0</v>
      </c>
      <c r="G23" s="275"/>
      <c r="H23" s="275">
        <f>SumByColor($A$23,H2:H21)</f>
        <v>0</v>
      </c>
      <c r="I23" s="275"/>
      <c r="J23" s="275"/>
      <c r="K23" s="276">
        <f>SumByColor($A$23,K2:K21)</f>
        <v>0</v>
      </c>
      <c r="L23" s="275"/>
      <c r="M23" s="276">
        <f>SumByColor($A$23,M2:M21)</f>
        <v>0</v>
      </c>
      <c r="N23" s="4"/>
      <c r="O23" s="2"/>
      <c r="P23" s="2"/>
      <c r="Q23" s="2"/>
    </row>
    <row r="24" spans="1:32" ht="20.25" thickBot="1" x14ac:dyDescent="0.35">
      <c r="N24" s="4"/>
      <c r="O24" s="572" t="s">
        <v>78</v>
      </c>
      <c r="P24" s="572"/>
      <c r="Q24" s="2"/>
    </row>
    <row r="25" spans="1:32" ht="15.75" thickTop="1" x14ac:dyDescent="0.25">
      <c r="B25" s="398"/>
      <c r="C25" s="4"/>
      <c r="D25" s="3"/>
      <c r="E25" s="3"/>
      <c r="F25" s="3"/>
      <c r="G25" s="69"/>
      <c r="H25" s="4"/>
      <c r="I25" s="3"/>
      <c r="J25" s="3"/>
      <c r="K25" s="3"/>
      <c r="L25" s="4"/>
      <c r="M25" s="4"/>
      <c r="N25" s="4"/>
      <c r="O25" s="78">
        <v>1.1000000000000001</v>
      </c>
      <c r="P25" s="78">
        <f>O25*$Q$4</f>
        <v>54.560000000000009</v>
      </c>
      <c r="Q25" s="2"/>
    </row>
    <row r="26" spans="1:32" x14ac:dyDescent="0.25">
      <c r="B26" s="398"/>
      <c r="C26" s="4"/>
      <c r="D26" s="3"/>
      <c r="E26" s="3"/>
      <c r="F26" s="3"/>
      <c r="G26" s="69"/>
      <c r="H26" s="4"/>
      <c r="I26" s="3"/>
      <c r="J26" s="3"/>
      <c r="K26" s="3"/>
      <c r="L26" s="4"/>
      <c r="M26" s="4"/>
      <c r="N26" s="4"/>
      <c r="O26" s="78">
        <v>1.0900000000000001</v>
      </c>
      <c r="P26" s="78">
        <f t="shared" ref="P26:P45" si="0">O26*$Q$4</f>
        <v>54.064000000000007</v>
      </c>
      <c r="Q26" s="2"/>
    </row>
    <row r="27" spans="1:32" x14ac:dyDescent="0.25">
      <c r="B27" s="398"/>
      <c r="C27" s="4"/>
      <c r="D27" s="3"/>
      <c r="E27" s="3"/>
      <c r="F27" s="3"/>
      <c r="G27" s="69"/>
      <c r="H27" s="158"/>
      <c r="I27" s="3"/>
      <c r="J27" s="3"/>
      <c r="K27" s="3"/>
      <c r="L27" s="4"/>
      <c r="M27" s="4"/>
      <c r="N27" s="4"/>
      <c r="O27" s="78">
        <v>1.08</v>
      </c>
      <c r="P27" s="78">
        <f t="shared" si="0"/>
        <v>53.568000000000005</v>
      </c>
      <c r="Q27" s="2"/>
    </row>
    <row r="28" spans="1:32" x14ac:dyDescent="0.25">
      <c r="B28" s="398"/>
      <c r="C28" s="4"/>
      <c r="D28" s="3"/>
      <c r="E28" s="3"/>
      <c r="F28" s="3"/>
      <c r="G28" s="69"/>
      <c r="H28" s="158"/>
      <c r="I28" s="3"/>
      <c r="J28" s="3"/>
      <c r="K28" s="3"/>
      <c r="L28" s="4"/>
      <c r="M28" s="4"/>
      <c r="N28" s="4"/>
      <c r="O28" s="78">
        <v>1.07</v>
      </c>
      <c r="P28" s="78">
        <f t="shared" si="0"/>
        <v>53.072000000000003</v>
      </c>
      <c r="Q28" s="2"/>
    </row>
    <row r="29" spans="1:32" x14ac:dyDescent="0.25">
      <c r="A29" s="10" t="s">
        <v>640</v>
      </c>
      <c r="B29" s="159" t="s">
        <v>113</v>
      </c>
      <c r="C29" s="159" t="s">
        <v>143</v>
      </c>
      <c r="D29" s="160" t="s">
        <v>142</v>
      </c>
      <c r="E29" s="162" t="s">
        <v>144</v>
      </c>
      <c r="F29" s="163" t="s">
        <v>65</v>
      </c>
      <c r="G29" s="173" t="s">
        <v>148</v>
      </c>
      <c r="H29" s="163" t="s">
        <v>88</v>
      </c>
      <c r="I29" s="173" t="s">
        <v>151</v>
      </c>
      <c r="J29" s="173" t="s">
        <v>452</v>
      </c>
      <c r="K29" s="173" t="s">
        <v>423</v>
      </c>
      <c r="L29" s="173" t="s">
        <v>601</v>
      </c>
      <c r="M29" s="4"/>
      <c r="N29" s="4"/>
      <c r="O29" s="78">
        <v>1.06</v>
      </c>
      <c r="P29" s="78">
        <f t="shared" si="0"/>
        <v>52.576000000000008</v>
      </c>
    </row>
    <row r="30" spans="1:32" x14ac:dyDescent="0.25">
      <c r="A30" s="10"/>
      <c r="B30" s="161"/>
      <c r="C30" s="10"/>
      <c r="D30" s="168"/>
      <c r="E30" s="39"/>
      <c r="F30" s="39"/>
      <c r="G30" s="39"/>
      <c r="H30" s="176"/>
      <c r="I30" s="39"/>
      <c r="J30" s="39"/>
      <c r="K30" s="39"/>
      <c r="L30" s="39"/>
      <c r="M30" s="4"/>
      <c r="N30" s="4"/>
      <c r="O30" s="78">
        <v>1.05</v>
      </c>
      <c r="P30" s="78">
        <f t="shared" si="0"/>
        <v>52.080000000000005</v>
      </c>
    </row>
    <row r="31" spans="1:32" x14ac:dyDescent="0.25">
      <c r="A31" s="10"/>
      <c r="B31" s="161"/>
      <c r="C31" s="10"/>
      <c r="D31" s="168"/>
      <c r="E31" s="39"/>
      <c r="F31" s="39"/>
      <c r="G31" s="39"/>
      <c r="H31" s="176"/>
      <c r="I31" s="39"/>
      <c r="J31" s="39"/>
      <c r="K31" s="39"/>
      <c r="L31" s="39"/>
      <c r="N31" s="4"/>
      <c r="O31" s="78">
        <v>1.04</v>
      </c>
      <c r="P31" s="78">
        <f t="shared" si="0"/>
        <v>51.584000000000003</v>
      </c>
    </row>
    <row r="32" spans="1:32" x14ac:dyDescent="0.25">
      <c r="A32" s="10"/>
      <c r="B32" s="161"/>
      <c r="C32" s="10"/>
      <c r="D32" s="168"/>
      <c r="E32" s="39"/>
      <c r="F32" s="39"/>
      <c r="G32" s="39"/>
      <c r="H32" s="176"/>
      <c r="I32" s="39"/>
      <c r="J32" s="39"/>
      <c r="K32" s="39"/>
      <c r="L32" s="39"/>
      <c r="N32" s="4"/>
      <c r="O32" s="78">
        <v>1.03</v>
      </c>
      <c r="P32" s="78">
        <f t="shared" si="0"/>
        <v>51.088000000000001</v>
      </c>
    </row>
    <row r="33" spans="1:32" x14ac:dyDescent="0.25">
      <c r="A33" s="10"/>
      <c r="B33" s="161"/>
      <c r="C33" s="10"/>
      <c r="D33" s="168"/>
      <c r="E33" s="39"/>
      <c r="F33" s="39"/>
      <c r="G33" s="39"/>
      <c r="H33" s="176"/>
      <c r="I33" s="39"/>
      <c r="J33" s="39"/>
      <c r="K33" s="39"/>
      <c r="L33" s="39"/>
      <c r="N33" s="4"/>
      <c r="O33" s="78">
        <v>1.02</v>
      </c>
      <c r="P33" s="78">
        <f t="shared" si="0"/>
        <v>50.592000000000006</v>
      </c>
    </row>
    <row r="34" spans="1:32" x14ac:dyDescent="0.25">
      <c r="A34" s="10"/>
      <c r="B34" s="161"/>
      <c r="C34" s="10"/>
      <c r="D34" s="168"/>
      <c r="E34" s="39"/>
      <c r="F34" s="39"/>
      <c r="G34" s="39"/>
      <c r="H34" s="176"/>
      <c r="I34" s="39"/>
      <c r="J34" s="39"/>
      <c r="K34" s="39"/>
      <c r="L34" s="39"/>
      <c r="N34" s="4"/>
      <c r="O34" s="78">
        <v>1.01</v>
      </c>
      <c r="P34" s="78">
        <f t="shared" si="0"/>
        <v>50.096000000000004</v>
      </c>
    </row>
    <row r="35" spans="1:32" x14ac:dyDescent="0.25">
      <c r="A35" s="10"/>
      <c r="B35" s="161"/>
      <c r="C35" s="10"/>
      <c r="D35" s="168"/>
      <c r="E35" s="39"/>
      <c r="F35" s="39"/>
      <c r="G35" s="39"/>
      <c r="H35" s="176"/>
      <c r="I35" s="39"/>
      <c r="J35" s="39"/>
      <c r="K35" s="39"/>
      <c r="L35" s="39"/>
      <c r="N35" s="4"/>
      <c r="O35" s="78">
        <v>1</v>
      </c>
      <c r="P35" s="78">
        <f t="shared" si="0"/>
        <v>49.6</v>
      </c>
    </row>
    <row r="36" spans="1:32" x14ac:dyDescent="0.25">
      <c r="A36" s="10"/>
      <c r="B36" s="161"/>
      <c r="C36" s="10"/>
      <c r="D36" s="168"/>
      <c r="E36" s="39"/>
      <c r="F36" s="39"/>
      <c r="G36" s="39"/>
      <c r="H36" s="176"/>
      <c r="I36" s="39"/>
      <c r="J36" s="39"/>
      <c r="K36" s="39"/>
      <c r="L36" s="39"/>
      <c r="N36" s="4"/>
      <c r="O36" s="78">
        <v>0.99</v>
      </c>
      <c r="P36" s="78">
        <f t="shared" si="0"/>
        <v>49.103999999999999</v>
      </c>
      <c r="AC36" s="178"/>
    </row>
    <row r="37" spans="1:32" x14ac:dyDescent="0.25">
      <c r="A37" s="10"/>
      <c r="B37" s="161"/>
      <c r="C37" s="10"/>
      <c r="D37" s="168"/>
      <c r="E37" s="39"/>
      <c r="F37" s="39"/>
      <c r="G37" s="39"/>
      <c r="H37" s="176"/>
      <c r="I37" s="39"/>
      <c r="J37" s="39"/>
      <c r="K37" s="39"/>
      <c r="L37" s="39"/>
      <c r="N37" s="4"/>
      <c r="O37" s="78">
        <v>0.98</v>
      </c>
      <c r="P37" s="78">
        <f t="shared" si="0"/>
        <v>48.607999999999997</v>
      </c>
    </row>
    <row r="38" spans="1:32" x14ac:dyDescent="0.25">
      <c r="A38" s="10"/>
      <c r="B38" s="161"/>
      <c r="C38" s="10"/>
      <c r="D38" s="168"/>
      <c r="E38" s="39"/>
      <c r="F38" s="39"/>
      <c r="G38" s="39"/>
      <c r="H38" s="176"/>
      <c r="I38" s="39"/>
      <c r="J38" s="39"/>
      <c r="K38" s="39"/>
      <c r="L38" s="39"/>
      <c r="N38" s="4"/>
      <c r="O38" s="78">
        <v>0.97</v>
      </c>
      <c r="P38" s="78">
        <f t="shared" si="0"/>
        <v>48.112000000000002</v>
      </c>
    </row>
    <row r="39" spans="1:32" x14ac:dyDescent="0.25">
      <c r="A39" s="10"/>
      <c r="B39" s="161"/>
      <c r="C39" s="10"/>
      <c r="D39" s="168"/>
      <c r="E39" s="39"/>
      <c r="F39" s="39"/>
      <c r="G39" s="39"/>
      <c r="H39" s="176"/>
      <c r="I39" s="39"/>
      <c r="J39" s="39"/>
      <c r="K39" s="39"/>
      <c r="L39" s="39"/>
      <c r="N39" s="4"/>
      <c r="O39" s="78">
        <v>0.96</v>
      </c>
      <c r="P39" s="78">
        <f t="shared" si="0"/>
        <v>47.616</v>
      </c>
    </row>
    <row r="40" spans="1:32" x14ac:dyDescent="0.25">
      <c r="A40" s="10"/>
      <c r="B40" s="161"/>
      <c r="C40" s="10"/>
      <c r="D40" s="168"/>
      <c r="E40" s="39"/>
      <c r="F40" s="39"/>
      <c r="G40" s="39"/>
      <c r="H40" s="176"/>
      <c r="I40" s="39"/>
      <c r="J40" s="39"/>
      <c r="K40" s="39"/>
      <c r="L40" s="39"/>
      <c r="N40" s="4"/>
      <c r="O40" s="78">
        <v>0.95</v>
      </c>
      <c r="P40" s="78">
        <f t="shared" si="0"/>
        <v>47.12</v>
      </c>
    </row>
    <row r="41" spans="1:32" x14ac:dyDescent="0.25">
      <c r="A41" s="10"/>
      <c r="B41" s="161"/>
      <c r="C41" s="10"/>
      <c r="D41" s="168"/>
      <c r="E41" s="39"/>
      <c r="F41" s="39"/>
      <c r="G41" s="39"/>
      <c r="H41" s="176"/>
      <c r="I41" s="39"/>
      <c r="J41" s="39"/>
      <c r="K41" s="39"/>
      <c r="L41" s="39"/>
      <c r="N41" s="4"/>
      <c r="O41" s="78">
        <v>0.94</v>
      </c>
      <c r="P41" s="78">
        <f t="shared" si="0"/>
        <v>46.623999999999995</v>
      </c>
    </row>
    <row r="42" spans="1:32" x14ac:dyDescent="0.25">
      <c r="A42" s="10"/>
      <c r="B42" s="161"/>
      <c r="C42" s="10"/>
      <c r="D42" s="168"/>
      <c r="E42" s="39"/>
      <c r="F42" s="39"/>
      <c r="G42" s="39"/>
      <c r="H42" s="176"/>
      <c r="I42" s="39"/>
      <c r="J42" s="39"/>
      <c r="K42" s="39"/>
      <c r="L42" s="39"/>
      <c r="N42" s="4"/>
      <c r="O42" s="78">
        <v>0.93</v>
      </c>
      <c r="P42" s="78">
        <f t="shared" si="0"/>
        <v>46.128000000000007</v>
      </c>
      <c r="AC42" s="178"/>
      <c r="AF42" s="178"/>
    </row>
    <row r="43" spans="1:32" x14ac:dyDescent="0.25">
      <c r="A43" s="10"/>
      <c r="B43" s="161"/>
      <c r="C43" s="10"/>
      <c r="D43" s="168"/>
      <c r="E43" s="39"/>
      <c r="F43" s="39"/>
      <c r="G43" s="39"/>
      <c r="H43" s="176"/>
      <c r="I43" s="39"/>
      <c r="J43" s="39"/>
      <c r="K43" s="39"/>
      <c r="L43" s="39"/>
      <c r="N43" s="4"/>
      <c r="O43" s="78">
        <v>0.92</v>
      </c>
      <c r="P43" s="78">
        <f t="shared" si="0"/>
        <v>45.632000000000005</v>
      </c>
    </row>
    <row r="44" spans="1:32" x14ac:dyDescent="0.25">
      <c r="N44" s="4"/>
      <c r="O44" s="78">
        <v>0.91</v>
      </c>
      <c r="P44" s="78">
        <f t="shared" si="0"/>
        <v>45.136000000000003</v>
      </c>
    </row>
    <row r="45" spans="1:32" x14ac:dyDescent="0.25">
      <c r="B45" s="398"/>
      <c r="C45" s="4"/>
      <c r="D45" s="4"/>
      <c r="E45" s="3"/>
      <c r="F45" s="3"/>
      <c r="G45" s="4"/>
      <c r="H45" s="4"/>
      <c r="I45" s="3"/>
      <c r="J45" s="3"/>
      <c r="K45" s="3"/>
      <c r="L45" s="4"/>
      <c r="M45" s="4"/>
      <c r="N45" s="4"/>
      <c r="O45" s="78">
        <v>0.9</v>
      </c>
      <c r="P45" s="78">
        <f t="shared" si="0"/>
        <v>44.64</v>
      </c>
    </row>
    <row r="46" spans="1:32" x14ac:dyDescent="0.25">
      <c r="B46" s="159" t="s">
        <v>113</v>
      </c>
      <c r="C46" s="159" t="s">
        <v>143</v>
      </c>
      <c r="D46" s="160" t="s">
        <v>142</v>
      </c>
      <c r="E46" s="162" t="s">
        <v>144</v>
      </c>
      <c r="F46" s="163" t="s">
        <v>65</v>
      </c>
      <c r="G46" s="173" t="s">
        <v>148</v>
      </c>
      <c r="H46" s="163" t="s">
        <v>88</v>
      </c>
      <c r="I46" s="173" t="s">
        <v>151</v>
      </c>
      <c r="J46" s="173" t="s">
        <v>279</v>
      </c>
      <c r="N46" s="4"/>
      <c r="S46" s="4"/>
      <c r="T46" s="4"/>
      <c r="U46" s="104"/>
    </row>
    <row r="47" spans="1:32" x14ac:dyDescent="0.25">
      <c r="B47" s="443">
        <v>42304</v>
      </c>
      <c r="C47" s="447">
        <v>5100</v>
      </c>
      <c r="D47" s="486">
        <v>17.29</v>
      </c>
      <c r="E47" s="448">
        <v>16.68</v>
      </c>
      <c r="F47" s="448">
        <f t="shared" ref="F47:F84" si="1">-C47*(D47-E47)</f>
        <v>-3110.9999999999973</v>
      </c>
      <c r="G47" s="448">
        <f t="shared" ref="G47:G56" si="2">IF(C47=0, 0,D47*C47)</f>
        <v>88179</v>
      </c>
      <c r="H47" s="487">
        <f t="shared" ref="H47:H61" si="3">IF(C47=0, D47, (E47-D47)/D47)</f>
        <v>-3.5280508964719459E-2</v>
      </c>
      <c r="I47" s="448"/>
      <c r="J47" s="448"/>
      <c r="N47" s="4"/>
      <c r="S47" s="4"/>
      <c r="T47" s="4"/>
      <c r="U47" s="104"/>
    </row>
    <row r="48" spans="1:32" x14ac:dyDescent="0.25">
      <c r="B48" s="443">
        <v>42305</v>
      </c>
      <c r="C48" s="447">
        <v>4900</v>
      </c>
      <c r="D48" s="486">
        <v>17.29</v>
      </c>
      <c r="E48" s="448">
        <v>16.920000000000002</v>
      </c>
      <c r="F48" s="448">
        <f t="shared" si="1"/>
        <v>-1812.9999999999875</v>
      </c>
      <c r="G48" s="448">
        <f t="shared" si="2"/>
        <v>84721</v>
      </c>
      <c r="H48" s="487">
        <f t="shared" si="3"/>
        <v>-2.1399652978600199E-2</v>
      </c>
      <c r="I48" s="448"/>
      <c r="J48" s="448"/>
      <c r="N48" s="4"/>
      <c r="S48" s="339"/>
      <c r="T48" s="339"/>
      <c r="U48" s="340"/>
    </row>
    <row r="49" spans="2:32" x14ac:dyDescent="0.25">
      <c r="B49" s="443">
        <v>42306</v>
      </c>
      <c r="C49" s="447">
        <v>5100</v>
      </c>
      <c r="D49" s="486">
        <v>17.25</v>
      </c>
      <c r="E49" s="448">
        <v>16.21</v>
      </c>
      <c r="F49" s="448">
        <f t="shared" si="1"/>
        <v>-5303.9999999999955</v>
      </c>
      <c r="G49" s="448">
        <f t="shared" si="2"/>
        <v>87975</v>
      </c>
      <c r="H49" s="487">
        <f t="shared" si="3"/>
        <v>-6.0289855072463719E-2</v>
      </c>
      <c r="I49" s="448"/>
      <c r="J49" s="448"/>
      <c r="N49" s="4"/>
      <c r="S49" s="4"/>
      <c r="T49" s="4"/>
      <c r="U49" s="177"/>
    </row>
    <row r="50" spans="2:32" x14ac:dyDescent="0.25">
      <c r="B50" s="443">
        <v>42311</v>
      </c>
      <c r="C50" s="447">
        <v>2710</v>
      </c>
      <c r="D50" s="486">
        <v>16.989999999999998</v>
      </c>
      <c r="E50" s="448">
        <v>17.84</v>
      </c>
      <c r="F50" s="448">
        <f t="shared" si="1"/>
        <v>2303.5000000000036</v>
      </c>
      <c r="G50" s="448">
        <f t="shared" si="2"/>
        <v>46042.899999999994</v>
      </c>
      <c r="H50" s="487">
        <f t="shared" si="3"/>
        <v>5.0029429075927105E-2</v>
      </c>
      <c r="I50" s="448"/>
      <c r="J50" s="448"/>
      <c r="N50" s="4"/>
      <c r="S50" s="4"/>
      <c r="T50" s="4"/>
      <c r="U50" s="177"/>
      <c r="AC50" s="178"/>
      <c r="AF50" s="178"/>
    </row>
    <row r="51" spans="2:32" x14ac:dyDescent="0.25">
      <c r="B51" s="443">
        <v>42312</v>
      </c>
      <c r="C51" s="447">
        <v>2902</v>
      </c>
      <c r="D51" s="486">
        <v>16.989999999999998</v>
      </c>
      <c r="E51" s="448">
        <v>17.440000000000001</v>
      </c>
      <c r="F51" s="448">
        <f t="shared" si="1"/>
        <v>1305.9000000000083</v>
      </c>
      <c r="G51" s="448">
        <f t="shared" si="2"/>
        <v>49304.979999999996</v>
      </c>
      <c r="H51" s="487">
        <f t="shared" si="3"/>
        <v>2.6486168334314473E-2</v>
      </c>
      <c r="I51" s="448"/>
      <c r="J51" s="448"/>
      <c r="N51" s="4"/>
      <c r="S51" s="4"/>
      <c r="T51" s="4"/>
      <c r="U51" s="177"/>
    </row>
    <row r="52" spans="2:32" x14ac:dyDescent="0.25">
      <c r="B52" s="443">
        <v>42313</v>
      </c>
      <c r="C52" s="447">
        <v>5710</v>
      </c>
      <c r="D52" s="486">
        <v>16.91</v>
      </c>
      <c r="E52" s="448">
        <v>16.510000000000002</v>
      </c>
      <c r="F52" s="448">
        <f t="shared" si="1"/>
        <v>-2283.9999999999918</v>
      </c>
      <c r="G52" s="448">
        <f t="shared" si="2"/>
        <v>96556.1</v>
      </c>
      <c r="H52" s="487">
        <f t="shared" si="3"/>
        <v>-2.3654642223536283E-2</v>
      </c>
      <c r="I52" s="448"/>
      <c r="J52" s="448"/>
      <c r="N52" s="4"/>
      <c r="S52" s="4"/>
      <c r="T52" s="4"/>
      <c r="U52" s="177"/>
    </row>
    <row r="53" spans="2:32" x14ac:dyDescent="0.25">
      <c r="B53" s="443">
        <v>42314</v>
      </c>
      <c r="C53" s="447">
        <v>4710</v>
      </c>
      <c r="D53" s="486">
        <v>16.95</v>
      </c>
      <c r="E53" s="448">
        <v>16.45</v>
      </c>
      <c r="F53" s="448">
        <f t="shared" si="1"/>
        <v>-2355</v>
      </c>
      <c r="G53" s="448">
        <f t="shared" si="2"/>
        <v>79834.5</v>
      </c>
      <c r="H53" s="487">
        <f t="shared" si="3"/>
        <v>-2.9498525073746312E-2</v>
      </c>
      <c r="I53" s="448"/>
      <c r="J53" s="448"/>
      <c r="N53" s="4"/>
      <c r="S53" s="4"/>
      <c r="T53" s="4"/>
      <c r="U53" s="177"/>
    </row>
    <row r="54" spans="2:32" x14ac:dyDescent="0.25">
      <c r="B54" s="443">
        <v>42317</v>
      </c>
      <c r="C54" s="447">
        <v>5060</v>
      </c>
      <c r="D54" s="486">
        <v>16.87</v>
      </c>
      <c r="E54" s="448">
        <v>15.84</v>
      </c>
      <c r="F54" s="448">
        <f t="shared" si="1"/>
        <v>-5211.8000000000056</v>
      </c>
      <c r="G54" s="448">
        <f t="shared" si="2"/>
        <v>85362.200000000012</v>
      </c>
      <c r="H54" s="487">
        <f t="shared" si="3"/>
        <v>-6.1055127445169E-2</v>
      </c>
      <c r="I54" s="448"/>
      <c r="J54" s="448"/>
      <c r="N54" s="4"/>
      <c r="S54" s="4"/>
      <c r="T54" s="4"/>
      <c r="U54" s="341"/>
      <c r="AC54" s="178"/>
      <c r="AF54" s="178"/>
    </row>
    <row r="55" spans="2:32" x14ac:dyDescent="0.25">
      <c r="B55" s="443">
        <v>42324</v>
      </c>
      <c r="C55" s="447">
        <v>6000</v>
      </c>
      <c r="D55" s="486">
        <v>16.54</v>
      </c>
      <c r="E55" s="448">
        <v>14.89</v>
      </c>
      <c r="F55" s="448">
        <f t="shared" si="1"/>
        <v>-9899.9999999999909</v>
      </c>
      <c r="G55" s="448">
        <f t="shared" si="2"/>
        <v>99240</v>
      </c>
      <c r="H55" s="487">
        <f t="shared" si="3"/>
        <v>-9.9758162031438849E-2</v>
      </c>
      <c r="I55" s="448"/>
      <c r="J55" s="448"/>
      <c r="N55" s="4"/>
      <c r="S55" s="4"/>
      <c r="T55" s="4"/>
      <c r="U55" s="104"/>
    </row>
    <row r="56" spans="2:32" x14ac:dyDescent="0.25">
      <c r="B56" s="443">
        <v>42325</v>
      </c>
      <c r="C56" s="447">
        <v>5060</v>
      </c>
      <c r="D56" s="486">
        <v>16.73</v>
      </c>
      <c r="E56" s="448">
        <v>15.28</v>
      </c>
      <c r="F56" s="448">
        <f t="shared" si="1"/>
        <v>-7337.0000000000055</v>
      </c>
      <c r="G56" s="448">
        <f t="shared" si="2"/>
        <v>84653.8</v>
      </c>
      <c r="H56" s="487">
        <f t="shared" si="3"/>
        <v>-8.6670651524208067E-2</v>
      </c>
      <c r="I56" s="448"/>
      <c r="J56" s="448"/>
      <c r="N56" s="4"/>
      <c r="S56" s="4"/>
      <c r="T56" s="4"/>
      <c r="U56" s="104"/>
    </row>
    <row r="57" spans="2:32" x14ac:dyDescent="0.25">
      <c r="B57" s="443">
        <v>42328</v>
      </c>
      <c r="C57" s="447">
        <v>6000</v>
      </c>
      <c r="D57" s="486">
        <v>16.52</v>
      </c>
      <c r="E57" s="448">
        <v>15.39</v>
      </c>
      <c r="F57" s="448">
        <f t="shared" si="1"/>
        <v>-6779.9999999999936</v>
      </c>
      <c r="G57" s="448">
        <f t="shared" ref="G57:G84" si="4">IF(C57=0, 0,D57*C57)</f>
        <v>99120</v>
      </c>
      <c r="H57" s="487">
        <f t="shared" si="3"/>
        <v>-6.8401937046004779E-2</v>
      </c>
      <c r="I57" s="448"/>
      <c r="J57" s="448"/>
      <c r="N57" s="4"/>
      <c r="S57" s="339"/>
      <c r="T57" s="339"/>
      <c r="U57" s="340"/>
    </row>
    <row r="58" spans="2:32" x14ac:dyDescent="0.25">
      <c r="B58" s="443">
        <v>42331</v>
      </c>
      <c r="C58" s="447">
        <v>5060</v>
      </c>
      <c r="D58" s="486">
        <v>16.68</v>
      </c>
      <c r="E58" s="448">
        <v>15.32</v>
      </c>
      <c r="F58" s="448">
        <f t="shared" si="1"/>
        <v>-6881.5999999999967</v>
      </c>
      <c r="G58" s="448">
        <f t="shared" si="4"/>
        <v>84400.8</v>
      </c>
      <c r="H58" s="487">
        <f t="shared" si="3"/>
        <v>-8.1534772182254162E-2</v>
      </c>
      <c r="I58" s="448"/>
      <c r="J58" s="448"/>
      <c r="N58" s="4"/>
      <c r="S58" s="4"/>
      <c r="T58" s="4"/>
      <c r="U58" s="177"/>
      <c r="AC58" s="178"/>
      <c r="AF58" s="178"/>
    </row>
    <row r="59" spans="2:32" x14ac:dyDescent="0.25">
      <c r="B59" s="443">
        <v>42338</v>
      </c>
      <c r="C59" s="447">
        <v>4710</v>
      </c>
      <c r="D59" s="486">
        <v>16.73</v>
      </c>
      <c r="E59" s="448">
        <v>15.93</v>
      </c>
      <c r="F59" s="448">
        <f t="shared" si="1"/>
        <v>-3768.0000000000032</v>
      </c>
      <c r="G59" s="448">
        <f t="shared" si="4"/>
        <v>78798.3</v>
      </c>
      <c r="H59" s="487">
        <f t="shared" si="3"/>
        <v>-4.7818290496114808E-2</v>
      </c>
      <c r="I59" s="448"/>
      <c r="J59" s="448"/>
      <c r="N59" s="4"/>
      <c r="S59" s="4"/>
      <c r="T59" s="4"/>
      <c r="U59" s="177"/>
    </row>
    <row r="60" spans="2:32" x14ac:dyDescent="0.25">
      <c r="B60" s="443">
        <v>42340</v>
      </c>
      <c r="C60" s="447">
        <v>5060</v>
      </c>
      <c r="D60" s="486">
        <v>16.670000000000002</v>
      </c>
      <c r="E60" s="448">
        <v>15.82</v>
      </c>
      <c r="F60" s="448">
        <f t="shared" si="1"/>
        <v>-4301.0000000000073</v>
      </c>
      <c r="G60" s="448">
        <f t="shared" si="4"/>
        <v>84350.200000000012</v>
      </c>
      <c r="H60" s="487">
        <f t="shared" si="3"/>
        <v>-5.0989802039592164E-2</v>
      </c>
      <c r="I60" s="448"/>
      <c r="J60" s="448"/>
      <c r="N60" s="4"/>
      <c r="S60" s="4"/>
      <c r="T60" s="4"/>
      <c r="U60" s="341"/>
    </row>
    <row r="61" spans="2:32" x14ac:dyDescent="0.25">
      <c r="B61" s="443">
        <v>42341</v>
      </c>
      <c r="C61" s="447">
        <v>5060</v>
      </c>
      <c r="D61" s="486">
        <v>16.64</v>
      </c>
      <c r="E61" s="448">
        <v>15.61</v>
      </c>
      <c r="F61" s="448">
        <f t="shared" si="1"/>
        <v>-5211.8000000000056</v>
      </c>
      <c r="G61" s="448">
        <f t="shared" si="4"/>
        <v>84198.400000000009</v>
      </c>
      <c r="H61" s="487">
        <f t="shared" si="3"/>
        <v>-6.1899038461538526E-2</v>
      </c>
      <c r="I61" s="448"/>
      <c r="J61" s="448"/>
      <c r="N61" s="4"/>
      <c r="S61" s="4"/>
      <c r="T61" s="4"/>
      <c r="U61" s="104"/>
    </row>
    <row r="62" spans="2:32" x14ac:dyDescent="0.25">
      <c r="B62" s="443">
        <v>42347</v>
      </c>
      <c r="C62" s="447">
        <v>5260</v>
      </c>
      <c r="D62" s="486">
        <v>16.559999999999999</v>
      </c>
      <c r="E62" s="448">
        <v>14.32</v>
      </c>
      <c r="F62" s="448">
        <f t="shared" si="1"/>
        <v>-11782.399999999992</v>
      </c>
      <c r="G62" s="448">
        <f t="shared" si="4"/>
        <v>87105.599999999991</v>
      </c>
      <c r="H62" s="487">
        <f t="shared" ref="H62:H84" si="5">IF(C62=0, D62, (E62-D62)/D62)</f>
        <v>-0.13526570048309169</v>
      </c>
      <c r="I62" s="448"/>
      <c r="J62" s="448"/>
      <c r="N62" s="4"/>
      <c r="S62" s="4"/>
      <c r="T62" s="4"/>
      <c r="U62" s="104"/>
    </row>
    <row r="63" spans="2:32" x14ac:dyDescent="0.25">
      <c r="B63" s="443">
        <v>42348</v>
      </c>
      <c r="C63" s="447">
        <v>5060</v>
      </c>
      <c r="D63" s="486">
        <v>16.63</v>
      </c>
      <c r="E63" s="448">
        <v>14.66</v>
      </c>
      <c r="F63" s="448">
        <f t="shared" si="1"/>
        <v>-9968.1999999999935</v>
      </c>
      <c r="G63" s="448">
        <f t="shared" si="4"/>
        <v>84147.799999999988</v>
      </c>
      <c r="H63" s="487">
        <f t="shared" si="5"/>
        <v>-0.11846061334936855</v>
      </c>
      <c r="I63" s="448"/>
      <c r="J63" s="448"/>
      <c r="N63" s="4"/>
      <c r="S63" s="4"/>
      <c r="T63" s="4"/>
      <c r="U63" s="104"/>
    </row>
    <row r="64" spans="2:32" x14ac:dyDescent="0.25">
      <c r="B64" s="443">
        <v>42349</v>
      </c>
      <c r="C64" s="447">
        <v>5060</v>
      </c>
      <c r="D64" s="486">
        <v>16.62</v>
      </c>
      <c r="E64" s="448">
        <v>14.04</v>
      </c>
      <c r="F64" s="448">
        <f t="shared" si="1"/>
        <v>-13054.80000000001</v>
      </c>
      <c r="G64" s="448">
        <f t="shared" si="4"/>
        <v>84097.200000000012</v>
      </c>
      <c r="H64" s="487">
        <f t="shared" si="5"/>
        <v>-0.15523465703971129</v>
      </c>
      <c r="I64" s="448"/>
      <c r="J64" s="448"/>
      <c r="N64" s="4"/>
    </row>
    <row r="65" spans="2:18" x14ac:dyDescent="0.25">
      <c r="B65" s="443">
        <v>42349</v>
      </c>
      <c r="C65" s="447">
        <v>6000</v>
      </c>
      <c r="D65" s="486">
        <v>16.22</v>
      </c>
      <c r="E65" s="448">
        <v>14.04</v>
      </c>
      <c r="F65" s="448">
        <f t="shared" si="1"/>
        <v>-13079.999999999998</v>
      </c>
      <c r="G65" s="448">
        <f t="shared" si="4"/>
        <v>97320</v>
      </c>
      <c r="H65" s="487">
        <f t="shared" si="5"/>
        <v>-0.13440197287299629</v>
      </c>
      <c r="I65" s="448"/>
      <c r="J65" s="448"/>
      <c r="N65" s="4"/>
    </row>
    <row r="66" spans="2:18" x14ac:dyDescent="0.25">
      <c r="B66" s="443">
        <v>42349</v>
      </c>
      <c r="C66" s="447">
        <v>6200</v>
      </c>
      <c r="D66" s="486">
        <v>16.14</v>
      </c>
      <c r="E66" s="448">
        <v>14.04</v>
      </c>
      <c r="F66" s="448">
        <f t="shared" si="1"/>
        <v>-13020.000000000009</v>
      </c>
      <c r="G66" s="448">
        <f t="shared" si="4"/>
        <v>100068</v>
      </c>
      <c r="H66" s="487">
        <f t="shared" si="5"/>
        <v>-0.13011152416356886</v>
      </c>
      <c r="I66" s="448"/>
      <c r="J66" s="448"/>
      <c r="N66" s="4"/>
    </row>
    <row r="67" spans="2:18" x14ac:dyDescent="0.25">
      <c r="B67" s="443">
        <v>42349</v>
      </c>
      <c r="C67" s="447">
        <v>5721</v>
      </c>
      <c r="D67" s="486">
        <v>16.32</v>
      </c>
      <c r="E67" s="448">
        <v>14.04</v>
      </c>
      <c r="F67" s="448">
        <f t="shared" si="1"/>
        <v>-13043.880000000006</v>
      </c>
      <c r="G67" s="448">
        <f t="shared" si="4"/>
        <v>93366.720000000001</v>
      </c>
      <c r="H67" s="487">
        <f t="shared" si="5"/>
        <v>-0.13970588235294124</v>
      </c>
      <c r="I67" s="448"/>
      <c r="J67" s="448"/>
      <c r="N67" s="4"/>
      <c r="O67" s="4"/>
      <c r="P67" s="4"/>
      <c r="Q67" s="4"/>
      <c r="R67" s="4"/>
    </row>
    <row r="68" spans="2:18" x14ac:dyDescent="0.25">
      <c r="B68" s="443">
        <v>42349</v>
      </c>
      <c r="C68" s="447">
        <v>5060</v>
      </c>
      <c r="D68" s="486">
        <v>16.6143</v>
      </c>
      <c r="E68" s="448">
        <v>14.04</v>
      </c>
      <c r="F68" s="448">
        <f t="shared" si="1"/>
        <v>-13025.958000000004</v>
      </c>
      <c r="G68" s="448">
        <f t="shared" si="4"/>
        <v>84068.358000000007</v>
      </c>
      <c r="H68" s="487">
        <f t="shared" si="5"/>
        <v>-0.15494483667683867</v>
      </c>
      <c r="I68" s="448"/>
      <c r="J68" s="448"/>
      <c r="O68" s="339"/>
      <c r="P68" s="4"/>
      <c r="Q68" s="4"/>
      <c r="R68" s="4"/>
    </row>
    <row r="69" spans="2:18" x14ac:dyDescent="0.25">
      <c r="B69" s="443">
        <v>42356</v>
      </c>
      <c r="C69" s="447">
        <v>5060</v>
      </c>
      <c r="D69" s="486">
        <v>16.596900000000002</v>
      </c>
      <c r="E69" s="448">
        <v>14.32</v>
      </c>
      <c r="F69" s="448">
        <f t="shared" si="1"/>
        <v>-11521.114000000007</v>
      </c>
      <c r="G69" s="448">
        <f t="shared" si="4"/>
        <v>83980.314000000013</v>
      </c>
      <c r="H69" s="487">
        <f t="shared" si="5"/>
        <v>-0.13718827009863294</v>
      </c>
      <c r="I69" s="448"/>
      <c r="J69" s="448"/>
      <c r="Q69" s="339"/>
      <c r="R69" s="339"/>
    </row>
    <row r="70" spans="2:18" x14ac:dyDescent="0.25">
      <c r="B70" s="443">
        <v>42356</v>
      </c>
      <c r="C70" s="447">
        <v>7000</v>
      </c>
      <c r="D70" s="486">
        <v>15.97</v>
      </c>
      <c r="E70" s="448">
        <v>14.34</v>
      </c>
      <c r="F70" s="448">
        <f t="shared" si="1"/>
        <v>-11410.000000000005</v>
      </c>
      <c r="G70" s="448">
        <f t="shared" si="4"/>
        <v>111790</v>
      </c>
      <c r="H70" s="487">
        <f t="shared" si="5"/>
        <v>-0.10206637445209772</v>
      </c>
      <c r="I70" s="448"/>
      <c r="J70" s="448"/>
      <c r="Q70" s="4"/>
      <c r="R70" s="4"/>
    </row>
    <row r="71" spans="2:18" x14ac:dyDescent="0.25">
      <c r="B71" s="443">
        <v>42356</v>
      </c>
      <c r="C71" s="447">
        <v>6000</v>
      </c>
      <c r="D71" s="486">
        <v>16.23</v>
      </c>
      <c r="E71" s="448">
        <v>14.36</v>
      </c>
      <c r="F71" s="448">
        <f t="shared" si="1"/>
        <v>-11220.000000000005</v>
      </c>
      <c r="G71" s="448">
        <f t="shared" si="4"/>
        <v>97380</v>
      </c>
      <c r="H71" s="487">
        <f t="shared" si="5"/>
        <v>-0.11521873074553302</v>
      </c>
      <c r="I71" s="448"/>
      <c r="J71" s="448"/>
      <c r="Q71" s="4"/>
      <c r="R71" s="4"/>
    </row>
    <row r="72" spans="2:18" x14ac:dyDescent="0.25">
      <c r="B72" s="443">
        <v>42357</v>
      </c>
      <c r="C72" s="447">
        <v>5500</v>
      </c>
      <c r="D72" s="486">
        <v>16.398399999999999</v>
      </c>
      <c r="E72" s="448">
        <v>14.36</v>
      </c>
      <c r="F72" s="448">
        <f t="shared" si="1"/>
        <v>-11211.199999999997</v>
      </c>
      <c r="G72" s="448">
        <f t="shared" si="4"/>
        <v>90191.2</v>
      </c>
      <c r="H72" s="487">
        <f t="shared" si="5"/>
        <v>-0.12430481022538781</v>
      </c>
      <c r="I72" s="448"/>
      <c r="J72" s="448"/>
      <c r="Q72" s="4"/>
      <c r="R72" s="4"/>
    </row>
    <row r="73" spans="2:18" x14ac:dyDescent="0.25">
      <c r="B73" s="443">
        <v>42359</v>
      </c>
      <c r="C73" s="447">
        <v>5060</v>
      </c>
      <c r="D73" s="486">
        <v>16.55</v>
      </c>
      <c r="E73" s="448">
        <v>14.64</v>
      </c>
      <c r="F73" s="448">
        <f t="shared" si="1"/>
        <v>-9664.6</v>
      </c>
      <c r="G73" s="448">
        <f t="shared" si="4"/>
        <v>83743</v>
      </c>
      <c r="H73" s="487">
        <f t="shared" si="5"/>
        <v>-0.11540785498489427</v>
      </c>
      <c r="I73" s="448"/>
      <c r="J73" s="448"/>
      <c r="Q73" s="4"/>
      <c r="R73" s="4"/>
    </row>
    <row r="74" spans="2:18" x14ac:dyDescent="0.25">
      <c r="B74" s="443">
        <v>42361</v>
      </c>
      <c r="C74" s="447">
        <v>5060</v>
      </c>
      <c r="D74" s="486">
        <v>16.5456</v>
      </c>
      <c r="E74" s="448">
        <v>14.61</v>
      </c>
      <c r="F74" s="448">
        <f t="shared" si="1"/>
        <v>-9794.1360000000041</v>
      </c>
      <c r="G74" s="448">
        <f t="shared" si="4"/>
        <v>83720.736000000004</v>
      </c>
      <c r="H74" s="487">
        <f t="shared" si="5"/>
        <v>-0.11698578474035398</v>
      </c>
      <c r="I74" s="448"/>
      <c r="J74" s="448"/>
      <c r="Q74" s="4"/>
      <c r="R74" s="4"/>
    </row>
    <row r="75" spans="2:18" x14ac:dyDescent="0.25">
      <c r="B75" s="443">
        <v>42377</v>
      </c>
      <c r="C75" s="447">
        <v>5260</v>
      </c>
      <c r="D75" s="486">
        <v>16.424099999999999</v>
      </c>
      <c r="E75" s="448">
        <v>13.33</v>
      </c>
      <c r="F75" s="448">
        <f t="shared" si="1"/>
        <v>-16274.965999999995</v>
      </c>
      <c r="G75" s="448">
        <f t="shared" si="4"/>
        <v>86390.766000000003</v>
      </c>
      <c r="H75" s="487">
        <f t="shared" si="5"/>
        <v>-0.18838779598273264</v>
      </c>
      <c r="I75" s="448"/>
      <c r="J75" s="448"/>
      <c r="Q75" s="4"/>
      <c r="R75" s="4"/>
    </row>
    <row r="76" spans="2:18" x14ac:dyDescent="0.25">
      <c r="B76" s="443">
        <v>42398</v>
      </c>
      <c r="C76" s="447">
        <v>5000</v>
      </c>
      <c r="D76" s="486">
        <v>16.72</v>
      </c>
      <c r="E76" s="448">
        <v>10.74</v>
      </c>
      <c r="F76" s="448">
        <f t="shared" si="1"/>
        <v>-29899.999999999993</v>
      </c>
      <c r="G76" s="448">
        <f t="shared" si="4"/>
        <v>83600</v>
      </c>
      <c r="H76" s="487">
        <f t="shared" si="5"/>
        <v>-0.35765550239234445</v>
      </c>
      <c r="I76" s="448"/>
      <c r="J76" s="448"/>
      <c r="Q76" s="4"/>
      <c r="R76" s="4"/>
    </row>
    <row r="77" spans="2:18" x14ac:dyDescent="0.25">
      <c r="B77" s="443">
        <v>42401</v>
      </c>
      <c r="C77" s="447">
        <v>5260</v>
      </c>
      <c r="D77" s="486">
        <v>16.419699999999999</v>
      </c>
      <c r="E77" s="448">
        <v>10.96</v>
      </c>
      <c r="F77" s="448">
        <f t="shared" si="1"/>
        <v>-28718.02199999999</v>
      </c>
      <c r="G77" s="448">
        <f t="shared" si="4"/>
        <v>86367.621999999988</v>
      </c>
      <c r="H77" s="487">
        <f t="shared" si="5"/>
        <v>-0.33250912014226802</v>
      </c>
      <c r="I77" s="448"/>
      <c r="J77" s="448"/>
      <c r="Q77" s="4"/>
      <c r="R77" s="4"/>
    </row>
    <row r="78" spans="2:18" x14ac:dyDescent="0.25">
      <c r="B78" s="443">
        <v>42416</v>
      </c>
      <c r="C78" s="447">
        <v>4760</v>
      </c>
      <c r="D78" s="486">
        <v>17.02</v>
      </c>
      <c r="E78" s="448">
        <v>10.65</v>
      </c>
      <c r="F78" s="448">
        <f t="shared" si="1"/>
        <v>-30321.199999999997</v>
      </c>
      <c r="G78" s="448">
        <f t="shared" si="4"/>
        <v>81015.199999999997</v>
      </c>
      <c r="H78" s="487">
        <f t="shared" si="5"/>
        <v>-0.37426556991774379</v>
      </c>
      <c r="I78" s="448"/>
      <c r="J78" s="448"/>
      <c r="Q78" s="339"/>
      <c r="R78" s="339"/>
    </row>
    <row r="79" spans="2:18" x14ac:dyDescent="0.25">
      <c r="B79" s="443">
        <v>42416</v>
      </c>
      <c r="C79" s="447">
        <v>4000</v>
      </c>
      <c r="D79" s="486">
        <v>18.1967</v>
      </c>
      <c r="E79" s="448">
        <v>10.744999999999999</v>
      </c>
      <c r="F79" s="448">
        <f t="shared" si="1"/>
        <v>-29806.800000000003</v>
      </c>
      <c r="G79" s="448">
        <f t="shared" si="4"/>
        <v>72786.8</v>
      </c>
      <c r="H79" s="487">
        <f t="shared" si="5"/>
        <v>-0.40950831744217364</v>
      </c>
      <c r="I79" s="448"/>
      <c r="J79" s="448"/>
      <c r="Q79" s="4"/>
      <c r="R79" s="4"/>
    </row>
    <row r="80" spans="2:18" x14ac:dyDescent="0.25">
      <c r="B80" s="443">
        <v>42418</v>
      </c>
      <c r="C80" s="447">
        <v>3600</v>
      </c>
      <c r="D80" s="486">
        <v>18.931999999999999</v>
      </c>
      <c r="E80" s="448">
        <v>10.81</v>
      </c>
      <c r="F80" s="448">
        <f t="shared" si="1"/>
        <v>-29239.199999999993</v>
      </c>
      <c r="G80" s="448">
        <f t="shared" si="4"/>
        <v>68155.199999999997</v>
      </c>
      <c r="H80" s="487">
        <f t="shared" si="5"/>
        <v>-0.42900908514684127</v>
      </c>
      <c r="I80" s="448"/>
      <c r="J80" s="448"/>
      <c r="Q80" s="4"/>
      <c r="R80" s="4"/>
    </row>
    <row r="81" spans="2:18" x14ac:dyDescent="0.25">
      <c r="B81" s="443">
        <v>42423</v>
      </c>
      <c r="C81" s="447">
        <v>5260</v>
      </c>
      <c r="D81" s="486">
        <v>16.356200000000001</v>
      </c>
      <c r="E81" s="448">
        <v>10.49</v>
      </c>
      <c r="F81" s="448">
        <f t="shared" si="1"/>
        <v>-30856.212000000007</v>
      </c>
      <c r="G81" s="448">
        <f t="shared" si="4"/>
        <v>86033.612000000008</v>
      </c>
      <c r="H81" s="487">
        <f t="shared" si="5"/>
        <v>-0.35865298785781541</v>
      </c>
      <c r="I81" s="448"/>
      <c r="J81" s="448"/>
      <c r="Q81" s="4"/>
      <c r="R81" s="4"/>
    </row>
    <row r="82" spans="2:18" x14ac:dyDescent="0.25">
      <c r="B82" s="443">
        <v>42431</v>
      </c>
      <c r="C82" s="447">
        <v>4760</v>
      </c>
      <c r="D82" s="486">
        <v>16.858899999999998</v>
      </c>
      <c r="E82" s="448">
        <v>11.68</v>
      </c>
      <c r="F82" s="448">
        <f t="shared" si="1"/>
        <v>-24651.563999999995</v>
      </c>
      <c r="G82" s="448">
        <f t="shared" si="4"/>
        <v>80248.363999999987</v>
      </c>
      <c r="H82" s="487">
        <f t="shared" si="5"/>
        <v>-0.30719086061368173</v>
      </c>
      <c r="I82" s="448"/>
      <c r="J82" s="448"/>
      <c r="Q82" s="4"/>
      <c r="R82" s="4"/>
    </row>
    <row r="83" spans="2:18" x14ac:dyDescent="0.25">
      <c r="B83" s="443">
        <v>42436</v>
      </c>
      <c r="C83" s="447">
        <v>5290</v>
      </c>
      <c r="D83" s="486">
        <v>16.258900000000001</v>
      </c>
      <c r="E83" s="448">
        <v>11.58</v>
      </c>
      <c r="F83" s="448">
        <f t="shared" si="1"/>
        <v>-24751.381000000001</v>
      </c>
      <c r="G83" s="448">
        <f t="shared" si="4"/>
        <v>86009.581000000006</v>
      </c>
      <c r="H83" s="487">
        <f t="shared" si="5"/>
        <v>-0.28777469570512154</v>
      </c>
      <c r="I83" s="448"/>
      <c r="J83" s="448"/>
      <c r="Q83" s="4"/>
      <c r="R83" s="4"/>
    </row>
    <row r="84" spans="2:18" x14ac:dyDescent="0.25">
      <c r="B84" s="443">
        <v>42444</v>
      </c>
      <c r="C84" s="447">
        <v>5290</v>
      </c>
      <c r="D84" s="486">
        <v>16.259</v>
      </c>
      <c r="E84" s="448">
        <v>10.85</v>
      </c>
      <c r="F84" s="448">
        <f t="shared" si="1"/>
        <v>-28613.610000000004</v>
      </c>
      <c r="G84" s="448">
        <f t="shared" si="4"/>
        <v>86010.11</v>
      </c>
      <c r="H84" s="487">
        <f t="shared" si="5"/>
        <v>-0.33267728642597949</v>
      </c>
      <c r="I84" s="448"/>
      <c r="J84" s="448"/>
      <c r="Q84" s="4"/>
      <c r="R84" s="4"/>
    </row>
    <row r="85" spans="2:18" x14ac:dyDescent="0.25">
      <c r="B85" s="443">
        <v>42446</v>
      </c>
      <c r="C85" s="447">
        <v>5295</v>
      </c>
      <c r="D85" s="486">
        <v>16.2348</v>
      </c>
      <c r="E85" s="448">
        <v>10.87</v>
      </c>
      <c r="F85" s="448">
        <f t="shared" ref="F85:F123" si="6">-C85*(D85-E85)</f>
        <v>-28406.616000000002</v>
      </c>
      <c r="G85" s="448">
        <f t="shared" ref="G85:G123" si="7">IF(C85=0, 0,D85*C85)</f>
        <v>85963.266000000003</v>
      </c>
      <c r="H85" s="487">
        <f t="shared" ref="H85:H123" si="8">IF(C85=0, D85, (E85-D85)/D85)</f>
        <v>-0.33045063690344201</v>
      </c>
      <c r="I85" s="448"/>
      <c r="J85" s="448"/>
    </row>
    <row r="86" spans="2:18" x14ac:dyDescent="0.25">
      <c r="B86" s="443">
        <v>42447</v>
      </c>
      <c r="C86" s="447">
        <v>5300</v>
      </c>
      <c r="D86" s="486">
        <v>16.211200000000002</v>
      </c>
      <c r="E86" s="448">
        <v>11.07</v>
      </c>
      <c r="F86" s="448">
        <f t="shared" si="6"/>
        <v>-27248.360000000008</v>
      </c>
      <c r="G86" s="448">
        <f t="shared" si="7"/>
        <v>85919.360000000015</v>
      </c>
      <c r="H86" s="487">
        <f t="shared" si="8"/>
        <v>-0.31713876825898152</v>
      </c>
      <c r="I86" s="448"/>
      <c r="J86" s="448"/>
    </row>
    <row r="87" spans="2:18" x14ac:dyDescent="0.25">
      <c r="B87" s="443">
        <v>42447</v>
      </c>
      <c r="C87" s="447">
        <v>5155</v>
      </c>
      <c r="D87" s="486">
        <v>16.352699999999999</v>
      </c>
      <c r="E87" s="448">
        <v>11.14</v>
      </c>
      <c r="F87" s="448">
        <f t="shared" si="6"/>
        <v>-26871.468499999992</v>
      </c>
      <c r="G87" s="448">
        <f t="shared" si="7"/>
        <v>84298.1685</v>
      </c>
      <c r="H87" s="487">
        <f t="shared" si="8"/>
        <v>-0.31876693145474438</v>
      </c>
      <c r="I87" s="448"/>
      <c r="J87" s="448"/>
    </row>
    <row r="88" spans="2:18" x14ac:dyDescent="0.25">
      <c r="B88" s="443">
        <v>42450</v>
      </c>
      <c r="C88" s="447">
        <v>3955</v>
      </c>
      <c r="D88" s="486">
        <v>17.7959</v>
      </c>
      <c r="E88" s="448">
        <v>11.54</v>
      </c>
      <c r="F88" s="448">
        <f t="shared" si="6"/>
        <v>-24742.084500000001</v>
      </c>
      <c r="G88" s="448">
        <f t="shared" si="7"/>
        <v>70382.784499999994</v>
      </c>
      <c r="H88" s="487">
        <f t="shared" si="8"/>
        <v>-0.3515360279614968</v>
      </c>
      <c r="I88" s="448"/>
      <c r="J88" s="448"/>
      <c r="N88" s="4"/>
    </row>
    <row r="89" spans="2:18" x14ac:dyDescent="0.25">
      <c r="B89" s="443">
        <v>42451</v>
      </c>
      <c r="C89" s="447">
        <v>5260</v>
      </c>
      <c r="D89" s="486">
        <v>16.2089</v>
      </c>
      <c r="E89" s="448">
        <v>11.44</v>
      </c>
      <c r="F89" s="448">
        <f t="shared" si="6"/>
        <v>-25084.414000000001</v>
      </c>
      <c r="G89" s="448">
        <f t="shared" si="7"/>
        <v>85258.813999999998</v>
      </c>
      <c r="H89" s="487">
        <f t="shared" si="8"/>
        <v>-0.29421490662537253</v>
      </c>
      <c r="I89" s="488"/>
      <c r="J89" s="488"/>
    </row>
    <row r="90" spans="2:18" x14ac:dyDescent="0.25">
      <c r="B90" s="443">
        <v>42451</v>
      </c>
      <c r="C90" s="447">
        <v>5360</v>
      </c>
      <c r="D90" s="486">
        <v>16.1083</v>
      </c>
      <c r="E90" s="448">
        <v>10.65</v>
      </c>
      <c r="F90" s="448">
        <f t="shared" si="6"/>
        <v>-29256.487999999998</v>
      </c>
      <c r="G90" s="448">
        <f t="shared" si="7"/>
        <v>86340.487999999998</v>
      </c>
      <c r="H90" s="487">
        <f t="shared" si="8"/>
        <v>-0.33885015799308427</v>
      </c>
      <c r="I90" s="488"/>
      <c r="J90" s="488"/>
    </row>
    <row r="91" spans="2:18" x14ac:dyDescent="0.25">
      <c r="B91" s="443">
        <v>42461</v>
      </c>
      <c r="C91" s="447">
        <v>5260</v>
      </c>
      <c r="D91" s="486">
        <v>16.207000000000001</v>
      </c>
      <c r="E91" s="448">
        <v>10.92</v>
      </c>
      <c r="F91" s="448">
        <f t="shared" si="6"/>
        <v>-27809.620000000003</v>
      </c>
      <c r="G91" s="448">
        <f t="shared" si="7"/>
        <v>85248.82</v>
      </c>
      <c r="H91" s="487">
        <f t="shared" si="8"/>
        <v>-0.32621706669957429</v>
      </c>
      <c r="I91" s="448"/>
      <c r="J91" s="448"/>
    </row>
    <row r="92" spans="2:18" x14ac:dyDescent="0.25">
      <c r="B92" s="443">
        <v>42465</v>
      </c>
      <c r="C92" s="447">
        <v>5260</v>
      </c>
      <c r="D92" s="486">
        <v>16.207000000000001</v>
      </c>
      <c r="E92" s="448">
        <v>10.4</v>
      </c>
      <c r="F92" s="448">
        <f t="shared" si="6"/>
        <v>-30544.820000000003</v>
      </c>
      <c r="G92" s="448">
        <f t="shared" si="7"/>
        <v>85248.82</v>
      </c>
      <c r="H92" s="487">
        <f t="shared" si="8"/>
        <v>-0.3583019682853088</v>
      </c>
      <c r="I92" s="448"/>
      <c r="J92" s="448"/>
    </row>
    <row r="93" spans="2:18" x14ac:dyDescent="0.25">
      <c r="B93" s="443">
        <v>42467</v>
      </c>
      <c r="C93" s="447">
        <v>5760</v>
      </c>
      <c r="D93" s="486">
        <v>15.703799999999999</v>
      </c>
      <c r="E93" s="448">
        <v>10.4</v>
      </c>
      <c r="F93" s="448">
        <f t="shared" si="6"/>
        <v>-30549.887999999995</v>
      </c>
      <c r="G93" s="448">
        <f t="shared" si="7"/>
        <v>90453.887999999992</v>
      </c>
      <c r="H93" s="487">
        <f t="shared" si="8"/>
        <v>-0.33773991008545695</v>
      </c>
      <c r="I93" s="448"/>
      <c r="J93" s="448"/>
    </row>
    <row r="94" spans="2:18" x14ac:dyDescent="0.25">
      <c r="B94" s="443">
        <v>42468</v>
      </c>
      <c r="C94" s="447">
        <v>5260</v>
      </c>
      <c r="D94" s="486">
        <v>16.167100000000001</v>
      </c>
      <c r="E94" s="448">
        <v>10.76</v>
      </c>
      <c r="F94" s="448">
        <f t="shared" si="6"/>
        <v>-28441.346000000009</v>
      </c>
      <c r="G94" s="448">
        <f t="shared" si="7"/>
        <v>85038.946000000011</v>
      </c>
      <c r="H94" s="487">
        <f t="shared" si="8"/>
        <v>-0.33445082915303309</v>
      </c>
      <c r="I94" s="488" t="s">
        <v>187</v>
      </c>
      <c r="J94" s="488"/>
    </row>
    <row r="95" spans="2:18" x14ac:dyDescent="0.25">
      <c r="B95" s="443">
        <v>42472</v>
      </c>
      <c r="C95" s="447">
        <v>5860</v>
      </c>
      <c r="D95" s="486">
        <v>15.567399999999999</v>
      </c>
      <c r="E95" s="448">
        <v>10.17</v>
      </c>
      <c r="F95" s="448">
        <f t="shared" si="6"/>
        <v>-31628.763999999996</v>
      </c>
      <c r="G95" s="448">
        <f t="shared" si="7"/>
        <v>91224.963999999993</v>
      </c>
      <c r="H95" s="487">
        <f t="shared" si="8"/>
        <v>-0.34671171807752094</v>
      </c>
      <c r="I95" s="448"/>
      <c r="J95" s="448"/>
    </row>
    <row r="96" spans="2:18" x14ac:dyDescent="0.25">
      <c r="B96" s="443">
        <v>42473</v>
      </c>
      <c r="C96" s="447">
        <v>5260</v>
      </c>
      <c r="D96" s="486">
        <v>16.1158</v>
      </c>
      <c r="E96" s="448">
        <v>10.88</v>
      </c>
      <c r="F96" s="448">
        <f t="shared" si="6"/>
        <v>-27540.307999999997</v>
      </c>
      <c r="G96" s="448">
        <f t="shared" si="7"/>
        <v>84769.108000000007</v>
      </c>
      <c r="H96" s="487">
        <f t="shared" si="8"/>
        <v>-0.32488613658645549</v>
      </c>
      <c r="I96" s="448"/>
      <c r="J96" s="448"/>
    </row>
    <row r="97" spans="2:16" x14ac:dyDescent="0.25">
      <c r="B97" s="443">
        <v>42484</v>
      </c>
      <c r="C97" s="447">
        <v>5260</v>
      </c>
      <c r="D97" s="486">
        <v>16.1158</v>
      </c>
      <c r="E97" s="448">
        <v>10.66</v>
      </c>
      <c r="F97" s="448">
        <f t="shared" si="6"/>
        <v>-28697.508000000002</v>
      </c>
      <c r="G97" s="448">
        <f t="shared" si="7"/>
        <v>84769.108000000007</v>
      </c>
      <c r="H97" s="487">
        <f t="shared" si="8"/>
        <v>-0.33853733603047942</v>
      </c>
      <c r="I97" s="448"/>
      <c r="J97" s="448"/>
    </row>
    <row r="98" spans="2:16" x14ac:dyDescent="0.25">
      <c r="B98" s="443">
        <v>42486</v>
      </c>
      <c r="C98" s="447">
        <v>4260</v>
      </c>
      <c r="D98" s="486">
        <v>17.2287</v>
      </c>
      <c r="E98" s="448">
        <v>11.51</v>
      </c>
      <c r="F98" s="448">
        <f t="shared" si="6"/>
        <v>-24361.662</v>
      </c>
      <c r="G98" s="448">
        <f t="shared" si="7"/>
        <v>73394.262000000002</v>
      </c>
      <c r="H98" s="487">
        <f t="shared" si="8"/>
        <v>-0.33192870036624933</v>
      </c>
      <c r="I98" s="448"/>
      <c r="J98" s="448"/>
    </row>
    <row r="99" spans="2:16" x14ac:dyDescent="0.25">
      <c r="B99" s="443">
        <v>42487</v>
      </c>
      <c r="C99" s="447">
        <v>5260</v>
      </c>
      <c r="D99" s="486">
        <v>16.099699999999999</v>
      </c>
      <c r="E99" s="448">
        <v>11.56</v>
      </c>
      <c r="F99" s="448">
        <f t="shared" si="6"/>
        <v>-23878.821999999989</v>
      </c>
      <c r="G99" s="448">
        <f t="shared" si="7"/>
        <v>84684.421999999991</v>
      </c>
      <c r="H99" s="487">
        <f t="shared" si="8"/>
        <v>-0.28197419827698644</v>
      </c>
      <c r="I99" s="448"/>
      <c r="J99" s="448"/>
      <c r="O99" s="4"/>
      <c r="P99" s="184"/>
    </row>
    <row r="100" spans="2:16" x14ac:dyDescent="0.25">
      <c r="B100" s="443">
        <v>42488</v>
      </c>
      <c r="C100" s="447">
        <v>5260</v>
      </c>
      <c r="D100" s="486">
        <v>16.078399999999998</v>
      </c>
      <c r="E100" s="448">
        <v>11.62</v>
      </c>
      <c r="F100" s="448">
        <f t="shared" si="6"/>
        <v>-23451.183999999997</v>
      </c>
      <c r="G100" s="448">
        <f t="shared" si="7"/>
        <v>84572.383999999991</v>
      </c>
      <c r="H100" s="487">
        <f t="shared" si="8"/>
        <v>-0.27729127276345905</v>
      </c>
      <c r="I100" s="448"/>
      <c r="J100" s="448"/>
      <c r="O100" s="4"/>
      <c r="P100" s="4"/>
    </row>
    <row r="101" spans="2:16" x14ac:dyDescent="0.25">
      <c r="B101" s="443">
        <v>42489</v>
      </c>
      <c r="C101" s="447">
        <v>5500</v>
      </c>
      <c r="D101" s="486">
        <v>15.848599999999999</v>
      </c>
      <c r="E101" s="448">
        <v>10.75</v>
      </c>
      <c r="F101" s="448">
        <f t="shared" si="6"/>
        <v>-28042.299999999996</v>
      </c>
      <c r="G101" s="448">
        <f t="shared" si="7"/>
        <v>87167.3</v>
      </c>
      <c r="H101" s="487">
        <f t="shared" si="8"/>
        <v>-0.32170664916774983</v>
      </c>
      <c r="I101" s="448"/>
      <c r="J101" s="448"/>
      <c r="O101" s="4"/>
      <c r="P101" s="4"/>
    </row>
    <row r="102" spans="2:16" x14ac:dyDescent="0.25">
      <c r="B102" s="443">
        <v>42494</v>
      </c>
      <c r="C102" s="447">
        <v>6500</v>
      </c>
      <c r="D102" s="486">
        <v>14.9526</v>
      </c>
      <c r="E102" s="448">
        <v>10</v>
      </c>
      <c r="F102" s="448">
        <f t="shared" si="6"/>
        <v>-32191.9</v>
      </c>
      <c r="G102" s="448">
        <f t="shared" si="7"/>
        <v>97191.900000000009</v>
      </c>
      <c r="H102" s="487">
        <f t="shared" si="8"/>
        <v>-0.33121998849698381</v>
      </c>
      <c r="I102" s="448"/>
      <c r="J102" s="448"/>
    </row>
    <row r="103" spans="2:16" x14ac:dyDescent="0.25">
      <c r="B103" s="443">
        <v>42495</v>
      </c>
      <c r="C103" s="447">
        <v>5500</v>
      </c>
      <c r="D103" s="486">
        <v>15.7966</v>
      </c>
      <c r="E103" s="448">
        <v>10.06</v>
      </c>
      <c r="F103" s="448">
        <f t="shared" si="6"/>
        <v>-31551.299999999996</v>
      </c>
      <c r="G103" s="448">
        <f t="shared" si="7"/>
        <v>86881.3</v>
      </c>
      <c r="H103" s="487">
        <f t="shared" si="8"/>
        <v>-0.363154096451135</v>
      </c>
      <c r="I103" s="448"/>
      <c r="J103" s="448"/>
    </row>
    <row r="104" spans="2:16" x14ac:dyDescent="0.25">
      <c r="B104" s="443">
        <v>42502</v>
      </c>
      <c r="C104" s="447">
        <v>8500</v>
      </c>
      <c r="D104" s="486">
        <v>13.6378</v>
      </c>
      <c r="E104" s="448">
        <v>9.6199999999999992</v>
      </c>
      <c r="F104" s="448">
        <f t="shared" si="6"/>
        <v>-34151.30000000001</v>
      </c>
      <c r="G104" s="448">
        <f t="shared" si="7"/>
        <v>115921.3</v>
      </c>
      <c r="H104" s="487">
        <f t="shared" si="8"/>
        <v>-0.2946076346624823</v>
      </c>
      <c r="I104" s="448"/>
      <c r="J104" s="448"/>
    </row>
    <row r="105" spans="2:16" x14ac:dyDescent="0.25">
      <c r="B105" s="443">
        <v>42503</v>
      </c>
      <c r="C105" s="447">
        <v>5500</v>
      </c>
      <c r="D105" s="486">
        <v>15.754899999999999</v>
      </c>
      <c r="E105" s="448">
        <v>9.58</v>
      </c>
      <c r="F105" s="448">
        <f t="shared" si="6"/>
        <v>-33961.949999999997</v>
      </c>
      <c r="G105" s="448">
        <f t="shared" si="7"/>
        <v>86651.95</v>
      </c>
      <c r="H105" s="487">
        <f t="shared" si="8"/>
        <v>-0.39193520745926663</v>
      </c>
      <c r="I105" s="448"/>
      <c r="J105" s="448"/>
    </row>
    <row r="106" spans="2:16" x14ac:dyDescent="0.25">
      <c r="B106" s="443">
        <v>42510</v>
      </c>
      <c r="C106" s="489">
        <v>5000</v>
      </c>
      <c r="D106" s="490">
        <v>16.255400000000002</v>
      </c>
      <c r="E106" s="448">
        <v>10.8</v>
      </c>
      <c r="F106" s="448">
        <f t="shared" si="6"/>
        <v>-27277.000000000004</v>
      </c>
      <c r="G106" s="448">
        <f t="shared" si="7"/>
        <v>81277.000000000015</v>
      </c>
      <c r="H106" s="487">
        <f t="shared" si="8"/>
        <v>-0.33560539882131479</v>
      </c>
      <c r="I106" s="448"/>
      <c r="J106" s="448"/>
    </row>
    <row r="107" spans="2:16" x14ac:dyDescent="0.25">
      <c r="B107" s="443">
        <v>42514</v>
      </c>
      <c r="C107" s="447">
        <v>4500</v>
      </c>
      <c r="D107" s="486">
        <v>16.752199999999998</v>
      </c>
      <c r="E107" s="448">
        <v>11.49</v>
      </c>
      <c r="F107" s="448">
        <f t="shared" si="6"/>
        <v>-23679.899999999991</v>
      </c>
      <c r="G107" s="448">
        <f t="shared" si="7"/>
        <v>75384.899999999994</v>
      </c>
      <c r="H107" s="487">
        <f t="shared" si="8"/>
        <v>-0.31411993648595399</v>
      </c>
      <c r="I107" s="448"/>
      <c r="J107" s="448"/>
    </row>
    <row r="108" spans="2:16" x14ac:dyDescent="0.25">
      <c r="B108" s="443">
        <v>42515</v>
      </c>
      <c r="C108" s="447">
        <v>4500</v>
      </c>
      <c r="D108" s="486">
        <v>16.746700000000001</v>
      </c>
      <c r="E108" s="448">
        <v>11.6</v>
      </c>
      <c r="F108" s="448">
        <f t="shared" si="6"/>
        <v>-23160.150000000005</v>
      </c>
      <c r="G108" s="448">
        <f t="shared" si="7"/>
        <v>75360.150000000009</v>
      </c>
      <c r="H108" s="487">
        <f t="shared" si="8"/>
        <v>-0.30732621949398992</v>
      </c>
      <c r="I108" s="448"/>
      <c r="J108" s="448"/>
    </row>
    <row r="109" spans="2:16" x14ac:dyDescent="0.25">
      <c r="B109" s="443">
        <v>42516</v>
      </c>
      <c r="C109" s="447">
        <v>4000</v>
      </c>
      <c r="D109" s="486">
        <v>17.344999999999999</v>
      </c>
      <c r="E109" s="448">
        <v>11.95</v>
      </c>
      <c r="F109" s="448">
        <f t="shared" si="6"/>
        <v>-21580</v>
      </c>
      <c r="G109" s="448">
        <f t="shared" si="7"/>
        <v>69380</v>
      </c>
      <c r="H109" s="487">
        <f t="shared" si="8"/>
        <v>-0.31104064571922746</v>
      </c>
      <c r="I109" s="448"/>
      <c r="J109" s="448"/>
    </row>
    <row r="110" spans="2:16" x14ac:dyDescent="0.25">
      <c r="B110" s="443">
        <v>42517</v>
      </c>
      <c r="C110" s="447">
        <v>4000</v>
      </c>
      <c r="D110" s="486">
        <v>17.322700000000001</v>
      </c>
      <c r="E110" s="448">
        <v>12.31</v>
      </c>
      <c r="F110" s="448">
        <f t="shared" si="6"/>
        <v>-20050.800000000003</v>
      </c>
      <c r="G110" s="448">
        <f t="shared" si="7"/>
        <v>69290.8</v>
      </c>
      <c r="H110" s="487">
        <f t="shared" si="8"/>
        <v>-0.28937174920768705</v>
      </c>
      <c r="I110" s="448"/>
      <c r="J110" s="448"/>
    </row>
    <row r="111" spans="2:16" x14ac:dyDescent="0.25">
      <c r="B111" s="443">
        <v>42522</v>
      </c>
      <c r="C111" s="447">
        <v>3375</v>
      </c>
      <c r="D111" s="486">
        <v>18.078900000000001</v>
      </c>
      <c r="E111" s="448">
        <v>13.09</v>
      </c>
      <c r="F111" s="448">
        <f t="shared" si="6"/>
        <v>-16837.537500000002</v>
      </c>
      <c r="G111" s="448">
        <f t="shared" si="7"/>
        <v>61016.287500000006</v>
      </c>
      <c r="H111" s="487">
        <f t="shared" si="8"/>
        <v>-0.27595152359933406</v>
      </c>
      <c r="I111" s="448"/>
      <c r="J111" s="448"/>
    </row>
    <row r="112" spans="2:16" x14ac:dyDescent="0.25">
      <c r="B112" s="443">
        <v>42524</v>
      </c>
      <c r="C112" s="447">
        <v>4000</v>
      </c>
      <c r="D112" s="486">
        <v>17.229099999999999</v>
      </c>
      <c r="E112" s="448">
        <v>12.86</v>
      </c>
      <c r="F112" s="448">
        <f t="shared" si="6"/>
        <v>-17476.399999999998</v>
      </c>
      <c r="G112" s="448">
        <f t="shared" si="7"/>
        <v>68916.399999999994</v>
      </c>
      <c r="H112" s="487">
        <f t="shared" si="8"/>
        <v>-0.25358840566251284</v>
      </c>
      <c r="I112" s="448"/>
      <c r="J112" s="448"/>
    </row>
    <row r="113" spans="2:10" x14ac:dyDescent="0.25">
      <c r="B113" s="443">
        <v>42530</v>
      </c>
      <c r="C113" s="447">
        <v>4000</v>
      </c>
      <c r="D113" s="486">
        <v>17.184100000000001</v>
      </c>
      <c r="E113" s="448">
        <v>12.51</v>
      </c>
      <c r="F113" s="448">
        <f t="shared" si="6"/>
        <v>-18696.400000000005</v>
      </c>
      <c r="G113" s="448">
        <f t="shared" si="7"/>
        <v>68736.400000000009</v>
      </c>
      <c r="H113" s="487">
        <f t="shared" si="8"/>
        <v>-0.27200144319458108</v>
      </c>
      <c r="I113" s="448"/>
      <c r="J113" s="448"/>
    </row>
    <row r="114" spans="2:10" x14ac:dyDescent="0.25">
      <c r="B114" s="443">
        <v>42532</v>
      </c>
      <c r="C114" s="447">
        <v>4760</v>
      </c>
      <c r="D114" s="486">
        <v>16.386800000000001</v>
      </c>
      <c r="E114" s="448">
        <v>12.14</v>
      </c>
      <c r="F114" s="448">
        <f t="shared" si="6"/>
        <v>-20214.768</v>
      </c>
      <c r="G114" s="448">
        <f t="shared" si="7"/>
        <v>78001.168000000005</v>
      </c>
      <c r="H114" s="487">
        <f t="shared" si="8"/>
        <v>-0.25915981155564233</v>
      </c>
      <c r="I114" s="448"/>
      <c r="J114" s="448"/>
    </row>
    <row r="115" spans="2:10" x14ac:dyDescent="0.25">
      <c r="B115" s="443">
        <v>42535</v>
      </c>
      <c r="C115" s="447">
        <v>4760</v>
      </c>
      <c r="D115" s="486">
        <v>16.387</v>
      </c>
      <c r="E115" s="448">
        <v>11.92</v>
      </c>
      <c r="F115" s="448">
        <f t="shared" si="6"/>
        <v>-21262.920000000002</v>
      </c>
      <c r="G115" s="448">
        <f t="shared" si="7"/>
        <v>78002.12</v>
      </c>
      <c r="H115" s="487">
        <f t="shared" si="8"/>
        <v>-0.27259412949289075</v>
      </c>
      <c r="I115" s="448"/>
      <c r="J115" s="448"/>
    </row>
    <row r="116" spans="2:10" x14ac:dyDescent="0.25">
      <c r="B116" s="443">
        <v>42537</v>
      </c>
      <c r="C116" s="447">
        <v>4760</v>
      </c>
      <c r="D116" s="486">
        <v>16.361599999999999</v>
      </c>
      <c r="E116" s="448">
        <v>11.95</v>
      </c>
      <c r="F116" s="448">
        <f t="shared" si="6"/>
        <v>-20999.216</v>
      </c>
      <c r="G116" s="448">
        <f t="shared" si="7"/>
        <v>77881.216</v>
      </c>
      <c r="H116" s="487">
        <f t="shared" si="8"/>
        <v>-0.26963133189908078</v>
      </c>
      <c r="I116" s="448"/>
      <c r="J116" s="448"/>
    </row>
    <row r="117" spans="2:10" x14ac:dyDescent="0.25">
      <c r="B117" s="443">
        <v>42541</v>
      </c>
      <c r="C117" s="447">
        <v>4600</v>
      </c>
      <c r="D117" s="486">
        <v>16.459700000000002</v>
      </c>
      <c r="E117" s="448">
        <v>12.32</v>
      </c>
      <c r="F117" s="448">
        <f t="shared" si="6"/>
        <v>-19042.620000000006</v>
      </c>
      <c r="G117" s="448">
        <f t="shared" si="7"/>
        <v>75714.62000000001</v>
      </c>
      <c r="H117" s="487">
        <f t="shared" si="8"/>
        <v>-0.25150519146764527</v>
      </c>
      <c r="I117" s="448"/>
      <c r="J117" s="448"/>
    </row>
    <row r="118" spans="2:10" x14ac:dyDescent="0.25">
      <c r="B118" s="443">
        <v>42542</v>
      </c>
      <c r="C118" s="447">
        <v>4000</v>
      </c>
      <c r="D118" s="486">
        <v>17.010200000000001</v>
      </c>
      <c r="E118" s="448">
        <v>12.75</v>
      </c>
      <c r="F118" s="448">
        <f t="shared" si="6"/>
        <v>-17040.800000000003</v>
      </c>
      <c r="G118" s="448">
        <f t="shared" si="7"/>
        <v>68040.800000000003</v>
      </c>
      <c r="H118" s="487">
        <f t="shared" si="8"/>
        <v>-0.25044973016190292</v>
      </c>
      <c r="I118" s="448"/>
      <c r="J118" s="448"/>
    </row>
    <row r="119" spans="2:10" x14ac:dyDescent="0.25">
      <c r="B119" s="443">
        <v>42544</v>
      </c>
      <c r="C119" s="447">
        <v>2500</v>
      </c>
      <c r="D119" s="486">
        <v>18.952100000000002</v>
      </c>
      <c r="E119" s="448">
        <v>14.05</v>
      </c>
      <c r="F119" s="448">
        <f t="shared" si="6"/>
        <v>-12255.250000000002</v>
      </c>
      <c r="G119" s="448">
        <f t="shared" si="7"/>
        <v>47380.250000000007</v>
      </c>
      <c r="H119" s="487">
        <f t="shared" si="8"/>
        <v>-0.25865735195571998</v>
      </c>
      <c r="I119" s="448"/>
      <c r="J119" s="448"/>
    </row>
    <row r="120" spans="2:10" x14ac:dyDescent="0.25">
      <c r="B120" s="443">
        <v>42545</v>
      </c>
      <c r="C120" s="447">
        <v>3000</v>
      </c>
      <c r="D120" s="486">
        <v>18.046700000000001</v>
      </c>
      <c r="E120" s="448">
        <v>13.52</v>
      </c>
      <c r="F120" s="448">
        <f t="shared" si="6"/>
        <v>-13580.100000000006</v>
      </c>
      <c r="G120" s="448">
        <f t="shared" si="7"/>
        <v>54140.100000000006</v>
      </c>
      <c r="H120" s="487">
        <f t="shared" si="8"/>
        <v>-0.25083256218588446</v>
      </c>
      <c r="I120" s="448"/>
      <c r="J120" s="448"/>
    </row>
    <row r="121" spans="2:10" x14ac:dyDescent="0.25">
      <c r="B121" s="443">
        <v>42545</v>
      </c>
      <c r="C121" s="447">
        <v>3500</v>
      </c>
      <c r="D121" s="486">
        <v>17.391500000000001</v>
      </c>
      <c r="E121" s="448">
        <v>13.46</v>
      </c>
      <c r="F121" s="448">
        <f t="shared" si="6"/>
        <v>-13760.25</v>
      </c>
      <c r="G121" s="448">
        <f t="shared" si="7"/>
        <v>60870.25</v>
      </c>
      <c r="H121" s="487">
        <f t="shared" si="8"/>
        <v>-0.22605870683954804</v>
      </c>
      <c r="I121" s="448"/>
      <c r="J121" s="448"/>
    </row>
    <row r="122" spans="2:10" x14ac:dyDescent="0.25">
      <c r="B122" s="443">
        <v>42545</v>
      </c>
      <c r="C122" s="447">
        <v>4000</v>
      </c>
      <c r="D122" s="486">
        <v>16.8825</v>
      </c>
      <c r="E122" s="448">
        <v>13.32</v>
      </c>
      <c r="F122" s="448">
        <f t="shared" si="6"/>
        <v>-14250</v>
      </c>
      <c r="G122" s="448">
        <f t="shared" si="7"/>
        <v>67530</v>
      </c>
      <c r="H122" s="487">
        <f t="shared" si="8"/>
        <v>-0.21101732563305198</v>
      </c>
      <c r="I122" s="448"/>
      <c r="J122" s="448"/>
    </row>
    <row r="123" spans="2:10" x14ac:dyDescent="0.25">
      <c r="B123" s="443">
        <v>42548</v>
      </c>
      <c r="C123" s="447">
        <v>4760</v>
      </c>
      <c r="D123" s="486">
        <v>16.2315</v>
      </c>
      <c r="E123" s="448">
        <v>12.23</v>
      </c>
      <c r="F123" s="448">
        <f t="shared" si="6"/>
        <v>-19047.14</v>
      </c>
      <c r="G123" s="448">
        <f t="shared" si="7"/>
        <v>77261.94</v>
      </c>
      <c r="H123" s="487">
        <f t="shared" si="8"/>
        <v>-0.246526815143394</v>
      </c>
      <c r="I123" s="448"/>
      <c r="J123" s="448"/>
    </row>
    <row r="124" spans="2:10" x14ac:dyDescent="0.25">
      <c r="B124" s="443">
        <v>42548</v>
      </c>
      <c r="C124" s="447">
        <v>5260</v>
      </c>
      <c r="D124" s="486">
        <v>15.884399999999999</v>
      </c>
      <c r="E124" s="448">
        <v>12.23</v>
      </c>
      <c r="F124" s="448">
        <f t="shared" ref="F124:F171" si="9">-C124*(D124-E124)</f>
        <v>-19222.143999999993</v>
      </c>
      <c r="G124" s="448">
        <f t="shared" ref="G124:G171" si="10">IF(C124=0, 0,D124*C124)</f>
        <v>83551.944000000003</v>
      </c>
      <c r="H124" s="487">
        <f t="shared" ref="H124:H171" si="11">IF(C124=0, D124, (E124-D124)/D124)</f>
        <v>-0.23006219939059702</v>
      </c>
      <c r="I124" s="448"/>
      <c r="J124" s="448"/>
    </row>
    <row r="125" spans="2:10" x14ac:dyDescent="0.25">
      <c r="B125" s="443">
        <v>42549</v>
      </c>
      <c r="C125" s="447">
        <v>4500</v>
      </c>
      <c r="D125" s="486">
        <v>16.3767</v>
      </c>
      <c r="E125" s="448">
        <v>12.99</v>
      </c>
      <c r="F125" s="448">
        <f t="shared" si="9"/>
        <v>-15240.149999999998</v>
      </c>
      <c r="G125" s="448">
        <f t="shared" si="10"/>
        <v>73695.149999999994</v>
      </c>
      <c r="H125" s="487">
        <f t="shared" si="11"/>
        <v>-0.2067999047427137</v>
      </c>
      <c r="I125" s="448"/>
      <c r="J125" s="448"/>
    </row>
    <row r="126" spans="2:10" x14ac:dyDescent="0.25">
      <c r="B126" s="443">
        <v>42550</v>
      </c>
      <c r="C126" s="447">
        <v>4500</v>
      </c>
      <c r="D126" s="486">
        <v>16.3767</v>
      </c>
      <c r="E126" s="448">
        <v>13.19</v>
      </c>
      <c r="F126" s="448">
        <f t="shared" si="9"/>
        <v>-14340.15</v>
      </c>
      <c r="G126" s="448">
        <f t="shared" si="10"/>
        <v>73695.149999999994</v>
      </c>
      <c r="H126" s="487">
        <f t="shared" si="11"/>
        <v>-0.19458743214444912</v>
      </c>
      <c r="I126" s="448">
        <v>16</v>
      </c>
      <c r="J126" s="448"/>
    </row>
    <row r="127" spans="2:10" x14ac:dyDescent="0.25">
      <c r="B127" s="443">
        <v>42551</v>
      </c>
      <c r="C127" s="447">
        <v>4000</v>
      </c>
      <c r="D127" s="486">
        <v>16.708500000000001</v>
      </c>
      <c r="E127" s="448">
        <v>13.76</v>
      </c>
      <c r="F127" s="448">
        <f t="shared" si="9"/>
        <v>-11794.000000000004</v>
      </c>
      <c r="G127" s="448">
        <f t="shared" si="10"/>
        <v>66834</v>
      </c>
      <c r="H127" s="487">
        <f t="shared" si="11"/>
        <v>-0.176467067660173</v>
      </c>
      <c r="I127" s="448"/>
      <c r="J127" s="448"/>
    </row>
    <row r="128" spans="2:10" x14ac:dyDescent="0.25">
      <c r="B128" s="443">
        <v>42551</v>
      </c>
      <c r="C128" s="447">
        <v>4500</v>
      </c>
      <c r="D128" s="486">
        <v>16.23</v>
      </c>
      <c r="E128" s="448">
        <v>13.76</v>
      </c>
      <c r="F128" s="448">
        <f t="shared" si="9"/>
        <v>-11115.000000000004</v>
      </c>
      <c r="G128" s="448">
        <f t="shared" si="10"/>
        <v>73035</v>
      </c>
      <c r="H128" s="487">
        <f t="shared" si="11"/>
        <v>-0.15218730745532968</v>
      </c>
      <c r="I128" s="448" t="s">
        <v>221</v>
      </c>
      <c r="J128" s="448"/>
    </row>
    <row r="129" spans="2:10" x14ac:dyDescent="0.25">
      <c r="B129" s="443">
        <v>42552</v>
      </c>
      <c r="C129" s="447">
        <v>4500</v>
      </c>
      <c r="D129" s="486">
        <v>16.23</v>
      </c>
      <c r="E129" s="448">
        <v>12.5</v>
      </c>
      <c r="F129" s="448">
        <f t="shared" si="9"/>
        <v>-16785.000000000004</v>
      </c>
      <c r="G129" s="448">
        <f t="shared" si="10"/>
        <v>73035</v>
      </c>
      <c r="H129" s="487">
        <f t="shared" si="11"/>
        <v>-0.22982131854590268</v>
      </c>
      <c r="I129" s="448"/>
      <c r="J129" s="448"/>
    </row>
    <row r="130" spans="2:10" x14ac:dyDescent="0.25">
      <c r="B130" s="443">
        <v>42556</v>
      </c>
      <c r="C130" s="489">
        <v>5000</v>
      </c>
      <c r="D130" s="490">
        <v>15.7963</v>
      </c>
      <c r="E130" s="448">
        <v>11.91</v>
      </c>
      <c r="F130" s="448">
        <f t="shared" si="9"/>
        <v>-19431.5</v>
      </c>
      <c r="G130" s="448">
        <f t="shared" si="10"/>
        <v>78981.5</v>
      </c>
      <c r="H130" s="487">
        <f t="shared" si="11"/>
        <v>-0.24602596810645533</v>
      </c>
      <c r="I130" s="448">
        <v>15.6</v>
      </c>
      <c r="J130" s="448"/>
    </row>
    <row r="131" spans="2:10" x14ac:dyDescent="0.25">
      <c r="B131" s="443">
        <v>42557</v>
      </c>
      <c r="C131" s="447">
        <v>4500</v>
      </c>
      <c r="D131" s="486">
        <v>16.142600000000002</v>
      </c>
      <c r="E131" s="448">
        <v>12.2</v>
      </c>
      <c r="F131" s="448">
        <f t="shared" si="9"/>
        <v>-17741.700000000012</v>
      </c>
      <c r="G131" s="448">
        <f t="shared" si="10"/>
        <v>72641.700000000012</v>
      </c>
      <c r="H131" s="487">
        <f t="shared" si="11"/>
        <v>-0.24423574888803551</v>
      </c>
      <c r="I131" s="448"/>
      <c r="J131" s="448"/>
    </row>
    <row r="132" spans="2:10" x14ac:dyDescent="0.25">
      <c r="B132" s="443">
        <v>42559</v>
      </c>
      <c r="C132" s="447">
        <v>4500</v>
      </c>
      <c r="D132" s="486">
        <v>16.142600000000002</v>
      </c>
      <c r="E132" s="448">
        <v>12.62</v>
      </c>
      <c r="F132" s="448">
        <f t="shared" si="9"/>
        <v>-15851.700000000012</v>
      </c>
      <c r="G132" s="448">
        <f t="shared" si="10"/>
        <v>72641.700000000012</v>
      </c>
      <c r="H132" s="487">
        <f t="shared" si="11"/>
        <v>-0.21821763532516461</v>
      </c>
      <c r="I132" s="448"/>
      <c r="J132" s="448"/>
    </row>
    <row r="133" spans="2:10" x14ac:dyDescent="0.25">
      <c r="B133" s="443">
        <v>42562</v>
      </c>
      <c r="C133" s="447">
        <v>4500</v>
      </c>
      <c r="D133" s="486">
        <v>16.143000000000001</v>
      </c>
      <c r="E133" s="448">
        <v>12.64</v>
      </c>
      <c r="F133" s="448">
        <f t="shared" si="9"/>
        <v>-15763.5</v>
      </c>
      <c r="G133" s="448">
        <f t="shared" si="10"/>
        <v>72643.5</v>
      </c>
      <c r="H133" s="487">
        <f t="shared" si="11"/>
        <v>-0.21699807966301182</v>
      </c>
      <c r="I133" s="448"/>
      <c r="J133" s="448"/>
    </row>
    <row r="134" spans="2:10" x14ac:dyDescent="0.25">
      <c r="B134" s="443">
        <v>42572</v>
      </c>
      <c r="C134" s="447">
        <v>4500</v>
      </c>
      <c r="D134" s="486">
        <v>16.143000000000001</v>
      </c>
      <c r="E134" s="448">
        <v>13.18</v>
      </c>
      <c r="F134" s="448">
        <f t="shared" si="9"/>
        <v>-13333.500000000004</v>
      </c>
      <c r="G134" s="448">
        <f t="shared" si="10"/>
        <v>72643.5</v>
      </c>
      <c r="H134" s="487">
        <f t="shared" si="11"/>
        <v>-0.18354704825621018</v>
      </c>
      <c r="I134" s="448"/>
      <c r="J134" s="448"/>
    </row>
    <row r="135" spans="2:10" x14ac:dyDescent="0.25">
      <c r="B135" s="443">
        <v>42576</v>
      </c>
      <c r="C135" s="447">
        <v>4000</v>
      </c>
      <c r="D135" s="486">
        <v>16.433</v>
      </c>
      <c r="E135" s="448">
        <v>13.92</v>
      </c>
      <c r="F135" s="448">
        <f t="shared" si="9"/>
        <v>-10052</v>
      </c>
      <c r="G135" s="448">
        <f t="shared" si="10"/>
        <v>65732</v>
      </c>
      <c r="H135" s="487">
        <f t="shared" si="11"/>
        <v>-0.15292399440150917</v>
      </c>
      <c r="I135" s="448"/>
      <c r="J135" s="448"/>
    </row>
    <row r="136" spans="2:10" x14ac:dyDescent="0.25">
      <c r="B136" s="443">
        <v>42577</v>
      </c>
      <c r="C136" s="447">
        <v>3200</v>
      </c>
      <c r="D136" s="486">
        <v>16.935400000000001</v>
      </c>
      <c r="E136" s="448">
        <v>14.67</v>
      </c>
      <c r="F136" s="448">
        <f t="shared" si="9"/>
        <v>-7249.2800000000043</v>
      </c>
      <c r="G136" s="448">
        <f t="shared" si="10"/>
        <v>54193.280000000006</v>
      </c>
      <c r="H136" s="487">
        <f t="shared" si="11"/>
        <v>-0.1337671386563058</v>
      </c>
      <c r="I136" s="448"/>
      <c r="J136" s="448"/>
    </row>
    <row r="137" spans="2:10" x14ac:dyDescent="0.25">
      <c r="B137" s="443">
        <v>42578</v>
      </c>
      <c r="C137" s="447">
        <v>3400</v>
      </c>
      <c r="D137" s="486">
        <v>16.7698</v>
      </c>
      <c r="E137" s="448">
        <v>14.19</v>
      </c>
      <c r="F137" s="448">
        <f t="shared" si="9"/>
        <v>-8771.3200000000015</v>
      </c>
      <c r="G137" s="448">
        <f t="shared" si="10"/>
        <v>57017.32</v>
      </c>
      <c r="H137" s="487">
        <f t="shared" si="11"/>
        <v>-0.15383606244558673</v>
      </c>
      <c r="I137" s="448"/>
      <c r="J137" s="448"/>
    </row>
    <row r="138" spans="2:10" x14ac:dyDescent="0.25">
      <c r="B138" s="443">
        <v>42579</v>
      </c>
      <c r="C138" s="447">
        <v>4000</v>
      </c>
      <c r="D138" s="486">
        <v>16.327300000000001</v>
      </c>
      <c r="E138" s="448">
        <v>13.81</v>
      </c>
      <c r="F138" s="448">
        <f t="shared" si="9"/>
        <v>-10069.200000000003</v>
      </c>
      <c r="G138" s="448">
        <f t="shared" si="10"/>
        <v>65309.200000000004</v>
      </c>
      <c r="H138" s="487">
        <f t="shared" si="11"/>
        <v>-0.15417735939193869</v>
      </c>
      <c r="I138" s="448"/>
      <c r="J138" s="448"/>
    </row>
    <row r="139" spans="2:10" x14ac:dyDescent="0.25">
      <c r="B139" s="443">
        <v>42580</v>
      </c>
      <c r="C139" s="447">
        <v>4500</v>
      </c>
      <c r="D139" s="486">
        <v>16.026499999999999</v>
      </c>
      <c r="E139" s="448">
        <v>13.74</v>
      </c>
      <c r="F139" s="448">
        <f t="shared" si="9"/>
        <v>-10289.249999999993</v>
      </c>
      <c r="G139" s="448">
        <f t="shared" si="10"/>
        <v>72119.25</v>
      </c>
      <c r="H139" s="487">
        <f t="shared" si="11"/>
        <v>-0.14266995289052498</v>
      </c>
      <c r="I139" s="448"/>
      <c r="J139" s="448"/>
    </row>
    <row r="140" spans="2:10" x14ac:dyDescent="0.25">
      <c r="B140" s="443">
        <v>42585</v>
      </c>
      <c r="C140" s="447">
        <v>4700</v>
      </c>
      <c r="D140" s="486">
        <v>15.9011</v>
      </c>
      <c r="E140" s="448">
        <v>13.4</v>
      </c>
      <c r="F140" s="448">
        <f t="shared" si="9"/>
        <v>-11755.169999999996</v>
      </c>
      <c r="G140" s="448">
        <f t="shared" si="10"/>
        <v>74735.17</v>
      </c>
      <c r="H140" s="487">
        <f t="shared" si="11"/>
        <v>-0.15729100502480955</v>
      </c>
      <c r="I140" s="448"/>
      <c r="J140" s="448"/>
    </row>
    <row r="141" spans="2:10" x14ac:dyDescent="0.25">
      <c r="B141" s="443">
        <v>42586</v>
      </c>
      <c r="C141" s="447">
        <v>4500</v>
      </c>
      <c r="D141" s="486">
        <v>15.990399999999999</v>
      </c>
      <c r="E141" s="448">
        <v>14.03</v>
      </c>
      <c r="F141" s="448">
        <f t="shared" si="9"/>
        <v>-8821.7999999999993</v>
      </c>
      <c r="G141" s="448">
        <f t="shared" si="10"/>
        <v>71956.800000000003</v>
      </c>
      <c r="H141" s="487">
        <f t="shared" si="11"/>
        <v>-0.12259855913548129</v>
      </c>
      <c r="I141" s="448" t="s">
        <v>254</v>
      </c>
      <c r="J141" s="448"/>
    </row>
    <row r="142" spans="2:10" x14ac:dyDescent="0.25">
      <c r="B142" s="443">
        <v>42587</v>
      </c>
      <c r="C142" s="447">
        <v>4000</v>
      </c>
      <c r="D142" s="486">
        <v>16.158000000000001</v>
      </c>
      <c r="E142" s="448">
        <v>14.52</v>
      </c>
      <c r="F142" s="448">
        <f t="shared" si="9"/>
        <v>-6552.0000000000064</v>
      </c>
      <c r="G142" s="448">
        <f t="shared" si="10"/>
        <v>64632.000000000007</v>
      </c>
      <c r="H142" s="487">
        <f t="shared" si="11"/>
        <v>-0.10137393241737848</v>
      </c>
      <c r="I142" s="448">
        <v>16</v>
      </c>
      <c r="J142" s="448"/>
    </row>
    <row r="143" spans="2:10" x14ac:dyDescent="0.25">
      <c r="B143" s="443">
        <v>42593</v>
      </c>
      <c r="C143" s="447">
        <v>4000</v>
      </c>
      <c r="D143" s="486">
        <v>16.158000000000001</v>
      </c>
      <c r="E143" s="448">
        <v>14.2</v>
      </c>
      <c r="F143" s="448">
        <f t="shared" si="9"/>
        <v>-7832.0000000000082</v>
      </c>
      <c r="G143" s="448">
        <f t="shared" si="10"/>
        <v>64632.000000000007</v>
      </c>
      <c r="H143" s="487">
        <f t="shared" si="11"/>
        <v>-0.12117836365886879</v>
      </c>
      <c r="I143" s="448"/>
      <c r="J143" s="448"/>
    </row>
    <row r="144" spans="2:10" x14ac:dyDescent="0.25">
      <c r="B144" s="443">
        <v>42597</v>
      </c>
      <c r="C144" s="447">
        <v>2000</v>
      </c>
      <c r="D144" s="486">
        <v>17.3687</v>
      </c>
      <c r="E144" s="448">
        <v>15.53</v>
      </c>
      <c r="F144" s="448">
        <f t="shared" si="9"/>
        <v>-3677.4000000000024</v>
      </c>
      <c r="G144" s="448">
        <f t="shared" si="10"/>
        <v>34737.4</v>
      </c>
      <c r="H144" s="487">
        <f t="shared" si="11"/>
        <v>-0.10586284523309177</v>
      </c>
      <c r="I144" s="448">
        <v>17</v>
      </c>
      <c r="J144" s="448"/>
    </row>
    <row r="145" spans="2:10" x14ac:dyDescent="0.25">
      <c r="B145" s="443">
        <v>42599</v>
      </c>
      <c r="C145" s="447">
        <v>2000</v>
      </c>
      <c r="D145" s="486">
        <v>17.331299999999999</v>
      </c>
      <c r="E145" s="448">
        <v>15.52</v>
      </c>
      <c r="F145" s="448">
        <f t="shared" si="9"/>
        <v>-3622.5999999999985</v>
      </c>
      <c r="G145" s="448">
        <f t="shared" si="10"/>
        <v>34662.6</v>
      </c>
      <c r="H145" s="487">
        <f t="shared" si="11"/>
        <v>-0.10451033678950797</v>
      </c>
      <c r="I145" s="448"/>
      <c r="J145" s="448"/>
    </row>
    <row r="146" spans="2:10" x14ac:dyDescent="0.25">
      <c r="B146" s="443">
        <v>42600</v>
      </c>
      <c r="C146" s="447">
        <v>2000</v>
      </c>
      <c r="D146" s="486">
        <v>17.331299999999999</v>
      </c>
      <c r="E146" s="448">
        <v>15.77</v>
      </c>
      <c r="F146" s="448">
        <f t="shared" si="9"/>
        <v>-3122.5999999999985</v>
      </c>
      <c r="G146" s="448">
        <f t="shared" si="10"/>
        <v>34662.6</v>
      </c>
      <c r="H146" s="487">
        <f t="shared" si="11"/>
        <v>-9.0085567730060601E-2</v>
      </c>
      <c r="I146" s="448"/>
      <c r="J146" s="448"/>
    </row>
    <row r="147" spans="2:10" x14ac:dyDescent="0.25">
      <c r="B147" s="443">
        <v>42601</v>
      </c>
      <c r="C147" s="447">
        <v>2000</v>
      </c>
      <c r="D147" s="486">
        <v>17.331299999999999</v>
      </c>
      <c r="E147" s="448">
        <v>16.25</v>
      </c>
      <c r="F147" s="448">
        <f t="shared" si="9"/>
        <v>-2162.5999999999976</v>
      </c>
      <c r="G147" s="448">
        <f t="shared" si="10"/>
        <v>34662.6</v>
      </c>
      <c r="H147" s="487">
        <f t="shared" si="11"/>
        <v>-6.2390011135921651E-2</v>
      </c>
      <c r="I147" s="448"/>
      <c r="J147" s="448"/>
    </row>
    <row r="148" spans="2:10" x14ac:dyDescent="0.25">
      <c r="B148" s="443">
        <v>42604</v>
      </c>
      <c r="C148" s="447">
        <v>2000</v>
      </c>
      <c r="D148" s="486">
        <v>17.331299999999999</v>
      </c>
      <c r="E148" s="448">
        <v>16.190000000000001</v>
      </c>
      <c r="F148" s="448">
        <f t="shared" si="9"/>
        <v>-2282.5999999999949</v>
      </c>
      <c r="G148" s="448">
        <f t="shared" si="10"/>
        <v>34662.6</v>
      </c>
      <c r="H148" s="487">
        <f t="shared" si="11"/>
        <v>-6.5851955710188939E-2</v>
      </c>
      <c r="I148" s="448"/>
      <c r="J148" s="448"/>
    </row>
    <row r="149" spans="2:10" x14ac:dyDescent="0.25">
      <c r="B149" s="443">
        <v>42607</v>
      </c>
      <c r="C149" s="447">
        <v>2000</v>
      </c>
      <c r="D149" s="486">
        <v>17.331299999999999</v>
      </c>
      <c r="E149" s="448">
        <v>16.2</v>
      </c>
      <c r="F149" s="448">
        <f t="shared" si="9"/>
        <v>-2262.599999999999</v>
      </c>
      <c r="G149" s="448">
        <f t="shared" si="10"/>
        <v>34662.6</v>
      </c>
      <c r="H149" s="487">
        <f t="shared" si="11"/>
        <v>-6.5274964947811168E-2</v>
      </c>
      <c r="I149" s="448"/>
      <c r="J149" s="448"/>
    </row>
    <row r="150" spans="2:10" x14ac:dyDescent="0.25">
      <c r="B150" s="443">
        <v>42609</v>
      </c>
      <c r="C150" s="447">
        <v>2000</v>
      </c>
      <c r="D150" s="486">
        <v>17.331299999999999</v>
      </c>
      <c r="E150" s="448">
        <v>16.91</v>
      </c>
      <c r="F150" s="448">
        <f t="shared" si="9"/>
        <v>-842.59999999999741</v>
      </c>
      <c r="G150" s="448">
        <f t="shared" si="10"/>
        <v>34662.6</v>
      </c>
      <c r="H150" s="487">
        <f t="shared" si="11"/>
        <v>-2.4308620818980612E-2</v>
      </c>
      <c r="I150" s="448"/>
      <c r="J150" s="448"/>
    </row>
    <row r="151" spans="2:10" x14ac:dyDescent="0.25">
      <c r="B151" s="443">
        <v>42612</v>
      </c>
      <c r="C151" s="447">
        <v>2000</v>
      </c>
      <c r="D151" s="486">
        <v>17.331299999999999</v>
      </c>
      <c r="E151" s="448">
        <v>16.739999999999998</v>
      </c>
      <c r="F151" s="448">
        <f t="shared" si="9"/>
        <v>-1182.6000000000008</v>
      </c>
      <c r="G151" s="448">
        <f t="shared" si="10"/>
        <v>34662.6</v>
      </c>
      <c r="H151" s="487">
        <f t="shared" si="11"/>
        <v>-3.4117463779404916E-2</v>
      </c>
      <c r="I151" s="448"/>
      <c r="J151" s="448"/>
    </row>
    <row r="152" spans="2:10" x14ac:dyDescent="0.25">
      <c r="B152" s="443">
        <v>42615</v>
      </c>
      <c r="C152" s="447">
        <v>2000</v>
      </c>
      <c r="D152" s="486">
        <v>17.331299999999999</v>
      </c>
      <c r="E152" s="448">
        <v>16.7</v>
      </c>
      <c r="F152" s="448">
        <f t="shared" si="9"/>
        <v>-1262.599999999999</v>
      </c>
      <c r="G152" s="448">
        <f t="shared" si="10"/>
        <v>34662.6</v>
      </c>
      <c r="H152" s="487">
        <f t="shared" si="11"/>
        <v>-3.6425426828916446E-2</v>
      </c>
      <c r="I152" s="448"/>
      <c r="J152" s="448"/>
    </row>
    <row r="153" spans="2:10" x14ac:dyDescent="0.25">
      <c r="B153" s="443">
        <v>42619</v>
      </c>
      <c r="C153" s="447">
        <v>2000</v>
      </c>
      <c r="D153" s="486">
        <v>17.273900000000001</v>
      </c>
      <c r="E153" s="448">
        <v>17.010000000000002</v>
      </c>
      <c r="F153" s="448">
        <f t="shared" si="9"/>
        <v>-527.79999999999916</v>
      </c>
      <c r="G153" s="448">
        <f t="shared" si="10"/>
        <v>34547.800000000003</v>
      </c>
      <c r="H153" s="487">
        <f t="shared" si="11"/>
        <v>-1.5277383798678906E-2</v>
      </c>
      <c r="I153" s="448">
        <v>17</v>
      </c>
      <c r="J153" s="448"/>
    </row>
    <row r="154" spans="2:10" x14ac:dyDescent="0.25">
      <c r="B154" s="443">
        <v>42620</v>
      </c>
      <c r="C154" s="447">
        <v>2000</v>
      </c>
      <c r="D154" s="486">
        <v>17.234000000000002</v>
      </c>
      <c r="E154" s="448">
        <v>17.16</v>
      </c>
      <c r="F154" s="448">
        <f t="shared" si="9"/>
        <v>-148.00000000000324</v>
      </c>
      <c r="G154" s="448">
        <f t="shared" si="10"/>
        <v>34468</v>
      </c>
      <c r="H154" s="487">
        <f t="shared" si="11"/>
        <v>-4.2938377625624706E-3</v>
      </c>
      <c r="I154" s="448">
        <v>17</v>
      </c>
      <c r="J154" s="448"/>
    </row>
    <row r="155" spans="2:10" x14ac:dyDescent="0.25">
      <c r="B155" s="443">
        <v>42621</v>
      </c>
      <c r="C155" s="447">
        <v>1500</v>
      </c>
      <c r="D155" s="486">
        <v>17.168800000000001</v>
      </c>
      <c r="E155" s="448">
        <v>17.45</v>
      </c>
      <c r="F155" s="448">
        <f t="shared" si="9"/>
        <v>421.79999999999751</v>
      </c>
      <c r="G155" s="448">
        <f t="shared" si="10"/>
        <v>25753.200000000001</v>
      </c>
      <c r="H155" s="487">
        <f t="shared" si="11"/>
        <v>1.6378547132006798E-2</v>
      </c>
      <c r="I155" s="448"/>
      <c r="J155" s="448"/>
    </row>
    <row r="156" spans="2:10" x14ac:dyDescent="0.25">
      <c r="B156" s="443">
        <v>42622</v>
      </c>
      <c r="C156" s="447">
        <v>2000</v>
      </c>
      <c r="D156" s="486">
        <v>17.137899999999998</v>
      </c>
      <c r="E156" s="448">
        <v>16.809999999999999</v>
      </c>
      <c r="F156" s="448">
        <f t="shared" si="9"/>
        <v>-655.79999999999927</v>
      </c>
      <c r="G156" s="448">
        <f t="shared" si="10"/>
        <v>34275.799999999996</v>
      </c>
      <c r="H156" s="487">
        <f t="shared" si="11"/>
        <v>-1.9133032635270348E-2</v>
      </c>
      <c r="I156" s="448">
        <v>17</v>
      </c>
      <c r="J156" s="448"/>
    </row>
    <row r="157" spans="2:10" x14ac:dyDescent="0.25">
      <c r="B157" s="443">
        <v>42625</v>
      </c>
      <c r="C157" s="447">
        <v>2000</v>
      </c>
      <c r="D157" s="486">
        <v>17.137899999999998</v>
      </c>
      <c r="E157" s="448">
        <v>17.149999999999999</v>
      </c>
      <c r="F157" s="448">
        <f t="shared" si="9"/>
        <v>24.200000000000443</v>
      </c>
      <c r="G157" s="448">
        <f t="shared" si="10"/>
        <v>34275.799999999996</v>
      </c>
      <c r="H157" s="487">
        <f t="shared" si="11"/>
        <v>7.0603749584256077E-4</v>
      </c>
      <c r="I157" s="448"/>
      <c r="J157" s="448"/>
    </row>
    <row r="158" spans="2:10" x14ac:dyDescent="0.25">
      <c r="B158" s="443">
        <v>42626</v>
      </c>
      <c r="C158" s="447">
        <v>2100</v>
      </c>
      <c r="D158" s="486">
        <v>17.1065</v>
      </c>
      <c r="E158" s="448">
        <v>16.75</v>
      </c>
      <c r="F158" s="448">
        <f t="shared" si="9"/>
        <v>-748.650000000001</v>
      </c>
      <c r="G158" s="448">
        <f t="shared" si="10"/>
        <v>35923.65</v>
      </c>
      <c r="H158" s="487">
        <f t="shared" si="11"/>
        <v>-2.0840031566948265E-2</v>
      </c>
      <c r="I158" s="448"/>
      <c r="J158" s="448"/>
    </row>
    <row r="159" spans="2:10" x14ac:dyDescent="0.25">
      <c r="B159" s="443">
        <v>42627</v>
      </c>
      <c r="C159" s="447">
        <v>2100</v>
      </c>
      <c r="D159" s="486">
        <v>17.1065</v>
      </c>
      <c r="E159" s="448">
        <v>16.93</v>
      </c>
      <c r="F159" s="448">
        <f t="shared" si="9"/>
        <v>-370.65000000000163</v>
      </c>
      <c r="G159" s="448">
        <f t="shared" si="10"/>
        <v>35923.65</v>
      </c>
      <c r="H159" s="487">
        <f t="shared" si="11"/>
        <v>-1.0317715488264739E-2</v>
      </c>
      <c r="I159" s="448"/>
      <c r="J159" s="448"/>
    </row>
    <row r="160" spans="2:10" x14ac:dyDescent="0.25">
      <c r="B160" s="443">
        <v>42628</v>
      </c>
      <c r="C160" s="447">
        <v>2100</v>
      </c>
      <c r="D160" s="486">
        <v>17.1065</v>
      </c>
      <c r="E160" s="448">
        <v>17.45</v>
      </c>
      <c r="F160" s="448">
        <f t="shared" si="9"/>
        <v>721.34999999999752</v>
      </c>
      <c r="G160" s="448">
        <f t="shared" si="10"/>
        <v>35923.65</v>
      </c>
      <c r="H160" s="487">
        <f t="shared" si="11"/>
        <v>2.008008651682102E-2</v>
      </c>
      <c r="I160" s="448"/>
      <c r="J160" s="448"/>
    </row>
    <row r="161" spans="2:10" x14ac:dyDescent="0.25">
      <c r="B161" s="443">
        <v>42629</v>
      </c>
      <c r="C161" s="447">
        <v>2100</v>
      </c>
      <c r="D161" s="486">
        <v>17.1065</v>
      </c>
      <c r="E161" s="448">
        <v>17.48</v>
      </c>
      <c r="F161" s="448">
        <f t="shared" si="9"/>
        <v>784.34999999999991</v>
      </c>
      <c r="G161" s="448">
        <f t="shared" si="10"/>
        <v>35923.65</v>
      </c>
      <c r="H161" s="487">
        <f t="shared" si="11"/>
        <v>2.1833805863268343E-2</v>
      </c>
      <c r="I161" s="448"/>
      <c r="J161" s="448"/>
    </row>
    <row r="162" spans="2:10" x14ac:dyDescent="0.25">
      <c r="B162" s="443">
        <v>42632</v>
      </c>
      <c r="C162" s="447">
        <v>2100</v>
      </c>
      <c r="D162" s="486">
        <v>17.106529999999999</v>
      </c>
      <c r="E162" s="448">
        <v>16.95</v>
      </c>
      <c r="F162" s="448">
        <f t="shared" si="9"/>
        <v>-328.71300000000014</v>
      </c>
      <c r="G162" s="448">
        <f t="shared" si="10"/>
        <v>35923.712999999996</v>
      </c>
      <c r="H162" s="487">
        <f t="shared" si="11"/>
        <v>-9.150306929576019E-3</v>
      </c>
      <c r="I162" s="448"/>
      <c r="J162" s="448"/>
    </row>
    <row r="163" spans="2:10" x14ac:dyDescent="0.25">
      <c r="B163" s="443">
        <v>42634</v>
      </c>
      <c r="C163" s="447">
        <v>1600</v>
      </c>
      <c r="D163" s="486">
        <v>16.943059999999999</v>
      </c>
      <c r="E163" s="448">
        <v>17.66</v>
      </c>
      <c r="F163" s="448">
        <f t="shared" si="9"/>
        <v>1147.1040000000016</v>
      </c>
      <c r="G163" s="448">
        <f t="shared" si="10"/>
        <v>27108.895999999997</v>
      </c>
      <c r="H163" s="487">
        <f t="shared" si="11"/>
        <v>4.2314670431433346E-2</v>
      </c>
      <c r="I163" s="448"/>
      <c r="J163" s="448"/>
    </row>
    <row r="164" spans="2:10" x14ac:dyDescent="0.25">
      <c r="B164" s="443">
        <v>42635</v>
      </c>
      <c r="C164" s="447">
        <v>1600</v>
      </c>
      <c r="D164" s="486">
        <v>16.943059999999999</v>
      </c>
      <c r="E164" s="448">
        <v>17.59</v>
      </c>
      <c r="F164" s="448">
        <f t="shared" si="9"/>
        <v>1035.1040000000012</v>
      </c>
      <c r="G164" s="448">
        <f t="shared" si="10"/>
        <v>27108.895999999997</v>
      </c>
      <c r="H164" s="487">
        <f t="shared" si="11"/>
        <v>3.8183185327797978E-2</v>
      </c>
      <c r="I164" s="448"/>
      <c r="J164" s="448"/>
    </row>
    <row r="165" spans="2:10" x14ac:dyDescent="0.25">
      <c r="B165" s="443">
        <v>42640</v>
      </c>
      <c r="C165" s="447">
        <v>1600</v>
      </c>
      <c r="D165" s="486">
        <v>16.943059999999999</v>
      </c>
      <c r="E165" s="448">
        <v>18</v>
      </c>
      <c r="F165" s="448">
        <f t="shared" si="9"/>
        <v>1691.1040000000014</v>
      </c>
      <c r="G165" s="448">
        <f t="shared" si="10"/>
        <v>27108.895999999997</v>
      </c>
      <c r="H165" s="487">
        <f t="shared" si="11"/>
        <v>6.2381883791947909E-2</v>
      </c>
      <c r="I165" s="448"/>
      <c r="J165" s="448"/>
    </row>
    <row r="166" spans="2:10" x14ac:dyDescent="0.25">
      <c r="B166" s="443">
        <v>42641</v>
      </c>
      <c r="C166" s="447">
        <v>1800</v>
      </c>
      <c r="D166" s="486">
        <v>16.979289999999999</v>
      </c>
      <c r="E166" s="448">
        <v>17.440000000000001</v>
      </c>
      <c r="F166" s="448">
        <f t="shared" si="9"/>
        <v>829.27800000000434</v>
      </c>
      <c r="G166" s="448">
        <f t="shared" si="10"/>
        <v>30562.721999999998</v>
      </c>
      <c r="H166" s="487">
        <f t="shared" si="11"/>
        <v>2.71336433973389E-2</v>
      </c>
      <c r="I166" s="448"/>
      <c r="J166" s="448"/>
    </row>
    <row r="167" spans="2:10" x14ac:dyDescent="0.25">
      <c r="B167" s="443">
        <v>42643</v>
      </c>
      <c r="C167" s="447">
        <v>1800</v>
      </c>
      <c r="D167" s="486">
        <v>16.979289999999999</v>
      </c>
      <c r="E167" s="448">
        <v>17.78</v>
      </c>
      <c r="F167" s="448">
        <f t="shared" si="9"/>
        <v>1441.2780000000041</v>
      </c>
      <c r="G167" s="448">
        <f t="shared" si="10"/>
        <v>30562.721999999998</v>
      </c>
      <c r="H167" s="487">
        <f t="shared" si="11"/>
        <v>4.7158037821369583E-2</v>
      </c>
      <c r="I167" s="448"/>
      <c r="J167" s="448"/>
    </row>
    <row r="168" spans="2:10" x14ac:dyDescent="0.25">
      <c r="B168" s="443">
        <v>42647</v>
      </c>
      <c r="C168" s="447">
        <v>2000</v>
      </c>
      <c r="D168" s="486">
        <v>16.989360000000001</v>
      </c>
      <c r="E168" s="448">
        <v>17.8</v>
      </c>
      <c r="F168" s="448">
        <f t="shared" si="9"/>
        <v>1621.2799999999988</v>
      </c>
      <c r="G168" s="448">
        <f t="shared" si="10"/>
        <v>33978.720000000001</v>
      </c>
      <c r="H168" s="487">
        <f t="shared" si="11"/>
        <v>4.7714569589437116E-2</v>
      </c>
      <c r="I168" s="491" t="s">
        <v>280</v>
      </c>
      <c r="J168" s="491" t="s">
        <v>278</v>
      </c>
    </row>
    <row r="169" spans="2:10" x14ac:dyDescent="0.25">
      <c r="B169" s="443">
        <v>42648</v>
      </c>
      <c r="C169" s="447">
        <v>2000</v>
      </c>
      <c r="D169" s="486">
        <v>16.989360000000001</v>
      </c>
      <c r="E169" s="448">
        <v>17.7</v>
      </c>
      <c r="F169" s="448">
        <f t="shared" si="9"/>
        <v>1421.2799999999959</v>
      </c>
      <c r="G169" s="448">
        <f t="shared" si="10"/>
        <v>33978.720000000001</v>
      </c>
      <c r="H169" s="487">
        <f t="shared" si="11"/>
        <v>4.1828532681631204E-2</v>
      </c>
      <c r="I169" s="448"/>
      <c r="J169" s="448"/>
    </row>
    <row r="170" spans="2:10" x14ac:dyDescent="0.25">
      <c r="B170" s="443">
        <v>42661</v>
      </c>
      <c r="C170" s="447">
        <v>2200</v>
      </c>
      <c r="D170" s="486">
        <v>16.96123</v>
      </c>
      <c r="E170" s="448">
        <v>17.41</v>
      </c>
      <c r="F170" s="448">
        <f t="shared" si="9"/>
        <v>987.2939999999993</v>
      </c>
      <c r="G170" s="448">
        <f t="shared" si="10"/>
        <v>37314.705999999998</v>
      </c>
      <c r="H170" s="487">
        <f t="shared" si="11"/>
        <v>2.6458576412205934E-2</v>
      </c>
      <c r="I170" s="448"/>
      <c r="J170" s="448"/>
    </row>
    <row r="171" spans="2:10" x14ac:dyDescent="0.25">
      <c r="B171" s="443">
        <v>42662</v>
      </c>
      <c r="C171" s="447">
        <v>2000</v>
      </c>
      <c r="D171" s="486">
        <v>16.933399999999999</v>
      </c>
      <c r="E171" s="448">
        <v>17.215</v>
      </c>
      <c r="F171" s="448">
        <f t="shared" si="9"/>
        <v>563.20000000000186</v>
      </c>
      <c r="G171" s="448">
        <f t="shared" si="10"/>
        <v>33866.799999999996</v>
      </c>
      <c r="H171" s="487">
        <f t="shared" si="11"/>
        <v>1.6629855787969397E-2</v>
      </c>
      <c r="I171" s="491">
        <v>16.8</v>
      </c>
      <c r="J171" s="448"/>
    </row>
    <row r="172" spans="2:10" x14ac:dyDescent="0.25">
      <c r="B172" s="443">
        <v>42664</v>
      </c>
      <c r="C172" s="447">
        <v>2000</v>
      </c>
      <c r="D172" s="486">
        <v>16.933399999999999</v>
      </c>
      <c r="E172" s="448">
        <v>16.940000000000001</v>
      </c>
      <c r="F172" s="448">
        <f t="shared" ref="F172:F177" si="12">-C172*(D172-E172)</f>
        <v>13.200000000004763</v>
      </c>
      <c r="G172" s="448">
        <f t="shared" ref="G172:G177" si="13">IF(C172=0, 0,D172*C172)</f>
        <v>33866.799999999996</v>
      </c>
      <c r="H172" s="487">
        <f t="shared" ref="H172:H177" si="14">IF(C172=0, D172, (E172-D172)/D172)</f>
        <v>3.8976224503067206E-4</v>
      </c>
      <c r="I172" s="448"/>
      <c r="J172" s="448"/>
    </row>
    <row r="173" spans="2:10" x14ac:dyDescent="0.25">
      <c r="B173" s="443">
        <v>42668</v>
      </c>
      <c r="C173" s="447">
        <v>1800</v>
      </c>
      <c r="D173" s="486">
        <v>16.864930000000001</v>
      </c>
      <c r="E173" s="448">
        <v>17.54</v>
      </c>
      <c r="F173" s="448">
        <f t="shared" si="12"/>
        <v>1215.1259999999966</v>
      </c>
      <c r="G173" s="448">
        <f t="shared" si="13"/>
        <v>30356.874000000003</v>
      </c>
      <c r="H173" s="487">
        <f t="shared" si="14"/>
        <v>4.0028034507110198E-2</v>
      </c>
      <c r="I173" s="448"/>
      <c r="J173" s="448"/>
    </row>
    <row r="174" spans="2:10" x14ac:dyDescent="0.25">
      <c r="B174" s="443">
        <v>42669</v>
      </c>
      <c r="C174" s="447">
        <v>1000</v>
      </c>
      <c r="D174" s="486">
        <v>16.149180000000001</v>
      </c>
      <c r="E174" s="448">
        <v>17.64</v>
      </c>
      <c r="F174" s="448">
        <f t="shared" si="12"/>
        <v>1490.8199999999993</v>
      </c>
      <c r="G174" s="448">
        <f t="shared" si="13"/>
        <v>16149.18</v>
      </c>
      <c r="H174" s="487">
        <f t="shared" si="14"/>
        <v>9.2315523141113007E-2</v>
      </c>
      <c r="I174" s="448"/>
      <c r="J174" s="448"/>
    </row>
    <row r="175" spans="2:10" x14ac:dyDescent="0.25">
      <c r="B175" s="443">
        <v>42670</v>
      </c>
      <c r="C175" s="447">
        <v>1800</v>
      </c>
      <c r="D175" s="486">
        <v>16.753990000000002</v>
      </c>
      <c r="E175" s="448">
        <v>17.53</v>
      </c>
      <c r="F175" s="448">
        <f t="shared" si="12"/>
        <v>1396.8179999999988</v>
      </c>
      <c r="G175" s="448">
        <f t="shared" si="13"/>
        <v>30157.182000000004</v>
      </c>
      <c r="H175" s="487">
        <f t="shared" si="14"/>
        <v>4.6317921880101358E-2</v>
      </c>
      <c r="I175" s="448"/>
      <c r="J175" s="448"/>
    </row>
    <row r="176" spans="2:10" x14ac:dyDescent="0.25">
      <c r="B176" s="443">
        <v>42670</v>
      </c>
      <c r="C176" s="447">
        <v>2000</v>
      </c>
      <c r="D176" s="486">
        <v>16.820589999999999</v>
      </c>
      <c r="E176" s="448">
        <v>17.53</v>
      </c>
      <c r="F176" s="448">
        <f t="shared" si="12"/>
        <v>1418.8200000000038</v>
      </c>
      <c r="G176" s="448">
        <f t="shared" si="13"/>
        <v>33641.18</v>
      </c>
      <c r="H176" s="487">
        <f t="shared" si="14"/>
        <v>4.2175096117318234E-2</v>
      </c>
      <c r="I176" s="491">
        <v>16.8</v>
      </c>
      <c r="J176" s="448"/>
    </row>
    <row r="177" spans="2:17" x14ac:dyDescent="0.25">
      <c r="B177" s="443">
        <v>42671</v>
      </c>
      <c r="C177" s="447">
        <v>2000</v>
      </c>
      <c r="D177" s="486">
        <v>16.752666999999999</v>
      </c>
      <c r="E177" s="448">
        <v>17.2</v>
      </c>
      <c r="F177" s="448">
        <f t="shared" si="12"/>
        <v>894.66600000000085</v>
      </c>
      <c r="G177" s="448">
        <f t="shared" si="13"/>
        <v>33505.333999999995</v>
      </c>
      <c r="H177" s="487">
        <f t="shared" si="14"/>
        <v>2.6702196133905155E-2</v>
      </c>
      <c r="I177" s="491" t="s">
        <v>285</v>
      </c>
      <c r="J177" s="448"/>
    </row>
    <row r="178" spans="2:17" x14ac:dyDescent="0.25">
      <c r="B178" s="443">
        <v>42672</v>
      </c>
      <c r="C178" s="447">
        <v>2000</v>
      </c>
      <c r="D178" s="486">
        <v>16.752666999999999</v>
      </c>
      <c r="E178" s="448">
        <v>17.16</v>
      </c>
      <c r="F178" s="448">
        <f>-C178*(D178-E178)</f>
        <v>814.66600000000255</v>
      </c>
      <c r="G178" s="448">
        <f>IF(C178=0, 0,D178*C178)</f>
        <v>33505.333999999995</v>
      </c>
      <c r="H178" s="487">
        <f>IF(C178=0, D178, (E178-D178)/D178)</f>
        <v>2.4314516608012402E-2</v>
      </c>
      <c r="I178" s="491" t="s">
        <v>285</v>
      </c>
      <c r="J178" s="448"/>
    </row>
    <row r="179" spans="2:17" x14ac:dyDescent="0.25">
      <c r="B179" s="443">
        <v>42675</v>
      </c>
      <c r="C179" s="447">
        <v>2000</v>
      </c>
      <c r="D179" s="486">
        <v>16.742699999999999</v>
      </c>
      <c r="E179" s="448">
        <v>17.2</v>
      </c>
      <c r="F179" s="448">
        <f>-C179*(D179-E179)</f>
        <v>914.60000000000014</v>
      </c>
      <c r="G179" s="448">
        <f>IF(C179=0, 0,D179*C179)</f>
        <v>33485.4</v>
      </c>
      <c r="H179" s="487">
        <f>IF(C179=0, D179, (E179-D179)/D179)</f>
        <v>2.731339628614262E-2</v>
      </c>
      <c r="I179" s="491" t="s">
        <v>285</v>
      </c>
      <c r="J179" s="448"/>
    </row>
    <row r="180" spans="2:17" x14ac:dyDescent="0.25">
      <c r="B180" s="443">
        <v>42676</v>
      </c>
      <c r="C180" s="447">
        <v>2000</v>
      </c>
      <c r="D180" s="486">
        <v>16.742699999999999</v>
      </c>
      <c r="E180" s="448">
        <v>16.675000000000001</v>
      </c>
      <c r="F180" s="448">
        <f t="shared" ref="F180:F191" si="15">-C180*(D180-E180)</f>
        <v>-135.39999999999708</v>
      </c>
      <c r="G180" s="448">
        <f t="shared" ref="G180:G191" si="16">IF(C180=0, 0,D180*C180)</f>
        <v>33485.4</v>
      </c>
      <c r="H180" s="487">
        <f t="shared" ref="H180:H191" si="17">IF(C180=0, D180, (E180-D180)/D180)</f>
        <v>-4.0435533098006019E-3</v>
      </c>
      <c r="I180" s="448"/>
      <c r="J180" s="448"/>
    </row>
    <row r="181" spans="2:17" x14ac:dyDescent="0.25">
      <c r="B181" s="443">
        <v>42678</v>
      </c>
      <c r="C181" s="447">
        <v>2000</v>
      </c>
      <c r="D181" s="486">
        <v>16.7227</v>
      </c>
      <c r="E181" s="448">
        <v>16.68</v>
      </c>
      <c r="F181" s="448">
        <f t="shared" si="15"/>
        <v>-85.39999999999992</v>
      </c>
      <c r="G181" s="448">
        <f t="shared" si="16"/>
        <v>33445.4</v>
      </c>
      <c r="H181" s="487">
        <f t="shared" si="17"/>
        <v>-2.5534154173668102E-3</v>
      </c>
      <c r="I181" s="491" t="s">
        <v>285</v>
      </c>
      <c r="J181" s="448"/>
    </row>
    <row r="182" spans="2:17" x14ac:dyDescent="0.25">
      <c r="B182" s="443">
        <v>42701</v>
      </c>
      <c r="C182" s="447">
        <v>1800</v>
      </c>
      <c r="D182" s="486">
        <v>16.627528999999999</v>
      </c>
      <c r="E182" s="448">
        <v>20.13</v>
      </c>
      <c r="F182" s="448">
        <f t="shared" si="15"/>
        <v>6304.4477999999999</v>
      </c>
      <c r="G182" s="448">
        <f t="shared" si="16"/>
        <v>29929.552199999998</v>
      </c>
      <c r="H182" s="487">
        <f t="shared" si="17"/>
        <v>0.21064290430646671</v>
      </c>
      <c r="I182" s="448"/>
      <c r="J182" s="448"/>
    </row>
    <row r="183" spans="2:17" x14ac:dyDescent="0.25">
      <c r="B183" s="443">
        <v>42702</v>
      </c>
      <c r="C183" s="447">
        <v>1650</v>
      </c>
      <c r="D183" s="486">
        <v>16.310980000000001</v>
      </c>
      <c r="E183" s="448">
        <v>20.059999999999999</v>
      </c>
      <c r="F183" s="448">
        <f t="shared" si="15"/>
        <v>6185.8829999999971</v>
      </c>
      <c r="G183" s="448">
        <f t="shared" si="16"/>
        <v>26913.117000000002</v>
      </c>
      <c r="H183" s="487">
        <f t="shared" si="17"/>
        <v>0.22984639794788528</v>
      </c>
      <c r="I183" s="448"/>
      <c r="J183" s="448"/>
    </row>
    <row r="184" spans="2:17" x14ac:dyDescent="0.25">
      <c r="B184" s="443">
        <v>42705</v>
      </c>
      <c r="C184" s="447">
        <v>1800</v>
      </c>
      <c r="D184" s="486">
        <v>16.541699999999999</v>
      </c>
      <c r="E184" s="448">
        <v>18.48</v>
      </c>
      <c r="F184" s="448">
        <f t="shared" si="15"/>
        <v>3488.9400000000032</v>
      </c>
      <c r="G184" s="448">
        <f t="shared" si="16"/>
        <v>29775.059999999998</v>
      </c>
      <c r="H184" s="487">
        <f t="shared" si="17"/>
        <v>0.11717659007236268</v>
      </c>
      <c r="I184" s="448"/>
      <c r="J184" s="448"/>
    </row>
    <row r="185" spans="2:17" x14ac:dyDescent="0.25">
      <c r="B185" s="443">
        <v>42705</v>
      </c>
      <c r="C185" s="447">
        <v>2000</v>
      </c>
      <c r="D185" s="486">
        <v>16.707599999999999</v>
      </c>
      <c r="E185" s="448">
        <v>18.48</v>
      </c>
      <c r="F185" s="448">
        <f t="shared" si="15"/>
        <v>3544.800000000002</v>
      </c>
      <c r="G185" s="448">
        <f t="shared" si="16"/>
        <v>33415.199999999997</v>
      </c>
      <c r="H185" s="487">
        <f t="shared" si="17"/>
        <v>0.10608345902463556</v>
      </c>
      <c r="I185" s="491">
        <v>16.48</v>
      </c>
      <c r="J185" s="448"/>
    </row>
    <row r="186" spans="2:17" x14ac:dyDescent="0.25">
      <c r="B186" s="443">
        <v>42706</v>
      </c>
      <c r="C186" s="447">
        <v>1800</v>
      </c>
      <c r="D186" s="486">
        <v>16.476199999999999</v>
      </c>
      <c r="E186" s="448">
        <v>18.79</v>
      </c>
      <c r="F186" s="448">
        <f t="shared" si="15"/>
        <v>4164.8400000000011</v>
      </c>
      <c r="G186" s="448">
        <f t="shared" si="16"/>
        <v>29657.159999999996</v>
      </c>
      <c r="H186" s="487">
        <f t="shared" si="17"/>
        <v>0.14043286680181113</v>
      </c>
      <c r="I186" s="448"/>
      <c r="J186" s="448"/>
    </row>
    <row r="187" spans="2:17" x14ac:dyDescent="0.25">
      <c r="B187" s="443">
        <v>42710</v>
      </c>
      <c r="C187" s="447">
        <v>1800</v>
      </c>
      <c r="D187" s="486">
        <v>16.450700000000001</v>
      </c>
      <c r="E187" s="448">
        <v>19.059999999999999</v>
      </c>
      <c r="F187" s="448">
        <f t="shared" si="15"/>
        <v>4696.7399999999952</v>
      </c>
      <c r="G187" s="448">
        <f t="shared" si="16"/>
        <v>29611.260000000002</v>
      </c>
      <c r="H187" s="487">
        <f t="shared" si="17"/>
        <v>0.1586133112876654</v>
      </c>
      <c r="I187" s="448"/>
      <c r="J187" s="448"/>
    </row>
    <row r="188" spans="2:17" x14ac:dyDescent="0.25">
      <c r="B188" s="443">
        <v>42711</v>
      </c>
      <c r="C188" s="447">
        <v>1000</v>
      </c>
      <c r="D188" s="486">
        <v>13.444599999999999</v>
      </c>
      <c r="E188" s="448">
        <v>20.440000000000001</v>
      </c>
      <c r="F188" s="448">
        <f t="shared" si="15"/>
        <v>6995.4000000000015</v>
      </c>
      <c r="G188" s="448">
        <f t="shared" si="16"/>
        <v>13444.599999999999</v>
      </c>
      <c r="H188" s="487">
        <f t="shared" si="17"/>
        <v>0.52031298811418725</v>
      </c>
      <c r="I188" s="448"/>
      <c r="J188" s="448"/>
    </row>
    <row r="189" spans="2:17" x14ac:dyDescent="0.25">
      <c r="B189" s="443">
        <v>42716</v>
      </c>
      <c r="C189" s="447">
        <v>1800</v>
      </c>
      <c r="D189" s="486">
        <v>16.229800000000001</v>
      </c>
      <c r="E189" s="448">
        <v>20.02</v>
      </c>
      <c r="F189" s="448">
        <f t="shared" si="15"/>
        <v>6822.3599999999979</v>
      </c>
      <c r="G189" s="448">
        <f t="shared" si="16"/>
        <v>29213.640000000003</v>
      </c>
      <c r="H189" s="487">
        <f t="shared" si="17"/>
        <v>0.2335333768746379</v>
      </c>
      <c r="I189" s="448"/>
      <c r="J189" s="448"/>
    </row>
    <row r="190" spans="2:17" x14ac:dyDescent="0.25">
      <c r="B190" s="443">
        <v>42716</v>
      </c>
      <c r="C190" s="447">
        <v>1650</v>
      </c>
      <c r="D190" s="486">
        <v>15.888</v>
      </c>
      <c r="E190" s="448">
        <v>20.02</v>
      </c>
      <c r="F190" s="448">
        <f t="shared" si="15"/>
        <v>6817.7999999999993</v>
      </c>
      <c r="G190" s="448">
        <f t="shared" si="16"/>
        <v>26215.200000000001</v>
      </c>
      <c r="H190" s="487">
        <f t="shared" si="17"/>
        <v>0.26007049345417926</v>
      </c>
      <c r="I190" s="448"/>
      <c r="J190" s="448"/>
    </row>
    <row r="191" spans="2:17" x14ac:dyDescent="0.25">
      <c r="B191" s="443">
        <v>42717</v>
      </c>
      <c r="C191" s="447">
        <v>1550</v>
      </c>
      <c r="D191" s="486">
        <v>15.6</v>
      </c>
      <c r="E191" s="448">
        <v>20.13</v>
      </c>
      <c r="F191" s="448">
        <f t="shared" si="15"/>
        <v>7021.4999999999991</v>
      </c>
      <c r="G191" s="448">
        <f t="shared" si="16"/>
        <v>24180</v>
      </c>
      <c r="H191" s="487">
        <f t="shared" si="17"/>
        <v>0.29038461538461535</v>
      </c>
      <c r="I191" s="448"/>
      <c r="J191" s="448"/>
      <c r="Q191" s="4"/>
    </row>
    <row r="192" spans="2:17" x14ac:dyDescent="0.25">
      <c r="B192" s="443">
        <v>42726</v>
      </c>
      <c r="C192" s="447">
        <v>1550</v>
      </c>
      <c r="D192" s="486">
        <v>15.6</v>
      </c>
      <c r="E192" s="448">
        <v>23.2</v>
      </c>
      <c r="F192" s="448">
        <f>-C192*(D192-E192)</f>
        <v>11780</v>
      </c>
      <c r="G192" s="448">
        <f>IF(C192=0, 0,D192*C192)</f>
        <v>24180</v>
      </c>
      <c r="H192" s="487">
        <f>IF(C192=0, D192, (E192-D192)/D192)</f>
        <v>0.48717948717948717</v>
      </c>
      <c r="I192" s="448"/>
      <c r="J192" s="448"/>
      <c r="Q192" s="4"/>
    </row>
    <row r="193" spans="1:17" x14ac:dyDescent="0.25">
      <c r="B193" s="443">
        <v>42733</v>
      </c>
      <c r="C193" s="447">
        <v>1550</v>
      </c>
      <c r="D193" s="486">
        <v>15.6</v>
      </c>
      <c r="E193" s="448">
        <v>22.27</v>
      </c>
      <c r="F193" s="448">
        <f>-C193*(D193-E193)</f>
        <v>10338.5</v>
      </c>
      <c r="G193" s="448">
        <f>IF(C193=0, 0,D193*C193)</f>
        <v>24180</v>
      </c>
      <c r="H193" s="487">
        <f>IF(C193=0, D193, (E193-D193)/D193)</f>
        <v>0.42756410256410254</v>
      </c>
      <c r="I193" s="448"/>
      <c r="J193" s="448"/>
      <c r="Q193" s="4"/>
    </row>
    <row r="194" spans="1:17" x14ac:dyDescent="0.25">
      <c r="B194" s="443">
        <v>42738</v>
      </c>
      <c r="C194" s="447">
        <v>1550</v>
      </c>
      <c r="D194" s="486">
        <v>15.548634</v>
      </c>
      <c r="E194" s="448">
        <v>22.55</v>
      </c>
      <c r="F194" s="448">
        <f>-C194*(D194-E194)</f>
        <v>10852.117300000002</v>
      </c>
      <c r="G194" s="448">
        <f>IF(C194=0, 0,D194*C194)</f>
        <v>24100.382699999998</v>
      </c>
      <c r="H194" s="487">
        <f>IF(C194=0, D194, (E194-D194)/D194)</f>
        <v>0.4502881732247348</v>
      </c>
      <c r="I194" s="448"/>
      <c r="J194" s="448"/>
    </row>
    <row r="195" spans="1:17" x14ac:dyDescent="0.25">
      <c r="B195" s="443"/>
      <c r="C195" s="447"/>
      <c r="D195" s="486"/>
      <c r="E195" s="448"/>
      <c r="F195" s="448"/>
      <c r="G195" s="448"/>
      <c r="H195" s="487"/>
      <c r="I195" s="448"/>
      <c r="J195" s="448"/>
    </row>
    <row r="196" spans="1:17" x14ac:dyDescent="0.25">
      <c r="B196" s="161"/>
      <c r="C196" s="10"/>
      <c r="D196" s="168"/>
      <c r="E196" s="39"/>
      <c r="F196" s="39"/>
      <c r="G196" s="39"/>
      <c r="H196" s="176"/>
      <c r="I196" s="39"/>
      <c r="J196" s="39"/>
    </row>
    <row r="197" spans="1:17" x14ac:dyDescent="0.25">
      <c r="B197" s="161"/>
      <c r="C197" s="10"/>
      <c r="D197" s="168"/>
      <c r="E197" s="39"/>
      <c r="F197" s="39"/>
      <c r="G197" s="39"/>
      <c r="H197" s="176"/>
      <c r="I197" s="39"/>
      <c r="J197" s="39"/>
    </row>
    <row r="198" spans="1:17" x14ac:dyDescent="0.25">
      <c r="B198" s="398"/>
      <c r="C198" s="4"/>
      <c r="D198" s="3"/>
      <c r="E198" s="3"/>
      <c r="F198" s="3"/>
      <c r="G198" s="69"/>
      <c r="H198" s="158"/>
      <c r="I198" s="3"/>
      <c r="J198" s="3"/>
      <c r="K198" s="3"/>
      <c r="L198" s="4"/>
      <c r="M198" s="4"/>
    </row>
    <row r="199" spans="1:17" x14ac:dyDescent="0.25">
      <c r="B199" s="398"/>
      <c r="C199" s="4"/>
      <c r="D199" s="3"/>
      <c r="E199" s="3"/>
      <c r="F199" s="3"/>
      <c r="G199" s="69"/>
      <c r="H199" s="158"/>
      <c r="I199" s="3"/>
      <c r="J199" s="3"/>
      <c r="K199" s="3"/>
      <c r="L199" s="4"/>
      <c r="M199" s="4"/>
    </row>
    <row r="200" spans="1:17" x14ac:dyDescent="0.25">
      <c r="B200" s="159" t="s">
        <v>113</v>
      </c>
      <c r="C200" s="159" t="s">
        <v>143</v>
      </c>
      <c r="D200" s="160" t="s">
        <v>142</v>
      </c>
      <c r="E200" s="162" t="s">
        <v>144</v>
      </c>
      <c r="F200" s="163" t="s">
        <v>65</v>
      </c>
      <c r="G200" s="173" t="s">
        <v>148</v>
      </c>
      <c r="H200" s="163" t="s">
        <v>88</v>
      </c>
      <c r="I200" s="173" t="s">
        <v>151</v>
      </c>
      <c r="J200" s="173" t="s">
        <v>452</v>
      </c>
      <c r="K200" s="173" t="s">
        <v>423</v>
      </c>
      <c r="L200" s="173" t="s">
        <v>601</v>
      </c>
      <c r="M200" s="4"/>
    </row>
    <row r="201" spans="1:17" x14ac:dyDescent="0.25">
      <c r="A201" s="291" t="s">
        <v>324</v>
      </c>
      <c r="B201" s="290">
        <v>42754</v>
      </c>
      <c r="C201" s="291">
        <v>1550</v>
      </c>
      <c r="D201" s="296">
        <v>20.207419000000002</v>
      </c>
      <c r="E201" s="292">
        <v>21.71</v>
      </c>
      <c r="F201" s="292">
        <f t="shared" ref="F201:F243" si="18">-C201*(D201-E201)</f>
        <v>2329.0005499999988</v>
      </c>
      <c r="G201" s="292">
        <f>IF(C201=0, 0,D201*C201)</f>
        <v>31321.499450000003</v>
      </c>
      <c r="H201" s="294">
        <f t="shared" ref="H201:H243" si="19">IF(C201=0, D201, (E201-D201)/D201)</f>
        <v>7.4357888060815641E-2</v>
      </c>
      <c r="I201" s="292"/>
      <c r="J201" s="292"/>
      <c r="K201" s="292"/>
      <c r="L201" s="292"/>
      <c r="M201" s="4"/>
    </row>
    <row r="202" spans="1:17" x14ac:dyDescent="0.25">
      <c r="A202" s="291" t="s">
        <v>330</v>
      </c>
      <c r="B202" s="290">
        <v>42759</v>
      </c>
      <c r="C202" s="291">
        <v>1350</v>
      </c>
      <c r="D202" s="296">
        <v>19.798221999999999</v>
      </c>
      <c r="E202" s="292">
        <v>22.995000000000001</v>
      </c>
      <c r="F202" s="292">
        <f t="shared" si="18"/>
        <v>4315.650300000003</v>
      </c>
      <c r="G202" s="292">
        <f t="shared" ref="G202:G243" si="20">IF(C202=0, 0,D202*C202)</f>
        <v>26727.599699999999</v>
      </c>
      <c r="H202" s="294">
        <f t="shared" si="19"/>
        <v>0.16146793383769523</v>
      </c>
      <c r="I202" s="292"/>
      <c r="J202" s="292"/>
      <c r="K202" s="292"/>
      <c r="L202" s="292"/>
      <c r="M202" s="4"/>
    </row>
    <row r="203" spans="1:17" x14ac:dyDescent="0.25">
      <c r="A203" s="291" t="s">
        <v>331</v>
      </c>
      <c r="B203" s="290">
        <v>42759</v>
      </c>
      <c r="C203" s="291">
        <v>1550</v>
      </c>
      <c r="D203" s="296">
        <v>20.192</v>
      </c>
      <c r="E203" s="292">
        <v>22.86</v>
      </c>
      <c r="F203" s="292">
        <f t="shared" si="18"/>
        <v>4135.3999999999987</v>
      </c>
      <c r="G203" s="292">
        <f t="shared" si="20"/>
        <v>31297.599999999999</v>
      </c>
      <c r="H203" s="294">
        <f t="shared" si="19"/>
        <v>0.13213153724247223</v>
      </c>
      <c r="I203" s="292"/>
      <c r="J203" s="292"/>
      <c r="K203" s="292"/>
      <c r="L203" s="292"/>
      <c r="M203" s="4"/>
    </row>
    <row r="204" spans="1:17" x14ac:dyDescent="0.25">
      <c r="A204" s="291"/>
      <c r="B204" s="290">
        <v>42760</v>
      </c>
      <c r="C204" s="291">
        <v>950</v>
      </c>
      <c r="D204" s="296">
        <v>17.926220000000001</v>
      </c>
      <c r="E204" s="292">
        <v>23.78</v>
      </c>
      <c r="F204" s="292">
        <f t="shared" si="18"/>
        <v>5561.0910000000003</v>
      </c>
      <c r="G204" s="292">
        <f t="shared" si="20"/>
        <v>17029.909</v>
      </c>
      <c r="H204" s="294">
        <f t="shared" si="19"/>
        <v>0.32654848596078817</v>
      </c>
      <c r="I204" s="292"/>
      <c r="J204" s="292"/>
      <c r="K204" s="292"/>
      <c r="L204" s="292"/>
      <c r="M204" s="4"/>
    </row>
    <row r="205" spans="1:17" x14ac:dyDescent="0.25">
      <c r="A205" s="291" t="s">
        <v>332</v>
      </c>
      <c r="B205" s="290">
        <v>42760</v>
      </c>
      <c r="C205" s="291">
        <v>1550</v>
      </c>
      <c r="D205" s="296">
        <v>20.03736</v>
      </c>
      <c r="E205" s="292">
        <v>23.38</v>
      </c>
      <c r="F205" s="292">
        <f t="shared" si="18"/>
        <v>5181.0919999999987</v>
      </c>
      <c r="G205" s="292">
        <f t="shared" si="20"/>
        <v>31057.907999999999</v>
      </c>
      <c r="H205" s="294">
        <f t="shared" si="19"/>
        <v>0.16682037953103598</v>
      </c>
      <c r="I205" s="292">
        <v>20</v>
      </c>
      <c r="J205" s="292"/>
      <c r="K205" s="292"/>
      <c r="L205" s="292"/>
      <c r="M205" s="4"/>
    </row>
    <row r="206" spans="1:17" x14ac:dyDescent="0.25">
      <c r="A206" s="418" t="s">
        <v>350</v>
      </c>
      <c r="B206" s="417">
        <v>42765</v>
      </c>
      <c r="C206" s="418">
        <v>1350</v>
      </c>
      <c r="D206" s="419">
        <v>23.093333000000001</v>
      </c>
      <c r="E206" s="420">
        <v>24.18</v>
      </c>
      <c r="F206" s="420">
        <f t="shared" si="18"/>
        <v>1467.000449999998</v>
      </c>
      <c r="G206" s="420">
        <f t="shared" si="20"/>
        <v>31175.99955</v>
      </c>
      <c r="H206" s="421">
        <f t="shared" si="19"/>
        <v>4.7055442365118903E-2</v>
      </c>
      <c r="I206" s="420"/>
      <c r="J206" s="420"/>
      <c r="K206" s="420"/>
      <c r="L206" s="420"/>
      <c r="M206" s="4"/>
    </row>
    <row r="207" spans="1:17" x14ac:dyDescent="0.25">
      <c r="A207" s="418" t="s">
        <v>363</v>
      </c>
      <c r="B207" s="417">
        <v>42769</v>
      </c>
      <c r="C207" s="418">
        <v>1350</v>
      </c>
      <c r="D207" s="419">
        <v>23.059799999999999</v>
      </c>
      <c r="E207" s="420">
        <v>24.6</v>
      </c>
      <c r="F207" s="420">
        <f t="shared" si="18"/>
        <v>2079.2700000000032</v>
      </c>
      <c r="G207" s="420">
        <f t="shared" si="20"/>
        <v>31130.73</v>
      </c>
      <c r="H207" s="421">
        <f t="shared" si="19"/>
        <v>6.679155933702817E-2</v>
      </c>
      <c r="I207" s="420"/>
      <c r="J207" s="420"/>
      <c r="K207" s="420"/>
      <c r="L207" s="420"/>
      <c r="M207" s="4"/>
    </row>
    <row r="208" spans="1:17" x14ac:dyDescent="0.25">
      <c r="A208" s="418" t="s">
        <v>380</v>
      </c>
      <c r="B208" s="417">
        <v>42776</v>
      </c>
      <c r="C208" s="418">
        <v>1550</v>
      </c>
      <c r="D208" s="419">
        <v>23.174665000000001</v>
      </c>
      <c r="E208" s="420">
        <v>24.05</v>
      </c>
      <c r="F208" s="420">
        <f t="shared" si="18"/>
        <v>1356.7692499999996</v>
      </c>
      <c r="G208" s="420">
        <f t="shared" si="20"/>
        <v>35920.730750000002</v>
      </c>
      <c r="H208" s="421">
        <f t="shared" si="19"/>
        <v>3.7771204028191979E-2</v>
      </c>
      <c r="I208" s="420">
        <v>23</v>
      </c>
      <c r="J208" s="420"/>
      <c r="K208" s="420"/>
      <c r="L208" s="420"/>
      <c r="M208" s="4"/>
    </row>
    <row r="209" spans="1:13" x14ac:dyDescent="0.25">
      <c r="A209" s="418" t="s">
        <v>384</v>
      </c>
      <c r="B209" s="417">
        <v>42780</v>
      </c>
      <c r="C209" s="418">
        <v>1650</v>
      </c>
      <c r="D209" s="419">
        <v>23.174665000000001</v>
      </c>
      <c r="E209" s="420">
        <v>23.12</v>
      </c>
      <c r="F209" s="420">
        <f t="shared" si="18"/>
        <v>-90.19724999999994</v>
      </c>
      <c r="G209" s="420">
        <f t="shared" si="20"/>
        <v>38238.197250000005</v>
      </c>
      <c r="H209" s="421">
        <f t="shared" si="19"/>
        <v>-2.3588258988856995E-3</v>
      </c>
      <c r="I209" s="420"/>
      <c r="J209" s="420"/>
      <c r="K209" s="420"/>
      <c r="L209" s="420"/>
      <c r="M209" s="3"/>
    </row>
    <row r="210" spans="1:13" x14ac:dyDescent="0.25">
      <c r="A210" s="418" t="s">
        <v>396</v>
      </c>
      <c r="B210" s="417">
        <v>42782</v>
      </c>
      <c r="C210" s="418">
        <v>1550</v>
      </c>
      <c r="D210" s="419">
        <v>23.148890000000002</v>
      </c>
      <c r="E210" s="420">
        <v>22.98</v>
      </c>
      <c r="F210" s="420">
        <f t="shared" si="18"/>
        <v>-261.77950000000169</v>
      </c>
      <c r="G210" s="420">
        <f t="shared" si="20"/>
        <v>35880.779500000004</v>
      </c>
      <c r="H210" s="421">
        <f t="shared" si="19"/>
        <v>-7.2958141837470864E-3</v>
      </c>
      <c r="I210" s="420">
        <v>23</v>
      </c>
      <c r="J210" s="420"/>
      <c r="K210" s="420"/>
      <c r="L210" s="420"/>
      <c r="M210" s="4"/>
    </row>
    <row r="211" spans="1:13" x14ac:dyDescent="0.25">
      <c r="A211" s="547" t="s">
        <v>396</v>
      </c>
      <c r="B211" s="548">
        <v>42788</v>
      </c>
      <c r="C211" s="547">
        <v>1550</v>
      </c>
      <c r="D211" s="556">
        <v>23.390999999999998</v>
      </c>
      <c r="E211" s="549">
        <v>23.75</v>
      </c>
      <c r="F211" s="549">
        <f t="shared" si="18"/>
        <v>556.45000000000277</v>
      </c>
      <c r="G211" s="549">
        <f t="shared" si="20"/>
        <v>36256.049999999996</v>
      </c>
      <c r="H211" s="557">
        <f t="shared" si="19"/>
        <v>1.5347783335470985E-2</v>
      </c>
      <c r="I211" s="549">
        <v>23</v>
      </c>
      <c r="J211" s="549"/>
      <c r="K211" s="549"/>
      <c r="L211" s="549"/>
      <c r="M211" s="4"/>
    </row>
    <row r="212" spans="1:13" x14ac:dyDescent="0.25">
      <c r="A212" s="547" t="s">
        <v>412</v>
      </c>
      <c r="B212" s="548">
        <v>42790</v>
      </c>
      <c r="C212" s="547">
        <v>1550</v>
      </c>
      <c r="D212" s="556">
        <v>23.390999999999998</v>
      </c>
      <c r="E212" s="549">
        <v>23.24</v>
      </c>
      <c r="F212" s="549">
        <f t="shared" si="18"/>
        <v>-234.0499999999997</v>
      </c>
      <c r="G212" s="549">
        <f t="shared" si="20"/>
        <v>36256.049999999996</v>
      </c>
      <c r="H212" s="557">
        <f t="shared" si="19"/>
        <v>-6.4554743277328809E-3</v>
      </c>
      <c r="I212" s="549"/>
      <c r="J212" s="549"/>
      <c r="K212" s="549"/>
      <c r="L212" s="549"/>
      <c r="M212" s="4"/>
    </row>
    <row r="213" spans="1:13" x14ac:dyDescent="0.25">
      <c r="A213" s="547"/>
      <c r="B213" s="548">
        <v>42793</v>
      </c>
      <c r="C213" s="547">
        <v>1550</v>
      </c>
      <c r="D213" s="556">
        <v>23.390999999999998</v>
      </c>
      <c r="E213" s="549">
        <v>23.76</v>
      </c>
      <c r="F213" s="549">
        <f t="shared" si="18"/>
        <v>571.95000000000516</v>
      </c>
      <c r="G213" s="549">
        <f t="shared" si="20"/>
        <v>36256.049999999996</v>
      </c>
      <c r="H213" s="557">
        <f t="shared" si="19"/>
        <v>1.5775298191612303E-2</v>
      </c>
      <c r="I213" s="549"/>
      <c r="J213" s="549"/>
      <c r="K213" s="549"/>
      <c r="L213" s="549"/>
      <c r="M213" s="4"/>
    </row>
    <row r="214" spans="1:13" x14ac:dyDescent="0.25">
      <c r="A214" s="547">
        <v>600</v>
      </c>
      <c r="B214" s="548">
        <v>42795</v>
      </c>
      <c r="C214" s="547">
        <v>1200</v>
      </c>
      <c r="D214" s="556">
        <v>23.166550000000001</v>
      </c>
      <c r="E214" s="549">
        <v>24.55</v>
      </c>
      <c r="F214" s="549">
        <f t="shared" si="18"/>
        <v>1660.1399999999999</v>
      </c>
      <c r="G214" s="549">
        <f t="shared" si="20"/>
        <v>27799.86</v>
      </c>
      <c r="H214" s="557">
        <f t="shared" si="19"/>
        <v>5.9717566922998885E-2</v>
      </c>
      <c r="I214" s="549">
        <v>23</v>
      </c>
      <c r="J214" s="549"/>
      <c r="K214" s="549">
        <v>14210</v>
      </c>
      <c r="L214" s="549">
        <f>(G214-K214)/C214</f>
        <v>11.324883333333334</v>
      </c>
    </row>
    <row r="215" spans="1:13" x14ac:dyDescent="0.25">
      <c r="A215" s="547">
        <v>200</v>
      </c>
      <c r="B215" s="548">
        <v>42796</v>
      </c>
      <c r="C215" s="547">
        <v>1200</v>
      </c>
      <c r="D215" s="556">
        <v>22.916799999999999</v>
      </c>
      <c r="E215" s="549">
        <v>24.7</v>
      </c>
      <c r="F215" s="549">
        <f t="shared" si="18"/>
        <v>2139.8400000000011</v>
      </c>
      <c r="G215" s="549">
        <f t="shared" si="20"/>
        <v>27500.16</v>
      </c>
      <c r="H215" s="557">
        <f t="shared" si="19"/>
        <v>7.7811910912518364E-2</v>
      </c>
      <c r="I215" s="549">
        <v>22.5</v>
      </c>
      <c r="J215" s="549"/>
      <c r="K215" s="549">
        <v>14690</v>
      </c>
      <c r="L215" s="549">
        <f t="shared" ref="L215:L230" si="21">(G215-K215)/C215</f>
        <v>10.675133333333333</v>
      </c>
    </row>
    <row r="216" spans="1:13" x14ac:dyDescent="0.25">
      <c r="A216" s="547">
        <v>100</v>
      </c>
      <c r="B216" s="548">
        <v>42798</v>
      </c>
      <c r="C216" s="547">
        <v>1000</v>
      </c>
      <c r="D216" s="556">
        <v>22.424299999999999</v>
      </c>
      <c r="E216" s="549">
        <v>25.57</v>
      </c>
      <c r="F216" s="549">
        <f t="shared" si="18"/>
        <v>3145.7000000000016</v>
      </c>
      <c r="G216" s="549">
        <f t="shared" si="20"/>
        <v>22424.3</v>
      </c>
      <c r="H216" s="557">
        <f t="shared" si="19"/>
        <v>0.14028085603563997</v>
      </c>
      <c r="I216" s="549"/>
      <c r="J216" s="549"/>
      <c r="K216" s="549">
        <v>15696</v>
      </c>
      <c r="L216" s="549">
        <f t="shared" si="21"/>
        <v>6.7282999999999991</v>
      </c>
    </row>
    <row r="217" spans="1:13" x14ac:dyDescent="0.25">
      <c r="A217" s="547">
        <v>100</v>
      </c>
      <c r="B217" s="548">
        <v>42803</v>
      </c>
      <c r="C217" s="547">
        <v>1100</v>
      </c>
      <c r="D217" s="556">
        <v>22.663</v>
      </c>
      <c r="E217" s="549">
        <v>25.15</v>
      </c>
      <c r="F217" s="549">
        <f t="shared" si="18"/>
        <v>2735.699999999998</v>
      </c>
      <c r="G217" s="549">
        <f t="shared" si="20"/>
        <v>24929.3</v>
      </c>
      <c r="H217" s="557">
        <f t="shared" si="19"/>
        <v>0.1097383400255923</v>
      </c>
      <c r="I217" s="549"/>
      <c r="J217" s="549"/>
      <c r="K217" s="549">
        <v>15286</v>
      </c>
      <c r="L217" s="549">
        <f t="shared" si="21"/>
        <v>8.7666363636363638</v>
      </c>
    </row>
    <row r="218" spans="1:13" x14ac:dyDescent="0.25">
      <c r="A218" s="547">
        <v>0</v>
      </c>
      <c r="B218" s="548">
        <v>42804</v>
      </c>
      <c r="C218" s="547">
        <v>1000</v>
      </c>
      <c r="D218" s="556">
        <v>22.371400000000001</v>
      </c>
      <c r="E218" s="549">
        <v>25.18</v>
      </c>
      <c r="F218" s="549">
        <f t="shared" si="18"/>
        <v>2808.5999999999985</v>
      </c>
      <c r="G218" s="549">
        <f t="shared" si="20"/>
        <v>22371.4</v>
      </c>
      <c r="H218" s="557">
        <f t="shared" si="19"/>
        <v>0.12554422164012974</v>
      </c>
      <c r="I218" s="549"/>
      <c r="J218" s="549"/>
      <c r="K218" s="549">
        <v>15359</v>
      </c>
      <c r="L218" s="549">
        <f t="shared" si="21"/>
        <v>7.0124000000000013</v>
      </c>
    </row>
    <row r="219" spans="1:13" x14ac:dyDescent="0.25">
      <c r="A219" s="547">
        <v>200</v>
      </c>
      <c r="B219" s="548">
        <v>42808</v>
      </c>
      <c r="C219" s="547">
        <v>1000</v>
      </c>
      <c r="D219" s="556">
        <v>22.371400000000001</v>
      </c>
      <c r="E219" s="549">
        <v>25.58</v>
      </c>
      <c r="F219" s="549">
        <f t="shared" si="18"/>
        <v>3208.5999999999972</v>
      </c>
      <c r="G219" s="549">
        <f t="shared" si="20"/>
        <v>22371.4</v>
      </c>
      <c r="H219" s="557">
        <f t="shared" si="19"/>
        <v>0.1434241933897743</v>
      </c>
      <c r="I219" s="549">
        <v>22</v>
      </c>
      <c r="J219" s="549"/>
      <c r="K219" s="549">
        <v>15759</v>
      </c>
      <c r="L219" s="549">
        <f t="shared" si="21"/>
        <v>6.6124000000000018</v>
      </c>
      <c r="M219" s="4"/>
    </row>
    <row r="220" spans="1:13" x14ac:dyDescent="0.25">
      <c r="A220" s="379">
        <v>0</v>
      </c>
      <c r="B220" s="378">
        <v>42809</v>
      </c>
      <c r="C220" s="379">
        <v>1000</v>
      </c>
      <c r="D220" s="537">
        <v>24.635000000000002</v>
      </c>
      <c r="E220" s="380">
        <v>26.12</v>
      </c>
      <c r="F220" s="380">
        <f t="shared" si="18"/>
        <v>1484.9999999999995</v>
      </c>
      <c r="G220" s="380">
        <f t="shared" si="20"/>
        <v>24635</v>
      </c>
      <c r="H220" s="559">
        <f t="shared" si="19"/>
        <v>6.0280089303835979E-2</v>
      </c>
      <c r="I220" s="380">
        <v>24</v>
      </c>
      <c r="J220" s="380">
        <v>68.36</v>
      </c>
      <c r="K220" s="380">
        <v>16373</v>
      </c>
      <c r="L220" s="380">
        <f t="shared" si="21"/>
        <v>8.2620000000000005</v>
      </c>
      <c r="M220" s="4"/>
    </row>
    <row r="221" spans="1:13" x14ac:dyDescent="0.25">
      <c r="A221" s="379">
        <v>0</v>
      </c>
      <c r="B221" s="378">
        <v>42817</v>
      </c>
      <c r="C221" s="379">
        <v>900</v>
      </c>
      <c r="D221" s="537">
        <v>24.152000000000001</v>
      </c>
      <c r="E221" s="380">
        <v>26.47</v>
      </c>
      <c r="F221" s="380">
        <f t="shared" si="18"/>
        <v>2086.199999999998</v>
      </c>
      <c r="G221" s="380">
        <f t="shared" si="20"/>
        <v>21736.799999999999</v>
      </c>
      <c r="H221" s="559">
        <f t="shared" si="19"/>
        <v>9.5975488572374867E-2</v>
      </c>
      <c r="I221" s="380"/>
      <c r="J221" s="380"/>
      <c r="K221" s="380">
        <v>16974</v>
      </c>
      <c r="L221" s="380">
        <f t="shared" si="21"/>
        <v>5.2919999999999989</v>
      </c>
      <c r="M221" s="4"/>
    </row>
    <row r="222" spans="1:13" x14ac:dyDescent="0.25">
      <c r="A222" s="379">
        <v>0</v>
      </c>
      <c r="B222" s="378">
        <v>42818</v>
      </c>
      <c r="C222" s="379">
        <v>1000</v>
      </c>
      <c r="D222" s="537">
        <v>24.585000000000001</v>
      </c>
      <c r="E222" s="380">
        <v>28.43</v>
      </c>
      <c r="F222" s="380">
        <f t="shared" si="18"/>
        <v>3844.9999999999991</v>
      </c>
      <c r="G222" s="380">
        <f t="shared" si="20"/>
        <v>24585</v>
      </c>
      <c r="H222" s="559">
        <f t="shared" si="19"/>
        <v>0.15639617653040466</v>
      </c>
      <c r="I222" s="380">
        <v>24</v>
      </c>
      <c r="J222" s="380"/>
      <c r="K222" s="380">
        <v>18733</v>
      </c>
      <c r="L222" s="380">
        <f t="shared" si="21"/>
        <v>5.8520000000000003</v>
      </c>
      <c r="M222" s="4"/>
    </row>
    <row r="223" spans="1:13" x14ac:dyDescent="0.25">
      <c r="A223" s="4">
        <v>0</v>
      </c>
      <c r="B223" s="161">
        <v>42819</v>
      </c>
      <c r="C223" s="10">
        <v>1000</v>
      </c>
      <c r="D223" s="168">
        <v>25.193000000000001</v>
      </c>
      <c r="E223" s="39">
        <v>28.43</v>
      </c>
      <c r="F223" s="39">
        <f t="shared" si="18"/>
        <v>3236.9999999999982</v>
      </c>
      <c r="G223" s="39">
        <f t="shared" si="20"/>
        <v>25193</v>
      </c>
      <c r="H223" s="176">
        <f t="shared" si="19"/>
        <v>0.12848807208351518</v>
      </c>
      <c r="I223" s="39">
        <v>25</v>
      </c>
      <c r="J223" s="39"/>
      <c r="K223" s="39">
        <v>18733</v>
      </c>
      <c r="L223" s="39">
        <f t="shared" si="21"/>
        <v>6.46</v>
      </c>
      <c r="M223" s="4"/>
    </row>
    <row r="224" spans="1:13" x14ac:dyDescent="0.25">
      <c r="A224" s="4">
        <v>700</v>
      </c>
      <c r="B224" s="161">
        <v>42833</v>
      </c>
      <c r="C224" s="10">
        <v>1000</v>
      </c>
      <c r="D224" s="168">
        <v>25.193000000000001</v>
      </c>
      <c r="E224" s="39">
        <v>28.52</v>
      </c>
      <c r="F224" s="39">
        <f t="shared" si="18"/>
        <v>3326.9999999999982</v>
      </c>
      <c r="G224" s="39">
        <f t="shared" si="20"/>
        <v>25193</v>
      </c>
      <c r="H224" s="176">
        <f t="shared" si="19"/>
        <v>0.13206049299408557</v>
      </c>
      <c r="I224" s="39">
        <v>25</v>
      </c>
      <c r="J224" s="39"/>
      <c r="K224" s="39">
        <v>18823</v>
      </c>
      <c r="L224" s="39">
        <f t="shared" si="21"/>
        <v>6.37</v>
      </c>
      <c r="M224" s="4"/>
    </row>
    <row r="225" spans="1:13" x14ac:dyDescent="0.25">
      <c r="A225" s="4">
        <v>700</v>
      </c>
      <c r="B225" s="161">
        <v>42835</v>
      </c>
      <c r="C225" s="10">
        <v>1100</v>
      </c>
      <c r="D225" s="168">
        <v>25.454999999999998</v>
      </c>
      <c r="E225" s="39">
        <v>27.64</v>
      </c>
      <c r="F225" s="39">
        <f t="shared" si="18"/>
        <v>2403.5000000000027</v>
      </c>
      <c r="G225" s="39">
        <f t="shared" si="20"/>
        <v>28000.499999999996</v>
      </c>
      <c r="H225" s="176">
        <f t="shared" si="19"/>
        <v>8.583775289726979E-2</v>
      </c>
      <c r="I225" s="39"/>
      <c r="J225" s="39"/>
      <c r="K225" s="39">
        <v>17899</v>
      </c>
      <c r="L225" s="39">
        <f t="shared" si="21"/>
        <v>9.183181818181815</v>
      </c>
      <c r="M225" s="4"/>
    </row>
    <row r="226" spans="1:13" x14ac:dyDescent="0.25">
      <c r="A226" s="4">
        <v>700</v>
      </c>
      <c r="B226" s="161">
        <v>42836</v>
      </c>
      <c r="C226" s="10">
        <v>1200</v>
      </c>
      <c r="D226" s="168">
        <v>25.588999999999999</v>
      </c>
      <c r="E226" s="39">
        <v>27.18</v>
      </c>
      <c r="F226" s="39">
        <f t="shared" si="18"/>
        <v>1909.2000000000012</v>
      </c>
      <c r="G226" s="39">
        <f t="shared" si="20"/>
        <v>30706.799999999999</v>
      </c>
      <c r="H226" s="176">
        <f t="shared" si="19"/>
        <v>6.2175153386220684E-2</v>
      </c>
      <c r="I226" s="39"/>
      <c r="J226" s="39"/>
      <c r="K226" s="39">
        <v>17405</v>
      </c>
      <c r="L226" s="39">
        <f t="shared" si="21"/>
        <v>11.084833333333332</v>
      </c>
      <c r="M226" s="4"/>
    </row>
    <row r="227" spans="1:13" x14ac:dyDescent="0.25">
      <c r="A227" s="4">
        <v>700</v>
      </c>
      <c r="B227" s="161">
        <v>42845</v>
      </c>
      <c r="C227" s="10">
        <v>1000</v>
      </c>
      <c r="D227" s="168">
        <v>25.117000000000001</v>
      </c>
      <c r="E227" s="39">
        <v>27.96</v>
      </c>
      <c r="F227" s="39">
        <f t="shared" si="18"/>
        <v>2843</v>
      </c>
      <c r="G227" s="39">
        <f t="shared" si="20"/>
        <v>25117</v>
      </c>
      <c r="H227" s="176">
        <f t="shared" si="19"/>
        <v>0.11319026953855954</v>
      </c>
      <c r="I227" s="39">
        <v>25</v>
      </c>
      <c r="J227" s="39"/>
      <c r="K227" s="39">
        <v>18339</v>
      </c>
      <c r="L227" s="39">
        <f t="shared" si="21"/>
        <v>6.7779999999999996</v>
      </c>
      <c r="M227" s="4"/>
    </row>
    <row r="228" spans="1:13" x14ac:dyDescent="0.25">
      <c r="A228" s="4">
        <v>700</v>
      </c>
      <c r="B228" s="161">
        <v>42846</v>
      </c>
      <c r="C228" s="10">
        <v>1200</v>
      </c>
      <c r="D228" s="168">
        <v>25.486999999999998</v>
      </c>
      <c r="E228" s="39">
        <v>27.32</v>
      </c>
      <c r="F228" s="39">
        <f t="shared" si="18"/>
        <v>2199.6000000000022</v>
      </c>
      <c r="G228" s="39">
        <f t="shared" si="20"/>
        <v>30584.399999999998</v>
      </c>
      <c r="H228" s="176">
        <f t="shared" si="19"/>
        <v>7.1919017538352961E-2</v>
      </c>
      <c r="I228" s="39"/>
      <c r="J228" s="39"/>
      <c r="K228" s="39">
        <v>17695</v>
      </c>
      <c r="L228" s="39">
        <f t="shared" si="21"/>
        <v>10.741166666666665</v>
      </c>
      <c r="M228" s="4"/>
    </row>
    <row r="229" spans="1:13" x14ac:dyDescent="0.25">
      <c r="A229" s="4">
        <v>600</v>
      </c>
      <c r="B229" s="161">
        <v>42853</v>
      </c>
      <c r="C229" s="10">
        <v>1000</v>
      </c>
      <c r="D229" s="168">
        <v>24.948</v>
      </c>
      <c r="E229" s="39">
        <v>27.67</v>
      </c>
      <c r="F229" s="39">
        <f t="shared" si="18"/>
        <v>2722.0000000000014</v>
      </c>
      <c r="G229" s="39">
        <f t="shared" si="20"/>
        <v>24948</v>
      </c>
      <c r="H229" s="176">
        <f t="shared" si="19"/>
        <v>0.10910694244027583</v>
      </c>
      <c r="I229" s="170" t="s">
        <v>305</v>
      </c>
      <c r="J229" s="39"/>
      <c r="K229" s="39">
        <v>18217</v>
      </c>
      <c r="L229" s="39">
        <f t="shared" si="21"/>
        <v>6.7309999999999999</v>
      </c>
      <c r="M229" s="4"/>
    </row>
    <row r="230" spans="1:13" x14ac:dyDescent="0.25">
      <c r="A230" s="4">
        <v>550</v>
      </c>
      <c r="B230" s="161">
        <v>42856</v>
      </c>
      <c r="C230" s="10">
        <v>950</v>
      </c>
      <c r="D230" s="168">
        <v>24.771000000000001</v>
      </c>
      <c r="E230" s="39">
        <v>28.29</v>
      </c>
      <c r="F230" s="39">
        <f t="shared" si="18"/>
        <v>3343.0499999999984</v>
      </c>
      <c r="G230" s="39">
        <f t="shared" si="20"/>
        <v>23532.45</v>
      </c>
      <c r="H230" s="176">
        <f t="shared" si="19"/>
        <v>0.14206128133704729</v>
      </c>
      <c r="I230" s="39"/>
      <c r="J230" s="39"/>
      <c r="K230" s="39">
        <v>18839</v>
      </c>
      <c r="L230" s="39">
        <f t="shared" si="21"/>
        <v>4.9404736842105272</v>
      </c>
      <c r="M230" s="4"/>
    </row>
    <row r="231" spans="1:13" x14ac:dyDescent="0.25">
      <c r="A231" s="4">
        <v>0</v>
      </c>
      <c r="B231" s="161">
        <v>42864</v>
      </c>
      <c r="C231" s="10">
        <v>400</v>
      </c>
      <c r="D231" s="168">
        <v>19.736999999999998</v>
      </c>
      <c r="E231" s="39">
        <v>28.06</v>
      </c>
      <c r="F231" s="39">
        <f t="shared" si="18"/>
        <v>3329.2000000000003</v>
      </c>
      <c r="G231" s="39">
        <f t="shared" si="20"/>
        <v>7894.7999999999993</v>
      </c>
      <c r="H231" s="176">
        <f t="shared" si="19"/>
        <v>0.42169529310432191</v>
      </c>
      <c r="I231" s="39"/>
      <c r="J231" s="39"/>
      <c r="K231" s="39">
        <v>18825</v>
      </c>
      <c r="L231" s="39">
        <f>(G231-K231)/C231</f>
        <v>-27.325500000000002</v>
      </c>
      <c r="M231" s="4"/>
    </row>
    <row r="232" spans="1:13" x14ac:dyDescent="0.25">
      <c r="A232" s="4">
        <v>200</v>
      </c>
      <c r="B232" s="161">
        <v>42872</v>
      </c>
      <c r="C232" s="10">
        <v>800</v>
      </c>
      <c r="D232" s="168">
        <v>23.509</v>
      </c>
      <c r="E232" s="39">
        <v>27</v>
      </c>
      <c r="F232" s="39">
        <f t="shared" si="18"/>
        <v>2792.7999999999997</v>
      </c>
      <c r="G232" s="39">
        <f t="shared" si="20"/>
        <v>18807.2</v>
      </c>
      <c r="H232" s="176">
        <f t="shared" si="19"/>
        <v>0.14849632055808412</v>
      </c>
      <c r="I232" s="39"/>
      <c r="J232" s="39"/>
      <c r="K232" s="39">
        <v>18289</v>
      </c>
      <c r="L232" s="39">
        <f>(G232-K232)/C232</f>
        <v>0.64775000000000094</v>
      </c>
      <c r="M232" s="4"/>
    </row>
    <row r="233" spans="1:13" x14ac:dyDescent="0.25">
      <c r="A233" s="4">
        <v>0</v>
      </c>
      <c r="B233" s="161">
        <v>42874</v>
      </c>
      <c r="C233" s="10">
        <v>600</v>
      </c>
      <c r="D233" s="168">
        <v>21.98</v>
      </c>
      <c r="E233" s="39">
        <v>27.84</v>
      </c>
      <c r="F233" s="39">
        <f t="shared" si="18"/>
        <v>3515.9999999999995</v>
      </c>
      <c r="G233" s="39">
        <f t="shared" si="20"/>
        <v>13188</v>
      </c>
      <c r="H233" s="176">
        <f t="shared" si="19"/>
        <v>0.26660600545950863</v>
      </c>
      <c r="I233" s="39"/>
      <c r="J233" s="39"/>
      <c r="K233" s="39">
        <v>18793</v>
      </c>
      <c r="L233" s="39">
        <f>(G233-K233)/C233</f>
        <v>-9.3416666666666668</v>
      </c>
      <c r="M233" s="4"/>
    </row>
    <row r="234" spans="1:13" x14ac:dyDescent="0.25">
      <c r="A234" s="4">
        <v>400</v>
      </c>
      <c r="B234" s="161">
        <v>42944</v>
      </c>
      <c r="C234" s="10">
        <v>450</v>
      </c>
      <c r="D234" s="168">
        <v>27.52</v>
      </c>
      <c r="E234" s="39">
        <v>29.28</v>
      </c>
      <c r="F234" s="39">
        <f t="shared" si="18"/>
        <v>792.00000000000068</v>
      </c>
      <c r="G234" s="39">
        <f t="shared" si="20"/>
        <v>12384</v>
      </c>
      <c r="H234" s="176">
        <f t="shared" si="19"/>
        <v>6.3953488372093081E-2</v>
      </c>
      <c r="I234" s="39"/>
      <c r="J234" s="39"/>
      <c r="K234" s="39">
        <v>19738</v>
      </c>
      <c r="L234" s="39">
        <f>(G234-K234)/C234</f>
        <v>-16.342222222222222</v>
      </c>
      <c r="M234" s="4"/>
    </row>
    <row r="235" spans="1:13" x14ac:dyDescent="0.25">
      <c r="A235" s="4">
        <v>400</v>
      </c>
      <c r="B235" s="161">
        <v>42947</v>
      </c>
      <c r="C235" s="10">
        <v>500</v>
      </c>
      <c r="D235" s="168">
        <v>27.613800000000001</v>
      </c>
      <c r="E235" s="39">
        <v>28.12</v>
      </c>
      <c r="F235" s="39">
        <f t="shared" si="18"/>
        <v>253.09999999999988</v>
      </c>
      <c r="G235" s="39">
        <f t="shared" si="20"/>
        <v>13806.900000000001</v>
      </c>
      <c r="H235" s="176">
        <f t="shared" si="19"/>
        <v>1.8331414003143347E-2</v>
      </c>
      <c r="I235" s="39"/>
      <c r="J235" s="39"/>
      <c r="K235" s="39">
        <v>19200</v>
      </c>
      <c r="L235" s="39">
        <f t="shared" ref="L235:L243" si="22">(G235-K235)/C235</f>
        <v>-10.786199999999997</v>
      </c>
      <c r="M235" s="4"/>
    </row>
    <row r="236" spans="1:13" x14ac:dyDescent="0.25">
      <c r="A236" s="4">
        <v>400</v>
      </c>
      <c r="B236" s="161">
        <v>42950</v>
      </c>
      <c r="C236" s="10">
        <v>550</v>
      </c>
      <c r="D236" s="168">
        <v>27.622</v>
      </c>
      <c r="E236" s="39">
        <v>27.83</v>
      </c>
      <c r="F236" s="39">
        <f t="shared" si="18"/>
        <v>114.39999999999912</v>
      </c>
      <c r="G236" s="39">
        <f t="shared" si="20"/>
        <v>15192.1</v>
      </c>
      <c r="H236" s="176">
        <f t="shared" si="19"/>
        <v>7.5302295271884156E-3</v>
      </c>
      <c r="I236" s="39"/>
      <c r="J236" s="39"/>
      <c r="K236" s="39">
        <v>19061</v>
      </c>
      <c r="L236" s="39">
        <f t="shared" si="22"/>
        <v>-7.0343636363636355</v>
      </c>
      <c r="M236" s="4"/>
    </row>
    <row r="237" spans="1:13" x14ac:dyDescent="0.25">
      <c r="A237" s="4">
        <v>300</v>
      </c>
      <c r="B237" s="161">
        <v>42955</v>
      </c>
      <c r="C237" s="10">
        <v>450</v>
      </c>
      <c r="D237" s="168">
        <v>27.276</v>
      </c>
      <c r="E237" s="39">
        <v>28.84</v>
      </c>
      <c r="F237" s="39">
        <f t="shared" si="18"/>
        <v>703.80000000000007</v>
      </c>
      <c r="G237" s="39">
        <f t="shared" si="20"/>
        <v>12274.2</v>
      </c>
      <c r="H237" s="176">
        <f t="shared" si="19"/>
        <v>5.7339785892359586E-2</v>
      </c>
      <c r="I237" s="39"/>
      <c r="J237" s="39"/>
      <c r="K237" s="39">
        <v>19651</v>
      </c>
      <c r="L237" s="39">
        <f t="shared" si="22"/>
        <v>-16.392888888888887</v>
      </c>
      <c r="M237" s="4"/>
    </row>
    <row r="238" spans="1:13" x14ac:dyDescent="0.25">
      <c r="A238" s="4">
        <v>300</v>
      </c>
      <c r="B238" s="161">
        <v>42957</v>
      </c>
      <c r="C238" s="10">
        <v>550</v>
      </c>
      <c r="D238" s="168">
        <v>27.385000000000002</v>
      </c>
      <c r="E238" s="39">
        <v>27.49</v>
      </c>
      <c r="F238" s="39">
        <f t="shared" si="18"/>
        <v>57.74999999999828</v>
      </c>
      <c r="G238" s="39">
        <f t="shared" si="20"/>
        <v>15061.75</v>
      </c>
      <c r="H238" s="176">
        <f t="shared" si="19"/>
        <v>3.8342158115755656E-3</v>
      </c>
      <c r="I238" s="39"/>
      <c r="J238" s="39"/>
      <c r="K238" s="39">
        <v>19004</v>
      </c>
      <c r="L238" s="39">
        <f t="shared" si="22"/>
        <v>-7.1677272727272729</v>
      </c>
      <c r="M238" s="4"/>
    </row>
    <row r="239" spans="1:13" x14ac:dyDescent="0.25">
      <c r="A239" s="4">
        <v>200</v>
      </c>
      <c r="B239" s="161">
        <v>42962</v>
      </c>
      <c r="C239" s="10">
        <v>450</v>
      </c>
      <c r="D239" s="168">
        <v>26.96</v>
      </c>
      <c r="E239" s="39">
        <v>29.68</v>
      </c>
      <c r="F239" s="39">
        <f t="shared" si="18"/>
        <v>1223.9999999999995</v>
      </c>
      <c r="G239" s="39">
        <f t="shared" si="20"/>
        <v>12132</v>
      </c>
      <c r="H239" s="176">
        <f t="shared" si="19"/>
        <v>0.10089020771513349</v>
      </c>
      <c r="I239" s="39"/>
      <c r="J239" s="39"/>
      <c r="K239" s="39">
        <v>20172</v>
      </c>
      <c r="L239" s="39">
        <f t="shared" si="22"/>
        <v>-17.866666666666667</v>
      </c>
    </row>
    <row r="240" spans="1:13" x14ac:dyDescent="0.25">
      <c r="A240" s="4">
        <v>0</v>
      </c>
      <c r="B240" s="161">
        <v>42963</v>
      </c>
      <c r="C240" s="10">
        <v>250</v>
      </c>
      <c r="D240" s="168">
        <v>24.22</v>
      </c>
      <c r="E240" s="39">
        <v>30.4</v>
      </c>
      <c r="F240" s="39">
        <f t="shared" si="18"/>
        <v>1545</v>
      </c>
      <c r="G240" s="39">
        <f t="shared" si="20"/>
        <v>6055</v>
      </c>
      <c r="H240" s="176">
        <f t="shared" si="19"/>
        <v>0.25516102394715112</v>
      </c>
      <c r="I240" s="39"/>
      <c r="J240" s="39"/>
      <c r="K240" s="39">
        <v>20492</v>
      </c>
      <c r="L240" s="39">
        <f t="shared" si="22"/>
        <v>-57.747999999999998</v>
      </c>
    </row>
    <row r="241" spans="1:12" x14ac:dyDescent="0.25">
      <c r="A241" s="4">
        <v>50</v>
      </c>
      <c r="B241" s="161">
        <v>42978</v>
      </c>
      <c r="C241" s="10">
        <v>200</v>
      </c>
      <c r="D241" s="168">
        <v>22.361000000000001</v>
      </c>
      <c r="E241" s="39">
        <v>31.625</v>
      </c>
      <c r="F241" s="39">
        <f t="shared" si="18"/>
        <v>1852.8</v>
      </c>
      <c r="G241" s="39">
        <f t="shared" si="20"/>
        <v>4472.2</v>
      </c>
      <c r="H241" s="176">
        <f t="shared" si="19"/>
        <v>0.41429274182728854</v>
      </c>
      <c r="I241" s="39"/>
      <c r="J241" s="39"/>
      <c r="K241" s="39">
        <v>20799</v>
      </c>
      <c r="L241" s="39">
        <f t="shared" si="22"/>
        <v>-81.634</v>
      </c>
    </row>
    <row r="242" spans="1:12" x14ac:dyDescent="0.25">
      <c r="A242" s="4">
        <v>0</v>
      </c>
      <c r="B242" s="161">
        <v>42979</v>
      </c>
      <c r="C242" s="10">
        <v>150</v>
      </c>
      <c r="D242" s="168">
        <v>19.055299999999999</v>
      </c>
      <c r="E242" s="39">
        <v>32.6</v>
      </c>
      <c r="F242" s="39">
        <f t="shared" si="18"/>
        <v>2031.7050000000004</v>
      </c>
      <c r="G242" s="39">
        <f t="shared" si="20"/>
        <v>2858.2950000000001</v>
      </c>
      <c r="H242" s="176">
        <f t="shared" si="19"/>
        <v>0.71081011582079545</v>
      </c>
      <c r="I242" s="39"/>
      <c r="J242" s="39"/>
      <c r="K242" s="39">
        <v>20978</v>
      </c>
      <c r="L242" s="39">
        <f t="shared" si="22"/>
        <v>-120.79803333333335</v>
      </c>
    </row>
    <row r="243" spans="1:12" x14ac:dyDescent="0.25">
      <c r="A243" s="4">
        <v>50</v>
      </c>
      <c r="B243" s="161">
        <v>42983</v>
      </c>
      <c r="C243" s="10">
        <v>150</v>
      </c>
      <c r="D243" s="168">
        <v>19.055299999999999</v>
      </c>
      <c r="E243" s="39">
        <v>32.07</v>
      </c>
      <c r="F243" s="39">
        <f t="shared" si="18"/>
        <v>1952.2050000000002</v>
      </c>
      <c r="G243" s="39">
        <f t="shared" si="20"/>
        <v>2858.2950000000001</v>
      </c>
      <c r="H243" s="176">
        <f t="shared" si="19"/>
        <v>0.68299633172923024</v>
      </c>
      <c r="I243" s="39"/>
      <c r="J243" s="39"/>
      <c r="K243" s="39">
        <v>20899</v>
      </c>
      <c r="L243" s="39">
        <f t="shared" si="22"/>
        <v>-120.27136666666668</v>
      </c>
    </row>
    <row r="244" spans="1:12" x14ac:dyDescent="0.25">
      <c r="B244" s="161"/>
      <c r="C244" s="10"/>
      <c r="D244" s="168"/>
      <c r="E244" s="39"/>
      <c r="F244" s="39"/>
      <c r="G244" s="39"/>
      <c r="H244" s="176"/>
      <c r="I244" s="39"/>
      <c r="J244" s="39"/>
      <c r="K244" s="39"/>
      <c r="L244" s="39"/>
    </row>
    <row r="245" spans="1:12" x14ac:dyDescent="0.25">
      <c r="B245" s="161"/>
      <c r="C245" s="10"/>
      <c r="D245" s="168"/>
      <c r="E245" s="39"/>
      <c r="F245" s="39"/>
      <c r="G245" s="39"/>
      <c r="H245" s="176"/>
      <c r="I245" s="39"/>
      <c r="J245" s="39"/>
      <c r="K245" s="39"/>
      <c r="L245" s="39"/>
    </row>
    <row r="246" spans="1:12" x14ac:dyDescent="0.25">
      <c r="B246" s="161"/>
      <c r="C246" s="10"/>
      <c r="D246" s="168"/>
      <c r="E246" s="39"/>
      <c r="F246" s="39"/>
      <c r="G246" s="39"/>
      <c r="H246" s="176"/>
      <c r="I246" s="39"/>
      <c r="J246" s="39"/>
      <c r="K246" s="39"/>
      <c r="L246" s="39"/>
    </row>
    <row r="247" spans="1:12" x14ac:dyDescent="0.25">
      <c r="B247" s="161"/>
      <c r="C247" s="10"/>
      <c r="D247" s="168"/>
      <c r="E247" s="39"/>
      <c r="F247" s="39"/>
      <c r="G247" s="39"/>
      <c r="H247" s="176"/>
      <c r="I247" s="39"/>
      <c r="J247" s="39"/>
      <c r="K247" s="39"/>
      <c r="L247" s="39"/>
    </row>
    <row r="248" spans="1:12" x14ac:dyDescent="0.25">
      <c r="B248" s="161"/>
      <c r="C248" s="10"/>
      <c r="D248" s="168"/>
      <c r="E248" s="39"/>
      <c r="F248" s="39"/>
      <c r="G248" s="39"/>
      <c r="H248" s="176"/>
      <c r="I248" s="39"/>
      <c r="J248" s="39"/>
      <c r="K248" s="39"/>
      <c r="L248" s="39"/>
    </row>
    <row r="250" spans="1:12" x14ac:dyDescent="0.25">
      <c r="B250" s="161"/>
      <c r="C250" s="10"/>
      <c r="D250" s="168"/>
      <c r="E250" s="39"/>
      <c r="F250" s="39"/>
      <c r="G250" s="39"/>
      <c r="H250" s="176"/>
      <c r="I250" s="39"/>
      <c r="J250" s="39"/>
    </row>
    <row r="251" spans="1:12" x14ac:dyDescent="0.25">
      <c r="B251" s="161"/>
      <c r="C251" s="10"/>
      <c r="D251" s="168"/>
      <c r="E251" s="39"/>
      <c r="F251" s="39"/>
      <c r="G251" s="39"/>
      <c r="H251" s="176"/>
      <c r="I251" s="39"/>
      <c r="J251" s="39"/>
    </row>
    <row r="252" spans="1:12" x14ac:dyDescent="0.25">
      <c r="B252" s="161"/>
      <c r="C252" s="10"/>
      <c r="D252" s="168"/>
      <c r="E252" s="39"/>
      <c r="F252" s="39"/>
      <c r="G252" s="39"/>
      <c r="H252" s="176"/>
      <c r="I252" s="39"/>
      <c r="J252" s="39"/>
    </row>
    <row r="253" spans="1:12" x14ac:dyDescent="0.25">
      <c r="B253" s="161"/>
      <c r="C253" s="10"/>
      <c r="D253" s="168"/>
      <c r="E253" s="39"/>
      <c r="F253" s="39"/>
      <c r="G253" s="39"/>
      <c r="H253" s="176"/>
      <c r="I253" s="39"/>
      <c r="J253" s="39"/>
    </row>
    <row r="254" spans="1:12" x14ac:dyDescent="0.25">
      <c r="B254" s="161"/>
      <c r="C254" s="10"/>
      <c r="D254" s="168"/>
      <c r="E254" s="39"/>
      <c r="F254" s="39"/>
      <c r="G254" s="39"/>
      <c r="H254" s="176"/>
      <c r="I254" s="39"/>
      <c r="J254" s="39"/>
    </row>
    <row r="259" spans="1:13" x14ac:dyDescent="0.25">
      <c r="L259" t="s">
        <v>65</v>
      </c>
      <c r="M259" s="2">
        <f>M450+K450-F450</f>
        <v>21137.586999999941</v>
      </c>
    </row>
    <row r="260" spans="1:13" x14ac:dyDescent="0.25">
      <c r="A260" s="31" t="s">
        <v>1</v>
      </c>
      <c r="B260" s="31" t="s">
        <v>2</v>
      </c>
      <c r="C260" s="31" t="s">
        <v>4</v>
      </c>
      <c r="D260" s="31" t="s">
        <v>5</v>
      </c>
      <c r="E260" s="31" t="s">
        <v>94</v>
      </c>
      <c r="F260" s="31" t="s">
        <v>60</v>
      </c>
      <c r="G260" s="31" t="s">
        <v>3</v>
      </c>
      <c r="H260" s="31" t="s">
        <v>6</v>
      </c>
      <c r="I260" s="391" t="s">
        <v>7</v>
      </c>
      <c r="J260" s="391" t="s">
        <v>95</v>
      </c>
      <c r="K260" s="391" t="s">
        <v>61</v>
      </c>
      <c r="L260" s="31" t="s">
        <v>37</v>
      </c>
      <c r="M260" s="31" t="s">
        <v>38</v>
      </c>
    </row>
    <row r="261" spans="1:13" x14ac:dyDescent="0.25">
      <c r="A261" s="197" t="s">
        <v>34</v>
      </c>
      <c r="B261" s="465">
        <v>42166</v>
      </c>
      <c r="C261" s="193">
        <v>5</v>
      </c>
      <c r="D261" s="194">
        <v>26.04</v>
      </c>
      <c r="E261" s="194">
        <v>0</v>
      </c>
      <c r="F261" s="194">
        <f>C261*D261+E261</f>
        <v>130.19999999999999</v>
      </c>
      <c r="G261" s="198">
        <v>42186</v>
      </c>
      <c r="H261" s="193">
        <v>185</v>
      </c>
      <c r="I261" s="194">
        <v>19.75</v>
      </c>
      <c r="J261" s="194">
        <v>7.0000000000000007E-2</v>
      </c>
      <c r="K261" s="194">
        <f t="shared" ref="K261:K319" si="23">H261*I261-J261</f>
        <v>3653.68</v>
      </c>
      <c r="L261" s="193" t="s">
        <v>79</v>
      </c>
      <c r="M261" s="193"/>
    </row>
    <row r="262" spans="1:13" x14ac:dyDescent="0.25">
      <c r="A262" s="200" t="s">
        <v>71</v>
      </c>
      <c r="B262" s="465">
        <v>42167</v>
      </c>
      <c r="C262" s="193">
        <v>10</v>
      </c>
      <c r="D262" s="194">
        <v>25.1</v>
      </c>
      <c r="E262" s="194">
        <v>0</v>
      </c>
      <c r="F262" s="194">
        <f t="shared" ref="F262:F312" si="24">C262*D262+E262</f>
        <v>251</v>
      </c>
      <c r="G262" s="198">
        <v>42207</v>
      </c>
      <c r="H262" s="193">
        <v>20</v>
      </c>
      <c r="I262" s="194">
        <v>19.899999999999999</v>
      </c>
      <c r="J262" s="194">
        <v>0.01</v>
      </c>
      <c r="K262" s="194">
        <f t="shared" si="23"/>
        <v>397.99</v>
      </c>
      <c r="L262" s="193"/>
      <c r="M262" s="193"/>
    </row>
    <row r="263" spans="1:13" x14ac:dyDescent="0.25">
      <c r="A263" s="193"/>
      <c r="B263" s="465">
        <v>42179</v>
      </c>
      <c r="C263" s="193">
        <v>15</v>
      </c>
      <c r="D263" s="194">
        <v>24.51</v>
      </c>
      <c r="E263" s="194">
        <v>0</v>
      </c>
      <c r="F263" s="194">
        <f t="shared" si="24"/>
        <v>367.65000000000003</v>
      </c>
      <c r="G263" s="198">
        <v>42207</v>
      </c>
      <c r="H263" s="193">
        <v>95</v>
      </c>
      <c r="I263" s="194">
        <v>20.02</v>
      </c>
      <c r="J263" s="194">
        <v>0.5</v>
      </c>
      <c r="K263" s="194">
        <f t="shared" si="23"/>
        <v>1901.3999999999999</v>
      </c>
      <c r="L263" s="193"/>
      <c r="M263" s="193"/>
    </row>
    <row r="264" spans="1:13" x14ac:dyDescent="0.25">
      <c r="A264" s="193"/>
      <c r="B264" s="465">
        <v>42180</v>
      </c>
      <c r="C264" s="193">
        <v>100</v>
      </c>
      <c r="D264" s="194">
        <v>23.92</v>
      </c>
      <c r="E264" s="194">
        <v>0</v>
      </c>
      <c r="F264" s="194">
        <f t="shared" si="24"/>
        <v>2392</v>
      </c>
      <c r="G264" s="198">
        <v>42216</v>
      </c>
      <c r="H264" s="193">
        <v>165</v>
      </c>
      <c r="I264" s="194">
        <v>19.899999999999999</v>
      </c>
      <c r="J264" s="194">
        <v>0.06</v>
      </c>
      <c r="K264" s="194">
        <f t="shared" si="23"/>
        <v>3283.4399999999996</v>
      </c>
      <c r="L264" s="193"/>
      <c r="M264" s="193"/>
    </row>
    <row r="265" spans="1:13" x14ac:dyDescent="0.25">
      <c r="A265" s="193"/>
      <c r="B265" s="465">
        <v>42185</v>
      </c>
      <c r="C265" s="193">
        <v>50</v>
      </c>
      <c r="D265" s="194">
        <v>21.21</v>
      </c>
      <c r="E265" s="194">
        <v>0</v>
      </c>
      <c r="F265" s="194">
        <f t="shared" si="24"/>
        <v>1060.5</v>
      </c>
      <c r="G265" s="198">
        <v>42236</v>
      </c>
      <c r="H265" s="193">
        <v>630</v>
      </c>
      <c r="I265" s="194">
        <v>17.199682539682538</v>
      </c>
      <c r="J265" s="194">
        <v>0</v>
      </c>
      <c r="K265" s="194">
        <f t="shared" si="23"/>
        <v>10835.8</v>
      </c>
      <c r="L265" s="193"/>
      <c r="M265" s="193"/>
    </row>
    <row r="266" spans="1:13" x14ac:dyDescent="0.25">
      <c r="A266" s="193"/>
      <c r="B266" s="465">
        <v>42186</v>
      </c>
      <c r="C266" s="193">
        <v>50</v>
      </c>
      <c r="D266" s="194">
        <v>20.5</v>
      </c>
      <c r="E266" s="194">
        <v>0</v>
      </c>
      <c r="F266" s="194">
        <f t="shared" si="24"/>
        <v>1025</v>
      </c>
      <c r="G266" s="198">
        <v>42257</v>
      </c>
      <c r="H266" s="193">
        <v>850</v>
      </c>
      <c r="I266" s="194">
        <v>17.18</v>
      </c>
      <c r="J266" s="194">
        <v>0.27</v>
      </c>
      <c r="K266" s="194">
        <f t="shared" si="23"/>
        <v>14602.73</v>
      </c>
      <c r="L266" s="193"/>
      <c r="M266" s="193"/>
    </row>
    <row r="267" spans="1:13" x14ac:dyDescent="0.25">
      <c r="A267" s="193"/>
      <c r="B267" s="465">
        <v>42186</v>
      </c>
      <c r="C267" s="193">
        <v>170</v>
      </c>
      <c r="D267" s="194">
        <v>19.600000000000001</v>
      </c>
      <c r="E267" s="194">
        <v>0</v>
      </c>
      <c r="F267" s="194">
        <f t="shared" si="24"/>
        <v>3332.0000000000005</v>
      </c>
      <c r="G267" s="198">
        <v>42283</v>
      </c>
      <c r="H267" s="193">
        <v>1580</v>
      </c>
      <c r="I267" s="194">
        <v>15.83</v>
      </c>
      <c r="J267" s="194">
        <v>0.46</v>
      </c>
      <c r="K267" s="194">
        <f t="shared" si="23"/>
        <v>25010.940000000002</v>
      </c>
      <c r="L267" s="193"/>
      <c r="M267" s="193"/>
    </row>
    <row r="268" spans="1:13" x14ac:dyDescent="0.25">
      <c r="A268" s="193"/>
      <c r="B268" s="465">
        <v>42187</v>
      </c>
      <c r="C268" s="193">
        <v>1000</v>
      </c>
      <c r="D268" s="194">
        <v>19.2</v>
      </c>
      <c r="E268" s="194">
        <v>0</v>
      </c>
      <c r="F268" s="194">
        <f t="shared" si="24"/>
        <v>19200</v>
      </c>
      <c r="G268" s="364">
        <v>42285</v>
      </c>
      <c r="H268" s="193">
        <v>1440</v>
      </c>
      <c r="I268" s="194">
        <v>16.75</v>
      </c>
      <c r="J268" s="194">
        <v>0.44</v>
      </c>
      <c r="K268" s="194">
        <f t="shared" si="23"/>
        <v>24119.56</v>
      </c>
      <c r="L268" s="193"/>
      <c r="M268" s="193"/>
    </row>
    <row r="269" spans="1:13" x14ac:dyDescent="0.25">
      <c r="A269" s="193"/>
      <c r="B269" s="465">
        <v>42199</v>
      </c>
      <c r="C269" s="193">
        <v>100</v>
      </c>
      <c r="D269" s="194">
        <v>17.25</v>
      </c>
      <c r="E269" s="194">
        <v>0</v>
      </c>
      <c r="F269" s="194">
        <f t="shared" si="24"/>
        <v>1725</v>
      </c>
      <c r="G269" s="364">
        <v>42291</v>
      </c>
      <c r="H269" s="193">
        <v>410</v>
      </c>
      <c r="I269" s="194">
        <v>18.989999999999998</v>
      </c>
      <c r="J269" s="194">
        <v>0.14000000000000001</v>
      </c>
      <c r="K269" s="194">
        <f t="shared" si="23"/>
        <v>7785.7599999999993</v>
      </c>
      <c r="L269" s="194"/>
      <c r="M269" s="193"/>
    </row>
    <row r="270" spans="1:13" x14ac:dyDescent="0.25">
      <c r="A270" s="193"/>
      <c r="B270" s="465">
        <v>42205</v>
      </c>
      <c r="C270" s="193">
        <v>20</v>
      </c>
      <c r="D270" s="194">
        <v>18.850000000000001</v>
      </c>
      <c r="E270" s="194">
        <v>0</v>
      </c>
      <c r="F270" s="194">
        <f t="shared" si="24"/>
        <v>377</v>
      </c>
      <c r="G270" s="198">
        <v>42296</v>
      </c>
      <c r="H270" s="193">
        <v>2470</v>
      </c>
      <c r="I270" s="194">
        <v>19.100000000000001</v>
      </c>
      <c r="J270" s="194">
        <v>0.87</v>
      </c>
      <c r="K270" s="194">
        <f t="shared" si="23"/>
        <v>47176.13</v>
      </c>
      <c r="L270" s="193"/>
      <c r="M270" s="193"/>
    </row>
    <row r="271" spans="1:13" x14ac:dyDescent="0.25">
      <c r="A271" s="194"/>
      <c r="B271" s="465">
        <v>42208</v>
      </c>
      <c r="C271" s="193">
        <v>80</v>
      </c>
      <c r="D271" s="194">
        <v>18.95</v>
      </c>
      <c r="E271" s="194">
        <v>0</v>
      </c>
      <c r="F271" s="194">
        <f t="shared" si="24"/>
        <v>1516</v>
      </c>
      <c r="G271" s="198">
        <v>42310</v>
      </c>
      <c r="H271" s="193">
        <v>1100</v>
      </c>
      <c r="I271" s="194">
        <v>16.989999999999998</v>
      </c>
      <c r="J271" s="194">
        <v>7.29</v>
      </c>
      <c r="K271" s="194">
        <f t="shared" si="23"/>
        <v>18681.71</v>
      </c>
      <c r="L271" s="193"/>
      <c r="M271" s="193"/>
    </row>
    <row r="272" spans="1:13" x14ac:dyDescent="0.25">
      <c r="A272" s="193"/>
      <c r="B272" s="465">
        <v>42212</v>
      </c>
      <c r="C272" s="193">
        <v>100</v>
      </c>
      <c r="D272" s="194">
        <v>17.95</v>
      </c>
      <c r="E272" s="194">
        <v>0</v>
      </c>
      <c r="F272" s="194">
        <f t="shared" si="24"/>
        <v>1795</v>
      </c>
      <c r="G272" s="579">
        <v>42314</v>
      </c>
      <c r="H272" s="193">
        <v>2200</v>
      </c>
      <c r="I272" s="194">
        <v>17.55</v>
      </c>
      <c r="J272" s="194">
        <v>0.77</v>
      </c>
      <c r="K272" s="194">
        <f t="shared" si="23"/>
        <v>38609.230000000003</v>
      </c>
      <c r="L272" s="193"/>
      <c r="M272" s="193"/>
    </row>
    <row r="273" spans="1:13" x14ac:dyDescent="0.25">
      <c r="A273" s="193"/>
      <c r="B273" s="465">
        <v>42221</v>
      </c>
      <c r="C273" s="193">
        <v>65</v>
      </c>
      <c r="D273" s="194">
        <v>19.100000000000001</v>
      </c>
      <c r="E273" s="194">
        <v>0</v>
      </c>
      <c r="F273" s="194">
        <f t="shared" si="24"/>
        <v>1241.5</v>
      </c>
      <c r="G273" s="579"/>
      <c r="H273" s="193">
        <v>190</v>
      </c>
      <c r="I273" s="194">
        <v>17.55</v>
      </c>
      <c r="J273" s="194">
        <v>0</v>
      </c>
      <c r="K273" s="194">
        <f t="shared" si="23"/>
        <v>3334.5</v>
      </c>
      <c r="L273" s="193"/>
      <c r="M273" s="193"/>
    </row>
    <row r="274" spans="1:13" x14ac:dyDescent="0.25">
      <c r="A274" s="193"/>
      <c r="B274" s="465">
        <v>42221</v>
      </c>
      <c r="C274" s="193">
        <v>300</v>
      </c>
      <c r="D274" s="194">
        <v>18.600000000000001</v>
      </c>
      <c r="E274" s="194">
        <v>0</v>
      </c>
      <c r="F274" s="194">
        <f t="shared" si="24"/>
        <v>5580</v>
      </c>
      <c r="G274" s="198">
        <v>42320</v>
      </c>
      <c r="H274" s="193">
        <v>1000</v>
      </c>
      <c r="I274" s="194">
        <v>16.734999999999999</v>
      </c>
      <c r="J274" s="194">
        <v>0.31</v>
      </c>
      <c r="K274" s="194">
        <f t="shared" si="23"/>
        <v>16734.689999999999</v>
      </c>
      <c r="L274" s="193"/>
      <c r="M274" s="193"/>
    </row>
    <row r="275" spans="1:13" x14ac:dyDescent="0.25">
      <c r="A275" s="193"/>
      <c r="B275" s="465">
        <v>42221</v>
      </c>
      <c r="C275" s="193">
        <v>200</v>
      </c>
      <c r="D275" s="194">
        <v>18.5</v>
      </c>
      <c r="E275" s="194">
        <v>0</v>
      </c>
      <c r="F275" s="194">
        <f t="shared" si="24"/>
        <v>3700</v>
      </c>
      <c r="G275" s="198">
        <v>42328</v>
      </c>
      <c r="H275" s="193">
        <v>940</v>
      </c>
      <c r="I275" s="194">
        <v>15.51</v>
      </c>
      <c r="J275" s="194">
        <v>0.27</v>
      </c>
      <c r="K275" s="194">
        <f t="shared" si="23"/>
        <v>14579.13</v>
      </c>
      <c r="L275" s="193"/>
      <c r="M275" s="193"/>
    </row>
    <row r="276" spans="1:13" x14ac:dyDescent="0.25">
      <c r="A276" s="193"/>
      <c r="B276" s="465">
        <v>42223</v>
      </c>
      <c r="C276" s="193">
        <v>50</v>
      </c>
      <c r="D276" s="194">
        <v>18.75</v>
      </c>
      <c r="E276" s="194">
        <v>0</v>
      </c>
      <c r="F276" s="194">
        <f t="shared" si="24"/>
        <v>937.5</v>
      </c>
      <c r="G276" s="198">
        <v>42335</v>
      </c>
      <c r="H276" s="193">
        <v>940</v>
      </c>
      <c r="I276" s="194">
        <v>15.62</v>
      </c>
      <c r="J276" s="194">
        <v>0.27</v>
      </c>
      <c r="K276" s="194">
        <f t="shared" si="23"/>
        <v>14682.529999999999</v>
      </c>
      <c r="L276" s="193"/>
      <c r="M276" s="193"/>
    </row>
    <row r="277" spans="1:13" x14ac:dyDescent="0.25">
      <c r="A277" s="193"/>
      <c r="B277" s="465">
        <v>42227</v>
      </c>
      <c r="C277" s="193">
        <v>50</v>
      </c>
      <c r="D277" s="194">
        <v>18.45</v>
      </c>
      <c r="E277" s="194">
        <v>0</v>
      </c>
      <c r="F277" s="194">
        <f t="shared" si="24"/>
        <v>922.5</v>
      </c>
      <c r="G277" s="198">
        <v>42341</v>
      </c>
      <c r="H277" s="193">
        <v>350</v>
      </c>
      <c r="I277" s="194">
        <v>16.03</v>
      </c>
      <c r="J277" s="194">
        <v>0.1</v>
      </c>
      <c r="K277" s="194">
        <f t="shared" si="23"/>
        <v>5610.4</v>
      </c>
      <c r="L277" s="193"/>
      <c r="M277" s="193"/>
    </row>
    <row r="278" spans="1:13" x14ac:dyDescent="0.25">
      <c r="A278" s="193"/>
      <c r="B278" s="465">
        <v>42228</v>
      </c>
      <c r="C278" s="193">
        <v>100</v>
      </c>
      <c r="D278" s="194">
        <v>18.45</v>
      </c>
      <c r="E278" s="194">
        <v>0</v>
      </c>
      <c r="F278" s="194">
        <f t="shared" si="24"/>
        <v>1845</v>
      </c>
      <c r="G278" s="198">
        <v>42346</v>
      </c>
      <c r="H278" s="193">
        <v>200</v>
      </c>
      <c r="I278" s="194">
        <v>16.2</v>
      </c>
      <c r="J278" s="194">
        <v>0.06</v>
      </c>
      <c r="K278" s="194">
        <f t="shared" si="23"/>
        <v>3239.94</v>
      </c>
      <c r="L278" s="193"/>
      <c r="M278" s="193"/>
    </row>
    <row r="279" spans="1:13" x14ac:dyDescent="0.25">
      <c r="A279" s="193"/>
      <c r="B279" s="465">
        <v>42228</v>
      </c>
      <c r="C279" s="193">
        <v>200</v>
      </c>
      <c r="D279" s="194">
        <v>18.190000000000001</v>
      </c>
      <c r="E279" s="194">
        <v>0</v>
      </c>
      <c r="F279" s="194">
        <f t="shared" si="24"/>
        <v>3638.0000000000005</v>
      </c>
      <c r="G279" s="198">
        <v>42353</v>
      </c>
      <c r="H279" s="193">
        <v>200</v>
      </c>
      <c r="I279" s="194">
        <v>14.74</v>
      </c>
      <c r="J279" s="194">
        <v>0.05</v>
      </c>
      <c r="K279" s="194">
        <f t="shared" si="23"/>
        <v>2947.95</v>
      </c>
      <c r="L279" s="193"/>
      <c r="M279" s="193"/>
    </row>
    <row r="280" spans="1:13" x14ac:dyDescent="0.25">
      <c r="A280" s="193"/>
      <c r="B280" s="465">
        <v>42228</v>
      </c>
      <c r="C280" s="193">
        <v>200</v>
      </c>
      <c r="D280" s="194">
        <v>18.100000000000001</v>
      </c>
      <c r="E280" s="194">
        <v>0</v>
      </c>
      <c r="F280" s="194">
        <f t="shared" si="24"/>
        <v>3620.0000000000005</v>
      </c>
      <c r="G280" s="198">
        <v>42354</v>
      </c>
      <c r="H280" s="193">
        <v>940</v>
      </c>
      <c r="I280" s="194">
        <v>14.15</v>
      </c>
      <c r="J280" s="194">
        <v>0.24</v>
      </c>
      <c r="K280" s="194">
        <f t="shared" si="23"/>
        <v>13300.76</v>
      </c>
      <c r="L280" s="193"/>
      <c r="M280" s="193"/>
    </row>
    <row r="281" spans="1:13" x14ac:dyDescent="0.25">
      <c r="A281" s="193"/>
      <c r="B281" s="465">
        <v>42229</v>
      </c>
      <c r="C281" s="193">
        <v>100</v>
      </c>
      <c r="D281" s="194">
        <v>18.329999999999998</v>
      </c>
      <c r="E281" s="194">
        <v>0</v>
      </c>
      <c r="F281" s="194">
        <f t="shared" si="24"/>
        <v>1832.9999999999998</v>
      </c>
      <c r="G281" s="198">
        <v>42354</v>
      </c>
      <c r="H281" s="193">
        <v>1140</v>
      </c>
      <c r="I281" s="194">
        <v>14.06</v>
      </c>
      <c r="J281" s="194">
        <v>1.86</v>
      </c>
      <c r="K281" s="194">
        <f t="shared" si="23"/>
        <v>16026.54</v>
      </c>
      <c r="L281" s="193"/>
      <c r="M281" s="193"/>
    </row>
    <row r="282" spans="1:13" x14ac:dyDescent="0.25">
      <c r="A282" s="193"/>
      <c r="B282" s="465">
        <v>42230</v>
      </c>
      <c r="C282" s="193">
        <v>100</v>
      </c>
      <c r="D282" s="194">
        <v>18</v>
      </c>
      <c r="E282" s="194">
        <v>0</v>
      </c>
      <c r="F282" s="194">
        <f t="shared" si="24"/>
        <v>1800</v>
      </c>
      <c r="G282" s="198">
        <v>42355</v>
      </c>
      <c r="H282" s="193">
        <v>1840</v>
      </c>
      <c r="I282" s="194">
        <v>14.55</v>
      </c>
      <c r="J282" s="194">
        <v>0.49</v>
      </c>
      <c r="K282" s="194">
        <f t="shared" si="23"/>
        <v>26771.51</v>
      </c>
      <c r="L282" s="193"/>
      <c r="M282" s="193"/>
    </row>
    <row r="283" spans="1:13" x14ac:dyDescent="0.25">
      <c r="A283" s="193"/>
      <c r="B283" s="465">
        <v>42230</v>
      </c>
      <c r="C283" s="193">
        <v>200</v>
      </c>
      <c r="D283" s="194">
        <v>17.78</v>
      </c>
      <c r="E283" s="194">
        <v>0</v>
      </c>
      <c r="F283" s="194">
        <f t="shared" si="24"/>
        <v>3556</v>
      </c>
      <c r="G283" s="198">
        <v>42361</v>
      </c>
      <c r="H283" s="193">
        <v>1000</v>
      </c>
      <c r="I283" s="194">
        <v>14.39</v>
      </c>
      <c r="J283" s="194">
        <v>0.27</v>
      </c>
      <c r="K283" s="194">
        <f t="shared" si="23"/>
        <v>14389.73</v>
      </c>
      <c r="L283" s="193"/>
      <c r="M283" s="193"/>
    </row>
    <row r="284" spans="1:13" x14ac:dyDescent="0.25">
      <c r="A284" s="193"/>
      <c r="B284" s="465">
        <v>42234</v>
      </c>
      <c r="C284" s="193">
        <v>100</v>
      </c>
      <c r="D284" s="194">
        <v>17.75</v>
      </c>
      <c r="E284" s="194">
        <v>0</v>
      </c>
      <c r="F284" s="194">
        <f t="shared" si="24"/>
        <v>1775</v>
      </c>
      <c r="G284" s="198">
        <v>42361</v>
      </c>
      <c r="H284" s="193">
        <v>500</v>
      </c>
      <c r="I284" s="194">
        <v>14.4</v>
      </c>
      <c r="J284" s="194">
        <v>0.14000000000000001</v>
      </c>
      <c r="K284" s="194">
        <f t="shared" si="23"/>
        <v>7199.86</v>
      </c>
      <c r="L284" s="193"/>
      <c r="M284" s="193"/>
    </row>
    <row r="285" spans="1:13" x14ac:dyDescent="0.25">
      <c r="A285" s="193"/>
      <c r="B285" s="465">
        <v>42235</v>
      </c>
      <c r="C285" s="193">
        <v>100</v>
      </c>
      <c r="D285" s="194">
        <v>17.350000000000001</v>
      </c>
      <c r="E285" s="194">
        <v>0</v>
      </c>
      <c r="F285" s="194">
        <f t="shared" si="24"/>
        <v>1735.0000000000002</v>
      </c>
      <c r="G285" s="198">
        <v>42362</v>
      </c>
      <c r="H285" s="193">
        <v>440</v>
      </c>
      <c r="I285" s="194">
        <v>14.66</v>
      </c>
      <c r="J285" s="194">
        <v>0.12</v>
      </c>
      <c r="K285" s="194">
        <f t="shared" si="23"/>
        <v>6450.28</v>
      </c>
      <c r="L285" s="193"/>
      <c r="M285" s="193"/>
    </row>
    <row r="286" spans="1:13" x14ac:dyDescent="0.25">
      <c r="A286" s="193"/>
      <c r="B286" s="465">
        <v>42235</v>
      </c>
      <c r="C286" s="193">
        <v>100</v>
      </c>
      <c r="D286" s="194">
        <v>17.55</v>
      </c>
      <c r="E286" s="194">
        <v>0</v>
      </c>
      <c r="F286" s="194">
        <f t="shared" si="24"/>
        <v>1755</v>
      </c>
      <c r="G286" s="198">
        <v>42362</v>
      </c>
      <c r="H286" s="193">
        <v>1000</v>
      </c>
      <c r="I286" s="194">
        <v>14.76</v>
      </c>
      <c r="J286" s="194">
        <v>0.27</v>
      </c>
      <c r="K286" s="194">
        <f t="shared" si="23"/>
        <v>14759.73</v>
      </c>
      <c r="L286" s="193"/>
      <c r="M286" s="193"/>
    </row>
    <row r="287" spans="1:13" x14ac:dyDescent="0.25">
      <c r="A287" s="193"/>
      <c r="B287" s="465">
        <v>42235</v>
      </c>
      <c r="C287" s="193">
        <v>100</v>
      </c>
      <c r="D287" s="194">
        <v>17.170000000000002</v>
      </c>
      <c r="E287" s="194">
        <v>0</v>
      </c>
      <c r="F287" s="194">
        <f t="shared" si="24"/>
        <v>1717.0000000000002</v>
      </c>
      <c r="G287" s="198">
        <v>42398</v>
      </c>
      <c r="H287" s="193">
        <v>260</v>
      </c>
      <c r="I287" s="194">
        <v>10.78</v>
      </c>
      <c r="J287" s="194">
        <v>0.05</v>
      </c>
      <c r="K287" s="194">
        <f t="shared" si="23"/>
        <v>2802.7499999999995</v>
      </c>
      <c r="L287" s="193"/>
      <c r="M287" s="193"/>
    </row>
    <row r="288" spans="1:13" x14ac:dyDescent="0.25">
      <c r="A288" s="193"/>
      <c r="B288" s="465">
        <v>42235</v>
      </c>
      <c r="C288" s="193">
        <v>100</v>
      </c>
      <c r="D288" s="194">
        <v>17</v>
      </c>
      <c r="E288" s="194">
        <v>0</v>
      </c>
      <c r="F288" s="194">
        <f t="shared" si="24"/>
        <v>1700</v>
      </c>
      <c r="G288" s="198">
        <v>42418</v>
      </c>
      <c r="H288" s="193">
        <v>500</v>
      </c>
      <c r="I288" s="194">
        <v>10.67</v>
      </c>
      <c r="J288" s="194">
        <v>0.12</v>
      </c>
      <c r="K288" s="194">
        <f t="shared" si="23"/>
        <v>5334.88</v>
      </c>
      <c r="L288" s="193"/>
      <c r="M288" s="193"/>
    </row>
    <row r="289" spans="1:13" x14ac:dyDescent="0.25">
      <c r="A289" s="193"/>
      <c r="B289" s="465">
        <v>42236</v>
      </c>
      <c r="C289" s="193">
        <v>100</v>
      </c>
      <c r="D289" s="194">
        <v>16.559999999999999</v>
      </c>
      <c r="E289" s="194">
        <v>0</v>
      </c>
      <c r="F289" s="194">
        <f t="shared" si="24"/>
        <v>1655.9999999999998</v>
      </c>
      <c r="G289" s="198">
        <v>42418</v>
      </c>
      <c r="H289" s="193">
        <v>760</v>
      </c>
      <c r="I289" s="194">
        <v>10.85</v>
      </c>
      <c r="J289" s="194">
        <v>0.18</v>
      </c>
      <c r="K289" s="194">
        <f t="shared" si="23"/>
        <v>8245.82</v>
      </c>
      <c r="L289" s="193"/>
      <c r="M289" s="193"/>
    </row>
    <row r="290" spans="1:13" x14ac:dyDescent="0.25">
      <c r="A290" s="193"/>
      <c r="B290" s="465">
        <v>42236</v>
      </c>
      <c r="C290" s="193">
        <v>200</v>
      </c>
      <c r="D290" s="194">
        <v>16.21</v>
      </c>
      <c r="E290" s="194">
        <v>0</v>
      </c>
      <c r="F290" s="194">
        <f t="shared" si="24"/>
        <v>3242</v>
      </c>
      <c r="G290" s="198">
        <v>42418</v>
      </c>
      <c r="H290" s="193">
        <v>200</v>
      </c>
      <c r="I290" s="194">
        <v>11.46</v>
      </c>
      <c r="J290" s="194">
        <v>0.21</v>
      </c>
      <c r="K290" s="194">
        <f t="shared" si="23"/>
        <v>2291.79</v>
      </c>
      <c r="L290" s="193"/>
      <c r="M290" s="193"/>
    </row>
    <row r="291" spans="1:13" x14ac:dyDescent="0.25">
      <c r="A291" s="193"/>
      <c r="B291" s="465">
        <v>42236</v>
      </c>
      <c r="C291" s="193">
        <v>100</v>
      </c>
      <c r="D291" s="194">
        <v>16.399999999999999</v>
      </c>
      <c r="E291" s="194">
        <v>0</v>
      </c>
      <c r="F291" s="194">
        <f t="shared" si="24"/>
        <v>1639.9999999999998</v>
      </c>
      <c r="G291" s="198">
        <v>42418</v>
      </c>
      <c r="H291" s="199">
        <v>200</v>
      </c>
      <c r="I291" s="194">
        <v>11.7</v>
      </c>
      <c r="J291" s="194">
        <v>0.05</v>
      </c>
      <c r="K291" s="194">
        <f t="shared" si="23"/>
        <v>2339.9499999999998</v>
      </c>
      <c r="L291" s="193"/>
      <c r="M291" s="193"/>
    </row>
    <row r="292" spans="1:13" x14ac:dyDescent="0.25">
      <c r="A292" s="193"/>
      <c r="B292" s="465">
        <v>42237</v>
      </c>
      <c r="C292" s="193">
        <v>200</v>
      </c>
      <c r="D292" s="194">
        <v>16.32</v>
      </c>
      <c r="E292" s="194">
        <v>0</v>
      </c>
      <c r="F292" s="194">
        <f t="shared" si="24"/>
        <v>3264</v>
      </c>
      <c r="G292" s="198">
        <v>42431</v>
      </c>
      <c r="H292" s="199">
        <v>500</v>
      </c>
      <c r="I292" s="194">
        <v>11.57</v>
      </c>
      <c r="J292" s="194">
        <v>0.13</v>
      </c>
      <c r="K292" s="194">
        <f t="shared" si="23"/>
        <v>5784.87</v>
      </c>
      <c r="L292" s="193"/>
      <c r="M292" s="193"/>
    </row>
    <row r="293" spans="1:13" x14ac:dyDescent="0.25">
      <c r="A293" s="193"/>
      <c r="B293" s="465">
        <v>42237</v>
      </c>
      <c r="C293" s="193">
        <v>100</v>
      </c>
      <c r="D293" s="194">
        <v>16.420000000000002</v>
      </c>
      <c r="E293" s="194">
        <v>0</v>
      </c>
      <c r="F293" s="194">
        <f t="shared" si="24"/>
        <v>1642.0000000000002</v>
      </c>
      <c r="G293" s="198">
        <v>42436</v>
      </c>
      <c r="H293" s="199">
        <v>520</v>
      </c>
      <c r="I293" s="194">
        <v>11.59</v>
      </c>
      <c r="J293" s="194">
        <v>0.13</v>
      </c>
      <c r="K293" s="194">
        <f t="shared" si="23"/>
        <v>6026.67</v>
      </c>
      <c r="L293" s="193"/>
      <c r="M293" s="193"/>
    </row>
    <row r="294" spans="1:13" x14ac:dyDescent="0.25">
      <c r="A294" s="193"/>
      <c r="B294" s="465">
        <v>42240</v>
      </c>
      <c r="C294" s="193">
        <v>200</v>
      </c>
      <c r="D294" s="194">
        <v>16.27</v>
      </c>
      <c r="E294" s="194">
        <v>0</v>
      </c>
      <c r="F294" s="194">
        <f t="shared" si="24"/>
        <v>3254</v>
      </c>
      <c r="G294" s="198">
        <v>42446</v>
      </c>
      <c r="H294" s="199">
        <v>500</v>
      </c>
      <c r="I294" s="194">
        <v>10.95</v>
      </c>
      <c r="J294" s="194">
        <v>0.12</v>
      </c>
      <c r="K294" s="194">
        <f t="shared" si="23"/>
        <v>5474.88</v>
      </c>
      <c r="L294" s="193"/>
      <c r="M294" s="193"/>
    </row>
    <row r="295" spans="1:13" x14ac:dyDescent="0.25">
      <c r="A295" s="193"/>
      <c r="B295" s="465">
        <v>42240</v>
      </c>
      <c r="C295" s="193">
        <v>200</v>
      </c>
      <c r="D295" s="194">
        <v>16.2</v>
      </c>
      <c r="E295" s="194">
        <v>0</v>
      </c>
      <c r="F295" s="194">
        <f t="shared" si="24"/>
        <v>3240</v>
      </c>
      <c r="G295" s="198">
        <v>42447</v>
      </c>
      <c r="H295" s="199">
        <v>2000</v>
      </c>
      <c r="I295" s="194">
        <v>11.12</v>
      </c>
      <c r="J295" s="194">
        <v>0.48</v>
      </c>
      <c r="K295" s="194">
        <f t="shared" si="23"/>
        <v>22239.52</v>
      </c>
      <c r="L295" s="193"/>
      <c r="M295" s="193"/>
    </row>
    <row r="296" spans="1:13" x14ac:dyDescent="0.25">
      <c r="A296" s="193"/>
      <c r="B296" s="465">
        <v>42240</v>
      </c>
      <c r="C296" s="193">
        <v>100</v>
      </c>
      <c r="D296" s="194">
        <v>16.100000000000001</v>
      </c>
      <c r="E296" s="194">
        <v>0</v>
      </c>
      <c r="F296" s="194">
        <f t="shared" si="24"/>
        <v>1610.0000000000002</v>
      </c>
      <c r="G296" s="579">
        <v>42447</v>
      </c>
      <c r="H296" s="199">
        <v>355</v>
      </c>
      <c r="I296" s="194">
        <v>11.13</v>
      </c>
      <c r="J296" s="194">
        <v>0.12</v>
      </c>
      <c r="K296" s="194">
        <f t="shared" si="23"/>
        <v>3951.03</v>
      </c>
      <c r="L296" s="193"/>
      <c r="M296" s="193"/>
    </row>
    <row r="297" spans="1:13" x14ac:dyDescent="0.25">
      <c r="A297" s="193"/>
      <c r="B297" s="465">
        <v>42269</v>
      </c>
      <c r="C297" s="193">
        <v>800</v>
      </c>
      <c r="D297" s="194">
        <v>16.399999999999999</v>
      </c>
      <c r="E297" s="194">
        <v>0</v>
      </c>
      <c r="F297" s="194">
        <f t="shared" si="24"/>
        <v>13119.999999999998</v>
      </c>
      <c r="G297" s="579"/>
      <c r="H297" s="199">
        <v>40</v>
      </c>
      <c r="I297" s="194">
        <v>11.13</v>
      </c>
      <c r="J297" s="194">
        <v>0</v>
      </c>
      <c r="K297" s="194">
        <f t="shared" si="23"/>
        <v>445.20000000000005</v>
      </c>
      <c r="L297" s="193"/>
      <c r="M297" s="193"/>
    </row>
    <row r="298" spans="1:13" x14ac:dyDescent="0.25">
      <c r="A298" s="193"/>
      <c r="B298" s="465">
        <v>42270</v>
      </c>
      <c r="C298" s="193">
        <v>500</v>
      </c>
      <c r="D298" s="194">
        <v>15.8</v>
      </c>
      <c r="E298" s="194">
        <v>0</v>
      </c>
      <c r="F298" s="194">
        <f t="shared" si="24"/>
        <v>7900</v>
      </c>
      <c r="G298" s="579"/>
      <c r="H298" s="199">
        <v>105</v>
      </c>
      <c r="I298" s="194">
        <v>11.13</v>
      </c>
      <c r="J298" s="194">
        <v>0</v>
      </c>
      <c r="K298" s="194">
        <f t="shared" si="23"/>
        <v>1168.6500000000001</v>
      </c>
      <c r="L298" s="193"/>
      <c r="M298" s="193"/>
    </row>
    <row r="299" spans="1:13" x14ac:dyDescent="0.25">
      <c r="A299" s="193"/>
      <c r="B299" s="465">
        <v>42270</v>
      </c>
      <c r="C299" s="193">
        <v>1000</v>
      </c>
      <c r="D299" s="194">
        <v>15.6</v>
      </c>
      <c r="E299" s="194">
        <v>0</v>
      </c>
      <c r="F299" s="194">
        <f t="shared" si="24"/>
        <v>15600</v>
      </c>
      <c r="G299" s="198">
        <v>42450</v>
      </c>
      <c r="H299" s="199">
        <v>1300</v>
      </c>
      <c r="I299" s="194">
        <v>11.59</v>
      </c>
      <c r="J299" s="194">
        <v>0.33</v>
      </c>
      <c r="K299" s="194">
        <f t="shared" si="23"/>
        <v>15066.67</v>
      </c>
      <c r="L299" s="193"/>
      <c r="M299" s="193"/>
    </row>
    <row r="300" spans="1:13" x14ac:dyDescent="0.25">
      <c r="A300" s="193"/>
      <c r="B300" s="465">
        <v>42270</v>
      </c>
      <c r="C300" s="193">
        <v>180</v>
      </c>
      <c r="D300" s="194">
        <v>15.4</v>
      </c>
      <c r="E300" s="194">
        <v>0</v>
      </c>
      <c r="F300" s="194">
        <f t="shared" si="24"/>
        <v>2772</v>
      </c>
      <c r="G300" s="198">
        <v>42461</v>
      </c>
      <c r="H300" s="199">
        <v>100</v>
      </c>
      <c r="I300" s="194">
        <v>10.92</v>
      </c>
      <c r="J300" s="194">
        <v>0.02</v>
      </c>
      <c r="K300" s="194">
        <f t="shared" si="23"/>
        <v>1091.98</v>
      </c>
      <c r="L300" s="193"/>
      <c r="M300" s="193"/>
    </row>
    <row r="301" spans="1:13" x14ac:dyDescent="0.25">
      <c r="A301" s="193"/>
      <c r="B301" s="465">
        <v>42275</v>
      </c>
      <c r="C301" s="193">
        <v>200</v>
      </c>
      <c r="D301" s="194">
        <v>15</v>
      </c>
      <c r="E301" s="194">
        <v>0</v>
      </c>
      <c r="F301" s="194">
        <f t="shared" si="24"/>
        <v>3000</v>
      </c>
      <c r="G301" s="198">
        <v>42468</v>
      </c>
      <c r="H301" s="199">
        <v>500</v>
      </c>
      <c r="I301" s="194">
        <v>10.83</v>
      </c>
      <c r="J301" s="194">
        <v>0.12</v>
      </c>
      <c r="K301" s="194">
        <f t="shared" si="23"/>
        <v>5414.88</v>
      </c>
      <c r="L301" s="193"/>
      <c r="M301" s="193"/>
    </row>
    <row r="302" spans="1:13" x14ac:dyDescent="0.25">
      <c r="A302" s="193"/>
      <c r="B302" s="465">
        <v>42277</v>
      </c>
      <c r="C302" s="193">
        <v>200</v>
      </c>
      <c r="D302" s="194">
        <v>14.75</v>
      </c>
      <c r="E302" s="194">
        <v>0</v>
      </c>
      <c r="F302" s="194">
        <f t="shared" si="24"/>
        <v>2950</v>
      </c>
      <c r="G302" s="198">
        <v>42473</v>
      </c>
      <c r="H302" s="199">
        <v>600</v>
      </c>
      <c r="I302" s="194">
        <v>10.76</v>
      </c>
      <c r="J302" s="194">
        <v>0.14000000000000001</v>
      </c>
      <c r="K302" s="194">
        <f t="shared" si="23"/>
        <v>6455.86</v>
      </c>
      <c r="L302" s="193"/>
      <c r="M302" s="194"/>
    </row>
    <row r="303" spans="1:13" x14ac:dyDescent="0.25">
      <c r="A303" s="193"/>
      <c r="B303" s="465">
        <v>42291</v>
      </c>
      <c r="C303" s="193">
        <v>400</v>
      </c>
      <c r="D303" s="194">
        <v>18.7</v>
      </c>
      <c r="E303" s="194">
        <v>0</v>
      </c>
      <c r="F303" s="194">
        <f t="shared" si="24"/>
        <v>7480</v>
      </c>
      <c r="G303" s="198">
        <v>42486</v>
      </c>
      <c r="H303" s="199">
        <v>500</v>
      </c>
      <c r="I303" s="194">
        <v>11.19</v>
      </c>
      <c r="J303" s="194">
        <v>0.12</v>
      </c>
      <c r="K303" s="194">
        <f t="shared" si="23"/>
        <v>5594.88</v>
      </c>
      <c r="L303" s="193"/>
      <c r="M303" s="193"/>
    </row>
    <row r="304" spans="1:13" x14ac:dyDescent="0.25">
      <c r="A304" s="193"/>
      <c r="B304" s="465">
        <v>42297</v>
      </c>
      <c r="C304" s="193">
        <v>2000</v>
      </c>
      <c r="D304" s="194">
        <v>18.649999999999999</v>
      </c>
      <c r="E304" s="194">
        <v>0</v>
      </c>
      <c r="F304" s="194">
        <f t="shared" si="24"/>
        <v>37300</v>
      </c>
      <c r="G304" s="198">
        <v>42486</v>
      </c>
      <c r="H304" s="199">
        <v>500</v>
      </c>
      <c r="I304" s="194">
        <v>11.56</v>
      </c>
      <c r="J304" s="194">
        <v>0.13</v>
      </c>
      <c r="K304" s="194">
        <f t="shared" si="23"/>
        <v>5779.87</v>
      </c>
      <c r="L304" s="193"/>
      <c r="M304" s="193"/>
    </row>
    <row r="305" spans="1:13" x14ac:dyDescent="0.25">
      <c r="A305" s="193"/>
      <c r="B305" s="465">
        <v>42300</v>
      </c>
      <c r="C305" s="193">
        <v>1000</v>
      </c>
      <c r="D305" s="194">
        <v>17.7</v>
      </c>
      <c r="E305" s="194">
        <v>0</v>
      </c>
      <c r="F305" s="194">
        <f t="shared" si="24"/>
        <v>17700</v>
      </c>
      <c r="G305" s="198">
        <v>42488</v>
      </c>
      <c r="H305" s="199">
        <v>600</v>
      </c>
      <c r="I305" s="194">
        <v>12.19</v>
      </c>
      <c r="J305" s="194">
        <v>0.16</v>
      </c>
      <c r="K305" s="194">
        <f t="shared" si="23"/>
        <v>7313.84</v>
      </c>
      <c r="L305" s="193"/>
      <c r="M305" s="193"/>
    </row>
    <row r="306" spans="1:13" x14ac:dyDescent="0.25">
      <c r="A306" s="193"/>
      <c r="B306" s="465">
        <v>42300</v>
      </c>
      <c r="C306" s="193">
        <v>700</v>
      </c>
      <c r="D306" s="194">
        <v>17.22</v>
      </c>
      <c r="E306" s="194">
        <v>0</v>
      </c>
      <c r="F306" s="194">
        <f t="shared" si="24"/>
        <v>12054</v>
      </c>
      <c r="G306" s="198">
        <v>42488</v>
      </c>
      <c r="H306" s="199">
        <v>600</v>
      </c>
      <c r="I306" s="194">
        <v>12.4</v>
      </c>
      <c r="J306" s="194">
        <v>2.2599999999999998</v>
      </c>
      <c r="K306" s="194">
        <f t="shared" si="23"/>
        <v>7437.74</v>
      </c>
      <c r="L306" s="193"/>
      <c r="M306" s="193"/>
    </row>
    <row r="307" spans="1:13" x14ac:dyDescent="0.25">
      <c r="A307" s="193"/>
      <c r="B307" s="465">
        <v>42300</v>
      </c>
      <c r="C307" s="193">
        <v>1000</v>
      </c>
      <c r="D307" s="194">
        <v>16.999500000000001</v>
      </c>
      <c r="E307" s="194">
        <v>0</v>
      </c>
      <c r="F307" s="194">
        <f t="shared" si="24"/>
        <v>16999.5</v>
      </c>
      <c r="G307" s="198">
        <v>42495</v>
      </c>
      <c r="H307" s="199">
        <v>1000</v>
      </c>
      <c r="I307" s="194">
        <v>10.31</v>
      </c>
      <c r="J307" s="194">
        <v>0.22</v>
      </c>
      <c r="K307" s="194">
        <f t="shared" si="23"/>
        <v>10309.780000000001</v>
      </c>
      <c r="L307" s="193"/>
      <c r="M307" s="193"/>
    </row>
    <row r="308" spans="1:13" x14ac:dyDescent="0.25">
      <c r="A308" s="193"/>
      <c r="B308" s="465">
        <v>42310</v>
      </c>
      <c r="C308" s="193">
        <v>900</v>
      </c>
      <c r="D308" s="194">
        <v>16.89667</v>
      </c>
      <c r="E308" s="194">
        <v>6.95</v>
      </c>
      <c r="F308" s="194">
        <f t="shared" si="24"/>
        <v>15213.953000000001</v>
      </c>
      <c r="G308" s="198">
        <v>42503</v>
      </c>
      <c r="H308" s="199">
        <v>2000</v>
      </c>
      <c r="I308" s="194">
        <v>9.73</v>
      </c>
      <c r="J308" s="194">
        <v>0.42</v>
      </c>
      <c r="K308" s="194">
        <f t="shared" si="23"/>
        <v>19459.580000000002</v>
      </c>
      <c r="L308" s="193"/>
      <c r="M308" s="193"/>
    </row>
    <row r="309" spans="1:13" x14ac:dyDescent="0.25">
      <c r="A309" s="193"/>
      <c r="B309" s="465">
        <v>42311</v>
      </c>
      <c r="C309" s="193">
        <v>200</v>
      </c>
      <c r="D309" s="194">
        <v>16.27</v>
      </c>
      <c r="E309" s="194">
        <v>6.95</v>
      </c>
      <c r="F309" s="194">
        <f t="shared" si="24"/>
        <v>3260.95</v>
      </c>
      <c r="G309" s="198">
        <v>42503</v>
      </c>
      <c r="H309" s="199">
        <v>2000</v>
      </c>
      <c r="I309" s="194">
        <v>9.76</v>
      </c>
      <c r="J309" s="194">
        <v>0.43</v>
      </c>
      <c r="K309" s="194">
        <f t="shared" si="23"/>
        <v>19519.57</v>
      </c>
      <c r="L309" s="193"/>
      <c r="M309" s="193"/>
    </row>
    <row r="310" spans="1:13" x14ac:dyDescent="0.25">
      <c r="A310" s="193"/>
      <c r="B310" s="581">
        <v>42317</v>
      </c>
      <c r="C310" s="193">
        <v>190</v>
      </c>
      <c r="D310" s="194">
        <v>17.100000000000001</v>
      </c>
      <c r="E310" s="194">
        <v>0</v>
      </c>
      <c r="F310" s="194">
        <f t="shared" si="24"/>
        <v>3249.0000000000005</v>
      </c>
      <c r="G310" s="579">
        <v>42510</v>
      </c>
      <c r="H310" s="199">
        <v>240</v>
      </c>
      <c r="I310" s="194">
        <v>10.75</v>
      </c>
      <c r="J310" s="194">
        <v>0.12</v>
      </c>
      <c r="K310" s="194">
        <f t="shared" si="23"/>
        <v>2579.88</v>
      </c>
      <c r="L310" s="193"/>
      <c r="M310" s="193"/>
    </row>
    <row r="311" spans="1:13" x14ac:dyDescent="0.25">
      <c r="A311" s="193"/>
      <c r="B311" s="581"/>
      <c r="C311" s="193">
        <v>2</v>
      </c>
      <c r="D311" s="194">
        <v>17.100000000000001</v>
      </c>
      <c r="E311" s="194">
        <v>0</v>
      </c>
      <c r="F311" s="194">
        <f t="shared" si="24"/>
        <v>34.200000000000003</v>
      </c>
      <c r="G311" s="579"/>
      <c r="H311" s="199">
        <v>260</v>
      </c>
      <c r="I311" s="194">
        <v>10.75</v>
      </c>
      <c r="J311" s="194">
        <v>0</v>
      </c>
      <c r="K311" s="194">
        <f t="shared" si="23"/>
        <v>2795</v>
      </c>
      <c r="L311" s="193"/>
      <c r="M311" s="193"/>
    </row>
    <row r="312" spans="1:13" x14ac:dyDescent="0.25">
      <c r="A312" s="193"/>
      <c r="B312" s="581">
        <v>42318</v>
      </c>
      <c r="C312" s="193">
        <v>8</v>
      </c>
      <c r="D312" s="194">
        <v>16.989999999999998</v>
      </c>
      <c r="E312" s="194">
        <v>0</v>
      </c>
      <c r="F312" s="194">
        <f t="shared" si="24"/>
        <v>135.91999999999999</v>
      </c>
      <c r="G312" s="198">
        <v>42514</v>
      </c>
      <c r="H312" s="199">
        <v>500</v>
      </c>
      <c r="I312" s="194">
        <v>11.37</v>
      </c>
      <c r="J312" s="194">
        <v>0.12</v>
      </c>
      <c r="K312" s="194">
        <f t="shared" si="23"/>
        <v>5684.88</v>
      </c>
      <c r="L312" s="193"/>
      <c r="M312" s="193"/>
    </row>
    <row r="313" spans="1:13" x14ac:dyDescent="0.25">
      <c r="A313" s="193"/>
      <c r="B313" s="581"/>
      <c r="C313" s="193">
        <v>500</v>
      </c>
      <c r="D313" s="194">
        <v>16.989999999999998</v>
      </c>
      <c r="E313" s="194">
        <v>0</v>
      </c>
      <c r="F313" s="194">
        <f>C313*D313+E313</f>
        <v>8495</v>
      </c>
      <c r="G313" s="198">
        <v>42514</v>
      </c>
      <c r="H313" s="199">
        <v>500</v>
      </c>
      <c r="I313" s="194">
        <v>11.54</v>
      </c>
      <c r="J313" s="194">
        <v>0.13</v>
      </c>
      <c r="K313" s="194">
        <f t="shared" si="23"/>
        <v>5769.87</v>
      </c>
      <c r="L313" s="193"/>
      <c r="M313" s="193"/>
    </row>
    <row r="314" spans="1:13" x14ac:dyDescent="0.25">
      <c r="A314" s="193"/>
      <c r="B314" s="581"/>
      <c r="C314" s="193">
        <v>300</v>
      </c>
      <c r="D314" s="194">
        <v>16.989999999999998</v>
      </c>
      <c r="E314" s="194">
        <v>0</v>
      </c>
      <c r="F314" s="194">
        <f>C314*D314+E314</f>
        <v>5096.9999999999991</v>
      </c>
      <c r="G314" s="198">
        <v>42514</v>
      </c>
      <c r="H314" s="199">
        <v>500</v>
      </c>
      <c r="I314" s="194">
        <v>11.76</v>
      </c>
      <c r="J314" s="194">
        <v>0.13</v>
      </c>
      <c r="K314" s="194">
        <f t="shared" si="23"/>
        <v>5879.87</v>
      </c>
      <c r="L314" s="193"/>
      <c r="M314" s="193"/>
    </row>
    <row r="315" spans="1:13" x14ac:dyDescent="0.25">
      <c r="A315" s="193"/>
      <c r="B315" s="581"/>
      <c r="C315" s="193">
        <v>1000</v>
      </c>
      <c r="D315" s="194">
        <v>16.989999999999998</v>
      </c>
      <c r="E315" s="194">
        <v>0</v>
      </c>
      <c r="F315" s="194">
        <f>C315*D315+E315</f>
        <v>16990</v>
      </c>
      <c r="G315" s="198">
        <v>42515</v>
      </c>
      <c r="H315" s="199">
        <v>500</v>
      </c>
      <c r="I315" s="194">
        <v>11.96</v>
      </c>
      <c r="J315" s="194">
        <v>0.13</v>
      </c>
      <c r="K315" s="194">
        <f t="shared" si="23"/>
        <v>5979.87</v>
      </c>
      <c r="L315" s="193"/>
      <c r="M315" s="193"/>
    </row>
    <row r="316" spans="1:13" x14ac:dyDescent="0.25">
      <c r="A316" s="193"/>
      <c r="B316" s="465">
        <v>42318</v>
      </c>
      <c r="C316" s="193">
        <v>500</v>
      </c>
      <c r="D316" s="194">
        <v>16.59</v>
      </c>
      <c r="E316" s="194">
        <v>0</v>
      </c>
      <c r="F316" s="194">
        <f t="shared" ref="F316:F379" si="25">C316*D316+E316</f>
        <v>8295</v>
      </c>
      <c r="G316" s="198">
        <v>42517</v>
      </c>
      <c r="H316" s="199">
        <v>1000</v>
      </c>
      <c r="I316" s="194">
        <v>12.31</v>
      </c>
      <c r="J316" s="194">
        <v>0.27</v>
      </c>
      <c r="K316" s="194">
        <f t="shared" si="23"/>
        <v>12309.73</v>
      </c>
      <c r="L316" s="193"/>
      <c r="M316" s="193"/>
    </row>
    <row r="317" spans="1:13" x14ac:dyDescent="0.25">
      <c r="A317" s="193"/>
      <c r="B317" s="465">
        <v>42318</v>
      </c>
      <c r="C317" s="193">
        <v>500</v>
      </c>
      <c r="D317" s="194">
        <v>16.489999999999998</v>
      </c>
      <c r="E317" s="194">
        <v>0</v>
      </c>
      <c r="F317" s="194">
        <f t="shared" si="25"/>
        <v>8245</v>
      </c>
      <c r="G317" s="198">
        <v>42517</v>
      </c>
      <c r="H317" s="199">
        <v>1000</v>
      </c>
      <c r="I317" s="194">
        <v>12.33</v>
      </c>
      <c r="J317" s="194">
        <v>0.27</v>
      </c>
      <c r="K317" s="194">
        <f t="shared" si="23"/>
        <v>12329.73</v>
      </c>
      <c r="L317" s="193"/>
      <c r="M317" s="193"/>
    </row>
    <row r="318" spans="1:13" x14ac:dyDescent="0.25">
      <c r="A318" s="193"/>
      <c r="B318" s="465">
        <v>42321</v>
      </c>
      <c r="C318" s="193">
        <v>350</v>
      </c>
      <c r="D318" s="194">
        <v>15.82</v>
      </c>
      <c r="E318" s="194">
        <v>0</v>
      </c>
      <c r="F318" s="194">
        <f t="shared" si="25"/>
        <v>5537</v>
      </c>
      <c r="G318" s="198">
        <v>42521</v>
      </c>
      <c r="H318" s="199">
        <v>500</v>
      </c>
      <c r="I318" s="194">
        <v>12.76</v>
      </c>
      <c r="J318" s="194">
        <v>0.14000000000000001</v>
      </c>
      <c r="K318" s="194">
        <f t="shared" si="23"/>
        <v>6379.86</v>
      </c>
      <c r="L318" s="193"/>
      <c r="M318" s="193"/>
    </row>
    <row r="319" spans="1:13" x14ac:dyDescent="0.25">
      <c r="A319" s="193"/>
      <c r="B319" s="465">
        <v>42327</v>
      </c>
      <c r="C319" s="193">
        <v>500</v>
      </c>
      <c r="D319" s="194">
        <v>14.82</v>
      </c>
      <c r="E319" s="194">
        <v>0</v>
      </c>
      <c r="F319" s="194">
        <f t="shared" si="25"/>
        <v>7410</v>
      </c>
      <c r="G319" s="198">
        <v>42521</v>
      </c>
      <c r="H319" s="199">
        <v>500</v>
      </c>
      <c r="I319" s="194">
        <v>12.76</v>
      </c>
      <c r="J319" s="194">
        <v>0.14000000000000001</v>
      </c>
      <c r="K319" s="194">
        <f t="shared" si="23"/>
        <v>6379.86</v>
      </c>
      <c r="L319" s="193"/>
      <c r="M319" s="193"/>
    </row>
    <row r="320" spans="1:13" x14ac:dyDescent="0.25">
      <c r="A320" s="193"/>
      <c r="B320" s="465">
        <v>42327</v>
      </c>
      <c r="C320" s="193">
        <v>440</v>
      </c>
      <c r="D320" s="194">
        <v>14.68</v>
      </c>
      <c r="E320" s="194">
        <v>0</v>
      </c>
      <c r="F320" s="194">
        <f t="shared" si="25"/>
        <v>6459.2</v>
      </c>
      <c r="G320" s="193"/>
      <c r="H320" s="193"/>
      <c r="I320" s="194"/>
      <c r="J320" s="194"/>
      <c r="K320" s="194"/>
      <c r="L320" s="193"/>
      <c r="M320" s="193"/>
    </row>
    <row r="321" spans="1:13" x14ac:dyDescent="0.25">
      <c r="A321" s="193"/>
      <c r="B321" s="465">
        <v>42333</v>
      </c>
      <c r="C321" s="193">
        <v>940</v>
      </c>
      <c r="D321" s="193">
        <v>15.35</v>
      </c>
      <c r="E321" s="194">
        <v>0</v>
      </c>
      <c r="F321" s="194">
        <f t="shared" si="25"/>
        <v>14429</v>
      </c>
      <c r="G321" s="193"/>
      <c r="H321" s="193"/>
      <c r="I321" s="194"/>
      <c r="J321" s="194"/>
      <c r="K321" s="194"/>
      <c r="L321" s="193"/>
      <c r="M321" s="193"/>
    </row>
    <row r="322" spans="1:13" ht="15" customHeight="1" x14ac:dyDescent="0.25">
      <c r="A322" s="193"/>
      <c r="B322" s="465">
        <v>42340</v>
      </c>
      <c r="C322" s="193">
        <v>350</v>
      </c>
      <c r="D322" s="193">
        <v>15.85</v>
      </c>
      <c r="E322" s="194">
        <v>0</v>
      </c>
      <c r="F322" s="194">
        <f t="shared" si="25"/>
        <v>5547.5</v>
      </c>
      <c r="G322" s="193"/>
      <c r="H322" s="193"/>
      <c r="I322" s="194"/>
      <c r="J322" s="194"/>
      <c r="K322" s="194"/>
      <c r="L322" s="193"/>
      <c r="M322" s="193"/>
    </row>
    <row r="323" spans="1:13" x14ac:dyDescent="0.25">
      <c r="A323" s="193"/>
      <c r="B323" s="465">
        <v>42346</v>
      </c>
      <c r="C323" s="193">
        <v>200</v>
      </c>
      <c r="D323" s="193">
        <v>15.55</v>
      </c>
      <c r="E323" s="194">
        <v>0</v>
      </c>
      <c r="F323" s="194">
        <f t="shared" si="25"/>
        <v>3110</v>
      </c>
      <c r="G323" s="193"/>
      <c r="H323" s="193"/>
      <c r="I323" s="194"/>
      <c r="J323" s="194"/>
      <c r="K323" s="194"/>
      <c r="L323" s="193"/>
      <c r="M323" s="193"/>
    </row>
    <row r="324" spans="1:13" x14ac:dyDescent="0.25">
      <c r="A324" s="193"/>
      <c r="B324" s="465">
        <v>42352</v>
      </c>
      <c r="C324" s="193">
        <v>200</v>
      </c>
      <c r="D324" s="194">
        <v>14.4</v>
      </c>
      <c r="E324" s="194">
        <v>0</v>
      </c>
      <c r="F324" s="194">
        <f t="shared" si="25"/>
        <v>2880</v>
      </c>
      <c r="G324" s="193"/>
      <c r="H324" s="193"/>
      <c r="I324" s="194"/>
      <c r="J324" s="194"/>
      <c r="K324" s="194"/>
      <c r="L324" s="193"/>
      <c r="M324" s="193"/>
    </row>
    <row r="325" spans="1:13" x14ac:dyDescent="0.25">
      <c r="A325" s="193"/>
      <c r="B325" s="465">
        <v>42354</v>
      </c>
      <c r="C325" s="193">
        <v>940</v>
      </c>
      <c r="D325" s="194">
        <v>14.1</v>
      </c>
      <c r="E325" s="194">
        <v>0</v>
      </c>
      <c r="F325" s="194">
        <f t="shared" si="25"/>
        <v>13254</v>
      </c>
      <c r="G325" s="193"/>
      <c r="H325" s="193"/>
      <c r="I325" s="194"/>
      <c r="J325" s="194"/>
      <c r="K325" s="194"/>
      <c r="L325" s="193"/>
      <c r="M325" s="193"/>
    </row>
    <row r="326" spans="1:13" x14ac:dyDescent="0.25">
      <c r="A326" s="193"/>
      <c r="B326" s="465">
        <v>42354</v>
      </c>
      <c r="C326" s="193">
        <v>940</v>
      </c>
      <c r="D326" s="193">
        <v>14.03</v>
      </c>
      <c r="E326" s="194">
        <v>0</v>
      </c>
      <c r="F326" s="194">
        <f t="shared" si="25"/>
        <v>13188.199999999999</v>
      </c>
      <c r="G326" s="193"/>
      <c r="H326" s="193"/>
      <c r="I326" s="194"/>
      <c r="J326" s="194"/>
      <c r="K326" s="194"/>
      <c r="L326" s="193"/>
      <c r="M326" s="193"/>
    </row>
    <row r="327" spans="1:13" x14ac:dyDescent="0.25">
      <c r="A327" s="193"/>
      <c r="B327" s="465">
        <v>42354</v>
      </c>
      <c r="C327" s="193">
        <v>200</v>
      </c>
      <c r="D327" s="193">
        <v>14.01</v>
      </c>
      <c r="E327" s="194">
        <v>0</v>
      </c>
      <c r="F327" s="194">
        <f t="shared" si="25"/>
        <v>2802</v>
      </c>
      <c r="G327" s="193"/>
      <c r="H327" s="193"/>
      <c r="I327" s="194"/>
      <c r="J327" s="194"/>
      <c r="K327" s="194"/>
      <c r="L327" s="193"/>
      <c r="M327" s="193"/>
    </row>
    <row r="328" spans="1:13" x14ac:dyDescent="0.25">
      <c r="A328" s="193"/>
      <c r="B328" s="465">
        <v>42355</v>
      </c>
      <c r="C328" s="193">
        <v>1840</v>
      </c>
      <c r="D328" s="194">
        <v>14.5</v>
      </c>
      <c r="E328" s="194">
        <v>3.4</v>
      </c>
      <c r="F328" s="194">
        <f t="shared" si="25"/>
        <v>26683.4</v>
      </c>
      <c r="G328" s="198"/>
      <c r="H328" s="199"/>
      <c r="I328" s="194"/>
      <c r="J328" s="194"/>
      <c r="K328" s="194"/>
      <c r="L328" s="193"/>
      <c r="M328" s="193"/>
    </row>
    <row r="329" spans="1:13" x14ac:dyDescent="0.25">
      <c r="A329" s="193"/>
      <c r="B329" s="581">
        <v>42361</v>
      </c>
      <c r="C329" s="193">
        <v>1000</v>
      </c>
      <c r="D329" s="194">
        <v>14.33</v>
      </c>
      <c r="E329" s="194">
        <v>0</v>
      </c>
      <c r="F329" s="194">
        <f t="shared" si="25"/>
        <v>14330</v>
      </c>
      <c r="G329" s="198"/>
      <c r="H329" s="199"/>
      <c r="I329" s="194"/>
      <c r="J329" s="194"/>
      <c r="K329" s="194"/>
      <c r="L329" s="193"/>
      <c r="M329" s="193"/>
    </row>
    <row r="330" spans="1:13" x14ac:dyDescent="0.25">
      <c r="A330" s="193"/>
      <c r="B330" s="581"/>
      <c r="C330" s="193">
        <v>500</v>
      </c>
      <c r="D330" s="194">
        <v>14.33</v>
      </c>
      <c r="E330" s="194">
        <v>0</v>
      </c>
      <c r="F330" s="194">
        <f t="shared" si="25"/>
        <v>7165</v>
      </c>
      <c r="G330" s="198"/>
      <c r="H330" s="199"/>
      <c r="I330" s="194"/>
      <c r="J330" s="194"/>
      <c r="K330" s="194"/>
      <c r="L330" s="193"/>
      <c r="M330" s="193"/>
    </row>
    <row r="331" spans="1:13" x14ac:dyDescent="0.25">
      <c r="A331" s="193"/>
      <c r="B331" s="581"/>
      <c r="C331" s="193">
        <v>440</v>
      </c>
      <c r="D331" s="194">
        <v>14.33</v>
      </c>
      <c r="E331" s="194">
        <v>0</v>
      </c>
      <c r="F331" s="194">
        <f t="shared" si="25"/>
        <v>6305.2</v>
      </c>
      <c r="G331" s="193"/>
      <c r="H331" s="199"/>
      <c r="I331" s="194"/>
      <c r="J331" s="194"/>
      <c r="K331" s="194"/>
      <c r="L331" s="193"/>
      <c r="M331" s="193"/>
    </row>
    <row r="332" spans="1:13" x14ac:dyDescent="0.25">
      <c r="A332" s="193"/>
      <c r="B332" s="465">
        <v>42366</v>
      </c>
      <c r="C332" s="193">
        <v>1000</v>
      </c>
      <c r="D332" s="194">
        <v>14.74</v>
      </c>
      <c r="E332" s="194">
        <v>0</v>
      </c>
      <c r="F332" s="194">
        <f t="shared" si="25"/>
        <v>14740</v>
      </c>
      <c r="G332" s="193"/>
      <c r="H332" s="193"/>
      <c r="I332" s="194"/>
      <c r="J332" s="194"/>
      <c r="K332" s="194"/>
      <c r="L332" s="193"/>
      <c r="M332" s="193"/>
    </row>
    <row r="333" spans="1:13" x14ac:dyDescent="0.25">
      <c r="A333" s="193"/>
      <c r="B333" s="465">
        <v>42377</v>
      </c>
      <c r="C333" s="193">
        <v>200</v>
      </c>
      <c r="D333" s="194">
        <v>13.35</v>
      </c>
      <c r="E333" s="194">
        <v>0</v>
      </c>
      <c r="F333" s="194">
        <f t="shared" si="25"/>
        <v>2670</v>
      </c>
      <c r="G333" s="193"/>
      <c r="H333" s="193"/>
      <c r="I333" s="194"/>
      <c r="J333" s="194"/>
      <c r="K333" s="194"/>
      <c r="L333" s="193"/>
      <c r="M333" s="193"/>
    </row>
    <row r="334" spans="1:13" x14ac:dyDescent="0.25">
      <c r="A334" s="193"/>
      <c r="B334" s="465">
        <v>42401</v>
      </c>
      <c r="C334" s="193">
        <v>260</v>
      </c>
      <c r="D334" s="194">
        <v>10.69</v>
      </c>
      <c r="E334" s="194">
        <v>0</v>
      </c>
      <c r="F334" s="194">
        <f t="shared" si="25"/>
        <v>2779.4</v>
      </c>
      <c r="G334" s="193"/>
      <c r="H334" s="193"/>
      <c r="I334" s="194"/>
      <c r="J334" s="194"/>
      <c r="K334" s="194"/>
      <c r="L334" s="193"/>
      <c r="M334" s="193"/>
    </row>
    <row r="335" spans="1:13" x14ac:dyDescent="0.25">
      <c r="A335" s="193"/>
      <c r="B335" s="465">
        <v>42423</v>
      </c>
      <c r="C335" s="193">
        <v>1660</v>
      </c>
      <c r="D335" s="194">
        <v>10.77</v>
      </c>
      <c r="E335" s="194">
        <v>0</v>
      </c>
      <c r="F335" s="194">
        <f t="shared" si="25"/>
        <v>17878.2</v>
      </c>
      <c r="G335" s="193"/>
      <c r="H335" s="193"/>
      <c r="I335" s="194"/>
      <c r="J335" s="194"/>
      <c r="K335" s="194"/>
      <c r="L335" s="193"/>
      <c r="M335" s="194"/>
    </row>
    <row r="336" spans="1:13" x14ac:dyDescent="0.25">
      <c r="A336" s="193"/>
      <c r="B336" s="465">
        <v>42436</v>
      </c>
      <c r="C336" s="193">
        <v>520</v>
      </c>
      <c r="D336" s="194">
        <v>11.1</v>
      </c>
      <c r="E336" s="194">
        <v>0.16</v>
      </c>
      <c r="F336" s="194">
        <f t="shared" si="25"/>
        <v>5772.16</v>
      </c>
      <c r="G336" s="193"/>
      <c r="H336" s="193"/>
      <c r="I336" s="194"/>
      <c r="J336" s="194"/>
      <c r="K336" s="194"/>
      <c r="L336" s="193"/>
      <c r="M336" s="194"/>
    </row>
    <row r="337" spans="1:13" x14ac:dyDescent="0.25">
      <c r="A337" s="193"/>
      <c r="B337" s="581">
        <v>42436</v>
      </c>
      <c r="C337" s="193">
        <v>500</v>
      </c>
      <c r="D337" s="193">
        <v>11.35</v>
      </c>
      <c r="E337" s="194">
        <v>0</v>
      </c>
      <c r="F337" s="194">
        <f t="shared" si="25"/>
        <v>5675</v>
      </c>
      <c r="G337" s="193"/>
      <c r="H337" s="193"/>
      <c r="I337" s="194"/>
      <c r="J337" s="194"/>
      <c r="K337" s="194"/>
      <c r="L337" s="193"/>
      <c r="M337" s="193"/>
    </row>
    <row r="338" spans="1:13" x14ac:dyDescent="0.25">
      <c r="A338" s="193"/>
      <c r="B338" s="581"/>
      <c r="C338" s="193">
        <v>30</v>
      </c>
      <c r="D338" s="193">
        <v>11.35</v>
      </c>
      <c r="E338" s="194">
        <v>0</v>
      </c>
      <c r="F338" s="194">
        <f t="shared" si="25"/>
        <v>340.5</v>
      </c>
      <c r="G338" s="193"/>
      <c r="H338" s="193"/>
      <c r="I338" s="194"/>
      <c r="J338" s="194"/>
      <c r="K338" s="194"/>
      <c r="L338" s="193"/>
      <c r="M338" s="193"/>
    </row>
    <row r="339" spans="1:13" x14ac:dyDescent="0.25">
      <c r="A339" s="193"/>
      <c r="B339" s="581">
        <v>42447</v>
      </c>
      <c r="C339" s="193">
        <v>5</v>
      </c>
      <c r="D339" s="193">
        <v>10.75</v>
      </c>
      <c r="E339" s="194">
        <v>0</v>
      </c>
      <c r="F339" s="194">
        <f t="shared" si="25"/>
        <v>53.75</v>
      </c>
      <c r="G339" s="193"/>
      <c r="H339" s="193"/>
      <c r="I339" s="194"/>
      <c r="J339" s="194"/>
      <c r="K339" s="194"/>
      <c r="L339" s="193"/>
      <c r="M339" s="193"/>
    </row>
    <row r="340" spans="1:13" x14ac:dyDescent="0.25">
      <c r="A340" s="193"/>
      <c r="B340" s="581"/>
      <c r="C340" s="193">
        <v>500</v>
      </c>
      <c r="D340" s="193">
        <v>10.75</v>
      </c>
      <c r="E340" s="194">
        <v>0</v>
      </c>
      <c r="F340" s="194">
        <f t="shared" si="25"/>
        <v>5375</v>
      </c>
      <c r="G340" s="193"/>
      <c r="H340" s="193"/>
      <c r="I340" s="194"/>
      <c r="J340" s="194"/>
      <c r="K340" s="194"/>
      <c r="L340" s="193"/>
      <c r="M340" s="193"/>
    </row>
    <row r="341" spans="1:13" x14ac:dyDescent="0.25">
      <c r="A341" s="193"/>
      <c r="B341" s="581">
        <v>42447</v>
      </c>
      <c r="C341" s="193">
        <v>2000</v>
      </c>
      <c r="D341" s="193">
        <v>11.07</v>
      </c>
      <c r="E341" s="194">
        <v>0</v>
      </c>
      <c r="F341" s="194">
        <f t="shared" si="25"/>
        <v>22140</v>
      </c>
      <c r="G341" s="193"/>
      <c r="H341" s="193"/>
      <c r="I341" s="194"/>
      <c r="J341" s="194"/>
      <c r="K341" s="194"/>
      <c r="L341" s="193"/>
      <c r="M341" s="193"/>
    </row>
    <row r="342" spans="1:13" x14ac:dyDescent="0.25">
      <c r="A342" s="193"/>
      <c r="B342" s="581"/>
      <c r="C342" s="193">
        <v>5</v>
      </c>
      <c r="D342" s="193">
        <v>11.07</v>
      </c>
      <c r="E342" s="194">
        <v>0</v>
      </c>
      <c r="F342" s="194">
        <f t="shared" si="25"/>
        <v>55.35</v>
      </c>
      <c r="G342" s="193"/>
      <c r="H342" s="193"/>
      <c r="I342" s="194"/>
      <c r="J342" s="194"/>
      <c r="K342" s="194"/>
      <c r="L342" s="193"/>
      <c r="M342" s="193"/>
    </row>
    <row r="343" spans="1:13" x14ac:dyDescent="0.25">
      <c r="A343" s="193"/>
      <c r="B343" s="465">
        <v>42447</v>
      </c>
      <c r="C343" s="193">
        <v>355</v>
      </c>
      <c r="D343" s="193">
        <v>11.11</v>
      </c>
      <c r="E343" s="194">
        <v>0</v>
      </c>
      <c r="F343" s="194">
        <f t="shared" si="25"/>
        <v>3944.0499999999997</v>
      </c>
      <c r="G343" s="193"/>
      <c r="H343" s="193"/>
      <c r="I343" s="194"/>
      <c r="J343" s="194"/>
      <c r="K343" s="194"/>
      <c r="L343" s="193"/>
      <c r="M343" s="193"/>
    </row>
    <row r="344" spans="1:13" x14ac:dyDescent="0.25">
      <c r="A344" s="193"/>
      <c r="B344" s="465">
        <v>42450</v>
      </c>
      <c r="C344" s="193">
        <v>100</v>
      </c>
      <c r="D344" s="193">
        <v>11.51</v>
      </c>
      <c r="E344" s="194">
        <v>0</v>
      </c>
      <c r="F344" s="194">
        <f t="shared" si="25"/>
        <v>1151</v>
      </c>
      <c r="G344" s="193"/>
      <c r="H344" s="193"/>
      <c r="I344" s="194"/>
      <c r="J344" s="194"/>
      <c r="K344" s="194"/>
      <c r="L344" s="193"/>
      <c r="M344" s="193"/>
    </row>
    <row r="345" spans="1:13" x14ac:dyDescent="0.25">
      <c r="A345" s="193"/>
      <c r="B345" s="465">
        <v>42451</v>
      </c>
      <c r="C345" s="193">
        <v>1305</v>
      </c>
      <c r="D345" s="194">
        <v>11.4</v>
      </c>
      <c r="E345" s="194">
        <v>-1</v>
      </c>
      <c r="F345" s="194">
        <f t="shared" si="25"/>
        <v>14876</v>
      </c>
      <c r="G345" s="193"/>
      <c r="H345" s="193"/>
      <c r="I345" s="194"/>
      <c r="J345" s="194"/>
      <c r="K345" s="194"/>
      <c r="L345" s="193"/>
      <c r="M345" s="193"/>
    </row>
    <row r="346" spans="1:13" x14ac:dyDescent="0.25">
      <c r="A346" s="193"/>
      <c r="B346" s="465">
        <v>42452</v>
      </c>
      <c r="C346" s="193">
        <v>100</v>
      </c>
      <c r="D346" s="194">
        <v>10.82</v>
      </c>
      <c r="E346" s="194">
        <v>0</v>
      </c>
      <c r="F346" s="194">
        <f t="shared" si="25"/>
        <v>1082</v>
      </c>
      <c r="G346" s="193"/>
      <c r="H346" s="193"/>
      <c r="I346" s="194"/>
      <c r="J346" s="194"/>
      <c r="K346" s="194"/>
      <c r="L346" s="193"/>
      <c r="M346" s="193"/>
    </row>
    <row r="347" spans="1:13" x14ac:dyDescent="0.25">
      <c r="A347" s="193"/>
      <c r="B347" s="465">
        <v>42466</v>
      </c>
      <c r="C347" s="193">
        <v>500</v>
      </c>
      <c r="D347" s="194">
        <v>10.41</v>
      </c>
      <c r="E347" s="194">
        <v>0</v>
      </c>
      <c r="F347" s="194">
        <f t="shared" si="25"/>
        <v>5205</v>
      </c>
      <c r="G347" s="193"/>
      <c r="H347" s="193"/>
      <c r="I347" s="194"/>
      <c r="J347" s="194"/>
      <c r="K347" s="194"/>
      <c r="L347" s="193"/>
      <c r="M347" s="193"/>
    </row>
    <row r="348" spans="1:13" x14ac:dyDescent="0.25">
      <c r="A348" s="193"/>
      <c r="B348" s="465">
        <v>42472</v>
      </c>
      <c r="C348" s="193">
        <v>600</v>
      </c>
      <c r="D348" s="194">
        <v>10.31</v>
      </c>
      <c r="E348" s="194">
        <v>0</v>
      </c>
      <c r="F348" s="194">
        <f t="shared" si="25"/>
        <v>6186</v>
      </c>
      <c r="G348" s="193"/>
      <c r="H348" s="193"/>
      <c r="I348" s="194"/>
      <c r="J348" s="194"/>
      <c r="K348" s="194"/>
      <c r="L348" s="193"/>
      <c r="M348" s="193"/>
    </row>
    <row r="349" spans="1:13" x14ac:dyDescent="0.25">
      <c r="A349" s="193"/>
      <c r="B349" s="465">
        <v>42487</v>
      </c>
      <c r="C349" s="193">
        <v>1000</v>
      </c>
      <c r="D349" s="194">
        <v>11.29</v>
      </c>
      <c r="E349" s="194">
        <v>0</v>
      </c>
      <c r="F349" s="194">
        <f t="shared" si="25"/>
        <v>11290</v>
      </c>
      <c r="G349" s="193"/>
      <c r="H349" s="193"/>
      <c r="I349" s="194"/>
      <c r="J349" s="194"/>
      <c r="K349" s="194"/>
      <c r="L349" s="193"/>
      <c r="M349" s="193"/>
    </row>
    <row r="350" spans="1:13" x14ac:dyDescent="0.25">
      <c r="A350" s="193"/>
      <c r="B350" s="465">
        <v>42488</v>
      </c>
      <c r="C350" s="193">
        <v>1200</v>
      </c>
      <c r="D350" s="194">
        <v>12.2</v>
      </c>
      <c r="E350" s="194">
        <v>0</v>
      </c>
      <c r="F350" s="194">
        <f t="shared" si="25"/>
        <v>14640</v>
      </c>
      <c r="G350" s="193"/>
      <c r="H350" s="193"/>
      <c r="I350" s="194"/>
      <c r="J350" s="194"/>
      <c r="K350" s="194"/>
      <c r="L350" s="193"/>
      <c r="M350" s="193"/>
    </row>
    <row r="351" spans="1:13" ht="30" x14ac:dyDescent="0.25">
      <c r="A351" s="582" t="s">
        <v>195</v>
      </c>
      <c r="B351" s="465">
        <v>42489</v>
      </c>
      <c r="C351" s="193">
        <v>240</v>
      </c>
      <c r="D351" s="194">
        <v>10.81</v>
      </c>
      <c r="E351" s="194">
        <v>0</v>
      </c>
      <c r="F351" s="194">
        <f t="shared" si="25"/>
        <v>2594.4</v>
      </c>
      <c r="G351" s="193"/>
      <c r="H351" s="193"/>
      <c r="I351" s="194"/>
      <c r="J351" s="194"/>
      <c r="K351" s="194"/>
      <c r="L351" s="193"/>
      <c r="M351" s="193"/>
    </row>
    <row r="352" spans="1:13" x14ac:dyDescent="0.25">
      <c r="A352" s="582"/>
      <c r="B352" s="465">
        <v>42494</v>
      </c>
      <c r="C352" s="193">
        <v>500</v>
      </c>
      <c r="D352" s="194">
        <v>10.130000000000001</v>
      </c>
      <c r="E352" s="194">
        <v>-1</v>
      </c>
      <c r="F352" s="194">
        <f t="shared" si="25"/>
        <v>5064</v>
      </c>
      <c r="G352" s="193"/>
      <c r="H352" s="193"/>
      <c r="I352" s="194"/>
      <c r="J352" s="194"/>
      <c r="K352" s="194"/>
      <c r="L352" s="193"/>
      <c r="M352" s="193"/>
    </row>
    <row r="353" spans="1:13" x14ac:dyDescent="0.25">
      <c r="A353" s="582"/>
      <c r="B353" s="465">
        <v>42494</v>
      </c>
      <c r="C353" s="193">
        <v>500</v>
      </c>
      <c r="D353" s="194">
        <v>9.92</v>
      </c>
      <c r="E353" s="194">
        <v>0</v>
      </c>
      <c r="F353" s="194">
        <f t="shared" si="25"/>
        <v>4960</v>
      </c>
      <c r="G353" s="193"/>
      <c r="H353" s="193"/>
      <c r="I353" s="194"/>
      <c r="J353" s="194"/>
      <c r="K353" s="194"/>
      <c r="L353" s="193"/>
      <c r="M353" s="193"/>
    </row>
    <row r="354" spans="1:13" x14ac:dyDescent="0.25">
      <c r="A354" s="193"/>
      <c r="B354" s="465">
        <v>42502</v>
      </c>
      <c r="C354" s="193">
        <v>1000</v>
      </c>
      <c r="D354" s="194">
        <v>9.86</v>
      </c>
      <c r="E354" s="194">
        <v>0</v>
      </c>
      <c r="F354" s="194">
        <f t="shared" si="25"/>
        <v>9860</v>
      </c>
      <c r="G354" s="193"/>
      <c r="H354" s="193"/>
      <c r="I354" s="194"/>
      <c r="J354" s="194"/>
      <c r="K354" s="194"/>
      <c r="L354" s="193"/>
      <c r="M354" s="193"/>
    </row>
    <row r="355" spans="1:13" x14ac:dyDescent="0.25">
      <c r="A355" s="193"/>
      <c r="B355" s="465">
        <v>42502</v>
      </c>
      <c r="C355" s="193">
        <v>1000</v>
      </c>
      <c r="D355" s="194">
        <v>9.68</v>
      </c>
      <c r="E355" s="194">
        <v>0</v>
      </c>
      <c r="F355" s="194">
        <f t="shared" si="25"/>
        <v>9680</v>
      </c>
      <c r="G355" s="193"/>
      <c r="H355" s="193"/>
      <c r="I355" s="194"/>
      <c r="J355" s="194"/>
      <c r="K355" s="194"/>
      <c r="L355" s="193"/>
      <c r="M355" s="193"/>
    </row>
    <row r="356" spans="1:13" ht="15" customHeight="1" x14ac:dyDescent="0.25">
      <c r="A356" s="193"/>
      <c r="B356" s="465">
        <v>42502</v>
      </c>
      <c r="C356" s="193">
        <v>1000</v>
      </c>
      <c r="D356" s="194">
        <v>9.5</v>
      </c>
      <c r="E356" s="194">
        <v>0</v>
      </c>
      <c r="F356" s="194">
        <f t="shared" si="25"/>
        <v>9500</v>
      </c>
      <c r="G356" s="193"/>
      <c r="H356" s="193"/>
      <c r="I356" s="194"/>
      <c r="J356" s="194"/>
      <c r="K356" s="194"/>
      <c r="L356" s="193"/>
      <c r="M356" s="193"/>
    </row>
    <row r="357" spans="1:13" x14ac:dyDescent="0.25">
      <c r="A357" s="193"/>
      <c r="B357" s="465">
        <v>42503</v>
      </c>
      <c r="C357" s="193">
        <v>1000</v>
      </c>
      <c r="D357" s="194">
        <v>9.6999999999999993</v>
      </c>
      <c r="E357" s="194">
        <v>9.9</v>
      </c>
      <c r="F357" s="194">
        <f t="shared" si="25"/>
        <v>9709.9</v>
      </c>
      <c r="G357" s="193"/>
      <c r="H357" s="193"/>
      <c r="I357" s="194"/>
      <c r="J357" s="194"/>
      <c r="K357" s="194"/>
      <c r="L357" s="193"/>
      <c r="M357" s="193"/>
    </row>
    <row r="358" spans="1:13" x14ac:dyDescent="0.25">
      <c r="A358" s="193"/>
      <c r="B358" s="465">
        <v>42514</v>
      </c>
      <c r="C358" s="193">
        <v>500</v>
      </c>
      <c r="D358" s="194">
        <v>11.22</v>
      </c>
      <c r="E358" s="194">
        <v>-2.5</v>
      </c>
      <c r="F358" s="194">
        <f t="shared" si="25"/>
        <v>5607.5</v>
      </c>
      <c r="G358" s="193"/>
      <c r="H358" s="193"/>
      <c r="I358" s="194"/>
      <c r="J358" s="194"/>
      <c r="K358" s="194"/>
      <c r="L358" s="193"/>
      <c r="M358" s="193"/>
    </row>
    <row r="359" spans="1:13" x14ac:dyDescent="0.25">
      <c r="A359" s="193"/>
      <c r="B359" s="465">
        <v>42515</v>
      </c>
      <c r="C359" s="193">
        <v>500</v>
      </c>
      <c r="D359" s="194">
        <v>11.62</v>
      </c>
      <c r="E359" s="194">
        <v>0</v>
      </c>
      <c r="F359" s="194">
        <f t="shared" si="25"/>
        <v>5810</v>
      </c>
      <c r="G359" s="193"/>
      <c r="H359" s="193"/>
      <c r="I359" s="194"/>
      <c r="J359" s="194"/>
      <c r="K359" s="194"/>
      <c r="L359" s="193"/>
      <c r="M359" s="193"/>
    </row>
    <row r="360" spans="1:13" x14ac:dyDescent="0.25">
      <c r="A360" s="193"/>
      <c r="B360" s="465">
        <v>42517</v>
      </c>
      <c r="C360" s="193">
        <v>1000</v>
      </c>
      <c r="D360" s="194">
        <v>12.25</v>
      </c>
      <c r="E360" s="194">
        <v>0</v>
      </c>
      <c r="F360" s="194">
        <f t="shared" si="25"/>
        <v>12250</v>
      </c>
      <c r="G360" s="193"/>
      <c r="H360" s="193"/>
      <c r="I360" s="194"/>
      <c r="J360" s="194"/>
      <c r="K360" s="194"/>
      <c r="L360" s="193"/>
      <c r="M360" s="193"/>
    </row>
    <row r="361" spans="1:13" x14ac:dyDescent="0.25">
      <c r="A361" s="193"/>
      <c r="B361" s="465">
        <v>42517</v>
      </c>
      <c r="C361" s="193">
        <v>1000</v>
      </c>
      <c r="D361" s="194">
        <v>12.3</v>
      </c>
      <c r="E361" s="194">
        <v>0</v>
      </c>
      <c r="F361" s="194">
        <f t="shared" si="25"/>
        <v>12300</v>
      </c>
      <c r="G361" s="193"/>
      <c r="H361" s="193"/>
      <c r="I361" s="194"/>
      <c r="J361" s="194"/>
      <c r="K361" s="194"/>
      <c r="L361" s="193"/>
      <c r="M361" s="193"/>
    </row>
    <row r="362" spans="1:13" x14ac:dyDescent="0.25">
      <c r="A362" s="193"/>
      <c r="B362" s="465">
        <v>42521</v>
      </c>
      <c r="C362" s="193">
        <v>500</v>
      </c>
      <c r="D362" s="194">
        <v>12.61</v>
      </c>
      <c r="E362" s="194">
        <v>0</v>
      </c>
      <c r="F362" s="194">
        <f t="shared" si="25"/>
        <v>6305</v>
      </c>
      <c r="G362" s="193"/>
      <c r="H362" s="193"/>
      <c r="I362" s="194"/>
      <c r="J362" s="194"/>
      <c r="K362" s="194"/>
      <c r="L362" s="193"/>
      <c r="M362" s="193"/>
    </row>
    <row r="363" spans="1:13" x14ac:dyDescent="0.25">
      <c r="A363" s="193"/>
      <c r="B363" s="465">
        <v>42521</v>
      </c>
      <c r="C363" s="193">
        <v>500</v>
      </c>
      <c r="D363" s="194">
        <v>12.72</v>
      </c>
      <c r="E363" s="194">
        <v>0</v>
      </c>
      <c r="F363" s="194">
        <f t="shared" si="25"/>
        <v>6360</v>
      </c>
      <c r="G363" s="198">
        <v>42522</v>
      </c>
      <c r="H363" s="199">
        <v>500</v>
      </c>
      <c r="I363" s="194">
        <v>12.72</v>
      </c>
      <c r="J363" s="194">
        <v>0.14000000000000001</v>
      </c>
      <c r="K363" s="194">
        <f>H363*I363-J363</f>
        <v>6359.86</v>
      </c>
      <c r="L363" s="193"/>
      <c r="M363" s="193"/>
    </row>
    <row r="364" spans="1:13" x14ac:dyDescent="0.25">
      <c r="A364" s="193"/>
      <c r="B364" s="465">
        <v>42522</v>
      </c>
      <c r="C364" s="193">
        <v>500</v>
      </c>
      <c r="D364" s="194">
        <v>12.6</v>
      </c>
      <c r="E364" s="194">
        <v>0</v>
      </c>
      <c r="F364" s="194">
        <f t="shared" si="25"/>
        <v>6300</v>
      </c>
      <c r="G364" s="198">
        <v>42522</v>
      </c>
      <c r="H364" s="199">
        <v>500</v>
      </c>
      <c r="I364" s="194">
        <v>12.96</v>
      </c>
      <c r="J364" s="194">
        <v>0.14000000000000001</v>
      </c>
      <c r="K364" s="194">
        <f>H364*I364-J364</f>
        <v>6479.86</v>
      </c>
      <c r="L364" s="193"/>
      <c r="M364" s="193"/>
    </row>
    <row r="365" spans="1:13" x14ac:dyDescent="0.25">
      <c r="A365" s="193"/>
      <c r="B365" s="465">
        <v>42524</v>
      </c>
      <c r="C365" s="193">
        <v>625</v>
      </c>
      <c r="D365" s="194">
        <v>12.69</v>
      </c>
      <c r="E365" s="194">
        <v>0</v>
      </c>
      <c r="F365" s="194">
        <f t="shared" si="25"/>
        <v>7931.25</v>
      </c>
      <c r="G365" s="198">
        <v>42522</v>
      </c>
      <c r="H365" s="199">
        <v>125</v>
      </c>
      <c r="I365" s="194">
        <v>13.12</v>
      </c>
      <c r="J365" s="194">
        <v>0.04</v>
      </c>
      <c r="K365" s="194">
        <f>H365*I365-J365</f>
        <v>1639.96</v>
      </c>
      <c r="L365" s="193"/>
      <c r="M365" s="193"/>
    </row>
    <row r="366" spans="1:13" x14ac:dyDescent="0.25">
      <c r="A366" s="193"/>
      <c r="B366" s="465">
        <v>42524</v>
      </c>
      <c r="C366" s="193">
        <v>625</v>
      </c>
      <c r="D366" s="194">
        <v>12.8</v>
      </c>
      <c r="E366" s="194">
        <v>0</v>
      </c>
      <c r="F366" s="194">
        <f t="shared" si="25"/>
        <v>8000</v>
      </c>
      <c r="G366" s="198">
        <v>42524</v>
      </c>
      <c r="H366" s="199">
        <v>625</v>
      </c>
      <c r="I366" s="194">
        <v>12.85</v>
      </c>
      <c r="J366" s="194">
        <v>0.18</v>
      </c>
      <c r="K366" s="194">
        <f>H366*I366-J366</f>
        <v>8031.07</v>
      </c>
      <c r="L366" s="193"/>
      <c r="M366" s="193"/>
    </row>
    <row r="367" spans="1:13" x14ac:dyDescent="0.25">
      <c r="A367" s="193"/>
      <c r="B367" s="465">
        <v>42530</v>
      </c>
      <c r="C367" s="193">
        <v>500</v>
      </c>
      <c r="D367" s="194">
        <v>12.25</v>
      </c>
      <c r="E367" s="194">
        <v>0</v>
      </c>
      <c r="F367" s="194">
        <f t="shared" si="25"/>
        <v>6125</v>
      </c>
      <c r="G367" s="198">
        <v>42530</v>
      </c>
      <c r="H367" s="199">
        <v>500</v>
      </c>
      <c r="I367" s="194">
        <v>12.61</v>
      </c>
      <c r="J367" s="194">
        <v>0.14000000000000001</v>
      </c>
      <c r="K367" s="194">
        <f>H367*I367-J367</f>
        <v>6304.86</v>
      </c>
      <c r="L367" s="193"/>
      <c r="M367" s="193"/>
    </row>
    <row r="368" spans="1:13" x14ac:dyDescent="0.25">
      <c r="A368" s="193"/>
      <c r="B368" s="465">
        <v>42531</v>
      </c>
      <c r="C368" s="193">
        <v>760</v>
      </c>
      <c r="D368" s="194">
        <v>12.19</v>
      </c>
      <c r="E368" s="194">
        <v>0</v>
      </c>
      <c r="F368" s="194">
        <f t="shared" si="25"/>
        <v>9264.4</v>
      </c>
      <c r="G368" s="193"/>
      <c r="H368" s="193"/>
      <c r="I368" s="194"/>
      <c r="J368" s="194"/>
      <c r="K368" s="194"/>
      <c r="L368" s="193"/>
      <c r="M368" s="193"/>
    </row>
    <row r="369" spans="1:13" x14ac:dyDescent="0.25">
      <c r="A369" s="193"/>
      <c r="B369" s="465">
        <v>42537</v>
      </c>
      <c r="C369" s="193">
        <v>500</v>
      </c>
      <c r="D369" s="194">
        <v>11.71</v>
      </c>
      <c r="E369" s="194">
        <v>0</v>
      </c>
      <c r="F369" s="194">
        <f t="shared" si="25"/>
        <v>5855</v>
      </c>
      <c r="G369" s="198">
        <v>42537</v>
      </c>
      <c r="H369" s="199">
        <v>500</v>
      </c>
      <c r="I369" s="194">
        <v>11.95</v>
      </c>
      <c r="J369" s="194">
        <v>0.13</v>
      </c>
      <c r="K369" s="194">
        <f t="shared" ref="K369:K375" si="26">H369*I369-J369</f>
        <v>5974.87</v>
      </c>
      <c r="L369" s="193"/>
      <c r="M369" s="193"/>
    </row>
    <row r="370" spans="1:13" x14ac:dyDescent="0.25">
      <c r="A370" s="193"/>
      <c r="B370" s="465">
        <v>42541</v>
      </c>
      <c r="C370" s="193">
        <v>500</v>
      </c>
      <c r="D370" s="194">
        <v>12.4</v>
      </c>
      <c r="E370" s="194">
        <v>0</v>
      </c>
      <c r="F370" s="194">
        <f t="shared" si="25"/>
        <v>6200</v>
      </c>
      <c r="G370" s="198">
        <v>42541</v>
      </c>
      <c r="H370" s="199">
        <v>760</v>
      </c>
      <c r="I370" s="194">
        <v>12.63</v>
      </c>
      <c r="J370" s="194">
        <v>0.21</v>
      </c>
      <c r="K370" s="194">
        <f t="shared" si="26"/>
        <v>9598.590000000002</v>
      </c>
      <c r="L370" s="193"/>
      <c r="M370" s="193"/>
    </row>
    <row r="371" spans="1:13" x14ac:dyDescent="0.25">
      <c r="A371" s="193"/>
      <c r="B371" s="465">
        <v>42541</v>
      </c>
      <c r="C371" s="193">
        <v>100</v>
      </c>
      <c r="D371" s="194">
        <v>12.32</v>
      </c>
      <c r="E371" s="194">
        <v>0</v>
      </c>
      <c r="F371" s="194">
        <f t="shared" si="25"/>
        <v>1232</v>
      </c>
      <c r="G371" s="364">
        <v>42542</v>
      </c>
      <c r="H371" s="199">
        <v>600</v>
      </c>
      <c r="I371" s="194">
        <v>12.79</v>
      </c>
      <c r="J371" s="194">
        <v>0.17</v>
      </c>
      <c r="K371" s="194">
        <f t="shared" si="26"/>
        <v>7673.829999999999</v>
      </c>
      <c r="L371" s="193"/>
      <c r="M371" s="193"/>
    </row>
    <row r="372" spans="1:13" x14ac:dyDescent="0.25">
      <c r="A372" s="193"/>
      <c r="B372" s="465">
        <v>42545</v>
      </c>
      <c r="C372" s="193">
        <v>500</v>
      </c>
      <c r="D372" s="194">
        <v>13.52</v>
      </c>
      <c r="E372" s="194">
        <v>0</v>
      </c>
      <c r="F372" s="194">
        <f t="shared" si="25"/>
        <v>6760</v>
      </c>
      <c r="G372" s="198">
        <v>42544</v>
      </c>
      <c r="H372" s="199">
        <v>400</v>
      </c>
      <c r="I372" s="194">
        <v>13.42</v>
      </c>
      <c r="J372" s="194">
        <v>0.12</v>
      </c>
      <c r="K372" s="194">
        <f t="shared" si="26"/>
        <v>5367.88</v>
      </c>
      <c r="L372" s="193"/>
      <c r="M372" s="193"/>
    </row>
    <row r="373" spans="1:13" x14ac:dyDescent="0.25">
      <c r="A373" s="193"/>
      <c r="B373" s="465">
        <v>42545</v>
      </c>
      <c r="C373" s="193">
        <v>500</v>
      </c>
      <c r="D373" s="194">
        <v>13.46</v>
      </c>
      <c r="E373" s="194">
        <v>0</v>
      </c>
      <c r="F373" s="194">
        <f t="shared" si="25"/>
        <v>6730</v>
      </c>
      <c r="G373" s="198">
        <v>42544</v>
      </c>
      <c r="H373" s="199">
        <v>600</v>
      </c>
      <c r="I373" s="194">
        <v>13.78</v>
      </c>
      <c r="J373" s="194">
        <v>0.18</v>
      </c>
      <c r="K373" s="194">
        <f t="shared" si="26"/>
        <v>8267.82</v>
      </c>
      <c r="L373" s="193"/>
      <c r="M373" s="193"/>
    </row>
    <row r="374" spans="1:13" x14ac:dyDescent="0.25">
      <c r="A374" s="193"/>
      <c r="B374" s="465">
        <v>42545</v>
      </c>
      <c r="C374" s="193">
        <v>500</v>
      </c>
      <c r="D374" s="194">
        <v>13.32</v>
      </c>
      <c r="E374" s="194">
        <v>0</v>
      </c>
      <c r="F374" s="194">
        <f t="shared" si="25"/>
        <v>6660</v>
      </c>
      <c r="G374" s="198">
        <v>42544</v>
      </c>
      <c r="H374" s="199">
        <v>500</v>
      </c>
      <c r="I374" s="194">
        <v>14.05</v>
      </c>
      <c r="J374" s="194">
        <v>0.15</v>
      </c>
      <c r="K374" s="194">
        <f t="shared" si="26"/>
        <v>7024.85</v>
      </c>
      <c r="L374" s="193"/>
      <c r="M374" s="193"/>
    </row>
    <row r="375" spans="1:13" ht="15" customHeight="1" x14ac:dyDescent="0.25">
      <c r="A375" s="193"/>
      <c r="B375" s="465">
        <v>42548</v>
      </c>
      <c r="C375" s="193">
        <v>760</v>
      </c>
      <c r="D375" s="194">
        <v>12.81</v>
      </c>
      <c r="E375" s="194">
        <v>-3.8</v>
      </c>
      <c r="F375" s="194">
        <f t="shared" si="25"/>
        <v>9731.8000000000011</v>
      </c>
      <c r="G375" s="198">
        <v>42549</v>
      </c>
      <c r="H375" s="199">
        <v>760</v>
      </c>
      <c r="I375" s="194">
        <v>12.97</v>
      </c>
      <c r="J375" s="194">
        <v>0.21</v>
      </c>
      <c r="K375" s="194">
        <f t="shared" si="26"/>
        <v>9856.9900000000016</v>
      </c>
      <c r="L375" s="193"/>
      <c r="M375" s="193"/>
    </row>
    <row r="376" spans="1:13" x14ac:dyDescent="0.25">
      <c r="A376" s="193"/>
      <c r="B376" s="465">
        <v>42548</v>
      </c>
      <c r="C376" s="193">
        <v>500</v>
      </c>
      <c r="D376" s="194">
        <v>12.58</v>
      </c>
      <c r="E376" s="194">
        <v>0</v>
      </c>
      <c r="F376" s="194">
        <f t="shared" si="25"/>
        <v>6290</v>
      </c>
      <c r="G376" s="198">
        <v>42551</v>
      </c>
      <c r="H376" s="199">
        <v>500</v>
      </c>
      <c r="I376" s="194">
        <v>13.75</v>
      </c>
      <c r="J376" s="194">
        <v>7.1</v>
      </c>
      <c r="K376" s="194">
        <f>H376*I376-J376</f>
        <v>6867.9</v>
      </c>
      <c r="L376" s="193"/>
      <c r="M376" s="193"/>
    </row>
    <row r="377" spans="1:13" x14ac:dyDescent="0.25">
      <c r="A377" s="193"/>
      <c r="B377" s="465">
        <v>42551</v>
      </c>
      <c r="C377" s="193">
        <v>500</v>
      </c>
      <c r="D377" s="194">
        <v>12.42</v>
      </c>
      <c r="E377" s="194">
        <v>6.95</v>
      </c>
      <c r="F377" s="194">
        <f t="shared" si="25"/>
        <v>6216.95</v>
      </c>
      <c r="G377" s="193"/>
      <c r="H377" s="193"/>
      <c r="I377" s="194"/>
      <c r="J377" s="194"/>
      <c r="K377" s="194"/>
      <c r="L377" s="193"/>
      <c r="M377" s="193"/>
    </row>
    <row r="378" spans="1:13" x14ac:dyDescent="0.25">
      <c r="A378" s="193"/>
      <c r="B378" s="465">
        <v>42556</v>
      </c>
      <c r="C378" s="199">
        <v>500</v>
      </c>
      <c r="D378" s="194">
        <v>11.88</v>
      </c>
      <c r="E378" s="194">
        <v>-2.5</v>
      </c>
      <c r="F378" s="194">
        <f t="shared" si="25"/>
        <v>5937.5</v>
      </c>
      <c r="G378" s="193"/>
      <c r="H378" s="193"/>
      <c r="I378" s="194"/>
      <c r="J378" s="194"/>
      <c r="K378" s="194"/>
      <c r="L378" s="193"/>
      <c r="M378" s="193"/>
    </row>
    <row r="379" spans="1:13" x14ac:dyDescent="0.25">
      <c r="A379" s="193"/>
      <c r="B379" s="465">
        <v>42558</v>
      </c>
      <c r="C379" s="193">
        <v>500</v>
      </c>
      <c r="D379" s="194">
        <v>12.28</v>
      </c>
      <c r="E379" s="194">
        <v>0</v>
      </c>
      <c r="F379" s="194">
        <f t="shared" si="25"/>
        <v>6140</v>
      </c>
      <c r="G379" s="198">
        <v>42558</v>
      </c>
      <c r="H379" s="199">
        <v>1000</v>
      </c>
      <c r="I379" s="194">
        <v>12.48</v>
      </c>
      <c r="J379" s="194">
        <v>0.27</v>
      </c>
      <c r="K379" s="194">
        <f t="shared" ref="K379:K411" si="27">H379*I379-J379</f>
        <v>12479.73</v>
      </c>
      <c r="L379" s="193"/>
      <c r="M379" s="193"/>
    </row>
    <row r="380" spans="1:13" x14ac:dyDescent="0.25">
      <c r="A380" s="193"/>
      <c r="B380" s="465">
        <v>42578</v>
      </c>
      <c r="C380" s="193">
        <v>200</v>
      </c>
      <c r="D380" s="194">
        <v>14.12</v>
      </c>
      <c r="E380" s="194">
        <v>0</v>
      </c>
      <c r="F380" s="194">
        <f t="shared" ref="F380:F407" si="28">C380*D380+E380</f>
        <v>2824</v>
      </c>
      <c r="G380" s="198">
        <v>42576</v>
      </c>
      <c r="H380" s="199">
        <v>500</v>
      </c>
      <c r="I380" s="194">
        <v>13.82</v>
      </c>
      <c r="J380" s="194">
        <v>0.15</v>
      </c>
      <c r="K380" s="194">
        <f t="shared" si="27"/>
        <v>6909.85</v>
      </c>
      <c r="L380" s="193"/>
      <c r="M380" s="193"/>
    </row>
    <row r="381" spans="1:13" x14ac:dyDescent="0.25">
      <c r="A381" s="198"/>
      <c r="B381" s="465">
        <v>42579</v>
      </c>
      <c r="C381" s="193">
        <v>300</v>
      </c>
      <c r="D381" s="194">
        <v>13.82</v>
      </c>
      <c r="E381" s="194">
        <v>0</v>
      </c>
      <c r="F381" s="194">
        <f t="shared" si="28"/>
        <v>4146</v>
      </c>
      <c r="G381" s="198">
        <v>42577</v>
      </c>
      <c r="H381" s="193">
        <v>500</v>
      </c>
      <c r="I381" s="194">
        <v>14.33</v>
      </c>
      <c r="J381" s="194">
        <v>0.16</v>
      </c>
      <c r="K381" s="194">
        <f t="shared" si="27"/>
        <v>7164.84</v>
      </c>
      <c r="L381" s="193"/>
      <c r="M381" s="193"/>
    </row>
    <row r="382" spans="1:13" x14ac:dyDescent="0.25">
      <c r="A382" s="193"/>
      <c r="B382" s="465">
        <v>42579</v>
      </c>
      <c r="C382" s="193">
        <v>300</v>
      </c>
      <c r="D382" s="194">
        <v>13.82</v>
      </c>
      <c r="E382" s="194">
        <v>0</v>
      </c>
      <c r="F382" s="194">
        <f t="shared" si="28"/>
        <v>4146</v>
      </c>
      <c r="G382" s="198">
        <v>42577</v>
      </c>
      <c r="H382" s="193">
        <v>300</v>
      </c>
      <c r="I382" s="194">
        <v>14.58</v>
      </c>
      <c r="J382" s="194">
        <v>0.1</v>
      </c>
      <c r="K382" s="194">
        <f t="shared" si="27"/>
        <v>4373.8999999999996</v>
      </c>
      <c r="L382" s="193"/>
      <c r="M382" s="193"/>
    </row>
    <row r="383" spans="1:13" x14ac:dyDescent="0.25">
      <c r="A383" s="193"/>
      <c r="B383" s="465">
        <v>42580</v>
      </c>
      <c r="C383" s="193">
        <v>500</v>
      </c>
      <c r="D383" s="194">
        <v>13.62</v>
      </c>
      <c r="E383" s="194">
        <v>0</v>
      </c>
      <c r="F383" s="194">
        <f t="shared" si="28"/>
        <v>6810</v>
      </c>
      <c r="G383" s="198">
        <v>42586</v>
      </c>
      <c r="H383" s="193">
        <v>200</v>
      </c>
      <c r="I383" s="194">
        <v>13.89</v>
      </c>
      <c r="J383" s="194">
        <v>-0.54</v>
      </c>
      <c r="K383" s="194">
        <f t="shared" si="27"/>
        <v>2778.54</v>
      </c>
      <c r="L383" s="193"/>
      <c r="M383" s="193"/>
    </row>
    <row r="384" spans="1:13" x14ac:dyDescent="0.25">
      <c r="A384" s="193"/>
      <c r="B384" s="465">
        <v>42584</v>
      </c>
      <c r="C384" s="193">
        <v>200</v>
      </c>
      <c r="D384" s="194">
        <v>13.08</v>
      </c>
      <c r="E384" s="194">
        <v>0</v>
      </c>
      <c r="F384" s="194">
        <f t="shared" si="28"/>
        <v>2616</v>
      </c>
      <c r="G384" s="198">
        <v>42587</v>
      </c>
      <c r="H384" s="193">
        <v>500</v>
      </c>
      <c r="I384" s="194">
        <v>14.65</v>
      </c>
      <c r="J384" s="194">
        <v>0.16</v>
      </c>
      <c r="K384" s="194">
        <f t="shared" si="27"/>
        <v>7324.84</v>
      </c>
      <c r="L384" s="193"/>
      <c r="M384" s="193"/>
    </row>
    <row r="385" spans="1:13" ht="30" x14ac:dyDescent="0.25">
      <c r="A385" s="193"/>
      <c r="B385" s="465">
        <v>42599</v>
      </c>
      <c r="C385" s="193">
        <v>500</v>
      </c>
      <c r="D385" s="194">
        <v>15.6</v>
      </c>
      <c r="E385" s="194">
        <v>0</v>
      </c>
      <c r="F385" s="194">
        <f t="shared" si="28"/>
        <v>7800</v>
      </c>
      <c r="G385" s="198">
        <v>42593</v>
      </c>
      <c r="H385" s="193">
        <v>500</v>
      </c>
      <c r="I385" s="194">
        <v>14.45</v>
      </c>
      <c r="J385" s="194">
        <v>0.16</v>
      </c>
      <c r="K385" s="194">
        <f t="shared" si="27"/>
        <v>7224.84</v>
      </c>
      <c r="L385" s="193"/>
      <c r="M385" s="583" t="s">
        <v>247</v>
      </c>
    </row>
    <row r="386" spans="1:13" x14ac:dyDescent="0.25">
      <c r="A386" s="193"/>
      <c r="B386" s="465">
        <v>42619</v>
      </c>
      <c r="C386" s="193">
        <v>200</v>
      </c>
      <c r="D386" s="194">
        <v>16.850000000000001</v>
      </c>
      <c r="E386" s="194">
        <v>0</v>
      </c>
      <c r="F386" s="194">
        <f t="shared" si="28"/>
        <v>3370.0000000000005</v>
      </c>
      <c r="G386" s="198">
        <v>42594</v>
      </c>
      <c r="H386" s="193">
        <v>500</v>
      </c>
      <c r="I386" s="194">
        <v>14.88</v>
      </c>
      <c r="J386" s="194">
        <v>0.16</v>
      </c>
      <c r="K386" s="194">
        <f t="shared" si="27"/>
        <v>7439.84</v>
      </c>
      <c r="L386" s="193"/>
      <c r="M386" s="583"/>
    </row>
    <row r="387" spans="1:13" x14ac:dyDescent="0.25">
      <c r="A387" s="193"/>
      <c r="B387" s="465">
        <v>42619</v>
      </c>
      <c r="C387" s="193">
        <v>300</v>
      </c>
      <c r="D387" s="194">
        <v>16.850000000000001</v>
      </c>
      <c r="E387" s="194">
        <v>0</v>
      </c>
      <c r="F387" s="194">
        <f t="shared" si="28"/>
        <v>5055</v>
      </c>
      <c r="G387" s="198">
        <v>42594</v>
      </c>
      <c r="H387" s="193">
        <v>500</v>
      </c>
      <c r="I387" s="194">
        <v>14.98</v>
      </c>
      <c r="J387" s="194">
        <v>0.16</v>
      </c>
      <c r="K387" s="194">
        <f t="shared" si="27"/>
        <v>7489.84</v>
      </c>
      <c r="L387" s="193"/>
      <c r="M387" s="583"/>
    </row>
    <row r="388" spans="1:13" x14ac:dyDescent="0.25">
      <c r="A388" s="193"/>
      <c r="B388" s="465">
        <v>42620</v>
      </c>
      <c r="C388" s="193">
        <v>500</v>
      </c>
      <c r="D388" s="194">
        <v>17.12</v>
      </c>
      <c r="E388" s="194">
        <v>0</v>
      </c>
      <c r="F388" s="194">
        <f t="shared" si="28"/>
        <v>8560</v>
      </c>
      <c r="G388" s="198">
        <v>42597</v>
      </c>
      <c r="H388" s="193">
        <v>500</v>
      </c>
      <c r="I388" s="194">
        <v>15.48</v>
      </c>
      <c r="J388" s="194">
        <v>0.17</v>
      </c>
      <c r="K388" s="194">
        <f t="shared" si="27"/>
        <v>7739.83</v>
      </c>
      <c r="L388" s="193"/>
      <c r="M388" s="583"/>
    </row>
    <row r="389" spans="1:13" x14ac:dyDescent="0.25">
      <c r="A389" s="193"/>
      <c r="B389" s="465">
        <v>42622</v>
      </c>
      <c r="C389" s="193">
        <v>500</v>
      </c>
      <c r="D389" s="194">
        <v>17.05</v>
      </c>
      <c r="E389" s="194">
        <v>-2.5</v>
      </c>
      <c r="F389" s="194">
        <f t="shared" si="28"/>
        <v>8522.5</v>
      </c>
      <c r="G389" s="198">
        <v>42599</v>
      </c>
      <c r="H389" s="193">
        <v>500</v>
      </c>
      <c r="I389" s="194">
        <v>15.75</v>
      </c>
      <c r="J389" s="194">
        <v>0.17</v>
      </c>
      <c r="K389" s="194">
        <f t="shared" si="27"/>
        <v>7874.83</v>
      </c>
      <c r="L389" s="193"/>
      <c r="M389" s="193"/>
    </row>
    <row r="390" spans="1:13" x14ac:dyDescent="0.25">
      <c r="A390" s="193"/>
      <c r="B390" s="465">
        <v>42626</v>
      </c>
      <c r="C390" s="193">
        <v>100</v>
      </c>
      <c r="D390" s="194">
        <v>16.48</v>
      </c>
      <c r="E390" s="194">
        <v>0</v>
      </c>
      <c r="F390" s="194">
        <f t="shared" si="28"/>
        <v>1648</v>
      </c>
      <c r="G390" s="198">
        <v>42619</v>
      </c>
      <c r="H390" s="193">
        <v>500</v>
      </c>
      <c r="I390" s="194">
        <v>17.079999999999998</v>
      </c>
      <c r="J390" s="194">
        <v>0.19</v>
      </c>
      <c r="K390" s="194">
        <f t="shared" si="27"/>
        <v>8539.81</v>
      </c>
      <c r="L390" s="193"/>
      <c r="M390" s="193"/>
    </row>
    <row r="391" spans="1:13" x14ac:dyDescent="0.25">
      <c r="A391" s="193"/>
      <c r="B391" s="465">
        <v>42641</v>
      </c>
      <c r="C391" s="193">
        <v>200</v>
      </c>
      <c r="D391" s="194">
        <v>17.260000000000002</v>
      </c>
      <c r="E391" s="194">
        <v>-0.68</v>
      </c>
      <c r="F391" s="194">
        <f t="shared" si="28"/>
        <v>3451.3200000000006</v>
      </c>
      <c r="G391" s="198">
        <v>42620</v>
      </c>
      <c r="H391" s="193">
        <v>500</v>
      </c>
      <c r="I391" s="194">
        <v>17.28</v>
      </c>
      <c r="J391" s="194">
        <v>0.19</v>
      </c>
      <c r="K391" s="194">
        <f t="shared" si="27"/>
        <v>8639.81</v>
      </c>
      <c r="L391" s="193"/>
      <c r="M391" s="193"/>
    </row>
    <row r="392" spans="1:13" x14ac:dyDescent="0.25">
      <c r="A392" s="193"/>
      <c r="B392" s="465">
        <v>42647</v>
      </c>
      <c r="C392" s="193">
        <v>200</v>
      </c>
      <c r="D392" s="194">
        <v>17.079999999999998</v>
      </c>
      <c r="E392" s="194">
        <v>0</v>
      </c>
      <c r="F392" s="194">
        <f t="shared" si="28"/>
        <v>3415.9999999999995</v>
      </c>
      <c r="G392" s="198">
        <v>42621</v>
      </c>
      <c r="H392" s="193">
        <v>500</v>
      </c>
      <c r="I392" s="194">
        <v>17.43</v>
      </c>
      <c r="J392" s="194">
        <v>0.19</v>
      </c>
      <c r="K392" s="194">
        <f t="shared" si="27"/>
        <v>8714.81</v>
      </c>
      <c r="L392" s="193"/>
      <c r="M392" s="193"/>
    </row>
    <row r="393" spans="1:13" x14ac:dyDescent="0.25">
      <c r="A393" s="193"/>
      <c r="B393" s="465">
        <v>42654</v>
      </c>
      <c r="C393" s="193">
        <v>200</v>
      </c>
      <c r="D393" s="194">
        <v>16.68</v>
      </c>
      <c r="E393" s="194">
        <v>0</v>
      </c>
      <c r="F393" s="194">
        <f t="shared" si="28"/>
        <v>3336</v>
      </c>
      <c r="G393" s="198">
        <v>42634</v>
      </c>
      <c r="H393" s="193">
        <v>500</v>
      </c>
      <c r="I393" s="194">
        <v>17.63</v>
      </c>
      <c r="J393" s="194">
        <v>2.69</v>
      </c>
      <c r="K393" s="194">
        <f t="shared" si="27"/>
        <v>8812.31</v>
      </c>
      <c r="L393" s="193"/>
      <c r="M393" s="193"/>
    </row>
    <row r="394" spans="1:13" x14ac:dyDescent="0.25">
      <c r="A394" s="193"/>
      <c r="B394" s="465">
        <v>42670</v>
      </c>
      <c r="C394" s="193">
        <v>150</v>
      </c>
      <c r="D394" s="194">
        <v>17.510000000000002</v>
      </c>
      <c r="E394" s="194">
        <v>0</v>
      </c>
      <c r="F394" s="194">
        <f t="shared" si="28"/>
        <v>2626.5000000000005</v>
      </c>
      <c r="G394" s="198">
        <v>42662</v>
      </c>
      <c r="H394" s="199">
        <v>200</v>
      </c>
      <c r="I394" s="194">
        <v>17.239999999999998</v>
      </c>
      <c r="J394" s="194">
        <v>0.08</v>
      </c>
      <c r="K394" s="194">
        <f t="shared" si="27"/>
        <v>3447.9199999999996</v>
      </c>
      <c r="L394" s="193"/>
      <c r="M394" s="193"/>
    </row>
    <row r="395" spans="1:13" x14ac:dyDescent="0.25">
      <c r="A395" s="193"/>
      <c r="B395" s="465">
        <v>42670</v>
      </c>
      <c r="C395" s="193">
        <v>200</v>
      </c>
      <c r="D395" s="194">
        <v>17.510000000000002</v>
      </c>
      <c r="E395" s="194">
        <v>0</v>
      </c>
      <c r="F395" s="194">
        <f t="shared" si="28"/>
        <v>3502.0000000000005</v>
      </c>
      <c r="G395" s="198">
        <v>42668</v>
      </c>
      <c r="H395" s="193">
        <v>200</v>
      </c>
      <c r="I395" s="194">
        <v>17.55</v>
      </c>
      <c r="J395" s="194">
        <v>0.08</v>
      </c>
      <c r="K395" s="194">
        <f t="shared" si="27"/>
        <v>3509.92</v>
      </c>
      <c r="L395" s="193"/>
      <c r="M395" s="193"/>
    </row>
    <row r="396" spans="1:13" x14ac:dyDescent="0.25">
      <c r="A396" s="193"/>
      <c r="B396" s="465">
        <v>42670</v>
      </c>
      <c r="C396" s="193">
        <v>450</v>
      </c>
      <c r="D396" s="194">
        <v>17.510000000000002</v>
      </c>
      <c r="E396" s="194">
        <v>0</v>
      </c>
      <c r="F396" s="194">
        <f t="shared" si="28"/>
        <v>7879.5000000000009</v>
      </c>
      <c r="G396" s="198">
        <v>42669</v>
      </c>
      <c r="H396" s="193">
        <v>800</v>
      </c>
      <c r="I396" s="194">
        <v>17.760000000000002</v>
      </c>
      <c r="J396" s="194">
        <v>0.31</v>
      </c>
      <c r="K396" s="194">
        <f t="shared" si="27"/>
        <v>14207.690000000002</v>
      </c>
      <c r="L396" s="193"/>
      <c r="M396" s="193"/>
    </row>
    <row r="397" spans="1:13" x14ac:dyDescent="0.25">
      <c r="A397" s="193"/>
      <c r="B397" s="465">
        <v>42670</v>
      </c>
      <c r="C397" s="193">
        <v>200</v>
      </c>
      <c r="D397" s="194">
        <v>17.420000000000002</v>
      </c>
      <c r="E397" s="194">
        <v>0</v>
      </c>
      <c r="F397" s="194">
        <f t="shared" si="28"/>
        <v>3484.0000000000005</v>
      </c>
      <c r="G397" s="198">
        <v>42671</v>
      </c>
      <c r="H397" s="193">
        <v>400</v>
      </c>
      <c r="I397" s="194">
        <v>17.64</v>
      </c>
      <c r="J397" s="194">
        <v>0.15</v>
      </c>
      <c r="K397" s="194">
        <f t="shared" si="27"/>
        <v>7055.85</v>
      </c>
      <c r="L397" s="193"/>
      <c r="M397" s="193"/>
    </row>
    <row r="398" spans="1:13" x14ac:dyDescent="0.25">
      <c r="A398" s="193"/>
      <c r="B398" s="465">
        <v>42671</v>
      </c>
      <c r="C398" s="193">
        <v>400</v>
      </c>
      <c r="D398" s="194">
        <v>17.3</v>
      </c>
      <c r="E398" s="194">
        <v>0</v>
      </c>
      <c r="F398" s="194">
        <f t="shared" si="28"/>
        <v>6920</v>
      </c>
      <c r="G398" s="198">
        <v>42675</v>
      </c>
      <c r="H398" s="193">
        <v>200</v>
      </c>
      <c r="I398" s="194">
        <v>16.989999999999998</v>
      </c>
      <c r="J398" s="194">
        <v>7.0000000000000007E-2</v>
      </c>
      <c r="K398" s="194">
        <f t="shared" si="27"/>
        <v>3397.9299999999994</v>
      </c>
      <c r="L398" s="193"/>
      <c r="M398" s="193"/>
    </row>
    <row r="399" spans="1:13" x14ac:dyDescent="0.25">
      <c r="A399" s="193"/>
      <c r="B399" s="465">
        <v>42675</v>
      </c>
      <c r="C399" s="193">
        <v>200</v>
      </c>
      <c r="D399" s="194">
        <v>16.89</v>
      </c>
      <c r="E399" s="194">
        <v>0</v>
      </c>
      <c r="F399" s="194">
        <f t="shared" si="28"/>
        <v>3378</v>
      </c>
      <c r="G399" s="198">
        <v>42678</v>
      </c>
      <c r="H399" s="193">
        <v>200</v>
      </c>
      <c r="I399" s="194">
        <v>17</v>
      </c>
      <c r="J399" s="194">
        <v>7.0000000000000007E-2</v>
      </c>
      <c r="K399" s="194">
        <f t="shared" si="27"/>
        <v>3399.93</v>
      </c>
      <c r="L399" s="193"/>
      <c r="M399" s="193"/>
    </row>
    <row r="400" spans="1:13" x14ac:dyDescent="0.25">
      <c r="A400" s="193"/>
      <c r="B400" s="465">
        <v>42678</v>
      </c>
      <c r="C400" s="193">
        <v>200</v>
      </c>
      <c r="D400" s="194">
        <v>16.8</v>
      </c>
      <c r="E400" s="194">
        <v>0</v>
      </c>
      <c r="F400" s="194">
        <f t="shared" si="28"/>
        <v>3360</v>
      </c>
      <c r="G400" s="198">
        <v>42685</v>
      </c>
      <c r="H400" s="193">
        <v>200</v>
      </c>
      <c r="I400" s="194">
        <v>17.579999999999998</v>
      </c>
      <c r="J400" s="194">
        <v>0.08</v>
      </c>
      <c r="K400" s="194">
        <f t="shared" si="27"/>
        <v>3515.9199999999996</v>
      </c>
      <c r="L400" s="193"/>
      <c r="M400" s="193"/>
    </row>
    <row r="401" spans="1:13" x14ac:dyDescent="0.25">
      <c r="A401" s="193"/>
      <c r="B401" s="465">
        <v>42705</v>
      </c>
      <c r="C401" s="193">
        <v>150</v>
      </c>
      <c r="D401" s="194">
        <v>19.079999999999998</v>
      </c>
      <c r="E401" s="194">
        <v>0</v>
      </c>
      <c r="F401" s="194">
        <f t="shared" si="28"/>
        <v>2861.9999999999995</v>
      </c>
      <c r="G401" s="198">
        <v>42702</v>
      </c>
      <c r="H401" s="193">
        <v>150</v>
      </c>
      <c r="I401" s="194">
        <v>20.11</v>
      </c>
      <c r="J401" s="194">
        <v>7.0000000000000007E-2</v>
      </c>
      <c r="K401" s="194">
        <f t="shared" si="27"/>
        <v>3016.43</v>
      </c>
      <c r="L401" s="193"/>
      <c r="M401" s="193"/>
    </row>
    <row r="402" spans="1:13" x14ac:dyDescent="0.25">
      <c r="A402" s="193"/>
      <c r="B402" s="465">
        <v>42705</v>
      </c>
      <c r="C402" s="193">
        <v>200</v>
      </c>
      <c r="D402" s="194">
        <v>18.2</v>
      </c>
      <c r="E402" s="194">
        <v>0</v>
      </c>
      <c r="F402" s="194">
        <f t="shared" si="28"/>
        <v>3640</v>
      </c>
      <c r="G402" s="198">
        <v>42706</v>
      </c>
      <c r="H402" s="193">
        <v>200</v>
      </c>
      <c r="I402" s="194">
        <v>18.79</v>
      </c>
      <c r="J402" s="194">
        <v>0.08</v>
      </c>
      <c r="K402" s="194">
        <f t="shared" si="27"/>
        <v>3757.92</v>
      </c>
      <c r="L402" s="193"/>
      <c r="M402" s="193"/>
    </row>
    <row r="403" spans="1:13" x14ac:dyDescent="0.25">
      <c r="A403" s="193"/>
      <c r="B403" s="465"/>
      <c r="C403" s="193"/>
      <c r="D403" s="194"/>
      <c r="E403" s="194"/>
      <c r="F403" s="194">
        <f t="shared" si="28"/>
        <v>0</v>
      </c>
      <c r="G403" s="198">
        <v>42710</v>
      </c>
      <c r="H403" s="193">
        <v>200</v>
      </c>
      <c r="I403" s="194">
        <v>18.98</v>
      </c>
      <c r="J403" s="194">
        <v>0.08</v>
      </c>
      <c r="K403" s="194">
        <f t="shared" si="27"/>
        <v>3795.92</v>
      </c>
      <c r="L403" s="193"/>
      <c r="M403" s="193"/>
    </row>
    <row r="404" spans="1:13" ht="45" x14ac:dyDescent="0.25">
      <c r="A404" s="193"/>
      <c r="B404" s="465"/>
      <c r="C404" s="193"/>
      <c r="D404" s="194"/>
      <c r="E404" s="194"/>
      <c r="F404" s="194">
        <f t="shared" si="28"/>
        <v>0</v>
      </c>
      <c r="G404" s="580" t="s">
        <v>293</v>
      </c>
      <c r="H404" s="193">
        <v>100</v>
      </c>
      <c r="I404" s="194">
        <v>19.68</v>
      </c>
      <c r="J404" s="194">
        <v>0.04</v>
      </c>
      <c r="K404" s="194">
        <f t="shared" si="27"/>
        <v>1967.96</v>
      </c>
      <c r="L404" s="193"/>
      <c r="M404" s="193"/>
    </row>
    <row r="405" spans="1:13" x14ac:dyDescent="0.25">
      <c r="A405" s="193"/>
      <c r="B405" s="465"/>
      <c r="C405" s="193"/>
      <c r="D405" s="194"/>
      <c r="E405" s="194"/>
      <c r="F405" s="194">
        <f t="shared" si="28"/>
        <v>0</v>
      </c>
      <c r="G405" s="580"/>
      <c r="H405" s="193">
        <v>200</v>
      </c>
      <c r="I405" s="194">
        <v>19.88</v>
      </c>
      <c r="J405" s="194">
        <v>0.09</v>
      </c>
      <c r="K405" s="194">
        <f t="shared" si="27"/>
        <v>3975.91</v>
      </c>
      <c r="L405" s="193"/>
      <c r="M405" s="193"/>
    </row>
    <row r="406" spans="1:13" x14ac:dyDescent="0.25">
      <c r="A406" s="193"/>
      <c r="B406" s="465"/>
      <c r="C406" s="193"/>
      <c r="D406" s="194"/>
      <c r="E406" s="194"/>
      <c r="F406" s="194">
        <f t="shared" si="28"/>
        <v>0</v>
      </c>
      <c r="G406" s="580"/>
      <c r="H406" s="193">
        <v>200</v>
      </c>
      <c r="I406" s="194">
        <v>20.32</v>
      </c>
      <c r="J406" s="194">
        <v>0.09</v>
      </c>
      <c r="K406" s="194">
        <f t="shared" si="27"/>
        <v>4063.91</v>
      </c>
      <c r="L406" s="193"/>
      <c r="M406" s="193"/>
    </row>
    <row r="407" spans="1:13" x14ac:dyDescent="0.25">
      <c r="A407" s="193"/>
      <c r="B407" s="465"/>
      <c r="C407" s="193"/>
      <c r="D407" s="194"/>
      <c r="E407" s="194"/>
      <c r="F407" s="194">
        <f t="shared" si="28"/>
        <v>0</v>
      </c>
      <c r="G407" s="580"/>
      <c r="H407" s="193">
        <v>300</v>
      </c>
      <c r="I407" s="194">
        <v>20.53</v>
      </c>
      <c r="J407" s="194">
        <v>0.13</v>
      </c>
      <c r="K407" s="194">
        <f t="shared" si="27"/>
        <v>6158.87</v>
      </c>
      <c r="L407" s="193"/>
      <c r="M407" s="193"/>
    </row>
    <row r="408" spans="1:13" x14ac:dyDescent="0.25">
      <c r="A408" s="193"/>
      <c r="B408" s="465"/>
      <c r="C408" s="193"/>
      <c r="D408" s="194"/>
      <c r="E408" s="194"/>
      <c r="F408" s="194"/>
      <c r="G408" s="198">
        <v>42716</v>
      </c>
      <c r="H408" s="193">
        <v>200</v>
      </c>
      <c r="I408" s="194">
        <v>19.899999999999999</v>
      </c>
      <c r="J408" s="194">
        <v>0.09</v>
      </c>
      <c r="K408" s="194">
        <f t="shared" si="27"/>
        <v>3979.9099999999994</v>
      </c>
      <c r="L408" s="193"/>
      <c r="M408" s="193"/>
    </row>
    <row r="409" spans="1:13" x14ac:dyDescent="0.25">
      <c r="A409" s="193"/>
      <c r="B409" s="465"/>
      <c r="C409" s="193"/>
      <c r="D409" s="193"/>
      <c r="E409" s="193"/>
      <c r="F409" s="193"/>
      <c r="G409" s="198">
        <v>42716</v>
      </c>
      <c r="H409" s="193">
        <v>150</v>
      </c>
      <c r="I409" s="194">
        <v>19.989999999999998</v>
      </c>
      <c r="J409" s="194">
        <v>7.0000000000000007E-2</v>
      </c>
      <c r="K409" s="194">
        <f t="shared" si="27"/>
        <v>2998.4299999999994</v>
      </c>
      <c r="L409" s="193"/>
      <c r="M409" s="193"/>
    </row>
    <row r="410" spans="1:13" x14ac:dyDescent="0.25">
      <c r="A410" s="193"/>
      <c r="B410" s="465"/>
      <c r="C410" s="193"/>
      <c r="D410" s="193"/>
      <c r="E410" s="193"/>
      <c r="F410" s="193"/>
      <c r="G410" s="198">
        <v>42717</v>
      </c>
      <c r="H410" s="193">
        <v>100</v>
      </c>
      <c r="I410" s="194">
        <v>20.350000000000001</v>
      </c>
      <c r="J410" s="194">
        <v>0.04</v>
      </c>
      <c r="K410" s="194">
        <f t="shared" si="27"/>
        <v>2034.9600000000003</v>
      </c>
      <c r="L410" s="193"/>
      <c r="M410" s="193"/>
    </row>
    <row r="411" spans="1:13" x14ac:dyDescent="0.25">
      <c r="A411" s="193"/>
      <c r="B411" s="465"/>
      <c r="C411" s="193"/>
      <c r="D411" s="193"/>
      <c r="E411" s="193"/>
      <c r="F411" s="193"/>
      <c r="G411" s="198">
        <v>42738</v>
      </c>
      <c r="H411" s="193">
        <v>350</v>
      </c>
      <c r="I411" s="194">
        <v>22.58</v>
      </c>
      <c r="J411" s="194">
        <v>0.55000000000000004</v>
      </c>
      <c r="K411" s="194">
        <f t="shared" si="27"/>
        <v>7902.4499999999989</v>
      </c>
      <c r="L411" s="193"/>
      <c r="M411" s="193"/>
    </row>
    <row r="412" spans="1:13" x14ac:dyDescent="0.25">
      <c r="A412" s="193"/>
      <c r="B412" s="465"/>
      <c r="C412" s="193"/>
      <c r="D412" s="193"/>
      <c r="E412" s="193"/>
      <c r="F412" s="193"/>
      <c r="G412" s="193"/>
      <c r="H412" s="193"/>
      <c r="I412" s="194"/>
      <c r="J412" s="194"/>
      <c r="K412" s="194"/>
      <c r="L412" s="193"/>
      <c r="M412" s="193"/>
    </row>
    <row r="413" spans="1:13" x14ac:dyDescent="0.25">
      <c r="A413" s="193"/>
      <c r="B413" s="465">
        <v>42710</v>
      </c>
      <c r="C413" s="193">
        <v>200</v>
      </c>
      <c r="D413" s="194">
        <v>18.75</v>
      </c>
      <c r="E413" s="194">
        <v>0</v>
      </c>
      <c r="F413" s="194">
        <f t="shared" ref="F413:F418" si="29">C413*D413+E413</f>
        <v>3750</v>
      </c>
      <c r="G413" s="465">
        <v>42759</v>
      </c>
      <c r="H413" s="193">
        <v>200</v>
      </c>
      <c r="I413" s="194">
        <v>22.97</v>
      </c>
      <c r="J413" s="194">
        <v>0.1</v>
      </c>
      <c r="K413" s="194">
        <f>H413*I413-J413</f>
        <v>4593.8999999999996</v>
      </c>
      <c r="L413" s="193"/>
      <c r="M413" s="193"/>
    </row>
    <row r="414" spans="1:13" x14ac:dyDescent="0.25">
      <c r="A414" s="193"/>
      <c r="B414" s="465">
        <v>42716</v>
      </c>
      <c r="C414" s="193">
        <v>200</v>
      </c>
      <c r="D414" s="194">
        <v>20.100000000000001</v>
      </c>
      <c r="E414" s="194">
        <v>-1</v>
      </c>
      <c r="F414" s="194">
        <f t="shared" si="29"/>
        <v>4019.0000000000005</v>
      </c>
      <c r="G414" s="465">
        <v>42760</v>
      </c>
      <c r="H414" s="199">
        <v>600</v>
      </c>
      <c r="I414" s="194">
        <v>23.78</v>
      </c>
      <c r="J414" s="194">
        <v>0.31</v>
      </c>
      <c r="K414" s="194">
        <f>H414*I414-J414</f>
        <v>14267.69</v>
      </c>
      <c r="L414" s="193"/>
      <c r="M414" s="193"/>
    </row>
    <row r="415" spans="1:13" x14ac:dyDescent="0.25">
      <c r="A415" s="193"/>
      <c r="B415" s="465">
        <v>42716</v>
      </c>
      <c r="C415" s="193">
        <v>200</v>
      </c>
      <c r="D415" s="194">
        <v>19.850000000000001</v>
      </c>
      <c r="E415" s="194">
        <v>0</v>
      </c>
      <c r="F415" s="194">
        <f t="shared" si="29"/>
        <v>3970.0000000000005</v>
      </c>
      <c r="G415" s="465">
        <v>42762</v>
      </c>
      <c r="H415" s="199">
        <v>400</v>
      </c>
      <c r="I415" s="194">
        <v>23.98</v>
      </c>
      <c r="J415" s="194">
        <v>0.21</v>
      </c>
      <c r="K415" s="194">
        <f>H415*I415-J415</f>
        <v>9591.7900000000009</v>
      </c>
      <c r="L415" s="193"/>
      <c r="M415" s="193"/>
    </row>
    <row r="416" spans="1:13" x14ac:dyDescent="0.25">
      <c r="A416" s="193"/>
      <c r="B416" s="465">
        <v>42716</v>
      </c>
      <c r="C416" s="193">
        <v>600</v>
      </c>
      <c r="D416" s="194">
        <v>19.600000000000001</v>
      </c>
      <c r="E416" s="194">
        <v>0</v>
      </c>
      <c r="F416" s="194">
        <f t="shared" si="29"/>
        <v>11760</v>
      </c>
      <c r="G416" s="198"/>
      <c r="H416" s="193"/>
      <c r="I416" s="194"/>
      <c r="J416" s="194"/>
      <c r="K416" s="194"/>
      <c r="L416" s="193"/>
      <c r="M416" s="193"/>
    </row>
    <row r="417" spans="1:13" x14ac:dyDescent="0.25">
      <c r="A417" s="193"/>
      <c r="B417" s="397">
        <v>42738</v>
      </c>
      <c r="C417" s="7">
        <v>100</v>
      </c>
      <c r="D417" s="43">
        <v>22.35</v>
      </c>
      <c r="E417" s="43">
        <v>0</v>
      </c>
      <c r="F417" s="43">
        <f t="shared" si="29"/>
        <v>2235</v>
      </c>
      <c r="G417" s="397">
        <v>42769</v>
      </c>
      <c r="H417" s="77">
        <v>100</v>
      </c>
      <c r="I417" s="43">
        <v>25.15</v>
      </c>
      <c r="J417" s="43">
        <v>0.05</v>
      </c>
      <c r="K417" s="43">
        <f>I417*H417-J417</f>
        <v>2514.9499999999998</v>
      </c>
      <c r="L417" s="193"/>
      <c r="M417" s="193"/>
    </row>
    <row r="418" spans="1:13" x14ac:dyDescent="0.25">
      <c r="A418" s="193"/>
      <c r="B418" s="397">
        <v>42738</v>
      </c>
      <c r="C418" s="7">
        <v>100</v>
      </c>
      <c r="D418" s="7">
        <v>22.35</v>
      </c>
      <c r="E418" s="43">
        <v>0</v>
      </c>
      <c r="F418" s="43">
        <f t="shared" si="29"/>
        <v>2235</v>
      </c>
      <c r="G418" s="397">
        <v>42782</v>
      </c>
      <c r="H418" s="77">
        <v>100</v>
      </c>
      <c r="I418" s="43">
        <v>23.3</v>
      </c>
      <c r="J418" s="43">
        <v>0.05</v>
      </c>
      <c r="K418" s="43">
        <f>I418*H418-J418</f>
        <v>2329.9499999999998</v>
      </c>
      <c r="L418" s="193"/>
      <c r="M418" s="193"/>
    </row>
    <row r="419" spans="1:13" x14ac:dyDescent="0.25">
      <c r="A419" s="193"/>
      <c r="B419" s="465"/>
      <c r="C419" s="193"/>
      <c r="D419" s="193"/>
      <c r="E419" s="193"/>
      <c r="F419" s="193"/>
      <c r="G419" s="193"/>
      <c r="H419" s="193"/>
      <c r="I419" s="194"/>
      <c r="J419" s="194"/>
      <c r="K419" s="194"/>
      <c r="L419" s="193"/>
      <c r="M419" s="193"/>
    </row>
    <row r="420" spans="1:13" x14ac:dyDescent="0.25">
      <c r="A420" s="193"/>
      <c r="B420" s="397">
        <v>42738</v>
      </c>
      <c r="C420" s="7">
        <v>150</v>
      </c>
      <c r="D420" s="7">
        <v>22.35</v>
      </c>
      <c r="E420" s="43">
        <v>0</v>
      </c>
      <c r="F420" s="43">
        <f t="shared" ref="F420:F425" si="30">C420*D420+E420</f>
        <v>3352.5</v>
      </c>
      <c r="G420" s="397">
        <v>42795</v>
      </c>
      <c r="H420" s="77">
        <v>350</v>
      </c>
      <c r="I420" s="43">
        <v>24.16</v>
      </c>
      <c r="J420" s="43">
        <v>0.18</v>
      </c>
      <c r="K420" s="43">
        <f>I420*H420-J420</f>
        <v>8455.82</v>
      </c>
      <c r="L420" s="4"/>
      <c r="M420" s="193"/>
    </row>
    <row r="421" spans="1:13" x14ac:dyDescent="0.25">
      <c r="A421" s="193"/>
      <c r="B421" s="397">
        <v>42759</v>
      </c>
      <c r="C421" s="7">
        <v>200</v>
      </c>
      <c r="D421" s="43">
        <v>22.85</v>
      </c>
      <c r="E421" s="43">
        <v>0</v>
      </c>
      <c r="F421" s="43">
        <f t="shared" si="30"/>
        <v>4570</v>
      </c>
      <c r="G421" s="397">
        <v>42796</v>
      </c>
      <c r="H421" s="77">
        <v>600</v>
      </c>
      <c r="I421" s="43">
        <v>25.24</v>
      </c>
      <c r="J421" s="43">
        <v>0.33</v>
      </c>
      <c r="K421" s="43">
        <f>I421*H421-J421</f>
        <v>15143.669999999998</v>
      </c>
      <c r="L421" s="4"/>
      <c r="M421" s="193"/>
    </row>
    <row r="422" spans="1:13" x14ac:dyDescent="0.25">
      <c r="A422" s="193"/>
      <c r="B422" s="397">
        <v>42760</v>
      </c>
      <c r="C422" s="7">
        <v>600</v>
      </c>
      <c r="D422" s="43">
        <v>23.38</v>
      </c>
      <c r="E422" s="43">
        <v>0</v>
      </c>
      <c r="F422" s="43">
        <f t="shared" si="30"/>
        <v>14028</v>
      </c>
      <c r="G422" s="397">
        <v>42797</v>
      </c>
      <c r="H422" s="77">
        <v>200</v>
      </c>
      <c r="I422" s="43">
        <v>25.38</v>
      </c>
      <c r="J422" s="43">
        <v>0.11</v>
      </c>
      <c r="K422" s="43">
        <f>I422*H422-J422</f>
        <v>5075.8900000000003</v>
      </c>
      <c r="L422" s="4"/>
      <c r="M422" s="193"/>
    </row>
    <row r="423" spans="1:13" x14ac:dyDescent="0.25">
      <c r="A423" s="193"/>
      <c r="B423" s="397">
        <v>42765</v>
      </c>
      <c r="C423" s="7">
        <v>200</v>
      </c>
      <c r="D423" s="43">
        <v>23.78</v>
      </c>
      <c r="E423" s="43">
        <v>-0.5</v>
      </c>
      <c r="F423" s="43">
        <f t="shared" si="30"/>
        <v>4755.5</v>
      </c>
      <c r="G423" s="360">
        <v>42804</v>
      </c>
      <c r="H423" s="77">
        <v>100</v>
      </c>
      <c r="I423" s="43">
        <v>25.58</v>
      </c>
      <c r="J423" s="43">
        <v>0.06</v>
      </c>
      <c r="K423" s="43">
        <f>I423*H423-J423</f>
        <v>2557.94</v>
      </c>
      <c r="L423" s="4"/>
      <c r="M423" s="193"/>
    </row>
    <row r="424" spans="1:13" x14ac:dyDescent="0.25">
      <c r="A424" s="193"/>
      <c r="B424" s="397">
        <v>42769</v>
      </c>
      <c r="C424" s="7">
        <v>100</v>
      </c>
      <c r="D424" s="43">
        <v>24.7</v>
      </c>
      <c r="E424" s="43">
        <v>-0.32</v>
      </c>
      <c r="F424" s="43">
        <f t="shared" si="30"/>
        <v>2469.6799999999998</v>
      </c>
      <c r="G424" s="360">
        <v>42809</v>
      </c>
      <c r="H424" s="77">
        <v>200</v>
      </c>
      <c r="I424" s="43">
        <v>25.35</v>
      </c>
      <c r="J424" s="43">
        <v>0.11</v>
      </c>
      <c r="K424" s="43">
        <f>I424*H424-J424</f>
        <v>5069.8900000000003</v>
      </c>
      <c r="L424" s="4"/>
      <c r="M424" s="193"/>
    </row>
    <row r="425" spans="1:13" x14ac:dyDescent="0.25">
      <c r="A425" s="193"/>
      <c r="B425" s="397">
        <v>42776</v>
      </c>
      <c r="C425" s="7">
        <v>200</v>
      </c>
      <c r="D425" s="43">
        <v>23.95</v>
      </c>
      <c r="E425" s="43">
        <v>0</v>
      </c>
      <c r="F425" s="43">
        <f t="shared" si="30"/>
        <v>4790</v>
      </c>
      <c r="G425" s="69"/>
      <c r="H425" s="4"/>
      <c r="I425" s="3"/>
      <c r="J425" s="3"/>
      <c r="K425" s="3"/>
      <c r="L425" s="4"/>
      <c r="M425" s="193"/>
    </row>
    <row r="426" spans="1:13" x14ac:dyDescent="0.25">
      <c r="A426" s="193"/>
      <c r="B426" s="465"/>
      <c r="C426" s="193"/>
      <c r="D426" s="193"/>
      <c r="E426" s="193"/>
      <c r="F426" s="193"/>
      <c r="G426" s="193"/>
      <c r="H426" s="193"/>
      <c r="I426" s="194"/>
      <c r="J426" s="194"/>
      <c r="K426" s="194"/>
      <c r="L426" s="193"/>
      <c r="M426" s="193"/>
    </row>
    <row r="427" spans="1:13" x14ac:dyDescent="0.25">
      <c r="A427" s="193"/>
      <c r="B427" s="397">
        <v>42780</v>
      </c>
      <c r="C427" s="7">
        <v>100</v>
      </c>
      <c r="D427" s="43">
        <v>22.9</v>
      </c>
      <c r="E427" s="43">
        <v>0</v>
      </c>
      <c r="F427" s="43">
        <f>C427*D427+E427</f>
        <v>2290</v>
      </c>
      <c r="G427" s="397">
        <v>42815</v>
      </c>
      <c r="H427" s="77">
        <v>100</v>
      </c>
      <c r="I427" s="43">
        <v>28.98</v>
      </c>
      <c r="J427" s="43">
        <v>0.06</v>
      </c>
      <c r="K427" s="43">
        <f>H427*I427-J427</f>
        <v>2897.94</v>
      </c>
      <c r="L427" s="193"/>
      <c r="M427" s="193"/>
    </row>
    <row r="428" spans="1:13" x14ac:dyDescent="0.25">
      <c r="A428" s="193"/>
      <c r="B428" s="465"/>
      <c r="C428" s="193"/>
      <c r="D428" s="193"/>
      <c r="E428" s="193"/>
      <c r="F428" s="193"/>
      <c r="G428" s="193"/>
      <c r="H428" s="193"/>
      <c r="I428" s="194"/>
      <c r="J428" s="194"/>
      <c r="K428" s="194"/>
      <c r="L428" s="193"/>
      <c r="M428" s="193"/>
    </row>
    <row r="429" spans="1:13" x14ac:dyDescent="0.25">
      <c r="A429" s="193"/>
      <c r="B429" s="397">
        <v>42796</v>
      </c>
      <c r="C429" s="7">
        <v>50</v>
      </c>
      <c r="D429" s="43">
        <v>24.74</v>
      </c>
      <c r="E429" s="43">
        <v>0</v>
      </c>
      <c r="F429" s="43">
        <f t="shared" ref="F429:F436" si="31">C429*D429+E429</f>
        <v>1237</v>
      </c>
      <c r="G429" s="397">
        <v>42845</v>
      </c>
      <c r="H429" s="77">
        <v>200</v>
      </c>
      <c r="I429" s="43">
        <v>27.95</v>
      </c>
      <c r="J429" s="43">
        <v>0.12</v>
      </c>
      <c r="K429" s="43">
        <f t="shared" ref="K429:K435" si="32">I429*H429-J429</f>
        <v>5589.88</v>
      </c>
      <c r="L429" s="4"/>
      <c r="M429" s="4"/>
    </row>
    <row r="430" spans="1:13" x14ac:dyDescent="0.25">
      <c r="A430" s="193"/>
      <c r="B430" s="397">
        <v>42796</v>
      </c>
      <c r="C430" s="7">
        <v>550</v>
      </c>
      <c r="D430" s="7">
        <v>24.74</v>
      </c>
      <c r="E430" s="7">
        <v>0</v>
      </c>
      <c r="F430" s="43">
        <f t="shared" si="31"/>
        <v>13607</v>
      </c>
      <c r="G430" s="397">
        <v>42853</v>
      </c>
      <c r="H430" s="77">
        <v>200</v>
      </c>
      <c r="I430" s="43">
        <v>28.18</v>
      </c>
      <c r="J430" s="43">
        <v>0.12</v>
      </c>
      <c r="K430" s="43">
        <f t="shared" si="32"/>
        <v>5635.88</v>
      </c>
      <c r="L430" s="4"/>
      <c r="M430" s="4"/>
    </row>
    <row r="431" spans="1:13" x14ac:dyDescent="0.25">
      <c r="A431" s="193"/>
      <c r="B431" s="397">
        <v>42803</v>
      </c>
      <c r="C431" s="7">
        <v>100</v>
      </c>
      <c r="D431" s="43">
        <v>25.05</v>
      </c>
      <c r="E431" s="43">
        <v>0</v>
      </c>
      <c r="F431" s="43">
        <f t="shared" si="31"/>
        <v>2505</v>
      </c>
      <c r="G431" s="397">
        <v>42856</v>
      </c>
      <c r="H431" s="77">
        <v>50</v>
      </c>
      <c r="I431" s="43">
        <v>28.32</v>
      </c>
      <c r="J431" s="43">
        <v>0.03</v>
      </c>
      <c r="K431" s="43">
        <f t="shared" si="32"/>
        <v>1415.97</v>
      </c>
      <c r="L431" s="4"/>
      <c r="M431" s="4"/>
    </row>
    <row r="432" spans="1:13" x14ac:dyDescent="0.25">
      <c r="A432" s="193"/>
      <c r="B432" s="397">
        <v>42809</v>
      </c>
      <c r="C432" s="7">
        <v>200</v>
      </c>
      <c r="D432" s="43">
        <v>24.98</v>
      </c>
      <c r="E432" s="43">
        <v>0</v>
      </c>
      <c r="F432" s="43">
        <f t="shared" si="31"/>
        <v>4996</v>
      </c>
      <c r="G432" s="360">
        <v>42864</v>
      </c>
      <c r="H432" s="77">
        <v>450</v>
      </c>
      <c r="I432" s="43">
        <v>28.38</v>
      </c>
      <c r="J432" s="43">
        <v>0.28000000000000003</v>
      </c>
      <c r="K432" s="43">
        <f t="shared" si="32"/>
        <v>12770.72</v>
      </c>
      <c r="L432" s="4"/>
      <c r="M432" s="4"/>
    </row>
    <row r="433" spans="1:13" x14ac:dyDescent="0.25">
      <c r="A433" s="193"/>
      <c r="B433" s="397">
        <v>42818</v>
      </c>
      <c r="C433" s="7">
        <v>100</v>
      </c>
      <c r="D433" s="43">
        <v>28.48</v>
      </c>
      <c r="E433" s="43">
        <v>0</v>
      </c>
      <c r="F433" s="43">
        <f t="shared" si="31"/>
        <v>2848</v>
      </c>
      <c r="G433" s="360">
        <v>42864</v>
      </c>
      <c r="H433" s="77">
        <v>100</v>
      </c>
      <c r="I433" s="43">
        <v>28.67</v>
      </c>
      <c r="J433" s="43">
        <v>0.06</v>
      </c>
      <c r="K433" s="43">
        <f t="shared" si="32"/>
        <v>2866.94</v>
      </c>
      <c r="L433" s="4"/>
      <c r="M433" s="4"/>
    </row>
    <row r="434" spans="1:13" x14ac:dyDescent="0.25">
      <c r="A434" s="193"/>
      <c r="B434" s="397">
        <v>42835</v>
      </c>
      <c r="C434" s="7">
        <v>100</v>
      </c>
      <c r="D434" s="43">
        <v>28.08</v>
      </c>
      <c r="E434" s="43">
        <v>0</v>
      </c>
      <c r="F434" s="43">
        <f t="shared" si="31"/>
        <v>2808</v>
      </c>
      <c r="G434" s="360">
        <v>42874</v>
      </c>
      <c r="H434" s="77">
        <v>200</v>
      </c>
      <c r="I434" s="43">
        <v>28.08</v>
      </c>
      <c r="J434" s="43">
        <v>0.12</v>
      </c>
      <c r="K434" s="43">
        <f t="shared" si="32"/>
        <v>5615.88</v>
      </c>
      <c r="L434" s="4"/>
      <c r="M434" s="4"/>
    </row>
    <row r="435" spans="1:13" x14ac:dyDescent="0.25">
      <c r="A435" s="193"/>
      <c r="B435" s="397">
        <v>42836</v>
      </c>
      <c r="C435" s="7">
        <v>100</v>
      </c>
      <c r="D435" s="43">
        <v>27.06</v>
      </c>
      <c r="E435" s="43">
        <v>0</v>
      </c>
      <c r="F435" s="43">
        <f t="shared" si="31"/>
        <v>2706</v>
      </c>
      <c r="G435" s="360">
        <v>42879</v>
      </c>
      <c r="H435" s="77">
        <v>200</v>
      </c>
      <c r="I435" s="43">
        <v>28.65</v>
      </c>
      <c r="J435" s="43">
        <v>0.12</v>
      </c>
      <c r="K435" s="43">
        <f t="shared" si="32"/>
        <v>5729.88</v>
      </c>
      <c r="L435" s="4"/>
      <c r="M435" s="4"/>
    </row>
    <row r="436" spans="1:13" x14ac:dyDescent="0.25">
      <c r="A436" s="193"/>
      <c r="B436" s="397">
        <v>42846</v>
      </c>
      <c r="C436" s="7">
        <v>200</v>
      </c>
      <c r="D436" s="43">
        <v>27.34</v>
      </c>
      <c r="E436" s="43">
        <v>-0.78</v>
      </c>
      <c r="F436" s="43">
        <f t="shared" si="31"/>
        <v>5467.22</v>
      </c>
      <c r="G436" s="154"/>
      <c r="H436" s="4"/>
      <c r="I436" s="3"/>
      <c r="J436" s="3"/>
      <c r="K436" s="3"/>
      <c r="L436" s="4"/>
      <c r="M436" s="4"/>
    </row>
    <row r="438" spans="1:13" x14ac:dyDescent="0.25">
      <c r="B438" s="397">
        <v>42872</v>
      </c>
      <c r="C438" s="7">
        <v>100</v>
      </c>
      <c r="D438" s="43">
        <v>27.48</v>
      </c>
      <c r="E438" s="43">
        <v>0</v>
      </c>
      <c r="F438" s="43">
        <f>C438*D438+E438</f>
        <v>2748</v>
      </c>
      <c r="G438" s="397">
        <v>42955</v>
      </c>
      <c r="H438" s="77">
        <v>100</v>
      </c>
      <c r="I438" s="43">
        <v>29.18</v>
      </c>
      <c r="J438" s="43">
        <v>7.0000000000000007E-2</v>
      </c>
      <c r="K438" s="43">
        <f>I438*H438-J438</f>
        <v>2917.93</v>
      </c>
    </row>
    <row r="439" spans="1:13" x14ac:dyDescent="0.25">
      <c r="B439" s="397">
        <v>42872</v>
      </c>
      <c r="C439" s="7">
        <v>100</v>
      </c>
      <c r="D439" s="43">
        <v>27.48</v>
      </c>
      <c r="E439" s="43">
        <v>0</v>
      </c>
      <c r="F439" s="43">
        <f>C439*D439+E439</f>
        <v>2748</v>
      </c>
      <c r="G439" s="397">
        <v>42962</v>
      </c>
      <c r="H439" s="77">
        <v>100</v>
      </c>
      <c r="I439" s="43">
        <v>29.31</v>
      </c>
      <c r="J439" s="43">
        <v>7.0000000000000007E-2</v>
      </c>
      <c r="K439" s="43">
        <f>I439*H439-J439</f>
        <v>2930.93</v>
      </c>
    </row>
    <row r="440" spans="1:13" x14ac:dyDescent="0.25">
      <c r="B440" s="397">
        <v>42872</v>
      </c>
      <c r="C440" s="7">
        <v>200</v>
      </c>
      <c r="D440" s="43">
        <v>27.08</v>
      </c>
      <c r="E440" s="43">
        <v>0</v>
      </c>
      <c r="F440" s="43">
        <f>C440*D440+E440</f>
        <v>5416</v>
      </c>
      <c r="G440" s="397">
        <v>42963</v>
      </c>
      <c r="H440" s="77">
        <v>200</v>
      </c>
      <c r="I440" s="43">
        <v>30.38</v>
      </c>
      <c r="J440" s="43">
        <v>0.14000000000000001</v>
      </c>
      <c r="K440" s="43">
        <f>I440*H440-J440</f>
        <v>6075.86</v>
      </c>
    </row>
    <row r="441" spans="1:13" x14ac:dyDescent="0.25">
      <c r="B441" s="397">
        <v>42944</v>
      </c>
      <c r="C441" s="7">
        <v>50</v>
      </c>
      <c r="D441" s="43">
        <v>29.45</v>
      </c>
      <c r="E441" s="43">
        <v>-0.06</v>
      </c>
      <c r="F441" s="43">
        <f>C441*D441+E441</f>
        <v>1472.44</v>
      </c>
      <c r="G441" s="360">
        <v>42978</v>
      </c>
      <c r="H441" s="77">
        <v>50</v>
      </c>
      <c r="I441" s="43">
        <v>31.66</v>
      </c>
      <c r="J441" s="43">
        <v>0.04</v>
      </c>
      <c r="K441" s="43">
        <f>I441*H441-J441</f>
        <v>1582.96</v>
      </c>
    </row>
    <row r="442" spans="1:13" x14ac:dyDescent="0.25">
      <c r="B442" s="397">
        <v>42947</v>
      </c>
      <c r="C442" s="7">
        <v>50</v>
      </c>
      <c r="D442" s="43">
        <v>28.45</v>
      </c>
      <c r="E442" s="43">
        <v>0</v>
      </c>
      <c r="F442" s="43">
        <f>C442*D442+E442</f>
        <v>1422.5</v>
      </c>
      <c r="G442" s="360">
        <v>42979</v>
      </c>
      <c r="H442" s="77">
        <v>50</v>
      </c>
      <c r="I442" s="43">
        <v>32.28</v>
      </c>
      <c r="J442" s="43">
        <v>0.04</v>
      </c>
      <c r="K442" s="43">
        <f>I442*H442-J442</f>
        <v>1613.96</v>
      </c>
    </row>
    <row r="444" spans="1:13" x14ac:dyDescent="0.25">
      <c r="B444" s="397">
        <v>42950</v>
      </c>
      <c r="C444" s="7">
        <v>50</v>
      </c>
      <c r="D444" s="43">
        <v>27.7</v>
      </c>
      <c r="E444" s="43">
        <v>0</v>
      </c>
      <c r="F444" s="43">
        <f>C444*D444+E444</f>
        <v>1385</v>
      </c>
      <c r="G444" s="397">
        <v>42985</v>
      </c>
      <c r="H444" s="7">
        <v>50</v>
      </c>
      <c r="I444" s="43">
        <v>32.82</v>
      </c>
      <c r="J444" s="43">
        <v>-0.17</v>
      </c>
      <c r="K444" s="43">
        <f>H444*I444-J444</f>
        <v>1641.17</v>
      </c>
      <c r="L444" s="4"/>
      <c r="M444" s="4"/>
    </row>
    <row r="445" spans="1:13" x14ac:dyDescent="0.25">
      <c r="B445" s="398">
        <v>42957</v>
      </c>
      <c r="C445" s="7">
        <v>100</v>
      </c>
      <c r="D445" s="43">
        <v>27.88</v>
      </c>
      <c r="E445" s="43">
        <v>0</v>
      </c>
      <c r="F445" s="43">
        <f>C445*D445+E445</f>
        <v>2788</v>
      </c>
      <c r="G445" s="398">
        <v>42990</v>
      </c>
      <c r="H445" s="77">
        <v>100</v>
      </c>
      <c r="I445" s="43">
        <v>34.08</v>
      </c>
      <c r="J445" s="43">
        <v>0.08</v>
      </c>
      <c r="K445" s="43">
        <f>H445*I445-J445</f>
        <v>3407.92</v>
      </c>
      <c r="L445" s="4"/>
      <c r="M445" s="4"/>
    </row>
    <row r="449" spans="1:13" x14ac:dyDescent="0.25">
      <c r="A449" s="193"/>
      <c r="B449" s="465"/>
      <c r="C449" s="193"/>
      <c r="D449" s="193"/>
      <c r="E449" s="193"/>
      <c r="F449" s="193"/>
      <c r="G449" s="193"/>
      <c r="H449" s="193"/>
      <c r="I449" s="194"/>
      <c r="J449" s="194"/>
      <c r="K449" s="194"/>
      <c r="L449" s="193"/>
      <c r="M449" s="193"/>
    </row>
    <row r="450" spans="1:13" x14ac:dyDescent="0.25">
      <c r="A450" s="31" t="s">
        <v>81</v>
      </c>
      <c r="B450" s="14"/>
      <c r="C450" s="14">
        <f>SUM(C261:C449)</f>
        <v>66685</v>
      </c>
      <c r="D450" s="14"/>
      <c r="E450" s="14"/>
      <c r="F450" s="18">
        <f>SUM(F261:F449)</f>
        <v>988026.64300000004</v>
      </c>
      <c r="G450" s="14"/>
      <c r="H450" s="14">
        <f>SUM(H261:H449)</f>
        <v>66685</v>
      </c>
      <c r="I450" s="18"/>
      <c r="J450" s="18"/>
      <c r="K450" s="18">
        <f>SUM(K261:K449)</f>
        <v>1009164.23</v>
      </c>
      <c r="L450" s="18"/>
      <c r="M450" s="18">
        <f>SUM(M261:M449)</f>
        <v>0</v>
      </c>
    </row>
    <row r="451" spans="1:13" ht="15.75" thickBot="1" x14ac:dyDescent="0.3">
      <c r="A451" s="365" t="s">
        <v>189</v>
      </c>
      <c r="B451" s="366"/>
      <c r="C451" s="367">
        <f>SumByColor($A$23,C261:C449)</f>
        <v>3800</v>
      </c>
      <c r="D451" s="367"/>
      <c r="E451" s="367"/>
      <c r="F451" s="368">
        <f>SumByColor($A$23,F261:F449)</f>
        <v>94879</v>
      </c>
      <c r="G451" s="367"/>
      <c r="H451" s="367">
        <f>SumByColor($A$23,H261:H449)</f>
        <v>3800</v>
      </c>
      <c r="I451" s="367"/>
      <c r="J451" s="367"/>
      <c r="K451" s="368">
        <f>SumByColor($A$23,K261:K449)</f>
        <v>103844</v>
      </c>
      <c r="L451" s="367"/>
      <c r="M451" s="368">
        <f>SumByColor($A$23,M261:M449)</f>
        <v>0</v>
      </c>
    </row>
  </sheetData>
  <mergeCells count="1">
    <mergeCell ref="G13:G14"/>
  </mergeCells>
  <conditionalFormatting sqref="P16:P23">
    <cfRule type="colorScale" priority="143">
      <colorScale>
        <cfvo type="min"/>
        <cfvo type="percentile" val="50"/>
        <cfvo type="max"/>
        <color rgb="FFF8696B"/>
        <color rgb="FFFFEB84"/>
        <color rgb="FF63BE7B"/>
      </colorScale>
    </cfRule>
  </conditionalFormatting>
  <conditionalFormatting sqref="O25:O45">
    <cfRule type="colorScale" priority="142">
      <colorScale>
        <cfvo type="min"/>
        <cfvo type="percentile" val="50"/>
        <cfvo type="max"/>
        <color rgb="FFF8696B"/>
        <color rgb="FFFFEB84"/>
        <color rgb="FF63BE7B"/>
      </colorScale>
    </cfRule>
  </conditionalFormatting>
  <conditionalFormatting sqref="P25:P45">
    <cfRule type="colorScale" priority="141">
      <colorScale>
        <cfvo type="min"/>
        <cfvo type="percentile" val="50"/>
        <cfvo type="max"/>
        <color rgb="FFF8696B"/>
        <color rgb="FFFFEB84"/>
        <color rgb="FF63BE7B"/>
      </colorScale>
    </cfRule>
  </conditionalFormatting>
  <conditionalFormatting sqref="AD69:AD1048576">
    <cfRule type="dataBar" priority="140">
      <dataBar>
        <cfvo type="min"/>
        <cfvo type="max"/>
        <color rgb="FFFF555A"/>
      </dataBar>
      <extLst>
        <ext xmlns:x14="http://schemas.microsoft.com/office/spreadsheetml/2009/9/main" uri="{B025F937-C7B1-47D3-B67F-A62EFF666E3E}">
          <x14:id>{A4F6E261-6811-4157-8A65-93BA01951E0C}</x14:id>
        </ext>
      </extLst>
    </cfRule>
  </conditionalFormatting>
  <conditionalFormatting sqref="AE69:AE1048576">
    <cfRule type="iconSet" priority="139">
      <iconSet iconSet="3Arrows">
        <cfvo type="percent" val="0"/>
        <cfvo type="num" val="0"/>
        <cfvo type="num" val="0"/>
      </iconSet>
    </cfRule>
  </conditionalFormatting>
  <conditionalFormatting sqref="F47:F177 H67:H177 H179:H197 F179:F197 F250:F254 H250:H254 K31:K43 F30:F43 H30:H43">
    <cfRule type="expression" dxfId="1371" priority="137">
      <formula>F30&gt;0</formula>
    </cfRule>
    <cfRule type="expression" dxfId="1370" priority="138">
      <formula>F30&lt;0</formula>
    </cfRule>
  </conditionalFormatting>
  <conditionalFormatting sqref="H47:H58">
    <cfRule type="expression" dxfId="1369" priority="129">
      <formula>H47&gt;0</formula>
    </cfRule>
    <cfRule type="expression" dxfId="1368" priority="130">
      <formula>H47&lt;0</formula>
    </cfRule>
  </conditionalFormatting>
  <conditionalFormatting sqref="H59">
    <cfRule type="expression" dxfId="1367" priority="119">
      <formula>H59&gt;0</formula>
    </cfRule>
    <cfRule type="expression" dxfId="1366" priority="120">
      <formula>H59&lt;0</formula>
    </cfRule>
  </conditionalFormatting>
  <conditionalFormatting sqref="H60">
    <cfRule type="expression" dxfId="1365" priority="115">
      <formula>H60&gt;0</formula>
    </cfRule>
    <cfRule type="expression" dxfId="1364" priority="116">
      <formula>H60&lt;0</formula>
    </cfRule>
  </conditionalFormatting>
  <conditionalFormatting sqref="H61:H66">
    <cfRule type="expression" dxfId="1363" priority="111">
      <formula>H61&gt;0</formula>
    </cfRule>
    <cfRule type="expression" dxfId="1362" priority="112">
      <formula>H61&lt;0</formula>
    </cfRule>
  </conditionalFormatting>
  <conditionalFormatting sqref="Q8">
    <cfRule type="expression" dxfId="1361" priority="95">
      <formula>Q8&gt;0</formula>
    </cfRule>
    <cfRule type="expression" dxfId="1360" priority="96">
      <formula>Q8&lt;0</formula>
    </cfRule>
  </conditionalFormatting>
  <conditionalFormatting sqref="Q7">
    <cfRule type="expression" dxfId="1359" priority="97">
      <formula>Q7&gt;0</formula>
    </cfRule>
    <cfRule type="expression" dxfId="1358" priority="98">
      <formula>Q7&lt;0</formula>
    </cfRule>
  </conditionalFormatting>
  <conditionalFormatting sqref="F178 H178">
    <cfRule type="expression" dxfId="1357" priority="93">
      <formula>F178&gt;0</formula>
    </cfRule>
    <cfRule type="expression" dxfId="1356" priority="94">
      <formula>F178&lt;0</formula>
    </cfRule>
  </conditionalFormatting>
  <conditionalFormatting sqref="Q10">
    <cfRule type="expression" dxfId="1355" priority="87">
      <formula>Q10&gt;0</formula>
    </cfRule>
    <cfRule type="expression" dxfId="1354" priority="88">
      <formula>Q10&lt;0</formula>
    </cfRule>
  </conditionalFormatting>
  <conditionalFormatting sqref="Q9">
    <cfRule type="expression" dxfId="1353" priority="81">
      <formula>Q9&gt;0</formula>
    </cfRule>
    <cfRule type="expression" dxfId="1352" priority="82">
      <formula>Q9&lt;0</formula>
    </cfRule>
  </conditionalFormatting>
  <conditionalFormatting sqref="F201:F248">
    <cfRule type="expression" dxfId="1351" priority="41">
      <formula>F201&gt;0</formula>
    </cfRule>
    <cfRule type="expression" dxfId="1350" priority="42">
      <formula>F201&lt;0</formula>
    </cfRule>
  </conditionalFormatting>
  <conditionalFormatting sqref="H201:H248">
    <cfRule type="expression" dxfId="1349" priority="39">
      <formula>H201&gt;0</formula>
    </cfRule>
    <cfRule type="expression" dxfId="1348" priority="40">
      <formula>H201&lt;0</formula>
    </cfRule>
  </conditionalFormatting>
  <conditionalFormatting sqref="J208">
    <cfRule type="expression" dxfId="1347" priority="37">
      <formula>J208&gt;0</formula>
    </cfRule>
    <cfRule type="expression" dxfId="1346" priority="38">
      <formula>J208&lt;0</formula>
    </cfRule>
  </conditionalFormatting>
  <conditionalFormatting sqref="J214:J215">
    <cfRule type="expression" dxfId="1345" priority="35">
      <formula>J214&gt;0</formula>
    </cfRule>
    <cfRule type="expression" dxfId="1344" priority="36">
      <formula>J214&lt;0</formula>
    </cfRule>
  </conditionalFormatting>
  <conditionalFormatting sqref="J216">
    <cfRule type="expression" dxfId="1343" priority="33">
      <formula>J216&gt;0</formula>
    </cfRule>
    <cfRule type="expression" dxfId="1342" priority="34">
      <formula>J216&lt;0</formula>
    </cfRule>
  </conditionalFormatting>
  <conditionalFormatting sqref="J217:J219 J221:J224">
    <cfRule type="expression" dxfId="1341" priority="31">
      <formula>J217&gt;0</formula>
    </cfRule>
    <cfRule type="expression" dxfId="1340" priority="32">
      <formula>J217&lt;0</formula>
    </cfRule>
  </conditionalFormatting>
  <conditionalFormatting sqref="K208">
    <cfRule type="expression" dxfId="1339" priority="29">
      <formula>K208&gt;0</formula>
    </cfRule>
    <cfRule type="expression" dxfId="1338" priority="30">
      <formula>K208&lt;0</formula>
    </cfRule>
  </conditionalFormatting>
  <conditionalFormatting sqref="K214:K215">
    <cfRule type="expression" dxfId="1337" priority="27">
      <formula>K214&gt;0</formula>
    </cfRule>
    <cfRule type="expression" dxfId="1336" priority="28">
      <formula>K214&lt;0</formula>
    </cfRule>
  </conditionalFormatting>
  <conditionalFormatting sqref="K216">
    <cfRule type="expression" dxfId="1335" priority="25">
      <formula>K216&gt;0</formula>
    </cfRule>
    <cfRule type="expression" dxfId="1334" priority="26">
      <formula>K216&lt;0</formula>
    </cfRule>
  </conditionalFormatting>
  <conditionalFormatting sqref="K217:K224">
    <cfRule type="expression" dxfId="1333" priority="23">
      <formula>K217&gt;0</formula>
    </cfRule>
    <cfRule type="expression" dxfId="1332" priority="24">
      <formula>K217&lt;0</formula>
    </cfRule>
  </conditionalFormatting>
  <conditionalFormatting sqref="L208">
    <cfRule type="expression" dxfId="1331" priority="21">
      <formula>L208&gt;0</formula>
    </cfRule>
    <cfRule type="expression" dxfId="1330" priority="22">
      <formula>L208&lt;0</formula>
    </cfRule>
  </conditionalFormatting>
  <conditionalFormatting sqref="L214:L215">
    <cfRule type="expression" dxfId="1329" priority="19">
      <formula>L214&gt;0</formula>
    </cfRule>
    <cfRule type="expression" dxfId="1328" priority="20">
      <formula>L214&lt;0</formula>
    </cfRule>
  </conditionalFormatting>
  <conditionalFormatting sqref="L216">
    <cfRule type="expression" dxfId="1327" priority="17">
      <formula>L216&gt;0</formula>
    </cfRule>
    <cfRule type="expression" dxfId="1326" priority="18">
      <formula>L216&lt;0</formula>
    </cfRule>
  </conditionalFormatting>
  <conditionalFormatting sqref="L217:L224">
    <cfRule type="expression" dxfId="1325" priority="15">
      <formula>L217&gt;0</formula>
    </cfRule>
    <cfRule type="expression" dxfId="1324" priority="16">
      <formula>L217&lt;0</formula>
    </cfRule>
  </conditionalFormatting>
  <conditionalFormatting sqref="K225">
    <cfRule type="expression" dxfId="1323" priority="13">
      <formula>K225&gt;0</formula>
    </cfRule>
    <cfRule type="expression" dxfId="1322" priority="14">
      <formula>K225&lt;0</formula>
    </cfRule>
  </conditionalFormatting>
  <conditionalFormatting sqref="L225:L232">
    <cfRule type="expression" dxfId="1321" priority="11">
      <formula>L225&gt;0</formula>
    </cfRule>
    <cfRule type="expression" dxfId="1320" priority="12">
      <formula>L225&lt;0</formula>
    </cfRule>
  </conditionalFormatting>
  <conditionalFormatting sqref="K226">
    <cfRule type="expression" dxfId="1319" priority="9">
      <formula>K226&gt;0</formula>
    </cfRule>
    <cfRule type="expression" dxfId="1318" priority="10">
      <formula>K226&lt;0</formula>
    </cfRule>
  </conditionalFormatting>
  <conditionalFormatting sqref="K227">
    <cfRule type="expression" dxfId="1317" priority="7">
      <formula>K227&gt;0</formula>
    </cfRule>
    <cfRule type="expression" dxfId="1316" priority="8">
      <formula>K227&lt;0</formula>
    </cfRule>
  </conditionalFormatting>
  <conditionalFormatting sqref="K228:K248">
    <cfRule type="expression" dxfId="1315" priority="5">
      <formula>K228&gt;0</formula>
    </cfRule>
    <cfRule type="expression" dxfId="1314" priority="6">
      <formula>K228&lt;0</formula>
    </cfRule>
  </conditionalFormatting>
  <conditionalFormatting sqref="L233:L237">
    <cfRule type="expression" dxfId="1313" priority="3">
      <formula>L233&gt;0</formula>
    </cfRule>
    <cfRule type="expression" dxfId="1312" priority="4">
      <formula>L233&lt;0</formula>
    </cfRule>
  </conditionalFormatting>
  <conditionalFormatting sqref="L238:L243">
    <cfRule type="expression" dxfId="1311" priority="1">
      <formula>L238&gt;0</formula>
    </cfRule>
    <cfRule type="expression" dxfId="1310" priority="2">
      <formula>L238&lt;0</formula>
    </cfRule>
  </conditionalFormatting>
  <hyperlinks>
    <hyperlink ref="A3" location="ACTIVE!A1" display="Back"/>
    <hyperlink ref="A262" location="ACTIVE!A1" display="Back"/>
    <hyperlink ref="T6" r:id="rId1"/>
  </hyperlinks>
  <pageMargins left="0.7" right="0.7" top="0.75" bottom="0.75" header="0.3" footer="0.3"/>
  <pageSetup orientation="portrait" horizontalDpi="1200" verticalDpi="1200" r:id="rId2"/>
  <drawing r:id="rId3"/>
  <extLst>
    <ext xmlns:x14="http://schemas.microsoft.com/office/spreadsheetml/2009/9/main" uri="{78C0D931-6437-407d-A8EE-F0AAD7539E65}">
      <x14:conditionalFormattings>
        <x14:conditionalFormatting xmlns:xm="http://schemas.microsoft.com/office/excel/2006/main">
          <x14:cfRule type="dataBar" id="{A4F6E261-6811-4157-8A65-93BA01951E0C}">
            <x14:dataBar minLength="0" maxLength="100" border="1" negativeBarBorderColorSameAsPositive="0">
              <x14:cfvo type="autoMin"/>
              <x14:cfvo type="autoMax"/>
              <x14:borderColor rgb="FFFF555A"/>
              <x14:negativeFillColor rgb="FFFF0000"/>
              <x14:negativeBorderColor rgb="FFFF0000"/>
              <x14:axisColor rgb="FF000000"/>
            </x14:dataBar>
          </x14:cfRule>
          <xm:sqref>AD69:AD1048576</xm:sqref>
        </x14:conditionalFormatting>
      </x14:conditionalFormattings>
    </ext>
  </extLst>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67"/>
    <col min="18" max="18" width="7.28515625" style="33" customWidth="1"/>
    <col min="19" max="19" width="8.85546875" style="81" customWidth="1"/>
    <col min="20" max="20" width="18.5703125" customWidth="1"/>
    <col min="21" max="21" width="33.85546875" customWidth="1"/>
    <col min="22" max="22" width="5.140625" customWidth="1"/>
    <col min="23" max="23" width="12" customWidth="1"/>
    <col min="24" max="24" width="8.5703125" style="2" customWidth="1"/>
    <col min="25" max="26" width="5.5703125" style="2" bestFit="1" customWidth="1"/>
    <col min="27" max="27" width="5.85546875"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1" t="s">
        <v>6</v>
      </c>
      <c r="I1" s="11" t="s">
        <v>7</v>
      </c>
      <c r="J1" s="11" t="s">
        <v>89</v>
      </c>
      <c r="K1" s="11" t="s">
        <v>61</v>
      </c>
      <c r="L1" s="11" t="s">
        <v>77</v>
      </c>
      <c r="M1" s="11" t="s">
        <v>38</v>
      </c>
      <c r="R1" s="32"/>
      <c r="S1" s="79" t="s">
        <v>70</v>
      </c>
      <c r="W1" s="88" t="s">
        <v>113</v>
      </c>
      <c r="X1" s="97" t="s">
        <v>114</v>
      </c>
      <c r="Y1" s="97" t="s">
        <v>115</v>
      </c>
      <c r="Z1" s="97" t="s">
        <v>116</v>
      </c>
      <c r="AA1" s="97" t="s">
        <v>117</v>
      </c>
      <c r="AB1" s="88" t="s">
        <v>118</v>
      </c>
      <c r="AC1" s="88" t="s">
        <v>119</v>
      </c>
      <c r="AD1" s="11" t="s">
        <v>125</v>
      </c>
      <c r="AE1" s="11" t="s">
        <v>127</v>
      </c>
    </row>
    <row r="2" spans="1:31" x14ac:dyDescent="0.25">
      <c r="A2" s="6" t="s">
        <v>169</v>
      </c>
      <c r="B2" s="69"/>
      <c r="C2" s="4"/>
      <c r="D2" s="3"/>
      <c r="E2" s="3"/>
      <c r="F2" s="3"/>
      <c r="G2" s="114"/>
      <c r="H2" s="303"/>
      <c r="I2" s="70"/>
      <c r="J2" s="70"/>
      <c r="K2" s="17"/>
      <c r="L2" s="69"/>
      <c r="M2" s="70"/>
      <c r="O2" s="11" t="s">
        <v>57</v>
      </c>
      <c r="Q2">
        <f>C18-H18</f>
        <v>0</v>
      </c>
      <c r="S2" s="109"/>
      <c r="T2" s="17"/>
      <c r="U2" s="17"/>
      <c r="V2" s="17"/>
      <c r="W2" s="94">
        <v>42830</v>
      </c>
      <c r="X2" s="98">
        <v>50.85</v>
      </c>
      <c r="Y2" s="98">
        <v>51.3</v>
      </c>
      <c r="Z2" s="98">
        <v>50.52</v>
      </c>
      <c r="AA2" s="98">
        <v>50.58</v>
      </c>
      <c r="AB2" s="96">
        <v>1493100</v>
      </c>
      <c r="AC2" s="95">
        <v>50.58</v>
      </c>
      <c r="AD2" s="2">
        <f>Y2-Z2</f>
        <v>0.77999999999999403</v>
      </c>
      <c r="AE2" s="131">
        <f>AC2/AC3-1</f>
        <v>-2.3668639053254781E-3</v>
      </c>
    </row>
    <row r="3" spans="1:31" x14ac:dyDescent="0.25">
      <c r="A3" s="22" t="s">
        <v>71</v>
      </c>
      <c r="B3" s="69"/>
      <c r="C3" s="4"/>
      <c r="D3" s="3"/>
      <c r="E3" s="3"/>
      <c r="F3" s="3"/>
      <c r="G3" s="69"/>
      <c r="H3" s="158"/>
      <c r="I3" s="4"/>
      <c r="J3" s="4"/>
      <c r="K3" s="17"/>
      <c r="L3" s="69"/>
      <c r="M3" s="4"/>
      <c r="O3" s="11" t="s">
        <v>58</v>
      </c>
      <c r="Q3" s="2">
        <f>IF(Q2=0, Q4, (F18-K18-M18)/Q2)</f>
        <v>41.07</v>
      </c>
      <c r="S3" s="110"/>
      <c r="T3" s="17"/>
      <c r="U3" s="17"/>
      <c r="V3" s="17"/>
      <c r="W3" s="94">
        <v>42829</v>
      </c>
      <c r="X3" s="98">
        <v>50.22</v>
      </c>
      <c r="Y3" s="98">
        <v>50.82</v>
      </c>
      <c r="Z3" s="98">
        <v>49.99</v>
      </c>
      <c r="AA3" s="98">
        <v>50.7</v>
      </c>
      <c r="AB3" s="96">
        <v>2345700</v>
      </c>
      <c r="AC3" s="95">
        <v>50.7</v>
      </c>
      <c r="AD3" s="2">
        <f t="shared" ref="AD3:AD66" si="0">Y3-Z3</f>
        <v>0.82999999999999829</v>
      </c>
      <c r="AE3" s="131">
        <f t="shared" ref="AE3:AE66" si="1">AC3/AC4-1</f>
        <v>1.0161386730424438E-2</v>
      </c>
    </row>
    <row r="4" spans="1:31" x14ac:dyDescent="0.25">
      <c r="B4" s="69"/>
      <c r="C4" s="4"/>
      <c r="D4" s="3"/>
      <c r="E4" s="3"/>
      <c r="F4" s="3"/>
      <c r="G4" s="69"/>
      <c r="H4" s="158"/>
      <c r="I4" s="4"/>
      <c r="J4" s="3"/>
      <c r="K4" s="70"/>
      <c r="L4" s="4"/>
      <c r="M4" s="4"/>
      <c r="O4" s="11" t="s">
        <v>66</v>
      </c>
      <c r="Q4" s="53">
        <v>41.07</v>
      </c>
      <c r="R4" s="411">
        <v>1.38E-2</v>
      </c>
      <c r="W4" s="94">
        <v>42828</v>
      </c>
      <c r="X4" s="98">
        <v>50.89</v>
      </c>
      <c r="Y4" s="98">
        <v>51.14</v>
      </c>
      <c r="Z4" s="98">
        <v>49.86</v>
      </c>
      <c r="AA4" s="98">
        <v>50.19</v>
      </c>
      <c r="AB4" s="96">
        <v>2662600</v>
      </c>
      <c r="AC4" s="95">
        <v>50.19</v>
      </c>
      <c r="AD4" s="2">
        <f t="shared" si="0"/>
        <v>1.2800000000000011</v>
      </c>
      <c r="AE4" s="131">
        <f t="shared" si="1"/>
        <v>-1.1618747538400975E-2</v>
      </c>
    </row>
    <row r="5" spans="1:31" x14ac:dyDescent="0.25">
      <c r="B5" s="69"/>
      <c r="C5" s="4"/>
      <c r="D5" s="3"/>
      <c r="E5" s="3"/>
      <c r="F5" s="3"/>
      <c r="G5" s="69"/>
      <c r="H5" s="158"/>
      <c r="I5" s="4"/>
      <c r="J5" s="3"/>
      <c r="K5" s="70"/>
      <c r="L5" s="4"/>
      <c r="M5" s="4"/>
      <c r="O5" s="11" t="s">
        <v>67</v>
      </c>
      <c r="Q5" s="3">
        <f>Q4*Q2</f>
        <v>0</v>
      </c>
      <c r="S5" s="80"/>
      <c r="W5" s="94">
        <v>42825</v>
      </c>
      <c r="X5" s="98">
        <v>50.9</v>
      </c>
      <c r="Y5" s="98">
        <v>51.25</v>
      </c>
      <c r="Z5" s="98">
        <v>50.72</v>
      </c>
      <c r="AA5" s="98">
        <v>50.78</v>
      </c>
      <c r="AB5" s="96">
        <v>3204800</v>
      </c>
      <c r="AC5" s="95">
        <v>50.78</v>
      </c>
      <c r="AD5" s="2">
        <f t="shared" si="0"/>
        <v>0.53000000000000114</v>
      </c>
      <c r="AE5" s="131">
        <f t="shared" si="1"/>
        <v>-7.0394994133750055E-3</v>
      </c>
    </row>
    <row r="6" spans="1:31" x14ac:dyDescent="0.25">
      <c r="O6" s="11" t="s">
        <v>64</v>
      </c>
      <c r="Q6" s="2">
        <f>Q3*Q2</f>
        <v>0</v>
      </c>
      <c r="S6" s="80"/>
      <c r="W6" s="94">
        <v>42824</v>
      </c>
      <c r="X6" s="98">
        <v>50.64</v>
      </c>
      <c r="Y6" s="98">
        <v>51.16</v>
      </c>
      <c r="Z6" s="98">
        <v>50.56</v>
      </c>
      <c r="AA6" s="98">
        <v>51.14</v>
      </c>
      <c r="AB6" s="96">
        <v>2109300</v>
      </c>
      <c r="AC6" s="95">
        <v>51.14</v>
      </c>
      <c r="AD6" s="2">
        <f t="shared" si="0"/>
        <v>0.59999999999999432</v>
      </c>
      <c r="AE6" s="131">
        <f t="shared" si="1"/>
        <v>7.8833267638942495E-3</v>
      </c>
    </row>
    <row r="7" spans="1:31" x14ac:dyDescent="0.25">
      <c r="O7" s="11" t="s">
        <v>175</v>
      </c>
      <c r="Q7" s="2">
        <f>Q10+Q8</f>
        <v>119.92000000000053</v>
      </c>
      <c r="R7">
        <v>0</v>
      </c>
      <c r="W7" s="94">
        <v>42823</v>
      </c>
      <c r="X7" s="98">
        <v>50.72</v>
      </c>
      <c r="Y7" s="98">
        <v>51.07</v>
      </c>
      <c r="Z7" s="98">
        <v>50.62</v>
      </c>
      <c r="AA7" s="98">
        <v>50.74</v>
      </c>
      <c r="AB7" s="96">
        <v>1697100</v>
      </c>
      <c r="AC7" s="95">
        <v>50.74</v>
      </c>
      <c r="AD7" s="2">
        <f t="shared" si="0"/>
        <v>0.45000000000000284</v>
      </c>
      <c r="AE7" s="131">
        <f t="shared" si="1"/>
        <v>-3.7306106420577079E-3</v>
      </c>
    </row>
    <row r="8" spans="1:31" x14ac:dyDescent="0.25">
      <c r="O8" s="11" t="s">
        <v>177</v>
      </c>
      <c r="P8" s="33"/>
      <c r="Q8" s="2">
        <f>K18+M18-F18+Q2*Q4</f>
        <v>0</v>
      </c>
      <c r="S8" s="115"/>
      <c r="W8" s="94">
        <v>42822</v>
      </c>
      <c r="X8" s="98">
        <v>50.19</v>
      </c>
      <c r="Y8" s="98">
        <v>51.08</v>
      </c>
      <c r="Z8" s="98">
        <v>50.14</v>
      </c>
      <c r="AA8" s="98">
        <v>50.93</v>
      </c>
      <c r="AB8" s="96">
        <v>1899900</v>
      </c>
      <c r="AC8" s="95">
        <v>50.93</v>
      </c>
      <c r="AD8" s="2">
        <f t="shared" si="0"/>
        <v>0.93999999999999773</v>
      </c>
      <c r="AE8" s="131">
        <f t="shared" si="1"/>
        <v>1.3129102844638973E-2</v>
      </c>
    </row>
    <row r="9" spans="1:31" x14ac:dyDescent="0.25">
      <c r="O9" s="11" t="s">
        <v>202</v>
      </c>
      <c r="Q9" s="131">
        <f>IF(Q2=0, 0, Q8/Q6)</f>
        <v>0</v>
      </c>
      <c r="W9" s="94">
        <v>42821</v>
      </c>
      <c r="X9" s="98">
        <v>50.21</v>
      </c>
      <c r="Y9" s="98">
        <v>50.4</v>
      </c>
      <c r="Z9" s="98">
        <v>49.62</v>
      </c>
      <c r="AA9" s="98">
        <v>50.27</v>
      </c>
      <c r="AB9" s="96">
        <v>2141200</v>
      </c>
      <c r="AC9" s="95">
        <v>50.27</v>
      </c>
      <c r="AD9" s="2">
        <f t="shared" si="0"/>
        <v>0.78000000000000114</v>
      </c>
      <c r="AE9" s="131">
        <f t="shared" si="1"/>
        <v>-1.0627829167486724E-2</v>
      </c>
    </row>
    <row r="10" spans="1:31" x14ac:dyDescent="0.25">
      <c r="O10" s="11" t="s">
        <v>201</v>
      </c>
      <c r="P10" s="33"/>
      <c r="Q10" s="2">
        <f>M30</f>
        <v>119.92000000000053</v>
      </c>
      <c r="W10" s="94">
        <v>42818</v>
      </c>
      <c r="X10" s="98">
        <v>51.4</v>
      </c>
      <c r="Y10" s="98">
        <v>51.48</v>
      </c>
      <c r="Z10" s="98">
        <v>50.56</v>
      </c>
      <c r="AA10" s="98">
        <v>50.81</v>
      </c>
      <c r="AB10" s="96">
        <v>2042500</v>
      </c>
      <c r="AC10" s="95">
        <v>50.81</v>
      </c>
      <c r="AD10" s="2">
        <f t="shared" si="0"/>
        <v>0.9199999999999946</v>
      </c>
      <c r="AE10" s="131">
        <f t="shared" si="1"/>
        <v>-9.7446891444162853E-3</v>
      </c>
    </row>
    <row r="11" spans="1:31" x14ac:dyDescent="0.25">
      <c r="O11" s="11" t="s">
        <v>173</v>
      </c>
      <c r="P11" s="33"/>
      <c r="Q11" s="131">
        <f>VALUE(TRIM(CLEAN(MID(U58, FIND("(", U58)+1, 5))))</f>
        <v>3.6400000000000002E-2</v>
      </c>
      <c r="W11" s="94">
        <v>42817</v>
      </c>
      <c r="X11" s="98">
        <v>51.2</v>
      </c>
      <c r="Y11" s="98">
        <v>51.89</v>
      </c>
      <c r="Z11" s="98">
        <v>51.05</v>
      </c>
      <c r="AA11" s="98">
        <v>51.31</v>
      </c>
      <c r="AB11" s="96">
        <v>1800800</v>
      </c>
      <c r="AC11" s="95">
        <v>51.31</v>
      </c>
      <c r="AD11" s="2">
        <f t="shared" si="0"/>
        <v>0.84000000000000341</v>
      </c>
      <c r="AE11" s="131">
        <f t="shared" si="1"/>
        <v>2.7359781121751858E-3</v>
      </c>
    </row>
    <row r="12" spans="1:31" x14ac:dyDescent="0.25">
      <c r="W12" s="94">
        <v>42816</v>
      </c>
      <c r="X12" s="98">
        <v>51.03</v>
      </c>
      <c r="Y12" s="98">
        <v>51.42</v>
      </c>
      <c r="Z12" s="98">
        <v>50.59</v>
      </c>
      <c r="AA12" s="98">
        <v>51.17</v>
      </c>
      <c r="AB12" s="96">
        <v>1556100</v>
      </c>
      <c r="AC12" s="95">
        <v>51.17</v>
      </c>
      <c r="AD12" s="2">
        <f t="shared" si="0"/>
        <v>0.82999999999999829</v>
      </c>
      <c r="AE12" s="131">
        <f t="shared" si="1"/>
        <v>4.9096622152395852E-3</v>
      </c>
    </row>
    <row r="13" spans="1:31" x14ac:dyDescent="0.25">
      <c r="W13" s="94">
        <v>42815</v>
      </c>
      <c r="X13" s="98">
        <v>52.37</v>
      </c>
      <c r="Y13" s="98">
        <v>52.47</v>
      </c>
      <c r="Z13" s="98">
        <v>50.77</v>
      </c>
      <c r="AA13" s="98">
        <v>50.92</v>
      </c>
      <c r="AB13" s="96">
        <v>3228700</v>
      </c>
      <c r="AC13" s="95">
        <v>50.92</v>
      </c>
      <c r="AD13" s="2">
        <f t="shared" si="0"/>
        <v>1.6999999999999957</v>
      </c>
      <c r="AE13" s="131">
        <f t="shared" si="1"/>
        <v>-2.4894676369207169E-2</v>
      </c>
    </row>
    <row r="14" spans="1:31" x14ac:dyDescent="0.25">
      <c r="W14" s="94">
        <v>42814</v>
      </c>
      <c r="X14" s="98">
        <v>51.48</v>
      </c>
      <c r="Y14" s="98">
        <v>52.27</v>
      </c>
      <c r="Z14" s="98">
        <v>51.06</v>
      </c>
      <c r="AA14" s="98">
        <v>52.22</v>
      </c>
      <c r="AB14" s="96">
        <v>2196500</v>
      </c>
      <c r="AC14" s="95">
        <v>52.22</v>
      </c>
      <c r="AD14" s="2">
        <f t="shared" si="0"/>
        <v>1.2100000000000009</v>
      </c>
      <c r="AE14" s="131">
        <f t="shared" si="1"/>
        <v>1.6744548286604433E-2</v>
      </c>
    </row>
    <row r="15" spans="1:31" x14ac:dyDescent="0.25">
      <c r="W15" s="94">
        <v>42811</v>
      </c>
      <c r="X15" s="98">
        <v>51.67</v>
      </c>
      <c r="Y15" s="98">
        <v>51.79</v>
      </c>
      <c r="Z15" s="98">
        <v>51.24</v>
      </c>
      <c r="AA15" s="98">
        <v>51.36</v>
      </c>
      <c r="AB15" s="96">
        <v>3744800</v>
      </c>
      <c r="AC15" s="95">
        <v>51.36</v>
      </c>
      <c r="AD15" s="2">
        <f t="shared" si="0"/>
        <v>0.54999999999999716</v>
      </c>
      <c r="AE15" s="131">
        <f t="shared" si="1"/>
        <v>-1.9432568985620069E-3</v>
      </c>
    </row>
    <row r="16" spans="1:31" x14ac:dyDescent="0.25">
      <c r="W16" s="94">
        <v>42810</v>
      </c>
      <c r="X16" s="98">
        <v>51.63</v>
      </c>
      <c r="Y16" s="98">
        <v>51.81</v>
      </c>
      <c r="Z16" s="98">
        <v>51.23</v>
      </c>
      <c r="AA16" s="98">
        <v>51.46</v>
      </c>
      <c r="AB16" s="96">
        <v>2669400</v>
      </c>
      <c r="AC16" s="95">
        <v>51.46</v>
      </c>
      <c r="AD16" s="2">
        <f t="shared" si="0"/>
        <v>0.5800000000000054</v>
      </c>
      <c r="AE16" s="131">
        <f t="shared" si="1"/>
        <v>1.9470404984422984E-3</v>
      </c>
    </row>
    <row r="17" spans="1:31" x14ac:dyDescent="0.25">
      <c r="W17" s="94">
        <v>42809</v>
      </c>
      <c r="X17" s="98">
        <v>50.95</v>
      </c>
      <c r="Y17" s="98">
        <v>51.61</v>
      </c>
      <c r="Z17" s="98">
        <v>50.73</v>
      </c>
      <c r="AA17" s="98">
        <v>51.36</v>
      </c>
      <c r="AB17" s="96">
        <v>2678400</v>
      </c>
      <c r="AC17" s="95">
        <v>51.36</v>
      </c>
      <c r="AD17" s="2">
        <f t="shared" si="0"/>
        <v>0.88000000000000256</v>
      </c>
      <c r="AE17" s="131">
        <f t="shared" si="1"/>
        <v>1.3417521704814472E-2</v>
      </c>
    </row>
    <row r="18" spans="1:31" x14ac:dyDescent="0.25">
      <c r="A18" s="21" t="s">
        <v>81</v>
      </c>
      <c r="B18" s="12"/>
      <c r="C18" s="12">
        <f>SUM(C2:C17)</f>
        <v>0</v>
      </c>
      <c r="D18" s="12"/>
      <c r="E18" s="12"/>
      <c r="F18" s="13">
        <f>SUM(F2:F17)</f>
        <v>0</v>
      </c>
      <c r="G18" s="13"/>
      <c r="H18" s="72">
        <f>SUM(H2:H17)</f>
        <v>0</v>
      </c>
      <c r="I18" s="13"/>
      <c r="J18" s="13"/>
      <c r="K18" s="13">
        <f>SUM(K2:K17)</f>
        <v>0</v>
      </c>
      <c r="L18" s="13"/>
      <c r="M18" s="13">
        <f>SUM(M2:M5)</f>
        <v>0</v>
      </c>
      <c r="W18" s="94">
        <v>42808</v>
      </c>
      <c r="X18" s="98">
        <v>50.57</v>
      </c>
      <c r="Y18" s="98">
        <v>50.8</v>
      </c>
      <c r="Z18" s="98">
        <v>50.28</v>
      </c>
      <c r="AA18" s="98">
        <v>50.68</v>
      </c>
      <c r="AB18" s="96">
        <v>1854600</v>
      </c>
      <c r="AC18" s="95">
        <v>50.68</v>
      </c>
      <c r="AD18" s="2">
        <f t="shared" si="0"/>
        <v>0.51999999999999602</v>
      </c>
      <c r="AE18" s="131">
        <f t="shared" si="1"/>
        <v>-1.9727756954035502E-4</v>
      </c>
    </row>
    <row r="19" spans="1:31" x14ac:dyDescent="0.25">
      <c r="W19" s="94">
        <v>42807</v>
      </c>
      <c r="X19" s="98">
        <v>50.84</v>
      </c>
      <c r="Y19" s="98">
        <v>51.12</v>
      </c>
      <c r="Z19" s="98">
        <v>50.58</v>
      </c>
      <c r="AA19" s="98">
        <v>50.69</v>
      </c>
      <c r="AB19" s="96">
        <v>4164900</v>
      </c>
      <c r="AC19" s="95">
        <v>50.69</v>
      </c>
      <c r="AD19" s="2">
        <f t="shared" si="0"/>
        <v>0.53999999999999915</v>
      </c>
      <c r="AE19" s="131">
        <f t="shared" si="1"/>
        <v>-1.9723865877718794E-4</v>
      </c>
    </row>
    <row r="20" spans="1:31" x14ac:dyDescent="0.25">
      <c r="W20" s="94">
        <v>42804</v>
      </c>
      <c r="X20" s="98">
        <v>50.93</v>
      </c>
      <c r="Y20" s="98">
        <v>51.5</v>
      </c>
      <c r="Z20" s="98">
        <v>50.42</v>
      </c>
      <c r="AA20" s="98">
        <v>50.7</v>
      </c>
      <c r="AB20" s="96">
        <v>3523100</v>
      </c>
      <c r="AC20" s="95">
        <v>50.7</v>
      </c>
      <c r="AD20" s="2">
        <f t="shared" si="0"/>
        <v>1.0799999999999983</v>
      </c>
      <c r="AE20" s="131">
        <f t="shared" si="1"/>
        <v>-5.913660555882938E-4</v>
      </c>
    </row>
    <row r="21" spans="1:31" x14ac:dyDescent="0.25">
      <c r="W21" s="94">
        <v>42803</v>
      </c>
      <c r="X21" s="98">
        <v>51.53</v>
      </c>
      <c r="Y21" s="98">
        <v>51.55</v>
      </c>
      <c r="Z21" s="98">
        <v>50.48</v>
      </c>
      <c r="AA21" s="98">
        <v>50.73</v>
      </c>
      <c r="AB21" s="96">
        <v>3131700</v>
      </c>
      <c r="AC21" s="95">
        <v>50.73</v>
      </c>
      <c r="AD21" s="2">
        <f t="shared" si="0"/>
        <v>1.0700000000000003</v>
      </c>
      <c r="AE21" s="131">
        <f t="shared" si="1"/>
        <v>-1.5715948777648481E-2</v>
      </c>
    </row>
    <row r="22" spans="1:31" x14ac:dyDescent="0.25">
      <c r="B22" s="159" t="s">
        <v>113</v>
      </c>
      <c r="C22" s="159" t="s">
        <v>143</v>
      </c>
      <c r="D22" s="160" t="s">
        <v>142</v>
      </c>
      <c r="E22" s="162" t="s">
        <v>144</v>
      </c>
      <c r="F22" s="162" t="s">
        <v>65</v>
      </c>
      <c r="G22" s="173" t="s">
        <v>148</v>
      </c>
      <c r="H22" s="173" t="s">
        <v>88</v>
      </c>
      <c r="I22" s="173" t="s">
        <v>151</v>
      </c>
      <c r="W22" s="94">
        <v>42802</v>
      </c>
      <c r="X22" s="98">
        <v>51.72</v>
      </c>
      <c r="Y22" s="98">
        <v>51.94</v>
      </c>
      <c r="Z22" s="98">
        <v>51.41</v>
      </c>
      <c r="AA22" s="98">
        <v>51.54</v>
      </c>
      <c r="AB22" s="96">
        <v>2268100</v>
      </c>
      <c r="AC22" s="95">
        <v>51.54</v>
      </c>
      <c r="AD22" s="2">
        <f t="shared" si="0"/>
        <v>0.53000000000000114</v>
      </c>
      <c r="AE22" s="131">
        <f t="shared" si="1"/>
        <v>1.1655011655011815E-3</v>
      </c>
    </row>
    <row r="23" spans="1:31" x14ac:dyDescent="0.25">
      <c r="B23" s="161">
        <v>42376</v>
      </c>
      <c r="C23" s="10">
        <v>100</v>
      </c>
      <c r="D23" s="39">
        <v>36.659999999999997</v>
      </c>
      <c r="E23" s="39">
        <v>36.29</v>
      </c>
      <c r="F23" s="39">
        <f>C23*(E23-D23)</f>
        <v>-36.999999999999744</v>
      </c>
      <c r="G23" s="39">
        <f>D23*C23</f>
        <v>3665.9999999999995</v>
      </c>
      <c r="H23" s="175">
        <f>(E23-D23)/D23</f>
        <v>-1.0092744135297258E-2</v>
      </c>
      <c r="I23" s="39"/>
      <c r="W23" s="94">
        <v>42801</v>
      </c>
      <c r="X23" s="98">
        <v>52.15</v>
      </c>
      <c r="Y23" s="98">
        <v>52.31</v>
      </c>
      <c r="Z23" s="98">
        <v>51.45</v>
      </c>
      <c r="AA23" s="98">
        <v>51.48</v>
      </c>
      <c r="AB23" s="96">
        <v>2731800</v>
      </c>
      <c r="AC23" s="95">
        <v>51.48</v>
      </c>
      <c r="AD23" s="2">
        <f t="shared" si="0"/>
        <v>0.85999999999999943</v>
      </c>
      <c r="AE23" s="131">
        <f t="shared" si="1"/>
        <v>-1.6243072807185177E-2</v>
      </c>
    </row>
    <row r="24" spans="1:31" x14ac:dyDescent="0.25">
      <c r="B24" s="161">
        <v>42403</v>
      </c>
      <c r="C24" s="10">
        <v>100</v>
      </c>
      <c r="D24" s="39">
        <v>36.659999999999997</v>
      </c>
      <c r="E24" s="39">
        <v>34.17</v>
      </c>
      <c r="F24" s="39">
        <f>C24*(E24-D24)</f>
        <v>-248.99999999999949</v>
      </c>
      <c r="G24" s="39">
        <f>D24*C24</f>
        <v>3665.9999999999995</v>
      </c>
      <c r="H24" s="175">
        <f>(E24-D24)/D24</f>
        <v>-6.7921440261865654E-2</v>
      </c>
      <c r="I24" s="39"/>
      <c r="W24" s="94">
        <v>42800</v>
      </c>
      <c r="X24" s="98">
        <v>53.64</v>
      </c>
      <c r="Y24" s="98">
        <v>53.88</v>
      </c>
      <c r="Z24" s="98">
        <v>52.13</v>
      </c>
      <c r="AA24" s="98">
        <v>52.33</v>
      </c>
      <c r="AB24" s="96">
        <v>3230000</v>
      </c>
      <c r="AC24" s="95">
        <v>52.33</v>
      </c>
      <c r="AD24" s="2">
        <f t="shared" si="0"/>
        <v>1.75</v>
      </c>
      <c r="AE24" s="131">
        <f t="shared" si="1"/>
        <v>-3.0925925925925912E-2</v>
      </c>
    </row>
    <row r="25" spans="1:31" x14ac:dyDescent="0.25">
      <c r="B25" s="161">
        <v>42430</v>
      </c>
      <c r="C25" s="10">
        <v>100</v>
      </c>
      <c r="D25" s="39">
        <v>36.659999999999997</v>
      </c>
      <c r="E25" s="39">
        <v>36.64</v>
      </c>
      <c r="F25" s="39">
        <f>C25*(E25-D25)</f>
        <v>-1.9999999999996021</v>
      </c>
      <c r="G25" s="39">
        <f>D25*C25</f>
        <v>3665.9999999999995</v>
      </c>
      <c r="H25" s="175">
        <f>(E25-D25)/D25</f>
        <v>-5.4555373704299028E-4</v>
      </c>
      <c r="I25" s="39"/>
      <c r="W25" s="94">
        <v>42797</v>
      </c>
      <c r="X25" s="98">
        <v>53.73</v>
      </c>
      <c r="Y25" s="98">
        <v>54.25</v>
      </c>
      <c r="Z25" s="98">
        <v>53.65</v>
      </c>
      <c r="AA25" s="98">
        <v>54</v>
      </c>
      <c r="AB25" s="96">
        <v>2942800</v>
      </c>
      <c r="AC25" s="95">
        <v>54</v>
      </c>
      <c r="AD25" s="2">
        <f t="shared" si="0"/>
        <v>0.60000000000000142</v>
      </c>
      <c r="AE25" s="131">
        <f t="shared" si="1"/>
        <v>5.2122114668653463E-3</v>
      </c>
    </row>
    <row r="26" spans="1:31" x14ac:dyDescent="0.25">
      <c r="B26" s="161">
        <v>42431</v>
      </c>
      <c r="C26" s="10">
        <v>100</v>
      </c>
      <c r="D26" s="39">
        <v>36.659999999999997</v>
      </c>
      <c r="E26" s="39">
        <v>36.78</v>
      </c>
      <c r="F26" s="39">
        <f>C26*(E26-D26)</f>
        <v>12.000000000000455</v>
      </c>
      <c r="G26" s="39">
        <f>D26*C26</f>
        <v>3665.9999999999995</v>
      </c>
      <c r="H26" s="175">
        <f>(E26-D26)/D26</f>
        <v>3.2733224222587167E-3</v>
      </c>
      <c r="I26" s="39"/>
      <c r="W26" s="94">
        <v>42796</v>
      </c>
      <c r="X26" s="98">
        <v>53.5</v>
      </c>
      <c r="Y26" s="98">
        <v>54.11</v>
      </c>
      <c r="Z26" s="98">
        <v>53.39</v>
      </c>
      <c r="AA26" s="98">
        <v>53.72</v>
      </c>
      <c r="AB26" s="96">
        <v>3816500</v>
      </c>
      <c r="AC26" s="95">
        <v>53.72</v>
      </c>
      <c r="AD26" s="2">
        <f t="shared" si="0"/>
        <v>0.71999999999999886</v>
      </c>
      <c r="AE26" s="131">
        <f t="shared" si="1"/>
        <v>9.3161915408979112E-4</v>
      </c>
    </row>
    <row r="27" spans="1:31" x14ac:dyDescent="0.25">
      <c r="B27" s="161">
        <v>42432</v>
      </c>
      <c r="C27" s="10">
        <v>0</v>
      </c>
      <c r="D27" s="39"/>
      <c r="E27" s="39"/>
      <c r="F27" s="39">
        <v>75.92</v>
      </c>
      <c r="G27" s="39"/>
      <c r="H27" s="175"/>
      <c r="I27" s="39"/>
      <c r="W27" s="94">
        <v>42795</v>
      </c>
      <c r="X27" s="98">
        <v>53.23</v>
      </c>
      <c r="Y27" s="98">
        <v>53.87</v>
      </c>
      <c r="Z27" s="98">
        <v>53.21</v>
      </c>
      <c r="AA27" s="98">
        <v>53.67</v>
      </c>
      <c r="AB27" s="96">
        <v>3095200</v>
      </c>
      <c r="AC27" s="95">
        <v>53.67</v>
      </c>
      <c r="AD27" s="2">
        <f t="shared" si="0"/>
        <v>0.65999999999999659</v>
      </c>
      <c r="AE27" s="131">
        <f t="shared" si="1"/>
        <v>1.8406072106261773E-2</v>
      </c>
    </row>
    <row r="28" spans="1:31" x14ac:dyDescent="0.25">
      <c r="B28" s="161">
        <v>42445</v>
      </c>
      <c r="C28" s="10">
        <v>0</v>
      </c>
      <c r="D28" s="39"/>
      <c r="E28" s="39"/>
      <c r="F28" s="39">
        <v>119.92</v>
      </c>
      <c r="G28" s="39"/>
      <c r="H28" s="175"/>
      <c r="I28" s="39" t="s">
        <v>179</v>
      </c>
      <c r="W28" s="94">
        <v>42794</v>
      </c>
      <c r="X28" s="98">
        <v>52.73</v>
      </c>
      <c r="Y28" s="98">
        <v>53</v>
      </c>
      <c r="Z28" s="98">
        <v>52.54</v>
      </c>
      <c r="AA28" s="98">
        <v>52.7</v>
      </c>
      <c r="AB28" s="96">
        <v>3447500</v>
      </c>
      <c r="AC28" s="95">
        <v>52.7</v>
      </c>
      <c r="AD28" s="2">
        <f t="shared" si="0"/>
        <v>0.46000000000000085</v>
      </c>
      <c r="AE28" s="131">
        <f t="shared" si="1"/>
        <v>-3.5923615050104107E-3</v>
      </c>
    </row>
    <row r="29" spans="1:31" x14ac:dyDescent="0.25">
      <c r="B29" s="161"/>
      <c r="C29" s="10"/>
      <c r="D29" s="39"/>
      <c r="E29" s="39"/>
      <c r="F29" s="39"/>
      <c r="G29" s="39"/>
      <c r="H29" s="175"/>
      <c r="I29" s="39"/>
      <c r="W29" s="94">
        <v>42793</v>
      </c>
      <c r="X29" s="98">
        <v>52.41</v>
      </c>
      <c r="Y29" s="98">
        <v>53.07</v>
      </c>
      <c r="Z29" s="98">
        <v>52.41</v>
      </c>
      <c r="AA29" s="98">
        <v>52.89</v>
      </c>
      <c r="AB29" s="96">
        <v>3016600</v>
      </c>
      <c r="AC29" s="95">
        <v>52.89</v>
      </c>
      <c r="AD29" s="2">
        <f t="shared" si="0"/>
        <v>0.66000000000000369</v>
      </c>
      <c r="AE29" s="131">
        <f t="shared" si="1"/>
        <v>5.1311288483466555E-3</v>
      </c>
    </row>
    <row r="30" spans="1:31" x14ac:dyDescent="0.25">
      <c r="L30" t="s">
        <v>201</v>
      </c>
      <c r="M30" s="2">
        <f>M37+K37-F37</f>
        <v>119.92000000000053</v>
      </c>
      <c r="W30" s="94">
        <v>42790</v>
      </c>
      <c r="X30" s="98">
        <v>52</v>
      </c>
      <c r="Y30" s="98">
        <v>52.67</v>
      </c>
      <c r="Z30" s="98">
        <v>51.9</v>
      </c>
      <c r="AA30" s="98">
        <v>52.62</v>
      </c>
      <c r="AB30" s="96">
        <v>2330700</v>
      </c>
      <c r="AC30" s="95">
        <v>52.62</v>
      </c>
      <c r="AD30" s="2">
        <f t="shared" si="0"/>
        <v>0.77000000000000313</v>
      </c>
      <c r="AE30" s="131">
        <f t="shared" si="1"/>
        <v>7.6599004212944966E-3</v>
      </c>
    </row>
    <row r="31" spans="1:31" x14ac:dyDescent="0.25">
      <c r="A31" s="297" t="s">
        <v>1</v>
      </c>
      <c r="B31" s="297" t="s">
        <v>2</v>
      </c>
      <c r="C31" s="297" t="s">
        <v>4</v>
      </c>
      <c r="D31" s="297" t="s">
        <v>5</v>
      </c>
      <c r="E31" s="297" t="s">
        <v>90</v>
      </c>
      <c r="F31" s="297" t="s">
        <v>60</v>
      </c>
      <c r="G31" s="297" t="s">
        <v>3</v>
      </c>
      <c r="H31" s="326" t="s">
        <v>6</v>
      </c>
      <c r="I31" s="297" t="s">
        <v>7</v>
      </c>
      <c r="J31" s="297" t="s">
        <v>89</v>
      </c>
      <c r="K31" s="297" t="s">
        <v>61</v>
      </c>
      <c r="L31" s="297" t="s">
        <v>77</v>
      </c>
      <c r="M31" s="297" t="s">
        <v>38</v>
      </c>
      <c r="W31" s="94">
        <v>42789</v>
      </c>
      <c r="X31" s="98">
        <v>52.26</v>
      </c>
      <c r="Y31" s="98">
        <v>52.89</v>
      </c>
      <c r="Z31" s="98">
        <v>51.93</v>
      </c>
      <c r="AA31" s="98">
        <v>52.22</v>
      </c>
      <c r="AB31" s="96">
        <v>3609600</v>
      </c>
      <c r="AC31" s="95">
        <v>52.22</v>
      </c>
      <c r="AD31" s="2">
        <f t="shared" si="0"/>
        <v>0.96000000000000085</v>
      </c>
      <c r="AE31" s="131">
        <f t="shared" si="1"/>
        <v>3.6517393811261734E-3</v>
      </c>
    </row>
    <row r="32" spans="1:31" x14ac:dyDescent="0.25">
      <c r="A32" s="300" t="s">
        <v>169</v>
      </c>
      <c r="B32" s="290">
        <v>42376</v>
      </c>
      <c r="C32" s="291">
        <v>100</v>
      </c>
      <c r="D32" s="292">
        <v>36.659999999999997</v>
      </c>
      <c r="E32" s="292">
        <v>0</v>
      </c>
      <c r="F32" s="292">
        <f>C32*D32+E32</f>
        <v>3665.9999999999995</v>
      </c>
      <c r="G32" s="327">
        <v>42432</v>
      </c>
      <c r="H32" s="310">
        <v>100</v>
      </c>
      <c r="I32" s="311">
        <v>37.42</v>
      </c>
      <c r="J32" s="311">
        <v>0.08</v>
      </c>
      <c r="K32" s="312">
        <f>I32*H32-J32</f>
        <v>3741.92</v>
      </c>
      <c r="L32" s="290">
        <v>42444</v>
      </c>
      <c r="M32" s="311">
        <v>44</v>
      </c>
      <c r="W32" s="94">
        <v>42788</v>
      </c>
      <c r="X32" s="98">
        <v>52.33</v>
      </c>
      <c r="Y32" s="98">
        <v>52.38</v>
      </c>
      <c r="Z32" s="98">
        <v>51.46</v>
      </c>
      <c r="AA32" s="98">
        <v>52.03</v>
      </c>
      <c r="AB32" s="96">
        <v>2956300</v>
      </c>
      <c r="AC32" s="95">
        <v>52.03</v>
      </c>
      <c r="AD32" s="2">
        <f t="shared" si="0"/>
        <v>0.92000000000000171</v>
      </c>
      <c r="AE32" s="131">
        <f t="shared" si="1"/>
        <v>-1.3836239575435894E-2</v>
      </c>
    </row>
    <row r="33" spans="1:31" x14ac:dyDescent="0.25">
      <c r="A33" s="301" t="s">
        <v>71</v>
      </c>
      <c r="B33" s="290"/>
      <c r="C33" s="291"/>
      <c r="D33" s="292"/>
      <c r="E33" s="292"/>
      <c r="F33" s="292"/>
      <c r="G33" s="290"/>
      <c r="H33" s="295"/>
      <c r="I33" s="291"/>
      <c r="J33" s="291"/>
      <c r="K33" s="312"/>
      <c r="L33" s="290"/>
      <c r="M33" s="291"/>
      <c r="W33" s="94">
        <v>42787</v>
      </c>
      <c r="X33" s="98">
        <v>52.25</v>
      </c>
      <c r="Y33" s="98">
        <v>52.85</v>
      </c>
      <c r="Z33" s="98">
        <v>52.15</v>
      </c>
      <c r="AA33" s="98">
        <v>52.76</v>
      </c>
      <c r="AB33" s="96">
        <v>2499700</v>
      </c>
      <c r="AC33" s="95">
        <v>52.76</v>
      </c>
      <c r="AD33" s="2">
        <f t="shared" si="0"/>
        <v>0.70000000000000284</v>
      </c>
      <c r="AE33" s="131">
        <f t="shared" si="1"/>
        <v>1.1697027804410398E-2</v>
      </c>
    </row>
    <row r="34" spans="1:31" x14ac:dyDescent="0.25">
      <c r="A34" s="291"/>
      <c r="B34" s="290"/>
      <c r="C34" s="291"/>
      <c r="D34" s="292"/>
      <c r="E34" s="292"/>
      <c r="F34" s="292"/>
      <c r="G34" s="290"/>
      <c r="H34" s="295"/>
      <c r="I34" s="291"/>
      <c r="J34" s="292"/>
      <c r="K34" s="311"/>
      <c r="L34" s="291"/>
      <c r="M34" s="291"/>
      <c r="W34" s="94">
        <v>42783</v>
      </c>
      <c r="X34" s="98">
        <v>53.2</v>
      </c>
      <c r="Y34" s="98">
        <v>53.36</v>
      </c>
      <c r="Z34" s="98">
        <v>51.93</v>
      </c>
      <c r="AA34" s="98">
        <v>52.15</v>
      </c>
      <c r="AB34" s="96">
        <v>3897100</v>
      </c>
      <c r="AC34" s="95">
        <v>52.15</v>
      </c>
      <c r="AD34" s="2">
        <f t="shared" si="0"/>
        <v>1.4299999999999997</v>
      </c>
      <c r="AE34" s="131">
        <f t="shared" si="1"/>
        <v>-2.3042337954290115E-2</v>
      </c>
    </row>
    <row r="35" spans="1:31" x14ac:dyDescent="0.25">
      <c r="A35" s="291"/>
      <c r="B35" s="290"/>
      <c r="C35" s="291"/>
      <c r="D35" s="292"/>
      <c r="E35" s="292"/>
      <c r="F35" s="292"/>
      <c r="G35" s="290"/>
      <c r="H35" s="295"/>
      <c r="I35" s="291"/>
      <c r="J35" s="292"/>
      <c r="K35" s="311"/>
      <c r="L35" s="291"/>
      <c r="M35" s="291"/>
      <c r="W35" s="94">
        <v>42782</v>
      </c>
      <c r="X35" s="98">
        <v>52.86</v>
      </c>
      <c r="Y35" s="98">
        <v>53.5</v>
      </c>
      <c r="Z35" s="98">
        <v>52.73</v>
      </c>
      <c r="AA35" s="98">
        <v>53.38</v>
      </c>
      <c r="AB35" s="96">
        <v>2912400</v>
      </c>
      <c r="AC35" s="95">
        <v>53.38</v>
      </c>
      <c r="AD35" s="2">
        <f t="shared" si="0"/>
        <v>0.77000000000000313</v>
      </c>
      <c r="AE35" s="131">
        <f t="shared" si="1"/>
        <v>1.1751326762699188E-2</v>
      </c>
    </row>
    <row r="36" spans="1:31" x14ac:dyDescent="0.25">
      <c r="A36" s="291"/>
      <c r="B36" s="291"/>
      <c r="C36" s="291"/>
      <c r="D36" s="291"/>
      <c r="E36" s="291"/>
      <c r="F36" s="291"/>
      <c r="G36" s="291"/>
      <c r="H36" s="295"/>
      <c r="I36" s="291"/>
      <c r="J36" s="291"/>
      <c r="K36" s="291"/>
      <c r="L36" s="291"/>
      <c r="M36" s="291"/>
      <c r="W36" s="94">
        <v>42781</v>
      </c>
      <c r="X36" s="98">
        <v>52.91</v>
      </c>
      <c r="Y36" s="98">
        <v>53.4</v>
      </c>
      <c r="Z36" s="98">
        <v>52.7</v>
      </c>
      <c r="AA36" s="98">
        <v>52.76</v>
      </c>
      <c r="AB36" s="96">
        <v>4401300</v>
      </c>
      <c r="AC36" s="95">
        <v>52.76</v>
      </c>
      <c r="AD36" s="2">
        <f t="shared" si="0"/>
        <v>0.69999999999999574</v>
      </c>
      <c r="AE36" s="131">
        <f t="shared" si="1"/>
        <v>-2.2692889561272134E-3</v>
      </c>
    </row>
    <row r="37" spans="1:31" x14ac:dyDescent="0.25">
      <c r="A37" s="21" t="s">
        <v>81</v>
      </c>
      <c r="B37" s="12"/>
      <c r="C37" s="12">
        <f>SUM(C32:C36)</f>
        <v>100</v>
      </c>
      <c r="D37" s="12"/>
      <c r="E37" s="12"/>
      <c r="F37" s="13">
        <f>SUM(F32:F36)</f>
        <v>3665.9999999999995</v>
      </c>
      <c r="G37" s="13"/>
      <c r="H37" s="72">
        <f>SUM(H32:H36)</f>
        <v>100</v>
      </c>
      <c r="I37" s="13"/>
      <c r="J37" s="13"/>
      <c r="K37" s="13">
        <f>SUM(K32:K36)</f>
        <v>3741.92</v>
      </c>
      <c r="L37" s="13"/>
      <c r="M37" s="13">
        <f>SUM(M32:M35)</f>
        <v>44</v>
      </c>
      <c r="W37" s="94">
        <v>42780</v>
      </c>
      <c r="X37" s="98">
        <v>52.49</v>
      </c>
      <c r="Y37" s="98">
        <v>52.92</v>
      </c>
      <c r="Z37" s="98">
        <v>52.33</v>
      </c>
      <c r="AA37" s="98">
        <v>52.88</v>
      </c>
      <c r="AB37" s="96">
        <v>2880200</v>
      </c>
      <c r="AC37" s="95">
        <v>52.88</v>
      </c>
      <c r="AD37" s="2">
        <f t="shared" si="0"/>
        <v>0.59000000000000341</v>
      </c>
      <c r="AE37" s="131">
        <f t="shared" si="1"/>
        <v>3.7965072133636646E-3</v>
      </c>
    </row>
    <row r="38" spans="1:31" x14ac:dyDescent="0.25">
      <c r="A38" s="291"/>
      <c r="B38" s="291"/>
      <c r="C38" s="291"/>
      <c r="D38" s="291"/>
      <c r="E38" s="291"/>
      <c r="F38" s="291"/>
      <c r="G38" s="291"/>
      <c r="H38" s="295"/>
      <c r="I38" s="291"/>
      <c r="J38" s="291"/>
      <c r="K38" s="291"/>
      <c r="L38" s="291"/>
      <c r="M38" s="291"/>
      <c r="W38" s="94">
        <v>42779</v>
      </c>
      <c r="X38" s="98">
        <v>52.5</v>
      </c>
      <c r="Y38" s="98">
        <v>53.47</v>
      </c>
      <c r="Z38" s="98">
        <v>52.35</v>
      </c>
      <c r="AA38" s="98">
        <v>52.68</v>
      </c>
      <c r="AB38" s="96">
        <v>3833700</v>
      </c>
      <c r="AC38" s="95">
        <v>52.68</v>
      </c>
      <c r="AD38" s="2">
        <f t="shared" si="0"/>
        <v>1.1199999999999974</v>
      </c>
      <c r="AE38" s="131" t="e">
        <f t="shared" si="1"/>
        <v>#DIV/0!</v>
      </c>
    </row>
    <row r="39" spans="1:31" x14ac:dyDescent="0.25">
      <c r="W39" s="94">
        <v>42779</v>
      </c>
      <c r="X39" s="98" t="s">
        <v>288</v>
      </c>
      <c r="Y39" s="98"/>
      <c r="Z39" s="98"/>
      <c r="AA39" s="98"/>
      <c r="AB39" s="96"/>
      <c r="AC39" s="95"/>
      <c r="AD39" s="2">
        <f t="shared" si="0"/>
        <v>0</v>
      </c>
      <c r="AE39" s="131">
        <f t="shared" si="1"/>
        <v>-1</v>
      </c>
    </row>
    <row r="40" spans="1:31" ht="20.25" thickBot="1" x14ac:dyDescent="0.35">
      <c r="O40" s="886" t="s">
        <v>78</v>
      </c>
      <c r="P40" s="886"/>
      <c r="W40" s="94">
        <v>42776</v>
      </c>
      <c r="X40" s="98">
        <v>52.38</v>
      </c>
      <c r="Y40" s="98">
        <v>53.03</v>
      </c>
      <c r="Z40" s="98">
        <v>51.91</v>
      </c>
      <c r="AA40" s="98">
        <v>52.89</v>
      </c>
      <c r="AB40" s="96">
        <v>3815300</v>
      </c>
      <c r="AC40" s="95">
        <v>52.43</v>
      </c>
      <c r="AD40" s="2">
        <f t="shared" si="0"/>
        <v>1.1200000000000045</v>
      </c>
      <c r="AE40" s="131">
        <f t="shared" si="1"/>
        <v>1.4119922630560833E-2</v>
      </c>
    </row>
    <row r="41" spans="1:31" ht="15.75" thickTop="1" x14ac:dyDescent="0.25">
      <c r="O41" s="78">
        <v>1.1000000000000001</v>
      </c>
      <c r="P41" s="78">
        <f>O41*$Q$4</f>
        <v>45.177000000000007</v>
      </c>
      <c r="Q41" s="2"/>
      <c r="W41" s="94">
        <v>42775</v>
      </c>
      <c r="X41" s="98">
        <v>53.1</v>
      </c>
      <c r="Y41" s="98">
        <v>53.1</v>
      </c>
      <c r="Z41" s="98">
        <v>52.05</v>
      </c>
      <c r="AA41" s="98">
        <v>52.16</v>
      </c>
      <c r="AB41" s="96">
        <v>4471000</v>
      </c>
      <c r="AC41" s="95">
        <v>51.7</v>
      </c>
      <c r="AD41" s="2">
        <f t="shared" si="0"/>
        <v>1.0500000000000043</v>
      </c>
      <c r="AE41" s="131">
        <f t="shared" si="1"/>
        <v>-1.7857142857142794E-2</v>
      </c>
    </row>
    <row r="42" spans="1:31" ht="20.25" thickBot="1" x14ac:dyDescent="0.35">
      <c r="O42" s="78">
        <v>1.0900000000000001</v>
      </c>
      <c r="P42" s="78">
        <f t="shared" ref="P42:P61" si="2">O42*$Q$4</f>
        <v>44.766300000000001</v>
      </c>
      <c r="Q42" s="2"/>
      <c r="T42" s="86" t="s">
        <v>112</v>
      </c>
      <c r="W42" s="94">
        <v>42774</v>
      </c>
      <c r="X42" s="98">
        <v>52.02</v>
      </c>
      <c r="Y42" s="98">
        <v>53.96</v>
      </c>
      <c r="Z42" s="98">
        <v>51.67</v>
      </c>
      <c r="AA42" s="98">
        <v>53.1</v>
      </c>
      <c r="AB42" s="96">
        <v>7574600</v>
      </c>
      <c r="AC42" s="95">
        <v>52.64</v>
      </c>
      <c r="AD42" s="2">
        <f t="shared" si="0"/>
        <v>2.2899999999999991</v>
      </c>
      <c r="AE42" s="131">
        <f t="shared" si="1"/>
        <v>1.8772982388232995E-2</v>
      </c>
    </row>
    <row r="43" spans="1:31" ht="15.75" thickTop="1" x14ac:dyDescent="0.25">
      <c r="O43" s="78">
        <v>1.08</v>
      </c>
      <c r="P43" s="78">
        <f t="shared" si="2"/>
        <v>44.355600000000003</v>
      </c>
      <c r="Q43" s="2"/>
      <c r="T43" s="92" t="s">
        <v>97</v>
      </c>
      <c r="U43" s="93">
        <v>50.7</v>
      </c>
      <c r="W43" s="94">
        <v>42773</v>
      </c>
      <c r="X43" s="98">
        <v>51.91</v>
      </c>
      <c r="Y43" s="98">
        <v>52.66</v>
      </c>
      <c r="Z43" s="98">
        <v>51.68</v>
      </c>
      <c r="AA43" s="98">
        <v>52.13</v>
      </c>
      <c r="AB43" s="96">
        <v>4606200</v>
      </c>
      <c r="AC43" s="95">
        <v>51.67</v>
      </c>
      <c r="AD43" s="2">
        <f t="shared" si="0"/>
        <v>0.97999999999999687</v>
      </c>
      <c r="AE43" s="131">
        <f t="shared" si="1"/>
        <v>1.0166177908113472E-2</v>
      </c>
    </row>
    <row r="44" spans="1:31" x14ac:dyDescent="0.25">
      <c r="O44" s="78">
        <v>1.07</v>
      </c>
      <c r="P44" s="78">
        <f t="shared" si="2"/>
        <v>43.944900000000004</v>
      </c>
      <c r="Q44" s="2"/>
      <c r="T44" s="82" t="s">
        <v>98</v>
      </c>
      <c r="U44" s="83">
        <v>50.85</v>
      </c>
      <c r="W44" s="94">
        <v>42772</v>
      </c>
      <c r="X44" s="98">
        <v>52.33</v>
      </c>
      <c r="Y44" s="98">
        <v>52.33</v>
      </c>
      <c r="Z44" s="98">
        <v>50.6</v>
      </c>
      <c r="AA44" s="98">
        <v>51.6</v>
      </c>
      <c r="AB44" s="96">
        <v>6180300</v>
      </c>
      <c r="AC44" s="95">
        <v>51.15</v>
      </c>
      <c r="AD44" s="2">
        <f t="shared" si="0"/>
        <v>1.7299999999999969</v>
      </c>
      <c r="AE44" s="131">
        <f t="shared" si="1"/>
        <v>-2.6641294005708804E-2</v>
      </c>
    </row>
    <row r="45" spans="1:31" x14ac:dyDescent="0.25">
      <c r="O45" s="78">
        <v>1.06</v>
      </c>
      <c r="P45" s="78">
        <f t="shared" si="2"/>
        <v>43.534200000000006</v>
      </c>
      <c r="Q45" s="2"/>
      <c r="T45" s="82" t="s">
        <v>99</v>
      </c>
      <c r="U45" s="83" t="s">
        <v>128</v>
      </c>
      <c r="W45" s="94">
        <v>42769</v>
      </c>
      <c r="X45" s="98">
        <v>53.55</v>
      </c>
      <c r="Y45" s="98">
        <v>53.67</v>
      </c>
      <c r="Z45" s="98">
        <v>52.22</v>
      </c>
      <c r="AA45" s="98">
        <v>53.01</v>
      </c>
      <c r="AB45" s="96">
        <v>5844200</v>
      </c>
      <c r="AC45" s="95">
        <v>52.55</v>
      </c>
      <c r="AD45" s="2">
        <f t="shared" si="0"/>
        <v>1.4500000000000028</v>
      </c>
      <c r="AE45" s="131">
        <f t="shared" si="1"/>
        <v>-6.2405446293495315E-3</v>
      </c>
    </row>
    <row r="46" spans="1:31" x14ac:dyDescent="0.25">
      <c r="O46" s="78">
        <v>1.05</v>
      </c>
      <c r="P46" s="78">
        <f t="shared" si="2"/>
        <v>43.1235</v>
      </c>
      <c r="Q46" s="2"/>
      <c r="T46" s="82" t="s">
        <v>100</v>
      </c>
      <c r="U46" s="83" t="s">
        <v>128</v>
      </c>
      <c r="W46" s="94">
        <v>42768</v>
      </c>
      <c r="X46" s="98">
        <v>55.48</v>
      </c>
      <c r="Y46" s="98">
        <v>55.78</v>
      </c>
      <c r="Z46" s="98">
        <v>52.3</v>
      </c>
      <c r="AA46" s="98">
        <v>53.35</v>
      </c>
      <c r="AB46" s="96">
        <v>8057300</v>
      </c>
      <c r="AC46" s="95">
        <v>52.88</v>
      </c>
      <c r="AD46" s="2">
        <f t="shared" si="0"/>
        <v>3.480000000000004</v>
      </c>
      <c r="AE46" s="131">
        <f t="shared" si="1"/>
        <v>-5.5882878057489704E-2</v>
      </c>
    </row>
    <row r="47" spans="1:31" x14ac:dyDescent="0.25">
      <c r="O47" s="78">
        <v>1.04</v>
      </c>
      <c r="P47" s="78">
        <f t="shared" si="2"/>
        <v>42.712800000000001</v>
      </c>
      <c r="Q47" s="2"/>
      <c r="T47" s="82" t="s">
        <v>101</v>
      </c>
      <c r="U47" s="83">
        <v>56.08</v>
      </c>
      <c r="W47" s="94">
        <v>42767</v>
      </c>
      <c r="X47" s="98">
        <v>56.73</v>
      </c>
      <c r="Y47" s="98">
        <v>57.12</v>
      </c>
      <c r="Z47" s="98">
        <v>56.01</v>
      </c>
      <c r="AA47" s="98">
        <v>56.5</v>
      </c>
      <c r="AB47" s="96">
        <v>2990600</v>
      </c>
      <c r="AC47" s="95">
        <v>56.01</v>
      </c>
      <c r="AD47" s="2">
        <f t="shared" si="0"/>
        <v>1.1099999999999994</v>
      </c>
      <c r="AE47" s="131">
        <f t="shared" si="1"/>
        <v>-1.6042780748664054E-3</v>
      </c>
    </row>
    <row r="48" spans="1:31" x14ac:dyDescent="0.25">
      <c r="O48" s="78">
        <v>1.03</v>
      </c>
      <c r="P48" s="78">
        <f t="shared" si="2"/>
        <v>42.302100000000003</v>
      </c>
      <c r="Q48" s="2"/>
      <c r="T48" s="82" t="s">
        <v>102</v>
      </c>
      <c r="U48" s="83">
        <v>1.7318800000000001</v>
      </c>
      <c r="W48" s="94">
        <v>42766</v>
      </c>
      <c r="X48" s="98">
        <v>56.83</v>
      </c>
      <c r="Y48" s="98">
        <v>57.36</v>
      </c>
      <c r="Z48" s="98">
        <v>56.21</v>
      </c>
      <c r="AA48" s="98">
        <v>56.6</v>
      </c>
      <c r="AB48" s="96">
        <v>3747000</v>
      </c>
      <c r="AC48" s="95">
        <v>56.1</v>
      </c>
      <c r="AD48" s="2">
        <f t="shared" si="0"/>
        <v>1.1499999999999986</v>
      </c>
      <c r="AE48" s="131">
        <f t="shared" si="1"/>
        <v>-5.1427558077673519E-3</v>
      </c>
    </row>
    <row r="49" spans="15:31" x14ac:dyDescent="0.25">
      <c r="O49" s="78">
        <v>1.02</v>
      </c>
      <c r="P49" s="78">
        <f t="shared" si="2"/>
        <v>41.891400000000004</v>
      </c>
      <c r="Q49" s="2"/>
      <c r="T49" s="82" t="s">
        <v>103</v>
      </c>
      <c r="U49" s="84" t="s">
        <v>366</v>
      </c>
      <c r="W49" s="94">
        <v>42765</v>
      </c>
      <c r="X49" s="98">
        <v>57.02</v>
      </c>
      <c r="Y49" s="98">
        <v>57.02</v>
      </c>
      <c r="Z49" s="98">
        <v>56.31</v>
      </c>
      <c r="AA49" s="98">
        <v>56.89</v>
      </c>
      <c r="AB49" s="96">
        <v>2272300</v>
      </c>
      <c r="AC49" s="95">
        <v>56.39</v>
      </c>
      <c r="AD49" s="2">
        <f t="shared" si="0"/>
        <v>0.71000000000000085</v>
      </c>
      <c r="AE49" s="131">
        <f t="shared" si="1"/>
        <v>-7.9169598874032632E-3</v>
      </c>
    </row>
    <row r="50" spans="15:31" x14ac:dyDescent="0.25">
      <c r="O50" s="78">
        <v>1.01</v>
      </c>
      <c r="P50" s="78">
        <f t="shared" si="2"/>
        <v>41.480699999999999</v>
      </c>
      <c r="Q50" s="2"/>
      <c r="T50" s="82"/>
      <c r="U50" s="83"/>
      <c r="W50" s="94">
        <v>42762</v>
      </c>
      <c r="X50" s="98">
        <v>57.73</v>
      </c>
      <c r="Y50" s="98">
        <v>57.84</v>
      </c>
      <c r="Z50" s="98">
        <v>57.19</v>
      </c>
      <c r="AA50" s="98">
        <v>57.34</v>
      </c>
      <c r="AB50" s="96">
        <v>2044300</v>
      </c>
      <c r="AC50" s="95">
        <v>56.84</v>
      </c>
      <c r="AD50" s="2">
        <f t="shared" si="0"/>
        <v>0.65000000000000568</v>
      </c>
      <c r="AE50" s="131">
        <f t="shared" si="1"/>
        <v>-2.9819329942114559E-3</v>
      </c>
    </row>
    <row r="51" spans="15:31" x14ac:dyDescent="0.25">
      <c r="O51" s="78">
        <v>1</v>
      </c>
      <c r="P51" s="78">
        <f t="shared" si="2"/>
        <v>41.07</v>
      </c>
      <c r="Q51" s="2"/>
      <c r="T51" s="82" t="s">
        <v>104</v>
      </c>
      <c r="U51" s="83" t="s">
        <v>540</v>
      </c>
      <c r="W51" s="94">
        <v>42761</v>
      </c>
      <c r="X51" s="98">
        <v>58.61</v>
      </c>
      <c r="Y51" s="98">
        <v>58.86</v>
      </c>
      <c r="Z51" s="98">
        <v>57.37</v>
      </c>
      <c r="AA51" s="98">
        <v>57.51</v>
      </c>
      <c r="AB51" s="96">
        <v>3650500</v>
      </c>
      <c r="AC51" s="95">
        <v>57.01</v>
      </c>
      <c r="AD51" s="2">
        <f t="shared" si="0"/>
        <v>1.490000000000002</v>
      </c>
      <c r="AE51" s="131">
        <f t="shared" si="1"/>
        <v>-8.1767571329157684E-3</v>
      </c>
    </row>
    <row r="52" spans="15:31" x14ac:dyDescent="0.25">
      <c r="O52" s="78">
        <v>0.99</v>
      </c>
      <c r="P52" s="78">
        <f t="shared" si="2"/>
        <v>40.659300000000002</v>
      </c>
      <c r="Q52" s="2"/>
      <c r="T52" s="82" t="s">
        <v>105</v>
      </c>
      <c r="U52" s="83" t="s">
        <v>454</v>
      </c>
      <c r="W52" s="94">
        <v>42760</v>
      </c>
      <c r="X52" s="98">
        <v>56.48</v>
      </c>
      <c r="Y52" s="98">
        <v>58.26</v>
      </c>
      <c r="Z52" s="98">
        <v>56.46</v>
      </c>
      <c r="AA52" s="98">
        <v>57.99</v>
      </c>
      <c r="AB52" s="96">
        <v>5188000</v>
      </c>
      <c r="AC52" s="95">
        <v>57.48</v>
      </c>
      <c r="AD52" s="2">
        <f t="shared" si="0"/>
        <v>1.7999999999999972</v>
      </c>
      <c r="AE52" s="131">
        <f t="shared" si="1"/>
        <v>3.7357877639415227E-2</v>
      </c>
    </row>
    <row r="53" spans="15:31" x14ac:dyDescent="0.25">
      <c r="O53" s="78">
        <v>0.98</v>
      </c>
      <c r="P53" s="78">
        <f t="shared" si="2"/>
        <v>40.248599999999996</v>
      </c>
      <c r="Q53" s="2"/>
      <c r="T53" s="82" t="s">
        <v>106</v>
      </c>
      <c r="U53" s="85">
        <v>1524565</v>
      </c>
      <c r="W53" s="94">
        <v>42759</v>
      </c>
      <c r="X53" s="98">
        <v>54.51</v>
      </c>
      <c r="Y53" s="98">
        <v>56.01</v>
      </c>
      <c r="Z53" s="98">
        <v>54.48</v>
      </c>
      <c r="AA53" s="98">
        <v>55.9</v>
      </c>
      <c r="AB53" s="96">
        <v>3820500</v>
      </c>
      <c r="AC53" s="95">
        <v>55.41</v>
      </c>
      <c r="AD53" s="2">
        <f t="shared" si="0"/>
        <v>1.5300000000000011</v>
      </c>
      <c r="AE53" s="131">
        <f t="shared" si="1"/>
        <v>2.9351662641649678E-2</v>
      </c>
    </row>
    <row r="54" spans="15:31" x14ac:dyDescent="0.25">
      <c r="O54" s="78">
        <v>0.97</v>
      </c>
      <c r="P54" s="78">
        <f t="shared" si="2"/>
        <v>39.837899999999998</v>
      </c>
      <c r="T54" s="82" t="s">
        <v>109</v>
      </c>
      <c r="U54" s="85">
        <v>3121330</v>
      </c>
      <c r="W54" s="94">
        <v>42758</v>
      </c>
      <c r="X54" s="98">
        <v>53.77</v>
      </c>
      <c r="Y54" s="98">
        <v>54.36</v>
      </c>
      <c r="Z54" s="98">
        <v>53.65</v>
      </c>
      <c r="AA54" s="98">
        <v>54.31</v>
      </c>
      <c r="AB54" s="96">
        <v>2406600</v>
      </c>
      <c r="AC54" s="95">
        <v>53.83</v>
      </c>
      <c r="AD54" s="2">
        <f t="shared" si="0"/>
        <v>0.71000000000000085</v>
      </c>
      <c r="AE54" s="131">
        <f t="shared" si="1"/>
        <v>1.1461856444945573E-2</v>
      </c>
    </row>
    <row r="55" spans="15:31" x14ac:dyDescent="0.25">
      <c r="O55" s="78">
        <v>0.96</v>
      </c>
      <c r="P55" s="78">
        <f t="shared" si="2"/>
        <v>39.427199999999999</v>
      </c>
      <c r="T55" s="82" t="s">
        <v>107</v>
      </c>
      <c r="U55" s="83" t="s">
        <v>541</v>
      </c>
      <c r="W55" s="94">
        <v>42755</v>
      </c>
      <c r="X55" s="98">
        <v>53.75</v>
      </c>
      <c r="Y55" s="98">
        <v>53.96</v>
      </c>
      <c r="Z55" s="98">
        <v>53.13</v>
      </c>
      <c r="AA55" s="98">
        <v>53.69</v>
      </c>
      <c r="AB55" s="96">
        <v>3085300</v>
      </c>
      <c r="AC55" s="95">
        <v>53.22</v>
      </c>
      <c r="AD55" s="2">
        <f t="shared" si="0"/>
        <v>0.82999999999999829</v>
      </c>
      <c r="AE55" s="131">
        <f t="shared" si="1"/>
        <v>1.9149751053236352E-2</v>
      </c>
    </row>
    <row r="56" spans="15:31" x14ac:dyDescent="0.25">
      <c r="O56" s="78">
        <v>0.95</v>
      </c>
      <c r="P56" s="78">
        <f t="shared" si="2"/>
        <v>39.016500000000001</v>
      </c>
      <c r="T56" s="82" t="s">
        <v>110</v>
      </c>
      <c r="U56" s="83">
        <v>23.22</v>
      </c>
      <c r="W56" s="94">
        <v>42754</v>
      </c>
      <c r="X56" s="98">
        <v>53.14</v>
      </c>
      <c r="Y56" s="98">
        <v>53.15</v>
      </c>
      <c r="Z56" s="98">
        <v>52.41</v>
      </c>
      <c r="AA56" s="98">
        <v>52.68</v>
      </c>
      <c r="AB56" s="96">
        <v>1934700</v>
      </c>
      <c r="AC56" s="95">
        <v>52.22</v>
      </c>
      <c r="AD56" s="2">
        <f t="shared" si="0"/>
        <v>0.74000000000000199</v>
      </c>
      <c r="AE56" s="131">
        <f t="shared" si="1"/>
        <v>-6.6577896138482195E-3</v>
      </c>
    </row>
    <row r="57" spans="15:31" x14ac:dyDescent="0.25">
      <c r="O57" s="78">
        <v>0.94</v>
      </c>
      <c r="P57" s="78">
        <f t="shared" si="2"/>
        <v>38.605799999999995</v>
      </c>
      <c r="T57" s="82" t="s">
        <v>111</v>
      </c>
      <c r="U57" s="83">
        <v>2.1800000000000002</v>
      </c>
      <c r="W57" s="94">
        <v>42753</v>
      </c>
      <c r="X57" s="98">
        <v>53.15</v>
      </c>
      <c r="Y57" s="98">
        <v>53.2</v>
      </c>
      <c r="Z57" s="98">
        <v>52.66</v>
      </c>
      <c r="AA57" s="98">
        <v>53.03</v>
      </c>
      <c r="AB57" s="96">
        <v>2223600</v>
      </c>
      <c r="AC57" s="95">
        <v>52.57</v>
      </c>
      <c r="AD57" s="2">
        <f t="shared" si="0"/>
        <v>0.54000000000000625</v>
      </c>
      <c r="AE57" s="131">
        <f t="shared" si="1"/>
        <v>7.6146963639822651E-4</v>
      </c>
    </row>
    <row r="58" spans="15:31" x14ac:dyDescent="0.25">
      <c r="O58" s="78">
        <v>0.93</v>
      </c>
      <c r="P58" s="78">
        <f t="shared" si="2"/>
        <v>38.195100000000004</v>
      </c>
      <c r="T58" s="82" t="s">
        <v>108</v>
      </c>
      <c r="U58" s="83" t="s">
        <v>491</v>
      </c>
      <c r="W58" s="94">
        <v>42752</v>
      </c>
      <c r="X58" s="98">
        <v>53.35</v>
      </c>
      <c r="Y58" s="98">
        <v>53.5</v>
      </c>
      <c r="Z58" s="98">
        <v>52.77</v>
      </c>
      <c r="AA58" s="98">
        <v>52.99</v>
      </c>
      <c r="AB58" s="96">
        <v>1799000</v>
      </c>
      <c r="AC58" s="95">
        <v>52.53</v>
      </c>
      <c r="AD58" s="2">
        <f t="shared" si="0"/>
        <v>0.72999999999999687</v>
      </c>
      <c r="AE58" s="131">
        <f t="shared" si="1"/>
        <v>-1.0361718161265965E-2</v>
      </c>
    </row>
    <row r="59" spans="15:31" x14ac:dyDescent="0.25">
      <c r="O59" s="78">
        <v>0.92</v>
      </c>
      <c r="P59" s="78">
        <f t="shared" si="2"/>
        <v>37.784400000000005</v>
      </c>
      <c r="W59" s="94">
        <v>42748</v>
      </c>
      <c r="X59" s="98">
        <v>53.68</v>
      </c>
      <c r="Y59" s="98">
        <v>54.08</v>
      </c>
      <c r="Z59" s="98">
        <v>53.44</v>
      </c>
      <c r="AA59" s="98">
        <v>53.55</v>
      </c>
      <c r="AB59" s="96">
        <v>1694500</v>
      </c>
      <c r="AC59" s="95">
        <v>53.08</v>
      </c>
      <c r="AD59" s="2">
        <f t="shared" si="0"/>
        <v>0.64000000000000057</v>
      </c>
      <c r="AE59" s="131">
        <f t="shared" si="1"/>
        <v>-2.2556390977443996E-3</v>
      </c>
    </row>
    <row r="60" spans="15:31" x14ac:dyDescent="0.25">
      <c r="O60" s="78">
        <v>0.91</v>
      </c>
      <c r="P60" s="78">
        <f t="shared" si="2"/>
        <v>37.373699999999999</v>
      </c>
      <c r="W60" s="94">
        <v>42747</v>
      </c>
      <c r="X60" s="98">
        <v>53.84</v>
      </c>
      <c r="Y60" s="98">
        <v>54.08</v>
      </c>
      <c r="Z60" s="98">
        <v>53.04</v>
      </c>
      <c r="AA60" s="98">
        <v>53.67</v>
      </c>
      <c r="AB60" s="96">
        <v>1915800</v>
      </c>
      <c r="AC60" s="95">
        <v>53.2</v>
      </c>
      <c r="AD60" s="2">
        <f t="shared" si="0"/>
        <v>1.0399999999999991</v>
      </c>
      <c r="AE60" s="131">
        <f t="shared" si="1"/>
        <v>-8.7572200484441476E-3</v>
      </c>
    </row>
    <row r="61" spans="15:31" x14ac:dyDescent="0.25">
      <c r="O61" s="78">
        <v>0.9</v>
      </c>
      <c r="P61" s="78">
        <f t="shared" si="2"/>
        <v>36.963000000000001</v>
      </c>
      <c r="W61" s="94">
        <v>42746</v>
      </c>
      <c r="X61" s="98">
        <v>53.58</v>
      </c>
      <c r="Y61" s="98">
        <v>54.2</v>
      </c>
      <c r="Z61" s="98">
        <v>53.45</v>
      </c>
      <c r="AA61" s="98">
        <v>54.14</v>
      </c>
      <c r="AB61" s="96">
        <v>1966400</v>
      </c>
      <c r="AC61" s="95">
        <v>53.67</v>
      </c>
      <c r="AD61" s="2">
        <f t="shared" si="0"/>
        <v>0.75</v>
      </c>
      <c r="AE61" s="131">
        <f t="shared" si="1"/>
        <v>6.7529544175577438E-3</v>
      </c>
    </row>
    <row r="62" spans="15:31" x14ac:dyDescent="0.25">
      <c r="W62" s="94">
        <v>42745</v>
      </c>
      <c r="X62" s="98">
        <v>53.7</v>
      </c>
      <c r="Y62" s="98">
        <v>54.22</v>
      </c>
      <c r="Z62" s="98">
        <v>53.45</v>
      </c>
      <c r="AA62" s="98">
        <v>53.78</v>
      </c>
      <c r="AB62" s="96">
        <v>2748600</v>
      </c>
      <c r="AC62" s="95">
        <v>53.31</v>
      </c>
      <c r="AD62" s="2">
        <f t="shared" si="0"/>
        <v>0.76999999999999602</v>
      </c>
      <c r="AE62" s="131">
        <f t="shared" si="1"/>
        <v>3.0103480714958053E-3</v>
      </c>
    </row>
    <row r="63" spans="15:31" x14ac:dyDescent="0.25">
      <c r="W63" s="94">
        <v>42744</v>
      </c>
      <c r="X63" s="98">
        <v>53.7</v>
      </c>
      <c r="Y63" s="98">
        <v>54.17</v>
      </c>
      <c r="Z63" s="98">
        <v>53.42</v>
      </c>
      <c r="AA63" s="98">
        <v>53.62</v>
      </c>
      <c r="AB63" s="96">
        <v>2987000</v>
      </c>
      <c r="AC63" s="95">
        <v>53.15</v>
      </c>
      <c r="AD63" s="2">
        <f t="shared" si="0"/>
        <v>0.75</v>
      </c>
      <c r="AE63" s="131">
        <f t="shared" si="1"/>
        <v>-1.877934272300541E-3</v>
      </c>
    </row>
    <row r="64" spans="15:31" x14ac:dyDescent="0.25">
      <c r="W64" s="94">
        <v>42741</v>
      </c>
      <c r="X64" s="98">
        <v>53.56</v>
      </c>
      <c r="Y64" s="98">
        <v>53.93</v>
      </c>
      <c r="Z64" s="98">
        <v>53.26</v>
      </c>
      <c r="AA64" s="98">
        <v>53.72</v>
      </c>
      <c r="AB64" s="96">
        <v>1253500</v>
      </c>
      <c r="AC64" s="95">
        <v>53.25</v>
      </c>
      <c r="AD64" s="2">
        <f t="shared" si="0"/>
        <v>0.67000000000000171</v>
      </c>
      <c r="AE64" s="131">
        <f t="shared" si="1"/>
        <v>2.0700037636431912E-3</v>
      </c>
    </row>
    <row r="65" spans="23:31" x14ac:dyDescent="0.25">
      <c r="W65" s="94">
        <v>42740</v>
      </c>
      <c r="X65" s="98">
        <v>53.9</v>
      </c>
      <c r="Y65" s="98">
        <v>54.26</v>
      </c>
      <c r="Z65" s="98">
        <v>53.33</v>
      </c>
      <c r="AA65" s="98">
        <v>53.61</v>
      </c>
      <c r="AB65" s="96">
        <v>2081100</v>
      </c>
      <c r="AC65" s="95">
        <v>53.14</v>
      </c>
      <c r="AD65" s="2">
        <f t="shared" si="0"/>
        <v>0.92999999999999972</v>
      </c>
      <c r="AE65" s="131">
        <f t="shared" si="1"/>
        <v>-8.2120194102276445E-3</v>
      </c>
    </row>
    <row r="66" spans="23:31" x14ac:dyDescent="0.25">
      <c r="W66" s="94">
        <v>42739</v>
      </c>
      <c r="X66" s="98">
        <v>53.64</v>
      </c>
      <c r="Y66" s="98">
        <v>54.17</v>
      </c>
      <c r="Z66" s="98">
        <v>53.5</v>
      </c>
      <c r="AA66" s="98">
        <v>54.05</v>
      </c>
      <c r="AB66" s="96">
        <v>2331000</v>
      </c>
      <c r="AC66" s="95">
        <v>53.58</v>
      </c>
      <c r="AD66" s="2">
        <f t="shared" si="0"/>
        <v>0.67000000000000171</v>
      </c>
      <c r="AE66" s="131">
        <f t="shared" si="1"/>
        <v>1.2471655328798015E-2</v>
      </c>
    </row>
    <row r="67" spans="23:31" x14ac:dyDescent="0.25">
      <c r="W67" s="94">
        <v>42738</v>
      </c>
      <c r="X67" s="98">
        <v>53.11</v>
      </c>
      <c r="Y67" s="98">
        <v>53.85</v>
      </c>
      <c r="Z67" s="98">
        <v>52.96</v>
      </c>
      <c r="AA67" s="98">
        <v>53.39</v>
      </c>
      <c r="AB67" s="96">
        <v>1927000</v>
      </c>
      <c r="AC67" s="95">
        <v>52.92</v>
      </c>
      <c r="AD67" s="2">
        <f>Y67-Z67</f>
        <v>0.89000000000000057</v>
      </c>
      <c r="AE67" s="131" t="e">
        <f>AC67/#REF!-1</f>
        <v>#REF!</v>
      </c>
    </row>
    <row r="68" spans="23:31" x14ac:dyDescent="0.25">
      <c r="W68" s="94">
        <v>42734</v>
      </c>
      <c r="X68" s="98">
        <v>53.44</v>
      </c>
      <c r="Y68" s="98">
        <v>53.5</v>
      </c>
      <c r="Z68" s="98">
        <v>52.67</v>
      </c>
      <c r="AA68" s="98">
        <v>53.06</v>
      </c>
      <c r="AB68" s="96">
        <v>2018100</v>
      </c>
      <c r="AC68" s="95">
        <v>52.6</v>
      </c>
      <c r="AD68" s="2" t="e">
        <f>#REF!-#REF!</f>
        <v>#REF!</v>
      </c>
      <c r="AE68" s="131" t="e">
        <f>#REF!/#REF!-1</f>
        <v>#REF!</v>
      </c>
    </row>
    <row r="69" spans="23:31" x14ac:dyDescent="0.25">
      <c r="W69" s="94" t="s">
        <v>120</v>
      </c>
      <c r="X69" s="98"/>
      <c r="Y69" s="98"/>
      <c r="Z69" s="98"/>
      <c r="AA69" s="98"/>
      <c r="AB69" s="96"/>
      <c r="AC69" s="95"/>
      <c r="AD69" s="2" t="e">
        <f>#REF!-#REF!</f>
        <v>#REF!</v>
      </c>
      <c r="AE69" s="131" t="e">
        <f>#REF!/AC69-1</f>
        <v>#REF!</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1048576">
    <cfRule type="dataBar" priority="18">
      <dataBar>
        <cfvo type="min"/>
        <cfvo type="max"/>
        <color rgb="FFFF555A"/>
      </dataBar>
      <extLst>
        <ext xmlns:x14="http://schemas.microsoft.com/office/spreadsheetml/2009/9/main" uri="{B025F937-C7B1-47D3-B67F-A62EFF666E3E}">
          <x14:id>{939C2F54-F30B-44DC-824B-A9EA8EC1AF5C}</x14:id>
        </ext>
      </extLst>
    </cfRule>
  </conditionalFormatting>
  <conditionalFormatting sqref="F27:F29">
    <cfRule type="expression" dxfId="1309" priority="11">
      <formula>F27&gt;0</formula>
    </cfRule>
    <cfRule type="expression" dxfId="1308" priority="12">
      <formula>F27&lt;0</formula>
    </cfRule>
  </conditionalFormatting>
  <conditionalFormatting sqref="H27:H29">
    <cfRule type="expression" dxfId="1307" priority="9">
      <formula>H27&gt;0</formula>
    </cfRule>
    <cfRule type="expression" dxfId="1306" priority="10">
      <formula>H27&lt;0</formula>
    </cfRule>
  </conditionalFormatting>
  <conditionalFormatting sqref="F23:F26">
    <cfRule type="expression" dxfId="1305" priority="7">
      <formula>F23&gt;0</formula>
    </cfRule>
    <cfRule type="expression" dxfId="1304" priority="8">
      <formula>F23&lt;0</formula>
    </cfRule>
  </conditionalFormatting>
  <conditionalFormatting sqref="H23:H26">
    <cfRule type="expression" dxfId="1303" priority="5">
      <formula>H23&gt;0</formula>
    </cfRule>
    <cfRule type="expression" dxfId="1302" priority="6">
      <formula>H23&lt;0</formula>
    </cfRule>
  </conditionalFormatting>
  <conditionalFormatting sqref="Q8">
    <cfRule type="expression" dxfId="1301" priority="1">
      <formula>Q8&gt;0</formula>
    </cfRule>
    <cfRule type="expression" dxfId="1300" priority="2">
      <formula>Q8&lt;0</formula>
    </cfRule>
  </conditionalFormatting>
  <conditionalFormatting sqref="Q7">
    <cfRule type="expression" dxfId="1299" priority="3">
      <formula>Q7&gt;0</formula>
    </cfRule>
    <cfRule type="expression" dxfId="1298" priority="4">
      <formula>Q7&lt;0</formula>
    </cfRule>
  </conditionalFormatting>
  <hyperlinks>
    <hyperlink ref="A3" location="ACTIVE!A1" display="Back"/>
    <hyperlink ref="A3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939C2F54-F30B-44DC-824B-A9EA8EC1AF5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17" id="{273007E3-122E-448A-9816-66885A25D06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67"/>
    <col min="18" max="18" width="17.7109375" style="33" customWidth="1"/>
    <col min="19" max="19" width="13.7109375" style="81" customWidth="1"/>
    <col min="20" max="20" width="18.5703125" customWidth="1"/>
    <col min="21" max="21" width="36.28515625" customWidth="1"/>
    <col min="22" max="22" width="16" customWidth="1"/>
    <col min="23" max="23" width="13.140625" customWidth="1"/>
    <col min="24" max="24" width="7.28515625" style="2" customWidth="1"/>
    <col min="25" max="25" width="7.7109375" style="2" customWidth="1"/>
    <col min="26" max="27" width="6"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1" t="s">
        <v>6</v>
      </c>
      <c r="I1" s="11" t="s">
        <v>7</v>
      </c>
      <c r="J1" s="11" t="s">
        <v>89</v>
      </c>
      <c r="K1" s="11" t="s">
        <v>61</v>
      </c>
      <c r="L1" s="11" t="s">
        <v>77</v>
      </c>
      <c r="M1" s="11" t="s">
        <v>38</v>
      </c>
      <c r="R1" s="32"/>
      <c r="S1" s="79" t="s">
        <v>70</v>
      </c>
      <c r="W1" s="88" t="s">
        <v>113</v>
      </c>
      <c r="X1" s="97" t="s">
        <v>114</v>
      </c>
      <c r="Y1" s="97" t="s">
        <v>115</v>
      </c>
      <c r="Z1" s="97" t="s">
        <v>116</v>
      </c>
      <c r="AA1" s="97" t="s">
        <v>117</v>
      </c>
      <c r="AB1" s="88" t="s">
        <v>118</v>
      </c>
      <c r="AC1" s="88" t="s">
        <v>119</v>
      </c>
      <c r="AD1" s="11" t="s">
        <v>125</v>
      </c>
      <c r="AE1" s="11" t="s">
        <v>127</v>
      </c>
    </row>
    <row r="2" spans="1:31" x14ac:dyDescent="0.25">
      <c r="A2" s="6" t="s">
        <v>27</v>
      </c>
      <c r="B2" s="69"/>
      <c r="C2" s="4"/>
      <c r="D2" s="3"/>
      <c r="E2" s="3"/>
      <c r="F2" s="3"/>
      <c r="G2" s="114"/>
      <c r="H2" s="303"/>
      <c r="I2" s="70"/>
      <c r="J2" s="70"/>
      <c r="K2" s="17"/>
      <c r="L2" s="69"/>
      <c r="M2" s="70"/>
      <c r="O2" s="11" t="s">
        <v>57</v>
      </c>
      <c r="Q2">
        <f>C18-H18</f>
        <v>0</v>
      </c>
      <c r="S2" s="109"/>
      <c r="T2" s="17"/>
      <c r="U2" s="17"/>
      <c r="V2" s="17"/>
      <c r="W2" s="94">
        <v>42830</v>
      </c>
      <c r="X2" s="98">
        <v>36.43</v>
      </c>
      <c r="Y2" s="98">
        <v>36.76</v>
      </c>
      <c r="Z2" s="98">
        <v>36.17</v>
      </c>
      <c r="AA2" s="98">
        <v>36.22</v>
      </c>
      <c r="AB2" s="96">
        <v>22017600</v>
      </c>
      <c r="AC2" s="95">
        <v>36.22</v>
      </c>
      <c r="AD2" s="2">
        <f>Y2-Z2</f>
        <v>0.58999999999999631</v>
      </c>
      <c r="AE2" s="131">
        <f>AC2/AC3-1</f>
        <v>-1.6538037486218959E-3</v>
      </c>
    </row>
    <row r="3" spans="1:31" x14ac:dyDescent="0.25">
      <c r="A3" s="22" t="s">
        <v>71</v>
      </c>
      <c r="B3" s="69"/>
      <c r="C3" s="4"/>
      <c r="D3" s="3"/>
      <c r="E3" s="3"/>
      <c r="F3" s="3"/>
      <c r="G3" s="69"/>
      <c r="H3" s="158"/>
      <c r="I3" s="4"/>
      <c r="J3" s="4"/>
      <c r="K3" s="17"/>
      <c r="L3" s="69"/>
      <c r="M3" s="3"/>
      <c r="O3" s="11" t="s">
        <v>58</v>
      </c>
      <c r="Q3" s="2">
        <f>IF(Q2=0, Q4, (F18-K18-M18)/Q2)</f>
        <v>50.9</v>
      </c>
      <c r="S3" s="110"/>
      <c r="T3" s="17"/>
      <c r="U3" s="17"/>
      <c r="V3" s="17"/>
      <c r="W3" s="94">
        <v>42829</v>
      </c>
      <c r="X3" s="98">
        <v>36.119999999999997</v>
      </c>
      <c r="Y3" s="98">
        <v>36.380000000000003</v>
      </c>
      <c r="Z3" s="98">
        <v>35.99</v>
      </c>
      <c r="AA3" s="98">
        <v>36.28</v>
      </c>
      <c r="AB3" s="96">
        <v>18835500</v>
      </c>
      <c r="AC3" s="95">
        <v>36.28</v>
      </c>
      <c r="AD3" s="2">
        <f t="shared" ref="AD3:AD66" si="0">Y3-Z3</f>
        <v>0.39000000000000057</v>
      </c>
      <c r="AE3" s="131">
        <f t="shared" ref="AE3:AE66" si="1">AC3/AC4-1</f>
        <v>3.3185840707965486E-3</v>
      </c>
    </row>
    <row r="4" spans="1:31" x14ac:dyDescent="0.25">
      <c r="B4" s="69"/>
      <c r="C4" s="4"/>
      <c r="D4" s="3"/>
      <c r="E4" s="3"/>
      <c r="F4" s="3"/>
      <c r="G4" s="69"/>
      <c r="H4" s="158"/>
      <c r="I4" s="4"/>
      <c r="J4" s="3"/>
      <c r="K4" s="70"/>
      <c r="L4" s="4"/>
      <c r="M4" s="4"/>
      <c r="O4" s="11" t="s">
        <v>66</v>
      </c>
      <c r="Q4" s="53">
        <v>50.9</v>
      </c>
      <c r="R4" s="411">
        <v>3.8999999999999998E-3</v>
      </c>
      <c r="W4" s="94">
        <v>42828</v>
      </c>
      <c r="X4" s="98">
        <v>36.19</v>
      </c>
      <c r="Y4" s="98">
        <v>36.74</v>
      </c>
      <c r="Z4" s="98">
        <v>36.119999999999997</v>
      </c>
      <c r="AA4" s="98">
        <v>36.159999999999997</v>
      </c>
      <c r="AB4" s="96">
        <v>32003500</v>
      </c>
      <c r="AC4" s="95">
        <v>36.159999999999997</v>
      </c>
      <c r="AD4" s="2">
        <f t="shared" si="0"/>
        <v>0.62000000000000455</v>
      </c>
      <c r="AE4" s="131">
        <f t="shared" si="1"/>
        <v>2.4951483227058091E-3</v>
      </c>
    </row>
    <row r="5" spans="1:31" x14ac:dyDescent="0.25">
      <c r="B5" s="69"/>
      <c r="C5" s="4"/>
      <c r="D5" s="3"/>
      <c r="E5" s="3"/>
      <c r="F5" s="3"/>
      <c r="G5" s="69"/>
      <c r="H5" s="158"/>
      <c r="I5" s="4"/>
      <c r="J5" s="3"/>
      <c r="K5" s="70"/>
      <c r="L5" s="4"/>
      <c r="M5" s="4"/>
      <c r="O5" s="11" t="s">
        <v>67</v>
      </c>
      <c r="Q5" s="3">
        <f>Q4*Q2</f>
        <v>0</v>
      </c>
      <c r="S5" s="80"/>
      <c r="W5" s="94">
        <v>42825</v>
      </c>
      <c r="X5" s="98">
        <v>35.75</v>
      </c>
      <c r="Y5" s="98">
        <v>36.25</v>
      </c>
      <c r="Z5" s="98">
        <v>35.74</v>
      </c>
      <c r="AA5" s="98">
        <v>36.07</v>
      </c>
      <c r="AB5" s="96">
        <v>21405500</v>
      </c>
      <c r="AC5" s="95">
        <v>36.07</v>
      </c>
      <c r="AD5" s="2">
        <f t="shared" si="0"/>
        <v>0.50999999999999801</v>
      </c>
      <c r="AE5" s="131">
        <f t="shared" si="1"/>
        <v>8.9510489510489233E-3</v>
      </c>
    </row>
    <row r="6" spans="1:31" x14ac:dyDescent="0.25">
      <c r="B6" s="69"/>
      <c r="C6" s="4"/>
      <c r="D6" s="3"/>
      <c r="E6" s="3"/>
      <c r="F6" s="3"/>
      <c r="G6" s="69"/>
      <c r="H6" s="158"/>
      <c r="I6" s="4"/>
      <c r="J6" s="4"/>
      <c r="K6" s="70"/>
      <c r="L6" s="4"/>
      <c r="M6" s="4"/>
      <c r="O6" s="11" t="s">
        <v>64</v>
      </c>
      <c r="Q6" s="2">
        <f>Q3*Q2</f>
        <v>0</v>
      </c>
      <c r="S6" s="80"/>
      <c r="W6" s="94">
        <v>42824</v>
      </c>
      <c r="X6" s="98">
        <v>35.58</v>
      </c>
      <c r="Y6" s="98">
        <v>35.89</v>
      </c>
      <c r="Z6" s="98">
        <v>35.520000000000003</v>
      </c>
      <c r="AA6" s="98">
        <v>35.75</v>
      </c>
      <c r="AB6" s="96">
        <v>16313200</v>
      </c>
      <c r="AC6" s="95">
        <v>35.75</v>
      </c>
      <c r="AD6" s="2">
        <f t="shared" si="0"/>
        <v>0.36999999999999744</v>
      </c>
      <c r="AE6" s="131">
        <f t="shared" si="1"/>
        <v>5.0604441945458767E-3</v>
      </c>
    </row>
    <row r="7" spans="1:31" x14ac:dyDescent="0.25">
      <c r="B7" s="69"/>
      <c r="C7" s="4"/>
      <c r="D7" s="3"/>
      <c r="E7" s="3"/>
      <c r="F7" s="3"/>
      <c r="G7" s="69"/>
      <c r="H7" s="158"/>
      <c r="I7" s="4"/>
      <c r="J7" s="4"/>
      <c r="K7" s="70"/>
      <c r="L7" s="4"/>
      <c r="M7" s="4"/>
      <c r="O7" s="11" t="s">
        <v>175</v>
      </c>
      <c r="Q7" s="2">
        <f>Q10+Q8</f>
        <v>1407.5400000000009</v>
      </c>
      <c r="R7">
        <v>0</v>
      </c>
      <c r="W7" s="94">
        <v>42823</v>
      </c>
      <c r="X7" s="98">
        <v>35.520000000000003</v>
      </c>
      <c r="Y7" s="98">
        <v>35.700000000000003</v>
      </c>
      <c r="Z7" s="98">
        <v>35.44</v>
      </c>
      <c r="AA7" s="98">
        <v>35.57</v>
      </c>
      <c r="AB7" s="96">
        <v>17109000</v>
      </c>
      <c r="AC7" s="95">
        <v>35.57</v>
      </c>
      <c r="AD7" s="2">
        <f t="shared" si="0"/>
        <v>0.26000000000000512</v>
      </c>
      <c r="AE7" s="131">
        <f t="shared" si="1"/>
        <v>-8.4269662921354627E-4</v>
      </c>
    </row>
    <row r="8" spans="1:31" x14ac:dyDescent="0.25">
      <c r="B8" s="69"/>
      <c r="C8" s="4"/>
      <c r="D8" s="3"/>
      <c r="E8" s="3"/>
      <c r="F8" s="3"/>
      <c r="G8" s="69"/>
      <c r="H8" s="158"/>
      <c r="I8" s="4"/>
      <c r="J8" s="4"/>
      <c r="K8" s="70"/>
      <c r="L8" s="4"/>
      <c r="M8" s="4"/>
      <c r="O8" s="11" t="s">
        <v>177</v>
      </c>
      <c r="P8" s="33"/>
      <c r="Q8" s="2">
        <f>K18+M18-F18+Q2*Q4</f>
        <v>0</v>
      </c>
      <c r="S8" s="115"/>
      <c r="W8" s="94">
        <v>42822</v>
      </c>
      <c r="X8" s="98">
        <v>35.340000000000003</v>
      </c>
      <c r="Y8" s="98">
        <v>35.71</v>
      </c>
      <c r="Z8" s="98">
        <v>35.21</v>
      </c>
      <c r="AA8" s="98">
        <v>35.6</v>
      </c>
      <c r="AB8" s="96">
        <v>18394800</v>
      </c>
      <c r="AC8" s="95">
        <v>35.6</v>
      </c>
      <c r="AD8" s="2">
        <f t="shared" si="0"/>
        <v>0.5</v>
      </c>
      <c r="AE8" s="131">
        <f t="shared" si="1"/>
        <v>5.9338796270131944E-3</v>
      </c>
    </row>
    <row r="9" spans="1:31" x14ac:dyDescent="0.25">
      <c r="B9" s="69"/>
      <c r="C9" s="4"/>
      <c r="D9" s="3"/>
      <c r="E9" s="3"/>
      <c r="F9" s="3"/>
      <c r="G9" s="69"/>
      <c r="H9" s="158"/>
      <c r="I9" s="4"/>
      <c r="J9" s="4"/>
      <c r="K9" s="70"/>
      <c r="L9" s="4"/>
      <c r="M9" s="4"/>
      <c r="O9" s="11" t="s">
        <v>202</v>
      </c>
      <c r="Q9" s="131">
        <f>IF(Q2=0, 0, Q8/Q6)</f>
        <v>0</v>
      </c>
      <c r="W9" s="94">
        <v>42821</v>
      </c>
      <c r="X9" s="98">
        <v>35.07</v>
      </c>
      <c r="Y9" s="98">
        <v>35.5</v>
      </c>
      <c r="Z9" s="98">
        <v>34.94</v>
      </c>
      <c r="AA9" s="98">
        <v>35.39</v>
      </c>
      <c r="AB9" s="96">
        <v>16986300</v>
      </c>
      <c r="AC9" s="95">
        <v>35.39</v>
      </c>
      <c r="AD9" s="2">
        <f t="shared" si="0"/>
        <v>0.56000000000000227</v>
      </c>
      <c r="AE9" s="131">
        <f t="shared" si="1"/>
        <v>6.5415244596132016E-3</v>
      </c>
    </row>
    <row r="10" spans="1:31" x14ac:dyDescent="0.25">
      <c r="B10" s="69"/>
      <c r="C10" s="4"/>
      <c r="D10" s="3"/>
      <c r="E10" s="3"/>
      <c r="F10" s="3"/>
      <c r="G10" s="69"/>
      <c r="H10" s="158"/>
      <c r="I10" s="4"/>
      <c r="J10" s="4"/>
      <c r="K10" s="70"/>
      <c r="L10" s="4"/>
      <c r="M10" s="4"/>
      <c r="O10" s="11" t="s">
        <v>201</v>
      </c>
      <c r="P10" s="33"/>
      <c r="Q10" s="2">
        <f>M33</f>
        <v>1407.5400000000009</v>
      </c>
      <c r="W10" s="94">
        <v>42818</v>
      </c>
      <c r="X10" s="98">
        <v>35.65</v>
      </c>
      <c r="Y10" s="98">
        <v>35.729999999999997</v>
      </c>
      <c r="Z10" s="98">
        <v>35.119999999999997</v>
      </c>
      <c r="AA10" s="98">
        <v>35.159999999999997</v>
      </c>
      <c r="AB10" s="96">
        <v>22030600</v>
      </c>
      <c r="AC10" s="95">
        <v>35.159999999999997</v>
      </c>
      <c r="AD10" s="2">
        <f t="shared" si="0"/>
        <v>0.60999999999999943</v>
      </c>
      <c r="AE10" s="131">
        <f t="shared" si="1"/>
        <v>-3.1187978451944209E-3</v>
      </c>
    </row>
    <row r="11" spans="1:31" x14ac:dyDescent="0.25">
      <c r="B11" s="69"/>
      <c r="C11" s="4"/>
      <c r="D11" s="3"/>
      <c r="E11" s="3"/>
      <c r="F11" s="3"/>
      <c r="G11" s="4"/>
      <c r="H11" s="158"/>
      <c r="I11" s="4"/>
      <c r="J11" s="4"/>
      <c r="K11" s="4"/>
      <c r="L11" s="4"/>
      <c r="M11" s="4"/>
      <c r="O11" s="11" t="s">
        <v>173</v>
      </c>
      <c r="P11" s="33"/>
      <c r="Q11" s="131">
        <f>VALUE(TRIM(CLEAN(MID(U58, FIND("(", U58)+1, 5))))</f>
        <v>3.0200000000000001E-2</v>
      </c>
      <c r="W11" s="94">
        <v>42817</v>
      </c>
      <c r="X11" s="98">
        <v>35.49</v>
      </c>
      <c r="Y11" s="98">
        <v>35.49</v>
      </c>
      <c r="Z11" s="98">
        <v>35.020000000000003</v>
      </c>
      <c r="AA11" s="98">
        <v>35.270000000000003</v>
      </c>
      <c r="AB11" s="96">
        <v>20529600</v>
      </c>
      <c r="AC11" s="95">
        <v>35.270000000000003</v>
      </c>
      <c r="AD11" s="2">
        <f t="shared" si="0"/>
        <v>0.46999999999999886</v>
      </c>
      <c r="AE11" s="131">
        <f t="shared" si="1"/>
        <v>-2.8272547356514854E-3</v>
      </c>
    </row>
    <row r="12" spans="1:31" x14ac:dyDescent="0.25">
      <c r="B12" s="69"/>
      <c r="C12" s="4"/>
      <c r="D12" s="3"/>
      <c r="E12" s="3"/>
      <c r="F12" s="3"/>
      <c r="G12" s="4"/>
      <c r="H12" s="158"/>
      <c r="I12" s="4"/>
      <c r="J12" s="4"/>
      <c r="K12" s="4"/>
      <c r="L12" s="4"/>
      <c r="M12" s="4"/>
      <c r="W12" s="94">
        <v>42816</v>
      </c>
      <c r="X12" s="98">
        <v>35.22</v>
      </c>
      <c r="Y12" s="98">
        <v>35.46</v>
      </c>
      <c r="Z12" s="98">
        <v>35</v>
      </c>
      <c r="AA12" s="98">
        <v>35.369999999999997</v>
      </c>
      <c r="AB12" s="96">
        <v>18704600</v>
      </c>
      <c r="AC12" s="95">
        <v>35.369999999999997</v>
      </c>
      <c r="AD12" s="2">
        <f t="shared" si="0"/>
        <v>0.46000000000000085</v>
      </c>
      <c r="AE12" s="131">
        <f t="shared" si="1"/>
        <v>9.4178082191780366E-3</v>
      </c>
    </row>
    <row r="13" spans="1:31" x14ac:dyDescent="0.25">
      <c r="B13" s="69"/>
      <c r="C13" s="4"/>
      <c r="D13" s="3"/>
      <c r="E13" s="3"/>
      <c r="F13" s="3"/>
      <c r="G13" s="4"/>
      <c r="H13" s="158"/>
      <c r="I13" s="4"/>
      <c r="J13" s="4"/>
      <c r="K13" s="4"/>
      <c r="L13" s="4"/>
      <c r="M13" s="4"/>
      <c r="W13" s="94">
        <v>42815</v>
      </c>
      <c r="X13" s="98">
        <v>35.590000000000003</v>
      </c>
      <c r="Y13" s="98">
        <v>35.6</v>
      </c>
      <c r="Z13" s="98">
        <v>35</v>
      </c>
      <c r="AA13" s="98">
        <v>35.04</v>
      </c>
      <c r="AB13" s="96">
        <v>22513700</v>
      </c>
      <c r="AC13" s="95">
        <v>35.04</v>
      </c>
      <c r="AD13" s="2">
        <f t="shared" si="0"/>
        <v>0.60000000000000142</v>
      </c>
      <c r="AE13" s="131">
        <f t="shared" si="1"/>
        <v>-1.100762066045724E-2</v>
      </c>
    </row>
    <row r="14" spans="1:31" x14ac:dyDescent="0.25">
      <c r="B14" s="69"/>
      <c r="C14" s="4"/>
      <c r="D14" s="4"/>
      <c r="E14" s="3"/>
      <c r="F14" s="3"/>
      <c r="G14" s="4"/>
      <c r="H14" s="158"/>
      <c r="I14" s="4"/>
      <c r="J14" s="4"/>
      <c r="K14" s="4"/>
      <c r="L14" s="4"/>
      <c r="M14" s="4"/>
      <c r="W14" s="94">
        <v>42814</v>
      </c>
      <c r="X14" s="98">
        <v>35.369999999999997</v>
      </c>
      <c r="Y14" s="98">
        <v>35.630000000000003</v>
      </c>
      <c r="Z14" s="98">
        <v>35.26</v>
      </c>
      <c r="AA14" s="98">
        <v>35.43</v>
      </c>
      <c r="AB14" s="96">
        <v>16686200</v>
      </c>
      <c r="AC14" s="95">
        <v>35.43</v>
      </c>
      <c r="AD14" s="2">
        <f t="shared" si="0"/>
        <v>0.37000000000000455</v>
      </c>
      <c r="AE14" s="131">
        <f t="shared" si="1"/>
        <v>4.53643322937336E-3</v>
      </c>
    </row>
    <row r="15" spans="1:31" x14ac:dyDescent="0.25">
      <c r="B15" s="69"/>
      <c r="C15" s="4"/>
      <c r="D15" s="3"/>
      <c r="E15" s="3"/>
      <c r="F15" s="3"/>
      <c r="G15" s="4"/>
      <c r="H15" s="158"/>
      <c r="I15" s="4"/>
      <c r="J15" s="4"/>
      <c r="K15" s="4"/>
      <c r="L15" s="4"/>
      <c r="M15" s="4"/>
      <c r="W15" s="94">
        <v>42811</v>
      </c>
      <c r="X15" s="98">
        <v>35.31</v>
      </c>
      <c r="Y15" s="98">
        <v>35.33</v>
      </c>
      <c r="Z15" s="98">
        <v>35.1</v>
      </c>
      <c r="AA15" s="98">
        <v>35.270000000000003</v>
      </c>
      <c r="AB15" s="96">
        <v>30446300</v>
      </c>
      <c r="AC15" s="95">
        <v>35.270000000000003</v>
      </c>
      <c r="AD15" s="2">
        <f t="shared" si="0"/>
        <v>0.22999999999999687</v>
      </c>
      <c r="AE15" s="131">
        <f t="shared" si="1"/>
        <v>3.6994877632328116E-3</v>
      </c>
    </row>
    <row r="16" spans="1:31" x14ac:dyDescent="0.25">
      <c r="B16" s="4"/>
      <c r="C16" s="4"/>
      <c r="D16" s="4"/>
      <c r="E16" s="4"/>
      <c r="F16" s="4"/>
      <c r="G16" s="4"/>
      <c r="H16" s="158"/>
      <c r="I16" s="4"/>
      <c r="J16" s="4"/>
      <c r="K16" s="4"/>
      <c r="L16" s="4"/>
      <c r="M16" s="4"/>
      <c r="W16" s="94">
        <v>42810</v>
      </c>
      <c r="X16" s="98">
        <v>35.17</v>
      </c>
      <c r="Y16" s="98">
        <v>35.36</v>
      </c>
      <c r="Z16" s="98">
        <v>35.07</v>
      </c>
      <c r="AA16" s="98">
        <v>35.14</v>
      </c>
      <c r="AB16" s="96">
        <v>19377700</v>
      </c>
      <c r="AC16" s="95">
        <v>35.14</v>
      </c>
      <c r="AD16" s="2">
        <f t="shared" si="0"/>
        <v>0.28999999999999915</v>
      </c>
      <c r="AE16" s="131">
        <f t="shared" si="1"/>
        <v>1.1396011396012096E-3</v>
      </c>
    </row>
    <row r="17" spans="1:31" x14ac:dyDescent="0.25">
      <c r="W17" s="94">
        <v>42809</v>
      </c>
      <c r="X17" s="98">
        <v>34.94</v>
      </c>
      <c r="Y17" s="98">
        <v>35.17</v>
      </c>
      <c r="Z17" s="98">
        <v>34.68</v>
      </c>
      <c r="AA17" s="98">
        <v>35.1</v>
      </c>
      <c r="AB17" s="96">
        <v>27964300</v>
      </c>
      <c r="AC17" s="95">
        <v>35.1</v>
      </c>
      <c r="AD17" s="2">
        <f t="shared" si="0"/>
        <v>0.49000000000000199</v>
      </c>
      <c r="AE17" s="131">
        <f t="shared" si="1"/>
        <v>-2.2740193291642674E-3</v>
      </c>
    </row>
    <row r="18" spans="1:31" x14ac:dyDescent="0.25">
      <c r="A18" s="21" t="s">
        <v>81</v>
      </c>
      <c r="B18" s="12"/>
      <c r="C18" s="12">
        <f>SUM(C2:C17)</f>
        <v>0</v>
      </c>
      <c r="D18" s="12"/>
      <c r="E18" s="12"/>
      <c r="F18" s="13">
        <f>SUM(F2:F17)</f>
        <v>0</v>
      </c>
      <c r="G18" s="13"/>
      <c r="H18" s="72">
        <f>SUM(H2:H17)</f>
        <v>0</v>
      </c>
      <c r="I18" s="13"/>
      <c r="J18" s="13"/>
      <c r="K18" s="13">
        <f>SUM(K2:K17)</f>
        <v>0</v>
      </c>
      <c r="L18" s="13"/>
      <c r="M18" s="13">
        <f>SUM(M2:M15)</f>
        <v>0</v>
      </c>
      <c r="W18" s="94">
        <v>42808</v>
      </c>
      <c r="X18" s="98">
        <v>35.06</v>
      </c>
      <c r="Y18" s="98">
        <v>35.229999999999997</v>
      </c>
      <c r="Z18" s="98">
        <v>34.659999999999997</v>
      </c>
      <c r="AA18" s="98">
        <v>35.18</v>
      </c>
      <c r="AB18" s="96">
        <v>28538100</v>
      </c>
      <c r="AC18" s="95">
        <v>35.18</v>
      </c>
      <c r="AD18" s="2">
        <f t="shared" si="0"/>
        <v>0.57000000000000028</v>
      </c>
      <c r="AE18" s="131">
        <f t="shared" si="1"/>
        <v>5.6882821387960192E-4</v>
      </c>
    </row>
    <row r="19" spans="1:31" x14ac:dyDescent="0.25">
      <c r="W19" s="94">
        <v>42807</v>
      </c>
      <c r="X19" s="98">
        <v>35.85</v>
      </c>
      <c r="Y19" s="98">
        <v>36.04</v>
      </c>
      <c r="Z19" s="98">
        <v>34.94</v>
      </c>
      <c r="AA19" s="98">
        <v>35.159999999999997</v>
      </c>
      <c r="AB19" s="96">
        <v>52088500</v>
      </c>
      <c r="AC19" s="95">
        <v>35.159999999999997</v>
      </c>
      <c r="AD19" s="2">
        <f t="shared" si="0"/>
        <v>1.1000000000000014</v>
      </c>
      <c r="AE19" s="131">
        <f t="shared" si="1"/>
        <v>-2.0885547201336729E-2</v>
      </c>
    </row>
    <row r="20" spans="1:31" x14ac:dyDescent="0.25">
      <c r="B20" s="159" t="s">
        <v>113</v>
      </c>
      <c r="C20" s="159" t="s">
        <v>143</v>
      </c>
      <c r="D20" s="160" t="s">
        <v>142</v>
      </c>
      <c r="E20" s="162" t="s">
        <v>144</v>
      </c>
      <c r="F20" s="163" t="s">
        <v>65</v>
      </c>
      <c r="G20" s="173" t="s">
        <v>148</v>
      </c>
      <c r="W20" s="94">
        <v>42804</v>
      </c>
      <c r="X20" s="98">
        <v>36.119999999999997</v>
      </c>
      <c r="Y20" s="98">
        <v>36.299999999999997</v>
      </c>
      <c r="Z20" s="98">
        <v>35.78</v>
      </c>
      <c r="AA20" s="98">
        <v>35.909999999999997</v>
      </c>
      <c r="AB20" s="96">
        <v>24626400</v>
      </c>
      <c r="AC20" s="95">
        <v>35.909999999999997</v>
      </c>
      <c r="AD20" s="2">
        <f t="shared" si="0"/>
        <v>0.51999999999999602</v>
      </c>
      <c r="AE20" s="131">
        <f t="shared" si="1"/>
        <v>2.5125628140703071E-3</v>
      </c>
    </row>
    <row r="21" spans="1:31" x14ac:dyDescent="0.25">
      <c r="B21" s="161"/>
      <c r="C21" s="10"/>
      <c r="D21" s="39"/>
      <c r="E21" s="39"/>
      <c r="F21" s="39"/>
      <c r="G21" s="39"/>
      <c r="W21" s="94">
        <v>42803</v>
      </c>
      <c r="X21" s="98">
        <v>35.6</v>
      </c>
      <c r="Y21" s="98">
        <v>35.94</v>
      </c>
      <c r="Z21" s="98">
        <v>35.5</v>
      </c>
      <c r="AA21" s="98">
        <v>35.82</v>
      </c>
      <c r="AB21" s="96">
        <v>23543100</v>
      </c>
      <c r="AC21" s="95">
        <v>35.82</v>
      </c>
      <c r="AD21" s="2">
        <f t="shared" si="0"/>
        <v>0.43999999999999773</v>
      </c>
      <c r="AE21" s="131">
        <f t="shared" si="1"/>
        <v>5.6148231330714893E-3</v>
      </c>
    </row>
    <row r="22" spans="1:31" x14ac:dyDescent="0.25">
      <c r="B22" s="161"/>
      <c r="C22" s="10"/>
      <c r="D22" s="39"/>
      <c r="E22" s="39"/>
      <c r="F22" s="39"/>
      <c r="G22" s="39"/>
      <c r="W22" s="94">
        <v>42802</v>
      </c>
      <c r="X22" s="98">
        <v>35.67</v>
      </c>
      <c r="Y22" s="98">
        <v>35.9</v>
      </c>
      <c r="Z22" s="98">
        <v>35.53</v>
      </c>
      <c r="AA22" s="98">
        <v>35.619999999999997</v>
      </c>
      <c r="AB22" s="96">
        <v>20899400</v>
      </c>
      <c r="AC22" s="95">
        <v>35.619999999999997</v>
      </c>
      <c r="AD22" s="2">
        <f t="shared" si="0"/>
        <v>0.36999999999999744</v>
      </c>
      <c r="AE22" s="131">
        <f t="shared" si="1"/>
        <v>-5.0279329608938772E-3</v>
      </c>
    </row>
    <row r="23" spans="1:31" x14ac:dyDescent="0.25">
      <c r="B23" s="10"/>
      <c r="C23" s="10"/>
      <c r="D23" s="39"/>
      <c r="E23" s="39"/>
      <c r="F23" s="39"/>
      <c r="G23" s="39"/>
      <c r="W23" s="94">
        <v>42801</v>
      </c>
      <c r="X23" s="98">
        <v>35.54</v>
      </c>
      <c r="Y23" s="98">
        <v>35.799999999999997</v>
      </c>
      <c r="Z23" s="98">
        <v>35.39</v>
      </c>
      <c r="AA23" s="98">
        <v>35.799999999999997</v>
      </c>
      <c r="AB23" s="96">
        <v>23337700</v>
      </c>
      <c r="AC23" s="95">
        <v>35.799999999999997</v>
      </c>
      <c r="AD23" s="2">
        <f t="shared" si="0"/>
        <v>0.40999999999999659</v>
      </c>
      <c r="AE23" s="131">
        <f t="shared" si="1"/>
        <v>6.4661231374754102E-3</v>
      </c>
    </row>
    <row r="24" spans="1:31" x14ac:dyDescent="0.25">
      <c r="B24" s="10"/>
      <c r="C24" s="10"/>
      <c r="D24" s="39"/>
      <c r="E24" s="39"/>
      <c r="F24" s="39"/>
      <c r="G24" s="39"/>
      <c r="W24" s="94">
        <v>42800</v>
      </c>
      <c r="X24" s="98">
        <v>35.79</v>
      </c>
      <c r="Y24" s="98">
        <v>35.799999999999997</v>
      </c>
      <c r="Z24" s="98">
        <v>35.42</v>
      </c>
      <c r="AA24" s="98">
        <v>35.57</v>
      </c>
      <c r="AB24" s="96">
        <v>24280300</v>
      </c>
      <c r="AC24" s="95">
        <v>35.57</v>
      </c>
      <c r="AD24" s="2">
        <f t="shared" si="0"/>
        <v>0.37999999999999545</v>
      </c>
      <c r="AE24" s="131">
        <f t="shared" si="1"/>
        <v>-9.1922005571030141E-3</v>
      </c>
    </row>
    <row r="25" spans="1:31" x14ac:dyDescent="0.25">
      <c r="B25" s="10"/>
      <c r="C25" s="10"/>
      <c r="D25" s="39"/>
      <c r="E25" s="39"/>
      <c r="F25" s="39"/>
      <c r="G25" s="39"/>
      <c r="W25" s="94">
        <v>42797</v>
      </c>
      <c r="X25" s="98">
        <v>35.94</v>
      </c>
      <c r="Y25" s="98">
        <v>36.090000000000003</v>
      </c>
      <c r="Z25" s="98">
        <v>35.67</v>
      </c>
      <c r="AA25" s="98">
        <v>35.9</v>
      </c>
      <c r="AB25" s="96">
        <v>17538100</v>
      </c>
      <c r="AC25" s="95">
        <v>35.9</v>
      </c>
      <c r="AD25" s="2">
        <f t="shared" si="0"/>
        <v>0.42000000000000171</v>
      </c>
      <c r="AE25" s="131">
        <f t="shared" si="1"/>
        <v>-2.7847396268443347E-4</v>
      </c>
    </row>
    <row r="26" spans="1:31" x14ac:dyDescent="0.25">
      <c r="B26" s="10"/>
      <c r="C26" s="10"/>
      <c r="D26" s="39"/>
      <c r="E26" s="39"/>
      <c r="F26" s="39"/>
      <c r="G26" s="39"/>
      <c r="W26" s="94">
        <v>42796</v>
      </c>
      <c r="X26" s="98">
        <v>35.93</v>
      </c>
      <c r="Y26" s="98">
        <v>36.020000000000003</v>
      </c>
      <c r="Z26" s="98">
        <v>35.65</v>
      </c>
      <c r="AA26" s="98">
        <v>35.909999999999997</v>
      </c>
      <c r="AB26" s="96">
        <v>23591200</v>
      </c>
      <c r="AC26" s="95">
        <v>35.909999999999997</v>
      </c>
      <c r="AD26" s="2">
        <f t="shared" si="0"/>
        <v>0.37000000000000455</v>
      </c>
      <c r="AE26" s="131">
        <f t="shared" si="1"/>
        <v>-5.5663790704152394E-4</v>
      </c>
    </row>
    <row r="27" spans="1:31" x14ac:dyDescent="0.25">
      <c r="B27" s="10"/>
      <c r="C27" s="10"/>
      <c r="D27" s="39"/>
      <c r="E27" s="39"/>
      <c r="F27" s="39"/>
      <c r="G27" s="39"/>
      <c r="W27" s="94">
        <v>42795</v>
      </c>
      <c r="X27" s="98">
        <v>35.85</v>
      </c>
      <c r="Y27" s="98">
        <v>36.1</v>
      </c>
      <c r="Z27" s="98">
        <v>35.44</v>
      </c>
      <c r="AA27" s="98">
        <v>35.93</v>
      </c>
      <c r="AB27" s="96">
        <v>33969900</v>
      </c>
      <c r="AC27" s="95">
        <v>35.93</v>
      </c>
      <c r="AD27" s="2">
        <f t="shared" si="0"/>
        <v>0.66000000000000369</v>
      </c>
      <c r="AE27" s="131">
        <f t="shared" si="1"/>
        <v>-7.4585635359116775E-3</v>
      </c>
    </row>
    <row r="28" spans="1:31" x14ac:dyDescent="0.25">
      <c r="B28" s="10"/>
      <c r="C28" s="10"/>
      <c r="D28" s="39"/>
      <c r="E28" s="39"/>
      <c r="F28" s="39"/>
      <c r="G28" s="39"/>
      <c r="W28" s="94">
        <v>42794</v>
      </c>
      <c r="X28" s="98">
        <v>36.42</v>
      </c>
      <c r="Y28" s="98">
        <v>36.46</v>
      </c>
      <c r="Z28" s="98">
        <v>36</v>
      </c>
      <c r="AA28" s="98">
        <v>36.200000000000003</v>
      </c>
      <c r="AB28" s="96">
        <v>24793100</v>
      </c>
      <c r="AC28" s="95">
        <v>36.200000000000003</v>
      </c>
      <c r="AD28" s="2">
        <f t="shared" si="0"/>
        <v>0.46000000000000085</v>
      </c>
      <c r="AE28" s="131">
        <f t="shared" si="1"/>
        <v>-8.4908244316623804E-3</v>
      </c>
    </row>
    <row r="29" spans="1:31" x14ac:dyDescent="0.25">
      <c r="B29" s="10"/>
      <c r="C29" s="10"/>
      <c r="D29" s="39"/>
      <c r="E29" s="39"/>
      <c r="F29" s="39"/>
      <c r="G29" s="39"/>
      <c r="W29" s="94">
        <v>42793</v>
      </c>
      <c r="X29" s="98">
        <v>36.42</v>
      </c>
      <c r="Y29" s="98">
        <v>36.68</v>
      </c>
      <c r="Z29" s="98">
        <v>36.270000000000003</v>
      </c>
      <c r="AA29" s="98">
        <v>36.51</v>
      </c>
      <c r="AB29" s="96">
        <v>14063400</v>
      </c>
      <c r="AC29" s="95">
        <v>36.51</v>
      </c>
      <c r="AD29" s="2">
        <f t="shared" si="0"/>
        <v>0.40999999999999659</v>
      </c>
      <c r="AE29" s="131">
        <f t="shared" si="1"/>
        <v>-5.474952094169927E-4</v>
      </c>
    </row>
    <row r="30" spans="1:31" x14ac:dyDescent="0.25">
      <c r="B30" s="10"/>
      <c r="C30" s="10"/>
      <c r="D30" s="39"/>
      <c r="E30" s="39"/>
      <c r="F30" s="39"/>
      <c r="G30" s="39"/>
      <c r="W30" s="94">
        <v>42790</v>
      </c>
      <c r="X30" s="98">
        <v>36.14</v>
      </c>
      <c r="Y30" s="98">
        <v>36.53</v>
      </c>
      <c r="Z30" s="98">
        <v>35.950000000000003</v>
      </c>
      <c r="AA30" s="98">
        <v>36.53</v>
      </c>
      <c r="AB30" s="96">
        <v>18515100</v>
      </c>
      <c r="AC30" s="95">
        <v>36.53</v>
      </c>
      <c r="AD30" s="2">
        <f t="shared" si="0"/>
        <v>0.57999999999999829</v>
      </c>
      <c r="AE30" s="131">
        <f t="shared" si="1"/>
        <v>9.6738529574351695E-3</v>
      </c>
    </row>
    <row r="31" spans="1:31" x14ac:dyDescent="0.25">
      <c r="W31" s="94">
        <v>42789</v>
      </c>
      <c r="X31" s="98">
        <v>36.24</v>
      </c>
      <c r="Y31" s="98">
        <v>36.299999999999997</v>
      </c>
      <c r="Z31" s="98">
        <v>35.9</v>
      </c>
      <c r="AA31" s="98">
        <v>36.18</v>
      </c>
      <c r="AB31" s="96">
        <v>22509000</v>
      </c>
      <c r="AC31" s="95">
        <v>36.18</v>
      </c>
      <c r="AD31" s="2">
        <f t="shared" si="0"/>
        <v>0.39999999999999858</v>
      </c>
      <c r="AE31" s="131">
        <f t="shared" si="1"/>
        <v>3.0496257277514704E-3</v>
      </c>
    </row>
    <row r="32" spans="1:31" x14ac:dyDescent="0.25">
      <c r="W32" s="94">
        <v>42788</v>
      </c>
      <c r="X32" s="98">
        <v>36.340000000000003</v>
      </c>
      <c r="Y32" s="98">
        <v>36.4</v>
      </c>
      <c r="Z32" s="98">
        <v>35.79</v>
      </c>
      <c r="AA32" s="98">
        <v>36.07</v>
      </c>
      <c r="AB32" s="96">
        <v>29868400</v>
      </c>
      <c r="AC32" s="95">
        <v>36.07</v>
      </c>
      <c r="AD32" s="2">
        <f t="shared" si="0"/>
        <v>0.60999999999999943</v>
      </c>
      <c r="AE32" s="131">
        <f t="shared" si="1"/>
        <v>-1.232201533406363E-2</v>
      </c>
    </row>
    <row r="33" spans="1:31" x14ac:dyDescent="0.25">
      <c r="L33" t="s">
        <v>201</v>
      </c>
      <c r="M33" s="2">
        <f>M56+K56-F56</f>
        <v>1407.5400000000009</v>
      </c>
      <c r="W33" s="94">
        <v>42787</v>
      </c>
      <c r="X33" s="98">
        <v>36.53</v>
      </c>
      <c r="Y33" s="98">
        <v>36.65</v>
      </c>
      <c r="Z33" s="98">
        <v>36.33</v>
      </c>
      <c r="AA33" s="98">
        <v>36.520000000000003</v>
      </c>
      <c r="AB33" s="96">
        <v>20542400</v>
      </c>
      <c r="AC33" s="95">
        <v>36.520000000000003</v>
      </c>
      <c r="AD33" s="2">
        <f t="shared" si="0"/>
        <v>0.32000000000000028</v>
      </c>
      <c r="AE33" s="131">
        <f t="shared" si="1"/>
        <v>1.0964912280704286E-3</v>
      </c>
    </row>
    <row r="34" spans="1:31" x14ac:dyDescent="0.25">
      <c r="A34" s="195" t="s">
        <v>1</v>
      </c>
      <c r="B34" s="195" t="s">
        <v>2</v>
      </c>
      <c r="C34" s="195" t="s">
        <v>4</v>
      </c>
      <c r="D34" s="195" t="s">
        <v>5</v>
      </c>
      <c r="E34" s="195" t="s">
        <v>90</v>
      </c>
      <c r="F34" s="195" t="s">
        <v>60</v>
      </c>
      <c r="G34" s="195" t="s">
        <v>3</v>
      </c>
      <c r="H34" s="319" t="s">
        <v>6</v>
      </c>
      <c r="I34" s="195" t="s">
        <v>7</v>
      </c>
      <c r="J34" s="195" t="s">
        <v>89</v>
      </c>
      <c r="K34" s="195" t="s">
        <v>61</v>
      </c>
      <c r="L34" s="195" t="s">
        <v>77</v>
      </c>
      <c r="M34" s="195" t="s">
        <v>38</v>
      </c>
      <c r="W34" s="94">
        <v>42783</v>
      </c>
      <c r="X34" s="98">
        <v>36.32</v>
      </c>
      <c r="Y34" s="98">
        <v>36.479999999999997</v>
      </c>
      <c r="Z34" s="98">
        <v>36.1</v>
      </c>
      <c r="AA34" s="98">
        <v>36.479999999999997</v>
      </c>
      <c r="AB34" s="96">
        <v>18712800</v>
      </c>
      <c r="AC34" s="95">
        <v>36.479999999999997</v>
      </c>
      <c r="AD34" s="2">
        <f t="shared" si="0"/>
        <v>0.37999999999999545</v>
      </c>
      <c r="AE34" s="131">
        <f t="shared" si="1"/>
        <v>1.9225487503433669E-3</v>
      </c>
    </row>
    <row r="35" spans="1:31" x14ac:dyDescent="0.25">
      <c r="A35" s="197" t="s">
        <v>27</v>
      </c>
      <c r="B35" s="198">
        <v>42164</v>
      </c>
      <c r="C35" s="193">
        <v>30</v>
      </c>
      <c r="D35" s="194">
        <v>32.200000000000003</v>
      </c>
      <c r="E35" s="194">
        <v>0</v>
      </c>
      <c r="F35" s="194">
        <f>C35*D35</f>
        <v>966.00000000000011</v>
      </c>
      <c r="G35" s="320">
        <v>42247</v>
      </c>
      <c r="H35" s="321">
        <v>100</v>
      </c>
      <c r="I35" s="285">
        <v>27.15</v>
      </c>
      <c r="J35" s="285">
        <v>0.05</v>
      </c>
      <c r="K35" s="207">
        <f t="shared" ref="K35:K43" si="2">H35*I35-J35</f>
        <v>2714.95</v>
      </c>
      <c r="L35" s="198">
        <v>42248</v>
      </c>
      <c r="M35" s="285">
        <v>156</v>
      </c>
      <c r="W35" s="94">
        <v>42782</v>
      </c>
      <c r="X35" s="98">
        <v>36.18</v>
      </c>
      <c r="Y35" s="98">
        <v>36.56</v>
      </c>
      <c r="Z35" s="98">
        <v>36.1</v>
      </c>
      <c r="AA35" s="98">
        <v>36.409999999999997</v>
      </c>
      <c r="AB35" s="96">
        <v>21181700</v>
      </c>
      <c r="AC35" s="95">
        <v>36.409999999999997</v>
      </c>
      <c r="AD35" s="2">
        <f t="shared" si="0"/>
        <v>0.46000000000000085</v>
      </c>
      <c r="AE35" s="131">
        <f t="shared" si="1"/>
        <v>9.986130374479929E-3</v>
      </c>
    </row>
    <row r="36" spans="1:31" x14ac:dyDescent="0.25">
      <c r="A36" s="200" t="s">
        <v>71</v>
      </c>
      <c r="B36" s="198">
        <v>42166</v>
      </c>
      <c r="C36" s="193">
        <v>30</v>
      </c>
      <c r="D36" s="194">
        <v>31.3</v>
      </c>
      <c r="E36" s="194">
        <v>0</v>
      </c>
      <c r="F36" s="194">
        <f t="shared" ref="F36:F43" si="3">C36*D36</f>
        <v>939</v>
      </c>
      <c r="G36" s="198">
        <v>42263</v>
      </c>
      <c r="H36" s="199">
        <v>230</v>
      </c>
      <c r="I36" s="193">
        <v>29.47</v>
      </c>
      <c r="J36" s="193">
        <v>0.12</v>
      </c>
      <c r="K36" s="207">
        <f t="shared" si="2"/>
        <v>6777.98</v>
      </c>
      <c r="L36" s="198">
        <v>42339</v>
      </c>
      <c r="M36" s="194">
        <v>26.4</v>
      </c>
      <c r="W36" s="94">
        <v>42781</v>
      </c>
      <c r="X36" s="98">
        <v>35.979999999999997</v>
      </c>
      <c r="Y36" s="98">
        <v>36.06</v>
      </c>
      <c r="Z36" s="98">
        <v>35.67</v>
      </c>
      <c r="AA36" s="98">
        <v>36.049999999999997</v>
      </c>
      <c r="AB36" s="96">
        <v>18364200</v>
      </c>
      <c r="AC36" s="95">
        <v>36.049999999999997</v>
      </c>
      <c r="AD36" s="2">
        <f t="shared" si="0"/>
        <v>0.39000000000000057</v>
      </c>
      <c r="AE36" s="131">
        <f t="shared" si="1"/>
        <v>3.3398274422486995E-3</v>
      </c>
    </row>
    <row r="37" spans="1:31" x14ac:dyDescent="0.25">
      <c r="A37" s="193"/>
      <c r="B37" s="198">
        <v>42186</v>
      </c>
      <c r="C37" s="193">
        <v>140</v>
      </c>
      <c r="D37" s="194">
        <v>31.1</v>
      </c>
      <c r="E37" s="194">
        <v>0</v>
      </c>
      <c r="F37" s="194">
        <f t="shared" si="3"/>
        <v>4354</v>
      </c>
      <c r="G37" s="198">
        <v>42263</v>
      </c>
      <c r="H37" s="199">
        <v>180</v>
      </c>
      <c r="I37" s="193">
        <v>29.49</v>
      </c>
      <c r="J37" s="194">
        <v>0.09</v>
      </c>
      <c r="K37" s="285">
        <f t="shared" si="2"/>
        <v>5308.11</v>
      </c>
      <c r="L37" s="193"/>
      <c r="M37" s="193"/>
      <c r="W37" s="94">
        <v>42780</v>
      </c>
      <c r="X37" s="98">
        <v>35.840000000000003</v>
      </c>
      <c r="Y37" s="98">
        <v>35.96</v>
      </c>
      <c r="Z37" s="98">
        <v>35.53</v>
      </c>
      <c r="AA37" s="98">
        <v>35.93</v>
      </c>
      <c r="AB37" s="96">
        <v>25725100</v>
      </c>
      <c r="AC37" s="95">
        <v>35.93</v>
      </c>
      <c r="AD37" s="2">
        <f t="shared" si="0"/>
        <v>0.42999999999999972</v>
      </c>
      <c r="AE37" s="131">
        <f t="shared" si="1"/>
        <v>3.6312849162012384E-3</v>
      </c>
    </row>
    <row r="38" spans="1:31" x14ac:dyDescent="0.25">
      <c r="A38" s="193"/>
      <c r="B38" s="198">
        <v>42186</v>
      </c>
      <c r="C38" s="193">
        <v>200</v>
      </c>
      <c r="D38" s="194">
        <v>30.9</v>
      </c>
      <c r="E38" s="194">
        <v>0</v>
      </c>
      <c r="F38" s="194">
        <f t="shared" si="3"/>
        <v>6180</v>
      </c>
      <c r="G38" s="198">
        <v>42282</v>
      </c>
      <c r="H38" s="199">
        <v>710</v>
      </c>
      <c r="I38" s="193">
        <v>30.05</v>
      </c>
      <c r="J38" s="194">
        <v>0.39</v>
      </c>
      <c r="K38" s="285">
        <f t="shared" si="2"/>
        <v>21335.11</v>
      </c>
      <c r="L38" s="193"/>
      <c r="M38" s="193"/>
      <c r="W38" s="94">
        <v>42779</v>
      </c>
      <c r="X38" s="98">
        <v>35.57</v>
      </c>
      <c r="Y38" s="98">
        <v>35.85</v>
      </c>
      <c r="Z38" s="98">
        <v>35.340000000000003</v>
      </c>
      <c r="AA38" s="98">
        <v>35.799999999999997</v>
      </c>
      <c r="AB38" s="96">
        <v>28180600</v>
      </c>
      <c r="AC38" s="95">
        <v>35.799999999999997</v>
      </c>
      <c r="AD38" s="2">
        <f t="shared" si="0"/>
        <v>0.50999999999999801</v>
      </c>
      <c r="AE38" s="131">
        <f t="shared" si="1"/>
        <v>1.3016411997736066E-2</v>
      </c>
    </row>
    <row r="39" spans="1:31" x14ac:dyDescent="0.25">
      <c r="A39" s="193"/>
      <c r="B39" s="198">
        <v>42194</v>
      </c>
      <c r="C39" s="193">
        <v>100</v>
      </c>
      <c r="D39" s="194">
        <v>29.8</v>
      </c>
      <c r="E39" s="194">
        <v>0</v>
      </c>
      <c r="F39" s="194">
        <f t="shared" si="3"/>
        <v>2980</v>
      </c>
      <c r="G39" s="198">
        <v>42291</v>
      </c>
      <c r="H39" s="199">
        <v>60</v>
      </c>
      <c r="I39" s="193">
        <v>32.450000000000003</v>
      </c>
      <c r="J39" s="193">
        <v>0.04</v>
      </c>
      <c r="K39" s="285">
        <f t="shared" si="2"/>
        <v>1946.9600000000003</v>
      </c>
      <c r="L39" s="193"/>
      <c r="M39" s="193"/>
      <c r="W39" s="94">
        <v>42776</v>
      </c>
      <c r="X39" s="98">
        <v>35.26</v>
      </c>
      <c r="Y39" s="98">
        <v>35.43</v>
      </c>
      <c r="Z39" s="98">
        <v>34.840000000000003</v>
      </c>
      <c r="AA39" s="98">
        <v>35.340000000000003</v>
      </c>
      <c r="AB39" s="96">
        <v>44106500</v>
      </c>
      <c r="AC39" s="95">
        <v>35.340000000000003</v>
      </c>
      <c r="AD39" s="2">
        <f t="shared" si="0"/>
        <v>0.58999999999999631</v>
      </c>
      <c r="AE39" s="131">
        <f t="shared" si="1"/>
        <v>-3.3840947546530664E-3</v>
      </c>
    </row>
    <row r="40" spans="1:31" ht="20.25" thickBot="1" x14ac:dyDescent="0.35">
      <c r="A40" s="193"/>
      <c r="B40" s="198">
        <v>42207</v>
      </c>
      <c r="C40" s="193">
        <v>50</v>
      </c>
      <c r="D40" s="194">
        <v>29.32</v>
      </c>
      <c r="E40" s="194">
        <v>0</v>
      </c>
      <c r="F40" s="194">
        <f t="shared" si="3"/>
        <v>1466</v>
      </c>
      <c r="G40" s="198">
        <v>42296</v>
      </c>
      <c r="H40" s="199">
        <v>200</v>
      </c>
      <c r="I40" s="193">
        <v>32.82</v>
      </c>
      <c r="J40" s="193">
        <v>0.12</v>
      </c>
      <c r="K40" s="285">
        <f t="shared" si="2"/>
        <v>6563.88</v>
      </c>
      <c r="L40" s="193"/>
      <c r="M40" s="193"/>
      <c r="O40" s="886" t="s">
        <v>78</v>
      </c>
      <c r="P40" s="886"/>
      <c r="W40" s="94">
        <v>42775</v>
      </c>
      <c r="X40" s="98">
        <v>36.5</v>
      </c>
      <c r="Y40" s="98">
        <v>36.5</v>
      </c>
      <c r="Z40" s="98">
        <v>35.4</v>
      </c>
      <c r="AA40" s="98">
        <v>35.46</v>
      </c>
      <c r="AB40" s="96">
        <v>47802700</v>
      </c>
      <c r="AC40" s="95">
        <v>35.46</v>
      </c>
      <c r="AD40" s="2">
        <f t="shared" si="0"/>
        <v>1.1000000000000014</v>
      </c>
      <c r="AE40" s="131">
        <f t="shared" si="1"/>
        <v>-2.5288620120945571E-2</v>
      </c>
    </row>
    <row r="41" spans="1:31" ht="15.75" thickTop="1" x14ac:dyDescent="0.25">
      <c r="A41" s="193"/>
      <c r="B41" s="198">
        <v>42209</v>
      </c>
      <c r="C41" s="193">
        <v>50</v>
      </c>
      <c r="D41" s="194">
        <v>28.6</v>
      </c>
      <c r="E41" s="194">
        <v>0</v>
      </c>
      <c r="F41" s="194">
        <f t="shared" si="3"/>
        <v>1430</v>
      </c>
      <c r="G41" s="198">
        <v>42299</v>
      </c>
      <c r="H41" s="199">
        <v>80</v>
      </c>
      <c r="I41" s="193">
        <v>33.549999999999997</v>
      </c>
      <c r="J41" s="193">
        <v>0.05</v>
      </c>
      <c r="K41" s="285">
        <f t="shared" si="2"/>
        <v>2683.95</v>
      </c>
      <c r="L41" s="193"/>
      <c r="M41" s="193"/>
      <c r="O41" s="78">
        <v>1.1000000000000001</v>
      </c>
      <c r="P41" s="78">
        <f>O41*$Q$4</f>
        <v>55.99</v>
      </c>
      <c r="Q41" s="2"/>
      <c r="W41" s="94">
        <v>42774</v>
      </c>
      <c r="X41" s="98">
        <v>36.340000000000003</v>
      </c>
      <c r="Y41" s="98">
        <v>36.65</v>
      </c>
      <c r="Z41" s="98">
        <v>36.14</v>
      </c>
      <c r="AA41" s="98">
        <v>36.380000000000003</v>
      </c>
      <c r="AB41" s="96">
        <v>20807400</v>
      </c>
      <c r="AC41" s="95">
        <v>36.380000000000003</v>
      </c>
      <c r="AD41" s="2">
        <f t="shared" si="0"/>
        <v>0.50999999999999801</v>
      </c>
      <c r="AE41" s="131">
        <f t="shared" si="1"/>
        <v>8.2530949105907858E-4</v>
      </c>
    </row>
    <row r="42" spans="1:31" ht="20.25" thickBot="1" x14ac:dyDescent="0.35">
      <c r="A42" s="193"/>
      <c r="B42" s="198">
        <v>42214</v>
      </c>
      <c r="C42" s="193">
        <v>50</v>
      </c>
      <c r="D42" s="194">
        <v>28.19</v>
      </c>
      <c r="E42" s="194">
        <v>0</v>
      </c>
      <c r="F42" s="194">
        <f t="shared" si="3"/>
        <v>1409.5</v>
      </c>
      <c r="G42" s="198">
        <v>42304</v>
      </c>
      <c r="H42" s="199">
        <v>40</v>
      </c>
      <c r="I42" s="193">
        <v>34.049999999999997</v>
      </c>
      <c r="J42" s="193">
        <v>0.03</v>
      </c>
      <c r="K42" s="285">
        <f t="shared" si="2"/>
        <v>1361.97</v>
      </c>
      <c r="L42" s="193"/>
      <c r="M42" s="193"/>
      <c r="O42" s="78">
        <v>1.0900000000000001</v>
      </c>
      <c r="P42" s="78">
        <f t="shared" ref="P42:P61" si="4">O42*$Q$4</f>
        <v>55.481000000000002</v>
      </c>
      <c r="Q42" s="2"/>
      <c r="T42" s="86" t="s">
        <v>112</v>
      </c>
      <c r="W42" s="94">
        <v>42773</v>
      </c>
      <c r="X42" s="98">
        <v>36.450000000000003</v>
      </c>
      <c r="Y42" s="98">
        <v>36.520000000000003</v>
      </c>
      <c r="Z42" s="98">
        <v>36.24</v>
      </c>
      <c r="AA42" s="98">
        <v>36.35</v>
      </c>
      <c r="AB42" s="96">
        <v>18581900</v>
      </c>
      <c r="AC42" s="95">
        <v>36.35</v>
      </c>
      <c r="AD42" s="2">
        <f t="shared" si="0"/>
        <v>0.28000000000000114</v>
      </c>
      <c r="AE42" s="131">
        <f t="shared" si="1"/>
        <v>2.2056796250344846E-3</v>
      </c>
    </row>
    <row r="43" spans="1:31" ht="15.75" thickTop="1" x14ac:dyDescent="0.25">
      <c r="A43" s="193"/>
      <c r="B43" s="198">
        <v>42240</v>
      </c>
      <c r="C43" s="193">
        <v>100</v>
      </c>
      <c r="D43" s="194">
        <v>28.4</v>
      </c>
      <c r="E43" s="194">
        <v>0</v>
      </c>
      <c r="F43" s="194">
        <f t="shared" si="3"/>
        <v>2840</v>
      </c>
      <c r="G43" s="198">
        <v>42332</v>
      </c>
      <c r="H43" s="199">
        <v>110</v>
      </c>
      <c r="I43" s="193">
        <v>34.450000000000003</v>
      </c>
      <c r="J43" s="193">
        <v>7.0000000000000007E-2</v>
      </c>
      <c r="K43" s="285">
        <f t="shared" si="2"/>
        <v>3789.4300000000003</v>
      </c>
      <c r="L43" s="193"/>
      <c r="M43" s="193"/>
      <c r="O43" s="78">
        <v>1.08</v>
      </c>
      <c r="P43" s="78">
        <f t="shared" si="4"/>
        <v>54.972000000000001</v>
      </c>
      <c r="Q43" s="2"/>
      <c r="T43" s="92" t="s">
        <v>97</v>
      </c>
      <c r="U43" s="93">
        <v>36.28</v>
      </c>
      <c r="V43" s="322"/>
      <c r="W43" s="94">
        <v>42772</v>
      </c>
      <c r="X43" s="98">
        <v>36.51</v>
      </c>
      <c r="Y43" s="98">
        <v>36.51</v>
      </c>
      <c r="Z43" s="98">
        <v>36.15</v>
      </c>
      <c r="AA43" s="98">
        <v>36.270000000000003</v>
      </c>
      <c r="AB43" s="96">
        <v>21427000</v>
      </c>
      <c r="AC43" s="95">
        <v>36.270000000000003</v>
      </c>
      <c r="AD43" s="2">
        <f t="shared" si="0"/>
        <v>0.35999999999999943</v>
      </c>
      <c r="AE43" s="131">
        <f t="shared" si="1"/>
        <v>-6.8455640744797819E-3</v>
      </c>
    </row>
    <row r="44" spans="1:31" x14ac:dyDescent="0.25">
      <c r="A44" s="193"/>
      <c r="B44" s="198">
        <v>42240</v>
      </c>
      <c r="C44" s="193">
        <v>50</v>
      </c>
      <c r="D44" s="194">
        <v>28.3</v>
      </c>
      <c r="E44" s="194">
        <v>0</v>
      </c>
      <c r="F44" s="194">
        <f>C44*D44</f>
        <v>1415</v>
      </c>
      <c r="G44" s="193"/>
      <c r="H44" s="199"/>
      <c r="I44" s="193"/>
      <c r="J44" s="193"/>
      <c r="K44" s="193"/>
      <c r="L44" s="193"/>
      <c r="M44" s="193"/>
      <c r="O44" s="78">
        <v>1.07</v>
      </c>
      <c r="P44" s="78">
        <f t="shared" si="4"/>
        <v>54.463000000000001</v>
      </c>
      <c r="Q44" s="2"/>
      <c r="T44" s="82" t="s">
        <v>98</v>
      </c>
      <c r="U44" s="83">
        <v>36.43</v>
      </c>
      <c r="V44" s="323"/>
      <c r="W44" s="94">
        <v>42769</v>
      </c>
      <c r="X44" s="98">
        <v>36.69</v>
      </c>
      <c r="Y44" s="98">
        <v>36.82</v>
      </c>
      <c r="Z44" s="98">
        <v>36.450000000000003</v>
      </c>
      <c r="AA44" s="98">
        <v>36.520000000000003</v>
      </c>
      <c r="AB44" s="96">
        <v>21038100</v>
      </c>
      <c r="AC44" s="95">
        <v>36.520000000000003</v>
      </c>
      <c r="AD44" s="2">
        <f t="shared" si="0"/>
        <v>0.36999999999999744</v>
      </c>
      <c r="AE44" s="131" t="e">
        <f t="shared" si="1"/>
        <v>#DIV/0!</v>
      </c>
    </row>
    <row r="45" spans="1:31" x14ac:dyDescent="0.25">
      <c r="A45" s="193"/>
      <c r="B45" s="198">
        <v>42244</v>
      </c>
      <c r="C45" s="193">
        <v>100</v>
      </c>
      <c r="D45" s="194">
        <v>26.7</v>
      </c>
      <c r="E45" s="194">
        <v>0</v>
      </c>
      <c r="F45" s="194">
        <f t="shared" ref="F45:F51" si="5">C45*D45</f>
        <v>2670</v>
      </c>
      <c r="G45" s="193"/>
      <c r="H45" s="199"/>
      <c r="I45" s="193"/>
      <c r="J45" s="193"/>
      <c r="K45" s="193"/>
      <c r="L45" s="193"/>
      <c r="M45" s="193"/>
      <c r="O45" s="78">
        <v>1.06</v>
      </c>
      <c r="P45" s="78">
        <f t="shared" si="4"/>
        <v>53.954000000000001</v>
      </c>
      <c r="Q45" s="2"/>
      <c r="T45" s="82" t="s">
        <v>99</v>
      </c>
      <c r="U45" s="83" t="s">
        <v>542</v>
      </c>
      <c r="V45" s="323"/>
      <c r="W45" s="94">
        <v>42769</v>
      </c>
      <c r="X45" s="98" t="s">
        <v>136</v>
      </c>
      <c r="Y45" s="98"/>
      <c r="Z45" s="98"/>
      <c r="AA45" s="98"/>
      <c r="AB45" s="96"/>
      <c r="AC45" s="95"/>
      <c r="AD45" s="2">
        <f t="shared" si="0"/>
        <v>0</v>
      </c>
      <c r="AE45" s="131">
        <f t="shared" si="1"/>
        <v>-1</v>
      </c>
    </row>
    <row r="46" spans="1:31" x14ac:dyDescent="0.25">
      <c r="A46" s="193"/>
      <c r="B46" s="198">
        <v>42270</v>
      </c>
      <c r="C46" s="193">
        <v>330</v>
      </c>
      <c r="D46" s="194">
        <v>29.15</v>
      </c>
      <c r="E46" s="194">
        <v>0</v>
      </c>
      <c r="F46" s="194">
        <f t="shared" si="5"/>
        <v>9619.5</v>
      </c>
      <c r="G46" s="193"/>
      <c r="H46" s="199"/>
      <c r="I46" s="193"/>
      <c r="J46" s="193"/>
      <c r="K46" s="193"/>
      <c r="L46" s="193"/>
      <c r="M46" s="193"/>
      <c r="O46" s="78">
        <v>1.05</v>
      </c>
      <c r="P46" s="78">
        <f t="shared" si="4"/>
        <v>53.445</v>
      </c>
      <c r="Q46" s="2"/>
      <c r="T46" s="82" t="s">
        <v>100</v>
      </c>
      <c r="U46" s="83" t="s">
        <v>543</v>
      </c>
      <c r="V46" s="323"/>
      <c r="W46" s="94">
        <v>42768</v>
      </c>
      <c r="X46" s="98">
        <v>36.26</v>
      </c>
      <c r="Y46" s="98">
        <v>36.700000000000003</v>
      </c>
      <c r="Z46" s="98">
        <v>36.200000000000003</v>
      </c>
      <c r="AA46" s="98">
        <v>36.68</v>
      </c>
      <c r="AB46" s="96">
        <v>31916900</v>
      </c>
      <c r="AC46" s="95">
        <v>36.42</v>
      </c>
      <c r="AD46" s="2">
        <f t="shared" si="0"/>
        <v>0.5</v>
      </c>
      <c r="AE46" s="131">
        <f t="shared" si="1"/>
        <v>4.4125758411472926E-3</v>
      </c>
    </row>
    <row r="47" spans="1:31" x14ac:dyDescent="0.25">
      <c r="A47" s="193"/>
      <c r="B47" s="198">
        <v>42276</v>
      </c>
      <c r="C47" s="193">
        <v>50</v>
      </c>
      <c r="D47" s="193">
        <v>27.95</v>
      </c>
      <c r="E47" s="194">
        <v>0</v>
      </c>
      <c r="F47" s="194">
        <f t="shared" si="5"/>
        <v>1397.5</v>
      </c>
      <c r="G47" s="193"/>
      <c r="H47" s="199"/>
      <c r="I47" s="193"/>
      <c r="J47" s="193"/>
      <c r="K47" s="193"/>
      <c r="L47" s="193"/>
      <c r="M47" s="193"/>
      <c r="O47" s="78">
        <v>1.04</v>
      </c>
      <c r="P47" s="78">
        <f t="shared" si="4"/>
        <v>52.936</v>
      </c>
      <c r="Q47" s="2"/>
      <c r="T47" s="82" t="s">
        <v>101</v>
      </c>
      <c r="U47" s="83">
        <v>40.03</v>
      </c>
      <c r="V47" s="323"/>
      <c r="W47" s="94">
        <v>42767</v>
      </c>
      <c r="X47" s="98">
        <v>36.82</v>
      </c>
      <c r="Y47" s="98">
        <v>36.950000000000003</v>
      </c>
      <c r="Z47" s="98">
        <v>36.020000000000003</v>
      </c>
      <c r="AA47" s="98">
        <v>36.520000000000003</v>
      </c>
      <c r="AB47" s="96">
        <v>28380600</v>
      </c>
      <c r="AC47" s="95">
        <v>36.26</v>
      </c>
      <c r="AD47" s="2">
        <f t="shared" si="0"/>
        <v>0.92999999999999972</v>
      </c>
      <c r="AE47" s="131">
        <f t="shared" si="1"/>
        <v>-8.2056892778994417E-3</v>
      </c>
    </row>
    <row r="48" spans="1:31" x14ac:dyDescent="0.25">
      <c r="A48" s="193"/>
      <c r="B48" s="198">
        <v>42293</v>
      </c>
      <c r="C48" s="193">
        <v>80</v>
      </c>
      <c r="D48" s="194">
        <v>32.090000000000003</v>
      </c>
      <c r="E48" s="194">
        <v>0</v>
      </c>
      <c r="F48" s="194">
        <f t="shared" si="5"/>
        <v>2567.2000000000003</v>
      </c>
      <c r="G48" s="193"/>
      <c r="H48" s="199"/>
      <c r="I48" s="193"/>
      <c r="J48" s="193"/>
      <c r="K48" s="193"/>
      <c r="L48" s="193"/>
      <c r="M48" s="193"/>
      <c r="O48" s="78">
        <v>1.03</v>
      </c>
      <c r="P48" s="78">
        <f t="shared" si="4"/>
        <v>52.427</v>
      </c>
      <c r="Q48" s="2"/>
      <c r="T48" s="82" t="s">
        <v>102</v>
      </c>
      <c r="U48" s="83">
        <v>1.1121399999999999</v>
      </c>
      <c r="V48" s="323"/>
      <c r="W48" s="94">
        <v>42766</v>
      </c>
      <c r="X48" s="98">
        <v>37.22</v>
      </c>
      <c r="Y48" s="98">
        <v>37.369999999999997</v>
      </c>
      <c r="Z48" s="98">
        <v>36.64</v>
      </c>
      <c r="AA48" s="98">
        <v>36.82</v>
      </c>
      <c r="AB48" s="96">
        <v>27059100</v>
      </c>
      <c r="AC48" s="95">
        <v>36.56</v>
      </c>
      <c r="AD48" s="2">
        <f t="shared" si="0"/>
        <v>0.72999999999999687</v>
      </c>
      <c r="AE48" s="131">
        <f t="shared" si="1"/>
        <v>-1.5881561238223374E-2</v>
      </c>
    </row>
    <row r="49" spans="1:31" x14ac:dyDescent="0.25">
      <c r="A49" s="193"/>
      <c r="B49" s="198">
        <v>42293</v>
      </c>
      <c r="C49" s="193">
        <v>80</v>
      </c>
      <c r="D49" s="194">
        <v>31.95</v>
      </c>
      <c r="E49" s="194">
        <v>0</v>
      </c>
      <c r="F49" s="194">
        <f t="shared" si="5"/>
        <v>2556</v>
      </c>
      <c r="G49" s="193"/>
      <c r="H49" s="199"/>
      <c r="I49" s="193"/>
      <c r="J49" s="193"/>
      <c r="K49" s="193"/>
      <c r="L49" s="193"/>
      <c r="M49" s="193"/>
      <c r="O49" s="78">
        <v>1.02</v>
      </c>
      <c r="P49" s="78">
        <f t="shared" si="4"/>
        <v>51.917999999999999</v>
      </c>
      <c r="Q49" s="2"/>
      <c r="T49" s="82" t="s">
        <v>103</v>
      </c>
      <c r="U49" s="84" t="s">
        <v>388</v>
      </c>
      <c r="V49" s="324"/>
      <c r="W49" s="94">
        <v>42765</v>
      </c>
      <c r="X49" s="98">
        <v>37.74</v>
      </c>
      <c r="Y49" s="98">
        <v>37.840000000000003</v>
      </c>
      <c r="Z49" s="98">
        <v>37.33</v>
      </c>
      <c r="AA49" s="98">
        <v>37.42</v>
      </c>
      <c r="AB49" s="96">
        <v>23954700</v>
      </c>
      <c r="AC49" s="95">
        <v>37.15</v>
      </c>
      <c r="AD49" s="2">
        <f t="shared" si="0"/>
        <v>0.51000000000000512</v>
      </c>
      <c r="AE49" s="131">
        <f t="shared" si="1"/>
        <v>-1.4850172368072179E-2</v>
      </c>
    </row>
    <row r="50" spans="1:31" x14ac:dyDescent="0.25">
      <c r="A50" s="193"/>
      <c r="B50" s="198">
        <v>42293</v>
      </c>
      <c r="C50" s="193">
        <v>120</v>
      </c>
      <c r="D50" s="194">
        <v>31.75</v>
      </c>
      <c r="E50" s="194">
        <v>0</v>
      </c>
      <c r="F50" s="194">
        <f t="shared" si="5"/>
        <v>3810</v>
      </c>
      <c r="G50" s="193"/>
      <c r="H50" s="199"/>
      <c r="I50" s="193"/>
      <c r="J50" s="193"/>
      <c r="K50" s="193"/>
      <c r="L50" s="193"/>
      <c r="M50" s="193"/>
      <c r="O50" s="78">
        <v>1.01</v>
      </c>
      <c r="P50" s="78">
        <f t="shared" si="4"/>
        <v>51.408999999999999</v>
      </c>
      <c r="Q50" s="2"/>
      <c r="T50" s="82"/>
      <c r="U50" s="83"/>
      <c r="V50" s="323"/>
      <c r="W50" s="94">
        <v>42762</v>
      </c>
      <c r="X50" s="98">
        <v>38</v>
      </c>
      <c r="Y50" s="98">
        <v>38.450000000000003</v>
      </c>
      <c r="Z50" s="98">
        <v>37.81</v>
      </c>
      <c r="AA50" s="98">
        <v>37.979999999999997</v>
      </c>
      <c r="AB50" s="96">
        <v>44368600</v>
      </c>
      <c r="AC50" s="95">
        <v>37.71</v>
      </c>
      <c r="AD50" s="2">
        <f t="shared" si="0"/>
        <v>0.64000000000000057</v>
      </c>
      <c r="AE50" s="131">
        <f t="shared" si="1"/>
        <v>1.1263073209975882E-2</v>
      </c>
    </row>
    <row r="51" spans="1:31" x14ac:dyDescent="0.25">
      <c r="A51" s="193"/>
      <c r="B51" s="198">
        <v>42293</v>
      </c>
      <c r="C51" s="193">
        <v>150</v>
      </c>
      <c r="D51" s="194">
        <v>31.05</v>
      </c>
      <c r="E51" s="194">
        <v>0</v>
      </c>
      <c r="F51" s="194">
        <f t="shared" si="5"/>
        <v>4657.5</v>
      </c>
      <c r="G51" s="194"/>
      <c r="H51" s="199"/>
      <c r="I51" s="193"/>
      <c r="J51" s="193"/>
      <c r="K51" s="194"/>
      <c r="L51" s="193"/>
      <c r="M51" s="193"/>
      <c r="O51" s="78">
        <v>1</v>
      </c>
      <c r="P51" s="78">
        <f t="shared" si="4"/>
        <v>50.9</v>
      </c>
      <c r="Q51" s="2"/>
      <c r="T51" s="82" t="s">
        <v>104</v>
      </c>
      <c r="U51" s="83" t="s">
        <v>544</v>
      </c>
      <c r="V51" s="323"/>
      <c r="W51" s="94">
        <v>42761</v>
      </c>
      <c r="X51" s="98">
        <v>37.82</v>
      </c>
      <c r="Y51" s="98">
        <v>37.92</v>
      </c>
      <c r="Z51" s="98">
        <v>37.42</v>
      </c>
      <c r="AA51" s="98">
        <v>37.56</v>
      </c>
      <c r="AB51" s="96">
        <v>34144800</v>
      </c>
      <c r="AC51" s="95">
        <v>37.29</v>
      </c>
      <c r="AD51" s="2">
        <f t="shared" si="0"/>
        <v>0.5</v>
      </c>
      <c r="AE51" s="131">
        <f t="shared" si="1"/>
        <v>-6.3948840927259276E-3</v>
      </c>
    </row>
    <row r="52" spans="1:31" x14ac:dyDescent="0.25">
      <c r="A52" s="193"/>
      <c r="B52" s="193"/>
      <c r="C52" s="193"/>
      <c r="D52" s="193"/>
      <c r="E52" s="194"/>
      <c r="F52" s="193"/>
      <c r="G52" s="194"/>
      <c r="H52" s="199"/>
      <c r="I52" s="194"/>
      <c r="J52" s="193"/>
      <c r="K52" s="194"/>
      <c r="L52" s="193"/>
      <c r="M52" s="193"/>
      <c r="O52" s="78">
        <v>0.99</v>
      </c>
      <c r="P52" s="78">
        <f t="shared" si="4"/>
        <v>50.390999999999998</v>
      </c>
      <c r="Q52" s="2"/>
      <c r="T52" s="82" t="s">
        <v>105</v>
      </c>
      <c r="U52" s="83" t="s">
        <v>461</v>
      </c>
      <c r="V52" s="323"/>
      <c r="W52" s="94">
        <v>42760</v>
      </c>
      <c r="X52" s="98">
        <v>37.869999999999997</v>
      </c>
      <c r="Y52" s="98">
        <v>38</v>
      </c>
      <c r="Z52" s="98">
        <v>37.520000000000003</v>
      </c>
      <c r="AA52" s="98">
        <v>37.799999999999997</v>
      </c>
      <c r="AB52" s="96">
        <v>32276400</v>
      </c>
      <c r="AC52" s="95">
        <v>37.53</v>
      </c>
      <c r="AD52" s="2">
        <f t="shared" si="0"/>
        <v>0.47999999999999687</v>
      </c>
      <c r="AE52" s="131">
        <f t="shared" si="1"/>
        <v>4.8192771084336616E-3</v>
      </c>
    </row>
    <row r="53" spans="1:31" x14ac:dyDescent="0.25">
      <c r="A53" s="193"/>
      <c r="B53" s="193"/>
      <c r="C53" s="193"/>
      <c r="D53" s="193"/>
      <c r="E53" s="193"/>
      <c r="F53" s="193"/>
      <c r="G53" s="193"/>
      <c r="H53" s="199"/>
      <c r="I53" s="193"/>
      <c r="J53" s="193"/>
      <c r="K53" s="193"/>
      <c r="L53" s="193"/>
      <c r="M53" s="193"/>
      <c r="O53" s="78">
        <v>0.98</v>
      </c>
      <c r="P53" s="78">
        <f t="shared" si="4"/>
        <v>49.881999999999998</v>
      </c>
      <c r="Q53" s="2"/>
      <c r="T53" s="82" t="s">
        <v>106</v>
      </c>
      <c r="U53" s="85">
        <v>22455525</v>
      </c>
      <c r="V53" s="325"/>
      <c r="W53" s="94">
        <v>42759</v>
      </c>
      <c r="X53" s="98">
        <v>36.840000000000003</v>
      </c>
      <c r="Y53" s="98">
        <v>37.74</v>
      </c>
      <c r="Z53" s="98">
        <v>36.81</v>
      </c>
      <c r="AA53" s="98">
        <v>37.619999999999997</v>
      </c>
      <c r="AB53" s="96">
        <v>35140900</v>
      </c>
      <c r="AC53" s="95">
        <v>37.35</v>
      </c>
      <c r="AD53" s="2">
        <f t="shared" si="0"/>
        <v>0.92999999999999972</v>
      </c>
      <c r="AE53" s="131">
        <f t="shared" si="1"/>
        <v>2.3007395234182493E-2</v>
      </c>
    </row>
    <row r="54" spans="1:31" x14ac:dyDescent="0.25">
      <c r="A54" s="193"/>
      <c r="B54" s="193"/>
      <c r="C54" s="193"/>
      <c r="D54" s="193"/>
      <c r="E54" s="193"/>
      <c r="F54" s="193"/>
      <c r="G54" s="193"/>
      <c r="H54" s="199"/>
      <c r="I54" s="193"/>
      <c r="J54" s="193"/>
      <c r="K54" s="193"/>
      <c r="L54" s="193"/>
      <c r="M54" s="193"/>
      <c r="O54" s="78">
        <v>0.97</v>
      </c>
      <c r="P54" s="78">
        <f t="shared" si="4"/>
        <v>49.372999999999998</v>
      </c>
      <c r="T54" s="82" t="s">
        <v>109</v>
      </c>
      <c r="U54" s="85">
        <v>24240000</v>
      </c>
      <c r="V54" s="325"/>
      <c r="W54" s="94">
        <v>42758</v>
      </c>
      <c r="X54" s="98">
        <v>37.07</v>
      </c>
      <c r="Y54" s="98">
        <v>37.21</v>
      </c>
      <c r="Z54" s="98">
        <v>36.549999999999997</v>
      </c>
      <c r="AA54" s="98">
        <v>36.770000000000003</v>
      </c>
      <c r="AB54" s="96">
        <v>27752600</v>
      </c>
      <c r="AC54" s="95">
        <v>36.51</v>
      </c>
      <c r="AD54" s="2">
        <f t="shared" si="0"/>
        <v>0.66000000000000369</v>
      </c>
      <c r="AE54" s="131">
        <f t="shared" si="1"/>
        <v>-4.6346782988004875E-3</v>
      </c>
    </row>
    <row r="55" spans="1:31" x14ac:dyDescent="0.25">
      <c r="A55" s="193"/>
      <c r="B55" s="193"/>
      <c r="C55" s="193"/>
      <c r="D55" s="193"/>
      <c r="E55" s="193"/>
      <c r="F55" s="193"/>
      <c r="G55" s="193"/>
      <c r="H55" s="199"/>
      <c r="I55" s="193"/>
      <c r="J55" s="193"/>
      <c r="K55" s="193"/>
      <c r="L55" s="193"/>
      <c r="M55" s="193"/>
      <c r="O55" s="78">
        <v>0.96</v>
      </c>
      <c r="P55" s="78">
        <f t="shared" si="4"/>
        <v>48.863999999999997</v>
      </c>
      <c r="T55" s="82" t="s">
        <v>107</v>
      </c>
      <c r="U55" s="83" t="s">
        <v>545</v>
      </c>
      <c r="V55" s="323"/>
      <c r="W55" s="94">
        <v>42755</v>
      </c>
      <c r="X55" s="98">
        <v>36.76</v>
      </c>
      <c r="Y55" s="98">
        <v>37.03</v>
      </c>
      <c r="Z55" s="98">
        <v>36.58</v>
      </c>
      <c r="AA55" s="98">
        <v>36.94</v>
      </c>
      <c r="AB55" s="96">
        <v>23950900</v>
      </c>
      <c r="AC55" s="95">
        <v>36.68</v>
      </c>
      <c r="AD55" s="2">
        <f t="shared" si="0"/>
        <v>0.45000000000000284</v>
      </c>
      <c r="AE55" s="131">
        <f t="shared" si="1"/>
        <v>1.0190030294684682E-2</v>
      </c>
    </row>
    <row r="56" spans="1:31" x14ac:dyDescent="0.25">
      <c r="A56" s="31" t="s">
        <v>81</v>
      </c>
      <c r="B56" s="14"/>
      <c r="C56" s="14">
        <f>SUM(C35:C55)</f>
        <v>1710</v>
      </c>
      <c r="D56" s="14"/>
      <c r="E56" s="14"/>
      <c r="F56" s="18">
        <f>SUM(F35:F55)</f>
        <v>51257.2</v>
      </c>
      <c r="G56" s="18"/>
      <c r="H56" s="68">
        <f>SUM(H35:H55)</f>
        <v>1710</v>
      </c>
      <c r="I56" s="18"/>
      <c r="J56" s="18"/>
      <c r="K56" s="18">
        <f>SUM(K35:K55)</f>
        <v>52482.34</v>
      </c>
      <c r="L56" s="18"/>
      <c r="M56" s="18">
        <f>SUM(M35:M49)</f>
        <v>182.4</v>
      </c>
      <c r="O56" s="78">
        <v>0.95</v>
      </c>
      <c r="P56" s="78">
        <f t="shared" si="4"/>
        <v>48.354999999999997</v>
      </c>
      <c r="T56" s="82" t="s">
        <v>110</v>
      </c>
      <c r="U56" s="83">
        <v>17.079999999999998</v>
      </c>
      <c r="V56" s="323"/>
      <c r="W56" s="94">
        <v>42754</v>
      </c>
      <c r="X56" s="98">
        <v>36.51</v>
      </c>
      <c r="Y56" s="98">
        <v>36.909999999999997</v>
      </c>
      <c r="Z56" s="98">
        <v>36.51</v>
      </c>
      <c r="AA56" s="98">
        <v>36.57</v>
      </c>
      <c r="AB56" s="96">
        <v>13654500</v>
      </c>
      <c r="AC56" s="95">
        <v>36.31</v>
      </c>
      <c r="AD56" s="2">
        <f t="shared" si="0"/>
        <v>0.39999999999999858</v>
      </c>
      <c r="AE56" s="131">
        <f t="shared" si="1"/>
        <v>-5.2054794520547398E-3</v>
      </c>
    </row>
    <row r="57" spans="1:31" x14ac:dyDescent="0.25">
      <c r="O57" s="78">
        <v>0.94</v>
      </c>
      <c r="P57" s="78">
        <f t="shared" si="4"/>
        <v>47.845999999999997</v>
      </c>
      <c r="T57" s="82" t="s">
        <v>111</v>
      </c>
      <c r="U57" s="83">
        <v>2.12</v>
      </c>
      <c r="V57" s="323"/>
      <c r="W57" s="94">
        <v>42753</v>
      </c>
      <c r="X57" s="98">
        <v>36.89</v>
      </c>
      <c r="Y57" s="98">
        <v>37.01</v>
      </c>
      <c r="Z57" s="98">
        <v>36.61</v>
      </c>
      <c r="AA57" s="98">
        <v>36.76</v>
      </c>
      <c r="AB57" s="96">
        <v>15382500</v>
      </c>
      <c r="AC57" s="95">
        <v>36.5</v>
      </c>
      <c r="AD57" s="2">
        <f t="shared" si="0"/>
        <v>0.39999999999999858</v>
      </c>
      <c r="AE57" s="131">
        <f t="shared" si="1"/>
        <v>-1.0946907498631253E-3</v>
      </c>
    </row>
    <row r="58" spans="1:31" x14ac:dyDescent="0.25">
      <c r="O58" s="78">
        <v>0.93</v>
      </c>
      <c r="P58" s="78">
        <f t="shared" si="4"/>
        <v>47.337000000000003</v>
      </c>
      <c r="T58" s="82" t="s">
        <v>108</v>
      </c>
      <c r="U58" s="83" t="s">
        <v>492</v>
      </c>
      <c r="V58" s="323"/>
      <c r="W58" s="94">
        <v>42752</v>
      </c>
      <c r="X58" s="98">
        <v>36.67</v>
      </c>
      <c r="Y58" s="98">
        <v>36.83</v>
      </c>
      <c r="Z58" s="98">
        <v>36.590000000000003</v>
      </c>
      <c r="AA58" s="98">
        <v>36.799999999999997</v>
      </c>
      <c r="AB58" s="96">
        <v>20195200</v>
      </c>
      <c r="AC58" s="95">
        <v>36.54</v>
      </c>
      <c r="AD58" s="2">
        <f t="shared" si="0"/>
        <v>0.23999999999999488</v>
      </c>
      <c r="AE58" s="131">
        <f t="shared" si="1"/>
        <v>2.7374760470832982E-4</v>
      </c>
    </row>
    <row r="59" spans="1:31" x14ac:dyDescent="0.25">
      <c r="O59" s="78">
        <v>0.92</v>
      </c>
      <c r="P59" s="78">
        <f t="shared" si="4"/>
        <v>46.828000000000003</v>
      </c>
      <c r="W59" s="94">
        <v>42748</v>
      </c>
      <c r="X59" s="98">
        <v>36.71</v>
      </c>
      <c r="Y59" s="98">
        <v>36.86</v>
      </c>
      <c r="Z59" s="98">
        <v>36.619999999999997</v>
      </c>
      <c r="AA59" s="98">
        <v>36.79</v>
      </c>
      <c r="AB59" s="96">
        <v>15072200</v>
      </c>
      <c r="AC59" s="95">
        <v>36.53</v>
      </c>
      <c r="AD59" s="2">
        <f t="shared" si="0"/>
        <v>0.24000000000000199</v>
      </c>
      <c r="AE59" s="131">
        <f t="shared" si="1"/>
        <v>2.1947873799725848E-3</v>
      </c>
    </row>
    <row r="60" spans="1:31" x14ac:dyDescent="0.25">
      <c r="O60" s="78">
        <v>0.91</v>
      </c>
      <c r="P60" s="78">
        <f t="shared" si="4"/>
        <v>46.319000000000003</v>
      </c>
      <c r="W60" s="94">
        <v>42747</v>
      </c>
      <c r="X60" s="98">
        <v>36.83</v>
      </c>
      <c r="Y60" s="98">
        <v>36.83</v>
      </c>
      <c r="Z60" s="98">
        <v>36.32</v>
      </c>
      <c r="AA60" s="98">
        <v>36.71</v>
      </c>
      <c r="AB60" s="96">
        <v>20391900</v>
      </c>
      <c r="AC60" s="95">
        <v>36.450000000000003</v>
      </c>
      <c r="AD60" s="2">
        <f t="shared" si="0"/>
        <v>0.50999999999999801</v>
      </c>
      <c r="AE60" s="131">
        <f t="shared" si="1"/>
        <v>-6.5412919051511809E-3</v>
      </c>
    </row>
    <row r="61" spans="1:31" x14ac:dyDescent="0.25">
      <c r="O61" s="78">
        <v>0.9</v>
      </c>
      <c r="P61" s="78">
        <f t="shared" si="4"/>
        <v>45.81</v>
      </c>
      <c r="W61" s="94">
        <v>42746</v>
      </c>
      <c r="X61" s="98">
        <v>36.51</v>
      </c>
      <c r="Y61" s="98">
        <v>37</v>
      </c>
      <c r="Z61" s="98">
        <v>36.51</v>
      </c>
      <c r="AA61" s="98">
        <v>36.950000000000003</v>
      </c>
      <c r="AB61" s="96">
        <v>22398400</v>
      </c>
      <c r="AC61" s="95">
        <v>36.69</v>
      </c>
      <c r="AD61" s="2">
        <f t="shared" si="0"/>
        <v>0.49000000000000199</v>
      </c>
      <c r="AE61" s="131">
        <f t="shared" si="1"/>
        <v>1.1300992282249123E-2</v>
      </c>
    </row>
    <row r="62" spans="1:31" x14ac:dyDescent="0.25">
      <c r="W62" s="94">
        <v>42745</v>
      </c>
      <c r="X62" s="98">
        <v>36.549999999999997</v>
      </c>
      <c r="Y62" s="98">
        <v>36.93</v>
      </c>
      <c r="Z62" s="98">
        <v>36.53</v>
      </c>
      <c r="AA62" s="98">
        <v>36.54</v>
      </c>
      <c r="AB62" s="96">
        <v>15918800</v>
      </c>
      <c r="AC62" s="95">
        <v>36.28</v>
      </c>
      <c r="AD62" s="2">
        <f t="shared" si="0"/>
        <v>0.39999999999999858</v>
      </c>
      <c r="AE62" s="131">
        <f t="shared" si="1"/>
        <v>-1.9257221458046647E-3</v>
      </c>
    </row>
    <row r="63" spans="1:31" x14ac:dyDescent="0.25">
      <c r="W63" s="94">
        <v>42744</v>
      </c>
      <c r="X63" s="98">
        <v>36.479999999999997</v>
      </c>
      <c r="Y63" s="98">
        <v>36.89</v>
      </c>
      <c r="Z63" s="98">
        <v>36.479999999999997</v>
      </c>
      <c r="AA63" s="98">
        <v>36.61</v>
      </c>
      <c r="AB63" s="96">
        <v>19449400</v>
      </c>
      <c r="AC63" s="95">
        <v>36.35</v>
      </c>
      <c r="AD63" s="2">
        <f t="shared" si="0"/>
        <v>0.41000000000000369</v>
      </c>
      <c r="AE63" s="131">
        <f t="shared" si="1"/>
        <v>3.5891772501381869E-3</v>
      </c>
    </row>
    <row r="64" spans="1:31" x14ac:dyDescent="0.25">
      <c r="W64" s="94">
        <v>42741</v>
      </c>
      <c r="X64" s="98">
        <v>36.590000000000003</v>
      </c>
      <c r="Y64" s="98">
        <v>36.68</v>
      </c>
      <c r="Z64" s="98">
        <v>36.19</v>
      </c>
      <c r="AA64" s="98">
        <v>36.479999999999997</v>
      </c>
      <c r="AB64" s="96">
        <v>15114000</v>
      </c>
      <c r="AC64" s="95">
        <v>36.22</v>
      </c>
      <c r="AD64" s="2">
        <f t="shared" si="0"/>
        <v>0.49000000000000199</v>
      </c>
      <c r="AE64" s="131">
        <f t="shared" si="1"/>
        <v>3.6021058464947853E-3</v>
      </c>
    </row>
    <row r="65" spans="23:31" x14ac:dyDescent="0.25">
      <c r="W65" s="94">
        <v>42740</v>
      </c>
      <c r="X65" s="98">
        <v>36.450000000000003</v>
      </c>
      <c r="Y65" s="98">
        <v>36.72</v>
      </c>
      <c r="Z65" s="98">
        <v>36.31</v>
      </c>
      <c r="AA65" s="98">
        <v>36.35</v>
      </c>
      <c r="AB65" s="96">
        <v>13986000</v>
      </c>
      <c r="AC65" s="95">
        <v>36.090000000000003</v>
      </c>
      <c r="AD65" s="2">
        <f t="shared" si="0"/>
        <v>0.40999999999999659</v>
      </c>
      <c r="AE65" s="131">
        <f t="shared" si="1"/>
        <v>-1.6597510373442814E-3</v>
      </c>
    </row>
    <row r="66" spans="23:31" x14ac:dyDescent="0.25">
      <c r="W66" s="94">
        <v>42739</v>
      </c>
      <c r="X66" s="98">
        <v>36.71</v>
      </c>
      <c r="Y66" s="98">
        <v>36.770000000000003</v>
      </c>
      <c r="Z66" s="98">
        <v>36.340000000000003</v>
      </c>
      <c r="AA66" s="98">
        <v>36.409999999999997</v>
      </c>
      <c r="AB66" s="96">
        <v>15915700</v>
      </c>
      <c r="AC66" s="95">
        <v>36.15</v>
      </c>
      <c r="AD66" s="2">
        <f t="shared" si="0"/>
        <v>0.42999999999999972</v>
      </c>
      <c r="AE66" s="131">
        <f t="shared" si="1"/>
        <v>-5.2283984589984733E-3</v>
      </c>
    </row>
    <row r="67" spans="23:31" x14ac:dyDescent="0.25">
      <c r="W67" s="94">
        <v>42738</v>
      </c>
      <c r="X67" s="98">
        <v>36.61</v>
      </c>
      <c r="Y67" s="98">
        <v>36.93</v>
      </c>
      <c r="Z67" s="98">
        <v>36.270000000000003</v>
      </c>
      <c r="AA67" s="98">
        <v>36.6</v>
      </c>
      <c r="AB67" s="96">
        <v>20196500</v>
      </c>
      <c r="AC67" s="95">
        <v>36.340000000000003</v>
      </c>
      <c r="AD67" s="2">
        <f>Y67-Z67</f>
        <v>0.65999999999999659</v>
      </c>
      <c r="AE67" s="131" t="e">
        <f>AC67/#REF!-1</f>
        <v>#REF!</v>
      </c>
    </row>
    <row r="68" spans="23:31" x14ac:dyDescent="0.25">
      <c r="W68" s="94">
        <v>42734</v>
      </c>
      <c r="X68" s="98">
        <v>36.79</v>
      </c>
      <c r="Y68" s="98">
        <v>36.799999999999997</v>
      </c>
      <c r="Z68" s="98">
        <v>36.200000000000003</v>
      </c>
      <c r="AA68" s="98">
        <v>36.270000000000003</v>
      </c>
      <c r="AB68" s="96">
        <v>17468000</v>
      </c>
      <c r="AC68" s="95">
        <v>36.01</v>
      </c>
      <c r="AD68" s="2" t="e">
        <f>#REF!-#REF!</f>
        <v>#REF!</v>
      </c>
      <c r="AE68" s="131" t="e">
        <f>#REF!/AC69-1</f>
        <v>#REF!</v>
      </c>
    </row>
    <row r="69" spans="23:31" x14ac:dyDescent="0.25">
      <c r="W69" s="94" t="s">
        <v>120</v>
      </c>
      <c r="X69" s="98"/>
      <c r="Y69" s="98"/>
      <c r="Z69" s="98"/>
      <c r="AA69" s="98"/>
      <c r="AB69" s="96"/>
      <c r="AC69" s="95"/>
      <c r="AD69" s="2">
        <f>Y69-Z69</f>
        <v>0</v>
      </c>
      <c r="AE69" s="131" t="e">
        <f>AC69/AC70-1</f>
        <v>#DIV/0!</v>
      </c>
    </row>
  </sheetData>
  <mergeCells count="1">
    <mergeCell ref="O40:P40"/>
  </mergeCells>
  <conditionalFormatting sqref="O41:O61">
    <cfRule type="colorScale" priority="12">
      <colorScale>
        <cfvo type="min"/>
        <cfvo type="percentile" val="50"/>
        <cfvo type="max"/>
        <color rgb="FFF8696B"/>
        <color rgb="FFFFEB84"/>
        <color rgb="FF63BE7B"/>
      </colorScale>
    </cfRule>
  </conditionalFormatting>
  <conditionalFormatting sqref="P41:P61">
    <cfRule type="colorScale" priority="11">
      <colorScale>
        <cfvo type="min"/>
        <cfvo type="percentile" val="50"/>
        <cfvo type="max"/>
        <color rgb="FFF8696B"/>
        <color rgb="FFFFEB84"/>
        <color rgb="FF63BE7B"/>
      </colorScale>
    </cfRule>
  </conditionalFormatting>
  <conditionalFormatting sqref="AD1:AD1048576">
    <cfRule type="dataBar" priority="10">
      <dataBar>
        <cfvo type="min"/>
        <cfvo type="max"/>
        <color rgb="FFFF555A"/>
      </dataBar>
      <extLst>
        <ext xmlns:x14="http://schemas.microsoft.com/office/spreadsheetml/2009/9/main" uri="{B025F937-C7B1-47D3-B67F-A62EFF666E3E}">
          <x14:id>{68FA9E1A-442B-4777-9178-0221A93E17EB}</x14:id>
        </ext>
      </extLst>
    </cfRule>
  </conditionalFormatting>
  <conditionalFormatting sqref="F21">
    <cfRule type="expression" dxfId="1297" priority="7">
      <formula>F21&gt;0</formula>
    </cfRule>
    <cfRule type="expression" dxfId="1296" priority="8">
      <formula>F21&lt;0</formula>
    </cfRule>
  </conditionalFormatting>
  <conditionalFormatting sqref="F22">
    <cfRule type="expression" dxfId="1295" priority="5">
      <formula>F22&gt;0</formula>
    </cfRule>
    <cfRule type="expression" dxfId="1294" priority="6">
      <formula>F22&lt;0</formula>
    </cfRule>
  </conditionalFormatting>
  <conditionalFormatting sqref="Q8">
    <cfRule type="expression" dxfId="1293" priority="1">
      <formula>Q8&gt;0</formula>
    </cfRule>
    <cfRule type="expression" dxfId="1292" priority="2">
      <formula>Q8&lt;0</formula>
    </cfRule>
  </conditionalFormatting>
  <conditionalFormatting sqref="Q7">
    <cfRule type="expression" dxfId="1291" priority="3">
      <formula>Q7&gt;0</formula>
    </cfRule>
    <cfRule type="expression" dxfId="1290"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68FA9E1A-442B-4777-9178-0221A93E17EB}">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9" id="{4FCE94D8-972F-4050-8ECB-8C96763D1AF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V6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28515625" style="33" customWidth="1"/>
    <col min="20" max="20" width="18.5703125" style="41" customWidth="1"/>
    <col min="21" max="21" width="35.5703125" style="33" bestFit="1" customWidth="1"/>
    <col min="23" max="23" width="12.85546875" customWidth="1"/>
    <col min="24" max="24" width="13.140625" bestFit="1" customWidth="1"/>
    <col min="25" max="27" width="7" bestFit="1" customWidth="1"/>
    <col min="28" max="28" width="10.140625" bestFit="1" customWidth="1"/>
    <col min="29" max="29" width="10.28515625" bestFit="1" customWidth="1"/>
    <col min="30" max="30" width="12.42578125" customWidth="1"/>
    <col min="31" max="31" width="1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R1" s="32"/>
      <c r="T1" s="42"/>
      <c r="U1" s="32"/>
    </row>
    <row r="2" spans="1:22" x14ac:dyDescent="0.25">
      <c r="A2" s="6" t="s">
        <v>42</v>
      </c>
      <c r="B2" s="69"/>
      <c r="C2" s="4"/>
      <c r="D2" s="3"/>
      <c r="E2" s="3"/>
      <c r="F2" s="3"/>
      <c r="G2" s="69"/>
      <c r="H2" s="4"/>
      <c r="I2" s="3"/>
      <c r="J2" s="3"/>
      <c r="K2" s="3"/>
      <c r="L2" s="69"/>
      <c r="M2" s="3"/>
      <c r="O2" s="11" t="s">
        <v>57</v>
      </c>
      <c r="Q2">
        <f>C18-H18</f>
        <v>0</v>
      </c>
      <c r="T2" s="42"/>
    </row>
    <row r="3" spans="1:22" x14ac:dyDescent="0.25">
      <c r="A3" s="22" t="s">
        <v>71</v>
      </c>
      <c r="B3" s="69"/>
      <c r="C3" s="4"/>
      <c r="D3" s="3"/>
      <c r="E3" s="3"/>
      <c r="F3" s="3"/>
      <c r="G3" s="69"/>
      <c r="H3" s="4"/>
      <c r="I3" s="3"/>
      <c r="J3" s="3"/>
      <c r="K3" s="3"/>
      <c r="L3" s="4"/>
      <c r="M3" s="4"/>
      <c r="O3" s="11" t="s">
        <v>58</v>
      </c>
      <c r="Q3" s="75">
        <f>IF(Q2=0, Q4,(F18-K18-M18)/Q2)</f>
        <v>166.05</v>
      </c>
    </row>
    <row r="4" spans="1:22" x14ac:dyDescent="0.25">
      <c r="B4" s="69"/>
      <c r="C4" s="4"/>
      <c r="D4" s="3"/>
      <c r="E4" s="3"/>
      <c r="F4" s="3"/>
      <c r="G4" s="69"/>
      <c r="H4" s="4"/>
      <c r="I4" s="3"/>
      <c r="J4" s="3"/>
      <c r="K4" s="3"/>
      <c r="L4" s="4"/>
      <c r="M4" s="4"/>
      <c r="O4" s="11" t="s">
        <v>66</v>
      </c>
      <c r="Q4" s="53">
        <v>166.05</v>
      </c>
      <c r="R4" s="411">
        <v>1.0500000000000001E-2</v>
      </c>
    </row>
    <row r="5" spans="1:22" x14ac:dyDescent="0.25">
      <c r="B5" s="69"/>
      <c r="C5" s="4"/>
      <c r="D5" s="3"/>
      <c r="E5" s="3"/>
      <c r="F5" s="3"/>
      <c r="G5" s="69"/>
      <c r="H5" s="4"/>
      <c r="I5" s="3"/>
      <c r="J5" s="3"/>
      <c r="K5" s="3"/>
      <c r="L5" s="4"/>
      <c r="M5" s="4"/>
      <c r="O5" s="11" t="s">
        <v>67</v>
      </c>
      <c r="Q5" s="3">
        <f>Q4*Q2</f>
        <v>0</v>
      </c>
      <c r="V5" s="2"/>
    </row>
    <row r="6" spans="1:22" x14ac:dyDescent="0.25">
      <c r="B6" s="69"/>
      <c r="C6" s="4"/>
      <c r="D6" s="3"/>
      <c r="E6" s="3"/>
      <c r="F6" s="3"/>
      <c r="G6" s="4"/>
      <c r="H6" s="4"/>
      <c r="I6" s="3"/>
      <c r="J6" s="3"/>
      <c r="K6" s="3"/>
      <c r="L6" s="4"/>
      <c r="M6" s="4"/>
      <c r="O6" s="11" t="s">
        <v>64</v>
      </c>
      <c r="Q6" s="2">
        <f>Q3*Q2</f>
        <v>0</v>
      </c>
    </row>
    <row r="7" spans="1:22" x14ac:dyDescent="0.25">
      <c r="B7" s="69"/>
      <c r="C7" s="4"/>
      <c r="D7" s="3"/>
      <c r="E7" s="3"/>
      <c r="F7" s="3"/>
      <c r="G7" s="4"/>
      <c r="H7" s="4"/>
      <c r="I7" s="3"/>
      <c r="J7" s="3"/>
      <c r="K7" s="3"/>
      <c r="L7" s="4"/>
      <c r="M7" s="4"/>
      <c r="O7" s="11" t="s">
        <v>175</v>
      </c>
      <c r="Q7" s="2">
        <f>Q10+Q8</f>
        <v>128.08999999999833</v>
      </c>
      <c r="R7">
        <v>0</v>
      </c>
    </row>
    <row r="8" spans="1:22" x14ac:dyDescent="0.25">
      <c r="B8" s="69"/>
      <c r="C8" s="4"/>
      <c r="D8" s="3"/>
      <c r="E8" s="3"/>
      <c r="F8" s="3"/>
      <c r="G8" s="4"/>
      <c r="H8" s="4"/>
      <c r="I8" s="3"/>
      <c r="J8" s="3"/>
      <c r="K8" s="3"/>
      <c r="L8" s="4"/>
      <c r="M8" s="4"/>
      <c r="O8" s="11" t="s">
        <v>177</v>
      </c>
      <c r="P8" s="33"/>
      <c r="Q8" s="2">
        <f>K18+M18-F18+Q2*Q4</f>
        <v>0</v>
      </c>
    </row>
    <row r="9" spans="1:22" x14ac:dyDescent="0.25">
      <c r="B9" s="69"/>
      <c r="C9" s="4"/>
      <c r="D9" s="3"/>
      <c r="E9" s="3"/>
      <c r="F9" s="3"/>
      <c r="G9" s="4"/>
      <c r="H9" s="4"/>
      <c r="I9" s="3"/>
      <c r="J9" s="3"/>
      <c r="K9" s="3"/>
      <c r="L9" s="4"/>
      <c r="M9" s="4"/>
      <c r="O9" s="11" t="s">
        <v>202</v>
      </c>
      <c r="Q9" s="131">
        <f>IF(Q2=0, 0, Q8/Q6)</f>
        <v>0</v>
      </c>
    </row>
    <row r="10" spans="1:22" x14ac:dyDescent="0.25">
      <c r="B10" s="69"/>
      <c r="C10" s="4"/>
      <c r="D10" s="3"/>
      <c r="E10" s="3"/>
      <c r="F10" s="3"/>
      <c r="G10" s="4"/>
      <c r="H10" s="4"/>
      <c r="I10" s="3"/>
      <c r="J10" s="3"/>
      <c r="K10" s="3"/>
      <c r="L10" s="4"/>
      <c r="M10" s="4"/>
      <c r="O10" s="11" t="s">
        <v>201</v>
      </c>
      <c r="P10" s="33"/>
      <c r="Q10" s="2">
        <f>M34</f>
        <v>128.08999999999833</v>
      </c>
    </row>
    <row r="11" spans="1:22" x14ac:dyDescent="0.25">
      <c r="B11" s="69"/>
      <c r="C11" s="4"/>
      <c r="D11" s="3"/>
      <c r="E11" s="3"/>
      <c r="F11" s="3"/>
      <c r="G11" s="4"/>
      <c r="H11" s="4"/>
      <c r="I11" s="3"/>
      <c r="J11" s="3"/>
      <c r="K11" s="3"/>
      <c r="L11" s="4"/>
      <c r="M11" s="4"/>
      <c r="O11" s="11" t="s">
        <v>173</v>
      </c>
      <c r="P11" s="33"/>
      <c r="Q11" s="131">
        <f>IF(U58="N/A (N/A)", 0, VALUE(TRIM(CLEAN(MID(U58, FIND("(", U58)+1, 5)))))</f>
        <v>2.18E-2</v>
      </c>
      <c r="T11" s="42"/>
      <c r="U11" s="32"/>
      <c r="V11" s="11"/>
    </row>
    <row r="12" spans="1:22" x14ac:dyDescent="0.25">
      <c r="B12" s="4"/>
      <c r="C12" s="4"/>
      <c r="D12" s="3"/>
      <c r="E12" s="3"/>
      <c r="F12" s="3"/>
      <c r="G12" s="4"/>
      <c r="H12" s="4"/>
      <c r="I12" s="3"/>
      <c r="J12" s="3"/>
      <c r="K12" s="3"/>
      <c r="L12" s="4"/>
      <c r="M12" s="4"/>
      <c r="U12" s="130"/>
    </row>
    <row r="13" spans="1:22" x14ac:dyDescent="0.25">
      <c r="T13" s="63"/>
    </row>
    <row r="18" spans="1:13" x14ac:dyDescent="0.25">
      <c r="A18" s="21" t="s">
        <v>81</v>
      </c>
      <c r="B18" s="12"/>
      <c r="C18" s="12">
        <f>SUM(C2:C11)</f>
        <v>0</v>
      </c>
      <c r="D18" s="13"/>
      <c r="E18" s="13"/>
      <c r="F18" s="13">
        <f>SUM(F2:F11)</f>
        <v>0</v>
      </c>
      <c r="G18" s="12"/>
      <c r="H18" s="12">
        <f>SUM(H2:H7)</f>
        <v>0</v>
      </c>
      <c r="I18" s="13"/>
      <c r="J18" s="13"/>
      <c r="K18" s="13">
        <f>SUM(K2:K7)</f>
        <v>0</v>
      </c>
      <c r="L18" s="13"/>
      <c r="M18" s="13">
        <f>SUM(M2:M7)</f>
        <v>0</v>
      </c>
    </row>
    <row r="23" spans="1:13" x14ac:dyDescent="0.25">
      <c r="B23" s="159" t="s">
        <v>113</v>
      </c>
      <c r="C23" s="159" t="s">
        <v>143</v>
      </c>
      <c r="D23" s="160" t="s">
        <v>142</v>
      </c>
      <c r="E23" s="162" t="s">
        <v>144</v>
      </c>
      <c r="F23" s="162" t="s">
        <v>65</v>
      </c>
      <c r="G23" s="173" t="s">
        <v>148</v>
      </c>
      <c r="H23" s="173" t="s">
        <v>88</v>
      </c>
      <c r="I23" s="173" t="s">
        <v>151</v>
      </c>
    </row>
    <row r="24" spans="1:13" x14ac:dyDescent="0.25">
      <c r="B24" s="161">
        <v>42374</v>
      </c>
      <c r="C24" s="10">
        <v>0</v>
      </c>
      <c r="D24" s="39">
        <v>0</v>
      </c>
      <c r="E24" s="39">
        <v>0</v>
      </c>
      <c r="F24" s="39">
        <v>62.13</v>
      </c>
      <c r="G24" s="39">
        <f>D24*C24</f>
        <v>0</v>
      </c>
      <c r="H24" s="175"/>
      <c r="I24" s="39"/>
    </row>
    <row r="25" spans="1:13" x14ac:dyDescent="0.25">
      <c r="B25" s="161">
        <v>42375</v>
      </c>
      <c r="C25" s="10">
        <v>30</v>
      </c>
      <c r="D25" s="39">
        <v>72.379000000000005</v>
      </c>
      <c r="E25" s="39">
        <v>74.83</v>
      </c>
      <c r="F25" s="39">
        <v>73.53</v>
      </c>
      <c r="G25" s="39">
        <f>D25*C25</f>
        <v>2171.3700000000003</v>
      </c>
      <c r="H25" s="175">
        <f>IF(C25=0, 0, (E25-D25)/D25)</f>
        <v>3.3863413421019818E-2</v>
      </c>
      <c r="I25" s="39"/>
    </row>
    <row r="26" spans="1:13" x14ac:dyDescent="0.25">
      <c r="B26" s="161">
        <v>42403</v>
      </c>
      <c r="C26" s="10">
        <v>30</v>
      </c>
      <c r="D26" s="39">
        <v>72.379000000000005</v>
      </c>
      <c r="E26" s="39">
        <v>72.260000000000005</v>
      </c>
      <c r="F26" s="39">
        <v>-3.57</v>
      </c>
      <c r="G26" s="39">
        <f>D26*C26</f>
        <v>2171.3700000000003</v>
      </c>
      <c r="H26" s="175">
        <f>IF(C26=0, 0, (E26-D26)/D26)</f>
        <v>-1.6441232954309919E-3</v>
      </c>
      <c r="I26" s="39"/>
    </row>
    <row r="27" spans="1:13" x14ac:dyDescent="0.25">
      <c r="B27" s="161">
        <v>42409</v>
      </c>
      <c r="C27" s="10">
        <v>0</v>
      </c>
      <c r="D27" s="39">
        <v>0</v>
      </c>
      <c r="E27" s="39">
        <v>0</v>
      </c>
      <c r="F27" s="39">
        <v>128.09</v>
      </c>
      <c r="G27" s="39">
        <v>0</v>
      </c>
      <c r="H27" s="175"/>
      <c r="I27" s="39"/>
    </row>
    <row r="28" spans="1:13" x14ac:dyDescent="0.25">
      <c r="B28" s="161"/>
      <c r="C28" s="10"/>
      <c r="D28" s="39"/>
      <c r="E28" s="39"/>
      <c r="F28" s="39"/>
      <c r="G28" s="39"/>
      <c r="H28" s="175"/>
      <c r="I28" s="39"/>
    </row>
    <row r="29" spans="1:13" x14ac:dyDescent="0.25">
      <c r="B29" s="161"/>
      <c r="C29" s="10"/>
      <c r="D29" s="39"/>
      <c r="E29" s="39"/>
      <c r="F29" s="39"/>
      <c r="G29" s="39"/>
      <c r="H29" s="175"/>
      <c r="I29" s="39"/>
    </row>
    <row r="30" spans="1:13" x14ac:dyDescent="0.25">
      <c r="B30" s="161"/>
      <c r="C30" s="10"/>
      <c r="D30" s="39"/>
      <c r="E30" s="39"/>
      <c r="F30" s="39"/>
      <c r="G30" s="39"/>
      <c r="H30" s="175"/>
      <c r="I30" s="39"/>
    </row>
    <row r="34" spans="1:21" x14ac:dyDescent="0.25">
      <c r="L34" t="s">
        <v>201</v>
      </c>
      <c r="M34" s="2">
        <f>M49+K49-F49</f>
        <v>128.08999999999833</v>
      </c>
    </row>
    <row r="35" spans="1:21" x14ac:dyDescent="0.25">
      <c r="A35" s="195" t="s">
        <v>1</v>
      </c>
      <c r="B35" s="195" t="s">
        <v>2</v>
      </c>
      <c r="C35" s="195" t="s">
        <v>4</v>
      </c>
      <c r="D35" s="196" t="s">
        <v>5</v>
      </c>
      <c r="E35" s="196" t="s">
        <v>94</v>
      </c>
      <c r="F35" s="196" t="s">
        <v>60</v>
      </c>
      <c r="G35" s="195" t="s">
        <v>3</v>
      </c>
      <c r="H35" s="195" t="s">
        <v>6</v>
      </c>
      <c r="I35" s="196" t="s">
        <v>7</v>
      </c>
      <c r="J35" s="196" t="s">
        <v>95</v>
      </c>
      <c r="K35" s="196" t="s">
        <v>61</v>
      </c>
      <c r="L35" s="195" t="s">
        <v>37</v>
      </c>
      <c r="M35" s="195" t="s">
        <v>38</v>
      </c>
    </row>
    <row r="36" spans="1:21" x14ac:dyDescent="0.25">
      <c r="A36" s="197" t="s">
        <v>42</v>
      </c>
      <c r="B36" s="198">
        <v>42184</v>
      </c>
      <c r="C36" s="193">
        <v>10</v>
      </c>
      <c r="D36" s="194">
        <v>99.05</v>
      </c>
      <c r="E36" s="194">
        <v>0</v>
      </c>
      <c r="F36" s="194">
        <f>C36*D36</f>
        <v>990.5</v>
      </c>
      <c r="G36" s="198">
        <v>42216</v>
      </c>
      <c r="H36" s="193">
        <v>40</v>
      </c>
      <c r="I36" s="194">
        <v>95.1</v>
      </c>
      <c r="J36" s="194">
        <v>7.0000000000000007E-2</v>
      </c>
      <c r="K36" s="194">
        <f>H36*I36-J36</f>
        <v>3803.93</v>
      </c>
      <c r="L36" s="198">
        <v>42277</v>
      </c>
      <c r="M36" s="194">
        <v>33</v>
      </c>
    </row>
    <row r="37" spans="1:21" x14ac:dyDescent="0.25">
      <c r="A37" s="200" t="s">
        <v>71</v>
      </c>
      <c r="B37" s="198">
        <v>42184</v>
      </c>
      <c r="C37" s="193">
        <v>20</v>
      </c>
      <c r="D37" s="194">
        <v>99.5</v>
      </c>
      <c r="E37" s="194">
        <v>0</v>
      </c>
      <c r="F37" s="194">
        <f t="shared" ref="F37:F43" si="0">C37*D37</f>
        <v>1990</v>
      </c>
      <c r="G37" s="198">
        <v>42216</v>
      </c>
      <c r="H37" s="193">
        <v>20</v>
      </c>
      <c r="I37" s="194">
        <v>95.6</v>
      </c>
      <c r="J37" s="194">
        <v>0.04</v>
      </c>
      <c r="K37" s="194">
        <f>H37*I37-J37</f>
        <v>1911.96</v>
      </c>
      <c r="L37" s="193"/>
      <c r="M37" s="193"/>
    </row>
    <row r="38" spans="1:21" x14ac:dyDescent="0.25">
      <c r="A38" s="193"/>
      <c r="B38" s="198">
        <v>42184</v>
      </c>
      <c r="C38" s="193">
        <v>10</v>
      </c>
      <c r="D38" s="194">
        <v>98.35</v>
      </c>
      <c r="E38" s="194">
        <v>0</v>
      </c>
      <c r="F38" s="194">
        <f t="shared" si="0"/>
        <v>983.5</v>
      </c>
      <c r="G38" s="198">
        <v>42304</v>
      </c>
      <c r="H38" s="193">
        <v>60</v>
      </c>
      <c r="I38" s="194">
        <v>97.2</v>
      </c>
      <c r="J38" s="194">
        <v>0.11</v>
      </c>
      <c r="K38" s="194">
        <f>H38*I38-J38</f>
        <v>5831.89</v>
      </c>
      <c r="L38" s="193"/>
      <c r="M38" s="193"/>
    </row>
    <row r="39" spans="1:21" x14ac:dyDescent="0.25">
      <c r="A39" s="193"/>
      <c r="B39" s="198">
        <v>42184</v>
      </c>
      <c r="C39" s="193">
        <v>20</v>
      </c>
      <c r="D39" s="194">
        <v>98.1</v>
      </c>
      <c r="E39" s="194">
        <v>0</v>
      </c>
      <c r="F39" s="194">
        <f t="shared" si="0"/>
        <v>1962</v>
      </c>
      <c r="G39" s="198">
        <v>42409</v>
      </c>
      <c r="H39" s="193">
        <v>30</v>
      </c>
      <c r="I39" s="194">
        <v>76.650000000000006</v>
      </c>
      <c r="J39" s="194">
        <v>0.04</v>
      </c>
      <c r="K39" s="194">
        <f>H39*I39-J39</f>
        <v>2299.46</v>
      </c>
      <c r="L39" s="193"/>
      <c r="M39" s="193"/>
    </row>
    <row r="40" spans="1:21" x14ac:dyDescent="0.25">
      <c r="A40" s="193"/>
      <c r="B40" s="198">
        <v>42213</v>
      </c>
      <c r="C40" s="193">
        <v>10</v>
      </c>
      <c r="D40" s="194">
        <v>92.5</v>
      </c>
      <c r="E40" s="194">
        <v>0</v>
      </c>
      <c r="F40" s="194">
        <f t="shared" si="0"/>
        <v>925</v>
      </c>
      <c r="G40" s="193"/>
      <c r="H40" s="193"/>
      <c r="I40" s="194"/>
      <c r="J40" s="194"/>
      <c r="K40" s="194"/>
      <c r="L40" s="193"/>
      <c r="M40" s="193"/>
    </row>
    <row r="41" spans="1:21" x14ac:dyDescent="0.25">
      <c r="A41" s="193"/>
      <c r="B41" s="198">
        <v>42213</v>
      </c>
      <c r="C41" s="193">
        <v>10</v>
      </c>
      <c r="D41" s="194">
        <v>91.65</v>
      </c>
      <c r="E41" s="194">
        <v>0</v>
      </c>
      <c r="F41" s="194">
        <f t="shared" si="0"/>
        <v>916.5</v>
      </c>
      <c r="G41" s="193"/>
      <c r="H41" s="193"/>
      <c r="I41" s="194"/>
      <c r="J41" s="194"/>
      <c r="K41" s="194"/>
      <c r="L41" s="193"/>
      <c r="M41" s="193"/>
    </row>
    <row r="42" spans="1:21" ht="20.25" thickBot="1" x14ac:dyDescent="0.35">
      <c r="A42" s="193"/>
      <c r="B42" s="198">
        <v>42213</v>
      </c>
      <c r="C42" s="193">
        <v>15</v>
      </c>
      <c r="D42" s="194">
        <v>94</v>
      </c>
      <c r="E42" s="194">
        <v>0</v>
      </c>
      <c r="F42" s="194">
        <f t="shared" si="0"/>
        <v>1410</v>
      </c>
      <c r="G42" s="193"/>
      <c r="H42" s="193"/>
      <c r="I42" s="194"/>
      <c r="J42" s="194"/>
      <c r="K42" s="194"/>
      <c r="L42" s="193"/>
      <c r="M42" s="193"/>
      <c r="T42" s="86" t="s">
        <v>112</v>
      </c>
    </row>
    <row r="43" spans="1:21" ht="15.75" thickTop="1" x14ac:dyDescent="0.25">
      <c r="A43" s="193"/>
      <c r="B43" s="198">
        <v>42213</v>
      </c>
      <c r="C43" s="193">
        <v>15</v>
      </c>
      <c r="D43" s="194">
        <v>92.75</v>
      </c>
      <c r="E43" s="194">
        <v>0</v>
      </c>
      <c r="F43" s="194">
        <f t="shared" si="0"/>
        <v>1391.25</v>
      </c>
      <c r="G43" s="193"/>
      <c r="H43" s="193"/>
      <c r="I43" s="194"/>
      <c r="J43" s="194"/>
      <c r="K43" s="194"/>
      <c r="L43" s="193"/>
      <c r="M43" s="193"/>
      <c r="T43" s="92" t="s">
        <v>97</v>
      </c>
      <c r="U43" s="123">
        <v>115.19</v>
      </c>
    </row>
    <row r="44" spans="1:21" x14ac:dyDescent="0.25">
      <c r="A44" s="193"/>
      <c r="B44" s="198">
        <v>42226</v>
      </c>
      <c r="C44" s="193">
        <v>10</v>
      </c>
      <c r="D44" s="194">
        <v>94.99</v>
      </c>
      <c r="E44" s="194">
        <v>0</v>
      </c>
      <c r="F44" s="194">
        <f>C44*D44</f>
        <v>949.9</v>
      </c>
      <c r="G44" s="193"/>
      <c r="H44" s="193"/>
      <c r="I44" s="194"/>
      <c r="J44" s="194"/>
      <c r="K44" s="194"/>
      <c r="L44" s="193"/>
      <c r="M44" s="193"/>
      <c r="T44" s="82" t="s">
        <v>98</v>
      </c>
      <c r="U44" s="124">
        <v>115.59</v>
      </c>
    </row>
    <row r="45" spans="1:21" x14ac:dyDescent="0.25">
      <c r="A45" s="193"/>
      <c r="B45" s="198">
        <v>42375</v>
      </c>
      <c r="C45" s="193">
        <v>30</v>
      </c>
      <c r="D45" s="194">
        <v>74.45</v>
      </c>
      <c r="E45" s="194">
        <v>0</v>
      </c>
      <c r="F45" s="194">
        <f>C45*D45</f>
        <v>2233.5</v>
      </c>
      <c r="G45" s="193"/>
      <c r="H45" s="193"/>
      <c r="I45" s="194"/>
      <c r="J45" s="194"/>
      <c r="K45" s="194"/>
      <c r="L45" s="193"/>
      <c r="M45" s="193"/>
      <c r="T45" s="82" t="s">
        <v>99</v>
      </c>
      <c r="U45" s="124" t="s">
        <v>128</v>
      </c>
    </row>
    <row r="46" spans="1:21" ht="20.25" thickBot="1" x14ac:dyDescent="0.35">
      <c r="A46" s="193"/>
      <c r="B46" s="193"/>
      <c r="C46" s="193"/>
      <c r="D46" s="194"/>
      <c r="E46" s="194"/>
      <c r="F46" s="194"/>
      <c r="G46" s="193"/>
      <c r="H46" s="193"/>
      <c r="I46" s="194"/>
      <c r="J46" s="194"/>
      <c r="K46" s="194"/>
      <c r="L46" s="193"/>
      <c r="M46" s="193"/>
      <c r="O46" s="886" t="s">
        <v>78</v>
      </c>
      <c r="P46" s="886"/>
      <c r="Q46" s="33"/>
      <c r="R46"/>
      <c r="T46" s="82" t="s">
        <v>100</v>
      </c>
      <c r="U46" s="124" t="s">
        <v>128</v>
      </c>
    </row>
    <row r="47" spans="1:21" ht="15.75" thickTop="1" x14ac:dyDescent="0.25">
      <c r="A47" s="193"/>
      <c r="B47" s="193"/>
      <c r="C47" s="193"/>
      <c r="D47" s="194"/>
      <c r="E47" s="194"/>
      <c r="F47" s="194"/>
      <c r="G47" s="193"/>
      <c r="H47" s="193"/>
      <c r="I47" s="194"/>
      <c r="J47" s="194"/>
      <c r="K47" s="194"/>
      <c r="L47" s="193"/>
      <c r="M47" s="193"/>
      <c r="O47" s="78">
        <v>1.1000000000000001</v>
      </c>
      <c r="P47" s="78">
        <f>O47*$Q$4</f>
        <v>182.65500000000003</v>
      </c>
      <c r="Q47" s="33"/>
      <c r="R47"/>
      <c r="T47" s="82" t="s">
        <v>101</v>
      </c>
      <c r="U47" s="124">
        <v>119.17</v>
      </c>
    </row>
    <row r="48" spans="1:21" x14ac:dyDescent="0.25">
      <c r="A48" s="193"/>
      <c r="B48" s="193"/>
      <c r="C48" s="193"/>
      <c r="D48" s="194"/>
      <c r="E48" s="194"/>
      <c r="F48" s="194"/>
      <c r="G48" s="193"/>
      <c r="H48" s="193"/>
      <c r="I48" s="194"/>
      <c r="J48" s="194"/>
      <c r="K48" s="194"/>
      <c r="L48" s="193"/>
      <c r="M48" s="193"/>
      <c r="O48" s="78">
        <v>1.0900000000000001</v>
      </c>
      <c r="P48" s="78">
        <f t="shared" ref="P48:P67" si="1">O48*$Q$4</f>
        <v>180.99450000000002</v>
      </c>
      <c r="Q48" s="33"/>
      <c r="R48"/>
      <c r="T48" s="82" t="s">
        <v>102</v>
      </c>
      <c r="U48" s="124">
        <v>1.4616</v>
      </c>
    </row>
    <row r="49" spans="1:21" x14ac:dyDescent="0.25">
      <c r="A49" s="31" t="s">
        <v>81</v>
      </c>
      <c r="B49" s="14"/>
      <c r="C49" s="14">
        <f>SUM(C36:C45)</f>
        <v>150</v>
      </c>
      <c r="D49" s="18"/>
      <c r="E49" s="18"/>
      <c r="F49" s="18">
        <f>SUM(F36:F45)</f>
        <v>13752.15</v>
      </c>
      <c r="G49" s="14"/>
      <c r="H49" s="14">
        <f>SUM(H36:H41)</f>
        <v>150</v>
      </c>
      <c r="I49" s="18"/>
      <c r="J49" s="18"/>
      <c r="K49" s="18">
        <f>SUM(K36:K41)</f>
        <v>13847.239999999998</v>
      </c>
      <c r="L49" s="18"/>
      <c r="M49" s="18">
        <f>SUM(M36:M41)</f>
        <v>33</v>
      </c>
      <c r="O49" s="78">
        <v>1.08</v>
      </c>
      <c r="P49" s="78">
        <f t="shared" si="1"/>
        <v>179.33400000000003</v>
      </c>
      <c r="Q49" s="33"/>
      <c r="R49"/>
      <c r="T49" s="82" t="s">
        <v>103</v>
      </c>
      <c r="U49" s="89" t="s">
        <v>548</v>
      </c>
    </row>
    <row r="50" spans="1:21" x14ac:dyDescent="0.25">
      <c r="A50" s="193"/>
      <c r="B50" s="193"/>
      <c r="C50" s="193"/>
      <c r="D50" s="194"/>
      <c r="E50" s="194"/>
      <c r="F50" s="194"/>
      <c r="G50" s="193"/>
      <c r="H50" s="193"/>
      <c r="I50" s="194"/>
      <c r="J50" s="194"/>
      <c r="K50" s="194"/>
      <c r="L50" s="193"/>
      <c r="M50" s="193"/>
      <c r="O50" s="78">
        <v>1.07</v>
      </c>
      <c r="P50" s="78">
        <f t="shared" si="1"/>
        <v>177.67350000000002</v>
      </c>
      <c r="Q50" s="78"/>
      <c r="R50"/>
      <c r="T50" s="82"/>
      <c r="U50" s="124"/>
    </row>
    <row r="51" spans="1:21" x14ac:dyDescent="0.25">
      <c r="O51" s="78">
        <v>1.06</v>
      </c>
      <c r="P51" s="78">
        <f t="shared" si="1"/>
        <v>176.01300000000003</v>
      </c>
      <c r="Q51" s="78"/>
      <c r="R51"/>
      <c r="T51" s="82" t="s">
        <v>104</v>
      </c>
      <c r="U51" s="124" t="s">
        <v>549</v>
      </c>
    </row>
    <row r="52" spans="1:21" x14ac:dyDescent="0.25">
      <c r="O52" s="78">
        <v>1.05</v>
      </c>
      <c r="P52" s="78">
        <f t="shared" si="1"/>
        <v>174.35250000000002</v>
      </c>
      <c r="Q52" s="78"/>
      <c r="R52"/>
      <c r="T52" s="82" t="s">
        <v>105</v>
      </c>
      <c r="U52" s="124" t="s">
        <v>456</v>
      </c>
    </row>
    <row r="53" spans="1:21" x14ac:dyDescent="0.25">
      <c r="O53" s="78">
        <v>1.04</v>
      </c>
      <c r="P53" s="78">
        <f t="shared" si="1"/>
        <v>172.69200000000001</v>
      </c>
      <c r="Q53" s="78"/>
      <c r="R53"/>
      <c r="T53" s="82" t="s">
        <v>106</v>
      </c>
      <c r="U53" s="125">
        <v>1726477</v>
      </c>
    </row>
    <row r="54" spans="1:21" x14ac:dyDescent="0.25">
      <c r="O54" s="78">
        <v>1.03</v>
      </c>
      <c r="P54" s="78">
        <f t="shared" si="1"/>
        <v>171.03150000000002</v>
      </c>
      <c r="Q54" s="78"/>
      <c r="R54"/>
      <c r="T54" s="82" t="s">
        <v>109</v>
      </c>
      <c r="U54" s="125">
        <v>2143790</v>
      </c>
    </row>
    <row r="55" spans="1:21" x14ac:dyDescent="0.25">
      <c r="O55" s="78">
        <v>1.02</v>
      </c>
      <c r="P55" s="78">
        <f t="shared" si="1"/>
        <v>169.37100000000001</v>
      </c>
      <c r="Q55" s="78"/>
      <c r="R55"/>
      <c r="T55" s="82" t="s">
        <v>107</v>
      </c>
      <c r="U55" s="124" t="s">
        <v>550</v>
      </c>
    </row>
    <row r="56" spans="1:21" x14ac:dyDescent="0.25">
      <c r="O56" s="78">
        <v>1.01</v>
      </c>
      <c r="P56" s="78">
        <f t="shared" si="1"/>
        <v>167.71050000000002</v>
      </c>
      <c r="Q56" s="78"/>
      <c r="R56"/>
      <c r="T56" s="82" t="s">
        <v>110</v>
      </c>
      <c r="U56" s="124">
        <v>20.41</v>
      </c>
    </row>
    <row r="57" spans="1:21" x14ac:dyDescent="0.25">
      <c r="O57" s="78">
        <v>1</v>
      </c>
      <c r="P57" s="78">
        <f t="shared" si="1"/>
        <v>166.05</v>
      </c>
      <c r="Q57" s="78"/>
      <c r="R57"/>
      <c r="T57" s="82" t="s">
        <v>111</v>
      </c>
      <c r="U57" s="124">
        <v>5.62</v>
      </c>
    </row>
    <row r="58" spans="1:21" x14ac:dyDescent="0.25">
      <c r="O58" s="78">
        <v>0.99</v>
      </c>
      <c r="P58" s="78">
        <f t="shared" si="1"/>
        <v>164.3895</v>
      </c>
      <c r="Q58" s="78"/>
      <c r="R58"/>
      <c r="T58" s="82" t="s">
        <v>108</v>
      </c>
      <c r="U58" s="124" t="s">
        <v>494</v>
      </c>
    </row>
    <row r="59" spans="1:21" x14ac:dyDescent="0.25">
      <c r="O59" s="78">
        <v>0.98</v>
      </c>
      <c r="P59" s="78">
        <f t="shared" si="1"/>
        <v>162.72900000000001</v>
      </c>
      <c r="Q59" s="78"/>
      <c r="R59"/>
    </row>
    <row r="60" spans="1:21" x14ac:dyDescent="0.25">
      <c r="O60" s="78">
        <v>0.97</v>
      </c>
      <c r="P60" s="78">
        <f t="shared" si="1"/>
        <v>161.0685</v>
      </c>
      <c r="Q60" s="78"/>
      <c r="R60"/>
    </row>
    <row r="61" spans="1:21" x14ac:dyDescent="0.25">
      <c r="O61" s="78">
        <v>0.96</v>
      </c>
      <c r="P61" s="78">
        <f t="shared" si="1"/>
        <v>159.40800000000002</v>
      </c>
      <c r="Q61" s="78"/>
      <c r="R61"/>
    </row>
    <row r="62" spans="1:21" x14ac:dyDescent="0.25">
      <c r="O62" s="78">
        <v>0.95</v>
      </c>
      <c r="P62" s="78">
        <f t="shared" si="1"/>
        <v>157.7475</v>
      </c>
      <c r="Q62" s="78"/>
      <c r="R62"/>
    </row>
    <row r="63" spans="1:21" x14ac:dyDescent="0.25">
      <c r="O63" s="78">
        <v>0.94</v>
      </c>
      <c r="P63" s="78">
        <f t="shared" si="1"/>
        <v>156.08699999999999</v>
      </c>
      <c r="Q63" s="78"/>
      <c r="R63"/>
      <c r="T63" s="81"/>
    </row>
    <row r="64" spans="1:21" x14ac:dyDescent="0.25">
      <c r="O64" s="78">
        <v>0.93</v>
      </c>
      <c r="P64" s="78">
        <f t="shared" si="1"/>
        <v>154.42650000000003</v>
      </c>
      <c r="Q64" s="78"/>
      <c r="R64"/>
      <c r="S64" s="81"/>
      <c r="T64"/>
    </row>
    <row r="65" spans="15:20" x14ac:dyDescent="0.25">
      <c r="O65" s="78">
        <v>0.92</v>
      </c>
      <c r="P65" s="78">
        <f t="shared" si="1"/>
        <v>152.76600000000002</v>
      </c>
      <c r="Q65" s="78"/>
      <c r="R65"/>
      <c r="S65" s="81"/>
      <c r="T65"/>
    </row>
    <row r="66" spans="15:20" x14ac:dyDescent="0.25">
      <c r="O66" s="78">
        <v>0.91</v>
      </c>
      <c r="P66" s="78">
        <f t="shared" si="1"/>
        <v>151.10550000000001</v>
      </c>
      <c r="Q66" s="78"/>
      <c r="R66"/>
      <c r="S66" s="81"/>
      <c r="T66"/>
    </row>
    <row r="67" spans="15:20" x14ac:dyDescent="0.25">
      <c r="O67" s="78">
        <v>0.9</v>
      </c>
      <c r="P67" s="78">
        <f t="shared" si="1"/>
        <v>149.44500000000002</v>
      </c>
      <c r="Q67" s="78"/>
      <c r="R67"/>
      <c r="S67" s="81"/>
      <c r="T67"/>
    </row>
  </sheetData>
  <mergeCells count="1">
    <mergeCell ref="O46:P46"/>
  </mergeCells>
  <conditionalFormatting sqref="O47:O67">
    <cfRule type="colorScale" priority="17">
      <colorScale>
        <cfvo type="min"/>
        <cfvo type="percentile" val="50"/>
        <cfvo type="max"/>
        <color rgb="FFF8696B"/>
        <color rgb="FFFFEB84"/>
        <color rgb="FF63BE7B"/>
      </colorScale>
    </cfRule>
  </conditionalFormatting>
  <conditionalFormatting sqref="P47:P67">
    <cfRule type="colorScale" priority="16">
      <colorScale>
        <cfvo type="min"/>
        <cfvo type="percentile" val="50"/>
        <cfvo type="max"/>
        <color rgb="FFF8696B"/>
        <color rgb="FFFFEB84"/>
        <color rgb="FF63BE7B"/>
      </colorScale>
    </cfRule>
  </conditionalFormatting>
  <conditionalFormatting sqref="Q50:Q67">
    <cfRule type="colorScale" priority="15">
      <colorScale>
        <cfvo type="min"/>
        <cfvo type="percentile" val="50"/>
        <cfvo type="max"/>
        <color rgb="FFF8696B"/>
        <color rgb="FFFFEB84"/>
        <color rgb="FF63BE7B"/>
      </colorScale>
    </cfRule>
  </conditionalFormatting>
  <conditionalFormatting sqref="F24 F26:F30">
    <cfRule type="expression" dxfId="1289" priority="11">
      <formula>F24&gt;0</formula>
    </cfRule>
    <cfRule type="expression" dxfId="1288" priority="12">
      <formula>F24&lt;0</formula>
    </cfRule>
  </conditionalFormatting>
  <conditionalFormatting sqref="H27:H30">
    <cfRule type="expression" dxfId="1287" priority="9">
      <formula>H27&gt;0</formula>
    </cfRule>
    <cfRule type="expression" dxfId="1286" priority="10">
      <formula>H27&lt;0</formula>
    </cfRule>
  </conditionalFormatting>
  <conditionalFormatting sqref="F25">
    <cfRule type="expression" dxfId="1285" priority="7">
      <formula>F25&gt;0</formula>
    </cfRule>
    <cfRule type="expression" dxfId="1284" priority="8">
      <formula>F25&lt;0</formula>
    </cfRule>
  </conditionalFormatting>
  <conditionalFormatting sqref="H24:H26">
    <cfRule type="expression" dxfId="1283" priority="5">
      <formula>H24&gt;0</formula>
    </cfRule>
    <cfRule type="expression" dxfId="1282" priority="6">
      <formula>H24&lt;0</formula>
    </cfRule>
  </conditionalFormatting>
  <conditionalFormatting sqref="Q7">
    <cfRule type="expression" dxfId="1281" priority="3">
      <formula>Q7&gt;0</formula>
    </cfRule>
    <cfRule type="expression" dxfId="1280" priority="4">
      <formula>Q7&lt;0</formula>
    </cfRule>
  </conditionalFormatting>
  <conditionalFormatting sqref="Q8">
    <cfRule type="expression" dxfId="1279" priority="1">
      <formula>Q8&gt;0</formula>
    </cfRule>
    <cfRule type="expression" dxfId="1278" priority="2">
      <formula>Q8&lt;0</formula>
    </cfRule>
  </conditionalFormatting>
  <hyperlinks>
    <hyperlink ref="A3" location="ACTIVE!A1" display="Back"/>
    <hyperlink ref="A37" location="ACTIVE!A1" display="Back"/>
  </hyperlinks>
  <pageMargins left="0.7" right="0.7" top="0.75" bottom="0.75" header="0.3" footer="0.3"/>
  <pageSetup orientation="portrait" horizontalDpi="1200" verticalDpi="1200" r:id="rId1"/>
  <drawing r:id="rId2"/>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3"/>
  <dimension ref="A1:AN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1" customWidth="1"/>
    <col min="21" max="21" width="19.140625" customWidth="1"/>
    <col min="23" max="23" width="16.42578125" style="33" customWidth="1"/>
    <col min="24" max="24" width="5.85546875" customWidth="1"/>
    <col min="25" max="26" width="5.5703125" style="2" customWidth="1"/>
    <col min="27" max="27" width="5.85546875" customWidth="1"/>
    <col min="28" max="28" width="10.140625" customWidth="1"/>
    <col min="29" max="29" width="10.28515625" style="164"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79"/>
      <c r="W1" s="87" t="s">
        <v>113</v>
      </c>
      <c r="X1" s="88" t="s">
        <v>114</v>
      </c>
      <c r="Y1" s="97" t="s">
        <v>115</v>
      </c>
      <c r="Z1" s="97" t="s">
        <v>116</v>
      </c>
      <c r="AA1" s="88" t="s">
        <v>117</v>
      </c>
      <c r="AB1" s="88" t="s">
        <v>118</v>
      </c>
      <c r="AC1" s="188" t="s">
        <v>119</v>
      </c>
      <c r="AD1" s="11" t="s">
        <v>125</v>
      </c>
      <c r="AE1" s="11" t="s">
        <v>127</v>
      </c>
    </row>
    <row r="2" spans="1:40" ht="14.25" customHeight="1" x14ac:dyDescent="0.25">
      <c r="A2" s="6" t="s">
        <v>260</v>
      </c>
      <c r="B2" s="69"/>
      <c r="C2" s="4"/>
      <c r="D2" s="3"/>
      <c r="E2" s="3"/>
      <c r="F2" s="3"/>
      <c r="G2" s="69"/>
      <c r="H2" s="158"/>
      <c r="I2" s="3"/>
      <c r="J2" s="3"/>
      <c r="K2" s="3"/>
      <c r="L2" s="1"/>
      <c r="M2" s="3"/>
      <c r="O2" s="11" t="s">
        <v>57</v>
      </c>
      <c r="Q2">
        <f>C18-H18</f>
        <v>0</v>
      </c>
      <c r="T2" s="80"/>
      <c r="W2" s="89">
        <v>42830</v>
      </c>
      <c r="X2" s="280">
        <v>49.93</v>
      </c>
      <c r="Y2" s="39">
        <v>50.75</v>
      </c>
      <c r="Z2" s="39">
        <v>49.59</v>
      </c>
      <c r="AA2" s="280">
        <v>49.78</v>
      </c>
      <c r="AB2" s="90">
        <v>1141600</v>
      </c>
      <c r="AC2" s="187">
        <v>49.78</v>
      </c>
      <c r="AD2" s="2">
        <f>Y2-Z2</f>
        <v>1.1599999999999966</v>
      </c>
      <c r="AE2" s="131">
        <f>AC2/AC3-1</f>
        <v>4.0192926045024002E-4</v>
      </c>
    </row>
    <row r="3" spans="1:40" x14ac:dyDescent="0.25">
      <c r="A3" s="22" t="s">
        <v>71</v>
      </c>
      <c r="B3" s="69"/>
      <c r="C3" s="4"/>
      <c r="D3" s="3"/>
      <c r="E3" s="3"/>
      <c r="F3" s="3"/>
      <c r="G3" s="69"/>
      <c r="H3" s="158"/>
      <c r="I3" s="3"/>
      <c r="J3" s="3"/>
      <c r="K3" s="3"/>
      <c r="O3" s="11" t="s">
        <v>58</v>
      </c>
      <c r="Q3" s="75">
        <f>IF(Q2=0, Q4, (F18-K18-M18)/Q2)</f>
        <v>53.51</v>
      </c>
      <c r="T3" s="115"/>
      <c r="W3" s="89">
        <v>42829</v>
      </c>
      <c r="X3" s="280">
        <v>50.04</v>
      </c>
      <c r="Y3" s="39">
        <v>50.15</v>
      </c>
      <c r="Z3" s="39">
        <v>49.32</v>
      </c>
      <c r="AA3" s="280">
        <v>49.76</v>
      </c>
      <c r="AB3" s="90">
        <v>1479500</v>
      </c>
      <c r="AC3" s="187">
        <v>49.76</v>
      </c>
      <c r="AD3" s="2">
        <f>Y3-Z3</f>
        <v>0.82999999999999829</v>
      </c>
      <c r="AE3" s="131">
        <f>AC3/AC4-1</f>
        <v>-8.5674437138871795E-3</v>
      </c>
      <c r="AN3" s="178"/>
    </row>
    <row r="4" spans="1:40" x14ac:dyDescent="0.25">
      <c r="B4" s="69"/>
      <c r="C4" s="4"/>
      <c r="D4" s="3"/>
      <c r="E4" s="3"/>
      <c r="F4" s="3"/>
      <c r="G4" s="69"/>
      <c r="H4" s="158"/>
      <c r="I4" s="3"/>
      <c r="J4" s="3"/>
      <c r="K4" s="3"/>
      <c r="O4" s="11" t="s">
        <v>66</v>
      </c>
      <c r="Q4" s="53">
        <v>53.51</v>
      </c>
      <c r="R4" s="412">
        <v>9.2999999999999992E-3</v>
      </c>
      <c r="T4" s="115"/>
      <c r="W4" s="89">
        <v>42828</v>
      </c>
      <c r="X4" s="280">
        <v>50.74</v>
      </c>
      <c r="Y4" s="39">
        <v>50.95</v>
      </c>
      <c r="Z4" s="39">
        <v>50</v>
      </c>
      <c r="AA4" s="280">
        <v>50.19</v>
      </c>
      <c r="AB4" s="90">
        <v>1299500</v>
      </c>
      <c r="AC4" s="187">
        <v>50.19</v>
      </c>
      <c r="AD4" s="2">
        <f t="shared" ref="AD4:AD67" si="0">Y4-Z4</f>
        <v>0.95000000000000284</v>
      </c>
      <c r="AE4" s="131">
        <f t="shared" ref="AE4:AE67" si="1">AC4/AC5-1</f>
        <v>-1.0644589000591398E-2</v>
      </c>
      <c r="AK4" s="178"/>
      <c r="AN4" s="178"/>
    </row>
    <row r="5" spans="1:40" x14ac:dyDescent="0.25">
      <c r="B5" s="69"/>
      <c r="C5" s="4"/>
      <c r="D5" s="3"/>
      <c r="E5" s="3"/>
      <c r="F5" s="3"/>
      <c r="G5" s="69"/>
      <c r="H5" s="158"/>
      <c r="I5" s="3"/>
      <c r="J5" s="3"/>
      <c r="K5" s="3"/>
      <c r="O5" s="11" t="s">
        <v>67</v>
      </c>
      <c r="Q5" s="3">
        <f>Q4*Q2</f>
        <v>0</v>
      </c>
      <c r="W5" s="89">
        <v>42825</v>
      </c>
      <c r="X5" s="280">
        <v>50.99</v>
      </c>
      <c r="Y5" s="39">
        <v>51.2</v>
      </c>
      <c r="Z5" s="39">
        <v>50.44</v>
      </c>
      <c r="AA5" s="280">
        <v>50.73</v>
      </c>
      <c r="AB5" s="90">
        <v>1105900</v>
      </c>
      <c r="AC5" s="187">
        <v>50.73</v>
      </c>
      <c r="AD5" s="2">
        <f t="shared" si="0"/>
        <v>0.76000000000000512</v>
      </c>
      <c r="AE5" s="131">
        <f t="shared" si="1"/>
        <v>-9.9531615925059214E-3</v>
      </c>
      <c r="AK5" s="178"/>
      <c r="AN5" s="178"/>
    </row>
    <row r="6" spans="1:40" x14ac:dyDescent="0.25">
      <c r="B6" s="4"/>
      <c r="C6" s="4"/>
      <c r="D6" s="3"/>
      <c r="E6" s="3"/>
      <c r="F6" s="3"/>
      <c r="G6" s="4"/>
      <c r="H6" s="158"/>
      <c r="I6" s="3"/>
      <c r="J6" s="3"/>
      <c r="K6" s="3"/>
      <c r="O6" s="11" t="s">
        <v>64</v>
      </c>
      <c r="Q6" s="2">
        <f>Q3*Q2</f>
        <v>0</v>
      </c>
      <c r="W6" s="89">
        <v>42824</v>
      </c>
      <c r="X6" s="280">
        <v>50.89</v>
      </c>
      <c r="Y6" s="39">
        <v>51.37</v>
      </c>
      <c r="Z6" s="39">
        <v>50.89</v>
      </c>
      <c r="AA6" s="280">
        <v>51.24</v>
      </c>
      <c r="AB6" s="90">
        <v>754000</v>
      </c>
      <c r="AC6" s="187">
        <v>51.24</v>
      </c>
      <c r="AD6" s="2">
        <f t="shared" si="0"/>
        <v>0.47999999999999687</v>
      </c>
      <c r="AE6" s="131">
        <f t="shared" si="1"/>
        <v>7.4714903657098208E-3</v>
      </c>
    </row>
    <row r="7" spans="1:40" x14ac:dyDescent="0.25">
      <c r="B7" s="4"/>
      <c r="C7" s="4"/>
      <c r="D7" s="3"/>
      <c r="E7" s="3"/>
      <c r="F7" s="3"/>
      <c r="G7" s="4"/>
      <c r="H7" s="4"/>
      <c r="I7" s="3"/>
      <c r="J7" s="3"/>
      <c r="K7" s="3"/>
      <c r="O7" s="11" t="s">
        <v>175</v>
      </c>
      <c r="P7"/>
      <c r="Q7" s="2">
        <f>Q10+Q8</f>
        <v>427.92000000000007</v>
      </c>
      <c r="R7">
        <v>0</v>
      </c>
      <c r="T7" s="80"/>
      <c r="W7" s="89">
        <v>42823</v>
      </c>
      <c r="X7" s="280">
        <v>51.09</v>
      </c>
      <c r="Y7" s="39">
        <v>51.3</v>
      </c>
      <c r="Z7" s="39">
        <v>50.65</v>
      </c>
      <c r="AA7" s="280">
        <v>50.86</v>
      </c>
      <c r="AB7" s="90">
        <v>1237800</v>
      </c>
      <c r="AC7" s="187">
        <v>50.86</v>
      </c>
      <c r="AD7" s="2">
        <f t="shared" si="0"/>
        <v>0.64999999999999858</v>
      </c>
      <c r="AE7" s="131">
        <f t="shared" si="1"/>
        <v>-8.5769980506822385E-3</v>
      </c>
      <c r="AK7" s="178"/>
      <c r="AN7" s="178"/>
    </row>
    <row r="8" spans="1:40" x14ac:dyDescent="0.25">
      <c r="B8" s="4"/>
      <c r="C8" s="4"/>
      <c r="D8" s="3"/>
      <c r="E8" s="3"/>
      <c r="F8" s="3"/>
      <c r="G8" s="4"/>
      <c r="H8" s="4"/>
      <c r="I8" s="3"/>
      <c r="J8" s="3"/>
      <c r="K8" s="3"/>
      <c r="O8" s="11" t="s">
        <v>177</v>
      </c>
      <c r="Q8" s="2">
        <f>K18+M18-F18+Q2*Q4</f>
        <v>0</v>
      </c>
      <c r="W8" s="89">
        <v>42822</v>
      </c>
      <c r="X8" s="280">
        <v>51.8</v>
      </c>
      <c r="Y8" s="39">
        <v>52.1</v>
      </c>
      <c r="Z8" s="39">
        <v>51.13</v>
      </c>
      <c r="AA8" s="280">
        <v>51.3</v>
      </c>
      <c r="AB8" s="90">
        <v>1548100</v>
      </c>
      <c r="AC8" s="187">
        <v>51.3</v>
      </c>
      <c r="AD8" s="2">
        <f t="shared" si="0"/>
        <v>0.96999999999999886</v>
      </c>
      <c r="AE8" s="131">
        <f t="shared" si="1"/>
        <v>5.488043904351203E-3</v>
      </c>
    </row>
    <row r="9" spans="1:40" x14ac:dyDescent="0.25">
      <c r="O9" s="11" t="s">
        <v>202</v>
      </c>
      <c r="P9"/>
      <c r="Q9" s="131">
        <f>IF(Q2=0, 0, Q8/Q6)</f>
        <v>0</v>
      </c>
      <c r="W9" s="89">
        <v>42821</v>
      </c>
      <c r="X9" s="280">
        <v>50.15</v>
      </c>
      <c r="Y9" s="39">
        <v>51.17</v>
      </c>
      <c r="Z9" s="39">
        <v>49.92</v>
      </c>
      <c r="AA9" s="280">
        <v>51.02</v>
      </c>
      <c r="AB9" s="90">
        <v>887400</v>
      </c>
      <c r="AC9" s="187">
        <v>51.02</v>
      </c>
      <c r="AD9" s="2">
        <f t="shared" si="0"/>
        <v>1.25</v>
      </c>
      <c r="AE9" s="131">
        <f t="shared" si="1"/>
        <v>1.0697305863708539E-2</v>
      </c>
      <c r="AK9" s="178"/>
      <c r="AN9" s="178"/>
    </row>
    <row r="10" spans="1:40" ht="12.75" customHeight="1" x14ac:dyDescent="0.25">
      <c r="O10" s="11" t="s">
        <v>201</v>
      </c>
      <c r="Q10" s="2">
        <f>M37</f>
        <v>427.92000000000007</v>
      </c>
      <c r="W10" s="89">
        <v>42818</v>
      </c>
      <c r="X10" s="280">
        <v>51.34</v>
      </c>
      <c r="Y10" s="39">
        <v>51.53</v>
      </c>
      <c r="Z10" s="39">
        <v>50.3</v>
      </c>
      <c r="AA10" s="280">
        <v>50.48</v>
      </c>
      <c r="AB10" s="90">
        <v>1306900</v>
      </c>
      <c r="AC10" s="187">
        <v>50.48</v>
      </c>
      <c r="AD10" s="2">
        <f t="shared" si="0"/>
        <v>1.230000000000004</v>
      </c>
      <c r="AE10" s="131">
        <f t="shared" si="1"/>
        <v>-1.2326354920759175E-2</v>
      </c>
    </row>
    <row r="11" spans="1:40" x14ac:dyDescent="0.25">
      <c r="O11" s="11" t="s">
        <v>173</v>
      </c>
      <c r="Q11" s="131">
        <v>0</v>
      </c>
      <c r="W11" s="89">
        <v>42817</v>
      </c>
      <c r="X11" s="280">
        <v>50.98</v>
      </c>
      <c r="Y11" s="39">
        <v>51.67</v>
      </c>
      <c r="Z11" s="39">
        <v>50.88</v>
      </c>
      <c r="AA11" s="280">
        <v>51.11</v>
      </c>
      <c r="AB11" s="90">
        <v>1081500</v>
      </c>
      <c r="AC11" s="187">
        <v>51.11</v>
      </c>
      <c r="AD11" s="2">
        <f t="shared" si="0"/>
        <v>0.78999999999999915</v>
      </c>
      <c r="AE11" s="131">
        <f t="shared" si="1"/>
        <v>2.7467137531882457E-3</v>
      </c>
      <c r="AK11" s="178"/>
      <c r="AN11" s="178"/>
    </row>
    <row r="12" spans="1:40" x14ac:dyDescent="0.25">
      <c r="W12" s="89">
        <v>42816</v>
      </c>
      <c r="X12" s="280">
        <v>50.11</v>
      </c>
      <c r="Y12" s="39">
        <v>51.13</v>
      </c>
      <c r="Z12" s="39">
        <v>49.55</v>
      </c>
      <c r="AA12" s="280">
        <v>50.97</v>
      </c>
      <c r="AB12" s="90">
        <v>1129000</v>
      </c>
      <c r="AC12" s="187">
        <v>50.97</v>
      </c>
      <c r="AD12" s="2">
        <f t="shared" si="0"/>
        <v>1.5800000000000054</v>
      </c>
      <c r="AE12" s="131">
        <f t="shared" si="1"/>
        <v>1.9400000000000084E-2</v>
      </c>
    </row>
    <row r="13" spans="1:40" x14ac:dyDescent="0.25">
      <c r="W13" s="89">
        <v>42815</v>
      </c>
      <c r="X13" s="280">
        <v>51.3</v>
      </c>
      <c r="Y13" s="39">
        <v>51.72</v>
      </c>
      <c r="Z13" s="39">
        <v>49.95</v>
      </c>
      <c r="AA13" s="280">
        <v>50</v>
      </c>
      <c r="AB13" s="90">
        <v>1150500</v>
      </c>
      <c r="AC13" s="187">
        <v>50</v>
      </c>
      <c r="AD13" s="2">
        <f t="shared" si="0"/>
        <v>1.769999999999996</v>
      </c>
      <c r="AE13" s="131">
        <f t="shared" si="1"/>
        <v>-2.1526418786692814E-2</v>
      </c>
      <c r="AK13" s="178"/>
      <c r="AN13" s="178"/>
    </row>
    <row r="14" spans="1:40" x14ac:dyDescent="0.25">
      <c r="T14" s="79"/>
      <c r="U14" s="11"/>
      <c r="W14" s="89">
        <v>42814</v>
      </c>
      <c r="X14" s="280">
        <v>51.36</v>
      </c>
      <c r="Y14" s="39">
        <v>51.53</v>
      </c>
      <c r="Z14" s="39">
        <v>50.81</v>
      </c>
      <c r="AA14" s="280">
        <v>51.1</v>
      </c>
      <c r="AB14" s="90">
        <v>838900</v>
      </c>
      <c r="AC14" s="187">
        <v>51.1</v>
      </c>
      <c r="AD14" s="2">
        <f t="shared" si="0"/>
        <v>0.71999999999999886</v>
      </c>
      <c r="AE14" s="131">
        <f t="shared" si="1"/>
        <v>-4.0927694406548421E-3</v>
      </c>
    </row>
    <row r="15" spans="1:40" x14ac:dyDescent="0.25">
      <c r="W15" s="89">
        <v>42811</v>
      </c>
      <c r="X15" s="280">
        <v>51.71</v>
      </c>
      <c r="Y15" s="39">
        <v>51.85</v>
      </c>
      <c r="Z15" s="39">
        <v>51.25</v>
      </c>
      <c r="AA15" s="280">
        <v>51.31</v>
      </c>
      <c r="AB15" s="90">
        <v>1236400</v>
      </c>
      <c r="AC15" s="187">
        <v>51.31</v>
      </c>
      <c r="AD15" s="2">
        <f t="shared" si="0"/>
        <v>0.60000000000000142</v>
      </c>
      <c r="AE15" s="131">
        <f t="shared" si="1"/>
        <v>-2.3332685203187875E-3</v>
      </c>
      <c r="AK15" s="178"/>
      <c r="AN15" s="178"/>
    </row>
    <row r="16" spans="1:40" x14ac:dyDescent="0.25">
      <c r="W16" s="89">
        <v>42810</v>
      </c>
      <c r="X16" s="280">
        <v>51.35</v>
      </c>
      <c r="Y16" s="39">
        <v>51.45</v>
      </c>
      <c r="Z16" s="39">
        <v>51.06</v>
      </c>
      <c r="AA16" s="280">
        <v>51.43</v>
      </c>
      <c r="AB16" s="90">
        <v>775100</v>
      </c>
      <c r="AC16" s="187">
        <v>51.43</v>
      </c>
      <c r="AD16" s="2">
        <f t="shared" si="0"/>
        <v>0.39000000000000057</v>
      </c>
      <c r="AE16" s="131">
        <f t="shared" si="1"/>
        <v>3.8902937171769736E-4</v>
      </c>
    </row>
    <row r="17" spans="1:40" x14ac:dyDescent="0.25">
      <c r="W17" s="89">
        <v>42809</v>
      </c>
      <c r="X17" s="280">
        <v>51.05</v>
      </c>
      <c r="Y17" s="39">
        <v>51.49</v>
      </c>
      <c r="Z17" s="39">
        <v>50.71</v>
      </c>
      <c r="AA17" s="280">
        <v>51.41</v>
      </c>
      <c r="AB17" s="90">
        <v>1141500</v>
      </c>
      <c r="AC17" s="187">
        <v>51.41</v>
      </c>
      <c r="AD17" s="2">
        <f t="shared" si="0"/>
        <v>0.78000000000000114</v>
      </c>
      <c r="AE17" s="131">
        <f t="shared" si="1"/>
        <v>8.8304552590265928E-3</v>
      </c>
      <c r="AK17" s="178"/>
      <c r="AN17" s="178"/>
    </row>
    <row r="18" spans="1:40" x14ac:dyDescent="0.25">
      <c r="A18" s="31" t="s">
        <v>81</v>
      </c>
      <c r="B18" s="14"/>
      <c r="C18" s="14">
        <f>SUM(C2:C6)</f>
        <v>0</v>
      </c>
      <c r="D18" s="14"/>
      <c r="E18" s="14"/>
      <c r="F18" s="18">
        <f>SUM(F2:F6)</f>
        <v>0</v>
      </c>
      <c r="G18" s="18"/>
      <c r="H18" s="68">
        <f>SUM(H2:H6)</f>
        <v>0</v>
      </c>
      <c r="I18" s="18"/>
      <c r="J18" s="18"/>
      <c r="K18" s="18">
        <f>SUM(K2:K6)</f>
        <v>0</v>
      </c>
      <c r="L18" s="18"/>
      <c r="M18" s="18">
        <f>SUM(M2:M6)</f>
        <v>0</v>
      </c>
      <c r="W18" s="89">
        <v>42808</v>
      </c>
      <c r="X18" s="280">
        <v>51.21</v>
      </c>
      <c r="Y18" s="39">
        <v>51.23</v>
      </c>
      <c r="Z18" s="39">
        <v>50.4</v>
      </c>
      <c r="AA18" s="280">
        <v>50.96</v>
      </c>
      <c r="AB18" s="90">
        <v>1066000</v>
      </c>
      <c r="AC18" s="187">
        <v>50.96</v>
      </c>
      <c r="AD18" s="2">
        <f t="shared" si="0"/>
        <v>0.82999999999999829</v>
      </c>
      <c r="AE18" s="131">
        <f t="shared" si="1"/>
        <v>-7.0148090413094666E-3</v>
      </c>
    </row>
    <row r="19" spans="1:40" x14ac:dyDescent="0.25">
      <c r="W19" s="89">
        <v>42807</v>
      </c>
      <c r="X19" s="280">
        <v>51.83</v>
      </c>
      <c r="Y19" s="39">
        <v>51.83</v>
      </c>
      <c r="Z19" s="39">
        <v>51.11</v>
      </c>
      <c r="AA19" s="280">
        <v>51.32</v>
      </c>
      <c r="AB19" s="90">
        <v>1086300</v>
      </c>
      <c r="AC19" s="187">
        <v>51.32</v>
      </c>
      <c r="AD19" s="2">
        <f t="shared" si="0"/>
        <v>0.71999999999999886</v>
      </c>
      <c r="AE19" s="131">
        <f t="shared" si="1"/>
        <v>4.3052837573385183E-3</v>
      </c>
      <c r="AK19" s="178"/>
      <c r="AN19" s="178"/>
    </row>
    <row r="20" spans="1:40" x14ac:dyDescent="0.25">
      <c r="B20" s="159" t="s">
        <v>113</v>
      </c>
      <c r="C20" s="159" t="s">
        <v>143</v>
      </c>
      <c r="D20" s="160" t="s">
        <v>142</v>
      </c>
      <c r="E20" s="162" t="s">
        <v>144</v>
      </c>
      <c r="F20" s="162" t="s">
        <v>65</v>
      </c>
      <c r="G20" s="173" t="s">
        <v>148</v>
      </c>
      <c r="H20" s="173" t="s">
        <v>88</v>
      </c>
      <c r="I20" s="173" t="s">
        <v>151</v>
      </c>
      <c r="W20" s="89">
        <v>42804</v>
      </c>
      <c r="X20" s="280">
        <v>50.23</v>
      </c>
      <c r="Y20" s="39">
        <v>51.22</v>
      </c>
      <c r="Z20" s="39">
        <v>50.07</v>
      </c>
      <c r="AA20" s="280">
        <v>51.1</v>
      </c>
      <c r="AB20" s="90">
        <v>1157000</v>
      </c>
      <c r="AC20" s="187">
        <v>51.1</v>
      </c>
      <c r="AD20" s="2">
        <f t="shared" si="0"/>
        <v>1.1499999999999986</v>
      </c>
      <c r="AE20" s="131">
        <f t="shared" si="1"/>
        <v>2.3637820512820484E-2</v>
      </c>
    </row>
    <row r="21" spans="1:40" x14ac:dyDescent="0.25">
      <c r="B21" s="161">
        <v>42622</v>
      </c>
      <c r="C21" s="10">
        <v>50</v>
      </c>
      <c r="D21" s="39">
        <v>34.68</v>
      </c>
      <c r="E21" s="39">
        <v>34.5</v>
      </c>
      <c r="F21" s="39">
        <f t="shared" ref="F21:F26" si="2">C21*(E21-D21)</f>
        <v>-8.9999999999999858</v>
      </c>
      <c r="G21" s="39">
        <f t="shared" ref="G21:G26" si="3">D21*C21</f>
        <v>1734</v>
      </c>
      <c r="H21" s="175">
        <f t="shared" ref="H21:H26" si="4">(E21-D21)/D21</f>
        <v>-5.190311418685113E-3</v>
      </c>
      <c r="I21" s="39"/>
      <c r="W21" s="89">
        <v>42803</v>
      </c>
      <c r="X21" s="280">
        <v>49.77</v>
      </c>
      <c r="Y21" s="39">
        <v>50.06</v>
      </c>
      <c r="Z21" s="39">
        <v>49.48</v>
      </c>
      <c r="AA21" s="280">
        <v>49.92</v>
      </c>
      <c r="AB21" s="90">
        <v>765700</v>
      </c>
      <c r="AC21" s="187">
        <v>49.92</v>
      </c>
      <c r="AD21" s="2">
        <f t="shared" si="0"/>
        <v>0.5800000000000054</v>
      </c>
      <c r="AE21" s="131">
        <f t="shared" si="1"/>
        <v>8.0775444264942209E-3</v>
      </c>
      <c r="AK21" s="178"/>
      <c r="AN21" s="178"/>
    </row>
    <row r="22" spans="1:40" x14ac:dyDescent="0.25">
      <c r="B22" s="161">
        <v>42629</v>
      </c>
      <c r="C22" s="10">
        <v>50</v>
      </c>
      <c r="D22" s="39">
        <v>34.68</v>
      </c>
      <c r="E22" s="39">
        <v>35.75</v>
      </c>
      <c r="F22" s="39">
        <f t="shared" si="2"/>
        <v>53.500000000000014</v>
      </c>
      <c r="G22" s="39">
        <f t="shared" si="3"/>
        <v>1734</v>
      </c>
      <c r="H22" s="175">
        <f t="shared" si="4"/>
        <v>3.085351787773934E-2</v>
      </c>
      <c r="I22" s="39"/>
      <c r="W22" s="89">
        <v>42802</v>
      </c>
      <c r="X22" s="280">
        <v>49.59</v>
      </c>
      <c r="Y22" s="39">
        <v>49.83</v>
      </c>
      <c r="Z22" s="39">
        <v>49.4</v>
      </c>
      <c r="AA22" s="280">
        <v>49.52</v>
      </c>
      <c r="AB22" s="90">
        <v>776700</v>
      </c>
      <c r="AC22" s="187">
        <v>49.52</v>
      </c>
      <c r="AD22" s="2">
        <f t="shared" si="0"/>
        <v>0.42999999999999972</v>
      </c>
      <c r="AE22" s="131">
        <f t="shared" si="1"/>
        <v>2.0234722784298054E-3</v>
      </c>
    </row>
    <row r="23" spans="1:40" x14ac:dyDescent="0.25">
      <c r="B23" s="161">
        <v>42632</v>
      </c>
      <c r="C23" s="10">
        <v>50</v>
      </c>
      <c r="D23" s="39">
        <v>34.68</v>
      </c>
      <c r="E23" s="39">
        <v>35.340000000000003</v>
      </c>
      <c r="F23" s="39">
        <f t="shared" si="2"/>
        <v>33.000000000000185</v>
      </c>
      <c r="G23" s="39">
        <f t="shared" si="3"/>
        <v>1734</v>
      </c>
      <c r="H23" s="175">
        <f t="shared" si="4"/>
        <v>1.9031141868512218E-2</v>
      </c>
      <c r="I23" s="39"/>
      <c r="W23" s="89">
        <v>42801</v>
      </c>
      <c r="X23" s="280">
        <v>49.56</v>
      </c>
      <c r="Y23" s="39">
        <v>49.76</v>
      </c>
      <c r="Z23" s="39">
        <v>49.05</v>
      </c>
      <c r="AA23" s="280">
        <v>49.42</v>
      </c>
      <c r="AB23" s="90">
        <v>806900</v>
      </c>
      <c r="AC23" s="187">
        <v>49.42</v>
      </c>
      <c r="AD23" s="2">
        <f t="shared" si="0"/>
        <v>0.71000000000000085</v>
      </c>
      <c r="AE23" s="131">
        <f t="shared" si="1"/>
        <v>-6.8327974276526371E-3</v>
      </c>
      <c r="AK23" s="178"/>
    </row>
    <row r="24" spans="1:40" x14ac:dyDescent="0.25">
      <c r="B24" s="161">
        <v>42633</v>
      </c>
      <c r="C24" s="10">
        <v>50</v>
      </c>
      <c r="D24" s="39">
        <v>34.68</v>
      </c>
      <c r="E24" s="39">
        <v>36.31</v>
      </c>
      <c r="F24" s="39">
        <f t="shared" si="2"/>
        <v>81.500000000000128</v>
      </c>
      <c r="G24" s="39">
        <f t="shared" si="3"/>
        <v>1734</v>
      </c>
      <c r="H24" s="175">
        <f t="shared" si="4"/>
        <v>4.7001153402537563E-2</v>
      </c>
      <c r="I24" s="39"/>
      <c r="W24" s="89">
        <v>42800</v>
      </c>
      <c r="X24" s="280">
        <v>49.9</v>
      </c>
      <c r="Y24" s="39">
        <v>50</v>
      </c>
      <c r="Z24" s="39">
        <v>49.16</v>
      </c>
      <c r="AA24" s="280">
        <v>49.76</v>
      </c>
      <c r="AB24" s="90">
        <v>1200800</v>
      </c>
      <c r="AC24" s="187">
        <v>49.76</v>
      </c>
      <c r="AD24" s="2">
        <f t="shared" si="0"/>
        <v>0.84000000000000341</v>
      </c>
      <c r="AE24" s="131">
        <f t="shared" si="1"/>
        <v>-6.984633805627638E-3</v>
      </c>
    </row>
    <row r="25" spans="1:40" x14ac:dyDescent="0.25">
      <c r="B25" s="161">
        <v>42635</v>
      </c>
      <c r="C25" s="10">
        <v>50</v>
      </c>
      <c r="D25" s="39">
        <v>34.68</v>
      </c>
      <c r="E25" s="39">
        <v>37.17</v>
      </c>
      <c r="F25" s="39">
        <f t="shared" si="2"/>
        <v>124.5000000000001</v>
      </c>
      <c r="G25" s="39">
        <f t="shared" si="3"/>
        <v>1734</v>
      </c>
      <c r="H25" s="175">
        <f t="shared" si="4"/>
        <v>7.1799307958477568E-2</v>
      </c>
      <c r="I25" s="39"/>
      <c r="W25" s="89">
        <v>42797</v>
      </c>
      <c r="X25" s="280">
        <v>51</v>
      </c>
      <c r="Y25" s="39">
        <v>51</v>
      </c>
      <c r="Z25" s="39">
        <v>49.79</v>
      </c>
      <c r="AA25" s="280">
        <v>50.11</v>
      </c>
      <c r="AB25" s="90">
        <v>849100</v>
      </c>
      <c r="AC25" s="187">
        <v>50.11</v>
      </c>
      <c r="AD25" s="2">
        <f t="shared" si="0"/>
        <v>1.2100000000000009</v>
      </c>
      <c r="AE25" s="131">
        <f t="shared" si="1"/>
        <v>-1.7065515888583738E-2</v>
      </c>
    </row>
    <row r="26" spans="1:40" x14ac:dyDescent="0.25">
      <c r="B26" s="161">
        <v>42645</v>
      </c>
      <c r="C26" s="10">
        <v>50</v>
      </c>
      <c r="D26" s="39">
        <v>34.68</v>
      </c>
      <c r="E26" s="39">
        <v>37.700000000000003</v>
      </c>
      <c r="F26" s="39">
        <f t="shared" si="2"/>
        <v>151.00000000000017</v>
      </c>
      <c r="G26" s="39">
        <f t="shared" si="3"/>
        <v>1734</v>
      </c>
      <c r="H26" s="175">
        <f t="shared" si="4"/>
        <v>8.7081891580161566E-2</v>
      </c>
      <c r="I26" s="39"/>
      <c r="W26" s="89">
        <v>42796</v>
      </c>
      <c r="X26" s="280">
        <v>50.79</v>
      </c>
      <c r="Y26" s="39">
        <v>51.25</v>
      </c>
      <c r="Z26" s="39">
        <v>50.63</v>
      </c>
      <c r="AA26" s="280">
        <v>50.98</v>
      </c>
      <c r="AB26" s="90">
        <v>878700</v>
      </c>
      <c r="AC26" s="187">
        <v>50.98</v>
      </c>
      <c r="AD26" s="2">
        <f t="shared" si="0"/>
        <v>0.61999999999999744</v>
      </c>
      <c r="AE26" s="131">
        <f t="shared" si="1"/>
        <v>-1.3712047012732764E-3</v>
      </c>
    </row>
    <row r="27" spans="1:40" x14ac:dyDescent="0.25">
      <c r="B27" s="161">
        <v>42649</v>
      </c>
      <c r="C27" s="10">
        <v>50</v>
      </c>
      <c r="D27" s="39">
        <v>34.68</v>
      </c>
      <c r="E27" s="39">
        <v>38.64</v>
      </c>
      <c r="F27" s="39">
        <f>C27*(E27-D27)</f>
        <v>198.00000000000006</v>
      </c>
      <c r="G27" s="39">
        <f>D27*C27</f>
        <v>1734</v>
      </c>
      <c r="H27" s="175">
        <f>(E27-D27)/D27</f>
        <v>0.11418685121107269</v>
      </c>
      <c r="I27" s="39"/>
      <c r="W27" s="89">
        <v>42795</v>
      </c>
      <c r="X27" s="280">
        <v>51.12</v>
      </c>
      <c r="Y27" s="39">
        <v>51.61</v>
      </c>
      <c r="Z27" s="39">
        <v>50.42</v>
      </c>
      <c r="AA27" s="280">
        <v>51.05</v>
      </c>
      <c r="AB27" s="90">
        <v>1192400</v>
      </c>
      <c r="AC27" s="187">
        <v>51.05</v>
      </c>
      <c r="AD27" s="2">
        <f t="shared" si="0"/>
        <v>1.1899999999999977</v>
      </c>
      <c r="AE27" s="131">
        <f t="shared" si="1"/>
        <v>6.9033530571991353E-3</v>
      </c>
    </row>
    <row r="28" spans="1:40" x14ac:dyDescent="0.25">
      <c r="B28" s="161">
        <v>42663</v>
      </c>
      <c r="C28" s="10">
        <v>0</v>
      </c>
      <c r="D28" s="39"/>
      <c r="E28" s="39"/>
      <c r="F28" s="39">
        <v>192.96</v>
      </c>
      <c r="G28" s="39"/>
      <c r="H28" s="175"/>
      <c r="I28" s="39"/>
      <c r="W28" s="89">
        <v>42794</v>
      </c>
      <c r="X28" s="280">
        <v>50.82</v>
      </c>
      <c r="Y28" s="39">
        <v>51.2</v>
      </c>
      <c r="Z28" s="39">
        <v>50.45</v>
      </c>
      <c r="AA28" s="280">
        <v>50.7</v>
      </c>
      <c r="AB28" s="90">
        <v>932200</v>
      </c>
      <c r="AC28" s="187">
        <v>50.7</v>
      </c>
      <c r="AD28" s="2">
        <f t="shared" si="0"/>
        <v>0.75</v>
      </c>
      <c r="AE28" s="131">
        <f t="shared" si="1"/>
        <v>-1.378766988379021E-3</v>
      </c>
    </row>
    <row r="29" spans="1:40" x14ac:dyDescent="0.25">
      <c r="B29" s="161">
        <v>42670</v>
      </c>
      <c r="C29" s="10">
        <v>50</v>
      </c>
      <c r="D29" s="39">
        <v>36.58</v>
      </c>
      <c r="E29" s="39">
        <v>35.71</v>
      </c>
      <c r="F29" s="39">
        <f>C29*(E29-D29)</f>
        <v>-43.499999999999872</v>
      </c>
      <c r="G29" s="39">
        <f>D29*C29</f>
        <v>1829</v>
      </c>
      <c r="H29" s="175">
        <f>(E29-D29)/D29</f>
        <v>-2.3783488244942523E-2</v>
      </c>
      <c r="I29" s="39"/>
      <c r="W29" s="89">
        <v>42793</v>
      </c>
      <c r="X29" s="280">
        <v>49.93</v>
      </c>
      <c r="Y29" s="39">
        <v>50.83</v>
      </c>
      <c r="Z29" s="39">
        <v>49.57</v>
      </c>
      <c r="AA29" s="280">
        <v>50.77</v>
      </c>
      <c r="AB29" s="90">
        <v>1326600</v>
      </c>
      <c r="AC29" s="187">
        <v>50.77</v>
      </c>
      <c r="AD29" s="2">
        <f t="shared" si="0"/>
        <v>1.259999999999998</v>
      </c>
      <c r="AE29" s="131">
        <f t="shared" si="1"/>
        <v>1.4994002399040474E-2</v>
      </c>
    </row>
    <row r="30" spans="1:40" x14ac:dyDescent="0.25">
      <c r="B30" s="161">
        <v>42674</v>
      </c>
      <c r="C30" s="10">
        <v>50</v>
      </c>
      <c r="D30" s="39">
        <v>36.58</v>
      </c>
      <c r="E30" s="39">
        <v>38.869999999999997</v>
      </c>
      <c r="F30" s="39">
        <f>C30*(E30-D30)</f>
        <v>114.49999999999996</v>
      </c>
      <c r="G30" s="39">
        <f>D30*C30</f>
        <v>1829</v>
      </c>
      <c r="H30" s="175">
        <f>(E30-D30)/D30</f>
        <v>6.2602515035538528E-2</v>
      </c>
      <c r="I30" s="39"/>
      <c r="W30" s="89">
        <v>42790</v>
      </c>
      <c r="X30" s="280">
        <v>50.51</v>
      </c>
      <c r="Y30" s="39">
        <v>50.63</v>
      </c>
      <c r="Z30" s="39">
        <v>49.77</v>
      </c>
      <c r="AA30" s="280">
        <v>50.02</v>
      </c>
      <c r="AB30" s="90">
        <v>1442900</v>
      </c>
      <c r="AC30" s="187">
        <v>50.02</v>
      </c>
      <c r="AD30" s="2">
        <f t="shared" si="0"/>
        <v>0.85999999999999943</v>
      </c>
      <c r="AE30" s="131">
        <f t="shared" si="1"/>
        <v>-1.3022888713496328E-2</v>
      </c>
    </row>
    <row r="31" spans="1:40" x14ac:dyDescent="0.25">
      <c r="B31" s="161">
        <v>42701</v>
      </c>
      <c r="C31" s="10">
        <v>50</v>
      </c>
      <c r="D31" s="39">
        <v>36.58</v>
      </c>
      <c r="E31" s="39">
        <v>40.58</v>
      </c>
      <c r="F31" s="39">
        <f>C31*(E31-D31)</f>
        <v>200</v>
      </c>
      <c r="G31" s="39">
        <f>D31*C31</f>
        <v>1829</v>
      </c>
      <c r="H31" s="175">
        <f>(E31-D31)/D31</f>
        <v>0.10934937124111536</v>
      </c>
      <c r="I31" s="39"/>
      <c r="W31" s="89">
        <v>42789</v>
      </c>
      <c r="X31" s="280">
        <v>52.48</v>
      </c>
      <c r="Y31" s="39">
        <v>52.5</v>
      </c>
      <c r="Z31" s="39">
        <v>50.61</v>
      </c>
      <c r="AA31" s="280">
        <v>50.68</v>
      </c>
      <c r="AB31" s="90">
        <v>1869800</v>
      </c>
      <c r="AC31" s="187">
        <v>50.68</v>
      </c>
      <c r="AD31" s="2">
        <f t="shared" si="0"/>
        <v>1.8900000000000006</v>
      </c>
      <c r="AE31" s="131">
        <f t="shared" si="1"/>
        <v>-1.8590240123934954E-2</v>
      </c>
    </row>
    <row r="32" spans="1:40" x14ac:dyDescent="0.25">
      <c r="B32" s="161">
        <v>42705</v>
      </c>
      <c r="C32" s="10">
        <v>50</v>
      </c>
      <c r="D32" s="39">
        <v>36.58</v>
      </c>
      <c r="E32" s="39">
        <v>38.85</v>
      </c>
      <c r="F32" s="39">
        <f>C32*(E32-D32)</f>
        <v>113.50000000000016</v>
      </c>
      <c r="G32" s="39">
        <f>D32*C32</f>
        <v>1829</v>
      </c>
      <c r="H32" s="175">
        <f>(E32-D32)/D32</f>
        <v>6.205576817933306E-2</v>
      </c>
      <c r="I32" s="39"/>
      <c r="W32" s="89">
        <v>42788</v>
      </c>
      <c r="X32" s="280">
        <v>49.24</v>
      </c>
      <c r="Y32" s="39">
        <v>52.14</v>
      </c>
      <c r="Z32" s="39">
        <v>48.68</v>
      </c>
      <c r="AA32" s="280">
        <v>51.64</v>
      </c>
      <c r="AB32" s="90">
        <v>4043000</v>
      </c>
      <c r="AC32" s="187">
        <v>51.64</v>
      </c>
      <c r="AD32" s="2">
        <f t="shared" si="0"/>
        <v>3.4600000000000009</v>
      </c>
      <c r="AE32" s="131">
        <f t="shared" si="1"/>
        <v>7.1369294605809097E-2</v>
      </c>
    </row>
    <row r="33" spans="1:31" x14ac:dyDescent="0.25">
      <c r="B33" s="161">
        <v>42710</v>
      </c>
      <c r="C33" s="10">
        <v>0</v>
      </c>
      <c r="D33" s="39"/>
      <c r="E33" s="39"/>
      <c r="F33" s="39">
        <v>234.96</v>
      </c>
      <c r="G33" s="39"/>
      <c r="H33" s="175"/>
      <c r="I33" s="39"/>
      <c r="W33" s="89">
        <v>42787</v>
      </c>
      <c r="X33" s="280">
        <v>47.74</v>
      </c>
      <c r="Y33" s="39">
        <v>48.52</v>
      </c>
      <c r="Z33" s="39">
        <v>47.74</v>
      </c>
      <c r="AA33" s="280">
        <v>48.2</v>
      </c>
      <c r="AB33" s="90">
        <v>1801900</v>
      </c>
      <c r="AC33" s="187">
        <v>48.2</v>
      </c>
      <c r="AD33" s="2">
        <f t="shared" si="0"/>
        <v>0.78000000000000114</v>
      </c>
      <c r="AE33" s="131">
        <f t="shared" si="1"/>
        <v>1.0694065841895695E-2</v>
      </c>
    </row>
    <row r="34" spans="1:31" x14ac:dyDescent="0.25">
      <c r="B34" s="161"/>
      <c r="C34" s="10"/>
      <c r="D34" s="39"/>
      <c r="E34" s="39"/>
      <c r="F34" s="39"/>
      <c r="G34" s="39"/>
      <c r="H34" s="175"/>
      <c r="I34" s="39"/>
      <c r="W34" s="89">
        <v>42783</v>
      </c>
      <c r="X34" s="280">
        <v>47.62</v>
      </c>
      <c r="Y34" s="39">
        <v>47.85</v>
      </c>
      <c r="Z34" s="39">
        <v>47.27</v>
      </c>
      <c r="AA34" s="280">
        <v>47.69</v>
      </c>
      <c r="AB34" s="90">
        <v>1653700</v>
      </c>
      <c r="AC34" s="187">
        <v>47.69</v>
      </c>
      <c r="AD34" s="2">
        <f t="shared" si="0"/>
        <v>0.57999999999999829</v>
      </c>
      <c r="AE34" s="131">
        <f t="shared" si="1"/>
        <v>1.259710266638514E-3</v>
      </c>
    </row>
    <row r="35" spans="1:31" x14ac:dyDescent="0.25">
      <c r="B35" s="161"/>
      <c r="C35" s="10"/>
      <c r="D35" s="39"/>
      <c r="E35" s="39"/>
      <c r="F35" s="39"/>
      <c r="G35" s="39"/>
      <c r="H35" s="175"/>
      <c r="I35" s="39"/>
      <c r="W35" s="89">
        <v>42782</v>
      </c>
      <c r="X35" s="280">
        <v>47.95</v>
      </c>
      <c r="Y35" s="39">
        <v>48.14</v>
      </c>
      <c r="Z35" s="39">
        <v>47.24</v>
      </c>
      <c r="AA35" s="280">
        <v>47.63</v>
      </c>
      <c r="AB35" s="90">
        <v>1236300</v>
      </c>
      <c r="AC35" s="187">
        <v>47.63</v>
      </c>
      <c r="AD35" s="2">
        <f t="shared" si="0"/>
        <v>0.89999999999999858</v>
      </c>
      <c r="AE35" s="131">
        <f t="shared" si="1"/>
        <v>-6.0517529215359245E-3</v>
      </c>
    </row>
    <row r="36" spans="1:31" x14ac:dyDescent="0.25">
      <c r="W36" s="89">
        <v>42781</v>
      </c>
      <c r="X36" s="280">
        <v>47.66</v>
      </c>
      <c r="Y36" s="39">
        <v>48.12</v>
      </c>
      <c r="Z36" s="39">
        <v>47.01</v>
      </c>
      <c r="AA36" s="280">
        <v>47.92</v>
      </c>
      <c r="AB36" s="90">
        <v>1463000</v>
      </c>
      <c r="AC36" s="187">
        <v>47.92</v>
      </c>
      <c r="AD36" s="2">
        <f t="shared" si="0"/>
        <v>1.1099999999999994</v>
      </c>
      <c r="AE36" s="131">
        <f t="shared" si="1"/>
        <v>3.1400460540087494E-3</v>
      </c>
    </row>
    <row r="37" spans="1:31" x14ac:dyDescent="0.25">
      <c r="L37" t="s">
        <v>201</v>
      </c>
      <c r="M37" s="2">
        <f>M55+K55-F55</f>
        <v>427.92000000000007</v>
      </c>
      <c r="W37" s="89">
        <v>42780</v>
      </c>
      <c r="X37" s="280">
        <v>47.82</v>
      </c>
      <c r="Y37" s="39">
        <v>47.97</v>
      </c>
      <c r="Z37" s="39">
        <v>47.58</v>
      </c>
      <c r="AA37" s="280">
        <v>47.77</v>
      </c>
      <c r="AB37" s="90">
        <v>1048700</v>
      </c>
      <c r="AC37" s="187">
        <v>47.77</v>
      </c>
      <c r="AD37" s="2">
        <f t="shared" si="0"/>
        <v>0.39000000000000057</v>
      </c>
      <c r="AE37" s="131">
        <f t="shared" si="1"/>
        <v>-2.088991017338504E-3</v>
      </c>
    </row>
    <row r="38" spans="1:31" x14ac:dyDescent="0.25">
      <c r="A38" s="195" t="s">
        <v>1</v>
      </c>
      <c r="B38" s="195" t="s">
        <v>2</v>
      </c>
      <c r="C38" s="195" t="s">
        <v>4</v>
      </c>
      <c r="D38" s="196" t="s">
        <v>5</v>
      </c>
      <c r="E38" s="196" t="s">
        <v>90</v>
      </c>
      <c r="F38" s="196" t="s">
        <v>60</v>
      </c>
      <c r="G38" s="195" t="s">
        <v>3</v>
      </c>
      <c r="H38" s="195" t="s">
        <v>6</v>
      </c>
      <c r="I38" s="196" t="s">
        <v>7</v>
      </c>
      <c r="J38" s="196" t="s">
        <v>89</v>
      </c>
      <c r="K38" s="196" t="s">
        <v>61</v>
      </c>
      <c r="L38" s="195" t="s">
        <v>77</v>
      </c>
      <c r="M38" s="195" t="s">
        <v>38</v>
      </c>
      <c r="W38" s="89">
        <v>42779</v>
      </c>
      <c r="X38" s="280">
        <v>48.02</v>
      </c>
      <c r="Y38" s="39">
        <v>48.1</v>
      </c>
      <c r="Z38" s="39">
        <v>47.56</v>
      </c>
      <c r="AA38" s="280">
        <v>47.87</v>
      </c>
      <c r="AB38" s="90">
        <v>1449900</v>
      </c>
      <c r="AC38" s="187">
        <v>47.87</v>
      </c>
      <c r="AD38" s="2">
        <f t="shared" si="0"/>
        <v>0.53999999999999915</v>
      </c>
      <c r="AE38" s="131">
        <f t="shared" si="1"/>
        <v>1.4644351464434546E-3</v>
      </c>
    </row>
    <row r="39" spans="1:31" ht="20.25" thickBot="1" x14ac:dyDescent="0.35">
      <c r="A39" s="197" t="s">
        <v>260</v>
      </c>
      <c r="B39" s="198">
        <v>42621</v>
      </c>
      <c r="C39" s="193">
        <v>50</v>
      </c>
      <c r="D39" s="194">
        <v>34.68</v>
      </c>
      <c r="E39" s="194">
        <v>0</v>
      </c>
      <c r="F39" s="194">
        <f>D39*C39+E39</f>
        <v>1734</v>
      </c>
      <c r="G39" s="198">
        <v>42663</v>
      </c>
      <c r="H39" s="199">
        <v>50</v>
      </c>
      <c r="I39" s="194">
        <v>38.54</v>
      </c>
      <c r="J39" s="194">
        <v>0.04</v>
      </c>
      <c r="K39" s="194">
        <f>H39*I39-J39</f>
        <v>1926.96</v>
      </c>
      <c r="L39" s="198"/>
      <c r="M39" s="194"/>
      <c r="O39" s="11"/>
      <c r="P39" s="886" t="s">
        <v>78</v>
      </c>
      <c r="Q39" s="886"/>
      <c r="R39" s="33"/>
      <c r="T39" s="86" t="s">
        <v>112</v>
      </c>
      <c r="W39" s="89">
        <v>42776</v>
      </c>
      <c r="X39" s="280">
        <v>48.43</v>
      </c>
      <c r="Y39" s="39">
        <v>48.91</v>
      </c>
      <c r="Z39" s="39">
        <v>47.54</v>
      </c>
      <c r="AA39" s="280">
        <v>47.8</v>
      </c>
      <c r="AB39" s="90">
        <v>1611000</v>
      </c>
      <c r="AC39" s="187">
        <v>47.8</v>
      </c>
      <c r="AD39" s="2">
        <f t="shared" si="0"/>
        <v>1.3699999999999974</v>
      </c>
      <c r="AE39" s="131">
        <f t="shared" si="1"/>
        <v>-5.4099042863089419E-3</v>
      </c>
    </row>
    <row r="40" spans="1:31" ht="15.75" thickTop="1" x14ac:dyDescent="0.25">
      <c r="A40" s="200" t="s">
        <v>71</v>
      </c>
      <c r="B40" s="198">
        <v>42670</v>
      </c>
      <c r="C40" s="193">
        <v>50</v>
      </c>
      <c r="D40" s="194">
        <v>36.58</v>
      </c>
      <c r="E40" s="194">
        <v>0</v>
      </c>
      <c r="F40" s="194">
        <f>C40*D40+E40</f>
        <v>1829</v>
      </c>
      <c r="G40" s="198">
        <v>42710</v>
      </c>
      <c r="H40" s="199">
        <v>50</v>
      </c>
      <c r="I40" s="194">
        <v>41.28</v>
      </c>
      <c r="J40" s="194">
        <v>0.04</v>
      </c>
      <c r="K40" s="194">
        <f>H40*I40-J40</f>
        <v>2063.96</v>
      </c>
      <c r="L40" s="193"/>
      <c r="M40" s="193"/>
      <c r="O40" s="2"/>
      <c r="P40" s="78">
        <v>1.1000000000000001</v>
      </c>
      <c r="Q40" s="78">
        <f>P40*$Q$4</f>
        <v>58.861000000000004</v>
      </c>
      <c r="R40" s="33"/>
      <c r="T40" s="92" t="s">
        <v>97</v>
      </c>
      <c r="U40" s="123">
        <v>49.76</v>
      </c>
      <c r="W40" s="89">
        <v>42775</v>
      </c>
      <c r="X40" s="280">
        <v>47.81</v>
      </c>
      <c r="Y40" s="39">
        <v>48.31</v>
      </c>
      <c r="Z40" s="39">
        <v>47.7</v>
      </c>
      <c r="AA40" s="280">
        <v>48.06</v>
      </c>
      <c r="AB40" s="90">
        <v>1249200</v>
      </c>
      <c r="AC40" s="187">
        <v>48.06</v>
      </c>
      <c r="AD40" s="2">
        <f t="shared" si="0"/>
        <v>0.60999999999999943</v>
      </c>
      <c r="AE40" s="131">
        <f t="shared" si="1"/>
        <v>4.1788549937318287E-3</v>
      </c>
    </row>
    <row r="41" spans="1:31" x14ac:dyDescent="0.25">
      <c r="A41" s="193"/>
      <c r="B41" s="198"/>
      <c r="C41" s="193"/>
      <c r="D41" s="194"/>
      <c r="E41" s="194"/>
      <c r="F41" s="194"/>
      <c r="G41" s="198"/>
      <c r="H41" s="199"/>
      <c r="I41" s="194"/>
      <c r="J41" s="194"/>
      <c r="K41" s="194"/>
      <c r="L41" s="193"/>
      <c r="M41" s="193"/>
      <c r="O41" s="2"/>
      <c r="P41" s="78">
        <v>1.0900000000000001</v>
      </c>
      <c r="Q41" s="78">
        <f t="shared" ref="Q41:Q60" si="5">P41*$Q$4</f>
        <v>58.325900000000004</v>
      </c>
      <c r="R41" s="33"/>
      <c r="T41" s="82" t="s">
        <v>98</v>
      </c>
      <c r="U41" s="124">
        <v>49.93</v>
      </c>
      <c r="W41" s="89">
        <v>42774</v>
      </c>
      <c r="X41" s="280">
        <v>47.88</v>
      </c>
      <c r="Y41" s="39">
        <v>48.14</v>
      </c>
      <c r="Z41" s="39">
        <v>47.51</v>
      </c>
      <c r="AA41" s="280">
        <v>47.86</v>
      </c>
      <c r="AB41" s="90">
        <v>1065800</v>
      </c>
      <c r="AC41" s="187">
        <v>47.86</v>
      </c>
      <c r="AD41" s="2">
        <f t="shared" si="0"/>
        <v>0.63000000000000256</v>
      </c>
      <c r="AE41" s="131">
        <f t="shared" si="1"/>
        <v>3.3542976939202607E-3</v>
      </c>
    </row>
    <row r="42" spans="1:31" x14ac:dyDescent="0.25">
      <c r="A42" s="193"/>
      <c r="B42" s="198"/>
      <c r="C42" s="193"/>
      <c r="D42" s="194"/>
      <c r="E42" s="194"/>
      <c r="F42" s="194"/>
      <c r="G42" s="198"/>
      <c r="H42" s="199"/>
      <c r="I42" s="194"/>
      <c r="J42" s="194"/>
      <c r="K42" s="194"/>
      <c r="L42" s="193"/>
      <c r="M42" s="193"/>
      <c r="O42" s="2"/>
      <c r="P42" s="78">
        <v>1.08</v>
      </c>
      <c r="Q42" s="78">
        <f t="shared" si="5"/>
        <v>57.790800000000004</v>
      </c>
      <c r="R42" s="33"/>
      <c r="T42" s="82" t="s">
        <v>99</v>
      </c>
      <c r="U42" s="124" t="s">
        <v>551</v>
      </c>
      <c r="W42" s="89">
        <v>42773</v>
      </c>
      <c r="X42" s="280">
        <v>47.58</v>
      </c>
      <c r="Y42" s="39">
        <v>48.09</v>
      </c>
      <c r="Z42" s="39">
        <v>47.47</v>
      </c>
      <c r="AA42" s="280">
        <v>47.7</v>
      </c>
      <c r="AB42" s="90">
        <v>1477200</v>
      </c>
      <c r="AC42" s="187">
        <v>47.7</v>
      </c>
      <c r="AD42" s="2">
        <f t="shared" si="0"/>
        <v>0.62000000000000455</v>
      </c>
      <c r="AE42" s="131">
        <f t="shared" si="1"/>
        <v>3.7878787878786735E-3</v>
      </c>
    </row>
    <row r="43" spans="1:31" x14ac:dyDescent="0.25">
      <c r="A43" s="193"/>
      <c r="B43" s="193"/>
      <c r="C43" s="193"/>
      <c r="D43" s="194"/>
      <c r="E43" s="194"/>
      <c r="F43" s="194"/>
      <c r="G43" s="193"/>
      <c r="H43" s="199"/>
      <c r="I43" s="194"/>
      <c r="J43" s="194"/>
      <c r="K43" s="194"/>
      <c r="L43" s="193"/>
      <c r="M43" s="193"/>
      <c r="O43" s="2"/>
      <c r="P43" s="78">
        <v>1.07</v>
      </c>
      <c r="Q43" s="78">
        <f t="shared" si="5"/>
        <v>57.255700000000004</v>
      </c>
      <c r="R43" s="78"/>
      <c r="T43" s="82" t="s">
        <v>100</v>
      </c>
      <c r="U43" s="124" t="s">
        <v>552</v>
      </c>
      <c r="W43" s="89">
        <v>42772</v>
      </c>
      <c r="X43" s="280">
        <v>47.76</v>
      </c>
      <c r="Y43" s="39">
        <v>48.02</v>
      </c>
      <c r="Z43" s="39">
        <v>47.28</v>
      </c>
      <c r="AA43" s="280">
        <v>47.52</v>
      </c>
      <c r="AB43" s="90">
        <v>1139100</v>
      </c>
      <c r="AC43" s="187">
        <v>47.52</v>
      </c>
      <c r="AD43" s="2">
        <f t="shared" si="0"/>
        <v>0.74000000000000199</v>
      </c>
      <c r="AE43" s="131">
        <f t="shared" si="1"/>
        <v>-4.6082949308755561E-3</v>
      </c>
    </row>
    <row r="44" spans="1:31" x14ac:dyDescent="0.25">
      <c r="A44" s="193"/>
      <c r="B44" s="193"/>
      <c r="C44" s="193"/>
      <c r="D44" s="194"/>
      <c r="E44" s="194"/>
      <c r="F44" s="194"/>
      <c r="G44" s="193"/>
      <c r="H44" s="193"/>
      <c r="I44" s="194"/>
      <c r="J44" s="194"/>
      <c r="K44" s="194"/>
      <c r="L44" s="193"/>
      <c r="M44" s="193"/>
      <c r="O44" s="2"/>
      <c r="P44" s="78">
        <v>1.06</v>
      </c>
      <c r="Q44" s="78">
        <f t="shared" si="5"/>
        <v>56.720599999999997</v>
      </c>
      <c r="R44" s="78"/>
      <c r="T44" s="82" t="s">
        <v>101</v>
      </c>
      <c r="U44" s="124">
        <v>54.65</v>
      </c>
      <c r="W44" s="89">
        <v>42769</v>
      </c>
      <c r="X44" s="280">
        <v>48.13</v>
      </c>
      <c r="Y44" s="39">
        <v>48.36</v>
      </c>
      <c r="Z44" s="39">
        <v>47.41</v>
      </c>
      <c r="AA44" s="280">
        <v>47.74</v>
      </c>
      <c r="AB44" s="90">
        <v>760800</v>
      </c>
      <c r="AC44" s="187">
        <v>47.74</v>
      </c>
      <c r="AD44" s="2">
        <f t="shared" si="0"/>
        <v>0.95000000000000284</v>
      </c>
      <c r="AE44" s="131">
        <f t="shared" si="1"/>
        <v>1.6785564414605325E-3</v>
      </c>
    </row>
    <row r="45" spans="1:31" x14ac:dyDescent="0.25">
      <c r="A45" s="193"/>
      <c r="B45" s="193"/>
      <c r="C45" s="193"/>
      <c r="D45" s="194"/>
      <c r="E45" s="194"/>
      <c r="F45" s="194"/>
      <c r="G45" s="193"/>
      <c r="H45" s="193"/>
      <c r="I45" s="194"/>
      <c r="J45" s="194"/>
      <c r="K45" s="194"/>
      <c r="L45" s="193"/>
      <c r="M45" s="193"/>
      <c r="O45" s="2"/>
      <c r="P45" s="78">
        <v>1.05</v>
      </c>
      <c r="Q45" s="78">
        <f t="shared" si="5"/>
        <v>56.185499999999998</v>
      </c>
      <c r="R45" s="78"/>
      <c r="T45" s="82" t="s">
        <v>102</v>
      </c>
      <c r="U45" s="124">
        <v>1.56863</v>
      </c>
      <c r="W45" s="89">
        <v>42768</v>
      </c>
      <c r="X45" s="280">
        <v>48.17</v>
      </c>
      <c r="Y45" s="39">
        <v>48.5</v>
      </c>
      <c r="Z45" s="39">
        <v>47.55</v>
      </c>
      <c r="AA45" s="280">
        <v>47.66</v>
      </c>
      <c r="AB45" s="90">
        <v>694700</v>
      </c>
      <c r="AC45" s="187">
        <v>47.66</v>
      </c>
      <c r="AD45" s="2">
        <f t="shared" si="0"/>
        <v>0.95000000000000284</v>
      </c>
      <c r="AE45" s="131">
        <f t="shared" si="1"/>
        <v>-8.7354409317803583E-3</v>
      </c>
    </row>
    <row r="46" spans="1:31" x14ac:dyDescent="0.25">
      <c r="A46" s="193"/>
      <c r="B46" s="193"/>
      <c r="C46" s="193"/>
      <c r="D46" s="194"/>
      <c r="E46" s="194"/>
      <c r="F46" s="194"/>
      <c r="G46" s="193"/>
      <c r="H46" s="193"/>
      <c r="I46" s="194"/>
      <c r="J46" s="194"/>
      <c r="K46" s="194"/>
      <c r="L46" s="193"/>
      <c r="M46" s="193"/>
      <c r="O46" s="2"/>
      <c r="P46" s="78">
        <v>1.04</v>
      </c>
      <c r="Q46" s="78">
        <f t="shared" si="5"/>
        <v>55.650399999999998</v>
      </c>
      <c r="R46" s="78"/>
      <c r="T46" s="82" t="s">
        <v>121</v>
      </c>
      <c r="U46" s="176" t="s">
        <v>386</v>
      </c>
      <c r="W46" s="89">
        <v>42767</v>
      </c>
      <c r="X46" s="280">
        <v>47.3</v>
      </c>
      <c r="Y46" s="39">
        <v>48.45</v>
      </c>
      <c r="Z46" s="39">
        <v>46.83</v>
      </c>
      <c r="AA46" s="280">
        <v>48.08</v>
      </c>
      <c r="AB46" s="90">
        <v>1288500</v>
      </c>
      <c r="AC46" s="187">
        <v>48.08</v>
      </c>
      <c r="AD46" s="2">
        <f t="shared" si="0"/>
        <v>1.6200000000000045</v>
      </c>
      <c r="AE46" s="131">
        <f t="shared" si="1"/>
        <v>2.297872340425533E-2</v>
      </c>
    </row>
    <row r="47" spans="1:31" x14ac:dyDescent="0.25">
      <c r="A47" s="193"/>
      <c r="B47" s="193"/>
      <c r="C47" s="193"/>
      <c r="D47" s="194"/>
      <c r="E47" s="194"/>
      <c r="F47" s="194"/>
      <c r="G47" s="193"/>
      <c r="H47" s="193"/>
      <c r="I47" s="194"/>
      <c r="J47" s="194"/>
      <c r="K47" s="194"/>
      <c r="L47" s="193"/>
      <c r="M47" s="193"/>
      <c r="O47" s="2"/>
      <c r="P47" s="78">
        <v>1.03</v>
      </c>
      <c r="Q47" s="78">
        <f t="shared" si="5"/>
        <v>55.115299999999998</v>
      </c>
      <c r="R47" s="78"/>
      <c r="T47" s="82"/>
      <c r="U47" s="124"/>
      <c r="W47" s="89">
        <v>42766</v>
      </c>
      <c r="X47" s="280">
        <v>47.88</v>
      </c>
      <c r="Y47" s="39">
        <v>48.11</v>
      </c>
      <c r="Z47" s="39">
        <v>46.83</v>
      </c>
      <c r="AA47" s="280">
        <v>47</v>
      </c>
      <c r="AB47" s="90">
        <v>1625200</v>
      </c>
      <c r="AC47" s="187">
        <v>47</v>
      </c>
      <c r="AD47" s="2">
        <f t="shared" si="0"/>
        <v>1.2800000000000011</v>
      </c>
      <c r="AE47" s="131">
        <f t="shared" si="1"/>
        <v>-2.1444930251925953E-2</v>
      </c>
    </row>
    <row r="48" spans="1:31" x14ac:dyDescent="0.25">
      <c r="A48" s="193"/>
      <c r="B48" s="193"/>
      <c r="C48" s="193"/>
      <c r="D48" s="194"/>
      <c r="E48" s="194"/>
      <c r="F48" s="194"/>
      <c r="G48" s="193"/>
      <c r="H48" s="193"/>
      <c r="I48" s="194"/>
      <c r="J48" s="194"/>
      <c r="K48" s="194"/>
      <c r="L48" s="193"/>
      <c r="M48" s="193"/>
      <c r="O48" s="2"/>
      <c r="P48" s="78">
        <v>1.02</v>
      </c>
      <c r="Q48" s="78">
        <f t="shared" si="5"/>
        <v>54.580199999999998</v>
      </c>
      <c r="R48" s="78"/>
      <c r="T48" s="82" t="s">
        <v>104</v>
      </c>
      <c r="U48" s="124" t="s">
        <v>553</v>
      </c>
      <c r="W48" s="89">
        <v>42765</v>
      </c>
      <c r="X48" s="280">
        <v>48.8</v>
      </c>
      <c r="Y48" s="39">
        <v>48.88</v>
      </c>
      <c r="Z48" s="39">
        <v>47.94</v>
      </c>
      <c r="AA48" s="280">
        <v>48.03</v>
      </c>
      <c r="AB48" s="90">
        <v>1323500</v>
      </c>
      <c r="AC48" s="187">
        <v>48.03</v>
      </c>
      <c r="AD48" s="2">
        <f t="shared" si="0"/>
        <v>0.94000000000000483</v>
      </c>
      <c r="AE48" s="131">
        <f t="shared" si="1"/>
        <v>-2.0195838433292534E-2</v>
      </c>
    </row>
    <row r="49" spans="1:31" x14ac:dyDescent="0.25">
      <c r="A49" s="193"/>
      <c r="B49" s="193"/>
      <c r="C49" s="193"/>
      <c r="D49" s="194"/>
      <c r="E49" s="194"/>
      <c r="F49" s="194"/>
      <c r="G49" s="193"/>
      <c r="H49" s="193"/>
      <c r="I49" s="194"/>
      <c r="J49" s="194"/>
      <c r="K49" s="194"/>
      <c r="L49" s="193"/>
      <c r="M49" s="193"/>
      <c r="O49" s="2"/>
      <c r="P49" s="78">
        <v>1.01</v>
      </c>
      <c r="Q49" s="78">
        <f t="shared" si="5"/>
        <v>54.045099999999998</v>
      </c>
      <c r="R49" s="78"/>
      <c r="T49" s="82" t="s">
        <v>105</v>
      </c>
      <c r="U49" s="124" t="s">
        <v>495</v>
      </c>
      <c r="W49" s="89">
        <v>42762</v>
      </c>
      <c r="X49" s="280">
        <v>49.35</v>
      </c>
      <c r="Y49" s="39">
        <v>49.56</v>
      </c>
      <c r="Z49" s="39">
        <v>48.61</v>
      </c>
      <c r="AA49" s="280">
        <v>49.02</v>
      </c>
      <c r="AB49" s="90">
        <v>945300</v>
      </c>
      <c r="AC49" s="187">
        <v>49.02</v>
      </c>
      <c r="AD49" s="2">
        <f t="shared" si="0"/>
        <v>0.95000000000000284</v>
      </c>
      <c r="AE49" s="131">
        <f t="shared" si="1"/>
        <v>-6.284208392458801E-3</v>
      </c>
    </row>
    <row r="50" spans="1:31" x14ac:dyDescent="0.25">
      <c r="A50" s="193"/>
      <c r="B50" s="193"/>
      <c r="C50" s="193"/>
      <c r="D50" s="194"/>
      <c r="E50" s="194"/>
      <c r="F50" s="194"/>
      <c r="G50" s="193"/>
      <c r="H50" s="193"/>
      <c r="I50" s="194"/>
      <c r="J50" s="194"/>
      <c r="K50" s="194"/>
      <c r="L50" s="193"/>
      <c r="M50" s="193"/>
      <c r="O50" s="2"/>
      <c r="P50" s="78">
        <v>1</v>
      </c>
      <c r="Q50" s="78">
        <f t="shared" si="5"/>
        <v>53.51</v>
      </c>
      <c r="R50" s="78"/>
      <c r="T50" s="82" t="s">
        <v>106</v>
      </c>
      <c r="U50" s="125">
        <v>1141622</v>
      </c>
      <c r="W50" s="89">
        <v>42761</v>
      </c>
      <c r="X50" s="280">
        <v>49.22</v>
      </c>
      <c r="Y50" s="39">
        <v>50.05</v>
      </c>
      <c r="Z50" s="39">
        <v>48.77</v>
      </c>
      <c r="AA50" s="280">
        <v>49.33</v>
      </c>
      <c r="AB50" s="90">
        <v>2613500</v>
      </c>
      <c r="AC50" s="187">
        <v>49.33</v>
      </c>
      <c r="AD50" s="2">
        <f t="shared" si="0"/>
        <v>1.279999999999994</v>
      </c>
      <c r="AE50" s="131">
        <f t="shared" si="1"/>
        <v>2.5784986483676331E-2</v>
      </c>
    </row>
    <row r="51" spans="1:31" x14ac:dyDescent="0.25">
      <c r="A51" s="193"/>
      <c r="B51" s="193"/>
      <c r="C51" s="193"/>
      <c r="D51" s="194"/>
      <c r="E51" s="194"/>
      <c r="F51" s="194"/>
      <c r="G51" s="193"/>
      <c r="H51" s="193"/>
      <c r="I51" s="194"/>
      <c r="J51" s="194"/>
      <c r="K51" s="194"/>
      <c r="L51" s="193"/>
      <c r="M51" s="193"/>
      <c r="O51" s="2"/>
      <c r="P51" s="78">
        <v>0.99</v>
      </c>
      <c r="Q51" s="78">
        <f t="shared" si="5"/>
        <v>52.974899999999998</v>
      </c>
      <c r="R51" s="78"/>
      <c r="T51" s="82" t="s">
        <v>109</v>
      </c>
      <c r="U51" s="125">
        <v>1194830</v>
      </c>
      <c r="W51" s="89">
        <v>42760</v>
      </c>
      <c r="X51" s="280">
        <v>47.22</v>
      </c>
      <c r="Y51" s="39">
        <v>48.24</v>
      </c>
      <c r="Z51" s="39">
        <v>46.96</v>
      </c>
      <c r="AA51" s="280">
        <v>48.09</v>
      </c>
      <c r="AB51" s="90">
        <v>1275800</v>
      </c>
      <c r="AC51" s="187">
        <v>48.09</v>
      </c>
      <c r="AD51" s="2">
        <f t="shared" si="0"/>
        <v>1.2800000000000011</v>
      </c>
      <c r="AE51" s="131">
        <f t="shared" si="1"/>
        <v>2.6686592655849717E-2</v>
      </c>
    </row>
    <row r="52" spans="1:31" x14ac:dyDescent="0.25">
      <c r="A52" s="193"/>
      <c r="B52" s="193"/>
      <c r="C52" s="193"/>
      <c r="D52" s="194"/>
      <c r="E52" s="194"/>
      <c r="F52" s="194"/>
      <c r="G52" s="193"/>
      <c r="H52" s="193"/>
      <c r="I52" s="194"/>
      <c r="J52" s="194"/>
      <c r="K52" s="194"/>
      <c r="L52" s="193"/>
      <c r="M52" s="193"/>
      <c r="O52" s="2"/>
      <c r="P52" s="78">
        <v>0.98</v>
      </c>
      <c r="Q52" s="78">
        <f t="shared" si="5"/>
        <v>52.439799999999998</v>
      </c>
      <c r="R52" s="78"/>
      <c r="T52" s="82" t="s">
        <v>107</v>
      </c>
      <c r="U52" s="124" t="s">
        <v>554</v>
      </c>
      <c r="W52" s="89">
        <v>42759</v>
      </c>
      <c r="X52" s="280">
        <v>45.92</v>
      </c>
      <c r="Y52" s="39">
        <v>46.95</v>
      </c>
      <c r="Z52" s="39">
        <v>45.83</v>
      </c>
      <c r="AA52" s="280">
        <v>46.84</v>
      </c>
      <c r="AB52" s="90">
        <v>1239400</v>
      </c>
      <c r="AC52" s="187">
        <v>46.84</v>
      </c>
      <c r="AD52" s="2">
        <f t="shared" si="0"/>
        <v>1.1200000000000045</v>
      </c>
      <c r="AE52" s="131">
        <f t="shared" si="1"/>
        <v>1.8260869565217552E-2</v>
      </c>
    </row>
    <row r="53" spans="1:31" x14ac:dyDescent="0.25">
      <c r="A53" s="193"/>
      <c r="B53" s="193"/>
      <c r="C53" s="193"/>
      <c r="D53" s="194"/>
      <c r="E53" s="194"/>
      <c r="F53" s="194"/>
      <c r="G53" s="193"/>
      <c r="H53" s="193"/>
      <c r="I53" s="194"/>
      <c r="J53" s="194"/>
      <c r="K53" s="194"/>
      <c r="L53" s="193"/>
      <c r="M53" s="193"/>
      <c r="O53" s="2"/>
      <c r="P53" s="78">
        <v>0.97</v>
      </c>
      <c r="Q53" s="78">
        <f t="shared" si="5"/>
        <v>51.904699999999998</v>
      </c>
      <c r="R53" s="78"/>
      <c r="T53" s="82" t="s">
        <v>110</v>
      </c>
      <c r="U53" s="124">
        <v>17.91</v>
      </c>
      <c r="W53" s="89">
        <v>42758</v>
      </c>
      <c r="X53" s="280">
        <v>45.47</v>
      </c>
      <c r="Y53" s="39">
        <v>46.15</v>
      </c>
      <c r="Z53" s="39">
        <v>45.15</v>
      </c>
      <c r="AA53" s="280">
        <v>46</v>
      </c>
      <c r="AB53" s="90">
        <v>826800</v>
      </c>
      <c r="AC53" s="187">
        <v>46</v>
      </c>
      <c r="AD53" s="2">
        <f t="shared" si="0"/>
        <v>1</v>
      </c>
      <c r="AE53" s="131">
        <f t="shared" si="1"/>
        <v>8.1087004163926668E-3</v>
      </c>
    </row>
    <row r="54" spans="1:31" x14ac:dyDescent="0.25">
      <c r="A54" s="193"/>
      <c r="B54" s="193"/>
      <c r="C54" s="193"/>
      <c r="D54" s="194"/>
      <c r="E54" s="194"/>
      <c r="F54" s="194"/>
      <c r="G54" s="193"/>
      <c r="H54" s="193"/>
      <c r="I54" s="194"/>
      <c r="J54" s="194"/>
      <c r="K54" s="194"/>
      <c r="L54" s="193"/>
      <c r="M54" s="193"/>
      <c r="O54" s="2"/>
      <c r="P54" s="78">
        <v>0.96</v>
      </c>
      <c r="Q54" s="78">
        <f t="shared" si="5"/>
        <v>51.369599999999998</v>
      </c>
      <c r="R54" s="78"/>
      <c r="T54" s="82" t="s">
        <v>111</v>
      </c>
      <c r="U54" s="124">
        <v>2.78</v>
      </c>
      <c r="W54" s="89">
        <v>42755</v>
      </c>
      <c r="X54" s="280">
        <v>45.93</v>
      </c>
      <c r="Y54" s="39">
        <v>46.41</v>
      </c>
      <c r="Z54" s="39">
        <v>45.41</v>
      </c>
      <c r="AA54" s="280">
        <v>45.63</v>
      </c>
      <c r="AB54" s="90">
        <v>736000</v>
      </c>
      <c r="AC54" s="187">
        <v>45.63</v>
      </c>
      <c r="AD54" s="2">
        <f t="shared" si="0"/>
        <v>1</v>
      </c>
      <c r="AE54" s="131">
        <f t="shared" si="1"/>
        <v>2.192021043403436E-4</v>
      </c>
    </row>
    <row r="55" spans="1:31" x14ac:dyDescent="0.25">
      <c r="A55" s="31" t="s">
        <v>81</v>
      </c>
      <c r="B55" s="14"/>
      <c r="C55" s="14">
        <f>SUM(C39:C43)</f>
        <v>100</v>
      </c>
      <c r="D55" s="14"/>
      <c r="E55" s="14"/>
      <c r="F55" s="18">
        <f>SUM(F39:F43)</f>
        <v>3563</v>
      </c>
      <c r="G55" s="18"/>
      <c r="H55" s="68">
        <f>SUM(H39:H43)</f>
        <v>100</v>
      </c>
      <c r="I55" s="18"/>
      <c r="J55" s="18"/>
      <c r="K55" s="18">
        <f>SUM(K39:K43)</f>
        <v>3990.92</v>
      </c>
      <c r="L55" s="18"/>
      <c r="M55" s="18">
        <f>SUM(M39:M43)</f>
        <v>0</v>
      </c>
      <c r="O55" s="2"/>
      <c r="P55" s="78">
        <v>0.95</v>
      </c>
      <c r="Q55" s="78">
        <f t="shared" si="5"/>
        <v>50.834499999999998</v>
      </c>
      <c r="R55" s="78"/>
      <c r="T55" s="82" t="s">
        <v>108</v>
      </c>
      <c r="U55" s="124" t="s">
        <v>122</v>
      </c>
      <c r="W55" s="89">
        <v>42754</v>
      </c>
      <c r="X55" s="280">
        <v>45.76</v>
      </c>
      <c r="Y55" s="39">
        <v>46.36</v>
      </c>
      <c r="Z55" s="39">
        <v>45.39</v>
      </c>
      <c r="AA55" s="280">
        <v>45.62</v>
      </c>
      <c r="AB55" s="90">
        <v>1031300</v>
      </c>
      <c r="AC55" s="187">
        <v>45.62</v>
      </c>
      <c r="AD55" s="2">
        <f t="shared" si="0"/>
        <v>0.96999999999999886</v>
      </c>
      <c r="AE55" s="131">
        <f t="shared" si="1"/>
        <v>-1.0948105977667266E-3</v>
      </c>
    </row>
    <row r="56" spans="1:31" x14ac:dyDescent="0.25">
      <c r="O56" s="2"/>
      <c r="P56" s="78">
        <v>0.94</v>
      </c>
      <c r="Q56" s="78">
        <f t="shared" si="5"/>
        <v>50.299399999999999</v>
      </c>
      <c r="R56" s="78"/>
      <c r="W56" s="89">
        <v>42753</v>
      </c>
      <c r="X56" s="280">
        <v>44.97</v>
      </c>
      <c r="Y56" s="39">
        <v>45.77</v>
      </c>
      <c r="Z56" s="39">
        <v>44.56</v>
      </c>
      <c r="AA56" s="280">
        <v>45.67</v>
      </c>
      <c r="AB56" s="90">
        <v>943000</v>
      </c>
      <c r="AC56" s="187">
        <v>45.67</v>
      </c>
      <c r="AD56" s="2">
        <f t="shared" si="0"/>
        <v>1.2100000000000009</v>
      </c>
      <c r="AE56" s="131">
        <f t="shared" si="1"/>
        <v>2.078676799284751E-2</v>
      </c>
    </row>
    <row r="57" spans="1:31" x14ac:dyDescent="0.25">
      <c r="O57" s="2"/>
      <c r="P57" s="78">
        <v>0.93</v>
      </c>
      <c r="Q57" s="78">
        <f t="shared" si="5"/>
        <v>49.764299999999999</v>
      </c>
      <c r="R57" s="78"/>
      <c r="W57" s="89">
        <v>42752</v>
      </c>
      <c r="X57" s="280">
        <v>45.08</v>
      </c>
      <c r="Y57" s="39">
        <v>45.22</v>
      </c>
      <c r="Z57" s="39">
        <v>44.2</v>
      </c>
      <c r="AA57" s="280">
        <v>44.74</v>
      </c>
      <c r="AB57" s="90">
        <v>905400</v>
      </c>
      <c r="AC57" s="187">
        <v>44.74</v>
      </c>
      <c r="AD57" s="2">
        <f t="shared" si="0"/>
        <v>1.019999999999996</v>
      </c>
      <c r="AE57" s="131">
        <f t="shared" si="1"/>
        <v>-4.6718576195773354E-3</v>
      </c>
    </row>
    <row r="58" spans="1:31" x14ac:dyDescent="0.25">
      <c r="O58" s="2"/>
      <c r="P58" s="78">
        <v>0.92</v>
      </c>
      <c r="Q58" s="78">
        <f t="shared" si="5"/>
        <v>49.229199999999999</v>
      </c>
      <c r="R58" s="78"/>
      <c r="W58" s="89">
        <v>42748</v>
      </c>
      <c r="X58" s="280">
        <v>45.49</v>
      </c>
      <c r="Y58" s="39">
        <v>45.49</v>
      </c>
      <c r="Z58" s="39">
        <v>44.84</v>
      </c>
      <c r="AA58" s="280">
        <v>44.95</v>
      </c>
      <c r="AB58" s="90">
        <v>547700</v>
      </c>
      <c r="AC58" s="187">
        <v>44.95</v>
      </c>
      <c r="AD58" s="2">
        <f t="shared" si="0"/>
        <v>0.64999999999999858</v>
      </c>
      <c r="AE58" s="131">
        <f t="shared" si="1"/>
        <v>-8.8202866593164453E-3</v>
      </c>
    </row>
    <row r="59" spans="1:31" x14ac:dyDescent="0.25">
      <c r="O59" s="2"/>
      <c r="P59" s="78">
        <v>0.91</v>
      </c>
      <c r="Q59" s="78">
        <f t="shared" si="5"/>
        <v>48.694099999999999</v>
      </c>
      <c r="R59" s="78"/>
      <c r="W59" s="89">
        <v>42747</v>
      </c>
      <c r="X59" s="280">
        <v>45.47</v>
      </c>
      <c r="Y59" s="39">
        <v>45.83</v>
      </c>
      <c r="Z59" s="39">
        <v>44.67</v>
      </c>
      <c r="AA59" s="280">
        <v>45.35</v>
      </c>
      <c r="AB59" s="90">
        <v>731500</v>
      </c>
      <c r="AC59" s="187">
        <v>45.35</v>
      </c>
      <c r="AD59" s="2">
        <f t="shared" si="0"/>
        <v>1.1599999999999966</v>
      </c>
      <c r="AE59" s="131">
        <f t="shared" si="1"/>
        <v>-8.7431693989070691E-3</v>
      </c>
    </row>
    <row r="60" spans="1:31" x14ac:dyDescent="0.25">
      <c r="O60" s="2"/>
      <c r="P60" s="78">
        <v>0.9</v>
      </c>
      <c r="Q60" s="78">
        <f t="shared" si="5"/>
        <v>48.158999999999999</v>
      </c>
      <c r="R60" s="78"/>
      <c r="W60" s="89">
        <v>42746</v>
      </c>
      <c r="X60" s="280">
        <v>45.01</v>
      </c>
      <c r="Y60" s="39">
        <v>45.82</v>
      </c>
      <c r="Z60" s="39">
        <v>44.72</v>
      </c>
      <c r="AA60" s="280">
        <v>45.75</v>
      </c>
      <c r="AB60" s="90">
        <v>870500</v>
      </c>
      <c r="AC60" s="187">
        <v>45.75</v>
      </c>
      <c r="AD60" s="2">
        <f t="shared" si="0"/>
        <v>1.1000000000000014</v>
      </c>
      <c r="AE60" s="131">
        <f t="shared" si="1"/>
        <v>1.1720477664750151E-2</v>
      </c>
    </row>
    <row r="61" spans="1:31" x14ac:dyDescent="0.25">
      <c r="W61" s="89">
        <v>42745</v>
      </c>
      <c r="X61" s="280">
        <v>44.33</v>
      </c>
      <c r="Y61" s="39">
        <v>45.36</v>
      </c>
      <c r="Z61" s="39">
        <v>44.33</v>
      </c>
      <c r="AA61" s="280">
        <v>45.22</v>
      </c>
      <c r="AB61" s="90">
        <v>1065500</v>
      </c>
      <c r="AC61" s="187">
        <v>45.22</v>
      </c>
      <c r="AD61" s="2">
        <f t="shared" si="0"/>
        <v>1.0300000000000011</v>
      </c>
      <c r="AE61" s="131">
        <f t="shared" si="1"/>
        <v>1.8697904933543619E-2</v>
      </c>
    </row>
    <row r="62" spans="1:31" x14ac:dyDescent="0.25">
      <c r="W62" s="89">
        <v>42744</v>
      </c>
      <c r="X62" s="280">
        <v>44.14</v>
      </c>
      <c r="Y62" s="39">
        <v>44.7</v>
      </c>
      <c r="Z62" s="39">
        <v>43.9</v>
      </c>
      <c r="AA62" s="280">
        <v>44.39</v>
      </c>
      <c r="AB62" s="90">
        <v>855800</v>
      </c>
      <c r="AC62" s="187">
        <v>44.39</v>
      </c>
      <c r="AD62" s="2">
        <f t="shared" si="0"/>
        <v>0.80000000000000426</v>
      </c>
      <c r="AE62" s="131">
        <f t="shared" si="1"/>
        <v>3.1638418079096287E-3</v>
      </c>
    </row>
    <row r="63" spans="1:31" x14ac:dyDescent="0.25">
      <c r="W63" s="89">
        <v>42741</v>
      </c>
      <c r="X63" s="280">
        <v>44.75</v>
      </c>
      <c r="Y63" s="39">
        <v>44.92</v>
      </c>
      <c r="Z63" s="39">
        <v>44.06</v>
      </c>
      <c r="AA63" s="280">
        <v>44.25</v>
      </c>
      <c r="AB63" s="90">
        <v>932900</v>
      </c>
      <c r="AC63" s="187">
        <v>44.25</v>
      </c>
      <c r="AD63" s="2">
        <f t="shared" si="0"/>
        <v>0.85999999999999943</v>
      </c>
      <c r="AE63" s="131">
        <f t="shared" si="1"/>
        <v>-6.7340067340067034E-3</v>
      </c>
    </row>
    <row r="64" spans="1:31" x14ac:dyDescent="0.25">
      <c r="W64" s="89">
        <v>42740</v>
      </c>
      <c r="X64" s="280">
        <v>44.51</v>
      </c>
      <c r="Y64" s="39">
        <v>44.79</v>
      </c>
      <c r="Z64" s="39">
        <v>44.02</v>
      </c>
      <c r="AA64" s="280">
        <v>44.55</v>
      </c>
      <c r="AB64" s="90">
        <v>933700</v>
      </c>
      <c r="AC64" s="187">
        <v>44.55</v>
      </c>
      <c r="AD64" s="2">
        <f t="shared" si="0"/>
        <v>0.76999999999999602</v>
      </c>
      <c r="AE64" s="131">
        <f t="shared" si="1"/>
        <v>-4.9140049140050657E-3</v>
      </c>
    </row>
    <row r="65" spans="23:31" x14ac:dyDescent="0.25">
      <c r="W65" s="89">
        <v>42739</v>
      </c>
      <c r="X65" s="280">
        <v>43.1</v>
      </c>
      <c r="Y65" s="39">
        <v>44.89</v>
      </c>
      <c r="Z65" s="39">
        <v>42.78</v>
      </c>
      <c r="AA65" s="280">
        <v>44.77</v>
      </c>
      <c r="AB65" s="90">
        <v>1852500</v>
      </c>
      <c r="AC65" s="187">
        <v>44.77</v>
      </c>
      <c r="AD65" s="2">
        <f t="shared" si="0"/>
        <v>2.1099999999999994</v>
      </c>
      <c r="AE65" s="131">
        <f t="shared" si="1"/>
        <v>4.6272493573264795E-2</v>
      </c>
    </row>
    <row r="66" spans="23:31" x14ac:dyDescent="0.25">
      <c r="W66" s="89">
        <v>42738</v>
      </c>
      <c r="X66" s="280">
        <v>43.13</v>
      </c>
      <c r="Y66" s="39">
        <v>43.87</v>
      </c>
      <c r="Z66" s="39">
        <v>42.64</v>
      </c>
      <c r="AA66" s="280">
        <v>42.79</v>
      </c>
      <c r="AB66" s="90">
        <v>1618500</v>
      </c>
      <c r="AC66" s="187">
        <v>42.79</v>
      </c>
      <c r="AD66" s="2">
        <f t="shared" si="0"/>
        <v>1.2299999999999969</v>
      </c>
      <c r="AE66" s="131">
        <f t="shared" si="1"/>
        <v>6.1133317658124131E-3</v>
      </c>
    </row>
    <row r="67" spans="23:31" x14ac:dyDescent="0.25">
      <c r="W67" s="89">
        <v>42734</v>
      </c>
      <c r="X67" s="280">
        <v>42.62</v>
      </c>
      <c r="Y67" s="39">
        <v>42.97</v>
      </c>
      <c r="Z67" s="39">
        <v>42.1</v>
      </c>
      <c r="AA67" s="280">
        <v>42.53</v>
      </c>
      <c r="AB67" s="90">
        <v>856900</v>
      </c>
      <c r="AC67" s="187">
        <v>42.53</v>
      </c>
      <c r="AD67" s="2">
        <f t="shared" si="0"/>
        <v>0.86999999999999744</v>
      </c>
      <c r="AE67" s="131" t="e">
        <f t="shared" si="1"/>
        <v>#DIV/0!</v>
      </c>
    </row>
    <row r="68" spans="23:31" x14ac:dyDescent="0.25">
      <c r="W68" s="89" t="s">
        <v>120</v>
      </c>
      <c r="X68" s="10"/>
      <c r="Y68" s="39"/>
      <c r="Z68" s="39"/>
      <c r="AA68" s="10"/>
      <c r="AB68" s="90"/>
      <c r="AC68" s="187"/>
      <c r="AD68" s="2">
        <f>Y68-Z68</f>
        <v>0</v>
      </c>
      <c r="AE68" s="131" t="e">
        <f>AC68/AC69-1</f>
        <v>#DIV/0!</v>
      </c>
    </row>
    <row r="69" spans="23:31" x14ac:dyDescent="0.25">
      <c r="W69" s="171"/>
      <c r="X69" s="91"/>
      <c r="Y69" s="187"/>
      <c r="Z69" s="187"/>
      <c r="AA69" s="91"/>
      <c r="AB69" s="172"/>
      <c r="AC69" s="187"/>
      <c r="AD69" s="2">
        <f>Y69-Z69</f>
        <v>0</v>
      </c>
      <c r="AE69" s="131" t="e">
        <f>AC69/AC70-1</f>
        <v>#DIV/0!</v>
      </c>
    </row>
  </sheetData>
  <mergeCells count="1">
    <mergeCell ref="P39:Q39"/>
  </mergeCells>
  <conditionalFormatting sqref="P40:P60">
    <cfRule type="colorScale" priority="27">
      <colorScale>
        <cfvo type="min"/>
        <cfvo type="percentile" val="50"/>
        <cfvo type="max"/>
        <color rgb="FFF8696B"/>
        <color rgb="FFFFEB84"/>
        <color rgb="FF63BE7B"/>
      </colorScale>
    </cfRule>
  </conditionalFormatting>
  <conditionalFormatting sqref="Q40:Q60">
    <cfRule type="colorScale" priority="24">
      <colorScale>
        <cfvo type="min"/>
        <cfvo type="percentile" val="50"/>
        <cfvo type="max"/>
        <color rgb="FFF8696B"/>
        <color rgb="FFFFEB84"/>
        <color rgb="FF63BE7B"/>
      </colorScale>
    </cfRule>
  </conditionalFormatting>
  <conditionalFormatting sqref="R43:R60">
    <cfRule type="colorScale" priority="23">
      <colorScale>
        <cfvo type="min"/>
        <cfvo type="percentile" val="50"/>
        <cfvo type="max"/>
        <color rgb="FFF8696B"/>
        <color rgb="FFFFEB84"/>
        <color rgb="FF63BE7B"/>
      </colorScale>
    </cfRule>
  </conditionalFormatting>
  <conditionalFormatting sqref="AD1:AD69">
    <cfRule type="dataBar" priority="22">
      <dataBar>
        <cfvo type="min"/>
        <cfvo type="max"/>
        <color rgb="FFFF555A"/>
      </dataBar>
      <extLst>
        <ext xmlns:x14="http://schemas.microsoft.com/office/spreadsheetml/2009/9/main" uri="{B025F937-C7B1-47D3-B67F-A62EFF666E3E}">
          <x14:id>{FEBF55CF-01AE-4918-A7C8-1539C34256C0}</x14:id>
        </ext>
      </extLst>
    </cfRule>
  </conditionalFormatting>
  <conditionalFormatting sqref="AE1:AE69">
    <cfRule type="iconSet" priority="21">
      <iconSet iconSet="3Arrows">
        <cfvo type="percent" val="0"/>
        <cfvo type="num" val="0"/>
        <cfvo type="num" val="0"/>
      </iconSet>
    </cfRule>
  </conditionalFormatting>
  <conditionalFormatting sqref="F28 F33:F35">
    <cfRule type="expression" dxfId="1277" priority="17">
      <formula>F28&gt;0</formula>
    </cfRule>
    <cfRule type="expression" dxfId="1276" priority="18">
      <formula>F28&lt;0</formula>
    </cfRule>
  </conditionalFormatting>
  <conditionalFormatting sqref="F28 F33:F35">
    <cfRule type="expression" dxfId="1275" priority="19">
      <formula>F28&gt;0</formula>
    </cfRule>
    <cfRule type="expression" dxfId="1274" priority="20">
      <formula>F28&lt;0</formula>
    </cfRule>
  </conditionalFormatting>
  <conditionalFormatting sqref="H28 H33:H35">
    <cfRule type="expression" dxfId="1273" priority="15">
      <formula>H28&gt;0</formula>
    </cfRule>
    <cfRule type="expression" dxfId="1272" priority="16">
      <formula>H28&lt;0</formula>
    </cfRule>
  </conditionalFormatting>
  <conditionalFormatting sqref="F21:F27">
    <cfRule type="expression" dxfId="1271" priority="13">
      <formula>F21&gt;0</formula>
    </cfRule>
    <cfRule type="expression" dxfId="1270" priority="14">
      <formula>F21&lt;0</formula>
    </cfRule>
  </conditionalFormatting>
  <conditionalFormatting sqref="H21:H27">
    <cfRule type="expression" dxfId="1269" priority="11">
      <formula>H21&gt;0</formula>
    </cfRule>
    <cfRule type="expression" dxfId="1268" priority="12">
      <formula>H21&lt;0</formula>
    </cfRule>
  </conditionalFormatting>
  <conditionalFormatting sqref="Q8">
    <cfRule type="expression" dxfId="1267" priority="7">
      <formula>Q8&gt;0</formula>
    </cfRule>
    <cfRule type="expression" dxfId="1266" priority="8">
      <formula>Q8&lt;0</formula>
    </cfRule>
  </conditionalFormatting>
  <conditionalFormatting sqref="Q7">
    <cfRule type="expression" dxfId="1265" priority="9">
      <formula>Q7&gt;0</formula>
    </cfRule>
    <cfRule type="expression" dxfId="1264" priority="10">
      <formula>Q7&lt;0</formula>
    </cfRule>
  </conditionalFormatting>
  <conditionalFormatting sqref="F29:F32">
    <cfRule type="expression" dxfId="1263" priority="5">
      <formula>F29&gt;0</formula>
    </cfRule>
    <cfRule type="expression" dxfId="1262" priority="6">
      <formula>F29&lt;0</formula>
    </cfRule>
  </conditionalFormatting>
  <conditionalFormatting sqref="H29:H32">
    <cfRule type="expression" dxfId="1261" priority="3">
      <formula>H29&gt;0</formula>
    </cfRule>
    <cfRule type="expression" dxfId="1260" priority="4">
      <formula>H29&lt;0</formula>
    </cfRule>
  </conditionalFormatting>
  <conditionalFormatting sqref="M37">
    <cfRule type="expression" dxfId="1259" priority="1">
      <formula>M37&gt;0</formula>
    </cfRule>
    <cfRule type="expression" dxfId="1258" priority="2">
      <formula>M37&lt;0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FEBF55CF-01AE-4918-A7C8-1539C34256C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N75"/>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1" customWidth="1"/>
    <col min="21" max="21" width="18.5703125" customWidth="1"/>
    <col min="23" max="23" width="16" style="33" customWidth="1"/>
    <col min="24" max="24" width="7.42578125" customWidth="1"/>
    <col min="25" max="26" width="5.5703125" style="2" bestFit="1" customWidth="1"/>
    <col min="27" max="27" width="6" customWidth="1"/>
    <col min="28" max="28" width="9.140625" bestFit="1" customWidth="1"/>
    <col min="29" max="29" width="10.28515625" style="164"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79" t="s">
        <v>93</v>
      </c>
      <c r="W1" s="87" t="s">
        <v>113</v>
      </c>
      <c r="X1" s="88" t="s">
        <v>114</v>
      </c>
      <c r="Y1" s="97" t="s">
        <v>115</v>
      </c>
      <c r="Z1" s="97" t="s">
        <v>116</v>
      </c>
      <c r="AA1" s="88" t="s">
        <v>117</v>
      </c>
      <c r="AB1" s="88" t="s">
        <v>118</v>
      </c>
      <c r="AC1" s="188" t="s">
        <v>119</v>
      </c>
      <c r="AD1" s="11" t="s">
        <v>125</v>
      </c>
      <c r="AE1" s="11" t="s">
        <v>127</v>
      </c>
    </row>
    <row r="2" spans="1:40" x14ac:dyDescent="0.25">
      <c r="A2" s="6" t="s">
        <v>167</v>
      </c>
      <c r="B2" s="69"/>
      <c r="C2" s="4"/>
      <c r="D2" s="3"/>
      <c r="E2" s="3"/>
      <c r="F2" s="3"/>
      <c r="G2" s="69"/>
      <c r="H2" s="158"/>
      <c r="I2" s="3"/>
      <c r="J2" s="3"/>
      <c r="K2" s="3"/>
      <c r="L2" s="69"/>
      <c r="M2" s="3"/>
      <c r="O2" s="11" t="s">
        <v>57</v>
      </c>
      <c r="Q2">
        <f>C18-H18</f>
        <v>0</v>
      </c>
      <c r="T2" s="80"/>
      <c r="W2" s="89">
        <v>42830</v>
      </c>
      <c r="X2" s="10">
        <v>99.56</v>
      </c>
      <c r="Y2" s="39">
        <v>100.58</v>
      </c>
      <c r="Z2" s="39">
        <v>98.61</v>
      </c>
      <c r="AA2" s="10">
        <v>98.89</v>
      </c>
      <c r="AB2" s="90">
        <v>1993100</v>
      </c>
      <c r="AC2" s="187">
        <v>98.89</v>
      </c>
      <c r="AD2" s="2">
        <f>Y2-Z2</f>
        <v>1.9699999999999989</v>
      </c>
      <c r="AE2" s="131">
        <f>AC2/AC3-1</f>
        <v>-4.6300956215399314E-3</v>
      </c>
    </row>
    <row r="3" spans="1:40" x14ac:dyDescent="0.25">
      <c r="A3" s="22" t="s">
        <v>71</v>
      </c>
      <c r="B3" s="69"/>
      <c r="C3" s="4"/>
      <c r="D3" s="3"/>
      <c r="E3" s="3"/>
      <c r="F3" s="3"/>
      <c r="G3" s="69"/>
      <c r="H3" s="158"/>
      <c r="I3" s="3"/>
      <c r="J3" s="3"/>
      <c r="K3" s="3"/>
      <c r="L3" s="4"/>
      <c r="O3" s="11" t="s">
        <v>58</v>
      </c>
      <c r="Q3" s="174">
        <f>IF(Q2=0, Q4, (F18-K18-M18)/Q2)</f>
        <v>79.84</v>
      </c>
      <c r="T3" s="115"/>
      <c r="W3" s="89">
        <v>42829</v>
      </c>
      <c r="X3" s="10">
        <v>98.68</v>
      </c>
      <c r="Y3" s="39">
        <v>100.7</v>
      </c>
      <c r="Z3" s="39">
        <v>98.14</v>
      </c>
      <c r="AA3" s="10">
        <v>99.35</v>
      </c>
      <c r="AB3" s="90">
        <v>2906400</v>
      </c>
      <c r="AC3" s="187">
        <v>99.35</v>
      </c>
      <c r="AD3" s="2">
        <f>Y3-Z3</f>
        <v>2.5600000000000023</v>
      </c>
      <c r="AE3" s="131">
        <f>AC3/AC4-1</f>
        <v>1.6680311092918565E-2</v>
      </c>
      <c r="AN3" s="178"/>
    </row>
    <row r="4" spans="1:40" x14ac:dyDescent="0.25">
      <c r="B4" s="69"/>
      <c r="C4" s="4"/>
      <c r="D4" s="3"/>
      <c r="E4" s="3"/>
      <c r="F4" s="3"/>
      <c r="G4" s="69"/>
      <c r="H4" s="158"/>
      <c r="I4" s="3"/>
      <c r="J4" s="3"/>
      <c r="K4" s="3"/>
      <c r="L4" s="4"/>
      <c r="O4" s="11" t="s">
        <v>66</v>
      </c>
      <c r="Q4" s="53">
        <v>79.84</v>
      </c>
      <c r="R4" s="396">
        <v>-3.0000000000000001E-3</v>
      </c>
      <c r="T4" s="115"/>
      <c r="W4" s="89">
        <v>42828</v>
      </c>
      <c r="X4" s="10">
        <v>98.15</v>
      </c>
      <c r="Y4" s="39">
        <v>98.48</v>
      </c>
      <c r="Z4" s="39">
        <v>96.95</v>
      </c>
      <c r="AA4" s="10">
        <v>97.72</v>
      </c>
      <c r="AB4" s="90">
        <v>1146600</v>
      </c>
      <c r="AC4" s="187">
        <v>97.72</v>
      </c>
      <c r="AD4" s="2">
        <f t="shared" ref="AD4:AD67" si="0">Y4-Z4</f>
        <v>1.5300000000000011</v>
      </c>
      <c r="AE4" s="131">
        <f t="shared" ref="AE4:AE66" si="1">AC4/AC5-1</f>
        <v>-2.6536027760768466E-3</v>
      </c>
      <c r="AK4" s="178"/>
      <c r="AN4" s="178"/>
    </row>
    <row r="5" spans="1:40" x14ac:dyDescent="0.25">
      <c r="B5" s="69"/>
      <c r="C5" s="17"/>
      <c r="D5" s="70"/>
      <c r="E5" s="70"/>
      <c r="F5" s="3"/>
      <c r="G5" s="69"/>
      <c r="H5" s="158"/>
      <c r="I5" s="3"/>
      <c r="J5" s="3"/>
      <c r="K5" s="3"/>
      <c r="L5" s="4"/>
      <c r="O5" s="11" t="s">
        <v>67</v>
      </c>
      <c r="Q5" s="3">
        <f>Q4*Q2</f>
        <v>0</v>
      </c>
      <c r="W5" s="89">
        <v>42825</v>
      </c>
      <c r="X5" s="10">
        <v>98.31</v>
      </c>
      <c r="Y5" s="39">
        <v>98.49</v>
      </c>
      <c r="Z5" s="39">
        <v>97.71</v>
      </c>
      <c r="AA5" s="10">
        <v>97.98</v>
      </c>
      <c r="AB5" s="90">
        <v>1061300</v>
      </c>
      <c r="AC5" s="187">
        <v>97.98</v>
      </c>
      <c r="AD5" s="2">
        <f t="shared" si="0"/>
        <v>0.78000000000000114</v>
      </c>
      <c r="AE5" s="131">
        <f t="shared" si="1"/>
        <v>-1.6303240269003316E-3</v>
      </c>
      <c r="AK5" s="178"/>
      <c r="AN5" s="178"/>
    </row>
    <row r="6" spans="1:40" x14ac:dyDescent="0.25">
      <c r="B6" s="69"/>
      <c r="C6" s="4"/>
      <c r="D6" s="3"/>
      <c r="E6" s="3"/>
      <c r="F6" s="3"/>
      <c r="G6" s="69"/>
      <c r="H6" s="158"/>
      <c r="I6" s="3"/>
      <c r="J6" s="3"/>
      <c r="K6" s="3"/>
      <c r="L6" s="4"/>
      <c r="O6" s="11" t="s">
        <v>64</v>
      </c>
      <c r="Q6" s="2">
        <f>Q3*Q2</f>
        <v>0</v>
      </c>
      <c r="W6" s="89">
        <v>42824</v>
      </c>
      <c r="X6" s="10">
        <v>97.29</v>
      </c>
      <c r="Y6" s="39">
        <v>98.5</v>
      </c>
      <c r="Z6" s="39">
        <v>97.06</v>
      </c>
      <c r="AA6" s="10">
        <v>98.14</v>
      </c>
      <c r="AB6" s="90">
        <v>1189200</v>
      </c>
      <c r="AC6" s="187">
        <v>98.14</v>
      </c>
      <c r="AD6" s="2">
        <f t="shared" si="0"/>
        <v>1.4399999999999977</v>
      </c>
      <c r="AE6" s="131">
        <f t="shared" si="1"/>
        <v>9.3592512598992261E-3</v>
      </c>
    </row>
    <row r="7" spans="1:40" x14ac:dyDescent="0.25">
      <c r="B7" s="69"/>
      <c r="C7" s="4"/>
      <c r="D7" s="3"/>
      <c r="E7" s="3"/>
      <c r="F7" s="3"/>
      <c r="G7" s="69"/>
      <c r="H7" s="158"/>
      <c r="I7" s="3"/>
      <c r="J7" s="3"/>
      <c r="K7" s="3"/>
      <c r="L7" s="4"/>
      <c r="O7" s="11" t="s">
        <v>175</v>
      </c>
      <c r="P7"/>
      <c r="Q7" s="2">
        <f>Q10+Q8</f>
        <v>1368.9000000000015</v>
      </c>
      <c r="R7">
        <v>0</v>
      </c>
      <c r="T7" s="80"/>
      <c r="W7" s="89">
        <v>42823</v>
      </c>
      <c r="X7" s="10">
        <v>97.85</v>
      </c>
      <c r="Y7" s="39">
        <v>97.85</v>
      </c>
      <c r="Z7" s="39">
        <v>97</v>
      </c>
      <c r="AA7" s="10">
        <v>97.23</v>
      </c>
      <c r="AB7" s="90">
        <v>1086100</v>
      </c>
      <c r="AC7" s="187">
        <v>97.23</v>
      </c>
      <c r="AD7" s="2">
        <f t="shared" si="0"/>
        <v>0.84999999999999432</v>
      </c>
      <c r="AE7" s="131">
        <f t="shared" si="1"/>
        <v>-7.1479628305932685E-3</v>
      </c>
      <c r="AK7" s="178"/>
      <c r="AN7" s="178"/>
    </row>
    <row r="8" spans="1:40" x14ac:dyDescent="0.25">
      <c r="B8" s="4"/>
      <c r="C8" s="4"/>
      <c r="D8" s="3"/>
      <c r="E8" s="3"/>
      <c r="F8" s="3"/>
      <c r="G8" s="4"/>
      <c r="H8" s="158"/>
      <c r="I8" s="3"/>
      <c r="J8" s="3"/>
      <c r="K8" s="3"/>
      <c r="L8" s="4"/>
      <c r="O8" s="11" t="s">
        <v>177</v>
      </c>
      <c r="Q8" s="2">
        <f>K18+M18-F18+Q2*Q4</f>
        <v>0</v>
      </c>
      <c r="W8" s="89">
        <v>42822</v>
      </c>
      <c r="X8" s="10">
        <v>97.31</v>
      </c>
      <c r="Y8" s="39">
        <v>98.7</v>
      </c>
      <c r="Z8" s="39">
        <v>96.55</v>
      </c>
      <c r="AA8" s="10">
        <v>97.93</v>
      </c>
      <c r="AB8" s="90">
        <v>1152600</v>
      </c>
      <c r="AC8" s="187">
        <v>97.93</v>
      </c>
      <c r="AD8" s="2">
        <f t="shared" si="0"/>
        <v>2.1500000000000057</v>
      </c>
      <c r="AE8" s="131">
        <f t="shared" si="1"/>
        <v>7.6139520526803395E-3</v>
      </c>
    </row>
    <row r="9" spans="1:40" x14ac:dyDescent="0.25">
      <c r="B9" s="4"/>
      <c r="C9" s="4"/>
      <c r="D9" s="3"/>
      <c r="E9" s="3"/>
      <c r="F9" s="3"/>
      <c r="G9" s="4"/>
      <c r="H9" s="158"/>
      <c r="I9" s="3"/>
      <c r="J9" s="3"/>
      <c r="K9" s="3"/>
      <c r="L9" s="4"/>
      <c r="O9" s="11" t="s">
        <v>202</v>
      </c>
      <c r="P9"/>
      <c r="Q9" s="131">
        <f>IF(Q2=0, 0, Q8/Q6)</f>
        <v>0</v>
      </c>
      <c r="W9" s="89">
        <v>42821</v>
      </c>
      <c r="X9" s="10">
        <v>96.41</v>
      </c>
      <c r="Y9" s="39">
        <v>97.71</v>
      </c>
      <c r="Z9" s="39">
        <v>95.33</v>
      </c>
      <c r="AA9" s="10">
        <v>97.19</v>
      </c>
      <c r="AB9" s="90">
        <v>1203200</v>
      </c>
      <c r="AC9" s="187">
        <v>97.19</v>
      </c>
      <c r="AD9" s="2">
        <f t="shared" si="0"/>
        <v>2.3799999999999955</v>
      </c>
      <c r="AE9" s="131">
        <f t="shared" si="1"/>
        <v>-1.1305241521069043E-3</v>
      </c>
      <c r="AK9" s="178"/>
      <c r="AN9" s="178"/>
    </row>
    <row r="10" spans="1:40" ht="12.75" customHeight="1" x14ac:dyDescent="0.25">
      <c r="H10" s="67"/>
      <c r="O10" s="11" t="s">
        <v>201</v>
      </c>
      <c r="Q10" s="2">
        <f>M48</f>
        <v>1368.9000000000015</v>
      </c>
      <c r="W10" s="89">
        <v>42818</v>
      </c>
      <c r="X10" s="10">
        <v>97.36</v>
      </c>
      <c r="Y10" s="39">
        <v>98.35</v>
      </c>
      <c r="Z10" s="39">
        <v>96.88</v>
      </c>
      <c r="AA10" s="10">
        <v>97.3</v>
      </c>
      <c r="AB10" s="90">
        <v>1265400</v>
      </c>
      <c r="AC10" s="187">
        <v>97.3</v>
      </c>
      <c r="AD10" s="2">
        <f t="shared" si="0"/>
        <v>1.4699999999999989</v>
      </c>
      <c r="AE10" s="131">
        <f t="shared" si="1"/>
        <v>8.2901554404144484E-3</v>
      </c>
    </row>
    <row r="11" spans="1:40" x14ac:dyDescent="0.25">
      <c r="H11" s="67"/>
      <c r="O11" s="11" t="s">
        <v>173</v>
      </c>
      <c r="Q11" s="131">
        <f>VALUE(TRIM(CLEAN(MID(U55, FIND("(", U55)+1, 5))))</f>
        <v>1.14E-2</v>
      </c>
      <c r="W11" s="89">
        <v>42817</v>
      </c>
      <c r="X11" s="10">
        <v>96.54</v>
      </c>
      <c r="Y11" s="39">
        <v>97.29</v>
      </c>
      <c r="Z11" s="39">
        <v>96.03</v>
      </c>
      <c r="AA11" s="10">
        <v>96.5</v>
      </c>
      <c r="AB11" s="90">
        <v>1067800</v>
      </c>
      <c r="AC11" s="187">
        <v>96.5</v>
      </c>
      <c r="AD11" s="2">
        <f t="shared" si="0"/>
        <v>1.2600000000000051</v>
      </c>
      <c r="AE11" s="131">
        <f t="shared" si="1"/>
        <v>-2.4808765763902896E-3</v>
      </c>
      <c r="AK11" s="178"/>
      <c r="AN11" s="178"/>
    </row>
    <row r="12" spans="1:40" x14ac:dyDescent="0.25">
      <c r="H12" s="67"/>
      <c r="W12" s="89">
        <v>42816</v>
      </c>
      <c r="X12" s="10">
        <v>95.47</v>
      </c>
      <c r="Y12" s="39">
        <v>96.78</v>
      </c>
      <c r="Z12" s="39">
        <v>94.59</v>
      </c>
      <c r="AA12" s="10">
        <v>96.74</v>
      </c>
      <c r="AB12" s="90">
        <v>1735100</v>
      </c>
      <c r="AC12" s="187">
        <v>96.74</v>
      </c>
      <c r="AD12" s="2">
        <f t="shared" si="0"/>
        <v>2.1899999999999977</v>
      </c>
      <c r="AE12" s="131">
        <f t="shared" si="1"/>
        <v>1.2772194304857543E-2</v>
      </c>
    </row>
    <row r="13" spans="1:40" x14ac:dyDescent="0.25">
      <c r="H13" s="67"/>
      <c r="W13" s="89">
        <v>42815</v>
      </c>
      <c r="X13" s="10">
        <v>98.37</v>
      </c>
      <c r="Y13" s="39">
        <v>98.64</v>
      </c>
      <c r="Z13" s="39">
        <v>95.34</v>
      </c>
      <c r="AA13" s="10">
        <v>95.52</v>
      </c>
      <c r="AB13" s="90">
        <v>1795100</v>
      </c>
      <c r="AC13" s="187">
        <v>95.52</v>
      </c>
      <c r="AD13" s="2">
        <f t="shared" si="0"/>
        <v>3.2999999999999972</v>
      </c>
      <c r="AE13" s="131">
        <f t="shared" si="1"/>
        <v>-2.7192178429575331E-2</v>
      </c>
      <c r="AK13" s="178"/>
      <c r="AN13" s="178"/>
    </row>
    <row r="14" spans="1:40" x14ac:dyDescent="0.25">
      <c r="H14" s="67"/>
      <c r="T14" s="79"/>
      <c r="U14" s="11"/>
      <c r="W14" s="89">
        <v>42814</v>
      </c>
      <c r="X14" s="10">
        <v>97.95</v>
      </c>
      <c r="Y14" s="39">
        <v>98.81</v>
      </c>
      <c r="Z14" s="39">
        <v>97.15</v>
      </c>
      <c r="AA14" s="10">
        <v>98.19</v>
      </c>
      <c r="AB14" s="90">
        <v>1267800</v>
      </c>
      <c r="AC14" s="187">
        <v>98.19</v>
      </c>
      <c r="AD14" s="2">
        <f t="shared" si="0"/>
        <v>1.6599999999999966</v>
      </c>
      <c r="AE14" s="131">
        <f t="shared" si="1"/>
        <v>2.6549576227916649E-3</v>
      </c>
    </row>
    <row r="15" spans="1:40" x14ac:dyDescent="0.25">
      <c r="H15" s="67"/>
      <c r="W15" s="89">
        <v>42811</v>
      </c>
      <c r="X15" s="10">
        <v>98.51</v>
      </c>
      <c r="Y15" s="39">
        <v>98.61</v>
      </c>
      <c r="Z15" s="39">
        <v>97.51</v>
      </c>
      <c r="AA15" s="10">
        <v>97.93</v>
      </c>
      <c r="AB15" s="90">
        <v>2421700</v>
      </c>
      <c r="AC15" s="187">
        <v>97.93</v>
      </c>
      <c r="AD15" s="2">
        <f t="shared" si="0"/>
        <v>1.0999999999999943</v>
      </c>
      <c r="AE15" s="131">
        <f t="shared" si="1"/>
        <v>-1.8346753643868619E-3</v>
      </c>
      <c r="AK15" s="178"/>
      <c r="AN15" s="178"/>
    </row>
    <row r="16" spans="1:40" x14ac:dyDescent="0.25">
      <c r="H16" s="67"/>
      <c r="W16" s="89">
        <v>42810</v>
      </c>
      <c r="X16" s="10">
        <v>99.22</v>
      </c>
      <c r="Y16" s="39">
        <v>99.22</v>
      </c>
      <c r="Z16" s="39">
        <v>98</v>
      </c>
      <c r="AA16" s="10">
        <v>98.11</v>
      </c>
      <c r="AB16" s="90">
        <v>1762600</v>
      </c>
      <c r="AC16" s="187">
        <v>98.11</v>
      </c>
      <c r="AD16" s="2">
        <f t="shared" si="0"/>
        <v>1.2199999999999989</v>
      </c>
      <c r="AE16" s="131">
        <f t="shared" si="1"/>
        <v>-1.0089799212995687E-2</v>
      </c>
    </row>
    <row r="17" spans="1:40" x14ac:dyDescent="0.25">
      <c r="H17" s="67"/>
      <c r="W17" s="89">
        <v>42809</v>
      </c>
      <c r="X17" s="10">
        <v>98.71</v>
      </c>
      <c r="Y17" s="39">
        <v>99.38</v>
      </c>
      <c r="Z17" s="39">
        <v>98.12</v>
      </c>
      <c r="AA17" s="10">
        <v>99.11</v>
      </c>
      <c r="AB17" s="90">
        <v>1527500</v>
      </c>
      <c r="AC17" s="187">
        <v>99.11</v>
      </c>
      <c r="AD17" s="2">
        <f t="shared" si="0"/>
        <v>1.2599999999999909</v>
      </c>
      <c r="AE17" s="131">
        <f t="shared" si="1"/>
        <v>3.2391942504301774E-3</v>
      </c>
      <c r="AK17" s="178"/>
      <c r="AN17" s="178"/>
    </row>
    <row r="18" spans="1:40" x14ac:dyDescent="0.25">
      <c r="A18" s="31" t="s">
        <v>81</v>
      </c>
      <c r="B18" s="14"/>
      <c r="C18" s="14">
        <f>SUM(C2:C7)</f>
        <v>0</v>
      </c>
      <c r="D18" s="14"/>
      <c r="E18" s="14"/>
      <c r="F18" s="18">
        <f>SUM(F2:F7)</f>
        <v>0</v>
      </c>
      <c r="G18" s="18"/>
      <c r="H18" s="68">
        <f>SUM(H2:H7)</f>
        <v>0</v>
      </c>
      <c r="I18" s="18"/>
      <c r="J18" s="18"/>
      <c r="K18" s="18">
        <f>SUM(K2:K7)</f>
        <v>0</v>
      </c>
      <c r="L18" s="18"/>
      <c r="M18" s="18">
        <f>SUM(M2:M6)</f>
        <v>0</v>
      </c>
      <c r="W18" s="89">
        <v>42808</v>
      </c>
      <c r="X18" s="10">
        <v>98.74</v>
      </c>
      <c r="Y18" s="39">
        <v>98.94</v>
      </c>
      <c r="Z18" s="39">
        <v>97.95</v>
      </c>
      <c r="AA18" s="10">
        <v>98.79</v>
      </c>
      <c r="AB18" s="90">
        <v>1214000</v>
      </c>
      <c r="AC18" s="187">
        <v>98.79</v>
      </c>
      <c r="AD18" s="2">
        <f t="shared" si="0"/>
        <v>0.98999999999999488</v>
      </c>
      <c r="AE18" s="131">
        <f t="shared" si="1"/>
        <v>-2.5242326332794995E-3</v>
      </c>
    </row>
    <row r="19" spans="1:40"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89">
        <v>42807</v>
      </c>
      <c r="X19" s="10">
        <v>98.48</v>
      </c>
      <c r="Y19" s="39">
        <v>99.34</v>
      </c>
      <c r="Z19" s="39">
        <v>98.06</v>
      </c>
      <c r="AA19" s="10">
        <v>99.04</v>
      </c>
      <c r="AB19" s="90">
        <v>2398600</v>
      </c>
      <c r="AC19" s="187">
        <v>99.04</v>
      </c>
      <c r="AD19" s="2">
        <f t="shared" si="0"/>
        <v>1.2800000000000011</v>
      </c>
      <c r="AE19" s="131">
        <f t="shared" si="1"/>
        <v>8.7594214707680251E-3</v>
      </c>
      <c r="AK19" s="178"/>
      <c r="AN19" s="178"/>
    </row>
    <row r="20" spans="1:40" x14ac:dyDescent="0.25">
      <c r="W20" s="89">
        <v>42804</v>
      </c>
      <c r="X20" s="10">
        <v>97.74</v>
      </c>
      <c r="Y20" s="39">
        <v>98.7</v>
      </c>
      <c r="Z20" s="39">
        <v>97.5</v>
      </c>
      <c r="AA20" s="10">
        <v>98.18</v>
      </c>
      <c r="AB20" s="90">
        <v>2258700</v>
      </c>
      <c r="AC20" s="187">
        <v>98.18</v>
      </c>
      <c r="AD20" s="2">
        <f t="shared" si="0"/>
        <v>1.2000000000000028</v>
      </c>
      <c r="AE20" s="131">
        <f t="shared" si="1"/>
        <v>1.0706197241095339E-2</v>
      </c>
    </row>
    <row r="21" spans="1:40" x14ac:dyDescent="0.25">
      <c r="W21" s="89">
        <v>42803</v>
      </c>
      <c r="X21" s="10">
        <v>96.21</v>
      </c>
      <c r="Y21" s="39">
        <v>97.67</v>
      </c>
      <c r="Z21" s="39">
        <v>95.06</v>
      </c>
      <c r="AA21" s="10">
        <v>97.14</v>
      </c>
      <c r="AB21" s="90">
        <v>2819000</v>
      </c>
      <c r="AC21" s="187">
        <v>97.14</v>
      </c>
      <c r="AD21" s="2">
        <f t="shared" si="0"/>
        <v>2.6099999999999994</v>
      </c>
      <c r="AE21" s="131">
        <f t="shared" si="1"/>
        <v>4.6540490226496534E-3</v>
      </c>
      <c r="AK21" s="178"/>
      <c r="AN21" s="178"/>
    </row>
    <row r="22" spans="1:40" x14ac:dyDescent="0.25">
      <c r="B22" s="159" t="s">
        <v>113</v>
      </c>
      <c r="C22" s="159" t="s">
        <v>143</v>
      </c>
      <c r="D22" s="160" t="s">
        <v>142</v>
      </c>
      <c r="E22" s="162" t="s">
        <v>144</v>
      </c>
      <c r="F22" s="162" t="s">
        <v>65</v>
      </c>
      <c r="G22" s="173" t="s">
        <v>148</v>
      </c>
      <c r="H22" s="173" t="s">
        <v>88</v>
      </c>
      <c r="I22" s="173" t="s">
        <v>151</v>
      </c>
      <c r="W22" s="89">
        <v>42802</v>
      </c>
      <c r="X22" s="10">
        <v>96.36</v>
      </c>
      <c r="Y22" s="39">
        <v>96.91</v>
      </c>
      <c r="Z22" s="39">
        <v>95.39</v>
      </c>
      <c r="AA22" s="10">
        <v>96.69</v>
      </c>
      <c r="AB22" s="90">
        <v>4067100</v>
      </c>
      <c r="AC22" s="187">
        <v>96.69</v>
      </c>
      <c r="AD22" s="2">
        <f t="shared" si="0"/>
        <v>1.519999999999996</v>
      </c>
      <c r="AE22" s="131">
        <f t="shared" si="1"/>
        <v>1.7254076801683338E-2</v>
      </c>
    </row>
    <row r="23" spans="1:40" x14ac:dyDescent="0.25">
      <c r="B23" s="161">
        <v>42546</v>
      </c>
      <c r="C23" s="350">
        <v>60</v>
      </c>
      <c r="D23" s="351">
        <v>63.32</v>
      </c>
      <c r="E23" s="39">
        <v>61.61</v>
      </c>
      <c r="F23" s="39">
        <f t="shared" ref="F23:F42" si="2">C23*(E23-D23)</f>
        <v>-102.60000000000005</v>
      </c>
      <c r="G23" s="39">
        <f t="shared" ref="G23:G42" si="3">D23*C23</f>
        <v>3799.2</v>
      </c>
      <c r="H23" s="175">
        <f t="shared" ref="H23:H42" si="4">(E23-D23)/D23</f>
        <v>-2.7005685407454214E-2</v>
      </c>
      <c r="I23" s="39"/>
      <c r="W23" s="89">
        <v>42801</v>
      </c>
      <c r="X23" s="10">
        <v>95.22</v>
      </c>
      <c r="Y23" s="39">
        <v>95.49</v>
      </c>
      <c r="Z23" s="39">
        <v>94.21</v>
      </c>
      <c r="AA23" s="10">
        <v>95.05</v>
      </c>
      <c r="AB23" s="90">
        <v>1539300</v>
      </c>
      <c r="AC23" s="187">
        <v>95.05</v>
      </c>
      <c r="AD23" s="2">
        <f t="shared" si="0"/>
        <v>1.2800000000000011</v>
      </c>
      <c r="AE23" s="131">
        <f t="shared" si="1"/>
        <v>-4.1906757464641453E-3</v>
      </c>
      <c r="AK23" s="178"/>
    </row>
    <row r="24" spans="1:40" x14ac:dyDescent="0.25">
      <c r="B24" s="161">
        <v>42548</v>
      </c>
      <c r="C24" s="214">
        <v>60</v>
      </c>
      <c r="D24" s="269">
        <v>60.935000000000002</v>
      </c>
      <c r="E24" s="269">
        <v>58.01</v>
      </c>
      <c r="F24" s="39">
        <f t="shared" si="2"/>
        <v>-175.50000000000026</v>
      </c>
      <c r="G24" s="39">
        <f t="shared" si="3"/>
        <v>3656.1000000000004</v>
      </c>
      <c r="H24" s="175">
        <f t="shared" si="4"/>
        <v>-4.8001969311561567E-2</v>
      </c>
      <c r="I24" s="39"/>
      <c r="W24" s="89">
        <v>42800</v>
      </c>
      <c r="X24" s="10">
        <v>94.21</v>
      </c>
      <c r="Y24" s="39">
        <v>95.71</v>
      </c>
      <c r="Z24" s="39">
        <v>93.43</v>
      </c>
      <c r="AA24" s="10">
        <v>95.45</v>
      </c>
      <c r="AB24" s="90">
        <v>3183600</v>
      </c>
      <c r="AC24" s="187">
        <v>95.45</v>
      </c>
      <c r="AD24" s="2">
        <f t="shared" si="0"/>
        <v>2.2799999999999869</v>
      </c>
      <c r="AE24" s="131">
        <f t="shared" si="1"/>
        <v>5.5836493889591665E-3</v>
      </c>
    </row>
    <row r="25" spans="1:40" x14ac:dyDescent="0.25">
      <c r="B25" s="161">
        <v>42549</v>
      </c>
      <c r="C25" s="359">
        <v>120</v>
      </c>
      <c r="D25" s="362">
        <v>60.935000000000002</v>
      </c>
      <c r="E25" s="269">
        <v>60.26</v>
      </c>
      <c r="F25" s="39">
        <f t="shared" si="2"/>
        <v>-81.000000000000512</v>
      </c>
      <c r="G25" s="39">
        <f t="shared" si="3"/>
        <v>7312.2000000000007</v>
      </c>
      <c r="H25" s="175">
        <f t="shared" si="4"/>
        <v>-1.1077377533437339E-2</v>
      </c>
      <c r="I25" s="39"/>
      <c r="W25" s="89">
        <v>42797</v>
      </c>
      <c r="X25" s="10">
        <v>95.03</v>
      </c>
      <c r="Y25" s="39">
        <v>95.32</v>
      </c>
      <c r="Z25" s="39">
        <v>94.16</v>
      </c>
      <c r="AA25" s="10">
        <v>94.92</v>
      </c>
      <c r="AB25" s="90">
        <v>1504800</v>
      </c>
      <c r="AC25" s="187">
        <v>94.92</v>
      </c>
      <c r="AD25" s="2">
        <f t="shared" si="0"/>
        <v>1.1599999999999966</v>
      </c>
      <c r="AE25" s="131">
        <f t="shared" si="1"/>
        <v>1.6884761502742318E-3</v>
      </c>
    </row>
    <row r="26" spans="1:40" x14ac:dyDescent="0.25">
      <c r="B26" s="161">
        <v>42550</v>
      </c>
      <c r="C26" s="214">
        <v>120</v>
      </c>
      <c r="D26" s="269">
        <v>60.935000000000002</v>
      </c>
      <c r="E26" s="269">
        <v>61.73</v>
      </c>
      <c r="F26" s="39">
        <f t="shared" si="2"/>
        <v>95.399999999999352</v>
      </c>
      <c r="G26" s="39">
        <f t="shared" si="3"/>
        <v>7312.2000000000007</v>
      </c>
      <c r="H26" s="175">
        <f t="shared" si="4"/>
        <v>1.304668909493714E-2</v>
      </c>
      <c r="I26" s="39"/>
      <c r="W26" s="89">
        <v>42796</v>
      </c>
      <c r="X26" s="10">
        <v>96.98</v>
      </c>
      <c r="Y26" s="39">
        <v>97.57</v>
      </c>
      <c r="Z26" s="39">
        <v>94.71</v>
      </c>
      <c r="AA26" s="10">
        <v>94.76</v>
      </c>
      <c r="AB26" s="90">
        <v>2347100</v>
      </c>
      <c r="AC26" s="187">
        <v>94.76</v>
      </c>
      <c r="AD26" s="2">
        <f t="shared" si="0"/>
        <v>2.8599999999999994</v>
      </c>
      <c r="AE26" s="131">
        <f t="shared" si="1"/>
        <v>-2.0467231755220028E-2</v>
      </c>
    </row>
    <row r="27" spans="1:40" x14ac:dyDescent="0.25">
      <c r="B27" s="161">
        <v>42551</v>
      </c>
      <c r="C27" s="347">
        <v>60</v>
      </c>
      <c r="D27" s="354">
        <v>59.007199999999997</v>
      </c>
      <c r="E27" s="269">
        <v>63.28</v>
      </c>
      <c r="F27" s="39">
        <f t="shared" si="2"/>
        <v>256.36800000000022</v>
      </c>
      <c r="G27" s="39">
        <f t="shared" si="3"/>
        <v>3540.4319999999998</v>
      </c>
      <c r="H27" s="175">
        <f t="shared" si="4"/>
        <v>7.2411502325140042E-2</v>
      </c>
      <c r="I27" s="39"/>
      <c r="W27" s="89">
        <v>42795</v>
      </c>
      <c r="X27" s="10">
        <v>95.97</v>
      </c>
      <c r="Y27" s="39">
        <v>97.15</v>
      </c>
      <c r="Z27" s="39">
        <v>94.37</v>
      </c>
      <c r="AA27" s="10">
        <v>96.74</v>
      </c>
      <c r="AB27" s="90">
        <v>2312500</v>
      </c>
      <c r="AC27" s="187">
        <v>96.74</v>
      </c>
      <c r="AD27" s="2">
        <f t="shared" si="0"/>
        <v>2.7800000000000011</v>
      </c>
      <c r="AE27" s="131">
        <f t="shared" si="1"/>
        <v>2.0356502478641403E-2</v>
      </c>
    </row>
    <row r="28" spans="1:40" x14ac:dyDescent="0.25">
      <c r="B28" s="161">
        <v>42552</v>
      </c>
      <c r="C28" s="214">
        <v>60</v>
      </c>
      <c r="D28" s="269">
        <v>59.007199999999997</v>
      </c>
      <c r="E28" s="269">
        <v>62.6</v>
      </c>
      <c r="F28" s="39">
        <f t="shared" si="2"/>
        <v>215.56800000000024</v>
      </c>
      <c r="G28" s="39">
        <f t="shared" si="3"/>
        <v>3540.4319999999998</v>
      </c>
      <c r="H28" s="175">
        <f t="shared" si="4"/>
        <v>6.0887484917094933E-2</v>
      </c>
      <c r="I28" s="39"/>
      <c r="W28" s="89">
        <v>42794</v>
      </c>
      <c r="X28" s="10">
        <v>95.61</v>
      </c>
      <c r="Y28" s="39">
        <v>95.85</v>
      </c>
      <c r="Z28" s="39">
        <v>94</v>
      </c>
      <c r="AA28" s="10">
        <v>94.81</v>
      </c>
      <c r="AB28" s="90">
        <v>1719500</v>
      </c>
      <c r="AC28" s="187">
        <v>94.81</v>
      </c>
      <c r="AD28" s="2">
        <f t="shared" si="0"/>
        <v>1.8499999999999943</v>
      </c>
      <c r="AE28" s="131">
        <f t="shared" si="1"/>
        <v>-8.5747150475791178E-3</v>
      </c>
    </row>
    <row r="29" spans="1:40" x14ac:dyDescent="0.25">
      <c r="B29" s="161">
        <v>42556</v>
      </c>
      <c r="C29" s="214">
        <v>60</v>
      </c>
      <c r="D29" s="269">
        <v>59.007199999999997</v>
      </c>
      <c r="E29" s="269">
        <v>58.82</v>
      </c>
      <c r="F29" s="39">
        <f t="shared" si="2"/>
        <v>-11.231999999999829</v>
      </c>
      <c r="G29" s="39">
        <f t="shared" si="3"/>
        <v>3540.4319999999998</v>
      </c>
      <c r="H29" s="175">
        <f t="shared" si="4"/>
        <v>-3.1724942040970787E-3</v>
      </c>
      <c r="I29" s="39"/>
      <c r="W29" s="89">
        <v>42793</v>
      </c>
      <c r="X29" s="10">
        <v>94.54</v>
      </c>
      <c r="Y29" s="39">
        <v>95.68</v>
      </c>
      <c r="Z29" s="39">
        <v>93.85</v>
      </c>
      <c r="AA29" s="10">
        <v>95.63</v>
      </c>
      <c r="AB29" s="90">
        <v>1243000</v>
      </c>
      <c r="AC29" s="187">
        <v>95.63</v>
      </c>
      <c r="AD29" s="2">
        <f t="shared" si="0"/>
        <v>1.8300000000000125</v>
      </c>
      <c r="AE29" s="131">
        <f t="shared" si="1"/>
        <v>9.8204857444561533E-3</v>
      </c>
    </row>
    <row r="30" spans="1:40" x14ac:dyDescent="0.25">
      <c r="B30" s="161">
        <v>42557</v>
      </c>
      <c r="C30" s="334">
        <v>90</v>
      </c>
      <c r="D30" s="45">
        <v>58.531399999999998</v>
      </c>
      <c r="E30" s="269">
        <v>59.16</v>
      </c>
      <c r="F30" s="39">
        <f t="shared" si="2"/>
        <v>56.573999999999884</v>
      </c>
      <c r="G30" s="39">
        <f t="shared" si="3"/>
        <v>5267.826</v>
      </c>
      <c r="H30" s="175">
        <f t="shared" si="4"/>
        <v>1.0739534677113459E-2</v>
      </c>
      <c r="I30" s="39"/>
      <c r="W30" s="89">
        <v>42790</v>
      </c>
      <c r="X30" s="10">
        <v>94.24</v>
      </c>
      <c r="Y30" s="39">
        <v>95</v>
      </c>
      <c r="Z30" s="39">
        <v>93.02</v>
      </c>
      <c r="AA30" s="10">
        <v>94.7</v>
      </c>
      <c r="AB30" s="90">
        <v>1445600</v>
      </c>
      <c r="AC30" s="187">
        <v>94.7</v>
      </c>
      <c r="AD30" s="2">
        <f t="shared" si="0"/>
        <v>1.980000000000004</v>
      </c>
      <c r="AE30" s="131">
        <f t="shared" si="1"/>
        <v>-6.4001678732557021E-3</v>
      </c>
    </row>
    <row r="31" spans="1:40" x14ac:dyDescent="0.25">
      <c r="B31" s="161">
        <v>42562</v>
      </c>
      <c r="C31" s="214">
        <v>90</v>
      </c>
      <c r="D31" s="269">
        <v>58.531399999999998</v>
      </c>
      <c r="E31" s="269">
        <v>64.64</v>
      </c>
      <c r="F31" s="39">
        <f t="shared" si="2"/>
        <v>549.77400000000023</v>
      </c>
      <c r="G31" s="39">
        <f t="shared" si="3"/>
        <v>5267.826</v>
      </c>
      <c r="H31" s="175">
        <f t="shared" si="4"/>
        <v>0.1043644949548448</v>
      </c>
      <c r="I31" s="39"/>
      <c r="W31" s="89">
        <v>42789</v>
      </c>
      <c r="X31" s="10">
        <v>96.86</v>
      </c>
      <c r="Y31" s="39">
        <v>96.94</v>
      </c>
      <c r="Z31" s="39">
        <v>94.3</v>
      </c>
      <c r="AA31" s="10">
        <v>95.31</v>
      </c>
      <c r="AB31" s="90">
        <v>1639300</v>
      </c>
      <c r="AC31" s="187">
        <v>95.31</v>
      </c>
      <c r="AD31" s="2">
        <f t="shared" si="0"/>
        <v>2.6400000000000006</v>
      </c>
      <c r="AE31" s="131">
        <f t="shared" si="1"/>
        <v>-1.4476269258608121E-2</v>
      </c>
    </row>
    <row r="32" spans="1:40" x14ac:dyDescent="0.25">
      <c r="B32" s="161">
        <v>42563</v>
      </c>
      <c r="C32" s="214">
        <v>90</v>
      </c>
      <c r="D32" s="269">
        <v>58.531399999999998</v>
      </c>
      <c r="E32" s="269">
        <v>65.8</v>
      </c>
      <c r="F32" s="39">
        <f t="shared" si="2"/>
        <v>654.17399999999998</v>
      </c>
      <c r="G32" s="39">
        <f t="shared" si="3"/>
        <v>5267.826</v>
      </c>
      <c r="H32" s="175">
        <f t="shared" si="4"/>
        <v>0.12418291720341559</v>
      </c>
      <c r="I32" s="39"/>
      <c r="W32" s="89">
        <v>42788</v>
      </c>
      <c r="X32" s="10">
        <v>96.49</v>
      </c>
      <c r="Y32" s="39">
        <v>97.17</v>
      </c>
      <c r="Z32" s="39">
        <v>96.04</v>
      </c>
      <c r="AA32" s="10">
        <v>96.71</v>
      </c>
      <c r="AB32" s="90">
        <v>1397100</v>
      </c>
      <c r="AC32" s="187">
        <v>96.71</v>
      </c>
      <c r="AD32" s="2">
        <f t="shared" si="0"/>
        <v>1.1299999999999955</v>
      </c>
      <c r="AE32" s="131">
        <f t="shared" si="1"/>
        <v>1.4497255876566584E-3</v>
      </c>
    </row>
    <row r="33" spans="1:31" x14ac:dyDescent="0.25">
      <c r="B33" s="161">
        <v>42569</v>
      </c>
      <c r="C33" s="214">
        <v>90</v>
      </c>
      <c r="D33" s="269">
        <v>58.531399999999998</v>
      </c>
      <c r="E33" s="269">
        <v>68.7</v>
      </c>
      <c r="F33" s="39">
        <f t="shared" si="2"/>
        <v>915.17400000000043</v>
      </c>
      <c r="G33" s="39">
        <f t="shared" si="3"/>
        <v>5267.826</v>
      </c>
      <c r="H33" s="175">
        <f t="shared" si="4"/>
        <v>0.17372897282484281</v>
      </c>
      <c r="I33" s="39"/>
      <c r="W33" s="89">
        <v>42787</v>
      </c>
      <c r="X33" s="10">
        <v>96.63</v>
      </c>
      <c r="Y33" s="39">
        <v>97.51</v>
      </c>
      <c r="Z33" s="39">
        <v>95.7</v>
      </c>
      <c r="AA33" s="10">
        <v>96.57</v>
      </c>
      <c r="AB33" s="90">
        <v>2553500</v>
      </c>
      <c r="AC33" s="187">
        <v>96.57</v>
      </c>
      <c r="AD33" s="2">
        <f t="shared" si="0"/>
        <v>1.8100000000000023</v>
      </c>
      <c r="AE33" s="131">
        <f t="shared" si="1"/>
        <v>2.2833419823560241E-3</v>
      </c>
    </row>
    <row r="34" spans="1:31" x14ac:dyDescent="0.25">
      <c r="B34" s="161">
        <v>42570</v>
      </c>
      <c r="C34" s="214">
        <v>90</v>
      </c>
      <c r="D34" s="269">
        <v>58.531399999999998</v>
      </c>
      <c r="E34" s="269">
        <v>68.33</v>
      </c>
      <c r="F34" s="39">
        <f t="shared" si="2"/>
        <v>881.87400000000002</v>
      </c>
      <c r="G34" s="39">
        <f t="shared" si="3"/>
        <v>5267.826</v>
      </c>
      <c r="H34" s="175">
        <f t="shared" si="4"/>
        <v>0.1674075795214193</v>
      </c>
      <c r="I34" s="39"/>
      <c r="W34" s="89">
        <v>42783</v>
      </c>
      <c r="X34" s="10">
        <v>92.24</v>
      </c>
      <c r="Y34" s="39">
        <v>96.67</v>
      </c>
      <c r="Z34" s="39">
        <v>91.92</v>
      </c>
      <c r="AA34" s="10">
        <v>96.35</v>
      </c>
      <c r="AB34" s="90">
        <v>5405100</v>
      </c>
      <c r="AC34" s="187">
        <v>96.35</v>
      </c>
      <c r="AD34" s="2">
        <f t="shared" si="0"/>
        <v>4.75</v>
      </c>
      <c r="AE34" s="131">
        <f t="shared" si="1"/>
        <v>4.2410472790219478E-2</v>
      </c>
    </row>
    <row r="35" spans="1:31" x14ac:dyDescent="0.25">
      <c r="B35" s="161">
        <v>42571</v>
      </c>
      <c r="C35" s="214">
        <v>90</v>
      </c>
      <c r="D35" s="269">
        <v>58.531399999999998</v>
      </c>
      <c r="E35" s="269">
        <v>69.489999999999995</v>
      </c>
      <c r="F35" s="39">
        <f t="shared" si="2"/>
        <v>986.27399999999977</v>
      </c>
      <c r="G35" s="39">
        <f t="shared" si="3"/>
        <v>5267.826</v>
      </c>
      <c r="H35" s="175">
        <f t="shared" si="4"/>
        <v>0.18722600176999007</v>
      </c>
      <c r="I35" s="39"/>
      <c r="W35" s="89">
        <v>42782</v>
      </c>
      <c r="X35" s="10">
        <v>92.34</v>
      </c>
      <c r="Y35" s="39">
        <v>92.56</v>
      </c>
      <c r="Z35" s="39">
        <v>91.6</v>
      </c>
      <c r="AA35" s="10">
        <v>92.43</v>
      </c>
      <c r="AB35" s="90">
        <v>1287000</v>
      </c>
      <c r="AC35" s="187">
        <v>92.43</v>
      </c>
      <c r="AD35" s="2">
        <f t="shared" si="0"/>
        <v>0.96000000000000796</v>
      </c>
      <c r="AE35" s="131">
        <f t="shared" si="1"/>
        <v>3.2562683165093809E-3</v>
      </c>
    </row>
    <row r="36" spans="1:31" ht="20.25" thickBot="1" x14ac:dyDescent="0.35">
      <c r="B36" s="161">
        <v>42572</v>
      </c>
      <c r="C36" s="214">
        <v>90</v>
      </c>
      <c r="D36" s="269">
        <v>58.531399999999998</v>
      </c>
      <c r="E36" s="269">
        <v>70.92</v>
      </c>
      <c r="F36" s="39">
        <f t="shared" si="2"/>
        <v>1114.9740000000004</v>
      </c>
      <c r="G36" s="39">
        <f t="shared" si="3"/>
        <v>5267.826</v>
      </c>
      <c r="H36" s="175">
        <f t="shared" si="4"/>
        <v>0.21165733264538358</v>
      </c>
      <c r="I36" s="39" t="s">
        <v>238</v>
      </c>
      <c r="O36" s="11"/>
      <c r="P36" s="191" t="s">
        <v>78</v>
      </c>
      <c r="Q36" s="191"/>
      <c r="R36" s="33"/>
      <c r="W36" s="89">
        <v>42781</v>
      </c>
      <c r="X36" s="10">
        <v>92.02</v>
      </c>
      <c r="Y36" s="39">
        <v>92.61</v>
      </c>
      <c r="Z36" s="39">
        <v>91.25</v>
      </c>
      <c r="AA36" s="10">
        <v>92.13</v>
      </c>
      <c r="AB36" s="90">
        <v>1559300</v>
      </c>
      <c r="AC36" s="187">
        <v>92.13</v>
      </c>
      <c r="AD36" s="2">
        <f t="shared" si="0"/>
        <v>1.3599999999999994</v>
      </c>
      <c r="AE36" s="131">
        <f t="shared" si="1"/>
        <v>3.5947712418300526E-3</v>
      </c>
    </row>
    <row r="37" spans="1:31" ht="15.75" thickTop="1" x14ac:dyDescent="0.25">
      <c r="B37" s="161">
        <v>42575</v>
      </c>
      <c r="C37" s="214">
        <v>110</v>
      </c>
      <c r="D37" s="269">
        <v>59.467500000000001</v>
      </c>
      <c r="E37" s="269">
        <v>64.81</v>
      </c>
      <c r="F37" s="39">
        <f t="shared" si="2"/>
        <v>587.67500000000018</v>
      </c>
      <c r="G37" s="39">
        <f t="shared" si="3"/>
        <v>6541.4250000000002</v>
      </c>
      <c r="H37" s="175">
        <f t="shared" si="4"/>
        <v>8.9838987682347521E-2</v>
      </c>
      <c r="I37" s="39"/>
      <c r="O37" s="2"/>
      <c r="P37" s="78">
        <v>1.1000000000000001</v>
      </c>
      <c r="Q37" s="78">
        <f>P37*$Q$4</f>
        <v>87.824000000000012</v>
      </c>
      <c r="R37" s="33"/>
      <c r="W37" s="89">
        <v>42780</v>
      </c>
      <c r="X37" s="10">
        <v>92.32</v>
      </c>
      <c r="Y37" s="39">
        <v>92.48</v>
      </c>
      <c r="Z37" s="39">
        <v>90.53</v>
      </c>
      <c r="AA37" s="10">
        <v>91.8</v>
      </c>
      <c r="AB37" s="90">
        <v>1610400</v>
      </c>
      <c r="AC37" s="187">
        <v>91.8</v>
      </c>
      <c r="AD37" s="2">
        <f t="shared" si="0"/>
        <v>1.9500000000000028</v>
      </c>
      <c r="AE37" s="131">
        <f t="shared" si="1"/>
        <v>-8.9603800064773642E-3</v>
      </c>
    </row>
    <row r="38" spans="1:31" x14ac:dyDescent="0.25">
      <c r="B38" s="161">
        <v>42577</v>
      </c>
      <c r="C38" s="214">
        <v>110</v>
      </c>
      <c r="D38" s="269">
        <v>59.467500000000001</v>
      </c>
      <c r="E38" s="269">
        <v>65.87</v>
      </c>
      <c r="F38" s="39">
        <f t="shared" si="2"/>
        <v>704.27500000000032</v>
      </c>
      <c r="G38" s="39">
        <f t="shared" si="3"/>
        <v>6541.4250000000002</v>
      </c>
      <c r="H38" s="175">
        <f t="shared" si="4"/>
        <v>0.10766385000210205</v>
      </c>
      <c r="I38" s="39" t="s">
        <v>243</v>
      </c>
      <c r="O38" s="2"/>
      <c r="P38" s="78">
        <v>1.0900000000000001</v>
      </c>
      <c r="Q38" s="78">
        <f t="shared" ref="Q38:Q57" si="5">P38*$Q$4</f>
        <v>87.025600000000011</v>
      </c>
      <c r="R38" s="33"/>
      <c r="W38" s="89">
        <v>42779</v>
      </c>
      <c r="X38" s="10">
        <v>92.69</v>
      </c>
      <c r="Y38" s="39">
        <v>93.3</v>
      </c>
      <c r="Z38" s="39">
        <v>92.27</v>
      </c>
      <c r="AA38" s="10">
        <v>92.63</v>
      </c>
      <c r="AB38" s="90">
        <v>1290100</v>
      </c>
      <c r="AC38" s="187">
        <v>92.63</v>
      </c>
      <c r="AD38" s="2">
        <f t="shared" si="0"/>
        <v>1.0300000000000011</v>
      </c>
      <c r="AE38" s="131">
        <f t="shared" si="1"/>
        <v>4.5548205183820745E-3</v>
      </c>
    </row>
    <row r="39" spans="1:31" ht="20.25" thickBot="1" x14ac:dyDescent="0.35">
      <c r="B39" s="161">
        <v>42585</v>
      </c>
      <c r="C39" s="214">
        <v>110</v>
      </c>
      <c r="D39" s="269">
        <v>59.467500000000001</v>
      </c>
      <c r="E39" s="269">
        <v>65.040000000000006</v>
      </c>
      <c r="F39" s="39">
        <f t="shared" si="2"/>
        <v>612.97500000000059</v>
      </c>
      <c r="G39" s="39">
        <f t="shared" si="3"/>
        <v>6541.4250000000002</v>
      </c>
      <c r="H39" s="175">
        <f t="shared" si="4"/>
        <v>9.370664648757733E-2</v>
      </c>
      <c r="I39" s="39"/>
      <c r="O39" s="2"/>
      <c r="P39" s="78">
        <v>1.08</v>
      </c>
      <c r="Q39" s="78">
        <f t="shared" si="5"/>
        <v>86.227200000000011</v>
      </c>
      <c r="R39" s="33"/>
      <c r="T39" s="86" t="s">
        <v>112</v>
      </c>
      <c r="W39" s="89">
        <v>42776</v>
      </c>
      <c r="X39" s="10">
        <v>92.73</v>
      </c>
      <c r="Y39" s="39">
        <v>92.75</v>
      </c>
      <c r="Z39" s="39">
        <v>91.41</v>
      </c>
      <c r="AA39" s="10">
        <v>92.21</v>
      </c>
      <c r="AB39" s="90">
        <v>1947300</v>
      </c>
      <c r="AC39" s="187">
        <v>92.21</v>
      </c>
      <c r="AD39" s="2">
        <f t="shared" si="0"/>
        <v>1.3400000000000034</v>
      </c>
      <c r="AE39" s="131">
        <f t="shared" si="1"/>
        <v>-2.8117227208824813E-3</v>
      </c>
    </row>
    <row r="40" spans="1:31" ht="15.75" thickTop="1" x14ac:dyDescent="0.25">
      <c r="B40" s="161">
        <v>42586</v>
      </c>
      <c r="C40" s="7">
        <v>90</v>
      </c>
      <c r="D40" s="43">
        <v>58.038400000000003</v>
      </c>
      <c r="E40" s="39">
        <v>65.81</v>
      </c>
      <c r="F40" s="39">
        <f t="shared" si="2"/>
        <v>699.44399999999996</v>
      </c>
      <c r="G40" s="39">
        <f t="shared" si="3"/>
        <v>5223.4560000000001</v>
      </c>
      <c r="H40" s="175">
        <f t="shared" si="4"/>
        <v>0.13390444946793845</v>
      </c>
      <c r="I40" s="39"/>
      <c r="O40" s="2"/>
      <c r="P40" s="78">
        <v>1.07</v>
      </c>
      <c r="Q40" s="78">
        <f t="shared" si="5"/>
        <v>85.42880000000001</v>
      </c>
      <c r="R40" s="78"/>
      <c r="T40" s="92" t="s">
        <v>97</v>
      </c>
      <c r="U40" s="123">
        <v>99.35</v>
      </c>
      <c r="W40" s="89">
        <v>42775</v>
      </c>
      <c r="X40" s="10">
        <v>92.07</v>
      </c>
      <c r="Y40" s="39">
        <v>93.13</v>
      </c>
      <c r="Z40" s="39">
        <v>91.24</v>
      </c>
      <c r="AA40" s="10">
        <v>92.47</v>
      </c>
      <c r="AB40" s="90">
        <v>2753400</v>
      </c>
      <c r="AC40" s="187">
        <v>92.47</v>
      </c>
      <c r="AD40" s="2">
        <f t="shared" si="0"/>
        <v>1.8900000000000006</v>
      </c>
      <c r="AE40" s="131">
        <f t="shared" si="1"/>
        <v>8.5069255098702001E-3</v>
      </c>
    </row>
    <row r="41" spans="1:31" x14ac:dyDescent="0.25">
      <c r="B41" s="161">
        <v>42597</v>
      </c>
      <c r="C41" s="10">
        <v>20</v>
      </c>
      <c r="D41" s="39">
        <v>26.503</v>
      </c>
      <c r="E41" s="39">
        <v>69.5</v>
      </c>
      <c r="F41" s="39">
        <f t="shared" si="2"/>
        <v>859.94</v>
      </c>
      <c r="G41" s="39">
        <f t="shared" si="3"/>
        <v>530.05999999999995</v>
      </c>
      <c r="H41" s="175">
        <f t="shared" si="4"/>
        <v>1.6223446402294079</v>
      </c>
      <c r="I41" s="39"/>
      <c r="O41" s="2"/>
      <c r="P41" s="78">
        <v>1.06</v>
      </c>
      <c r="Q41" s="78">
        <f t="shared" si="5"/>
        <v>84.630400000000009</v>
      </c>
      <c r="R41" s="78"/>
      <c r="T41" s="82" t="s">
        <v>98</v>
      </c>
      <c r="U41" s="124">
        <v>99.56</v>
      </c>
      <c r="W41" s="89">
        <v>42774</v>
      </c>
      <c r="X41" s="10">
        <v>91.61</v>
      </c>
      <c r="Y41" s="39">
        <v>92.34</v>
      </c>
      <c r="Z41" s="39">
        <v>90.94</v>
      </c>
      <c r="AA41" s="10">
        <v>91.69</v>
      </c>
      <c r="AB41" s="90">
        <v>1861700</v>
      </c>
      <c r="AC41" s="187">
        <v>91.69</v>
      </c>
      <c r="AD41" s="2">
        <f t="shared" si="0"/>
        <v>1.4000000000000057</v>
      </c>
      <c r="AE41" s="131">
        <f t="shared" si="1"/>
        <v>-9.8060579646985779E-4</v>
      </c>
    </row>
    <row r="42" spans="1:31" x14ac:dyDescent="0.25">
      <c r="B42" s="161">
        <v>42600</v>
      </c>
      <c r="C42" s="10">
        <v>20</v>
      </c>
      <c r="D42" s="39">
        <v>26.503</v>
      </c>
      <c r="E42" s="39">
        <v>71.8</v>
      </c>
      <c r="F42" s="39">
        <f t="shared" si="2"/>
        <v>905.93999999999994</v>
      </c>
      <c r="G42" s="39">
        <f t="shared" si="3"/>
        <v>530.05999999999995</v>
      </c>
      <c r="H42" s="175">
        <f t="shared" si="4"/>
        <v>1.7091272686111005</v>
      </c>
      <c r="I42" s="39"/>
      <c r="O42" s="2"/>
      <c r="P42" s="78">
        <v>1.05</v>
      </c>
      <c r="Q42" s="78">
        <f t="shared" si="5"/>
        <v>83.832000000000008</v>
      </c>
      <c r="R42" s="78"/>
      <c r="T42" s="82" t="s">
        <v>99</v>
      </c>
      <c r="U42" s="124" t="s">
        <v>555</v>
      </c>
      <c r="W42" s="89">
        <v>42773</v>
      </c>
      <c r="X42" s="10">
        <v>91.4</v>
      </c>
      <c r="Y42" s="39">
        <v>92.2</v>
      </c>
      <c r="Z42" s="39">
        <v>91.17</v>
      </c>
      <c r="AA42" s="10">
        <v>91.78</v>
      </c>
      <c r="AB42" s="90">
        <v>1305600</v>
      </c>
      <c r="AC42" s="187">
        <v>91.78</v>
      </c>
      <c r="AD42" s="2">
        <f t="shared" si="0"/>
        <v>1.0300000000000011</v>
      </c>
      <c r="AE42" s="131">
        <f t="shared" si="1"/>
        <v>4.2674253200569723E-3</v>
      </c>
    </row>
    <row r="43" spans="1:31" x14ac:dyDescent="0.25">
      <c r="B43" s="161">
        <v>42604</v>
      </c>
      <c r="C43" s="10">
        <v>0</v>
      </c>
      <c r="D43" s="39"/>
      <c r="E43" s="39"/>
      <c r="F43" s="39">
        <v>923.51</v>
      </c>
      <c r="G43" s="39"/>
      <c r="H43" s="175"/>
      <c r="I43" s="39"/>
      <c r="O43" s="2"/>
      <c r="P43" s="78">
        <v>1.04</v>
      </c>
      <c r="Q43" s="78">
        <f t="shared" si="5"/>
        <v>83.033600000000007</v>
      </c>
      <c r="R43" s="78"/>
      <c r="T43" s="82" t="s">
        <v>100</v>
      </c>
      <c r="U43" s="124" t="s">
        <v>556</v>
      </c>
      <c r="W43" s="89">
        <v>42772</v>
      </c>
      <c r="X43" s="10">
        <v>91.45</v>
      </c>
      <c r="Y43" s="39">
        <v>91.58</v>
      </c>
      <c r="Z43" s="39">
        <v>90.71</v>
      </c>
      <c r="AA43" s="10">
        <v>91.39</v>
      </c>
      <c r="AB43" s="90">
        <v>1458800</v>
      </c>
      <c r="AC43" s="187">
        <v>91.39</v>
      </c>
      <c r="AD43" s="2">
        <f t="shared" si="0"/>
        <v>0.87000000000000455</v>
      </c>
      <c r="AE43" s="131">
        <f t="shared" si="1"/>
        <v>-1.8567059851464229E-3</v>
      </c>
    </row>
    <row r="44" spans="1:31" x14ac:dyDescent="0.25">
      <c r="B44" s="161"/>
      <c r="C44" s="10"/>
      <c r="D44" s="39"/>
      <c r="E44" s="39"/>
      <c r="F44" s="39"/>
      <c r="G44" s="39"/>
      <c r="H44" s="175"/>
      <c r="I44" s="39"/>
      <c r="O44" s="2"/>
      <c r="P44" s="78">
        <v>1.03</v>
      </c>
      <c r="Q44" s="78">
        <f t="shared" si="5"/>
        <v>82.235200000000006</v>
      </c>
      <c r="R44" s="78"/>
      <c r="T44" s="82" t="s">
        <v>101</v>
      </c>
      <c r="U44" s="124">
        <v>98.09</v>
      </c>
      <c r="W44" s="89">
        <v>42769</v>
      </c>
      <c r="X44" s="10">
        <v>91.32</v>
      </c>
      <c r="Y44" s="39">
        <v>91.91</v>
      </c>
      <c r="Z44" s="39">
        <v>90.88</v>
      </c>
      <c r="AA44" s="10">
        <v>91.56</v>
      </c>
      <c r="AB44" s="90">
        <v>1272500</v>
      </c>
      <c r="AC44" s="187">
        <v>91.56</v>
      </c>
      <c r="AD44" s="2">
        <f t="shared" si="0"/>
        <v>1.0300000000000011</v>
      </c>
      <c r="AE44" s="131">
        <f t="shared" si="1"/>
        <v>4.9390846229833141E-3</v>
      </c>
    </row>
    <row r="45" spans="1:31" x14ac:dyDescent="0.25">
      <c r="B45" s="161"/>
      <c r="C45" s="10"/>
      <c r="D45" s="39"/>
      <c r="E45" s="39"/>
      <c r="F45" s="39"/>
      <c r="G45" s="39"/>
      <c r="H45" s="175"/>
      <c r="I45" s="39"/>
      <c r="O45" s="2"/>
      <c r="P45" s="78">
        <v>1.02</v>
      </c>
      <c r="Q45" s="78">
        <f t="shared" si="5"/>
        <v>81.436800000000005</v>
      </c>
      <c r="R45" s="78"/>
      <c r="T45" s="82" t="s">
        <v>102</v>
      </c>
      <c r="U45" s="124">
        <v>0.72515300000000005</v>
      </c>
      <c r="W45" s="89">
        <v>42768</v>
      </c>
      <c r="X45" s="10">
        <v>90.8</v>
      </c>
      <c r="Y45" s="39">
        <v>91.54</v>
      </c>
      <c r="Z45" s="39">
        <v>90.06</v>
      </c>
      <c r="AA45" s="10">
        <v>91.11</v>
      </c>
      <c r="AB45" s="90">
        <v>2524600</v>
      </c>
      <c r="AC45" s="187">
        <v>91.11</v>
      </c>
      <c r="AD45" s="2">
        <f t="shared" si="0"/>
        <v>1.480000000000004</v>
      </c>
      <c r="AE45" s="131">
        <f t="shared" si="1"/>
        <v>-6.8672334859384287E-3</v>
      </c>
    </row>
    <row r="46" spans="1:31" x14ac:dyDescent="0.25">
      <c r="O46" s="2"/>
      <c r="P46" s="78">
        <v>1.01</v>
      </c>
      <c r="Q46" s="78">
        <f t="shared" si="5"/>
        <v>80.638400000000004</v>
      </c>
      <c r="R46" s="78"/>
      <c r="T46" s="82" t="s">
        <v>121</v>
      </c>
      <c r="U46" s="89" t="s">
        <v>346</v>
      </c>
      <c r="W46" s="89">
        <v>42767</v>
      </c>
      <c r="X46" s="10">
        <v>93.54</v>
      </c>
      <c r="Y46" s="39">
        <v>94.49</v>
      </c>
      <c r="Z46" s="39">
        <v>91.31</v>
      </c>
      <c r="AA46" s="10">
        <v>91.74</v>
      </c>
      <c r="AB46" s="90">
        <v>3804800</v>
      </c>
      <c r="AC46" s="187">
        <v>91.74</v>
      </c>
      <c r="AD46" s="2">
        <f t="shared" si="0"/>
        <v>3.1799999999999926</v>
      </c>
      <c r="AE46" s="131">
        <f t="shared" si="1"/>
        <v>0</v>
      </c>
    </row>
    <row r="47" spans="1:31" x14ac:dyDescent="0.25">
      <c r="O47" s="2"/>
      <c r="P47" s="78">
        <v>1</v>
      </c>
      <c r="Q47" s="78">
        <f t="shared" si="5"/>
        <v>79.84</v>
      </c>
      <c r="R47" s="78"/>
      <c r="T47" s="82"/>
      <c r="U47" s="124"/>
      <c r="W47" s="89">
        <v>42766</v>
      </c>
      <c r="X47" s="10">
        <v>92.32</v>
      </c>
      <c r="Y47" s="39">
        <v>92.48</v>
      </c>
      <c r="Z47" s="39">
        <v>90.28</v>
      </c>
      <c r="AA47" s="10">
        <v>91.74</v>
      </c>
      <c r="AB47" s="90">
        <v>2486500</v>
      </c>
      <c r="AC47" s="187">
        <v>91.74</v>
      </c>
      <c r="AD47" s="2">
        <f t="shared" si="0"/>
        <v>2.2000000000000028</v>
      </c>
      <c r="AE47" s="131" t="e">
        <f t="shared" si="1"/>
        <v>#DIV/0!</v>
      </c>
    </row>
    <row r="48" spans="1:31" x14ac:dyDescent="0.25">
      <c r="A48" s="193"/>
      <c r="B48" s="193"/>
      <c r="C48" s="193"/>
      <c r="D48" s="194"/>
      <c r="E48" s="194"/>
      <c r="F48" s="194"/>
      <c r="G48" s="193"/>
      <c r="H48" s="193"/>
      <c r="I48" s="194"/>
      <c r="J48" s="194"/>
      <c r="K48" s="194"/>
      <c r="L48" s="193" t="s">
        <v>65</v>
      </c>
      <c r="M48" s="286">
        <f>M74+K74-F74</f>
        <v>1368.9000000000015</v>
      </c>
      <c r="O48" s="2"/>
      <c r="P48" s="78">
        <v>0.99</v>
      </c>
      <c r="Q48" s="78">
        <f t="shared" si="5"/>
        <v>79.041600000000003</v>
      </c>
      <c r="R48" s="78"/>
      <c r="T48" s="82" t="s">
        <v>104</v>
      </c>
      <c r="U48" s="124" t="s">
        <v>557</v>
      </c>
      <c r="W48" s="89">
        <v>42766</v>
      </c>
      <c r="X48" s="10" t="s">
        <v>294</v>
      </c>
      <c r="Y48" s="39"/>
      <c r="Z48" s="39"/>
      <c r="AA48" s="10"/>
      <c r="AB48" s="90"/>
      <c r="AC48" s="187"/>
      <c r="AD48" s="2">
        <f t="shared" si="0"/>
        <v>0</v>
      </c>
      <c r="AE48" s="131">
        <f t="shared" si="1"/>
        <v>-1</v>
      </c>
    </row>
    <row r="49" spans="1:31" x14ac:dyDescent="0.25">
      <c r="A49" s="195" t="s">
        <v>1</v>
      </c>
      <c r="B49" s="195" t="s">
        <v>2</v>
      </c>
      <c r="C49" s="195" t="s">
        <v>4</v>
      </c>
      <c r="D49" s="196" t="s">
        <v>5</v>
      </c>
      <c r="E49" s="196" t="s">
        <v>90</v>
      </c>
      <c r="F49" s="196" t="s">
        <v>60</v>
      </c>
      <c r="G49" s="195" t="s">
        <v>3</v>
      </c>
      <c r="H49" s="195" t="s">
        <v>6</v>
      </c>
      <c r="I49" s="196" t="s">
        <v>7</v>
      </c>
      <c r="J49" s="196" t="s">
        <v>89</v>
      </c>
      <c r="K49" s="196" t="s">
        <v>61</v>
      </c>
      <c r="L49" s="195" t="s">
        <v>77</v>
      </c>
      <c r="M49" s="195" t="s">
        <v>38</v>
      </c>
      <c r="O49" s="2"/>
      <c r="P49" s="78">
        <v>0.98</v>
      </c>
      <c r="Q49" s="78">
        <f t="shared" si="5"/>
        <v>78.243200000000002</v>
      </c>
      <c r="R49" s="78"/>
      <c r="T49" s="82" t="s">
        <v>105</v>
      </c>
      <c r="U49" s="124" t="s">
        <v>558</v>
      </c>
      <c r="W49" s="89">
        <v>42765</v>
      </c>
      <c r="X49" s="10">
        <v>91.43</v>
      </c>
      <c r="Y49" s="39">
        <v>93.08</v>
      </c>
      <c r="Z49" s="39">
        <v>90.22</v>
      </c>
      <c r="AA49" s="10">
        <v>92.99</v>
      </c>
      <c r="AB49" s="90">
        <v>2482200</v>
      </c>
      <c r="AC49" s="187">
        <v>92.71</v>
      </c>
      <c r="AD49" s="2">
        <f t="shared" si="0"/>
        <v>2.8599999999999994</v>
      </c>
      <c r="AE49" s="131">
        <f t="shared" si="1"/>
        <v>1.0683527744467236E-2</v>
      </c>
    </row>
    <row r="50" spans="1:31" x14ac:dyDescent="0.25">
      <c r="A50" s="197" t="s">
        <v>167</v>
      </c>
      <c r="B50" s="198">
        <v>42374</v>
      </c>
      <c r="C50" s="193">
        <v>30</v>
      </c>
      <c r="D50" s="194">
        <v>73.8</v>
      </c>
      <c r="E50" s="194">
        <v>0</v>
      </c>
      <c r="F50" s="194">
        <f t="shared" ref="F50:F55" si="6">C50*D50+E50</f>
        <v>2214</v>
      </c>
      <c r="G50" s="198">
        <v>42398</v>
      </c>
      <c r="H50" s="199">
        <v>30</v>
      </c>
      <c r="I50" s="194">
        <v>68.8</v>
      </c>
      <c r="J50" s="194">
        <v>0.04</v>
      </c>
      <c r="K50" s="194">
        <f t="shared" ref="K50:K55" si="7">I50*H50-J50</f>
        <v>2063.96</v>
      </c>
      <c r="L50" s="198">
        <v>42432</v>
      </c>
      <c r="M50" s="194">
        <v>31.2</v>
      </c>
      <c r="O50" s="2"/>
      <c r="P50" s="78">
        <v>0.97</v>
      </c>
      <c r="Q50" s="78">
        <f t="shared" si="5"/>
        <v>77.444800000000001</v>
      </c>
      <c r="R50" s="78"/>
      <c r="T50" s="82" t="s">
        <v>106</v>
      </c>
      <c r="U50" s="125">
        <v>2024960</v>
      </c>
      <c r="W50" s="89">
        <v>42762</v>
      </c>
      <c r="X50" s="10">
        <v>91.55</v>
      </c>
      <c r="Y50" s="39">
        <v>92.44</v>
      </c>
      <c r="Z50" s="39">
        <v>91.25</v>
      </c>
      <c r="AA50" s="10">
        <v>92.01</v>
      </c>
      <c r="AB50" s="90">
        <v>1705900</v>
      </c>
      <c r="AC50" s="187">
        <v>91.73</v>
      </c>
      <c r="AD50" s="2">
        <f t="shared" si="0"/>
        <v>1.1899999999999977</v>
      </c>
      <c r="AE50" s="131">
        <f t="shared" si="1"/>
        <v>1.0910293145250272E-2</v>
      </c>
    </row>
    <row r="51" spans="1:31" x14ac:dyDescent="0.25">
      <c r="A51" s="200"/>
      <c r="B51" s="198">
        <v>42375</v>
      </c>
      <c r="C51" s="193">
        <v>30</v>
      </c>
      <c r="D51" s="194">
        <v>69.3</v>
      </c>
      <c r="E51" s="194">
        <v>0</v>
      </c>
      <c r="F51" s="194">
        <f t="shared" si="6"/>
        <v>2079</v>
      </c>
      <c r="G51" s="198">
        <v>42416</v>
      </c>
      <c r="H51" s="193">
        <v>30</v>
      </c>
      <c r="I51" s="194">
        <v>61.3</v>
      </c>
      <c r="J51" s="194">
        <v>0.04</v>
      </c>
      <c r="K51" s="194">
        <f t="shared" si="7"/>
        <v>1838.96</v>
      </c>
      <c r="L51" s="193"/>
      <c r="M51" s="193"/>
      <c r="O51" s="2"/>
      <c r="P51" s="78">
        <v>0.96</v>
      </c>
      <c r="Q51" s="78">
        <f t="shared" si="5"/>
        <v>76.6464</v>
      </c>
      <c r="R51" s="78"/>
      <c r="T51" s="82" t="s">
        <v>109</v>
      </c>
      <c r="U51" s="125">
        <v>2406800</v>
      </c>
      <c r="W51" s="89">
        <v>42761</v>
      </c>
      <c r="X51" s="10">
        <v>92</v>
      </c>
      <c r="Y51" s="39">
        <v>92.64</v>
      </c>
      <c r="Z51" s="39">
        <v>90.94</v>
      </c>
      <c r="AA51" s="10">
        <v>91.01</v>
      </c>
      <c r="AB51" s="90">
        <v>2343900</v>
      </c>
      <c r="AC51" s="187">
        <v>90.74</v>
      </c>
      <c r="AD51" s="2">
        <f t="shared" si="0"/>
        <v>1.7000000000000028</v>
      </c>
      <c r="AE51" s="131">
        <f t="shared" si="1"/>
        <v>-9.280489136368697E-3</v>
      </c>
    </row>
    <row r="52" spans="1:31" x14ac:dyDescent="0.25">
      <c r="A52" s="193"/>
      <c r="B52" s="198">
        <v>42380</v>
      </c>
      <c r="C52" s="193">
        <v>30</v>
      </c>
      <c r="D52" s="194">
        <v>65.400000000000006</v>
      </c>
      <c r="E52" s="194">
        <v>0</v>
      </c>
      <c r="F52" s="194">
        <f t="shared" si="6"/>
        <v>1962.0000000000002</v>
      </c>
      <c r="G52" s="198">
        <v>42429</v>
      </c>
      <c r="H52" s="199">
        <v>30</v>
      </c>
      <c r="I52" s="194">
        <v>67.5</v>
      </c>
      <c r="J52" s="194">
        <v>0.04</v>
      </c>
      <c r="K52" s="194">
        <f t="shared" si="7"/>
        <v>2024.96</v>
      </c>
      <c r="L52" s="193"/>
      <c r="M52" s="193"/>
      <c r="O52" s="2"/>
      <c r="P52" s="78">
        <v>0.95</v>
      </c>
      <c r="Q52" s="78">
        <f t="shared" si="5"/>
        <v>75.847999999999999</v>
      </c>
      <c r="R52" s="78"/>
      <c r="T52" s="82" t="s">
        <v>107</v>
      </c>
      <c r="U52" s="124" t="s">
        <v>559</v>
      </c>
      <c r="W52" s="89">
        <v>42760</v>
      </c>
      <c r="X52" s="10">
        <v>93</v>
      </c>
      <c r="Y52" s="39">
        <v>93.78</v>
      </c>
      <c r="Z52" s="39">
        <v>91.32</v>
      </c>
      <c r="AA52" s="10">
        <v>91.87</v>
      </c>
      <c r="AB52" s="90">
        <v>3220300</v>
      </c>
      <c r="AC52" s="187">
        <v>91.59</v>
      </c>
      <c r="AD52" s="2">
        <f t="shared" si="0"/>
        <v>2.460000000000008</v>
      </c>
      <c r="AE52" s="131">
        <f t="shared" si="1"/>
        <v>-4.3482987281224794E-3</v>
      </c>
    </row>
    <row r="53" spans="1:31" x14ac:dyDescent="0.25">
      <c r="A53" s="193"/>
      <c r="B53" s="198">
        <v>42402</v>
      </c>
      <c r="C53" s="207">
        <v>30</v>
      </c>
      <c r="D53" s="285">
        <v>67.2</v>
      </c>
      <c r="E53" s="285">
        <v>0</v>
      </c>
      <c r="F53" s="285">
        <f t="shared" si="6"/>
        <v>2016</v>
      </c>
      <c r="G53" s="198">
        <v>42430</v>
      </c>
      <c r="H53" s="199">
        <v>30</v>
      </c>
      <c r="I53" s="194">
        <v>69.349999999999994</v>
      </c>
      <c r="J53" s="194">
        <v>0.05</v>
      </c>
      <c r="K53" s="194">
        <f t="shared" si="7"/>
        <v>2080.4499999999998</v>
      </c>
      <c r="L53" s="193"/>
      <c r="M53" s="193"/>
      <c r="O53" s="2"/>
      <c r="P53" s="78">
        <v>0.94</v>
      </c>
      <c r="Q53" s="78">
        <f t="shared" si="5"/>
        <v>75.049599999999998</v>
      </c>
      <c r="R53" s="78"/>
      <c r="T53" s="82" t="s">
        <v>110</v>
      </c>
      <c r="U53" s="124">
        <v>20.92</v>
      </c>
      <c r="W53" s="89">
        <v>42759</v>
      </c>
      <c r="X53" s="10">
        <v>90.31</v>
      </c>
      <c r="Y53" s="39">
        <v>92.74</v>
      </c>
      <c r="Z53" s="39">
        <v>90.31</v>
      </c>
      <c r="AA53" s="10">
        <v>92.27</v>
      </c>
      <c r="AB53" s="90">
        <v>4553300</v>
      </c>
      <c r="AC53" s="187">
        <v>91.99</v>
      </c>
      <c r="AD53" s="2">
        <f t="shared" si="0"/>
        <v>2.4299999999999926</v>
      </c>
      <c r="AE53" s="131">
        <f t="shared" si="1"/>
        <v>2.3248053392658452E-2</v>
      </c>
    </row>
    <row r="54" spans="1:31" x14ac:dyDescent="0.25">
      <c r="A54" s="193"/>
      <c r="B54" s="198">
        <v>42405</v>
      </c>
      <c r="C54" s="193">
        <v>30</v>
      </c>
      <c r="D54" s="194">
        <v>62.75</v>
      </c>
      <c r="E54" s="194">
        <v>0</v>
      </c>
      <c r="F54" s="194">
        <f t="shared" si="6"/>
        <v>1882.5</v>
      </c>
      <c r="G54" s="198">
        <v>42433</v>
      </c>
      <c r="H54" s="199">
        <v>30</v>
      </c>
      <c r="I54" s="194">
        <v>73.45</v>
      </c>
      <c r="J54" s="194">
        <v>0.05</v>
      </c>
      <c r="K54" s="194">
        <f t="shared" si="7"/>
        <v>2203.4499999999998</v>
      </c>
      <c r="L54" s="193"/>
      <c r="M54" s="193"/>
      <c r="O54" s="2"/>
      <c r="P54" s="78">
        <v>0.93</v>
      </c>
      <c r="Q54" s="78">
        <f t="shared" si="5"/>
        <v>74.251200000000011</v>
      </c>
      <c r="R54" s="78"/>
      <c r="T54" s="82" t="s">
        <v>111</v>
      </c>
      <c r="U54" s="124">
        <v>4.7300000000000004</v>
      </c>
      <c r="W54" s="89">
        <v>42758</v>
      </c>
      <c r="X54" s="10">
        <v>88.87</v>
      </c>
      <c r="Y54" s="39">
        <v>91.07</v>
      </c>
      <c r="Z54" s="39">
        <v>87.72</v>
      </c>
      <c r="AA54" s="10">
        <v>90.17</v>
      </c>
      <c r="AB54" s="90">
        <v>6523200</v>
      </c>
      <c r="AC54" s="187">
        <v>89.9</v>
      </c>
      <c r="AD54" s="2">
        <f t="shared" si="0"/>
        <v>3.3499999999999943</v>
      </c>
      <c r="AE54" s="131">
        <f t="shared" si="1"/>
        <v>1.6968325791855143E-2</v>
      </c>
    </row>
    <row r="55" spans="1:31" x14ac:dyDescent="0.25">
      <c r="A55" s="193"/>
      <c r="B55" s="198">
        <v>42429</v>
      </c>
      <c r="C55" s="193">
        <v>30</v>
      </c>
      <c r="D55" s="194">
        <v>66.75</v>
      </c>
      <c r="E55" s="194">
        <v>0</v>
      </c>
      <c r="F55" s="194">
        <f t="shared" si="6"/>
        <v>2002.5</v>
      </c>
      <c r="G55" s="198">
        <v>42440</v>
      </c>
      <c r="H55" s="199">
        <v>30</v>
      </c>
      <c r="I55" s="194">
        <v>72.55</v>
      </c>
      <c r="J55" s="194">
        <v>0.05</v>
      </c>
      <c r="K55" s="194">
        <f t="shared" si="7"/>
        <v>2176.4499999999998</v>
      </c>
      <c r="L55" s="193"/>
      <c r="M55" s="193"/>
      <c r="O55" s="2"/>
      <c r="P55" s="78">
        <v>0.92</v>
      </c>
      <c r="Q55" s="78">
        <f t="shared" si="5"/>
        <v>73.452800000000011</v>
      </c>
      <c r="R55" s="78"/>
      <c r="T55" s="82" t="s">
        <v>108</v>
      </c>
      <c r="U55" s="124" t="s">
        <v>483</v>
      </c>
      <c r="W55" s="89">
        <v>42755</v>
      </c>
      <c r="X55" s="10">
        <v>85</v>
      </c>
      <c r="Y55" s="39">
        <v>88.9</v>
      </c>
      <c r="Z55" s="39">
        <v>84.69</v>
      </c>
      <c r="AA55" s="10">
        <v>88.67</v>
      </c>
      <c r="AB55" s="90">
        <v>15776700</v>
      </c>
      <c r="AC55" s="187">
        <v>88.4</v>
      </c>
      <c r="AD55" s="2">
        <f t="shared" si="0"/>
        <v>4.210000000000008</v>
      </c>
      <c r="AE55" s="131">
        <f t="shared" si="1"/>
        <v>0.13014574277678359</v>
      </c>
    </row>
    <row r="56" spans="1:31" x14ac:dyDescent="0.25">
      <c r="A56" s="193"/>
      <c r="B56" s="198">
        <v>42502</v>
      </c>
      <c r="C56" s="193">
        <v>30</v>
      </c>
      <c r="D56" s="194">
        <v>61.79</v>
      </c>
      <c r="E56" s="194">
        <v>0</v>
      </c>
      <c r="F56" s="194">
        <v>1853.7</v>
      </c>
      <c r="G56" s="193">
        <v>42544</v>
      </c>
      <c r="H56" s="193">
        <v>30</v>
      </c>
      <c r="I56" s="194">
        <v>66.83</v>
      </c>
      <c r="J56" s="194">
        <v>0.04</v>
      </c>
      <c r="K56" s="194">
        <v>2004.86</v>
      </c>
      <c r="L56" s="193"/>
      <c r="M56" s="193"/>
      <c r="O56" s="2"/>
      <c r="P56" s="78">
        <v>0.91</v>
      </c>
      <c r="Q56" s="78">
        <f t="shared" si="5"/>
        <v>72.65440000000001</v>
      </c>
      <c r="R56" s="78"/>
      <c r="W56" s="89">
        <v>42754</v>
      </c>
      <c r="X56" s="10">
        <v>78.87</v>
      </c>
      <c r="Y56" s="39">
        <v>79.45</v>
      </c>
      <c r="Z56" s="39">
        <v>78.180000000000007</v>
      </c>
      <c r="AA56" s="10">
        <v>78.459999999999994</v>
      </c>
      <c r="AB56" s="90">
        <v>4062400</v>
      </c>
      <c r="AC56" s="187">
        <v>78.22</v>
      </c>
      <c r="AD56" s="2">
        <f t="shared" si="0"/>
        <v>1.269999999999996</v>
      </c>
      <c r="AE56" s="131">
        <f t="shared" si="1"/>
        <v>-1.0249272428191847E-2</v>
      </c>
    </row>
    <row r="57" spans="1:31" x14ac:dyDescent="0.25">
      <c r="A57" s="193"/>
      <c r="B57" s="193"/>
      <c r="C57" s="193"/>
      <c r="D57" s="194"/>
      <c r="E57" s="194"/>
      <c r="F57" s="194"/>
      <c r="G57" s="193"/>
      <c r="H57" s="193"/>
      <c r="I57" s="194"/>
      <c r="J57" s="194"/>
      <c r="K57" s="194"/>
      <c r="L57" s="193"/>
      <c r="M57" s="193"/>
      <c r="O57" s="2"/>
      <c r="P57" s="78">
        <v>0.9</v>
      </c>
      <c r="Q57" s="78">
        <f t="shared" si="5"/>
        <v>71.856000000000009</v>
      </c>
      <c r="R57" s="78"/>
      <c r="W57" s="89">
        <v>42753</v>
      </c>
      <c r="X57" s="10">
        <v>77.39</v>
      </c>
      <c r="Y57" s="39">
        <v>79.27</v>
      </c>
      <c r="Z57" s="39">
        <v>77.16</v>
      </c>
      <c r="AA57" s="10">
        <v>79.27</v>
      </c>
      <c r="AB57" s="90">
        <v>3106100</v>
      </c>
      <c r="AC57" s="187">
        <v>79.03</v>
      </c>
      <c r="AD57" s="2">
        <f t="shared" si="0"/>
        <v>2.1099999999999994</v>
      </c>
      <c r="AE57" s="131">
        <f t="shared" si="1"/>
        <v>3.0915731802765523E-2</v>
      </c>
    </row>
    <row r="58" spans="1:31" x14ac:dyDescent="0.25">
      <c r="A58" s="197"/>
      <c r="B58" s="198">
        <v>42545</v>
      </c>
      <c r="C58" s="193">
        <v>60</v>
      </c>
      <c r="D58" s="194">
        <v>63.32</v>
      </c>
      <c r="E58" s="194">
        <v>0</v>
      </c>
      <c r="F58" s="194">
        <f>C58*D58+E58</f>
        <v>3799.2</v>
      </c>
      <c r="G58" s="198">
        <v>42551</v>
      </c>
      <c r="H58" s="199">
        <v>60</v>
      </c>
      <c r="I58" s="194">
        <v>62.98</v>
      </c>
      <c r="J58" s="194">
        <v>7.03</v>
      </c>
      <c r="K58" s="194">
        <f>I58*H58-J58</f>
        <v>3771.7699999999995</v>
      </c>
      <c r="L58" s="198">
        <v>42607</v>
      </c>
      <c r="M58" s="194">
        <v>30.8</v>
      </c>
      <c r="W58" s="89">
        <v>42752</v>
      </c>
      <c r="X58" s="10">
        <v>77.64</v>
      </c>
      <c r="Y58" s="39">
        <v>78.430000000000007</v>
      </c>
      <c r="Z58" s="39">
        <v>76.489999999999995</v>
      </c>
      <c r="AA58" s="10">
        <v>76.89</v>
      </c>
      <c r="AB58" s="90">
        <v>2391300</v>
      </c>
      <c r="AC58" s="187">
        <v>76.66</v>
      </c>
      <c r="AD58" s="2">
        <f t="shared" si="0"/>
        <v>1.9400000000000119</v>
      </c>
      <c r="AE58" s="131">
        <f t="shared" si="1"/>
        <v>-1.8312203867332677E-2</v>
      </c>
    </row>
    <row r="59" spans="1:31" x14ac:dyDescent="0.25">
      <c r="A59" s="200"/>
      <c r="B59" s="198">
        <v>42548</v>
      </c>
      <c r="C59" s="193">
        <v>60</v>
      </c>
      <c r="D59" s="194">
        <v>58.55</v>
      </c>
      <c r="E59" s="194">
        <v>0</v>
      </c>
      <c r="F59" s="194">
        <f>C59*D59+E59</f>
        <v>3513</v>
      </c>
      <c r="G59" s="198">
        <v>42587</v>
      </c>
      <c r="H59" s="199">
        <v>20</v>
      </c>
      <c r="I59" s="194">
        <v>65.900000000000006</v>
      </c>
      <c r="J59" s="194">
        <v>0.03</v>
      </c>
      <c r="K59" s="194">
        <f>I59*H59-J59</f>
        <v>1317.97</v>
      </c>
      <c r="L59" s="193"/>
      <c r="M59" s="193"/>
      <c r="W59" s="89">
        <v>42748</v>
      </c>
      <c r="X59" s="10">
        <v>76.91</v>
      </c>
      <c r="Y59" s="39">
        <v>78.489999999999995</v>
      </c>
      <c r="Z59" s="39">
        <v>76.69</v>
      </c>
      <c r="AA59" s="10">
        <v>78.33</v>
      </c>
      <c r="AB59" s="90">
        <v>1963400</v>
      </c>
      <c r="AC59" s="187">
        <v>78.09</v>
      </c>
      <c r="AD59" s="2">
        <f t="shared" si="0"/>
        <v>1.7999999999999972</v>
      </c>
      <c r="AE59" s="131">
        <f t="shared" si="1"/>
        <v>2.0517511761630969E-2</v>
      </c>
    </row>
    <row r="60" spans="1:31" x14ac:dyDescent="0.25">
      <c r="A60" s="193"/>
      <c r="B60" s="198">
        <v>42557</v>
      </c>
      <c r="C60" s="193">
        <v>30</v>
      </c>
      <c r="D60" s="194">
        <v>57.58</v>
      </c>
      <c r="E60" s="194">
        <v>0</v>
      </c>
      <c r="F60" s="194">
        <f>C60*D60+E60</f>
        <v>1727.3999999999999</v>
      </c>
      <c r="G60" s="198">
        <v>42593</v>
      </c>
      <c r="H60" s="199">
        <v>70</v>
      </c>
      <c r="I60" s="194">
        <v>67.05</v>
      </c>
      <c r="J60" s="194">
        <v>0.1</v>
      </c>
      <c r="K60" s="194">
        <f>I60*H60-J60</f>
        <v>4693.3999999999996</v>
      </c>
      <c r="L60" s="193"/>
      <c r="M60" s="193"/>
      <c r="W60" s="89">
        <v>42747</v>
      </c>
      <c r="X60" s="10">
        <v>76.2</v>
      </c>
      <c r="Y60" s="39">
        <v>76.91</v>
      </c>
      <c r="Z60" s="39">
        <v>74.67</v>
      </c>
      <c r="AA60" s="10">
        <v>76.75</v>
      </c>
      <c r="AB60" s="90">
        <v>4264800</v>
      </c>
      <c r="AC60" s="187">
        <v>76.52</v>
      </c>
      <c r="AD60" s="2">
        <f t="shared" si="0"/>
        <v>2.2399999999999949</v>
      </c>
      <c r="AE60" s="131">
        <f t="shared" si="1"/>
        <v>-2.1107841883075462E-2</v>
      </c>
    </row>
    <row r="61" spans="1:31" x14ac:dyDescent="0.25">
      <c r="A61" s="193"/>
      <c r="B61" s="198">
        <v>42573</v>
      </c>
      <c r="C61" s="207">
        <v>20</v>
      </c>
      <c r="D61" s="285">
        <v>63.68</v>
      </c>
      <c r="E61" s="285">
        <v>0</v>
      </c>
      <c r="F61" s="194">
        <f>C61*D61+E61</f>
        <v>1273.5999999999999</v>
      </c>
      <c r="G61" s="198">
        <v>42604</v>
      </c>
      <c r="H61" s="199">
        <v>20</v>
      </c>
      <c r="I61" s="194">
        <v>72.680000000000007</v>
      </c>
      <c r="J61" s="194">
        <v>0.03</v>
      </c>
      <c r="K61" s="194">
        <f>I61*H61-J61</f>
        <v>1453.5700000000002</v>
      </c>
      <c r="L61" s="193"/>
      <c r="M61" s="193"/>
      <c r="W61" s="89">
        <v>42746</v>
      </c>
      <c r="X61" s="10">
        <v>77.33</v>
      </c>
      <c r="Y61" s="39">
        <v>78.72</v>
      </c>
      <c r="Z61" s="39">
        <v>76.510000000000005</v>
      </c>
      <c r="AA61" s="10">
        <v>78.41</v>
      </c>
      <c r="AB61" s="90">
        <v>2119900</v>
      </c>
      <c r="AC61" s="187">
        <v>78.17</v>
      </c>
      <c r="AD61" s="2">
        <f t="shared" si="0"/>
        <v>2.2099999999999937</v>
      </c>
      <c r="AE61" s="131">
        <f t="shared" si="1"/>
        <v>1.4141152049818473E-2</v>
      </c>
    </row>
    <row r="62" spans="1:31" x14ac:dyDescent="0.25">
      <c r="A62" s="193"/>
      <c r="B62" s="198"/>
      <c r="C62" s="193"/>
      <c r="D62" s="194"/>
      <c r="E62" s="194"/>
      <c r="F62" s="194"/>
      <c r="G62" s="198"/>
      <c r="H62" s="199"/>
      <c r="I62" s="194"/>
      <c r="J62" s="194"/>
      <c r="K62" s="194"/>
      <c r="L62" s="193"/>
      <c r="M62" s="193"/>
      <c r="W62" s="89">
        <v>42745</v>
      </c>
      <c r="X62" s="10">
        <v>75.69</v>
      </c>
      <c r="Y62" s="39">
        <v>77.52</v>
      </c>
      <c r="Z62" s="39">
        <v>75.66</v>
      </c>
      <c r="AA62" s="10">
        <v>77.31</v>
      </c>
      <c r="AB62" s="90">
        <v>1768600</v>
      </c>
      <c r="AC62" s="187">
        <v>77.08</v>
      </c>
      <c r="AD62" s="2">
        <f t="shared" si="0"/>
        <v>1.8599999999999994</v>
      </c>
      <c r="AE62" s="131">
        <f t="shared" si="1"/>
        <v>2.2010076902678311E-2</v>
      </c>
    </row>
    <row r="63" spans="1:31" x14ac:dyDescent="0.25">
      <c r="A63" s="193"/>
      <c r="B63" s="198"/>
      <c r="C63" s="193"/>
      <c r="D63" s="194"/>
      <c r="E63" s="194"/>
      <c r="F63" s="194"/>
      <c r="G63" s="198"/>
      <c r="H63" s="199"/>
      <c r="I63" s="194"/>
      <c r="J63" s="194"/>
      <c r="K63" s="194"/>
      <c r="L63" s="193"/>
      <c r="M63" s="193"/>
      <c r="W63" s="89">
        <v>42744</v>
      </c>
      <c r="X63" s="10">
        <v>75.959999999999994</v>
      </c>
      <c r="Y63" s="39">
        <v>76.959999999999994</v>
      </c>
      <c r="Z63" s="39">
        <v>75.23</v>
      </c>
      <c r="AA63" s="10">
        <v>75.650000000000006</v>
      </c>
      <c r="AB63" s="90">
        <v>2331200</v>
      </c>
      <c r="AC63" s="187">
        <v>75.42</v>
      </c>
      <c r="AD63" s="2">
        <f t="shared" si="0"/>
        <v>1.7299999999999898</v>
      </c>
      <c r="AE63" s="131">
        <f t="shared" si="1"/>
        <v>9.233239662786108E-3</v>
      </c>
    </row>
    <row r="64" spans="1:31" x14ac:dyDescent="0.25">
      <c r="A64" s="193"/>
      <c r="B64" s="193"/>
      <c r="C64" s="193"/>
      <c r="D64" s="194"/>
      <c r="E64" s="194"/>
      <c r="F64" s="194"/>
      <c r="G64" s="193"/>
      <c r="H64" s="199"/>
      <c r="I64" s="194"/>
      <c r="J64" s="194"/>
      <c r="K64" s="194"/>
      <c r="L64" s="193"/>
      <c r="M64" s="193"/>
      <c r="W64" s="89">
        <v>42741</v>
      </c>
      <c r="X64" s="10">
        <v>74.819999999999993</v>
      </c>
      <c r="Y64" s="39">
        <v>75.48</v>
      </c>
      <c r="Z64" s="39">
        <v>74.319999999999993</v>
      </c>
      <c r="AA64" s="10">
        <v>74.959999999999994</v>
      </c>
      <c r="AB64" s="90">
        <v>1608700</v>
      </c>
      <c r="AC64" s="187">
        <v>74.73</v>
      </c>
      <c r="AD64" s="2">
        <f t="shared" si="0"/>
        <v>1.1600000000000108</v>
      </c>
      <c r="AE64" s="131">
        <f t="shared" si="1"/>
        <v>5.1109616677875724E-3</v>
      </c>
    </row>
    <row r="65" spans="1:31" x14ac:dyDescent="0.25">
      <c r="A65" s="193"/>
      <c r="B65" s="193"/>
      <c r="C65" s="193"/>
      <c r="D65" s="194"/>
      <c r="E65" s="194"/>
      <c r="F65" s="194"/>
      <c r="G65" s="193"/>
      <c r="H65" s="199"/>
      <c r="I65" s="194"/>
      <c r="J65" s="194"/>
      <c r="K65" s="194"/>
      <c r="L65" s="193"/>
      <c r="M65" s="193"/>
      <c r="W65" s="89">
        <v>42740</v>
      </c>
      <c r="X65" s="10">
        <v>74.66</v>
      </c>
      <c r="Y65" s="39">
        <v>75.38</v>
      </c>
      <c r="Z65" s="39">
        <v>73.94</v>
      </c>
      <c r="AA65" s="10">
        <v>74.569999999999993</v>
      </c>
      <c r="AB65" s="90">
        <v>1832600</v>
      </c>
      <c r="AC65" s="187">
        <v>74.349999999999994</v>
      </c>
      <c r="AD65" s="2">
        <f t="shared" si="0"/>
        <v>1.4399999999999977</v>
      </c>
      <c r="AE65" s="131">
        <f t="shared" si="1"/>
        <v>-5.4842161583735782E-3</v>
      </c>
    </row>
    <row r="66" spans="1:31" x14ac:dyDescent="0.25">
      <c r="A66" s="193"/>
      <c r="B66" s="193"/>
      <c r="C66" s="193"/>
      <c r="D66" s="194"/>
      <c r="E66" s="194"/>
      <c r="F66" s="194"/>
      <c r="G66" s="193"/>
      <c r="H66" s="199"/>
      <c r="I66" s="194"/>
      <c r="J66" s="194"/>
      <c r="K66" s="194"/>
      <c r="L66" s="193"/>
      <c r="M66" s="193"/>
      <c r="W66" s="89">
        <v>42739</v>
      </c>
      <c r="X66" s="10">
        <v>75.459999999999994</v>
      </c>
      <c r="Y66" s="39">
        <v>75.66</v>
      </c>
      <c r="Z66" s="39">
        <v>74.5</v>
      </c>
      <c r="AA66" s="10">
        <v>74.989999999999995</v>
      </c>
      <c r="AB66" s="90">
        <v>1683900</v>
      </c>
      <c r="AC66" s="187">
        <v>74.760000000000005</v>
      </c>
      <c r="AD66" s="2">
        <f t="shared" si="0"/>
        <v>1.1599999999999966</v>
      </c>
      <c r="AE66" s="131">
        <f t="shared" si="1"/>
        <v>-2.1356113187399606E-3</v>
      </c>
    </row>
    <row r="67" spans="1:31" x14ac:dyDescent="0.25">
      <c r="A67" s="193"/>
      <c r="B67" s="193"/>
      <c r="C67" s="193"/>
      <c r="D67" s="194"/>
      <c r="E67" s="194"/>
      <c r="F67" s="194"/>
      <c r="G67" s="193"/>
      <c r="H67" s="199"/>
      <c r="I67" s="194"/>
      <c r="J67" s="194"/>
      <c r="K67" s="194"/>
      <c r="L67" s="193"/>
      <c r="M67" s="193"/>
      <c r="W67" s="89">
        <v>42738</v>
      </c>
      <c r="X67" s="10">
        <v>75.22</v>
      </c>
      <c r="Y67" s="39">
        <v>76.239999999999995</v>
      </c>
      <c r="Z67" s="39">
        <v>74.400000000000006</v>
      </c>
      <c r="AA67" s="10">
        <v>75.150000000000006</v>
      </c>
      <c r="AB67" s="90">
        <v>2609400</v>
      </c>
      <c r="AC67" s="187">
        <v>74.92</v>
      </c>
      <c r="AD67" s="2">
        <f t="shared" si="0"/>
        <v>1.8399999999999892</v>
      </c>
      <c r="AE67" s="131" t="e">
        <f>AC67/#REF!-1</f>
        <v>#REF!</v>
      </c>
    </row>
    <row r="68" spans="1:31" x14ac:dyDescent="0.25">
      <c r="A68" s="193"/>
      <c r="B68" s="193"/>
      <c r="C68" s="193"/>
      <c r="D68" s="194"/>
      <c r="E68" s="194"/>
      <c r="F68" s="194"/>
      <c r="G68" s="193"/>
      <c r="H68" s="199"/>
      <c r="I68" s="194"/>
      <c r="J68" s="194"/>
      <c r="K68" s="194"/>
      <c r="L68" s="193"/>
      <c r="M68" s="193"/>
      <c r="W68" s="89">
        <v>42734</v>
      </c>
      <c r="X68" s="10">
        <v>76.83</v>
      </c>
      <c r="Y68" s="39">
        <v>76.83</v>
      </c>
      <c r="Z68" s="39">
        <v>74.319999999999993</v>
      </c>
      <c r="AA68" s="10">
        <v>74.66</v>
      </c>
      <c r="AB68" s="90">
        <v>1844400</v>
      </c>
      <c r="AC68" s="187">
        <v>74.44</v>
      </c>
      <c r="AD68" s="2" t="e">
        <f>#REF!-#REF!</f>
        <v>#REF!</v>
      </c>
      <c r="AE68" s="131" t="e">
        <f>#REF!/#REF!-1</f>
        <v>#REF!</v>
      </c>
    </row>
    <row r="69" spans="1:31" x14ac:dyDescent="0.25">
      <c r="A69" s="193"/>
      <c r="B69" s="193"/>
      <c r="C69" s="193"/>
      <c r="D69" s="194"/>
      <c r="E69" s="194"/>
      <c r="F69" s="194"/>
      <c r="G69" s="193"/>
      <c r="H69" s="199"/>
      <c r="I69" s="194"/>
      <c r="J69" s="194"/>
      <c r="K69" s="194"/>
      <c r="L69" s="193"/>
      <c r="M69" s="193"/>
      <c r="W69" s="89" t="s">
        <v>120</v>
      </c>
      <c r="X69" s="10"/>
      <c r="Y69" s="39"/>
      <c r="Z69" s="39"/>
      <c r="AA69" s="10"/>
      <c r="AB69" s="90"/>
      <c r="AC69" s="187"/>
      <c r="AD69" s="2" t="e">
        <f>#REF!-#REF!</f>
        <v>#REF!</v>
      </c>
      <c r="AE69" s="131" t="e">
        <f>#REF!/AC69-1</f>
        <v>#REF!</v>
      </c>
    </row>
    <row r="70" spans="1:31" x14ac:dyDescent="0.25">
      <c r="A70" s="193"/>
      <c r="B70" s="193"/>
      <c r="C70" s="193"/>
      <c r="D70" s="194"/>
      <c r="E70" s="194"/>
      <c r="F70" s="194"/>
      <c r="G70" s="193"/>
      <c r="H70" s="199"/>
      <c r="I70" s="194"/>
      <c r="J70" s="194"/>
      <c r="K70" s="194"/>
      <c r="L70" s="193"/>
      <c r="M70" s="193"/>
    </row>
    <row r="71" spans="1:31" x14ac:dyDescent="0.25">
      <c r="A71" s="193"/>
      <c r="B71" s="193"/>
      <c r="C71" s="193"/>
      <c r="D71" s="194"/>
      <c r="E71" s="194"/>
      <c r="F71" s="194"/>
      <c r="G71" s="193"/>
      <c r="H71" s="199"/>
      <c r="I71" s="194"/>
      <c r="J71" s="194"/>
      <c r="K71" s="194"/>
      <c r="L71" s="193"/>
      <c r="M71" s="193"/>
    </row>
    <row r="72" spans="1:31" x14ac:dyDescent="0.25">
      <c r="A72" s="193"/>
      <c r="B72" s="193"/>
      <c r="C72" s="193"/>
      <c r="D72" s="194"/>
      <c r="E72" s="194"/>
      <c r="F72" s="194"/>
      <c r="G72" s="193"/>
      <c r="H72" s="199"/>
      <c r="I72" s="194"/>
      <c r="J72" s="194"/>
      <c r="K72" s="194"/>
      <c r="L72" s="193"/>
      <c r="M72" s="193"/>
    </row>
    <row r="73" spans="1:31" x14ac:dyDescent="0.25">
      <c r="A73" s="193"/>
      <c r="B73" s="193"/>
      <c r="C73" s="193"/>
      <c r="D73" s="194"/>
      <c r="E73" s="194"/>
      <c r="F73" s="194"/>
      <c r="G73" s="193"/>
      <c r="H73" s="199"/>
      <c r="I73" s="194"/>
      <c r="J73" s="194"/>
      <c r="K73" s="194"/>
      <c r="L73" s="193"/>
      <c r="M73" s="193"/>
    </row>
    <row r="74" spans="1:31" x14ac:dyDescent="0.25">
      <c r="A74" s="31" t="s">
        <v>81</v>
      </c>
      <c r="B74" s="14"/>
      <c r="C74" s="14">
        <f>SUM(C50:C63)</f>
        <v>380</v>
      </c>
      <c r="D74" s="14"/>
      <c r="E74" s="14"/>
      <c r="F74" s="18">
        <f>SUM(F50:F63)</f>
        <v>24322.9</v>
      </c>
      <c r="G74" s="18"/>
      <c r="H74" s="68">
        <f>SUM(H50:H63)</f>
        <v>380</v>
      </c>
      <c r="I74" s="18"/>
      <c r="J74" s="18"/>
      <c r="K74" s="18">
        <f>SUM(K50:K63)</f>
        <v>25629.800000000003</v>
      </c>
      <c r="L74" s="18"/>
      <c r="M74" s="18">
        <f>SUM(M50:M62)</f>
        <v>62</v>
      </c>
    </row>
    <row r="75" spans="1:31" ht="15.75" thickBot="1" x14ac:dyDescent="0.3">
      <c r="A75" s="365" t="s">
        <v>189</v>
      </c>
      <c r="B75" s="366"/>
      <c r="C75" s="367">
        <f>SumByColor($A$19,C58:C73)</f>
        <v>0</v>
      </c>
      <c r="D75" s="367"/>
      <c r="E75" s="367"/>
      <c r="F75" s="368">
        <f>SumByColor($A$19,F58:F73)</f>
        <v>0</v>
      </c>
      <c r="G75" s="367"/>
      <c r="H75" s="367">
        <f>SumByColor($A$19,H58:H73)</f>
        <v>0</v>
      </c>
      <c r="I75" s="367"/>
      <c r="J75" s="367"/>
      <c r="K75" s="368">
        <f>SumByColor($A$19,K58:K73)</f>
        <v>0</v>
      </c>
      <c r="L75" s="367"/>
      <c r="M75" s="368">
        <f>SumByColor($A$19,M58:M73)</f>
        <v>0</v>
      </c>
    </row>
  </sheetData>
  <conditionalFormatting sqref="P37:P57">
    <cfRule type="colorScale" priority="39">
      <colorScale>
        <cfvo type="min"/>
        <cfvo type="percentile" val="50"/>
        <cfvo type="max"/>
        <color rgb="FFF8696B"/>
        <color rgb="FFFFEB84"/>
        <color rgb="FF63BE7B"/>
      </colorScale>
    </cfRule>
  </conditionalFormatting>
  <conditionalFormatting sqref="Q37:Q57">
    <cfRule type="colorScale" priority="36">
      <colorScale>
        <cfvo type="min"/>
        <cfvo type="percentile" val="50"/>
        <cfvo type="max"/>
        <color rgb="FFF8696B"/>
        <color rgb="FFFFEB84"/>
        <color rgb="FF63BE7B"/>
      </colorScale>
    </cfRule>
  </conditionalFormatting>
  <conditionalFormatting sqref="R40:R57">
    <cfRule type="colorScale" priority="35">
      <colorScale>
        <cfvo type="min"/>
        <cfvo type="percentile" val="50"/>
        <cfvo type="max"/>
        <color rgb="FFF8696B"/>
        <color rgb="FFFFEB84"/>
        <color rgb="FF63BE7B"/>
      </colorScale>
    </cfRule>
  </conditionalFormatting>
  <conditionalFormatting sqref="AD1:AD69">
    <cfRule type="dataBar" priority="34">
      <dataBar>
        <cfvo type="min"/>
        <cfvo type="max"/>
        <color rgb="FFFF555A"/>
      </dataBar>
      <extLst>
        <ext xmlns:x14="http://schemas.microsoft.com/office/spreadsheetml/2009/9/main" uri="{B025F937-C7B1-47D3-B67F-A62EFF666E3E}">
          <x14:id>{AC59BA47-7FD0-42D1-81AC-B82DA23B5377}</x14:id>
        </ext>
      </extLst>
    </cfRule>
  </conditionalFormatting>
  <conditionalFormatting sqref="AE1:AE69">
    <cfRule type="iconSet" priority="33">
      <iconSet iconSet="3Arrows">
        <cfvo type="percent" val="0"/>
        <cfvo type="num" val="0"/>
        <cfvo type="num" val="0"/>
      </iconSet>
    </cfRule>
  </conditionalFormatting>
  <conditionalFormatting sqref="F40:F45">
    <cfRule type="expression" dxfId="1257" priority="29">
      <formula>F40&gt;0</formula>
    </cfRule>
    <cfRule type="expression" dxfId="1256" priority="30">
      <formula>F40&lt;0</formula>
    </cfRule>
  </conditionalFormatting>
  <conditionalFormatting sqref="F40:F45">
    <cfRule type="expression" dxfId="1255" priority="31">
      <formula>F40&gt;0</formula>
    </cfRule>
    <cfRule type="expression" dxfId="1254" priority="32">
      <formula>F40&lt;0</formula>
    </cfRule>
  </conditionalFormatting>
  <conditionalFormatting sqref="H40:H45">
    <cfRule type="expression" dxfId="1253" priority="27">
      <formula>H40&gt;0</formula>
    </cfRule>
    <cfRule type="expression" dxfId="1252" priority="28">
      <formula>H40&lt;0</formula>
    </cfRule>
  </conditionalFormatting>
  <conditionalFormatting sqref="F23:F39">
    <cfRule type="expression" dxfId="1251" priority="13">
      <formula>F23&gt;0</formula>
    </cfRule>
    <cfRule type="expression" dxfId="1250" priority="14">
      <formula>F23&lt;0</formula>
    </cfRule>
  </conditionalFormatting>
  <conditionalFormatting sqref="H23:H39">
    <cfRule type="expression" dxfId="1249" priority="11">
      <formula>H23&gt;0</formula>
    </cfRule>
    <cfRule type="expression" dxfId="1248" priority="12">
      <formula>H23&lt;0</formula>
    </cfRule>
  </conditionalFormatting>
  <conditionalFormatting sqref="Q7">
    <cfRule type="expression" dxfId="1247" priority="9">
      <formula>Q7&gt;0</formula>
    </cfRule>
    <cfRule type="expression" dxfId="1246" priority="10">
      <formula>Q7&lt;0</formula>
    </cfRule>
  </conditionalFormatting>
  <conditionalFormatting sqref="Q8">
    <cfRule type="expression" dxfId="1245" priority="7">
      <formula>Q8&gt;0</formula>
    </cfRule>
    <cfRule type="expression" dxfId="1244" priority="8">
      <formula>Q8&lt;0</formula>
    </cfRule>
  </conditionalFormatting>
  <conditionalFormatting sqref="Q10">
    <cfRule type="expression" dxfId="1243" priority="1">
      <formula>Q10&gt;0</formula>
    </cfRule>
    <cfRule type="expression" dxfId="1242" priority="2">
      <formula>Q10&lt;0</formula>
    </cfRule>
  </conditionalFormatting>
  <hyperlinks>
    <hyperlink ref="A3"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AC59BA47-7FD0-42D1-81AC-B82DA23B5377}">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AP93"/>
  <sheetViews>
    <sheetView workbookViewId="0">
      <pane ySplit="1" topLeftCell="A2" activePane="bottomLeft" state="frozen"/>
      <selection activeCell="A2" sqref="A2"/>
      <selection pane="bottomLeft" activeCell="A3" sqref="A3"/>
    </sheetView>
  </sheetViews>
  <sheetFormatPr defaultRowHeight="15" x14ac:dyDescent="0.25"/>
  <cols>
    <col min="4" max="4" width="9.140625" style="75"/>
    <col min="5" max="5" width="9.140625" style="2"/>
    <col min="6" max="6" width="9.85546875" style="2" bestFit="1" customWidth="1"/>
    <col min="7" max="7" width="9.5703125" bestFit="1" customWidth="1"/>
    <col min="9" max="9" width="9.140625" style="75"/>
    <col min="10" max="10" width="9.140625" style="2"/>
    <col min="11" max="11" width="9.85546875" style="2" bestFit="1" customWidth="1"/>
    <col min="17" max="17" width="9.5703125" bestFit="1" customWidth="1"/>
    <col min="18" max="18" width="21.28515625" customWidth="1"/>
    <col min="20" max="20" width="18.5703125" bestFit="1" customWidth="1"/>
    <col min="21" max="21" width="11.7109375" style="33" customWidth="1"/>
    <col min="23" max="23" width="11.7109375" style="29" customWidth="1"/>
    <col min="24" max="24" width="8.5703125" style="2" customWidth="1"/>
    <col min="25" max="26" width="5.5703125" style="2" customWidth="1"/>
    <col min="27" max="27" width="5.85546875" style="2" customWidth="1"/>
    <col min="28" max="28" width="9.140625" customWidth="1"/>
    <col min="29" max="29" width="10.28515625" bestFit="1" customWidth="1"/>
    <col min="35" max="35" width="31.7109375" bestFit="1" customWidth="1"/>
  </cols>
  <sheetData>
    <row r="1" spans="1:42" s="11" customFormat="1" x14ac:dyDescent="0.25">
      <c r="A1" s="11" t="s">
        <v>1</v>
      </c>
      <c r="B1" s="11" t="s">
        <v>2</v>
      </c>
      <c r="C1" s="11" t="s">
        <v>4</v>
      </c>
      <c r="D1" s="73" t="s">
        <v>5</v>
      </c>
      <c r="E1" s="20" t="s">
        <v>94</v>
      </c>
      <c r="F1" s="20" t="s">
        <v>60</v>
      </c>
      <c r="G1" s="11" t="s">
        <v>3</v>
      </c>
      <c r="H1" s="11" t="s">
        <v>6</v>
      </c>
      <c r="I1" s="73" t="s">
        <v>7</v>
      </c>
      <c r="J1" s="20" t="s">
        <v>95</v>
      </c>
      <c r="K1" s="20" t="s">
        <v>61</v>
      </c>
      <c r="L1" s="15" t="s">
        <v>37</v>
      </c>
      <c r="M1" s="15" t="s">
        <v>38</v>
      </c>
      <c r="T1" s="11" t="s">
        <v>93</v>
      </c>
      <c r="U1" s="32"/>
      <c r="W1" s="116" t="s">
        <v>113</v>
      </c>
      <c r="X1" s="106" t="s">
        <v>114</v>
      </c>
      <c r="Y1" s="106" t="s">
        <v>115</v>
      </c>
      <c r="Z1" s="106" t="s">
        <v>116</v>
      </c>
      <c r="AA1" s="106" t="s">
        <v>117</v>
      </c>
      <c r="AB1" s="103" t="s">
        <v>118</v>
      </c>
      <c r="AC1" s="103" t="s">
        <v>119</v>
      </c>
      <c r="AD1" s="11" t="s">
        <v>125</v>
      </c>
      <c r="AE1" s="11" t="s">
        <v>127</v>
      </c>
    </row>
    <row r="2" spans="1:42" x14ac:dyDescent="0.25">
      <c r="A2" s="6" t="s">
        <v>8</v>
      </c>
      <c r="B2" s="69"/>
      <c r="C2" s="158"/>
      <c r="D2" s="184"/>
      <c r="E2" s="3"/>
      <c r="F2" s="3"/>
      <c r="G2" s="69"/>
      <c r="H2" s="158"/>
      <c r="I2" s="184"/>
      <c r="J2" s="3"/>
      <c r="K2" s="3"/>
      <c r="L2" s="4"/>
      <c r="O2" s="11" t="s">
        <v>57</v>
      </c>
      <c r="Q2" s="67">
        <f>C18-H18</f>
        <v>0</v>
      </c>
      <c r="T2" s="11"/>
      <c r="W2" s="117">
        <v>42830</v>
      </c>
      <c r="X2" s="40">
        <v>74.11</v>
      </c>
      <c r="Y2" s="40">
        <v>75.05</v>
      </c>
      <c r="Z2" s="40">
        <v>73.13</v>
      </c>
      <c r="AA2" s="40">
        <v>73.430000000000007</v>
      </c>
      <c r="AB2" s="99">
        <v>1452000</v>
      </c>
      <c r="AC2" s="9">
        <v>73.430000000000007</v>
      </c>
      <c r="AD2" s="2">
        <f>Y2-Z2</f>
        <v>1.9200000000000017</v>
      </c>
      <c r="AE2" s="131">
        <f>AC2/AC3-1</f>
        <v>-5.2831211053913085E-3</v>
      </c>
    </row>
    <row r="3" spans="1:42" x14ac:dyDescent="0.25">
      <c r="A3" s="22" t="s">
        <v>71</v>
      </c>
      <c r="B3" s="69"/>
      <c r="C3" s="158"/>
      <c r="D3" s="184"/>
      <c r="E3" s="3"/>
      <c r="F3" s="3"/>
      <c r="G3" s="69"/>
      <c r="H3" s="158"/>
      <c r="I3" s="184"/>
      <c r="J3" s="3"/>
      <c r="K3" s="3"/>
      <c r="L3" s="4"/>
      <c r="O3" s="11" t="s">
        <v>75</v>
      </c>
      <c r="Q3" s="174">
        <f>IF(Q2=0, Q4, (F18-K18-M18)/Q2)</f>
        <v>89.35</v>
      </c>
      <c r="W3" s="117">
        <v>42829</v>
      </c>
      <c r="X3" s="40">
        <v>72.69</v>
      </c>
      <c r="Y3" s="40">
        <v>74.010000000000005</v>
      </c>
      <c r="Z3" s="40">
        <v>72.61</v>
      </c>
      <c r="AA3" s="40">
        <v>73.819999999999993</v>
      </c>
      <c r="AB3" s="99">
        <v>1038600</v>
      </c>
      <c r="AC3" s="9">
        <v>73.819999999999993</v>
      </c>
      <c r="AD3" s="2">
        <f t="shared" ref="AD3:AD66" si="0">Y3-Z3</f>
        <v>1.4000000000000057</v>
      </c>
      <c r="AE3" s="131">
        <f t="shared" ref="AE3:AE66" si="1">AC3/AC4-1</f>
        <v>9.9876864140100441E-3</v>
      </c>
      <c r="AJ3" s="179"/>
      <c r="AL3" s="178"/>
      <c r="AO3" s="178"/>
    </row>
    <row r="4" spans="1:42" x14ac:dyDescent="0.25">
      <c r="B4" s="69"/>
      <c r="C4" s="158"/>
      <c r="D4" s="184"/>
      <c r="E4" s="3"/>
      <c r="F4" s="3"/>
      <c r="G4" s="69"/>
      <c r="H4" s="158"/>
      <c r="I4" s="184"/>
      <c r="J4" s="3"/>
      <c r="K4" s="3"/>
      <c r="L4" s="4"/>
      <c r="O4" s="11" t="s">
        <v>66</v>
      </c>
      <c r="Q4" s="53">
        <v>89.35</v>
      </c>
      <c r="R4" s="396">
        <v>7.1999999999999998E-3</v>
      </c>
      <c r="T4" s="1"/>
      <c r="W4" s="117">
        <v>42828</v>
      </c>
      <c r="X4" s="40">
        <v>73.89</v>
      </c>
      <c r="Y4" s="40">
        <v>74.099999999999994</v>
      </c>
      <c r="Z4" s="40">
        <v>72.510000000000005</v>
      </c>
      <c r="AA4" s="40">
        <v>73.09</v>
      </c>
      <c r="AB4" s="99">
        <v>1038500</v>
      </c>
      <c r="AC4" s="9">
        <v>73.09</v>
      </c>
      <c r="AD4" s="2">
        <f t="shared" si="0"/>
        <v>1.5899999999999892</v>
      </c>
      <c r="AE4" s="131">
        <f t="shared" si="1"/>
        <v>-1.136209928310572E-2</v>
      </c>
      <c r="AL4" s="178"/>
      <c r="AO4" s="178"/>
    </row>
    <row r="5" spans="1:42" x14ac:dyDescent="0.25">
      <c r="B5" s="69"/>
      <c r="C5" s="158"/>
      <c r="D5" s="184"/>
      <c r="E5" s="3"/>
      <c r="F5" s="3"/>
      <c r="G5" s="69"/>
      <c r="H5" s="158"/>
      <c r="I5" s="184"/>
      <c r="J5" s="3"/>
      <c r="K5" s="3"/>
      <c r="L5" s="4"/>
      <c r="O5" s="11" t="s">
        <v>67</v>
      </c>
      <c r="Q5" s="3">
        <f>Q4*Q2</f>
        <v>0</v>
      </c>
      <c r="T5" s="1"/>
      <c r="W5" s="117">
        <v>42825</v>
      </c>
      <c r="X5" s="40">
        <v>73.95</v>
      </c>
      <c r="Y5" s="40">
        <v>74.459999999999994</v>
      </c>
      <c r="Z5" s="40">
        <v>73.739999999999995</v>
      </c>
      <c r="AA5" s="40">
        <v>73.930000000000007</v>
      </c>
      <c r="AB5" s="99">
        <v>967200</v>
      </c>
      <c r="AC5" s="9">
        <v>73.930000000000007</v>
      </c>
      <c r="AD5" s="2">
        <f t="shared" si="0"/>
        <v>0.71999999999999886</v>
      </c>
      <c r="AE5" s="131">
        <f t="shared" si="1"/>
        <v>-4.0562466197924252E-4</v>
      </c>
      <c r="AL5" s="178"/>
      <c r="AO5" s="178"/>
    </row>
    <row r="6" spans="1:42" x14ac:dyDescent="0.25">
      <c r="B6" s="69"/>
      <c r="C6" s="158"/>
      <c r="D6" s="184"/>
      <c r="E6" s="3"/>
      <c r="F6" s="3"/>
      <c r="G6" s="69"/>
      <c r="H6" s="158"/>
      <c r="I6" s="184"/>
      <c r="J6" s="3"/>
      <c r="K6" s="3"/>
      <c r="L6" s="4"/>
      <c r="O6" s="11" t="s">
        <v>64</v>
      </c>
      <c r="Q6" s="2">
        <f>Q3*Q2</f>
        <v>0</v>
      </c>
      <c r="W6" s="117">
        <v>42824</v>
      </c>
      <c r="X6" s="40">
        <v>74.08</v>
      </c>
      <c r="Y6" s="40">
        <v>74.67</v>
      </c>
      <c r="Z6" s="40">
        <v>73.94</v>
      </c>
      <c r="AA6" s="40">
        <v>73.959999999999994</v>
      </c>
      <c r="AB6" s="99">
        <v>544300</v>
      </c>
      <c r="AC6" s="9">
        <v>73.959999999999994</v>
      </c>
      <c r="AD6" s="2">
        <f t="shared" si="0"/>
        <v>0.73000000000000398</v>
      </c>
      <c r="AE6" s="131">
        <f t="shared" si="1"/>
        <v>2.4396855516399807E-3</v>
      </c>
      <c r="AL6" s="178"/>
      <c r="AO6" s="178"/>
    </row>
    <row r="7" spans="1:42" x14ac:dyDescent="0.25">
      <c r="B7" s="69"/>
      <c r="C7" s="158"/>
      <c r="D7" s="184"/>
      <c r="E7" s="3"/>
      <c r="F7" s="3"/>
      <c r="G7" s="69"/>
      <c r="H7" s="158"/>
      <c r="I7" s="184"/>
      <c r="J7" s="3"/>
      <c r="K7" s="3"/>
      <c r="L7" s="4"/>
      <c r="O7" s="11" t="s">
        <v>175</v>
      </c>
      <c r="Q7" s="2">
        <f>Q10+Q8</f>
        <v>121.94999999999982</v>
      </c>
      <c r="R7">
        <v>0</v>
      </c>
      <c r="W7" s="117">
        <v>42823</v>
      </c>
      <c r="X7" s="40">
        <v>73.67</v>
      </c>
      <c r="Y7" s="40">
        <v>73.819999999999993</v>
      </c>
      <c r="Z7" s="40">
        <v>73.27</v>
      </c>
      <c r="AA7" s="40">
        <v>73.78</v>
      </c>
      <c r="AB7" s="99">
        <v>443000</v>
      </c>
      <c r="AC7" s="9">
        <v>73.78</v>
      </c>
      <c r="AD7" s="2">
        <f t="shared" si="0"/>
        <v>0.54999999999999716</v>
      </c>
      <c r="AE7" s="131">
        <f t="shared" si="1"/>
        <v>-8.1256771397619776E-4</v>
      </c>
      <c r="AL7" s="178"/>
      <c r="AO7" s="178"/>
    </row>
    <row r="8" spans="1:42" x14ac:dyDescent="0.25">
      <c r="B8" s="69"/>
      <c r="C8" s="158"/>
      <c r="D8" s="184"/>
      <c r="E8" s="3"/>
      <c r="F8" s="3"/>
      <c r="G8" s="69"/>
      <c r="H8" s="158"/>
      <c r="I8" s="184"/>
      <c r="J8" s="3"/>
      <c r="K8" s="3"/>
      <c r="L8" s="4"/>
      <c r="O8" s="11" t="s">
        <v>177</v>
      </c>
      <c r="P8" s="33"/>
      <c r="Q8" s="2">
        <f>K18+M18-F18+Q2*Q4</f>
        <v>0</v>
      </c>
      <c r="R8" s="156"/>
      <c r="W8" s="117">
        <v>42822</v>
      </c>
      <c r="X8" s="40">
        <v>72.739999999999995</v>
      </c>
      <c r="Y8" s="40">
        <v>74.099999999999994</v>
      </c>
      <c r="Z8" s="40">
        <v>72.739999999999995</v>
      </c>
      <c r="AA8" s="40">
        <v>73.84</v>
      </c>
      <c r="AB8" s="99">
        <v>934100</v>
      </c>
      <c r="AC8" s="9">
        <v>73.84</v>
      </c>
      <c r="AD8" s="2">
        <f t="shared" si="0"/>
        <v>1.3599999999999994</v>
      </c>
      <c r="AE8" s="131">
        <f t="shared" si="1"/>
        <v>1.6519823788546217E-2</v>
      </c>
      <c r="AL8" s="178"/>
      <c r="AO8" s="178"/>
    </row>
    <row r="9" spans="1:42" x14ac:dyDescent="0.25">
      <c r="O9" s="11" t="s">
        <v>202</v>
      </c>
      <c r="Q9" s="131">
        <f>IF(Q2=0, 0, Q8/Q6)</f>
        <v>0</v>
      </c>
      <c r="W9" s="117">
        <v>42821</v>
      </c>
      <c r="X9" s="40">
        <v>71.66</v>
      </c>
      <c r="Y9" s="40">
        <v>72.91</v>
      </c>
      <c r="Z9" s="40">
        <v>71.58</v>
      </c>
      <c r="AA9" s="40">
        <v>72.64</v>
      </c>
      <c r="AB9" s="99">
        <v>800600</v>
      </c>
      <c r="AC9" s="9">
        <v>72.64</v>
      </c>
      <c r="AD9" s="2">
        <f t="shared" si="0"/>
        <v>1.3299999999999983</v>
      </c>
      <c r="AE9" s="131">
        <f t="shared" si="1"/>
        <v>4.5636841377403314E-3</v>
      </c>
      <c r="AL9" s="178"/>
      <c r="AO9" s="178"/>
    </row>
    <row r="10" spans="1:42" x14ac:dyDescent="0.25">
      <c r="O10" s="11" t="s">
        <v>201</v>
      </c>
      <c r="P10" s="33"/>
      <c r="Q10" s="2">
        <f>M36</f>
        <v>121.94999999999982</v>
      </c>
      <c r="W10" s="117">
        <v>42818</v>
      </c>
      <c r="X10" s="40">
        <v>72.430000000000007</v>
      </c>
      <c r="Y10" s="40">
        <v>72.91</v>
      </c>
      <c r="Z10" s="40">
        <v>72.010000000000005</v>
      </c>
      <c r="AA10" s="40">
        <v>72.31</v>
      </c>
      <c r="AB10" s="99">
        <v>488700</v>
      </c>
      <c r="AC10" s="9">
        <v>72.31</v>
      </c>
      <c r="AD10" s="2">
        <f t="shared" si="0"/>
        <v>0.89999999999999147</v>
      </c>
      <c r="AE10" s="131">
        <f t="shared" si="1"/>
        <v>-1.7945886250689824E-3</v>
      </c>
      <c r="AL10" s="178"/>
      <c r="AO10" s="178"/>
    </row>
    <row r="11" spans="1:42" x14ac:dyDescent="0.25">
      <c r="O11" s="11" t="s">
        <v>173</v>
      </c>
      <c r="P11" s="33"/>
      <c r="Q11" s="131">
        <f>IF(U58="N/A (N/A)", 0, VALUE(TRIM(CLEAN(MID(U58, FIND("(", U58)+1, 5)))))</f>
        <v>1.67E-2</v>
      </c>
      <c r="T11" s="11"/>
      <c r="W11" s="117">
        <v>42817</v>
      </c>
      <c r="X11" s="40">
        <v>71.86</v>
      </c>
      <c r="Y11" s="40">
        <v>72.88</v>
      </c>
      <c r="Z11" s="40">
        <v>71.42</v>
      </c>
      <c r="AA11" s="40">
        <v>72.44</v>
      </c>
      <c r="AB11" s="99">
        <v>993000</v>
      </c>
      <c r="AC11" s="9">
        <v>72.44</v>
      </c>
      <c r="AD11" s="2">
        <f t="shared" si="0"/>
        <v>1.4599999999999937</v>
      </c>
      <c r="AE11" s="131">
        <f t="shared" si="1"/>
        <v>9.4760312151616066E-3</v>
      </c>
      <c r="AL11" s="178"/>
      <c r="AO11" s="178"/>
    </row>
    <row r="12" spans="1:42" x14ac:dyDescent="0.25">
      <c r="W12" s="117">
        <v>42816</v>
      </c>
      <c r="X12" s="40">
        <v>71.06</v>
      </c>
      <c r="Y12" s="40">
        <v>72.12</v>
      </c>
      <c r="Z12" s="40">
        <v>71.02</v>
      </c>
      <c r="AA12" s="40">
        <v>71.760000000000005</v>
      </c>
      <c r="AB12" s="99">
        <v>852400</v>
      </c>
      <c r="AC12" s="9">
        <v>71.760000000000005</v>
      </c>
      <c r="AD12" s="2">
        <f t="shared" si="0"/>
        <v>1.1000000000000085</v>
      </c>
      <c r="AE12" s="131">
        <f t="shared" si="1"/>
        <v>5.7463209530486115E-3</v>
      </c>
      <c r="AL12" s="178"/>
      <c r="AO12" s="178"/>
    </row>
    <row r="13" spans="1:42" x14ac:dyDescent="0.25">
      <c r="W13" s="117">
        <v>42815</v>
      </c>
      <c r="X13" s="40">
        <v>72.3</v>
      </c>
      <c r="Y13" s="40">
        <v>73</v>
      </c>
      <c r="Z13" s="40">
        <v>71.28</v>
      </c>
      <c r="AA13" s="40">
        <v>71.349999999999994</v>
      </c>
      <c r="AB13" s="99">
        <v>1922100</v>
      </c>
      <c r="AC13" s="9">
        <v>71.349999999999994</v>
      </c>
      <c r="AD13" s="2">
        <f t="shared" si="0"/>
        <v>1.7199999999999989</v>
      </c>
      <c r="AE13" s="131">
        <f t="shared" si="1"/>
        <v>-9.0277777777778567E-3</v>
      </c>
    </row>
    <row r="14" spans="1:42" x14ac:dyDescent="0.25">
      <c r="W14" s="117">
        <v>42814</v>
      </c>
      <c r="X14" s="40">
        <v>72.09</v>
      </c>
      <c r="Y14" s="40">
        <v>72.41</v>
      </c>
      <c r="Z14" s="40">
        <v>71.72</v>
      </c>
      <c r="AA14" s="40">
        <v>72</v>
      </c>
      <c r="AB14" s="99">
        <v>1526800</v>
      </c>
      <c r="AC14" s="9">
        <v>72</v>
      </c>
      <c r="AD14" s="2">
        <f t="shared" si="0"/>
        <v>0.68999999999999773</v>
      </c>
      <c r="AE14" s="131">
        <f t="shared" si="1"/>
        <v>-2.2172949002217113E-3</v>
      </c>
    </row>
    <row r="15" spans="1:42" x14ac:dyDescent="0.25">
      <c r="V15" s="2"/>
      <c r="W15" s="117">
        <v>42811</v>
      </c>
      <c r="X15" s="40">
        <v>72.52</v>
      </c>
      <c r="Y15" s="40">
        <v>72.87</v>
      </c>
      <c r="Z15" s="40">
        <v>72.14</v>
      </c>
      <c r="AA15" s="40">
        <v>72.16</v>
      </c>
      <c r="AB15" s="99">
        <v>1291700</v>
      </c>
      <c r="AC15" s="9">
        <v>72.16</v>
      </c>
      <c r="AD15" s="2">
        <f t="shared" si="0"/>
        <v>0.73000000000000398</v>
      </c>
      <c r="AE15" s="131">
        <f t="shared" si="1"/>
        <v>-6.9242487190135371E-4</v>
      </c>
      <c r="AL15" s="178"/>
      <c r="AO15" s="178"/>
      <c r="AP15" s="178"/>
    </row>
    <row r="16" spans="1:42" x14ac:dyDescent="0.25">
      <c r="V16" s="2"/>
      <c r="W16" s="117">
        <v>42810</v>
      </c>
      <c r="X16" s="40">
        <v>72.81</v>
      </c>
      <c r="Y16" s="40">
        <v>73.28</v>
      </c>
      <c r="Z16" s="40">
        <v>72.180000000000007</v>
      </c>
      <c r="AA16" s="40">
        <v>72.209999999999994</v>
      </c>
      <c r="AB16" s="99">
        <v>841800</v>
      </c>
      <c r="AC16" s="9">
        <v>72.209999999999994</v>
      </c>
      <c r="AD16" s="2">
        <f t="shared" si="0"/>
        <v>1.0999999999999943</v>
      </c>
      <c r="AE16" s="131">
        <f t="shared" si="1"/>
        <v>-5.5088830739568051E-3</v>
      </c>
    </row>
    <row r="17" spans="1:42" x14ac:dyDescent="0.25">
      <c r="V17" s="2"/>
      <c r="W17" s="117">
        <v>42809</v>
      </c>
      <c r="X17" s="40">
        <v>71.91</v>
      </c>
      <c r="Y17" s="40">
        <v>72.72</v>
      </c>
      <c r="Z17" s="40">
        <v>71.400000000000006</v>
      </c>
      <c r="AA17" s="40">
        <v>72.61</v>
      </c>
      <c r="AB17" s="99">
        <v>918100</v>
      </c>
      <c r="AC17" s="9">
        <v>72.61</v>
      </c>
      <c r="AD17" s="2">
        <f t="shared" si="0"/>
        <v>1.3199999999999932</v>
      </c>
      <c r="AE17" s="131">
        <f t="shared" si="1"/>
        <v>1.8087492989343978E-2</v>
      </c>
      <c r="AL17" s="178"/>
      <c r="AO17" s="178"/>
      <c r="AP17" s="178"/>
    </row>
    <row r="18" spans="1:42" x14ac:dyDescent="0.25">
      <c r="A18" s="31" t="s">
        <v>81</v>
      </c>
      <c r="B18" s="14"/>
      <c r="C18" s="68">
        <f>SUM(C2:C8)</f>
        <v>0</v>
      </c>
      <c r="D18" s="18"/>
      <c r="E18" s="18"/>
      <c r="F18" s="18">
        <f>SUM(F2:F8)</f>
        <v>0</v>
      </c>
      <c r="G18" s="18">
        <f>SUM(G2:G8)</f>
        <v>0</v>
      </c>
      <c r="H18" s="68">
        <f>SUM(H2:H8)</f>
        <v>0</v>
      </c>
      <c r="I18" s="18"/>
      <c r="J18" s="18"/>
      <c r="K18" s="18">
        <f>SUM(K2:K8)</f>
        <v>0</v>
      </c>
      <c r="L18" s="18"/>
      <c r="M18" s="18"/>
      <c r="V18" s="2"/>
      <c r="W18" s="117">
        <v>42808</v>
      </c>
      <c r="X18" s="40">
        <v>72.22</v>
      </c>
      <c r="Y18" s="40">
        <v>72.58</v>
      </c>
      <c r="Z18" s="40">
        <v>71.239999999999995</v>
      </c>
      <c r="AA18" s="40">
        <v>71.319999999999993</v>
      </c>
      <c r="AB18" s="99">
        <v>1017700</v>
      </c>
      <c r="AC18" s="9">
        <v>71.319999999999993</v>
      </c>
      <c r="AD18" s="2">
        <f t="shared" si="0"/>
        <v>1.3400000000000034</v>
      </c>
      <c r="AE18" s="131">
        <f t="shared" si="1"/>
        <v>-2.0464221947534833E-2</v>
      </c>
    </row>
    <row r="19" spans="1:42" x14ac:dyDescent="0.25">
      <c r="B19" s="69"/>
      <c r="C19" s="4"/>
      <c r="D19" s="184"/>
      <c r="E19" s="3"/>
      <c r="F19" s="3"/>
      <c r="G19" s="69"/>
      <c r="H19" s="158"/>
      <c r="I19" s="184"/>
      <c r="J19" s="3"/>
      <c r="K19" s="3"/>
      <c r="L19" s="4"/>
      <c r="W19" s="117">
        <v>42807</v>
      </c>
      <c r="X19" s="40">
        <v>72.44</v>
      </c>
      <c r="Y19" s="40">
        <v>73.040000000000006</v>
      </c>
      <c r="Z19" s="40">
        <v>72.27</v>
      </c>
      <c r="AA19" s="40">
        <v>72.81</v>
      </c>
      <c r="AB19" s="99">
        <v>802400</v>
      </c>
      <c r="AC19" s="9">
        <v>72.81</v>
      </c>
      <c r="AD19" s="2">
        <f t="shared" si="0"/>
        <v>0.77000000000001023</v>
      </c>
      <c r="AE19" s="131">
        <f t="shared" si="1"/>
        <v>6.3579820317900548E-3</v>
      </c>
      <c r="AL19" s="178"/>
      <c r="AO19" s="178"/>
    </row>
    <row r="20" spans="1:42" x14ac:dyDescent="0.25">
      <c r="B20" s="69"/>
      <c r="C20" s="4"/>
      <c r="D20" s="184"/>
      <c r="E20" s="3"/>
      <c r="F20" s="3"/>
      <c r="G20" s="69"/>
      <c r="H20" s="158"/>
      <c r="I20" s="184"/>
      <c r="J20" s="3"/>
      <c r="K20" s="3"/>
      <c r="L20" s="4"/>
      <c r="W20" s="117">
        <v>42804</v>
      </c>
      <c r="X20" s="40">
        <v>72.16</v>
      </c>
      <c r="Y20" s="40">
        <v>72.98</v>
      </c>
      <c r="Z20" s="40">
        <v>71.89</v>
      </c>
      <c r="AA20" s="40">
        <v>72.349999999999994</v>
      </c>
      <c r="AB20" s="99">
        <v>933900</v>
      </c>
      <c r="AC20" s="9">
        <v>72.349999999999994</v>
      </c>
      <c r="AD20" s="2">
        <f t="shared" si="0"/>
        <v>1.0900000000000034</v>
      </c>
      <c r="AE20" s="131">
        <f t="shared" si="1"/>
        <v>9.06555090655492E-3</v>
      </c>
    </row>
    <row r="21" spans="1:42" x14ac:dyDescent="0.25">
      <c r="B21" s="69"/>
      <c r="C21" s="4"/>
      <c r="D21" s="184"/>
      <c r="E21" s="3"/>
      <c r="F21" s="3"/>
      <c r="G21" s="69"/>
      <c r="H21" s="158"/>
      <c r="I21" s="184"/>
      <c r="J21" s="3"/>
      <c r="K21" s="3"/>
      <c r="L21" s="4"/>
      <c r="W21" s="117">
        <v>42803</v>
      </c>
      <c r="X21" s="40">
        <v>71.41</v>
      </c>
      <c r="Y21" s="40">
        <v>72.08</v>
      </c>
      <c r="Z21" s="40">
        <v>71.19</v>
      </c>
      <c r="AA21" s="40">
        <v>71.7</v>
      </c>
      <c r="AB21" s="99">
        <v>801100</v>
      </c>
      <c r="AC21" s="9">
        <v>71.7</v>
      </c>
      <c r="AD21" s="2">
        <f t="shared" si="0"/>
        <v>0.89000000000000057</v>
      </c>
      <c r="AE21" s="131">
        <f t="shared" si="1"/>
        <v>2.0964360587003572E-3</v>
      </c>
    </row>
    <row r="22" spans="1:42" x14ac:dyDescent="0.25">
      <c r="B22" s="159" t="s">
        <v>113</v>
      </c>
      <c r="C22" s="159" t="s">
        <v>143</v>
      </c>
      <c r="D22" s="167" t="s">
        <v>142</v>
      </c>
      <c r="E22" s="163" t="s">
        <v>144</v>
      </c>
      <c r="F22" s="163" t="s">
        <v>65</v>
      </c>
      <c r="G22" s="173" t="s">
        <v>148</v>
      </c>
      <c r="H22" s="163" t="s">
        <v>88</v>
      </c>
      <c r="I22" s="185" t="s">
        <v>151</v>
      </c>
      <c r="J22" s="3"/>
      <c r="K22" s="3"/>
      <c r="L22" s="4"/>
      <c r="W22" s="117">
        <v>42802</v>
      </c>
      <c r="X22" s="40">
        <v>72.040000000000006</v>
      </c>
      <c r="Y22" s="40">
        <v>72.260000000000005</v>
      </c>
      <c r="Z22" s="40">
        <v>71.459999999999994</v>
      </c>
      <c r="AA22" s="40">
        <v>71.55</v>
      </c>
      <c r="AB22" s="99">
        <v>1046800</v>
      </c>
      <c r="AC22" s="9">
        <v>71.55</v>
      </c>
      <c r="AD22" s="2">
        <f t="shared" si="0"/>
        <v>0.80000000000001137</v>
      </c>
      <c r="AE22" s="131" t="e">
        <f t="shared" si="1"/>
        <v>#DIV/0!</v>
      </c>
    </row>
    <row r="23" spans="1:42" x14ac:dyDescent="0.25">
      <c r="B23" s="161">
        <v>42375</v>
      </c>
      <c r="C23" s="10">
        <v>40</v>
      </c>
      <c r="D23" s="168">
        <v>52.4</v>
      </c>
      <c r="E23" s="39">
        <v>52.17</v>
      </c>
      <c r="F23" s="39">
        <f>C23*(E23-D23)</f>
        <v>-9.1999999999998749</v>
      </c>
      <c r="G23" s="39">
        <f>D23*C23</f>
        <v>2096</v>
      </c>
      <c r="H23" s="175">
        <f>(E23-D23)/D23</f>
        <v>-4.389312977099177E-3</v>
      </c>
      <c r="I23" s="39"/>
      <c r="J23" s="3"/>
      <c r="K23" s="3"/>
      <c r="L23" s="4"/>
      <c r="W23" s="117">
        <v>42802</v>
      </c>
      <c r="X23" s="40" t="s">
        <v>435</v>
      </c>
      <c r="Y23" s="40"/>
      <c r="Z23" s="40"/>
      <c r="AA23" s="40"/>
      <c r="AB23" s="99"/>
      <c r="AC23" s="9"/>
      <c r="AD23" s="2">
        <f t="shared" si="0"/>
        <v>0</v>
      </c>
      <c r="AE23" s="131">
        <f t="shared" si="1"/>
        <v>-1</v>
      </c>
    </row>
    <row r="24" spans="1:42" x14ac:dyDescent="0.25">
      <c r="B24" s="161">
        <v>42403</v>
      </c>
      <c r="C24" s="10">
        <v>40</v>
      </c>
      <c r="D24" s="168">
        <v>52.4</v>
      </c>
      <c r="E24" s="39">
        <v>53.31</v>
      </c>
      <c r="F24" s="39">
        <f>C24*(E24-D24)</f>
        <v>36.400000000000148</v>
      </c>
      <c r="G24" s="39">
        <f>D24*C24</f>
        <v>2096</v>
      </c>
      <c r="H24" s="175">
        <f>(E24-D24)/D24</f>
        <v>1.736641221374053E-2</v>
      </c>
      <c r="I24" s="39"/>
      <c r="J24" s="3"/>
      <c r="K24" s="3"/>
      <c r="L24" s="4"/>
      <c r="W24" s="117">
        <v>42801</v>
      </c>
      <c r="X24" s="40">
        <v>72.12</v>
      </c>
      <c r="Y24" s="40">
        <v>72.73</v>
      </c>
      <c r="Z24" s="40">
        <v>72.12</v>
      </c>
      <c r="AA24" s="40">
        <v>72.430000000000007</v>
      </c>
      <c r="AB24" s="99">
        <v>1201100</v>
      </c>
      <c r="AC24" s="9">
        <v>72.12</v>
      </c>
      <c r="AD24" s="2">
        <f t="shared" si="0"/>
        <v>0.60999999999999943</v>
      </c>
      <c r="AE24" s="131">
        <f t="shared" si="1"/>
        <v>1.110494169905607E-3</v>
      </c>
    </row>
    <row r="25" spans="1:42" x14ac:dyDescent="0.25">
      <c r="B25" s="161">
        <v>42416</v>
      </c>
      <c r="C25" s="10">
        <v>0</v>
      </c>
      <c r="D25" s="168">
        <v>0</v>
      </c>
      <c r="E25" s="39">
        <v>0</v>
      </c>
      <c r="F25" s="39">
        <v>121.95</v>
      </c>
      <c r="G25" s="39"/>
      <c r="H25" s="176"/>
      <c r="I25" s="168"/>
      <c r="J25" s="3"/>
      <c r="K25" s="3"/>
      <c r="L25" s="4"/>
      <c r="W25" s="117">
        <v>42800</v>
      </c>
      <c r="X25" s="40">
        <v>71.59</v>
      </c>
      <c r="Y25" s="40">
        <v>72.45</v>
      </c>
      <c r="Z25" s="40">
        <v>71.56</v>
      </c>
      <c r="AA25" s="40">
        <v>72.349999999999994</v>
      </c>
      <c r="AB25" s="99">
        <v>1058700</v>
      </c>
      <c r="AC25" s="9">
        <v>72.040000000000006</v>
      </c>
      <c r="AD25" s="2">
        <f t="shared" si="0"/>
        <v>0.89000000000000057</v>
      </c>
      <c r="AE25" s="131">
        <f t="shared" si="1"/>
        <v>4.7419804741981597E-3</v>
      </c>
      <c r="AL25" s="178"/>
      <c r="AO25" s="178"/>
    </row>
    <row r="26" spans="1:42" x14ac:dyDescent="0.25">
      <c r="B26" s="161"/>
      <c r="C26" s="10"/>
      <c r="D26" s="168"/>
      <c r="E26" s="39"/>
      <c r="F26" s="39"/>
      <c r="G26" s="39"/>
      <c r="H26" s="176"/>
      <c r="I26" s="168"/>
      <c r="J26" s="3"/>
      <c r="K26" s="3"/>
      <c r="L26" s="4"/>
      <c r="W26" s="117">
        <v>42797</v>
      </c>
      <c r="X26" s="40">
        <v>70.849999999999994</v>
      </c>
      <c r="Y26" s="40">
        <v>72.040000000000006</v>
      </c>
      <c r="Z26" s="40">
        <v>70.81</v>
      </c>
      <c r="AA26" s="40">
        <v>72.010000000000005</v>
      </c>
      <c r="AB26" s="99">
        <v>976000</v>
      </c>
      <c r="AC26" s="9">
        <v>71.7</v>
      </c>
      <c r="AD26" s="2">
        <f t="shared" si="0"/>
        <v>1.230000000000004</v>
      </c>
      <c r="AE26" s="131">
        <f t="shared" si="1"/>
        <v>1.5005662514156359E-2</v>
      </c>
    </row>
    <row r="27" spans="1:42" x14ac:dyDescent="0.25">
      <c r="B27" s="161"/>
      <c r="C27" s="10"/>
      <c r="D27" s="168"/>
      <c r="E27" s="39"/>
      <c r="F27" s="39"/>
      <c r="G27" s="39"/>
      <c r="H27" s="176"/>
      <c r="I27" s="168"/>
      <c r="J27" s="3"/>
      <c r="K27" s="3"/>
      <c r="L27" s="4"/>
      <c r="W27" s="117">
        <v>42796</v>
      </c>
      <c r="X27" s="40">
        <v>70.34</v>
      </c>
      <c r="Y27" s="40">
        <v>71.150000000000006</v>
      </c>
      <c r="Z27" s="40">
        <v>70.25</v>
      </c>
      <c r="AA27" s="40">
        <v>70.94</v>
      </c>
      <c r="AB27" s="99">
        <v>1064100</v>
      </c>
      <c r="AC27" s="9">
        <v>70.64</v>
      </c>
      <c r="AD27" s="2">
        <f t="shared" si="0"/>
        <v>0.90000000000000568</v>
      </c>
      <c r="AE27" s="131">
        <f t="shared" si="1"/>
        <v>-2.2598870056497189E-3</v>
      </c>
      <c r="AL27" s="178"/>
      <c r="AO27" s="178"/>
    </row>
    <row r="28" spans="1:42" x14ac:dyDescent="0.25">
      <c r="B28" s="161"/>
      <c r="C28" s="10"/>
      <c r="D28" s="168"/>
      <c r="E28" s="39"/>
      <c r="F28" s="39"/>
      <c r="G28" s="39"/>
      <c r="H28" s="176"/>
      <c r="I28" s="168"/>
      <c r="J28" s="3"/>
      <c r="K28" s="3"/>
      <c r="L28" s="4"/>
      <c r="W28" s="117">
        <v>42795</v>
      </c>
      <c r="X28" s="40">
        <v>70.12</v>
      </c>
      <c r="Y28" s="40">
        <v>71.27</v>
      </c>
      <c r="Z28" s="40">
        <v>70.03</v>
      </c>
      <c r="AA28" s="40">
        <v>71.099999999999994</v>
      </c>
      <c r="AB28" s="99">
        <v>1409400</v>
      </c>
      <c r="AC28" s="9">
        <v>70.8</v>
      </c>
      <c r="AD28" s="2">
        <f t="shared" si="0"/>
        <v>1.2399999999999949</v>
      </c>
      <c r="AE28" s="131">
        <f t="shared" si="1"/>
        <v>1.9144954656686419E-2</v>
      </c>
    </row>
    <row r="29" spans="1:42" x14ac:dyDescent="0.25">
      <c r="B29" s="161"/>
      <c r="C29" s="10"/>
      <c r="D29" s="168"/>
      <c r="E29" s="39"/>
      <c r="F29" s="39"/>
      <c r="G29" s="39"/>
      <c r="H29" s="176"/>
      <c r="I29" s="168"/>
      <c r="J29" s="3"/>
      <c r="K29" s="3"/>
      <c r="L29" s="4"/>
      <c r="W29" s="117">
        <v>42794</v>
      </c>
      <c r="X29" s="40">
        <v>70.97</v>
      </c>
      <c r="Y29" s="40">
        <v>71.3</v>
      </c>
      <c r="Z29" s="40">
        <v>69.73</v>
      </c>
      <c r="AA29" s="40">
        <v>69.77</v>
      </c>
      <c r="AB29" s="99">
        <v>1335800</v>
      </c>
      <c r="AC29" s="9">
        <v>69.47</v>
      </c>
      <c r="AD29" s="2">
        <f t="shared" si="0"/>
        <v>1.5699999999999932</v>
      </c>
      <c r="AE29" s="131">
        <f t="shared" si="1"/>
        <v>-1.7814223101937032E-2</v>
      </c>
    </row>
    <row r="30" spans="1:42" x14ac:dyDescent="0.25">
      <c r="B30" s="161"/>
      <c r="C30" s="10"/>
      <c r="D30" s="168"/>
      <c r="E30" s="39"/>
      <c r="F30" s="39"/>
      <c r="G30" s="39"/>
      <c r="H30" s="176"/>
      <c r="I30" s="168"/>
      <c r="J30" s="3"/>
      <c r="K30" s="3"/>
      <c r="L30" s="4"/>
      <c r="W30" s="117">
        <v>42793</v>
      </c>
      <c r="X30" s="40">
        <v>70.430000000000007</v>
      </c>
      <c r="Y30" s="40">
        <v>71.180000000000007</v>
      </c>
      <c r="Z30" s="40">
        <v>69.94</v>
      </c>
      <c r="AA30" s="40">
        <v>71.03</v>
      </c>
      <c r="AB30" s="99">
        <v>1452900</v>
      </c>
      <c r="AC30" s="9">
        <v>70.73</v>
      </c>
      <c r="AD30" s="2">
        <f t="shared" si="0"/>
        <v>1.2400000000000091</v>
      </c>
      <c r="AE30" s="131">
        <f t="shared" si="1"/>
        <v>7.9806184979336336E-3</v>
      </c>
    </row>
    <row r="31" spans="1:42" x14ac:dyDescent="0.25">
      <c r="B31" s="161"/>
      <c r="C31" s="10"/>
      <c r="D31" s="168"/>
      <c r="E31" s="39"/>
      <c r="F31" s="39"/>
      <c r="G31" s="39"/>
      <c r="H31" s="176"/>
      <c r="I31" s="168"/>
      <c r="Q31" s="2"/>
      <c r="W31" s="117">
        <v>42790</v>
      </c>
      <c r="X31" s="40">
        <v>70.88</v>
      </c>
      <c r="Y31" s="40">
        <v>71.28</v>
      </c>
      <c r="Z31" s="40">
        <v>70.06</v>
      </c>
      <c r="AA31" s="40">
        <v>70.47</v>
      </c>
      <c r="AB31" s="99">
        <v>1556400</v>
      </c>
      <c r="AC31" s="9">
        <v>70.17</v>
      </c>
      <c r="AD31" s="2">
        <f t="shared" si="0"/>
        <v>1.2199999999999989</v>
      </c>
      <c r="AE31" s="131">
        <f t="shared" si="1"/>
        <v>-1.0156580617858624E-2</v>
      </c>
      <c r="AL31" s="178"/>
      <c r="AO31" s="178"/>
    </row>
    <row r="32" spans="1:42" x14ac:dyDescent="0.25">
      <c r="B32" s="161"/>
      <c r="C32" s="10"/>
      <c r="D32" s="168"/>
      <c r="E32" s="39"/>
      <c r="F32" s="39"/>
      <c r="G32" s="39"/>
      <c r="H32" s="176"/>
      <c r="I32" s="168"/>
      <c r="J32" s="3"/>
      <c r="K32" s="3"/>
      <c r="L32" s="4"/>
      <c r="Q32" s="2"/>
      <c r="W32" s="117">
        <v>42789</v>
      </c>
      <c r="X32" s="40">
        <v>72.67</v>
      </c>
      <c r="Y32" s="40">
        <v>72.73</v>
      </c>
      <c r="Z32" s="40">
        <v>71.13</v>
      </c>
      <c r="AA32" s="40">
        <v>71.19</v>
      </c>
      <c r="AB32" s="99">
        <v>1180600</v>
      </c>
      <c r="AC32" s="9">
        <v>70.89</v>
      </c>
      <c r="AD32" s="2">
        <f t="shared" si="0"/>
        <v>1.6000000000000085</v>
      </c>
      <c r="AE32" s="131">
        <f t="shared" si="1"/>
        <v>-1.3498469245755595E-2</v>
      </c>
    </row>
    <row r="33" spans="1:41" x14ac:dyDescent="0.25">
      <c r="B33" s="69"/>
      <c r="C33" s="4"/>
      <c r="D33" s="184"/>
      <c r="E33" s="3"/>
      <c r="F33" s="3"/>
      <c r="G33" s="3"/>
      <c r="H33" s="177"/>
      <c r="I33" s="184"/>
      <c r="J33" s="3"/>
      <c r="K33" s="3"/>
      <c r="L33" s="4"/>
      <c r="Q33" s="2"/>
      <c r="W33" s="117">
        <v>42788</v>
      </c>
      <c r="X33" s="40">
        <v>71.540000000000006</v>
      </c>
      <c r="Y33" s="40">
        <v>72.58</v>
      </c>
      <c r="Z33" s="40">
        <v>71.400000000000006</v>
      </c>
      <c r="AA33" s="40">
        <v>72.17</v>
      </c>
      <c r="AB33" s="99">
        <v>1583200</v>
      </c>
      <c r="AC33" s="9">
        <v>71.86</v>
      </c>
      <c r="AD33" s="2">
        <f t="shared" si="0"/>
        <v>1.1799999999999926</v>
      </c>
      <c r="AE33" s="131">
        <f t="shared" si="1"/>
        <v>2.9309141660851523E-3</v>
      </c>
      <c r="AL33" s="178"/>
      <c r="AO33" s="178"/>
    </row>
    <row r="34" spans="1:41" x14ac:dyDescent="0.25">
      <c r="B34" s="69"/>
      <c r="C34" s="4"/>
      <c r="D34" s="184"/>
      <c r="E34" s="3"/>
      <c r="F34" s="3"/>
      <c r="G34" s="3"/>
      <c r="H34" s="177"/>
      <c r="I34" s="184"/>
      <c r="J34" s="3"/>
      <c r="K34" s="3"/>
      <c r="L34" s="4"/>
      <c r="W34" s="117">
        <v>42787</v>
      </c>
      <c r="X34" s="40">
        <v>71.209999999999994</v>
      </c>
      <c r="Y34" s="40">
        <v>72</v>
      </c>
      <c r="Z34" s="40">
        <v>71.150000000000006</v>
      </c>
      <c r="AA34" s="40">
        <v>71.959999999999994</v>
      </c>
      <c r="AB34" s="99">
        <v>658900</v>
      </c>
      <c r="AC34" s="9">
        <v>71.650000000000006</v>
      </c>
      <c r="AD34" s="2">
        <f t="shared" si="0"/>
        <v>0.84999999999999432</v>
      </c>
      <c r="AE34" s="131">
        <f t="shared" si="1"/>
        <v>4.063901345291665E-3</v>
      </c>
    </row>
    <row r="35" spans="1:41" x14ac:dyDescent="0.25">
      <c r="B35" s="69"/>
      <c r="C35" s="4"/>
      <c r="D35" s="184"/>
      <c r="E35" s="3"/>
      <c r="F35" s="3"/>
      <c r="G35" s="3"/>
      <c r="H35" s="177"/>
      <c r="I35" s="184"/>
      <c r="J35" s="3"/>
      <c r="K35" s="3"/>
      <c r="L35" s="4"/>
      <c r="W35" s="117">
        <v>42783</v>
      </c>
      <c r="X35" s="40">
        <v>71.3</v>
      </c>
      <c r="Y35" s="40">
        <v>71.66</v>
      </c>
      <c r="Z35" s="40">
        <v>71.16</v>
      </c>
      <c r="AA35" s="40">
        <v>71.66</v>
      </c>
      <c r="AB35" s="99">
        <v>559800</v>
      </c>
      <c r="AC35" s="9">
        <v>71.36</v>
      </c>
      <c r="AD35" s="2">
        <f t="shared" si="0"/>
        <v>0.5</v>
      </c>
      <c r="AE35" s="131">
        <f t="shared" si="1"/>
        <v>1.4033118158853775E-3</v>
      </c>
      <c r="AL35" s="178"/>
      <c r="AO35" s="178"/>
    </row>
    <row r="36" spans="1:41" x14ac:dyDescent="0.25">
      <c r="B36" s="69"/>
      <c r="C36" s="4"/>
      <c r="D36" s="184"/>
      <c r="E36" s="3"/>
      <c r="F36" s="3"/>
      <c r="G36" s="3"/>
      <c r="H36" s="177"/>
      <c r="I36" s="69"/>
      <c r="L36" t="s">
        <v>201</v>
      </c>
      <c r="M36" s="2">
        <f>K54+M54-F54</f>
        <v>121.94999999999982</v>
      </c>
      <c r="W36" s="117">
        <v>42782</v>
      </c>
      <c r="X36" s="40">
        <v>71.45</v>
      </c>
      <c r="Y36" s="40">
        <v>71.83</v>
      </c>
      <c r="Z36" s="40">
        <v>71.14</v>
      </c>
      <c r="AA36" s="40">
        <v>71.56</v>
      </c>
      <c r="AB36" s="99">
        <v>1220800</v>
      </c>
      <c r="AC36" s="9">
        <v>71.260000000000005</v>
      </c>
      <c r="AD36" s="2">
        <f t="shared" si="0"/>
        <v>0.68999999999999773</v>
      </c>
      <c r="AE36" s="131">
        <f t="shared" si="1"/>
        <v>9.8328416912507599E-4</v>
      </c>
    </row>
    <row r="37" spans="1:41" x14ac:dyDescent="0.25">
      <c r="A37" s="297" t="s">
        <v>1</v>
      </c>
      <c r="B37" s="297" t="s">
        <v>2</v>
      </c>
      <c r="C37" s="297" t="s">
        <v>4</v>
      </c>
      <c r="D37" s="298" t="s">
        <v>5</v>
      </c>
      <c r="E37" s="299" t="s">
        <v>94</v>
      </c>
      <c r="F37" s="299" t="s">
        <v>60</v>
      </c>
      <c r="G37" s="297" t="s">
        <v>3</v>
      </c>
      <c r="H37" s="297" t="s">
        <v>6</v>
      </c>
      <c r="I37" s="298" t="s">
        <v>7</v>
      </c>
      <c r="J37" s="299" t="s">
        <v>95</v>
      </c>
      <c r="K37" s="299" t="s">
        <v>61</v>
      </c>
      <c r="L37" s="21" t="s">
        <v>37</v>
      </c>
      <c r="M37" s="21" t="s">
        <v>38</v>
      </c>
      <c r="W37" s="117">
        <v>42781</v>
      </c>
      <c r="X37" s="40">
        <v>71.19</v>
      </c>
      <c r="Y37" s="40">
        <v>71.59</v>
      </c>
      <c r="Z37" s="40">
        <v>70.88</v>
      </c>
      <c r="AA37" s="40">
        <v>71.489999999999995</v>
      </c>
      <c r="AB37" s="99">
        <v>1070300</v>
      </c>
      <c r="AC37" s="9">
        <v>71.19</v>
      </c>
      <c r="AD37" s="2">
        <f t="shared" si="0"/>
        <v>0.71000000000000796</v>
      </c>
      <c r="AE37" s="131">
        <f t="shared" si="1"/>
        <v>-5.615611399691911E-4</v>
      </c>
    </row>
    <row r="38" spans="1:41" x14ac:dyDescent="0.25">
      <c r="A38" s="300" t="s">
        <v>8</v>
      </c>
      <c r="B38" s="290">
        <v>42375</v>
      </c>
      <c r="C38" s="295">
        <v>40</v>
      </c>
      <c r="D38" s="296">
        <v>52.4</v>
      </c>
      <c r="E38" s="292">
        <v>0</v>
      </c>
      <c r="F38" s="292">
        <f>C38*D38+E38</f>
        <v>2096</v>
      </c>
      <c r="G38" s="290">
        <v>42416</v>
      </c>
      <c r="H38" s="295">
        <v>40</v>
      </c>
      <c r="I38" s="296">
        <v>55.45</v>
      </c>
      <c r="J38" s="292">
        <v>0.05</v>
      </c>
      <c r="K38" s="292">
        <f>H38*I38-J38</f>
        <v>2217.9499999999998</v>
      </c>
      <c r="L38" s="291"/>
      <c r="M38" s="291"/>
      <c r="W38" s="117">
        <v>42780</v>
      </c>
      <c r="X38" s="40">
        <v>71.319999999999993</v>
      </c>
      <c r="Y38" s="40">
        <v>71.55</v>
      </c>
      <c r="Z38" s="40">
        <v>71.06</v>
      </c>
      <c r="AA38" s="40">
        <v>71.53</v>
      </c>
      <c r="AB38" s="99">
        <v>645500</v>
      </c>
      <c r="AC38" s="9">
        <v>71.23</v>
      </c>
      <c r="AD38" s="2">
        <f t="shared" si="0"/>
        <v>0.48999999999999488</v>
      </c>
      <c r="AE38" s="131">
        <f t="shared" si="1"/>
        <v>7.0244450688394799E-4</v>
      </c>
    </row>
    <row r="39" spans="1:41" x14ac:dyDescent="0.25">
      <c r="A39" s="301"/>
      <c r="B39" s="290"/>
      <c r="C39" s="295"/>
      <c r="D39" s="296"/>
      <c r="E39" s="292"/>
      <c r="F39" s="292"/>
      <c r="G39" s="290"/>
      <c r="H39" s="295"/>
      <c r="I39" s="296"/>
      <c r="J39" s="292"/>
      <c r="K39" s="292"/>
      <c r="L39" s="291"/>
      <c r="M39" s="291"/>
      <c r="W39" s="117">
        <v>42779</v>
      </c>
      <c r="X39" s="40">
        <v>70.790000000000006</v>
      </c>
      <c r="Y39" s="40">
        <v>71.5</v>
      </c>
      <c r="Z39" s="40">
        <v>70.63</v>
      </c>
      <c r="AA39" s="40">
        <v>71.48</v>
      </c>
      <c r="AB39" s="99">
        <v>706100</v>
      </c>
      <c r="AC39" s="9">
        <v>71.180000000000007</v>
      </c>
      <c r="AD39" s="2">
        <f t="shared" si="0"/>
        <v>0.87000000000000455</v>
      </c>
      <c r="AE39" s="131">
        <f t="shared" si="1"/>
        <v>1.3382687927107284E-2</v>
      </c>
    </row>
    <row r="40" spans="1:41" x14ac:dyDescent="0.25">
      <c r="A40" s="291"/>
      <c r="B40" s="290"/>
      <c r="C40" s="295"/>
      <c r="D40" s="296"/>
      <c r="E40" s="292"/>
      <c r="F40" s="292"/>
      <c r="G40" s="290"/>
      <c r="H40" s="295"/>
      <c r="I40" s="296"/>
      <c r="J40" s="292"/>
      <c r="K40" s="292"/>
      <c r="L40" s="291"/>
      <c r="M40" s="291"/>
      <c r="W40" s="117">
        <v>42776</v>
      </c>
      <c r="X40" s="40">
        <v>70.27</v>
      </c>
      <c r="Y40" s="40">
        <v>70.75</v>
      </c>
      <c r="Z40" s="40">
        <v>70.14</v>
      </c>
      <c r="AA40" s="40">
        <v>70.540000000000006</v>
      </c>
      <c r="AB40" s="99">
        <v>533200</v>
      </c>
      <c r="AC40" s="9">
        <v>70.239999999999995</v>
      </c>
      <c r="AD40" s="2">
        <f t="shared" si="0"/>
        <v>0.60999999999999943</v>
      </c>
      <c r="AE40" s="131">
        <f t="shared" si="1"/>
        <v>1.2103746397694293E-2</v>
      </c>
    </row>
    <row r="41" spans="1:41" x14ac:dyDescent="0.25">
      <c r="A41" s="291"/>
      <c r="B41" s="290"/>
      <c r="C41" s="295"/>
      <c r="D41" s="296"/>
      <c r="E41" s="292"/>
      <c r="F41" s="292"/>
      <c r="G41" s="290"/>
      <c r="H41" s="295"/>
      <c r="I41" s="296"/>
      <c r="J41" s="292"/>
      <c r="K41" s="292"/>
      <c r="L41" s="291"/>
      <c r="M41" s="291"/>
      <c r="W41" s="117">
        <v>42775</v>
      </c>
      <c r="X41" s="40">
        <v>69.319999999999993</v>
      </c>
      <c r="Y41" s="40">
        <v>70.099999999999994</v>
      </c>
      <c r="Z41" s="40">
        <v>69.319999999999993</v>
      </c>
      <c r="AA41" s="40">
        <v>69.7</v>
      </c>
      <c r="AB41" s="99">
        <v>717700</v>
      </c>
      <c r="AC41" s="9">
        <v>69.400000000000006</v>
      </c>
      <c r="AD41" s="2">
        <f t="shared" si="0"/>
        <v>0.78000000000000114</v>
      </c>
      <c r="AE41" s="131">
        <f t="shared" si="1"/>
        <v>5.3599884108359586E-3</v>
      </c>
      <c r="AL41" s="178"/>
      <c r="AO41" s="178"/>
    </row>
    <row r="42" spans="1:41" ht="20.25" thickBot="1" x14ac:dyDescent="0.35">
      <c r="A42" s="291"/>
      <c r="B42" s="290"/>
      <c r="C42" s="295"/>
      <c r="D42" s="296"/>
      <c r="E42" s="292"/>
      <c r="F42" s="292"/>
      <c r="G42" s="290"/>
      <c r="H42" s="295"/>
      <c r="I42" s="296"/>
      <c r="J42" s="292"/>
      <c r="K42" s="292"/>
      <c r="L42" s="291"/>
      <c r="M42" s="291"/>
      <c r="O42" s="287" t="s">
        <v>78</v>
      </c>
      <c r="P42" s="287"/>
      <c r="T42" s="100" t="s">
        <v>92</v>
      </c>
      <c r="U42" s="104"/>
      <c r="W42" s="117">
        <v>42774</v>
      </c>
      <c r="X42" s="40">
        <v>69.19</v>
      </c>
      <c r="Y42" s="40">
        <v>69.41</v>
      </c>
      <c r="Z42" s="40">
        <v>68.400000000000006</v>
      </c>
      <c r="AA42" s="40">
        <v>69.319999999999993</v>
      </c>
      <c r="AB42" s="99">
        <v>678900</v>
      </c>
      <c r="AC42" s="9">
        <v>69.03</v>
      </c>
      <c r="AD42" s="2">
        <f t="shared" si="0"/>
        <v>1.0099999999999909</v>
      </c>
      <c r="AE42" s="131">
        <f t="shared" si="1"/>
        <v>3.1972097078911688E-3</v>
      </c>
    </row>
    <row r="43" spans="1:41" ht="15.75" thickTop="1" x14ac:dyDescent="0.25">
      <c r="A43" s="291"/>
      <c r="B43" s="290"/>
      <c r="C43" s="295"/>
      <c r="D43" s="296"/>
      <c r="E43" s="292"/>
      <c r="F43" s="292"/>
      <c r="G43" s="290"/>
      <c r="H43" s="295"/>
      <c r="I43" s="296"/>
      <c r="J43" s="292"/>
      <c r="K43" s="292"/>
      <c r="L43" s="291"/>
      <c r="M43" s="291"/>
      <c r="O43" s="78">
        <v>1.1000000000000001</v>
      </c>
      <c r="P43" s="78">
        <f t="shared" ref="P43:P63" si="2">O43*$Q$4</f>
        <v>98.284999999999997</v>
      </c>
      <c r="T43" s="132" t="s">
        <v>97</v>
      </c>
      <c r="U43" s="133">
        <v>73.819999999999993</v>
      </c>
      <c r="W43" s="117">
        <v>42773</v>
      </c>
      <c r="X43" s="40">
        <v>68.53</v>
      </c>
      <c r="Y43" s="40">
        <v>69.25</v>
      </c>
      <c r="Z43" s="40">
        <v>68.53</v>
      </c>
      <c r="AA43" s="40">
        <v>69.099999999999994</v>
      </c>
      <c r="AB43" s="99">
        <v>770700</v>
      </c>
      <c r="AC43" s="9">
        <v>68.81</v>
      </c>
      <c r="AD43" s="2">
        <f t="shared" si="0"/>
        <v>0.71999999999999886</v>
      </c>
      <c r="AE43" s="131">
        <f t="shared" si="1"/>
        <v>7.1721311475412275E-3</v>
      </c>
    </row>
    <row r="44" spans="1:41" x14ac:dyDescent="0.25">
      <c r="A44" s="291"/>
      <c r="B44" s="290"/>
      <c r="C44" s="295"/>
      <c r="D44" s="296"/>
      <c r="E44" s="292"/>
      <c r="F44" s="292"/>
      <c r="G44" s="290"/>
      <c r="H44" s="295"/>
      <c r="I44" s="296"/>
      <c r="J44" s="292"/>
      <c r="K44" s="292"/>
      <c r="L44" s="291"/>
      <c r="M44" s="291"/>
      <c r="O44" s="78">
        <v>1.0900000000000001</v>
      </c>
      <c r="P44" s="78">
        <f t="shared" si="2"/>
        <v>97.391500000000008</v>
      </c>
      <c r="T44" s="103" t="s">
        <v>98</v>
      </c>
      <c r="U44" s="101">
        <v>74.11</v>
      </c>
      <c r="W44" s="117">
        <v>42772</v>
      </c>
      <c r="X44" s="40">
        <v>68.989999999999995</v>
      </c>
      <c r="Y44" s="40">
        <v>69.17</v>
      </c>
      <c r="Z44" s="40">
        <v>68.27</v>
      </c>
      <c r="AA44" s="40">
        <v>68.61</v>
      </c>
      <c r="AB44" s="99">
        <v>874400</v>
      </c>
      <c r="AC44" s="9">
        <v>68.319999999999993</v>
      </c>
      <c r="AD44" s="2">
        <f t="shared" si="0"/>
        <v>0.90000000000000568</v>
      </c>
      <c r="AE44" s="131">
        <f t="shared" si="1"/>
        <v>-1.0285383166739215E-2</v>
      </c>
    </row>
    <row r="45" spans="1:41" x14ac:dyDescent="0.25">
      <c r="A45" s="291"/>
      <c r="B45" s="291"/>
      <c r="C45" s="291"/>
      <c r="D45" s="296"/>
      <c r="E45" s="292"/>
      <c r="F45" s="292"/>
      <c r="G45" s="291"/>
      <c r="H45" s="291"/>
      <c r="I45" s="296"/>
      <c r="J45" s="292"/>
      <c r="K45" s="292"/>
      <c r="L45" s="291"/>
      <c r="M45" s="291"/>
      <c r="O45" s="78">
        <v>1.08</v>
      </c>
      <c r="P45" s="78">
        <f t="shared" si="2"/>
        <v>96.498000000000005</v>
      </c>
      <c r="Q45" s="2"/>
      <c r="T45" s="103" t="s">
        <v>99</v>
      </c>
      <c r="U45" s="101" t="s">
        <v>128</v>
      </c>
      <c r="W45" s="117">
        <v>42769</v>
      </c>
      <c r="X45" s="40">
        <v>69.25</v>
      </c>
      <c r="Y45" s="40">
        <v>69.72</v>
      </c>
      <c r="Z45" s="40">
        <v>68.849999999999994</v>
      </c>
      <c r="AA45" s="40">
        <v>69.319999999999993</v>
      </c>
      <c r="AB45" s="99">
        <v>942900</v>
      </c>
      <c r="AC45" s="9">
        <v>69.03</v>
      </c>
      <c r="AD45" s="2">
        <f t="shared" si="0"/>
        <v>0.87000000000000455</v>
      </c>
      <c r="AE45" s="131">
        <f t="shared" si="1"/>
        <v>5.8283549468163276E-3</v>
      </c>
      <c r="AL45" s="178"/>
      <c r="AO45" s="178"/>
    </row>
    <row r="46" spans="1:41" x14ac:dyDescent="0.25">
      <c r="A46" s="291"/>
      <c r="B46" s="291"/>
      <c r="C46" s="291"/>
      <c r="D46" s="296"/>
      <c r="E46" s="292"/>
      <c r="F46" s="292"/>
      <c r="G46" s="291"/>
      <c r="H46" s="291"/>
      <c r="I46" s="296"/>
      <c r="J46" s="292"/>
      <c r="K46" s="292"/>
      <c r="L46" s="291"/>
      <c r="M46" s="291"/>
      <c r="O46" s="78">
        <v>1.07</v>
      </c>
      <c r="P46" s="78">
        <f t="shared" si="2"/>
        <v>95.604500000000002</v>
      </c>
      <c r="Q46" s="2"/>
      <c r="T46" s="103" t="s">
        <v>100</v>
      </c>
      <c r="U46" s="101" t="s">
        <v>128</v>
      </c>
      <c r="W46" s="117">
        <v>42768</v>
      </c>
      <c r="X46" s="40">
        <v>69.239999999999995</v>
      </c>
      <c r="Y46" s="40">
        <v>69.31</v>
      </c>
      <c r="Z46" s="40">
        <v>68.59</v>
      </c>
      <c r="AA46" s="40">
        <v>68.92</v>
      </c>
      <c r="AB46" s="99">
        <v>1278700</v>
      </c>
      <c r="AC46" s="9">
        <v>68.63</v>
      </c>
      <c r="AD46" s="2">
        <f t="shared" si="0"/>
        <v>0.71999999999999886</v>
      </c>
      <c r="AE46" s="131">
        <f t="shared" si="1"/>
        <v>-2.1808665309683839E-3</v>
      </c>
    </row>
    <row r="47" spans="1:41" x14ac:dyDescent="0.25">
      <c r="A47" s="291"/>
      <c r="B47" s="291"/>
      <c r="C47" s="291"/>
      <c r="D47" s="296"/>
      <c r="E47" s="292"/>
      <c r="F47" s="292"/>
      <c r="G47" s="291"/>
      <c r="H47" s="291"/>
      <c r="I47" s="296"/>
      <c r="J47" s="292"/>
      <c r="K47" s="292"/>
      <c r="L47" s="291"/>
      <c r="M47" s="291"/>
      <c r="O47" s="78">
        <v>1.06</v>
      </c>
      <c r="P47" s="78">
        <f t="shared" si="2"/>
        <v>94.710999999999999</v>
      </c>
      <c r="Q47" s="2"/>
      <c r="T47" s="103" t="s">
        <v>101</v>
      </c>
      <c r="U47" s="101">
        <v>71.97</v>
      </c>
      <c r="W47" s="117">
        <v>42767</v>
      </c>
      <c r="X47" s="40">
        <v>69.45</v>
      </c>
      <c r="Y47" s="40">
        <v>69.78</v>
      </c>
      <c r="Z47" s="40">
        <v>68.73</v>
      </c>
      <c r="AA47" s="40">
        <v>69.069999999999993</v>
      </c>
      <c r="AB47" s="99">
        <v>1300400</v>
      </c>
      <c r="AC47" s="9">
        <v>68.78</v>
      </c>
      <c r="AD47" s="2">
        <f t="shared" si="0"/>
        <v>1.0499999999999972</v>
      </c>
      <c r="AE47" s="131">
        <f t="shared" si="1"/>
        <v>-6.3565443513434738E-3</v>
      </c>
    </row>
    <row r="48" spans="1:41" x14ac:dyDescent="0.25">
      <c r="A48" s="291"/>
      <c r="B48" s="291"/>
      <c r="C48" s="291"/>
      <c r="D48" s="296"/>
      <c r="E48" s="292"/>
      <c r="F48" s="292"/>
      <c r="G48" s="291"/>
      <c r="H48" s="291"/>
      <c r="I48" s="296"/>
      <c r="J48" s="292"/>
      <c r="K48" s="292"/>
      <c r="L48" s="291"/>
      <c r="M48" s="291"/>
      <c r="O48" s="78">
        <v>1.05</v>
      </c>
      <c r="P48" s="78">
        <f t="shared" si="2"/>
        <v>93.817499999999995</v>
      </c>
      <c r="Q48" s="2"/>
      <c r="T48" s="103" t="s">
        <v>102</v>
      </c>
      <c r="U48" s="101">
        <v>1.18781</v>
      </c>
      <c r="W48" s="117">
        <v>42766</v>
      </c>
      <c r="X48" s="40">
        <v>69.95</v>
      </c>
      <c r="Y48" s="40">
        <v>70.319999999999993</v>
      </c>
      <c r="Z48" s="40">
        <v>69.38</v>
      </c>
      <c r="AA48" s="40">
        <v>69.52</v>
      </c>
      <c r="AB48" s="99">
        <v>1401800</v>
      </c>
      <c r="AC48" s="9">
        <v>69.22</v>
      </c>
      <c r="AD48" s="2">
        <f t="shared" si="0"/>
        <v>0.93999999999999773</v>
      </c>
      <c r="AE48" s="131">
        <f t="shared" si="1"/>
        <v>-3.5986756873470638E-3</v>
      </c>
    </row>
    <row r="49" spans="1:42" x14ac:dyDescent="0.25">
      <c r="A49" s="291"/>
      <c r="B49" s="291"/>
      <c r="C49" s="291"/>
      <c r="D49" s="296"/>
      <c r="E49" s="292"/>
      <c r="F49" s="292"/>
      <c r="G49" s="291"/>
      <c r="H49" s="291"/>
      <c r="I49" s="296"/>
      <c r="J49" s="292"/>
      <c r="K49" s="292"/>
      <c r="L49" s="291"/>
      <c r="M49" s="291"/>
      <c r="O49" s="78">
        <v>1.04</v>
      </c>
      <c r="P49" s="78">
        <f t="shared" si="2"/>
        <v>92.923999999999992</v>
      </c>
      <c r="Q49" s="2"/>
      <c r="T49" s="103" t="s">
        <v>103</v>
      </c>
      <c r="U49" s="101" t="s">
        <v>128</v>
      </c>
      <c r="W49" s="117">
        <v>42765</v>
      </c>
      <c r="X49" s="40">
        <v>69.92</v>
      </c>
      <c r="Y49" s="40">
        <v>70.16</v>
      </c>
      <c r="Z49" s="40">
        <v>69.28</v>
      </c>
      <c r="AA49" s="40">
        <v>69.77</v>
      </c>
      <c r="AB49" s="99">
        <v>980800</v>
      </c>
      <c r="AC49" s="9">
        <v>69.47</v>
      </c>
      <c r="AD49" s="2">
        <f t="shared" si="0"/>
        <v>0.87999999999999545</v>
      </c>
      <c r="AE49" s="131">
        <f t="shared" si="1"/>
        <v>-7.5714285714285623E-3</v>
      </c>
    </row>
    <row r="50" spans="1:42" x14ac:dyDescent="0.25">
      <c r="A50" s="291"/>
      <c r="B50" s="291"/>
      <c r="C50" s="291"/>
      <c r="D50" s="296"/>
      <c r="E50" s="292"/>
      <c r="F50" s="292"/>
      <c r="G50" s="291"/>
      <c r="H50" s="291"/>
      <c r="I50" s="296"/>
      <c r="J50" s="292"/>
      <c r="K50" s="292"/>
      <c r="L50" s="291"/>
      <c r="M50" s="291"/>
      <c r="O50" s="78">
        <v>1.03</v>
      </c>
      <c r="P50" s="78">
        <f t="shared" si="2"/>
        <v>92.030500000000004</v>
      </c>
      <c r="Q50" s="2"/>
      <c r="T50" s="103"/>
      <c r="U50" s="101"/>
      <c r="W50" s="117">
        <v>42762</v>
      </c>
      <c r="X50" s="40">
        <v>70.25</v>
      </c>
      <c r="Y50" s="40">
        <v>70.75</v>
      </c>
      <c r="Z50" s="40">
        <v>69.989999999999995</v>
      </c>
      <c r="AA50" s="40">
        <v>70.3</v>
      </c>
      <c r="AB50" s="99">
        <v>761100</v>
      </c>
      <c r="AC50" s="9">
        <v>70</v>
      </c>
      <c r="AD50" s="2">
        <f t="shared" si="0"/>
        <v>0.76000000000000512</v>
      </c>
      <c r="AE50" s="131">
        <f t="shared" si="1"/>
        <v>2.4344837462408897E-3</v>
      </c>
    </row>
    <row r="51" spans="1:42" x14ac:dyDescent="0.25">
      <c r="A51" s="291"/>
      <c r="B51" s="291"/>
      <c r="C51" s="291"/>
      <c r="D51" s="296"/>
      <c r="E51" s="292"/>
      <c r="F51" s="292"/>
      <c r="G51" s="291"/>
      <c r="H51" s="291"/>
      <c r="I51" s="296"/>
      <c r="J51" s="292"/>
      <c r="K51" s="292"/>
      <c r="L51" s="291"/>
      <c r="M51" s="291"/>
      <c r="O51" s="78">
        <v>1.02</v>
      </c>
      <c r="P51" s="78">
        <f t="shared" si="2"/>
        <v>91.137</v>
      </c>
      <c r="Q51" s="2"/>
      <c r="T51" s="103" t="s">
        <v>104</v>
      </c>
      <c r="U51" s="101" t="s">
        <v>560</v>
      </c>
      <c r="W51" s="117">
        <v>42761</v>
      </c>
      <c r="X51" s="40">
        <v>69.930000000000007</v>
      </c>
      <c r="Y51" s="40">
        <v>70.36</v>
      </c>
      <c r="Z51" s="40">
        <v>69.540000000000006</v>
      </c>
      <c r="AA51" s="40">
        <v>70.13</v>
      </c>
      <c r="AB51" s="99">
        <v>1287300</v>
      </c>
      <c r="AC51" s="9">
        <v>69.83</v>
      </c>
      <c r="AD51" s="2">
        <f t="shared" si="0"/>
        <v>0.81999999999999318</v>
      </c>
      <c r="AE51" s="131">
        <f>AC51/AC52-1</f>
        <v>2.0088965418281202E-3</v>
      </c>
    </row>
    <row r="52" spans="1:42" x14ac:dyDescent="0.25">
      <c r="A52" s="291"/>
      <c r="B52" s="291"/>
      <c r="C52" s="291"/>
      <c r="D52" s="296"/>
      <c r="E52" s="292"/>
      <c r="F52" s="292"/>
      <c r="G52" s="291"/>
      <c r="H52" s="291"/>
      <c r="I52" s="296"/>
      <c r="J52" s="292"/>
      <c r="K52" s="292"/>
      <c r="L52" s="291"/>
      <c r="M52" s="291"/>
      <c r="O52" s="78">
        <v>1.01</v>
      </c>
      <c r="P52" s="78">
        <f t="shared" si="2"/>
        <v>90.243499999999997</v>
      </c>
      <c r="Q52" s="2"/>
      <c r="T52" s="103" t="s">
        <v>105</v>
      </c>
      <c r="U52" s="101" t="s">
        <v>561</v>
      </c>
      <c r="W52" s="117">
        <v>42760</v>
      </c>
      <c r="X52" s="40">
        <v>71.11</v>
      </c>
      <c r="Y52" s="40">
        <v>71.48</v>
      </c>
      <c r="Z52" s="40">
        <v>69.94</v>
      </c>
      <c r="AA52" s="40">
        <v>69.989999999999995</v>
      </c>
      <c r="AB52" s="99">
        <v>2649400</v>
      </c>
      <c r="AC52" s="9">
        <v>69.69</v>
      </c>
      <c r="AD52" s="2">
        <f t="shared" si="0"/>
        <v>1.5400000000000063</v>
      </c>
      <c r="AE52" s="131">
        <f t="shared" si="1"/>
        <v>-1.6094875052943713E-2</v>
      </c>
    </row>
    <row r="53" spans="1:42" x14ac:dyDescent="0.25">
      <c r="A53" s="291"/>
      <c r="B53" s="291"/>
      <c r="C53" s="291"/>
      <c r="D53" s="296"/>
      <c r="E53" s="292"/>
      <c r="F53" s="292"/>
      <c r="G53" s="291"/>
      <c r="H53" s="291"/>
      <c r="I53" s="296"/>
      <c r="J53" s="292"/>
      <c r="K53" s="292"/>
      <c r="L53" s="291"/>
      <c r="M53" s="291"/>
      <c r="O53" s="78">
        <v>1</v>
      </c>
      <c r="P53" s="78">
        <f t="shared" si="2"/>
        <v>89.35</v>
      </c>
      <c r="Q53" s="2"/>
      <c r="T53" s="103" t="s">
        <v>106</v>
      </c>
      <c r="U53" s="102">
        <v>1452972</v>
      </c>
      <c r="W53" s="117">
        <v>42759</v>
      </c>
      <c r="X53" s="40">
        <v>70.45</v>
      </c>
      <c r="Y53" s="40">
        <v>71.41</v>
      </c>
      <c r="Z53" s="40">
        <v>70.25</v>
      </c>
      <c r="AA53" s="40">
        <v>71.13</v>
      </c>
      <c r="AB53" s="99">
        <v>2110700</v>
      </c>
      <c r="AC53" s="9">
        <v>70.83</v>
      </c>
      <c r="AD53" s="2">
        <f t="shared" si="0"/>
        <v>1.1599999999999966</v>
      </c>
      <c r="AE53" s="131">
        <f t="shared" si="1"/>
        <v>1.214632752214917E-2</v>
      </c>
      <c r="AL53" s="178"/>
      <c r="AO53" s="178"/>
    </row>
    <row r="54" spans="1:42" x14ac:dyDescent="0.25">
      <c r="A54" s="21" t="s">
        <v>81</v>
      </c>
      <c r="B54" s="12"/>
      <c r="C54" s="72">
        <f>SUM(C38:C44)</f>
        <v>40</v>
      </c>
      <c r="D54" s="13"/>
      <c r="E54" s="13"/>
      <c r="F54" s="13">
        <f>SUM(F38:F44)</f>
        <v>2096</v>
      </c>
      <c r="G54" s="13"/>
      <c r="H54" s="72">
        <f>SUM(H38:H44)</f>
        <v>40</v>
      </c>
      <c r="I54" s="13"/>
      <c r="J54" s="13"/>
      <c r="K54" s="13">
        <f>SUM(K38:K44)</f>
        <v>2217.9499999999998</v>
      </c>
      <c r="L54" s="13"/>
      <c r="M54" s="13"/>
      <c r="O54" s="78">
        <v>0.99</v>
      </c>
      <c r="P54" s="78">
        <f t="shared" si="2"/>
        <v>88.456499999999991</v>
      </c>
      <c r="Q54" s="2"/>
      <c r="T54" s="103" t="s">
        <v>109</v>
      </c>
      <c r="U54" s="102">
        <v>1089500</v>
      </c>
      <c r="W54" s="117">
        <v>42758</v>
      </c>
      <c r="X54" s="40">
        <v>69.7</v>
      </c>
      <c r="Y54" s="40">
        <v>70.47</v>
      </c>
      <c r="Z54" s="40">
        <v>69.38</v>
      </c>
      <c r="AA54" s="40">
        <v>70.28</v>
      </c>
      <c r="AB54" s="99">
        <v>1077000</v>
      </c>
      <c r="AC54" s="9">
        <v>69.98</v>
      </c>
      <c r="AD54" s="2">
        <f t="shared" si="0"/>
        <v>1.0900000000000034</v>
      </c>
      <c r="AE54" s="131">
        <f t="shared" si="1"/>
        <v>2.2916069894014512E-3</v>
      </c>
    </row>
    <row r="55" spans="1:42" x14ac:dyDescent="0.25">
      <c r="O55" s="78">
        <v>0.98</v>
      </c>
      <c r="P55" s="78">
        <f t="shared" si="2"/>
        <v>87.562999999999988</v>
      </c>
      <c r="T55" s="103" t="s">
        <v>107</v>
      </c>
      <c r="U55" s="101" t="s">
        <v>562</v>
      </c>
      <c r="W55" s="117">
        <v>42755</v>
      </c>
      <c r="X55" s="40">
        <v>69</v>
      </c>
      <c r="Y55" s="40">
        <v>70.19</v>
      </c>
      <c r="Z55" s="40">
        <v>68.89</v>
      </c>
      <c r="AA55" s="40">
        <v>70.12</v>
      </c>
      <c r="AB55" s="99">
        <v>1328100</v>
      </c>
      <c r="AC55" s="9">
        <v>69.819999999999993</v>
      </c>
      <c r="AD55" s="2">
        <f t="shared" si="0"/>
        <v>1.2999999999999972</v>
      </c>
      <c r="AE55" s="131">
        <f t="shared" si="1"/>
        <v>1.8823872756456916E-2</v>
      </c>
    </row>
    <row r="56" spans="1:42" x14ac:dyDescent="0.25">
      <c r="O56" s="78">
        <v>0.97</v>
      </c>
      <c r="P56" s="78">
        <f t="shared" si="2"/>
        <v>86.669499999999985</v>
      </c>
      <c r="T56" s="103" t="s">
        <v>110</v>
      </c>
      <c r="U56" s="101">
        <v>20.99</v>
      </c>
      <c r="W56" s="117">
        <v>42754</v>
      </c>
      <c r="X56" s="40">
        <v>70.41</v>
      </c>
      <c r="Y56" s="40">
        <v>70.41</v>
      </c>
      <c r="Z56" s="40">
        <v>68.680000000000007</v>
      </c>
      <c r="AA56" s="40">
        <v>68.819999999999993</v>
      </c>
      <c r="AB56" s="99">
        <v>2520300</v>
      </c>
      <c r="AC56" s="9">
        <v>68.53</v>
      </c>
      <c r="AD56" s="2">
        <f t="shared" si="0"/>
        <v>1.7299999999999898</v>
      </c>
      <c r="AE56" s="131">
        <f t="shared" si="1"/>
        <v>-1.3246940244780459E-2</v>
      </c>
    </row>
    <row r="57" spans="1:42" x14ac:dyDescent="0.25">
      <c r="O57" s="78">
        <v>0.96</v>
      </c>
      <c r="P57" s="78">
        <f t="shared" si="2"/>
        <v>85.775999999999996</v>
      </c>
      <c r="T57" s="103" t="s">
        <v>111</v>
      </c>
      <c r="U57" s="101">
        <v>3.5</v>
      </c>
      <c r="W57" s="117">
        <v>42753</v>
      </c>
      <c r="X57" s="40">
        <v>69.84</v>
      </c>
      <c r="Y57" s="40">
        <v>70.319999999999993</v>
      </c>
      <c r="Z57" s="40">
        <v>69.430000000000007</v>
      </c>
      <c r="AA57" s="40">
        <v>69.75</v>
      </c>
      <c r="AB57" s="99">
        <v>1349700</v>
      </c>
      <c r="AC57" s="9">
        <v>69.45</v>
      </c>
      <c r="AD57" s="2">
        <f t="shared" si="0"/>
        <v>0.88999999999998636</v>
      </c>
      <c r="AE57" s="131">
        <f t="shared" si="1"/>
        <v>-7.8571428571427848E-3</v>
      </c>
      <c r="AL57" s="178"/>
      <c r="AO57" s="178"/>
    </row>
    <row r="58" spans="1:42" x14ac:dyDescent="0.25">
      <c r="O58" s="78">
        <v>0.95</v>
      </c>
      <c r="P58" s="78">
        <f t="shared" si="2"/>
        <v>84.882499999999993</v>
      </c>
      <c r="T58" s="103" t="s">
        <v>108</v>
      </c>
      <c r="U58" s="101" t="s">
        <v>472</v>
      </c>
      <c r="W58" s="117">
        <v>42752</v>
      </c>
      <c r="X58" s="40">
        <v>70.989999999999995</v>
      </c>
      <c r="Y58" s="40">
        <v>71.569999999999993</v>
      </c>
      <c r="Z58" s="40">
        <v>70.14</v>
      </c>
      <c r="AA58" s="40">
        <v>70.3</v>
      </c>
      <c r="AB58" s="99">
        <v>1201000</v>
      </c>
      <c r="AC58" s="9">
        <v>70</v>
      </c>
      <c r="AD58" s="2">
        <f t="shared" si="0"/>
        <v>1.4299999999999926</v>
      </c>
      <c r="AE58" s="131">
        <f t="shared" si="1"/>
        <v>-9.9009900990099098E-3</v>
      </c>
    </row>
    <row r="59" spans="1:42" x14ac:dyDescent="0.25">
      <c r="O59" s="78">
        <v>0.94</v>
      </c>
      <c r="P59" s="78">
        <f t="shared" si="2"/>
        <v>83.98899999999999</v>
      </c>
      <c r="W59" s="117">
        <v>42748</v>
      </c>
      <c r="X59" s="40">
        <v>70.64</v>
      </c>
      <c r="Y59" s="40">
        <v>71.5</v>
      </c>
      <c r="Z59" s="40">
        <v>70.44</v>
      </c>
      <c r="AA59" s="40">
        <v>71</v>
      </c>
      <c r="AB59" s="99">
        <v>629600</v>
      </c>
      <c r="AC59" s="9">
        <v>70.7</v>
      </c>
      <c r="AD59" s="2">
        <f t="shared" si="0"/>
        <v>1.0600000000000023</v>
      </c>
      <c r="AE59" s="131">
        <f t="shared" si="1"/>
        <v>6.1192543048242953E-3</v>
      </c>
      <c r="AL59" s="178"/>
    </row>
    <row r="60" spans="1:42" x14ac:dyDescent="0.25">
      <c r="O60" s="78">
        <v>0.93</v>
      </c>
      <c r="P60" s="78">
        <f t="shared" si="2"/>
        <v>83.095500000000001</v>
      </c>
      <c r="W60" s="117">
        <v>42747</v>
      </c>
      <c r="X60" s="40">
        <v>71.03</v>
      </c>
      <c r="Y60" s="40">
        <v>71.150000000000006</v>
      </c>
      <c r="Z60" s="40">
        <v>70.09</v>
      </c>
      <c r="AA60" s="40">
        <v>70.569999999999993</v>
      </c>
      <c r="AB60" s="99">
        <v>1208200</v>
      </c>
      <c r="AC60" s="9">
        <v>70.27</v>
      </c>
      <c r="AD60" s="2">
        <f t="shared" si="0"/>
        <v>1.0600000000000023</v>
      </c>
      <c r="AE60" s="131">
        <f t="shared" si="1"/>
        <v>9.9715099715091959E-4</v>
      </c>
    </row>
    <row r="61" spans="1:42" x14ac:dyDescent="0.25">
      <c r="O61" s="78">
        <v>0.92</v>
      </c>
      <c r="P61" s="78">
        <f t="shared" si="2"/>
        <v>82.201999999999998</v>
      </c>
      <c r="W61" s="117">
        <v>42746</v>
      </c>
      <c r="X61" s="40">
        <v>69.400000000000006</v>
      </c>
      <c r="Y61" s="40">
        <v>70.67</v>
      </c>
      <c r="Z61" s="40">
        <v>69.209999999999994</v>
      </c>
      <c r="AA61" s="40">
        <v>70.5</v>
      </c>
      <c r="AB61" s="99">
        <v>891100</v>
      </c>
      <c r="AC61" s="9">
        <v>70.2</v>
      </c>
      <c r="AD61" s="2">
        <f t="shared" si="0"/>
        <v>1.460000000000008</v>
      </c>
      <c r="AE61" s="131">
        <f t="shared" si="1"/>
        <v>1.7391304347826209E-2</v>
      </c>
      <c r="AL61" s="178"/>
      <c r="AO61" s="178"/>
    </row>
    <row r="62" spans="1:42" x14ac:dyDescent="0.25">
      <c r="O62" s="78">
        <v>0.91</v>
      </c>
      <c r="P62" s="78">
        <f t="shared" si="2"/>
        <v>81.308499999999995</v>
      </c>
      <c r="W62" s="117">
        <v>42745</v>
      </c>
      <c r="X62" s="40">
        <v>68.94</v>
      </c>
      <c r="Y62" s="40">
        <v>69.73</v>
      </c>
      <c r="Z62" s="40">
        <v>68.89</v>
      </c>
      <c r="AA62" s="40">
        <v>69.290000000000006</v>
      </c>
      <c r="AB62" s="99">
        <v>757700</v>
      </c>
      <c r="AC62" s="9">
        <v>69</v>
      </c>
      <c r="AD62" s="2">
        <f t="shared" si="0"/>
        <v>0.84000000000000341</v>
      </c>
      <c r="AE62" s="131">
        <f t="shared" si="1"/>
        <v>7.5934579439251859E-3</v>
      </c>
    </row>
    <row r="63" spans="1:42" x14ac:dyDescent="0.25">
      <c r="O63" s="78">
        <v>0.9</v>
      </c>
      <c r="P63" s="78">
        <f t="shared" si="2"/>
        <v>80.414999999999992</v>
      </c>
      <c r="W63" s="117">
        <v>42744</v>
      </c>
      <c r="X63" s="40">
        <v>68.95</v>
      </c>
      <c r="Y63" s="40">
        <v>69.08</v>
      </c>
      <c r="Z63" s="40">
        <v>68.41</v>
      </c>
      <c r="AA63" s="40">
        <v>68.77</v>
      </c>
      <c r="AB63" s="99">
        <v>947500</v>
      </c>
      <c r="AC63" s="9">
        <v>68.48</v>
      </c>
      <c r="AD63" s="2">
        <f t="shared" si="0"/>
        <v>0.67000000000000171</v>
      </c>
      <c r="AE63" s="131">
        <f t="shared" si="1"/>
        <v>-5.0849920092982392E-3</v>
      </c>
      <c r="AL63" s="178"/>
      <c r="AO63" s="178"/>
      <c r="AP63" s="178"/>
    </row>
    <row r="64" spans="1:42" x14ac:dyDescent="0.25">
      <c r="W64" s="117">
        <v>42741</v>
      </c>
      <c r="X64" s="40">
        <v>69.400000000000006</v>
      </c>
      <c r="Y64" s="40">
        <v>69.94</v>
      </c>
      <c r="Z64" s="40">
        <v>69.06</v>
      </c>
      <c r="AA64" s="40">
        <v>69.12</v>
      </c>
      <c r="AB64" s="99">
        <v>961800</v>
      </c>
      <c r="AC64" s="9">
        <v>68.83</v>
      </c>
      <c r="AD64" s="2">
        <f t="shared" si="0"/>
        <v>0.87999999999999545</v>
      </c>
      <c r="AE64" s="131">
        <f t="shared" si="1"/>
        <v>-4.6276211135214407E-3</v>
      </c>
    </row>
    <row r="65" spans="23:41" x14ac:dyDescent="0.25">
      <c r="W65" s="117">
        <v>42740</v>
      </c>
      <c r="X65" s="40">
        <v>68.959999999999994</v>
      </c>
      <c r="Y65" s="40">
        <v>69.989999999999995</v>
      </c>
      <c r="Z65" s="40">
        <v>68.53</v>
      </c>
      <c r="AA65" s="40">
        <v>69.45</v>
      </c>
      <c r="AB65" s="99">
        <v>925400</v>
      </c>
      <c r="AC65" s="9">
        <v>69.150000000000006</v>
      </c>
      <c r="AD65" s="2">
        <f t="shared" si="0"/>
        <v>1.4599999999999937</v>
      </c>
      <c r="AE65" s="131">
        <f t="shared" si="1"/>
        <v>7.5768614308613369E-3</v>
      </c>
      <c r="AL65" s="178"/>
      <c r="AO65" s="178"/>
    </row>
    <row r="66" spans="23:41" x14ac:dyDescent="0.25">
      <c r="W66" s="117">
        <v>42739</v>
      </c>
      <c r="X66" s="40">
        <v>68.47</v>
      </c>
      <c r="Y66" s="40">
        <v>69.06</v>
      </c>
      <c r="Z66" s="40">
        <v>68.13</v>
      </c>
      <c r="AA66" s="40">
        <v>68.92</v>
      </c>
      <c r="AB66" s="99">
        <v>1193700</v>
      </c>
      <c r="AC66" s="9">
        <v>68.63</v>
      </c>
      <c r="AD66" s="2">
        <f t="shared" si="0"/>
        <v>0.93000000000000682</v>
      </c>
      <c r="AE66" s="131">
        <f t="shared" si="1"/>
        <v>2.3411869967193466E-2</v>
      </c>
    </row>
    <row r="67" spans="23:41" x14ac:dyDescent="0.25">
      <c r="W67" s="117">
        <v>42738</v>
      </c>
      <c r="X67" s="40">
        <v>67.709999999999994</v>
      </c>
      <c r="Y67" s="40">
        <v>68.430000000000007</v>
      </c>
      <c r="Z67" s="40">
        <v>67.08</v>
      </c>
      <c r="AA67" s="40">
        <v>67.349999999999994</v>
      </c>
      <c r="AB67" s="99">
        <v>766200</v>
      </c>
      <c r="AC67" s="9">
        <v>67.06</v>
      </c>
      <c r="AD67" s="2">
        <f>Y67-Z67</f>
        <v>1.3500000000000085</v>
      </c>
      <c r="AE67" s="131">
        <f>AC67/AC68-1</f>
        <v>-7.4504544777231896E-4</v>
      </c>
      <c r="AL67" s="178"/>
    </row>
    <row r="68" spans="23:41" x14ac:dyDescent="0.25">
      <c r="W68" s="117">
        <v>42734</v>
      </c>
      <c r="X68" s="40">
        <v>68.150000000000006</v>
      </c>
      <c r="Y68" s="40">
        <v>68.37</v>
      </c>
      <c r="Z68" s="40">
        <v>67.180000000000007</v>
      </c>
      <c r="AA68" s="40">
        <v>67.400000000000006</v>
      </c>
      <c r="AB68" s="99">
        <v>526400</v>
      </c>
      <c r="AC68" s="9">
        <v>67.11</v>
      </c>
      <c r="AD68" s="2">
        <f>Y68-Z68</f>
        <v>1.1899999999999977</v>
      </c>
      <c r="AE68" s="131" t="e">
        <f>AC68/AC69-1</f>
        <v>#DIV/0!</v>
      </c>
    </row>
    <row r="69" spans="23:41" x14ac:dyDescent="0.25">
      <c r="W69" s="29" t="s">
        <v>120</v>
      </c>
      <c r="AB69" s="179"/>
    </row>
    <row r="77" spans="23:41" ht="15" customHeight="1" x14ac:dyDescent="0.25"/>
    <row r="80" spans="23:41" ht="15" customHeight="1" x14ac:dyDescent="0.25"/>
    <row r="83" spans="5:7" ht="15" customHeight="1" x14ac:dyDescent="0.25"/>
    <row r="86" spans="5:7" ht="15" customHeight="1" x14ac:dyDescent="0.25"/>
    <row r="89" spans="5:7" ht="15" customHeight="1" x14ac:dyDescent="0.25"/>
    <row r="92" spans="5:7" ht="15" customHeight="1" x14ac:dyDescent="0.25"/>
    <row r="93" spans="5:7" x14ac:dyDescent="0.25">
      <c r="E93"/>
      <c r="G93" s="2"/>
    </row>
  </sheetData>
  <conditionalFormatting sqref="Q12">
    <cfRule type="expression" dxfId="1241" priority="39">
      <formula>Q12&gt;0</formula>
    </cfRule>
    <cfRule type="expression" dxfId="1240" priority="40">
      <formula>Q12&lt;0</formula>
    </cfRule>
  </conditionalFormatting>
  <conditionalFormatting sqref="O43:O63">
    <cfRule type="colorScale" priority="38">
      <colorScale>
        <cfvo type="min"/>
        <cfvo type="percentile" val="50"/>
        <cfvo type="max"/>
        <color rgb="FFF8696B"/>
        <color rgb="FFFFEB84"/>
        <color rgb="FF63BE7B"/>
      </colorScale>
    </cfRule>
  </conditionalFormatting>
  <conditionalFormatting sqref="P43:P63">
    <cfRule type="colorScale" priority="37">
      <colorScale>
        <cfvo type="min"/>
        <cfvo type="percentile" val="50"/>
        <cfvo type="max"/>
        <color rgb="FFF8696B"/>
        <color rgb="FFFFEB84"/>
        <color rgb="FF63BE7B"/>
      </colorScale>
    </cfRule>
  </conditionalFormatting>
  <conditionalFormatting sqref="AD1:AD1048576">
    <cfRule type="dataBar" priority="36">
      <dataBar>
        <cfvo type="min"/>
        <cfvo type="max"/>
        <color rgb="FFFF555A"/>
      </dataBar>
      <extLst>
        <ext xmlns:x14="http://schemas.microsoft.com/office/spreadsheetml/2009/9/main" uri="{B025F937-C7B1-47D3-B67F-A62EFF666E3E}">
          <x14:id>{E3C449A0-8E3A-4390-A1BD-FA587BBCDEEC}</x14:id>
        </ext>
      </extLst>
    </cfRule>
  </conditionalFormatting>
  <conditionalFormatting sqref="AE1:AE1048576">
    <cfRule type="iconSet" priority="35">
      <iconSet iconSet="3Arrows">
        <cfvo type="percent" val="0"/>
        <cfvo type="num" val="0"/>
        <cfvo type="num" val="0"/>
      </iconSet>
    </cfRule>
  </conditionalFormatting>
  <conditionalFormatting sqref="F25:F29">
    <cfRule type="expression" dxfId="1239" priority="33">
      <formula>F25&gt;0</formula>
    </cfRule>
    <cfRule type="expression" dxfId="1238" priority="34">
      <formula>F25&lt;0</formula>
    </cfRule>
  </conditionalFormatting>
  <conditionalFormatting sqref="F30">
    <cfRule type="expression" dxfId="1237" priority="31">
      <formula>F30&gt;0</formula>
    </cfRule>
    <cfRule type="expression" dxfId="1236" priority="32">
      <formula>F30&lt;0</formula>
    </cfRule>
  </conditionalFormatting>
  <conditionalFormatting sqref="F31">
    <cfRule type="expression" dxfId="1235" priority="29">
      <formula>F31&gt;0</formula>
    </cfRule>
    <cfRule type="expression" dxfId="1234" priority="30">
      <formula>F31&lt;0</formula>
    </cfRule>
  </conditionalFormatting>
  <conditionalFormatting sqref="F32:F34">
    <cfRule type="expression" dxfId="1233" priority="27">
      <formula>F32&gt;0</formula>
    </cfRule>
    <cfRule type="expression" dxfId="1232" priority="28">
      <formula>F32&lt;0</formula>
    </cfRule>
  </conditionalFormatting>
  <conditionalFormatting sqref="H25:H29">
    <cfRule type="expression" dxfId="1231" priority="25">
      <formula>H25&gt;0</formula>
    </cfRule>
    <cfRule type="expression" dxfId="1230" priority="26">
      <formula>H25&lt;0</formula>
    </cfRule>
  </conditionalFormatting>
  <conditionalFormatting sqref="H30">
    <cfRule type="expression" dxfId="1229" priority="23">
      <formula>H30&gt;0</formula>
    </cfRule>
    <cfRule type="expression" dxfId="1228" priority="24">
      <formula>H30&lt;0</formula>
    </cfRule>
  </conditionalFormatting>
  <conditionalFormatting sqref="H31">
    <cfRule type="expression" dxfId="1227" priority="21">
      <formula>H31&gt;0</formula>
    </cfRule>
    <cfRule type="expression" dxfId="1226" priority="22">
      <formula>H31&lt;0</formula>
    </cfRule>
  </conditionalFormatting>
  <conditionalFormatting sqref="H32:H34">
    <cfRule type="expression" dxfId="1225" priority="19">
      <formula>H32&gt;0</formula>
    </cfRule>
    <cfRule type="expression" dxfId="1224" priority="20">
      <formula>H32&lt;0</formula>
    </cfRule>
  </conditionalFormatting>
  <conditionalFormatting sqref="F35">
    <cfRule type="expression" dxfId="1223" priority="17">
      <formula>F35&gt;0</formula>
    </cfRule>
    <cfRule type="expression" dxfId="1222" priority="18">
      <formula>F35&lt;0</formula>
    </cfRule>
  </conditionalFormatting>
  <conditionalFormatting sqref="H35">
    <cfRule type="expression" dxfId="1221" priority="15">
      <formula>H35&gt;0</formula>
    </cfRule>
    <cfRule type="expression" dxfId="1220" priority="16">
      <formula>H35&lt;0</formula>
    </cfRule>
  </conditionalFormatting>
  <conditionalFormatting sqref="F36">
    <cfRule type="expression" dxfId="1219" priority="13">
      <formula>F36&gt;0</formula>
    </cfRule>
    <cfRule type="expression" dxfId="1218" priority="14">
      <formula>F36&lt;0</formula>
    </cfRule>
  </conditionalFormatting>
  <conditionalFormatting sqref="H36">
    <cfRule type="expression" dxfId="1217" priority="11">
      <formula>H36&gt;0</formula>
    </cfRule>
    <cfRule type="expression" dxfId="1216" priority="12">
      <formula>H36&lt;0</formula>
    </cfRule>
  </conditionalFormatting>
  <conditionalFormatting sqref="H23:H24">
    <cfRule type="expression" dxfId="1215" priority="5">
      <formula>H23&gt;0</formula>
    </cfRule>
    <cfRule type="expression" dxfId="1214" priority="6">
      <formula>H23&lt;0</formula>
    </cfRule>
  </conditionalFormatting>
  <conditionalFormatting sqref="F23:F24">
    <cfRule type="expression" dxfId="1213" priority="7">
      <formula>F23&gt;0</formula>
    </cfRule>
    <cfRule type="expression" dxfId="1212" priority="8">
      <formula>F23&lt;0</formula>
    </cfRule>
  </conditionalFormatting>
  <conditionalFormatting sqref="Q7">
    <cfRule type="expression" dxfId="1211" priority="3">
      <formula>Q7&gt;0</formula>
    </cfRule>
    <cfRule type="expression" dxfId="1210" priority="4">
      <formula>Q7&lt;0</formula>
    </cfRule>
  </conditionalFormatting>
  <conditionalFormatting sqref="Q8">
    <cfRule type="expression" dxfId="1209" priority="1">
      <formula>Q8&gt;0</formula>
    </cfRule>
    <cfRule type="expression" dxfId="1208" priority="2">
      <formula>Q8&lt;0</formula>
    </cfRule>
  </conditionalFormatting>
  <hyperlinks>
    <hyperlink ref="A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E3C449A0-8E3A-4390-A1BD-FA587BBCDEE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dimension ref="A1:W211"/>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7" max="17" width="11.7109375" bestFit="1" customWidth="1"/>
    <col min="18" max="18" width="10.42578125" bestFit="1" customWidth="1"/>
    <col min="20" max="20" width="13.7109375" customWidth="1"/>
    <col min="21" max="21" width="18.140625" customWidth="1"/>
    <col min="23" max="23" width="13.85546875" customWidth="1"/>
    <col min="24" max="24" width="8.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11" t="s">
        <v>127</v>
      </c>
    </row>
    <row r="2" spans="1:23" x14ac:dyDescent="0.25">
      <c r="A2" s="6" t="s">
        <v>216</v>
      </c>
      <c r="B2" s="398"/>
      <c r="C2" s="4"/>
      <c r="D2" s="3"/>
      <c r="E2" s="3"/>
      <c r="F2" s="3"/>
      <c r="G2" s="398"/>
      <c r="H2" s="4"/>
      <c r="I2" s="3"/>
      <c r="J2" s="3"/>
      <c r="K2" s="3"/>
      <c r="L2" s="69"/>
      <c r="M2" s="3"/>
      <c r="O2" s="11" t="s">
        <v>57</v>
      </c>
      <c r="Q2">
        <f>C18-H18</f>
        <v>0</v>
      </c>
      <c r="T2" s="1">
        <v>42568</v>
      </c>
      <c r="U2" t="s">
        <v>230</v>
      </c>
      <c r="W2" s="131"/>
    </row>
    <row r="3" spans="1:23" x14ac:dyDescent="0.25">
      <c r="A3" s="22" t="s">
        <v>71</v>
      </c>
      <c r="G3" s="398"/>
      <c r="H3" s="158"/>
      <c r="I3" s="3"/>
      <c r="J3" s="3"/>
      <c r="K3" s="3"/>
      <c r="L3" s="69"/>
      <c r="M3" s="3"/>
      <c r="O3" s="11" t="s">
        <v>58</v>
      </c>
      <c r="Q3" s="174">
        <f>IF(Q2=0, Q4, (F18-K18-M18)/Q2)</f>
        <v>49.91</v>
      </c>
      <c r="T3" s="1" t="s">
        <v>231</v>
      </c>
      <c r="W3" s="131"/>
    </row>
    <row r="4" spans="1:23" x14ac:dyDescent="0.25">
      <c r="B4" s="398"/>
      <c r="C4" s="4"/>
      <c r="D4" s="3"/>
      <c r="E4" s="3"/>
      <c r="F4" s="3"/>
      <c r="G4" s="398"/>
      <c r="H4" s="158"/>
      <c r="I4" s="3"/>
      <c r="J4" s="3"/>
      <c r="K4" s="3"/>
      <c r="L4" s="69"/>
      <c r="M4" s="3"/>
      <c r="O4" s="11" t="s">
        <v>66</v>
      </c>
      <c r="Q4" s="53">
        <v>49.91</v>
      </c>
      <c r="R4" s="414">
        <v>2.69E-2</v>
      </c>
      <c r="T4" s="153">
        <v>42633</v>
      </c>
      <c r="U4" s="1" t="s">
        <v>263</v>
      </c>
      <c r="W4" s="131"/>
    </row>
    <row r="5" spans="1:23" x14ac:dyDescent="0.25">
      <c r="B5" s="398"/>
      <c r="C5" s="4"/>
      <c r="D5" s="3"/>
      <c r="E5" s="3"/>
      <c r="F5" s="3"/>
      <c r="G5" s="398"/>
      <c r="H5" s="158"/>
      <c r="I5" s="3"/>
      <c r="J5" s="3"/>
      <c r="K5" s="3"/>
      <c r="L5" s="4"/>
      <c r="M5" s="4"/>
      <c r="O5" s="11" t="s">
        <v>67</v>
      </c>
      <c r="Q5" s="3">
        <f>Q4*Q2</f>
        <v>0</v>
      </c>
      <c r="W5" s="131"/>
    </row>
    <row r="6" spans="1:23" x14ac:dyDescent="0.25">
      <c r="A6" s="29"/>
      <c r="B6" s="398"/>
      <c r="C6" s="4"/>
      <c r="D6" s="3"/>
      <c r="E6" s="3"/>
      <c r="F6" s="3"/>
      <c r="G6" s="398"/>
      <c r="H6" s="158"/>
      <c r="I6" s="3"/>
      <c r="J6" s="3"/>
      <c r="K6" s="3"/>
      <c r="L6" s="4"/>
      <c r="M6" s="4"/>
      <c r="O6" s="11" t="s">
        <v>64</v>
      </c>
      <c r="Q6" s="2">
        <f>Q3*Q2</f>
        <v>0</v>
      </c>
      <c r="T6" t="s">
        <v>307</v>
      </c>
      <c r="U6" t="s">
        <v>417</v>
      </c>
      <c r="W6" s="131"/>
    </row>
    <row r="7" spans="1:23" x14ac:dyDescent="0.25">
      <c r="B7" s="398"/>
      <c r="C7" s="4"/>
      <c r="D7" s="3"/>
      <c r="E7" s="3"/>
      <c r="F7" s="3"/>
      <c r="G7" s="398"/>
      <c r="H7" s="158"/>
      <c r="I7" s="3"/>
      <c r="J7" s="3"/>
      <c r="K7" s="3"/>
      <c r="L7" s="4"/>
      <c r="M7" s="4"/>
      <c r="O7" s="11" t="s">
        <v>175</v>
      </c>
      <c r="Q7" s="2">
        <f>Q10+Q8</f>
        <v>4376.9599999999991</v>
      </c>
      <c r="R7">
        <v>0</v>
      </c>
      <c r="T7" t="s">
        <v>416</v>
      </c>
      <c r="W7" s="131"/>
    </row>
    <row r="8" spans="1:23" x14ac:dyDescent="0.25">
      <c r="B8" s="398"/>
      <c r="C8" s="4"/>
      <c r="D8" s="3"/>
      <c r="E8" s="3"/>
      <c r="F8" s="3"/>
      <c r="G8" s="398"/>
      <c r="H8" s="158"/>
      <c r="I8" s="3"/>
      <c r="J8" s="3"/>
      <c r="K8" s="3"/>
      <c r="L8" s="4"/>
      <c r="M8" s="4"/>
      <c r="O8" s="11" t="s">
        <v>177</v>
      </c>
      <c r="P8" s="33"/>
      <c r="Q8" s="2">
        <f>K18+M18-F18+Q2*Q4</f>
        <v>0</v>
      </c>
      <c r="T8" t="s">
        <v>418</v>
      </c>
      <c r="W8" s="131"/>
    </row>
    <row r="9" spans="1:23" x14ac:dyDescent="0.25">
      <c r="B9" s="398"/>
      <c r="C9" s="4"/>
      <c r="D9" s="3"/>
      <c r="E9" s="3"/>
      <c r="F9" s="3"/>
      <c r="G9" s="398"/>
      <c r="H9" s="158"/>
      <c r="I9" s="3"/>
      <c r="J9" s="3"/>
      <c r="K9" s="3"/>
      <c r="L9" s="4"/>
      <c r="M9" s="4"/>
      <c r="O9" s="11" t="s">
        <v>202</v>
      </c>
      <c r="Q9" s="131">
        <f>IF(Q2=0, 0, Q8/Q6)</f>
        <v>0</v>
      </c>
      <c r="W9" s="131"/>
    </row>
    <row r="10" spans="1:23" x14ac:dyDescent="0.25">
      <c r="B10" s="398"/>
      <c r="C10" s="4"/>
      <c r="D10" s="3"/>
      <c r="E10" s="3"/>
      <c r="F10" s="3"/>
      <c r="G10" s="398"/>
      <c r="H10" s="158"/>
      <c r="I10" s="3"/>
      <c r="J10" s="3"/>
      <c r="K10" s="3"/>
      <c r="L10" s="398"/>
      <c r="M10" s="4"/>
      <c r="O10" s="11" t="s">
        <v>201</v>
      </c>
      <c r="P10" s="33"/>
      <c r="Q10" s="2">
        <f>M42</f>
        <v>4376.9599999999991</v>
      </c>
      <c r="W10" s="131"/>
    </row>
    <row r="11" spans="1:23" x14ac:dyDescent="0.25">
      <c r="B11" s="398"/>
      <c r="C11" s="4"/>
      <c r="D11" s="3"/>
      <c r="E11" s="3"/>
      <c r="F11" s="3"/>
      <c r="G11" s="398"/>
      <c r="H11" s="158"/>
      <c r="I11" s="3"/>
      <c r="J11" s="3"/>
      <c r="K11" s="3"/>
      <c r="L11" s="4"/>
      <c r="M11" s="4"/>
      <c r="O11" s="11" t="s">
        <v>173</v>
      </c>
      <c r="P11" s="33"/>
      <c r="Q11" s="131">
        <f>IF(U71="N/A (N/A)", 0, VALUE(TRIM(CLEAN(MID(U71, FIND("(", U71)+1, 5)))))</f>
        <v>4.0899999999999999E-2</v>
      </c>
      <c r="W11" s="131"/>
    </row>
    <row r="12" spans="1:23" x14ac:dyDescent="0.25">
      <c r="B12" s="398"/>
      <c r="C12" s="4"/>
      <c r="D12" s="3"/>
      <c r="E12" s="3"/>
      <c r="F12" s="3"/>
      <c r="G12" s="398"/>
      <c r="H12" s="158"/>
      <c r="I12" s="3"/>
      <c r="J12" s="3"/>
      <c r="K12" s="3"/>
      <c r="L12" s="4"/>
      <c r="M12" s="4"/>
      <c r="O12" s="11" t="s">
        <v>923</v>
      </c>
      <c r="Q12" s="1" t="s">
        <v>1124</v>
      </c>
      <c r="W12" s="131"/>
    </row>
    <row r="13" spans="1:23" x14ac:dyDescent="0.25">
      <c r="F13" s="3"/>
      <c r="G13" s="398"/>
      <c r="H13" s="158"/>
      <c r="I13" s="3"/>
      <c r="J13" s="3"/>
      <c r="K13" s="3"/>
      <c r="L13" s="4"/>
      <c r="M13" s="4"/>
      <c r="W13" s="131"/>
    </row>
    <row r="14" spans="1:23" x14ac:dyDescent="0.25">
      <c r="G14" s="398"/>
      <c r="H14" s="158"/>
      <c r="I14" s="3"/>
      <c r="J14" s="3"/>
      <c r="K14" s="3"/>
      <c r="L14" s="4"/>
      <c r="M14" s="4"/>
      <c r="W14" s="131"/>
    </row>
    <row r="15" spans="1:23" x14ac:dyDescent="0.25">
      <c r="B15" s="398"/>
      <c r="C15" s="4"/>
      <c r="D15" s="3"/>
      <c r="E15" s="3"/>
      <c r="F15" s="3"/>
      <c r="G15" s="398"/>
      <c r="H15" s="158"/>
      <c r="I15" s="3"/>
      <c r="J15" s="3"/>
      <c r="K15" s="3"/>
      <c r="L15" s="4"/>
      <c r="M15" s="4"/>
      <c r="W15" s="131"/>
    </row>
    <row r="16" spans="1:23" x14ac:dyDescent="0.25">
      <c r="G16" s="29"/>
      <c r="H16" s="67"/>
      <c r="W16" s="131"/>
    </row>
    <row r="17" spans="1:23" x14ac:dyDescent="0.25">
      <c r="G17" s="29"/>
      <c r="W17" s="131"/>
    </row>
    <row r="18" spans="1:23" x14ac:dyDescent="0.25">
      <c r="A18" s="31" t="s">
        <v>81</v>
      </c>
      <c r="B18" s="399"/>
      <c r="C18" s="14">
        <f>SUM(C2:C12)</f>
        <v>0</v>
      </c>
      <c r="D18" s="18"/>
      <c r="E18" s="18"/>
      <c r="F18" s="18">
        <f>SUM(F2:F12)</f>
        <v>0</v>
      </c>
      <c r="G18" s="14"/>
      <c r="H18" s="14">
        <f>SUM(H2:H13)</f>
        <v>0</v>
      </c>
      <c r="I18" s="18"/>
      <c r="J18" s="18"/>
      <c r="K18" s="18">
        <f>SUM(K2:K13)</f>
        <v>0</v>
      </c>
      <c r="L18" s="14"/>
      <c r="M18" s="18">
        <f>SUM(M2:M10)</f>
        <v>0</v>
      </c>
      <c r="W18" s="131"/>
    </row>
    <row r="19" spans="1:23" ht="15.75" thickBot="1" x14ac:dyDescent="0.3">
      <c r="A19" s="273" t="s">
        <v>189</v>
      </c>
      <c r="B19" s="400"/>
      <c r="C19" s="275">
        <f>SumByColor($A$19,C2:C17)</f>
        <v>0</v>
      </c>
      <c r="D19" s="275"/>
      <c r="E19" s="275"/>
      <c r="F19" s="276">
        <f>SumByColor($A$19,F2:F17)</f>
        <v>0</v>
      </c>
      <c r="G19" s="275"/>
      <c r="H19" s="275">
        <f>SumByColor($A$19,H2:H17)</f>
        <v>0</v>
      </c>
      <c r="I19" s="275"/>
      <c r="J19" s="275"/>
      <c r="K19" s="276">
        <f>SumByColor($A$19,K2:K17)</f>
        <v>0</v>
      </c>
      <c r="L19" s="275"/>
      <c r="M19" s="276">
        <f>SumByColor($A$19,M2:M17)</f>
        <v>0</v>
      </c>
      <c r="W19" s="131"/>
    </row>
    <row r="20" spans="1:23" x14ac:dyDescent="0.25">
      <c r="W20" s="131"/>
    </row>
    <row r="21" spans="1:23" x14ac:dyDescent="0.25">
      <c r="W21" s="131"/>
    </row>
    <row r="22" spans="1:23" x14ac:dyDescent="0.25">
      <c r="W22" s="131"/>
    </row>
    <row r="23" spans="1:23" x14ac:dyDescent="0.25">
      <c r="B23" s="401" t="s">
        <v>113</v>
      </c>
      <c r="C23" s="159" t="s">
        <v>143</v>
      </c>
      <c r="D23" s="160" t="s">
        <v>142</v>
      </c>
      <c r="E23" s="162" t="s">
        <v>144</v>
      </c>
      <c r="F23" s="162" t="s">
        <v>65</v>
      </c>
      <c r="G23" s="173" t="s">
        <v>148</v>
      </c>
      <c r="H23" s="173" t="s">
        <v>88</v>
      </c>
      <c r="I23" s="173" t="s">
        <v>151</v>
      </c>
      <c r="J23" s="173" t="s">
        <v>458</v>
      </c>
      <c r="W23" s="131"/>
    </row>
    <row r="24" spans="1:23" x14ac:dyDescent="0.25">
      <c r="B24" s="147">
        <v>43009</v>
      </c>
      <c r="C24" s="10">
        <v>100</v>
      </c>
      <c r="D24" s="39">
        <v>29.15</v>
      </c>
      <c r="E24" s="39">
        <v>35.159999999999997</v>
      </c>
      <c r="F24" s="39">
        <f>C24*(E24-D24)</f>
        <v>600.99999999999977</v>
      </c>
      <c r="G24" s="39">
        <f>D24*C24</f>
        <v>2915</v>
      </c>
      <c r="H24" s="175">
        <f>(E24-D24)/D24</f>
        <v>0.20617495711835329</v>
      </c>
      <c r="I24" s="39">
        <v>28.5</v>
      </c>
      <c r="J24" s="39">
        <v>4225</v>
      </c>
      <c r="W24" s="131"/>
    </row>
    <row r="25" spans="1:23" x14ac:dyDescent="0.25">
      <c r="B25" s="147">
        <v>43021</v>
      </c>
      <c r="C25" s="10">
        <v>0</v>
      </c>
      <c r="D25" s="39"/>
      <c r="E25" s="39"/>
      <c r="F25" s="39">
        <v>752.92</v>
      </c>
      <c r="G25" s="39"/>
      <c r="H25" s="175"/>
      <c r="I25" s="39"/>
      <c r="J25" s="39">
        <v>4376.96</v>
      </c>
      <c r="W25" s="131"/>
    </row>
    <row r="26" spans="1:23" x14ac:dyDescent="0.25">
      <c r="B26" s="147"/>
      <c r="C26" s="10"/>
      <c r="D26" s="39"/>
      <c r="E26" s="39"/>
      <c r="F26" s="39"/>
      <c r="G26" s="39"/>
      <c r="H26" s="175"/>
      <c r="I26" s="39"/>
      <c r="J26" s="39"/>
      <c r="W26" s="131"/>
    </row>
    <row r="27" spans="1:23" x14ac:dyDescent="0.25">
      <c r="B27" s="147"/>
      <c r="C27" s="10"/>
      <c r="D27" s="39"/>
      <c r="E27" s="39"/>
      <c r="F27" s="39"/>
      <c r="G27" s="39"/>
      <c r="H27" s="175"/>
      <c r="I27" s="39"/>
      <c r="J27" s="39"/>
      <c r="W27" s="131"/>
    </row>
    <row r="28" spans="1:23" ht="20.25" thickBot="1" x14ac:dyDescent="0.35">
      <c r="B28" s="147"/>
      <c r="C28" s="10"/>
      <c r="D28" s="39"/>
      <c r="E28" s="39"/>
      <c r="F28" s="39"/>
      <c r="G28" s="39"/>
      <c r="H28" s="175"/>
      <c r="I28" s="39"/>
      <c r="J28" s="39"/>
      <c r="O28" s="578" t="s">
        <v>78</v>
      </c>
      <c r="P28" s="578"/>
      <c r="W28" s="131"/>
    </row>
    <row r="29" spans="1:23" ht="15.75" thickTop="1" x14ac:dyDescent="0.25">
      <c r="B29" s="147"/>
      <c r="C29" s="10"/>
      <c r="D29" s="39"/>
      <c r="E29" s="39"/>
      <c r="F29" s="39"/>
      <c r="G29" s="39"/>
      <c r="H29" s="175"/>
      <c r="I29" s="39"/>
      <c r="J29" s="39"/>
      <c r="O29" s="78">
        <v>1.1000000000000001</v>
      </c>
      <c r="P29" s="78">
        <f>O29*$Q$4</f>
        <v>54.901000000000003</v>
      </c>
      <c r="W29" s="131"/>
    </row>
    <row r="30" spans="1:23" x14ac:dyDescent="0.25">
      <c r="B30" s="147"/>
      <c r="C30" s="10"/>
      <c r="D30" s="39"/>
      <c r="E30" s="39"/>
      <c r="F30" s="39"/>
      <c r="G30" s="39"/>
      <c r="H30" s="175"/>
      <c r="I30" s="39"/>
      <c r="J30" s="39"/>
      <c r="O30" s="78">
        <v>1.0900000000000001</v>
      </c>
      <c r="P30" s="78">
        <f t="shared" ref="P30:P49" si="0">O30*$Q$4</f>
        <v>54.401899999999998</v>
      </c>
      <c r="W30" s="131"/>
    </row>
    <row r="31" spans="1:23" x14ac:dyDescent="0.25">
      <c r="B31" s="147"/>
      <c r="C31" s="10"/>
      <c r="D31" s="39"/>
      <c r="E31" s="39"/>
      <c r="F31" s="39"/>
      <c r="G31" s="39"/>
      <c r="H31" s="175"/>
      <c r="I31" s="39"/>
      <c r="J31" s="39"/>
      <c r="O31" s="78">
        <v>1.08</v>
      </c>
      <c r="P31" s="78">
        <f t="shared" si="0"/>
        <v>53.902799999999999</v>
      </c>
      <c r="W31" s="131"/>
    </row>
    <row r="32" spans="1:23" x14ac:dyDescent="0.25">
      <c r="B32" s="147"/>
      <c r="C32" s="10"/>
      <c r="D32" s="39"/>
      <c r="E32" s="39"/>
      <c r="F32" s="39"/>
      <c r="G32" s="39"/>
      <c r="H32" s="175"/>
      <c r="I32" s="39"/>
      <c r="J32" s="39"/>
      <c r="O32" s="78">
        <v>1.07</v>
      </c>
      <c r="P32" s="78">
        <f t="shared" si="0"/>
        <v>53.403700000000001</v>
      </c>
      <c r="W32" s="131"/>
    </row>
    <row r="33" spans="1:23" x14ac:dyDescent="0.25">
      <c r="B33" s="147"/>
      <c r="C33" s="10"/>
      <c r="D33" s="39"/>
      <c r="E33" s="39"/>
      <c r="F33" s="39"/>
      <c r="G33" s="39"/>
      <c r="H33" s="175"/>
      <c r="I33" s="39"/>
      <c r="J33" s="39"/>
      <c r="O33" s="78">
        <v>1.06</v>
      </c>
      <c r="P33" s="78">
        <f t="shared" si="0"/>
        <v>52.904600000000002</v>
      </c>
      <c r="W33" s="131"/>
    </row>
    <row r="34" spans="1:23" x14ac:dyDescent="0.25">
      <c r="B34" s="147"/>
      <c r="C34" s="10"/>
      <c r="D34" s="39"/>
      <c r="E34" s="39"/>
      <c r="F34" s="39"/>
      <c r="G34" s="39"/>
      <c r="H34" s="175"/>
      <c r="I34" s="39"/>
      <c r="J34" s="39"/>
      <c r="O34" s="78">
        <v>1.05</v>
      </c>
      <c r="P34" s="78">
        <f t="shared" si="0"/>
        <v>52.405499999999996</v>
      </c>
      <c r="W34" s="131"/>
    </row>
    <row r="35" spans="1:23" x14ac:dyDescent="0.25">
      <c r="B35" s="147"/>
      <c r="C35" s="10"/>
      <c r="D35" s="39"/>
      <c r="E35" s="39"/>
      <c r="F35" s="39"/>
      <c r="G35" s="39"/>
      <c r="H35" s="175"/>
      <c r="I35" s="39"/>
      <c r="J35" s="39"/>
      <c r="O35" s="78">
        <v>1.04</v>
      </c>
      <c r="P35" s="78">
        <f t="shared" si="0"/>
        <v>51.906399999999998</v>
      </c>
      <c r="W35" s="131"/>
    </row>
    <row r="36" spans="1:23" x14ac:dyDescent="0.25">
      <c r="B36" s="147"/>
      <c r="C36" s="10"/>
      <c r="D36" s="39"/>
      <c r="E36" s="39"/>
      <c r="F36" s="39"/>
      <c r="G36" s="39"/>
      <c r="H36" s="175"/>
      <c r="I36" s="39"/>
      <c r="J36" s="39"/>
      <c r="O36" s="78">
        <v>1.03</v>
      </c>
      <c r="P36" s="78">
        <f t="shared" si="0"/>
        <v>51.407299999999999</v>
      </c>
      <c r="W36" s="131"/>
    </row>
    <row r="37" spans="1:23" x14ac:dyDescent="0.25">
      <c r="B37" s="147"/>
      <c r="C37" s="10"/>
      <c r="D37" s="39"/>
      <c r="E37" s="39"/>
      <c r="F37" s="39"/>
      <c r="G37" s="39"/>
      <c r="H37" s="175"/>
      <c r="I37" s="39"/>
      <c r="J37" s="39"/>
      <c r="O37" s="78">
        <v>1.02</v>
      </c>
      <c r="P37" s="78">
        <f t="shared" si="0"/>
        <v>50.908200000000001</v>
      </c>
      <c r="W37" s="131"/>
    </row>
    <row r="38" spans="1:23" x14ac:dyDescent="0.25">
      <c r="B38" s="147"/>
      <c r="C38" s="10"/>
      <c r="D38" s="39"/>
      <c r="E38" s="39"/>
      <c r="F38" s="39"/>
      <c r="G38" s="39"/>
      <c r="H38" s="175"/>
      <c r="I38" s="39"/>
      <c r="J38" s="39"/>
      <c r="O38" s="78">
        <v>1.01</v>
      </c>
      <c r="P38" s="78">
        <f t="shared" si="0"/>
        <v>50.409099999999995</v>
      </c>
      <c r="W38" s="131"/>
    </row>
    <row r="39" spans="1:23" x14ac:dyDescent="0.25">
      <c r="B39" s="147"/>
      <c r="C39" s="10"/>
      <c r="D39" s="39"/>
      <c r="E39" s="39"/>
      <c r="F39" s="39"/>
      <c r="G39" s="10"/>
      <c r="H39" s="10"/>
      <c r="I39" s="39"/>
      <c r="J39" s="39"/>
      <c r="O39" s="78">
        <v>1</v>
      </c>
      <c r="P39" s="78">
        <f t="shared" si="0"/>
        <v>49.91</v>
      </c>
      <c r="W39" s="131"/>
    </row>
    <row r="40" spans="1:23" x14ac:dyDescent="0.25">
      <c r="O40" s="78">
        <v>0.99</v>
      </c>
      <c r="P40" s="78">
        <f t="shared" si="0"/>
        <v>49.410899999999998</v>
      </c>
      <c r="W40" s="131"/>
    </row>
    <row r="41" spans="1:23" x14ac:dyDescent="0.25">
      <c r="O41" s="78">
        <v>0.98</v>
      </c>
      <c r="P41" s="78">
        <f t="shared" si="0"/>
        <v>48.911799999999992</v>
      </c>
      <c r="W41" s="131"/>
    </row>
    <row r="42" spans="1:23" x14ac:dyDescent="0.25">
      <c r="A42" s="478"/>
      <c r="B42" s="477"/>
      <c r="C42" s="478"/>
      <c r="D42" s="479"/>
      <c r="E42" s="479"/>
      <c r="F42" s="479"/>
      <c r="G42" s="478"/>
      <c r="H42" s="478"/>
      <c r="I42" s="479"/>
      <c r="J42" s="479"/>
      <c r="K42" s="479"/>
      <c r="L42" s="478" t="s">
        <v>65</v>
      </c>
      <c r="M42" s="479">
        <f>M80+K80-F80</f>
        <v>4376.9599999999991</v>
      </c>
      <c r="O42" s="78">
        <v>0.97</v>
      </c>
      <c r="P42" s="78">
        <f t="shared" si="0"/>
        <v>48.412699999999994</v>
      </c>
      <c r="W42" s="131"/>
    </row>
    <row r="43" spans="1:23" x14ac:dyDescent="0.25">
      <c r="A43" s="597" t="s">
        <v>1</v>
      </c>
      <c r="B43" s="616" t="s">
        <v>2</v>
      </c>
      <c r="C43" s="597" t="s">
        <v>4</v>
      </c>
      <c r="D43" s="598" t="s">
        <v>5</v>
      </c>
      <c r="E43" s="598" t="s">
        <v>94</v>
      </c>
      <c r="F43" s="598" t="s">
        <v>60</v>
      </c>
      <c r="G43" s="597" t="s">
        <v>3</v>
      </c>
      <c r="H43" s="597" t="s">
        <v>6</v>
      </c>
      <c r="I43" s="598" t="s">
        <v>7</v>
      </c>
      <c r="J43" s="598" t="s">
        <v>95</v>
      </c>
      <c r="K43" s="598" t="s">
        <v>61</v>
      </c>
      <c r="L43" s="597" t="s">
        <v>37</v>
      </c>
      <c r="M43" s="597" t="s">
        <v>38</v>
      </c>
      <c r="O43" s="78">
        <v>0.96</v>
      </c>
      <c r="P43" s="78">
        <f t="shared" si="0"/>
        <v>47.913599999999995</v>
      </c>
      <c r="W43" s="131"/>
    </row>
    <row r="44" spans="1:23" x14ac:dyDescent="0.25">
      <c r="A44" s="599" t="s">
        <v>216</v>
      </c>
      <c r="B44" s="477">
        <v>42545</v>
      </c>
      <c r="C44" s="478">
        <v>100</v>
      </c>
      <c r="D44" s="479">
        <v>25.25</v>
      </c>
      <c r="E44" s="479">
        <v>0</v>
      </c>
      <c r="F44" s="479">
        <f t="shared" ref="F44:F55" si="1">D44*C44+E44</f>
        <v>2525</v>
      </c>
      <c r="G44" s="477">
        <v>42577</v>
      </c>
      <c r="H44" s="480">
        <v>30</v>
      </c>
      <c r="I44" s="479">
        <v>25.81</v>
      </c>
      <c r="J44" s="479">
        <v>0.02</v>
      </c>
      <c r="K44" s="479">
        <f t="shared" ref="K44:K50" si="2">H44*I44-J44</f>
        <v>774.28</v>
      </c>
      <c r="L44" s="481">
        <v>42613</v>
      </c>
      <c r="M44" s="479">
        <v>90</v>
      </c>
      <c r="O44" s="78">
        <v>0.95</v>
      </c>
      <c r="P44" s="78">
        <f t="shared" si="0"/>
        <v>47.414499999999997</v>
      </c>
      <c r="W44" s="131"/>
    </row>
    <row r="45" spans="1:23" x14ac:dyDescent="0.25">
      <c r="A45" s="600" t="s">
        <v>71</v>
      </c>
      <c r="B45" s="477">
        <v>42580</v>
      </c>
      <c r="C45" s="478">
        <v>30</v>
      </c>
      <c r="D45" s="479">
        <v>23.78</v>
      </c>
      <c r="E45" s="479">
        <v>0</v>
      </c>
      <c r="F45" s="479">
        <f t="shared" si="1"/>
        <v>713.40000000000009</v>
      </c>
      <c r="G45" s="477">
        <v>42597</v>
      </c>
      <c r="H45" s="480">
        <v>70</v>
      </c>
      <c r="I45" s="479">
        <v>22.94</v>
      </c>
      <c r="J45" s="479">
        <v>0.38</v>
      </c>
      <c r="K45" s="479">
        <f t="shared" si="2"/>
        <v>1605.42</v>
      </c>
      <c r="L45" s="481">
        <v>42704</v>
      </c>
      <c r="M45" s="479">
        <v>102</v>
      </c>
      <c r="O45" s="78">
        <v>0.94</v>
      </c>
      <c r="P45" s="78">
        <f t="shared" si="0"/>
        <v>46.915399999999991</v>
      </c>
      <c r="W45" s="131"/>
    </row>
    <row r="46" spans="1:23" x14ac:dyDescent="0.25">
      <c r="A46" s="478"/>
      <c r="B46" s="477">
        <v>42586</v>
      </c>
      <c r="C46" s="478">
        <v>40</v>
      </c>
      <c r="D46" s="479">
        <v>22.65</v>
      </c>
      <c r="E46" s="479">
        <v>0</v>
      </c>
      <c r="F46" s="479">
        <f t="shared" si="1"/>
        <v>906</v>
      </c>
      <c r="G46" s="477">
        <v>42599</v>
      </c>
      <c r="H46" s="480">
        <v>30</v>
      </c>
      <c r="I46" s="479">
        <v>23.48</v>
      </c>
      <c r="J46" s="479">
        <v>0.02</v>
      </c>
      <c r="K46" s="479">
        <f t="shared" si="2"/>
        <v>704.38</v>
      </c>
      <c r="L46" s="478"/>
      <c r="M46" s="478"/>
      <c r="O46" s="78">
        <v>0.93</v>
      </c>
      <c r="P46" s="78">
        <f t="shared" si="0"/>
        <v>46.4163</v>
      </c>
      <c r="W46" s="131"/>
    </row>
    <row r="47" spans="1:23" x14ac:dyDescent="0.25">
      <c r="A47" s="478"/>
      <c r="B47" s="477">
        <v>42586</v>
      </c>
      <c r="C47" s="478">
        <v>60</v>
      </c>
      <c r="D47" s="479">
        <v>22.65</v>
      </c>
      <c r="E47" s="479">
        <v>0</v>
      </c>
      <c r="F47" s="479">
        <f t="shared" si="1"/>
        <v>1359</v>
      </c>
      <c r="G47" s="477">
        <v>42621</v>
      </c>
      <c r="H47" s="480">
        <v>40</v>
      </c>
      <c r="I47" s="479">
        <v>26.28</v>
      </c>
      <c r="J47" s="479">
        <v>0.02</v>
      </c>
      <c r="K47" s="479">
        <f t="shared" si="2"/>
        <v>1051.18</v>
      </c>
      <c r="L47" s="478"/>
      <c r="M47" s="478"/>
      <c r="O47" s="78">
        <v>0.92</v>
      </c>
      <c r="P47" s="78">
        <f t="shared" si="0"/>
        <v>45.917200000000001</v>
      </c>
      <c r="W47" s="131"/>
    </row>
    <row r="48" spans="1:23" x14ac:dyDescent="0.25">
      <c r="A48" s="478"/>
      <c r="B48" s="477">
        <v>42586</v>
      </c>
      <c r="C48" s="478">
        <v>100</v>
      </c>
      <c r="D48" s="479">
        <v>20.92</v>
      </c>
      <c r="E48" s="479">
        <v>-0.5</v>
      </c>
      <c r="F48" s="479">
        <f t="shared" si="1"/>
        <v>2091.5</v>
      </c>
      <c r="G48" s="477">
        <v>42639</v>
      </c>
      <c r="H48" s="480">
        <v>100</v>
      </c>
      <c r="I48" s="479">
        <v>22.82</v>
      </c>
      <c r="J48" s="479">
        <v>0.05</v>
      </c>
      <c r="K48" s="479">
        <f t="shared" si="2"/>
        <v>2281.9499999999998</v>
      </c>
      <c r="L48" s="478"/>
      <c r="M48" s="478"/>
      <c r="O48" s="78">
        <v>0.91</v>
      </c>
      <c r="P48" s="78">
        <f t="shared" si="0"/>
        <v>45.418099999999995</v>
      </c>
      <c r="W48" s="131"/>
    </row>
    <row r="49" spans="1:23" x14ac:dyDescent="0.25">
      <c r="A49" s="478"/>
      <c r="B49" s="477">
        <v>42626</v>
      </c>
      <c r="C49" s="478">
        <v>40</v>
      </c>
      <c r="D49" s="479">
        <v>24.58</v>
      </c>
      <c r="E49" s="479">
        <v>0</v>
      </c>
      <c r="F49" s="479">
        <f t="shared" si="1"/>
        <v>983.19999999999993</v>
      </c>
      <c r="G49" s="477">
        <v>42643</v>
      </c>
      <c r="H49" s="480">
        <v>60</v>
      </c>
      <c r="I49" s="479">
        <v>24.72</v>
      </c>
      <c r="J49" s="479">
        <v>0.03</v>
      </c>
      <c r="K49" s="479">
        <f t="shared" si="2"/>
        <v>1483.1699999999998</v>
      </c>
      <c r="L49" s="478"/>
      <c r="M49" s="478"/>
      <c r="O49" s="78">
        <v>0.9</v>
      </c>
      <c r="P49" s="78">
        <f t="shared" si="0"/>
        <v>44.918999999999997</v>
      </c>
      <c r="W49" s="131"/>
    </row>
    <row r="50" spans="1:23" x14ac:dyDescent="0.25">
      <c r="A50" s="478"/>
      <c r="B50" s="477">
        <v>42639</v>
      </c>
      <c r="C50" s="478">
        <v>100</v>
      </c>
      <c r="D50" s="479">
        <v>22.28</v>
      </c>
      <c r="E50" s="479">
        <v>0</v>
      </c>
      <c r="F50" s="479">
        <f t="shared" si="1"/>
        <v>2228</v>
      </c>
      <c r="G50" s="477">
        <v>42663</v>
      </c>
      <c r="H50" s="480">
        <v>40</v>
      </c>
      <c r="I50" s="479">
        <v>24.78</v>
      </c>
      <c r="J50" s="479">
        <v>0.02</v>
      </c>
      <c r="K50" s="479">
        <f t="shared" si="2"/>
        <v>991.18000000000006</v>
      </c>
      <c r="L50" s="478"/>
      <c r="M50" s="478"/>
      <c r="W50" s="131"/>
    </row>
    <row r="51" spans="1:23" x14ac:dyDescent="0.25">
      <c r="A51" s="478"/>
      <c r="B51" s="477">
        <v>42643</v>
      </c>
      <c r="C51" s="478">
        <v>60</v>
      </c>
      <c r="D51" s="479">
        <v>24.3</v>
      </c>
      <c r="E51" s="479">
        <v>0</v>
      </c>
      <c r="F51" s="479">
        <f t="shared" si="1"/>
        <v>1458</v>
      </c>
      <c r="G51" s="477">
        <v>42675</v>
      </c>
      <c r="H51" s="480">
        <v>100</v>
      </c>
      <c r="I51" s="479">
        <v>24.75</v>
      </c>
      <c r="J51" s="479">
        <v>0.05</v>
      </c>
      <c r="K51" s="479">
        <f>H51*I51-J51</f>
        <v>2474.9499999999998</v>
      </c>
      <c r="L51" s="478"/>
      <c r="M51" s="478"/>
      <c r="W51" s="131"/>
    </row>
    <row r="52" spans="1:23" x14ac:dyDescent="0.25">
      <c r="A52" s="478"/>
      <c r="B52" s="477">
        <v>42655</v>
      </c>
      <c r="C52" s="478">
        <v>100</v>
      </c>
      <c r="D52" s="479">
        <v>22.56</v>
      </c>
      <c r="E52" s="479">
        <v>0</v>
      </c>
      <c r="F52" s="479">
        <f t="shared" si="1"/>
        <v>2256</v>
      </c>
      <c r="G52" s="477">
        <v>42677</v>
      </c>
      <c r="H52" s="480">
        <v>60</v>
      </c>
      <c r="I52" s="479">
        <v>23.16</v>
      </c>
      <c r="J52" s="479">
        <v>0.03</v>
      </c>
      <c r="K52" s="479">
        <f>H52*I52-J52</f>
        <v>1389.57</v>
      </c>
      <c r="L52" s="478"/>
      <c r="M52" s="478"/>
      <c r="W52" s="131"/>
    </row>
    <row r="53" spans="1:23" x14ac:dyDescent="0.25">
      <c r="A53" s="478"/>
      <c r="B53" s="477">
        <v>42674</v>
      </c>
      <c r="C53" s="478">
        <v>40</v>
      </c>
      <c r="D53" s="479">
        <v>24.16</v>
      </c>
      <c r="E53" s="479">
        <v>-0.1</v>
      </c>
      <c r="F53" s="479">
        <f t="shared" si="1"/>
        <v>966.3</v>
      </c>
      <c r="G53" s="477">
        <v>42688</v>
      </c>
      <c r="H53" s="480">
        <v>100</v>
      </c>
      <c r="I53" s="479">
        <v>28</v>
      </c>
      <c r="J53" s="479">
        <v>0.06</v>
      </c>
      <c r="K53" s="479">
        <f>H53*I53-J53</f>
        <v>2799.94</v>
      </c>
      <c r="L53" s="478"/>
      <c r="M53" s="478"/>
      <c r="W53" s="131"/>
    </row>
    <row r="54" spans="1:23" x14ac:dyDescent="0.25">
      <c r="A54" s="478"/>
      <c r="B54" s="477">
        <v>42675</v>
      </c>
      <c r="C54" s="478">
        <v>100</v>
      </c>
      <c r="D54" s="479">
        <v>24.53</v>
      </c>
      <c r="E54" s="479">
        <v>0</v>
      </c>
      <c r="F54" s="479">
        <f>D54*C54+E54</f>
        <v>2453</v>
      </c>
      <c r="G54" s="477">
        <v>42705</v>
      </c>
      <c r="H54" s="480">
        <v>40</v>
      </c>
      <c r="I54" s="479">
        <v>29.58</v>
      </c>
      <c r="J54" s="479">
        <v>0.03</v>
      </c>
      <c r="K54" s="479">
        <f>H54*I54-J54</f>
        <v>1183.1699999999998</v>
      </c>
      <c r="L54" s="478"/>
      <c r="M54" s="478"/>
      <c r="Q54" s="2"/>
      <c r="W54" s="131"/>
    </row>
    <row r="55" spans="1:23" ht="20.25" thickBot="1" x14ac:dyDescent="0.35">
      <c r="A55" s="478"/>
      <c r="B55" s="477">
        <v>42677</v>
      </c>
      <c r="C55" s="478">
        <v>100</v>
      </c>
      <c r="D55" s="479">
        <v>22.38</v>
      </c>
      <c r="E55" s="479">
        <v>0</v>
      </c>
      <c r="F55" s="479">
        <f t="shared" si="1"/>
        <v>2238</v>
      </c>
      <c r="G55" s="477">
        <v>42711</v>
      </c>
      <c r="H55" s="480">
        <v>200</v>
      </c>
      <c r="I55" s="479">
        <v>29.9</v>
      </c>
      <c r="J55" s="479">
        <v>0.13</v>
      </c>
      <c r="K55" s="479">
        <f>H55*I55-J55</f>
        <v>5979.87</v>
      </c>
      <c r="L55" s="478"/>
      <c r="M55" s="478"/>
      <c r="Q55" s="2"/>
      <c r="T55" s="86" t="s">
        <v>112</v>
      </c>
      <c r="W55" s="131"/>
    </row>
    <row r="56" spans="1:23" ht="15.75" thickTop="1" x14ac:dyDescent="0.25">
      <c r="A56" s="478"/>
      <c r="B56" s="477"/>
      <c r="C56" s="478"/>
      <c r="D56" s="479"/>
      <c r="E56" s="479"/>
      <c r="F56" s="479"/>
      <c r="G56" s="477"/>
      <c r="H56" s="480"/>
      <c r="I56" s="479"/>
      <c r="J56" s="479"/>
      <c r="K56" s="479"/>
      <c r="L56" s="478"/>
      <c r="M56" s="478"/>
      <c r="Q56" s="2"/>
      <c r="T56" s="122" t="s">
        <v>97</v>
      </c>
      <c r="U56" s="123">
        <v>29.23</v>
      </c>
      <c r="W56" s="131"/>
    </row>
    <row r="57" spans="1:23" x14ac:dyDescent="0.25">
      <c r="A57" s="478"/>
      <c r="B57" s="477">
        <v>42716</v>
      </c>
      <c r="C57" s="478">
        <v>100</v>
      </c>
      <c r="D57" s="479">
        <v>29.49</v>
      </c>
      <c r="E57" s="479">
        <v>0</v>
      </c>
      <c r="F57" s="479">
        <f>D57*C57+E57</f>
        <v>2949</v>
      </c>
      <c r="G57" s="477">
        <v>42720</v>
      </c>
      <c r="H57" s="480">
        <v>100</v>
      </c>
      <c r="I57" s="479">
        <v>29.36</v>
      </c>
      <c r="J57" s="479">
        <v>0.06</v>
      </c>
      <c r="K57" s="479">
        <f>I57*H57-J57</f>
        <v>2935.94</v>
      </c>
      <c r="L57" s="481"/>
      <c r="M57" s="479"/>
      <c r="Q57" s="2"/>
      <c r="T57" s="88" t="s">
        <v>98</v>
      </c>
      <c r="U57" s="124">
        <v>29.39</v>
      </c>
      <c r="W57" s="131"/>
    </row>
    <row r="58" spans="1:23" x14ac:dyDescent="0.25">
      <c r="A58" s="478"/>
      <c r="B58" s="477">
        <v>42716</v>
      </c>
      <c r="C58" s="478">
        <v>100</v>
      </c>
      <c r="D58" s="479">
        <v>29.08</v>
      </c>
      <c r="E58" s="479">
        <v>0</v>
      </c>
      <c r="F58" s="479">
        <f>D58*C58+E58</f>
        <v>2908</v>
      </c>
      <c r="G58" s="477">
        <v>42724</v>
      </c>
      <c r="H58" s="480">
        <v>100</v>
      </c>
      <c r="I58" s="479">
        <v>28.98</v>
      </c>
      <c r="J58" s="479">
        <v>0.06</v>
      </c>
      <c r="K58" s="479">
        <f>I58*H58-J58</f>
        <v>2897.94</v>
      </c>
      <c r="L58" s="481"/>
      <c r="M58" s="479"/>
      <c r="Q58" s="2"/>
      <c r="T58" s="88" t="s">
        <v>99</v>
      </c>
      <c r="U58" s="124" t="s">
        <v>128</v>
      </c>
      <c r="W58" s="131"/>
    </row>
    <row r="59" spans="1:23" x14ac:dyDescent="0.25">
      <c r="A59" s="478"/>
      <c r="B59" s="477">
        <v>42723</v>
      </c>
      <c r="C59" s="478">
        <v>100</v>
      </c>
      <c r="D59" s="479">
        <v>28.28</v>
      </c>
      <c r="E59" s="479">
        <v>0</v>
      </c>
      <c r="F59" s="479">
        <f>D59*C59+E59</f>
        <v>2828</v>
      </c>
      <c r="G59" s="477">
        <v>42755</v>
      </c>
      <c r="H59" s="480">
        <v>100</v>
      </c>
      <c r="I59" s="479">
        <v>34.28</v>
      </c>
      <c r="J59" s="479">
        <v>7.0000000000000007E-2</v>
      </c>
      <c r="K59" s="479">
        <f>I59*H59-J59</f>
        <v>3427.93</v>
      </c>
      <c r="L59" s="478"/>
      <c r="M59" s="478"/>
      <c r="Q59" s="2"/>
      <c r="T59" s="88" t="s">
        <v>100</v>
      </c>
      <c r="U59" s="124" t="s">
        <v>128</v>
      </c>
      <c r="W59" s="131"/>
    </row>
    <row r="60" spans="1:23" x14ac:dyDescent="0.25">
      <c r="A60" s="478"/>
      <c r="B60" s="477"/>
      <c r="C60" s="478"/>
      <c r="D60" s="479"/>
      <c r="E60" s="479"/>
      <c r="F60" s="479"/>
      <c r="G60" s="477"/>
      <c r="H60" s="480"/>
      <c r="I60" s="479"/>
      <c r="J60" s="479"/>
      <c r="K60" s="479"/>
      <c r="L60" s="478"/>
      <c r="M60" s="478"/>
      <c r="Q60" s="2"/>
      <c r="T60" s="88" t="s">
        <v>101</v>
      </c>
      <c r="U60" s="124">
        <v>33.35</v>
      </c>
      <c r="W60" s="131"/>
    </row>
    <row r="61" spans="1:23" x14ac:dyDescent="0.25">
      <c r="A61" s="478"/>
      <c r="B61" s="477"/>
      <c r="C61" s="478"/>
      <c r="D61" s="479"/>
      <c r="E61" s="479"/>
      <c r="F61" s="479"/>
      <c r="G61" s="477"/>
      <c r="H61" s="480"/>
      <c r="I61" s="479"/>
      <c r="J61" s="479"/>
      <c r="K61" s="479"/>
      <c r="L61" s="478"/>
      <c r="M61" s="478"/>
      <c r="Q61" s="2"/>
      <c r="T61" s="88" t="s">
        <v>102</v>
      </c>
      <c r="U61" s="124">
        <v>0.84249399999999997</v>
      </c>
      <c r="W61" s="131"/>
    </row>
    <row r="62" spans="1:23" x14ac:dyDescent="0.25">
      <c r="A62" s="478"/>
      <c r="B62" s="477">
        <v>42755</v>
      </c>
      <c r="C62" s="478">
        <v>100</v>
      </c>
      <c r="D62" s="479">
        <v>33.58</v>
      </c>
      <c r="E62" s="479">
        <v>0</v>
      </c>
      <c r="F62" s="479">
        <f t="shared" ref="F62:F72" si="3">D62*C62+E62</f>
        <v>3358</v>
      </c>
      <c r="G62" s="477">
        <v>42811</v>
      </c>
      <c r="H62" s="480">
        <v>100</v>
      </c>
      <c r="I62" s="479">
        <v>29.38</v>
      </c>
      <c r="J62" s="479">
        <v>0.06</v>
      </c>
      <c r="K62" s="479">
        <f t="shared" ref="K62:K72" si="4">H62*I62-J62</f>
        <v>2937.94</v>
      </c>
      <c r="L62" s="481">
        <v>42794</v>
      </c>
      <c r="M62" s="479">
        <v>30</v>
      </c>
      <c r="Q62" s="2"/>
      <c r="T62" s="88" t="s">
        <v>121</v>
      </c>
      <c r="U62" s="124" t="s">
        <v>387</v>
      </c>
      <c r="W62" s="131"/>
    </row>
    <row r="63" spans="1:23" x14ac:dyDescent="0.25">
      <c r="A63" s="478"/>
      <c r="B63" s="477">
        <v>42781</v>
      </c>
      <c r="C63" s="478">
        <v>50</v>
      </c>
      <c r="D63" s="479">
        <v>34.65</v>
      </c>
      <c r="E63" s="479">
        <v>0</v>
      </c>
      <c r="F63" s="479">
        <f t="shared" si="3"/>
        <v>1732.5</v>
      </c>
      <c r="G63" s="477">
        <v>42829</v>
      </c>
      <c r="H63" s="480">
        <v>100</v>
      </c>
      <c r="I63" s="479">
        <v>29.02</v>
      </c>
      <c r="J63" s="479">
        <v>0.06</v>
      </c>
      <c r="K63" s="479">
        <f t="shared" si="4"/>
        <v>2901.94</v>
      </c>
      <c r="L63" s="481">
        <v>42887</v>
      </c>
      <c r="M63" s="479">
        <v>75</v>
      </c>
      <c r="Q63" s="2"/>
      <c r="T63" s="88"/>
      <c r="U63" s="124"/>
      <c r="W63" s="131"/>
    </row>
    <row r="64" spans="1:23" x14ac:dyDescent="0.25">
      <c r="A64" s="478"/>
      <c r="B64" s="477">
        <v>42788</v>
      </c>
      <c r="C64" s="478">
        <v>50</v>
      </c>
      <c r="D64" s="479">
        <v>33.24</v>
      </c>
      <c r="E64" s="479">
        <v>0</v>
      </c>
      <c r="F64" s="479">
        <f t="shared" si="3"/>
        <v>1662</v>
      </c>
      <c r="G64" s="477">
        <v>42851</v>
      </c>
      <c r="H64" s="480">
        <v>100</v>
      </c>
      <c r="I64" s="479">
        <v>27.4</v>
      </c>
      <c r="J64" s="479">
        <v>0.06</v>
      </c>
      <c r="K64" s="479">
        <f t="shared" si="4"/>
        <v>2739.94</v>
      </c>
      <c r="L64" s="481">
        <v>42979</v>
      </c>
      <c r="M64" s="479">
        <v>75</v>
      </c>
      <c r="Q64" s="2"/>
      <c r="T64" s="88" t="s">
        <v>104</v>
      </c>
      <c r="U64" s="124" t="s">
        <v>565</v>
      </c>
      <c r="W64" s="131"/>
    </row>
    <row r="65" spans="1:23" x14ac:dyDescent="0.25">
      <c r="A65" s="478"/>
      <c r="B65" s="477">
        <v>42789</v>
      </c>
      <c r="C65" s="478">
        <v>50</v>
      </c>
      <c r="D65" s="479">
        <v>31.68</v>
      </c>
      <c r="E65" s="479">
        <v>0</v>
      </c>
      <c r="F65" s="479">
        <f t="shared" si="3"/>
        <v>1584</v>
      </c>
      <c r="G65" s="477">
        <v>42860</v>
      </c>
      <c r="H65" s="480">
        <v>100</v>
      </c>
      <c r="I65" s="479">
        <v>27.58</v>
      </c>
      <c r="J65" s="479">
        <v>0.06</v>
      </c>
      <c r="K65" s="479">
        <f t="shared" si="4"/>
        <v>2757.94</v>
      </c>
      <c r="L65" s="478"/>
      <c r="M65" s="478"/>
      <c r="Q65" s="2"/>
      <c r="T65" s="88" t="s">
        <v>105</v>
      </c>
      <c r="U65" s="124" t="s">
        <v>428</v>
      </c>
      <c r="W65" s="131"/>
    </row>
    <row r="66" spans="1:23" x14ac:dyDescent="0.25">
      <c r="A66" s="478"/>
      <c r="B66" s="477">
        <v>42810</v>
      </c>
      <c r="C66" s="478">
        <v>100</v>
      </c>
      <c r="D66" s="479">
        <v>28.38</v>
      </c>
      <c r="E66" s="479">
        <v>0</v>
      </c>
      <c r="F66" s="479">
        <f t="shared" si="3"/>
        <v>2838</v>
      </c>
      <c r="G66" s="477">
        <v>42898</v>
      </c>
      <c r="H66" s="480">
        <v>100</v>
      </c>
      <c r="I66" s="479">
        <v>27.68</v>
      </c>
      <c r="J66" s="479">
        <v>0.06</v>
      </c>
      <c r="K66" s="479">
        <f t="shared" si="4"/>
        <v>2767.94</v>
      </c>
      <c r="L66" s="478"/>
      <c r="M66" s="478"/>
      <c r="Q66" s="2"/>
      <c r="T66" s="88" t="s">
        <v>106</v>
      </c>
      <c r="U66" s="125">
        <v>3892969</v>
      </c>
      <c r="W66" s="131"/>
    </row>
    <row r="67" spans="1:23" x14ac:dyDescent="0.25">
      <c r="A67" s="478"/>
      <c r="B67" s="477">
        <v>42828</v>
      </c>
      <c r="C67" s="478">
        <v>100</v>
      </c>
      <c r="D67" s="479">
        <v>28.36</v>
      </c>
      <c r="E67" s="479">
        <v>0</v>
      </c>
      <c r="F67" s="479">
        <f t="shared" si="3"/>
        <v>2836</v>
      </c>
      <c r="G67" s="477">
        <v>42936</v>
      </c>
      <c r="H67" s="480">
        <v>100</v>
      </c>
      <c r="I67" s="479">
        <v>31.14</v>
      </c>
      <c r="J67" s="479">
        <v>0.56999999999999995</v>
      </c>
      <c r="K67" s="479">
        <f t="shared" si="4"/>
        <v>3113.43</v>
      </c>
      <c r="L67" s="478"/>
      <c r="M67" s="478"/>
      <c r="T67" s="88" t="s">
        <v>109</v>
      </c>
      <c r="U67" s="125">
        <v>5373180</v>
      </c>
      <c r="W67" s="131"/>
    </row>
    <row r="68" spans="1:23" x14ac:dyDescent="0.25">
      <c r="A68" s="478"/>
      <c r="B68" s="477">
        <v>42846</v>
      </c>
      <c r="C68" s="478">
        <v>100</v>
      </c>
      <c r="D68" s="479">
        <v>26</v>
      </c>
      <c r="E68" s="479">
        <v>0</v>
      </c>
      <c r="F68" s="479">
        <f t="shared" si="3"/>
        <v>2600</v>
      </c>
      <c r="G68" s="477">
        <v>42950</v>
      </c>
      <c r="H68" s="480">
        <v>50</v>
      </c>
      <c r="I68" s="479">
        <v>30.38</v>
      </c>
      <c r="J68" s="479">
        <v>0.04</v>
      </c>
      <c r="K68" s="479">
        <f t="shared" si="4"/>
        <v>1518.96</v>
      </c>
      <c r="L68" s="478"/>
      <c r="M68" s="478"/>
      <c r="T68" s="88" t="s">
        <v>107</v>
      </c>
      <c r="U68" s="124" t="s">
        <v>566</v>
      </c>
      <c r="W68" s="131"/>
    </row>
    <row r="69" spans="1:23" x14ac:dyDescent="0.25">
      <c r="A69" s="478"/>
      <c r="B69" s="477">
        <v>42853</v>
      </c>
      <c r="C69" s="478">
        <v>100</v>
      </c>
      <c r="D69" s="479">
        <v>26.75</v>
      </c>
      <c r="E69" s="479">
        <v>-0.21</v>
      </c>
      <c r="F69" s="479">
        <f t="shared" si="3"/>
        <v>2674.79</v>
      </c>
      <c r="G69" s="477">
        <v>42951</v>
      </c>
      <c r="H69" s="480">
        <v>50</v>
      </c>
      <c r="I69" s="479">
        <v>31.38</v>
      </c>
      <c r="J69" s="479">
        <v>0.04</v>
      </c>
      <c r="K69" s="479">
        <f t="shared" si="4"/>
        <v>1568.96</v>
      </c>
      <c r="L69" s="478"/>
      <c r="M69" s="478"/>
      <c r="T69" s="88" t="s">
        <v>110</v>
      </c>
      <c r="U69" s="124" t="s">
        <v>128</v>
      </c>
      <c r="W69" s="131"/>
    </row>
    <row r="70" spans="1:23" x14ac:dyDescent="0.25">
      <c r="A70" s="478"/>
      <c r="B70" s="477">
        <v>42888</v>
      </c>
      <c r="C70" s="478">
        <v>100</v>
      </c>
      <c r="D70" s="479">
        <v>26.2</v>
      </c>
      <c r="E70" s="479">
        <v>0</v>
      </c>
      <c r="F70" s="479">
        <f t="shared" si="3"/>
        <v>2620</v>
      </c>
      <c r="G70" s="477">
        <v>42984</v>
      </c>
      <c r="H70" s="480">
        <v>100</v>
      </c>
      <c r="I70" s="479">
        <v>29.98</v>
      </c>
      <c r="J70" s="479">
        <v>7.0000000000000007E-2</v>
      </c>
      <c r="K70" s="479">
        <f t="shared" si="4"/>
        <v>2997.93</v>
      </c>
      <c r="L70" s="477"/>
      <c r="M70" s="478"/>
      <c r="T70" s="88" t="s">
        <v>111</v>
      </c>
      <c r="U70" s="124">
        <v>-1.19</v>
      </c>
    </row>
    <row r="71" spans="1:23" x14ac:dyDescent="0.25">
      <c r="A71" s="478"/>
      <c r="B71" s="477">
        <v>42940</v>
      </c>
      <c r="C71" s="478">
        <v>100</v>
      </c>
      <c r="D71" s="479">
        <v>30.29</v>
      </c>
      <c r="E71" s="479">
        <v>0</v>
      </c>
      <c r="F71" s="479">
        <f t="shared" si="3"/>
        <v>3029</v>
      </c>
      <c r="G71" s="477">
        <v>42984</v>
      </c>
      <c r="H71" s="480">
        <v>50</v>
      </c>
      <c r="I71" s="479">
        <v>30.78</v>
      </c>
      <c r="J71" s="479">
        <v>0.04</v>
      </c>
      <c r="K71" s="479">
        <f t="shared" si="4"/>
        <v>1538.96</v>
      </c>
      <c r="L71" s="478"/>
      <c r="M71" s="478"/>
      <c r="T71" s="88" t="s">
        <v>108</v>
      </c>
      <c r="U71" s="124" t="s">
        <v>496</v>
      </c>
    </row>
    <row r="72" spans="1:23" x14ac:dyDescent="0.25">
      <c r="A72" s="478"/>
      <c r="B72" s="477">
        <v>42942</v>
      </c>
      <c r="C72" s="478">
        <v>50</v>
      </c>
      <c r="D72" s="479">
        <v>28.79</v>
      </c>
      <c r="E72" s="479">
        <v>0</v>
      </c>
      <c r="F72" s="479">
        <f t="shared" si="3"/>
        <v>1439.5</v>
      </c>
      <c r="G72" s="477">
        <v>42984</v>
      </c>
      <c r="H72" s="480">
        <v>50</v>
      </c>
      <c r="I72" s="479">
        <v>31.28</v>
      </c>
      <c r="J72" s="479">
        <v>0.04</v>
      </c>
      <c r="K72" s="479">
        <f t="shared" si="4"/>
        <v>1563.96</v>
      </c>
      <c r="L72" s="478"/>
      <c r="M72" s="478"/>
    </row>
    <row r="73" spans="1:23" x14ac:dyDescent="0.25">
      <c r="A73" s="478"/>
      <c r="B73" s="477"/>
      <c r="C73" s="478"/>
      <c r="D73" s="479"/>
      <c r="E73" s="479"/>
      <c r="F73" s="479"/>
      <c r="G73" s="478"/>
      <c r="H73" s="478"/>
      <c r="I73" s="479"/>
      <c r="J73" s="479"/>
      <c r="K73" s="479"/>
      <c r="L73" s="478"/>
      <c r="M73" s="478"/>
    </row>
    <row r="74" spans="1:23" x14ac:dyDescent="0.25">
      <c r="A74" s="478"/>
      <c r="B74" s="397">
        <v>42957</v>
      </c>
      <c r="C74" s="7">
        <v>50</v>
      </c>
      <c r="D74" s="43">
        <v>30.7</v>
      </c>
      <c r="E74" s="43">
        <v>0</v>
      </c>
      <c r="F74" s="43">
        <f>D74*C74+E74</f>
        <v>1535</v>
      </c>
      <c r="G74" s="397">
        <v>42989</v>
      </c>
      <c r="H74" s="7">
        <v>50</v>
      </c>
      <c r="I74" s="43">
        <v>32.69</v>
      </c>
      <c r="J74" s="43">
        <v>0.04</v>
      </c>
      <c r="K74" s="43">
        <f>I74*H74-J74</f>
        <v>1634.46</v>
      </c>
      <c r="L74" s="478"/>
      <c r="M74" s="478"/>
    </row>
    <row r="75" spans="1:23" x14ac:dyDescent="0.25">
      <c r="A75" s="478"/>
      <c r="B75" s="398">
        <v>42983</v>
      </c>
      <c r="C75" s="4">
        <v>100</v>
      </c>
      <c r="D75" s="3">
        <v>29.15</v>
      </c>
      <c r="E75" s="3">
        <v>0</v>
      </c>
      <c r="F75" s="3">
        <f>D75*C75+E75</f>
        <v>2915</v>
      </c>
      <c r="G75" s="398">
        <v>43021</v>
      </c>
      <c r="H75" s="4">
        <v>100</v>
      </c>
      <c r="I75" s="3">
        <v>36.68</v>
      </c>
      <c r="J75" s="3">
        <v>0.08</v>
      </c>
      <c r="K75" s="3">
        <f>I75*H75-J75</f>
        <v>3667.92</v>
      </c>
      <c r="L75" s="478"/>
      <c r="M75" s="478"/>
    </row>
    <row r="76" spans="1:23" x14ac:dyDescent="0.25">
      <c r="A76" s="478"/>
      <c r="B76" s="477"/>
      <c r="C76" s="478"/>
      <c r="D76" s="479"/>
      <c r="E76" s="479"/>
      <c r="F76" s="479"/>
      <c r="G76" s="477"/>
      <c r="H76" s="480"/>
      <c r="I76" s="479"/>
      <c r="J76" s="479"/>
      <c r="K76" s="479"/>
      <c r="L76" s="478"/>
      <c r="M76" s="478"/>
    </row>
    <row r="77" spans="1:23" x14ac:dyDescent="0.25">
      <c r="A77" s="478"/>
      <c r="B77" s="477"/>
      <c r="C77" s="478"/>
      <c r="D77" s="479"/>
      <c r="E77" s="479"/>
      <c r="F77" s="479"/>
      <c r="G77" s="477"/>
      <c r="H77" s="480"/>
      <c r="I77" s="479"/>
      <c r="J77" s="479"/>
      <c r="K77" s="479"/>
      <c r="L77" s="478"/>
      <c r="M77" s="478"/>
      <c r="S77" t="s">
        <v>219</v>
      </c>
    </row>
    <row r="78" spans="1:23" x14ac:dyDescent="0.25">
      <c r="A78" s="478"/>
      <c r="B78" s="477"/>
      <c r="C78" s="478"/>
      <c r="D78" s="479"/>
      <c r="E78" s="479"/>
      <c r="F78" s="479"/>
      <c r="G78" s="477"/>
      <c r="H78" s="480"/>
      <c r="I78" s="479"/>
      <c r="J78" s="479"/>
      <c r="K78" s="479"/>
      <c r="L78" s="478"/>
      <c r="M78" s="478"/>
    </row>
    <row r="79" spans="1:23" x14ac:dyDescent="0.25">
      <c r="A79" s="478"/>
      <c r="B79" s="477"/>
      <c r="C79" s="478"/>
      <c r="D79" s="479"/>
      <c r="E79" s="479"/>
      <c r="F79" s="479"/>
      <c r="G79" s="477"/>
      <c r="H79" s="478"/>
      <c r="I79" s="479"/>
      <c r="J79" s="479"/>
      <c r="K79" s="479"/>
      <c r="L79" s="478"/>
      <c r="M79" s="478"/>
    </row>
    <row r="80" spans="1:23" x14ac:dyDescent="0.25">
      <c r="A80" s="601" t="s">
        <v>81</v>
      </c>
      <c r="B80" s="617"/>
      <c r="C80" s="602">
        <f>SUM(C44:C79)</f>
        <v>2220</v>
      </c>
      <c r="D80" s="603"/>
      <c r="E80" s="603"/>
      <c r="F80" s="603">
        <f>SUM(F44:F79)</f>
        <v>59686.19</v>
      </c>
      <c r="G80" s="602"/>
      <c r="H80" s="604">
        <f>SUM(H44:H79)</f>
        <v>2220</v>
      </c>
      <c r="I80" s="603"/>
      <c r="J80" s="603"/>
      <c r="K80" s="603">
        <f>SUM(K44:K79)</f>
        <v>63691.15</v>
      </c>
      <c r="L80" s="602"/>
      <c r="M80" s="603">
        <f>SUM(M44:M79)</f>
        <v>372</v>
      </c>
    </row>
    <row r="81" spans="1:13" ht="15.75" thickBot="1" x14ac:dyDescent="0.3">
      <c r="A81" s="605" t="s">
        <v>189</v>
      </c>
      <c r="B81" s="618"/>
      <c r="C81" s="606">
        <f>SumByColor($A$19,C44:C79)</f>
        <v>50</v>
      </c>
      <c r="D81" s="606"/>
      <c r="E81" s="606"/>
      <c r="F81" s="607">
        <f>SumByColor($A$19,F44:F79)</f>
        <v>1535</v>
      </c>
      <c r="G81" s="606"/>
      <c r="H81" s="606">
        <f>SumByColor($A$19,H44:H79)</f>
        <v>50</v>
      </c>
      <c r="I81" s="606"/>
      <c r="J81" s="606"/>
      <c r="K81" s="607">
        <f>SumByColor($A$19,K44:K79)</f>
        <v>1634</v>
      </c>
      <c r="L81" s="606"/>
      <c r="M81" s="607">
        <f>SumByColor($A$19,M44:M79)</f>
        <v>0</v>
      </c>
    </row>
    <row r="88" spans="1:13" x14ac:dyDescent="0.25">
      <c r="B88" s="401" t="s">
        <v>113</v>
      </c>
      <c r="C88" s="159" t="s">
        <v>143</v>
      </c>
      <c r="D88" s="160" t="s">
        <v>142</v>
      </c>
      <c r="E88" s="162" t="s">
        <v>144</v>
      </c>
      <c r="F88" s="162" t="s">
        <v>65</v>
      </c>
      <c r="G88" s="173" t="s">
        <v>148</v>
      </c>
      <c r="H88" s="173" t="s">
        <v>88</v>
      </c>
      <c r="I88" s="173" t="s">
        <v>151</v>
      </c>
      <c r="J88" s="173" t="s">
        <v>458</v>
      </c>
    </row>
    <row r="89" spans="1:13" x14ac:dyDescent="0.25">
      <c r="B89" s="533"/>
      <c r="C89" s="291"/>
      <c r="D89" s="292"/>
      <c r="E89" s="292"/>
      <c r="F89" s="292"/>
      <c r="G89" s="291"/>
      <c r="H89" s="291"/>
      <c r="I89" s="292"/>
      <c r="J89" s="292"/>
    </row>
    <row r="90" spans="1:13" x14ac:dyDescent="0.25">
      <c r="B90" s="533">
        <v>42545</v>
      </c>
      <c r="C90" s="291">
        <v>100</v>
      </c>
      <c r="D90" s="292">
        <v>25.25</v>
      </c>
      <c r="E90" s="292">
        <v>25.43</v>
      </c>
      <c r="F90" s="292">
        <f t="shared" ref="F90:F151" si="5">C90*(E90-D90)</f>
        <v>17.999999999999972</v>
      </c>
      <c r="G90" s="292">
        <f t="shared" ref="G90:G151" si="6">D90*C90</f>
        <v>2525</v>
      </c>
      <c r="H90" s="293">
        <f t="shared" ref="H90:H151" si="7">(E90-D90)/D90</f>
        <v>7.1287128712871177E-3</v>
      </c>
      <c r="I90" s="292"/>
      <c r="J90" s="292"/>
    </row>
    <row r="91" spans="1:13" x14ac:dyDescent="0.25">
      <c r="B91" s="533">
        <v>42548</v>
      </c>
      <c r="C91" s="291">
        <v>100</v>
      </c>
      <c r="D91" s="292">
        <v>25.25</v>
      </c>
      <c r="E91" s="292">
        <v>23.48</v>
      </c>
      <c r="F91" s="292">
        <f t="shared" si="5"/>
        <v>-176.99999999999994</v>
      </c>
      <c r="G91" s="292">
        <f t="shared" si="6"/>
        <v>2525</v>
      </c>
      <c r="H91" s="293">
        <f t="shared" si="7"/>
        <v>-7.0099009900990078E-2</v>
      </c>
      <c r="I91" s="292"/>
      <c r="J91" s="292"/>
    </row>
    <row r="92" spans="1:13" x14ac:dyDescent="0.25">
      <c r="B92" s="533">
        <v>42549</v>
      </c>
      <c r="C92" s="291">
        <v>100</v>
      </c>
      <c r="D92" s="292">
        <v>25.25</v>
      </c>
      <c r="E92" s="292">
        <v>24.06</v>
      </c>
      <c r="F92" s="292">
        <f t="shared" si="5"/>
        <v>-119.00000000000013</v>
      </c>
      <c r="G92" s="292">
        <f t="shared" si="6"/>
        <v>2525</v>
      </c>
      <c r="H92" s="293">
        <f t="shared" si="7"/>
        <v>-4.7128712871287178E-2</v>
      </c>
      <c r="I92" s="292"/>
      <c r="J92" s="292"/>
    </row>
    <row r="93" spans="1:13" x14ac:dyDescent="0.25">
      <c r="B93" s="533">
        <v>42556</v>
      </c>
      <c r="C93" s="291">
        <v>100</v>
      </c>
      <c r="D93" s="292">
        <v>25.25</v>
      </c>
      <c r="E93" s="292">
        <v>23.54</v>
      </c>
      <c r="F93" s="292">
        <f t="shared" si="5"/>
        <v>-171.00000000000009</v>
      </c>
      <c r="G93" s="292">
        <f t="shared" si="6"/>
        <v>2525</v>
      </c>
      <c r="H93" s="293">
        <f t="shared" si="7"/>
        <v>-6.7722772277227755E-2</v>
      </c>
      <c r="I93" s="292"/>
      <c r="J93" s="292"/>
    </row>
    <row r="94" spans="1:13" x14ac:dyDescent="0.25">
      <c r="B94" s="533">
        <v>42557</v>
      </c>
      <c r="C94" s="291">
        <v>100</v>
      </c>
      <c r="D94" s="292">
        <v>25.25</v>
      </c>
      <c r="E94" s="292">
        <v>23.75</v>
      </c>
      <c r="F94" s="292">
        <f t="shared" si="5"/>
        <v>-150</v>
      </c>
      <c r="G94" s="292">
        <f t="shared" si="6"/>
        <v>2525</v>
      </c>
      <c r="H94" s="293">
        <f t="shared" si="7"/>
        <v>-5.9405940594059403E-2</v>
      </c>
      <c r="I94" s="292"/>
      <c r="J94" s="292"/>
    </row>
    <row r="95" spans="1:13" x14ac:dyDescent="0.25">
      <c r="B95" s="533">
        <v>42559</v>
      </c>
      <c r="C95" s="291">
        <v>100</v>
      </c>
      <c r="D95" s="292">
        <v>25.25</v>
      </c>
      <c r="E95" s="292">
        <v>24.86</v>
      </c>
      <c r="F95" s="292">
        <f t="shared" si="5"/>
        <v>-39.000000000000057</v>
      </c>
      <c r="G95" s="292">
        <f t="shared" si="6"/>
        <v>2525</v>
      </c>
      <c r="H95" s="293">
        <f t="shared" si="7"/>
        <v>-1.5445544554455468E-2</v>
      </c>
      <c r="I95" s="292"/>
      <c r="J95" s="292"/>
    </row>
    <row r="96" spans="1:13" x14ac:dyDescent="0.25">
      <c r="B96" s="533">
        <v>42562</v>
      </c>
      <c r="C96" s="291">
        <v>100</v>
      </c>
      <c r="D96" s="292">
        <v>25.25</v>
      </c>
      <c r="E96" s="292">
        <v>24.67</v>
      </c>
      <c r="F96" s="292">
        <f t="shared" si="5"/>
        <v>-57.999999999999829</v>
      </c>
      <c r="G96" s="292">
        <f t="shared" si="6"/>
        <v>2525</v>
      </c>
      <c r="H96" s="293">
        <f t="shared" si="7"/>
        <v>-2.2970297029702904E-2</v>
      </c>
      <c r="I96" s="292"/>
      <c r="J96" s="292"/>
    </row>
    <row r="97" spans="2:10" x14ac:dyDescent="0.25">
      <c r="B97" s="533">
        <v>42563</v>
      </c>
      <c r="C97" s="291">
        <v>100</v>
      </c>
      <c r="D97" s="292">
        <v>25.25</v>
      </c>
      <c r="E97" s="292">
        <v>26.03</v>
      </c>
      <c r="F97" s="292">
        <f t="shared" si="5"/>
        <v>78.000000000000114</v>
      </c>
      <c r="G97" s="292">
        <f t="shared" si="6"/>
        <v>2525</v>
      </c>
      <c r="H97" s="293">
        <f t="shared" si="7"/>
        <v>3.0891089108910936E-2</v>
      </c>
      <c r="I97" s="292"/>
      <c r="J97" s="292"/>
    </row>
    <row r="98" spans="2:10" x14ac:dyDescent="0.25">
      <c r="B98" s="533">
        <v>42569</v>
      </c>
      <c r="C98" s="291">
        <v>100</v>
      </c>
      <c r="D98" s="292">
        <v>25.25</v>
      </c>
      <c r="E98" s="292">
        <v>27.69</v>
      </c>
      <c r="F98" s="292">
        <f t="shared" si="5"/>
        <v>244.00000000000011</v>
      </c>
      <c r="G98" s="292">
        <f t="shared" si="6"/>
        <v>2525</v>
      </c>
      <c r="H98" s="293">
        <f t="shared" si="7"/>
        <v>9.6633663366336678E-2</v>
      </c>
      <c r="I98" s="369">
        <v>23</v>
      </c>
      <c r="J98" s="292"/>
    </row>
    <row r="99" spans="2:10" x14ac:dyDescent="0.25">
      <c r="B99" s="533">
        <v>42570</v>
      </c>
      <c r="C99" s="291">
        <v>100</v>
      </c>
      <c r="D99" s="292">
        <v>25.25</v>
      </c>
      <c r="E99" s="292">
        <v>26.55</v>
      </c>
      <c r="F99" s="292">
        <f t="shared" si="5"/>
        <v>130.00000000000006</v>
      </c>
      <c r="G99" s="292">
        <f t="shared" si="6"/>
        <v>2525</v>
      </c>
      <c r="H99" s="293">
        <f t="shared" si="7"/>
        <v>5.148514851485151E-2</v>
      </c>
      <c r="I99" s="292"/>
      <c r="J99" s="292"/>
    </row>
    <row r="100" spans="2:10" x14ac:dyDescent="0.25">
      <c r="B100" s="533">
        <v>42571</v>
      </c>
      <c r="C100" s="291">
        <v>100</v>
      </c>
      <c r="D100" s="292">
        <v>25.25</v>
      </c>
      <c r="E100" s="292">
        <v>26.61</v>
      </c>
      <c r="F100" s="292">
        <f t="shared" si="5"/>
        <v>135.99999999999994</v>
      </c>
      <c r="G100" s="292">
        <f t="shared" si="6"/>
        <v>2525</v>
      </c>
      <c r="H100" s="293">
        <f t="shared" si="7"/>
        <v>5.386138613861384E-2</v>
      </c>
      <c r="I100" s="292"/>
      <c r="J100" s="292"/>
    </row>
    <row r="101" spans="2:10" x14ac:dyDescent="0.25">
      <c r="B101" s="533">
        <v>42572</v>
      </c>
      <c r="C101" s="291">
        <v>100</v>
      </c>
      <c r="D101" s="292">
        <v>25.25</v>
      </c>
      <c r="E101" s="292">
        <v>26.29</v>
      </c>
      <c r="F101" s="292">
        <f t="shared" si="5"/>
        <v>103.99999999999991</v>
      </c>
      <c r="G101" s="292">
        <f t="shared" si="6"/>
        <v>2525</v>
      </c>
      <c r="H101" s="293">
        <f t="shared" si="7"/>
        <v>4.1188118811881155E-2</v>
      </c>
      <c r="I101" s="292"/>
      <c r="J101" s="292"/>
    </row>
    <row r="102" spans="2:10" x14ac:dyDescent="0.25">
      <c r="B102" s="533">
        <v>42575</v>
      </c>
      <c r="C102" s="291">
        <v>100</v>
      </c>
      <c r="D102" s="292">
        <v>25.25</v>
      </c>
      <c r="E102" s="292">
        <v>25.18</v>
      </c>
      <c r="F102" s="292">
        <f t="shared" si="5"/>
        <v>-7.0000000000000284</v>
      </c>
      <c r="G102" s="292">
        <f t="shared" si="6"/>
        <v>2525</v>
      </c>
      <c r="H102" s="293">
        <f t="shared" si="7"/>
        <v>-2.7722772277227834E-3</v>
      </c>
      <c r="I102" s="292"/>
      <c r="J102" s="292"/>
    </row>
    <row r="103" spans="2:10" x14ac:dyDescent="0.25">
      <c r="B103" s="533">
        <v>42576</v>
      </c>
      <c r="C103" s="291">
        <v>100</v>
      </c>
      <c r="D103" s="292">
        <v>25.25</v>
      </c>
      <c r="E103" s="292">
        <v>25.33</v>
      </c>
      <c r="F103" s="292">
        <f t="shared" si="5"/>
        <v>7.9999999999998295</v>
      </c>
      <c r="G103" s="292">
        <f t="shared" si="6"/>
        <v>2525</v>
      </c>
      <c r="H103" s="293">
        <f t="shared" si="7"/>
        <v>3.1683168316831009E-3</v>
      </c>
      <c r="I103" s="292"/>
      <c r="J103" s="292"/>
    </row>
    <row r="104" spans="2:10" x14ac:dyDescent="0.25">
      <c r="B104" s="533">
        <v>42577</v>
      </c>
      <c r="C104" s="291">
        <v>70</v>
      </c>
      <c r="D104" s="292">
        <v>25.010300000000001</v>
      </c>
      <c r="E104" s="292">
        <v>25.8</v>
      </c>
      <c r="F104" s="292">
        <f t="shared" si="5"/>
        <v>55.278999999999989</v>
      </c>
      <c r="G104" s="292">
        <f t="shared" si="6"/>
        <v>1750.721</v>
      </c>
      <c r="H104" s="293">
        <f t="shared" si="7"/>
        <v>3.1574991103665281E-2</v>
      </c>
      <c r="I104" s="292"/>
      <c r="J104" s="292"/>
    </row>
    <row r="105" spans="2:10" x14ac:dyDescent="0.25">
      <c r="B105" s="533">
        <v>42580</v>
      </c>
      <c r="C105" s="291">
        <v>100</v>
      </c>
      <c r="D105" s="292">
        <v>24.641200000000001</v>
      </c>
      <c r="E105" s="292">
        <v>24.68</v>
      </c>
      <c r="F105" s="292">
        <f t="shared" si="5"/>
        <v>3.8799999999998391</v>
      </c>
      <c r="G105" s="292">
        <f t="shared" si="6"/>
        <v>2464.1200000000003</v>
      </c>
      <c r="H105" s="293">
        <f t="shared" si="7"/>
        <v>1.5745986396765738E-3</v>
      </c>
      <c r="I105" s="292"/>
      <c r="J105" s="292"/>
    </row>
    <row r="106" spans="2:10" x14ac:dyDescent="0.25">
      <c r="B106" s="533">
        <v>42585</v>
      </c>
      <c r="C106" s="291">
        <v>100</v>
      </c>
      <c r="D106" s="292">
        <v>24.641200000000001</v>
      </c>
      <c r="E106" s="292">
        <v>24.49</v>
      </c>
      <c r="F106" s="292">
        <f t="shared" si="5"/>
        <v>-15.120000000000289</v>
      </c>
      <c r="G106" s="292">
        <f t="shared" si="6"/>
        <v>2464.1200000000003</v>
      </c>
      <c r="H106" s="293">
        <f t="shared" si="7"/>
        <v>-6.1360648020389787E-3</v>
      </c>
      <c r="I106" s="292"/>
      <c r="J106" s="292"/>
    </row>
    <row r="107" spans="2:10" x14ac:dyDescent="0.25">
      <c r="B107" s="533">
        <v>42586</v>
      </c>
      <c r="C107" s="291">
        <v>200</v>
      </c>
      <c r="D107" s="292">
        <v>23.6431</v>
      </c>
      <c r="E107" s="292">
        <v>21.43</v>
      </c>
      <c r="F107" s="292">
        <f t="shared" si="5"/>
        <v>-442.62000000000012</v>
      </c>
      <c r="G107" s="292">
        <f t="shared" si="6"/>
        <v>4728.62</v>
      </c>
      <c r="H107" s="293">
        <f t="shared" si="7"/>
        <v>-9.360447657033133E-2</v>
      </c>
      <c r="I107" s="292"/>
      <c r="J107" s="292"/>
    </row>
    <row r="108" spans="2:10" x14ac:dyDescent="0.25">
      <c r="B108" s="533">
        <v>42586</v>
      </c>
      <c r="C108" s="291">
        <v>300</v>
      </c>
      <c r="D108" s="292">
        <v>22.735399999999998</v>
      </c>
      <c r="E108" s="292">
        <v>21.43</v>
      </c>
      <c r="F108" s="292">
        <f t="shared" si="5"/>
        <v>-391.61999999999966</v>
      </c>
      <c r="G108" s="292">
        <f t="shared" si="6"/>
        <v>6820.62</v>
      </c>
      <c r="H108" s="293">
        <f t="shared" si="7"/>
        <v>-5.7417067656605945E-2</v>
      </c>
      <c r="I108" s="292"/>
      <c r="J108" s="292"/>
    </row>
    <row r="109" spans="2:10" x14ac:dyDescent="0.25">
      <c r="B109" s="533">
        <v>42591</v>
      </c>
      <c r="C109" s="291">
        <v>300</v>
      </c>
      <c r="D109" s="292">
        <v>22.735399999999998</v>
      </c>
      <c r="E109" s="292">
        <v>22.12</v>
      </c>
      <c r="F109" s="292">
        <f t="shared" si="5"/>
        <v>-184.61999999999927</v>
      </c>
      <c r="G109" s="292">
        <f t="shared" si="6"/>
        <v>6820.62</v>
      </c>
      <c r="H109" s="293">
        <f t="shared" si="7"/>
        <v>-2.7067920511624936E-2</v>
      </c>
      <c r="I109" s="292"/>
      <c r="J109" s="292"/>
    </row>
    <row r="110" spans="2:10" x14ac:dyDescent="0.25">
      <c r="B110" s="533">
        <v>42593</v>
      </c>
      <c r="C110" s="291">
        <v>300</v>
      </c>
      <c r="D110" s="292">
        <v>22.735399999999998</v>
      </c>
      <c r="E110" s="292">
        <v>21.57</v>
      </c>
      <c r="F110" s="292">
        <f t="shared" si="5"/>
        <v>-349.61999999999944</v>
      </c>
      <c r="G110" s="292">
        <f t="shared" si="6"/>
        <v>6820.62</v>
      </c>
      <c r="H110" s="293">
        <f t="shared" si="7"/>
        <v>-5.1259269685160515E-2</v>
      </c>
      <c r="I110" s="292"/>
      <c r="J110" s="292"/>
    </row>
    <row r="111" spans="2:10" x14ac:dyDescent="0.25">
      <c r="B111" s="533">
        <v>42597</v>
      </c>
      <c r="C111" s="291">
        <v>230</v>
      </c>
      <c r="D111" s="292">
        <v>22.674800000000001</v>
      </c>
      <c r="E111" s="292">
        <v>23.2</v>
      </c>
      <c r="F111" s="292">
        <f t="shared" si="5"/>
        <v>120.79599999999957</v>
      </c>
      <c r="G111" s="292">
        <f t="shared" si="6"/>
        <v>5215.2040000000006</v>
      </c>
      <c r="H111" s="293">
        <f t="shared" si="7"/>
        <v>2.3162277065288252E-2</v>
      </c>
      <c r="I111" s="292"/>
      <c r="J111" s="292"/>
    </row>
    <row r="112" spans="2:10" x14ac:dyDescent="0.25">
      <c r="B112" s="533">
        <v>42599</v>
      </c>
      <c r="C112" s="291">
        <v>200</v>
      </c>
      <c r="D112" s="292">
        <v>22.554099999999998</v>
      </c>
      <c r="E112" s="292">
        <v>23.31</v>
      </c>
      <c r="F112" s="292">
        <f t="shared" si="5"/>
        <v>151.18000000000009</v>
      </c>
      <c r="G112" s="292">
        <f t="shared" si="6"/>
        <v>4510.82</v>
      </c>
      <c r="H112" s="293">
        <f t="shared" si="7"/>
        <v>3.3514970670521123E-2</v>
      </c>
      <c r="I112" s="292">
        <v>22</v>
      </c>
      <c r="J112" s="292"/>
    </row>
    <row r="113" spans="2:10" x14ac:dyDescent="0.25">
      <c r="B113" s="533">
        <v>42600</v>
      </c>
      <c r="C113" s="291">
        <v>200</v>
      </c>
      <c r="D113" s="292">
        <v>22.554099999999998</v>
      </c>
      <c r="E113" s="292">
        <v>22.74</v>
      </c>
      <c r="F113" s="292">
        <f t="shared" si="5"/>
        <v>37.180000000000035</v>
      </c>
      <c r="G113" s="292">
        <f t="shared" si="6"/>
        <v>4510.82</v>
      </c>
      <c r="H113" s="293">
        <f t="shared" si="7"/>
        <v>8.2424038201480074E-3</v>
      </c>
      <c r="I113" s="292"/>
      <c r="J113" s="292"/>
    </row>
    <row r="114" spans="2:10" x14ac:dyDescent="0.25">
      <c r="B114" s="533">
        <v>42601</v>
      </c>
      <c r="C114" s="291">
        <v>200</v>
      </c>
      <c r="D114" s="292">
        <v>22.554099999999998</v>
      </c>
      <c r="E114" s="292">
        <v>23.02</v>
      </c>
      <c r="F114" s="292">
        <f t="shared" si="5"/>
        <v>93.180000000000263</v>
      </c>
      <c r="G114" s="292">
        <f t="shared" si="6"/>
        <v>4510.82</v>
      </c>
      <c r="H114" s="293">
        <f t="shared" si="7"/>
        <v>2.06569980624366E-2</v>
      </c>
      <c r="I114" s="292"/>
      <c r="J114" s="292"/>
    </row>
    <row r="115" spans="2:10" x14ac:dyDescent="0.25">
      <c r="B115" s="533">
        <v>42604</v>
      </c>
      <c r="C115" s="291">
        <v>200</v>
      </c>
      <c r="D115" s="292">
        <v>22.554099999999998</v>
      </c>
      <c r="E115" s="292">
        <v>23.69</v>
      </c>
      <c r="F115" s="292">
        <f t="shared" si="5"/>
        <v>227.1800000000006</v>
      </c>
      <c r="G115" s="292">
        <f t="shared" si="6"/>
        <v>4510.82</v>
      </c>
      <c r="H115" s="293">
        <f t="shared" si="7"/>
        <v>5.0363348570769975E-2</v>
      </c>
      <c r="I115" s="292"/>
      <c r="J115" s="292"/>
    </row>
    <row r="116" spans="2:10" x14ac:dyDescent="0.25">
      <c r="B116" s="533">
        <v>42605</v>
      </c>
      <c r="C116" s="291">
        <v>200</v>
      </c>
      <c r="D116" s="292">
        <v>22.554099999999998</v>
      </c>
      <c r="E116" s="292">
        <v>24.83</v>
      </c>
      <c r="F116" s="292">
        <f t="shared" si="5"/>
        <v>455.18</v>
      </c>
      <c r="G116" s="292">
        <f t="shared" si="6"/>
        <v>4510.82</v>
      </c>
      <c r="H116" s="293">
        <f t="shared" si="7"/>
        <v>0.10090848227151605</v>
      </c>
      <c r="I116" s="292"/>
      <c r="J116" s="292"/>
    </row>
    <row r="117" spans="2:10" x14ac:dyDescent="0.25">
      <c r="B117" s="533">
        <v>42606</v>
      </c>
      <c r="C117" s="291">
        <v>200</v>
      </c>
      <c r="D117" s="292">
        <v>22.554099999999998</v>
      </c>
      <c r="E117" s="292">
        <v>24.04</v>
      </c>
      <c r="F117" s="292">
        <f t="shared" si="5"/>
        <v>297.18000000000018</v>
      </c>
      <c r="G117" s="292">
        <f t="shared" si="6"/>
        <v>4510.82</v>
      </c>
      <c r="H117" s="293">
        <f t="shared" si="7"/>
        <v>6.588159137363056E-2</v>
      </c>
      <c r="I117" s="292"/>
      <c r="J117" s="292"/>
    </row>
    <row r="118" spans="2:10" x14ac:dyDescent="0.25">
      <c r="B118" s="533">
        <v>42607</v>
      </c>
      <c r="C118" s="291">
        <v>200</v>
      </c>
      <c r="D118" s="292">
        <v>22.554099999999998</v>
      </c>
      <c r="E118" s="292">
        <v>24.23</v>
      </c>
      <c r="F118" s="292">
        <f t="shared" si="5"/>
        <v>335.1800000000004</v>
      </c>
      <c r="G118" s="292">
        <f t="shared" si="6"/>
        <v>4510.82</v>
      </c>
      <c r="H118" s="293">
        <f t="shared" si="7"/>
        <v>7.4305780323754983E-2</v>
      </c>
      <c r="I118" s="292"/>
      <c r="J118" s="292"/>
    </row>
    <row r="119" spans="2:10" x14ac:dyDescent="0.25">
      <c r="B119" s="533">
        <v>42608</v>
      </c>
      <c r="C119" s="291">
        <v>200</v>
      </c>
      <c r="D119" s="292">
        <v>22.554099999999998</v>
      </c>
      <c r="E119" s="292">
        <v>23.98</v>
      </c>
      <c r="F119" s="292">
        <f t="shared" si="5"/>
        <v>285.1800000000004</v>
      </c>
      <c r="G119" s="292">
        <f t="shared" si="6"/>
        <v>4510.82</v>
      </c>
      <c r="H119" s="293">
        <f t="shared" si="7"/>
        <v>6.3221321178854498E-2</v>
      </c>
      <c r="I119" s="292"/>
      <c r="J119" s="292"/>
    </row>
    <row r="120" spans="2:10" x14ac:dyDescent="0.25">
      <c r="B120" s="533">
        <v>42611</v>
      </c>
      <c r="C120" s="291">
        <v>200</v>
      </c>
      <c r="D120" s="292">
        <v>22.554099999999998</v>
      </c>
      <c r="E120" s="292">
        <v>24.98</v>
      </c>
      <c r="F120" s="292">
        <f t="shared" si="5"/>
        <v>485.1800000000004</v>
      </c>
      <c r="G120" s="292">
        <f t="shared" si="6"/>
        <v>4510.82</v>
      </c>
      <c r="H120" s="293">
        <f t="shared" si="7"/>
        <v>0.10755915775845644</v>
      </c>
      <c r="I120" s="292"/>
      <c r="J120" s="292"/>
    </row>
    <row r="121" spans="2:10" x14ac:dyDescent="0.25">
      <c r="B121" s="533">
        <v>42612</v>
      </c>
      <c r="C121" s="291">
        <v>200</v>
      </c>
      <c r="D121" s="292">
        <v>22.554099999999998</v>
      </c>
      <c r="E121" s="292">
        <v>26.17</v>
      </c>
      <c r="F121" s="292">
        <f t="shared" si="5"/>
        <v>723.18000000000075</v>
      </c>
      <c r="G121" s="292">
        <f t="shared" si="6"/>
        <v>4510.82</v>
      </c>
      <c r="H121" s="293">
        <f t="shared" si="7"/>
        <v>0.16032118328818279</v>
      </c>
      <c r="I121" s="292"/>
      <c r="J121" s="292"/>
    </row>
    <row r="122" spans="2:10" x14ac:dyDescent="0.25">
      <c r="B122" s="533">
        <v>42614</v>
      </c>
      <c r="C122" s="291">
        <v>200</v>
      </c>
      <c r="D122" s="292">
        <v>22.104099999999999</v>
      </c>
      <c r="E122" s="292">
        <v>25.6</v>
      </c>
      <c r="F122" s="292">
        <f t="shared" si="5"/>
        <v>699.18000000000052</v>
      </c>
      <c r="G122" s="292">
        <f t="shared" si="6"/>
        <v>4420.82</v>
      </c>
      <c r="H122" s="293">
        <f t="shared" si="7"/>
        <v>0.15815617917038027</v>
      </c>
      <c r="I122" s="292" t="s">
        <v>182</v>
      </c>
      <c r="J122" s="292"/>
    </row>
    <row r="123" spans="2:10" x14ac:dyDescent="0.25">
      <c r="B123" s="533">
        <v>42615</v>
      </c>
      <c r="C123" s="291">
        <v>200</v>
      </c>
      <c r="D123" s="292">
        <v>22.104099999999999</v>
      </c>
      <c r="E123" s="292">
        <v>25.94</v>
      </c>
      <c r="F123" s="292">
        <f t="shared" si="5"/>
        <v>767.18000000000052</v>
      </c>
      <c r="G123" s="292">
        <f t="shared" si="6"/>
        <v>4420.82</v>
      </c>
      <c r="H123" s="293">
        <f t="shared" si="7"/>
        <v>0.17353794092498687</v>
      </c>
      <c r="I123" s="292"/>
      <c r="J123" s="292"/>
    </row>
    <row r="124" spans="2:10" x14ac:dyDescent="0.25">
      <c r="B124" s="533">
        <v>42619</v>
      </c>
      <c r="C124" s="291">
        <v>200</v>
      </c>
      <c r="D124" s="292">
        <v>22.104099999999999</v>
      </c>
      <c r="E124" s="292">
        <v>25.65</v>
      </c>
      <c r="F124" s="292">
        <f t="shared" si="5"/>
        <v>709.18</v>
      </c>
      <c r="G124" s="292">
        <f t="shared" si="6"/>
        <v>4420.82</v>
      </c>
      <c r="H124" s="293">
        <f t="shared" si="7"/>
        <v>0.1604182029578223</v>
      </c>
      <c r="I124" s="292"/>
      <c r="J124" s="292"/>
    </row>
    <row r="125" spans="2:10" x14ac:dyDescent="0.25">
      <c r="B125" s="533">
        <v>42620</v>
      </c>
      <c r="C125" s="291">
        <v>200</v>
      </c>
      <c r="D125" s="292">
        <v>22.1</v>
      </c>
      <c r="E125" s="292">
        <v>25.53</v>
      </c>
      <c r="F125" s="292">
        <f t="shared" si="5"/>
        <v>686</v>
      </c>
      <c r="G125" s="292">
        <f t="shared" si="6"/>
        <v>4420</v>
      </c>
      <c r="H125" s="293">
        <f t="shared" si="7"/>
        <v>0.15520361990950224</v>
      </c>
      <c r="I125" s="292"/>
      <c r="J125" s="292"/>
    </row>
    <row r="126" spans="2:10" x14ac:dyDescent="0.25">
      <c r="B126" s="533">
        <v>42621</v>
      </c>
      <c r="C126" s="291">
        <v>160</v>
      </c>
      <c r="D126" s="292">
        <v>21.060300000000002</v>
      </c>
      <c r="E126" s="292">
        <v>25.96</v>
      </c>
      <c r="F126" s="292">
        <f t="shared" si="5"/>
        <v>783.95199999999988</v>
      </c>
      <c r="G126" s="292">
        <f t="shared" si="6"/>
        <v>3369.6480000000001</v>
      </c>
      <c r="H126" s="293">
        <f t="shared" si="7"/>
        <v>0.23265100687074727</v>
      </c>
      <c r="I126" s="292"/>
      <c r="J126" s="292"/>
    </row>
    <row r="127" spans="2:10" x14ac:dyDescent="0.25">
      <c r="B127" s="533">
        <v>42622</v>
      </c>
      <c r="C127" s="291">
        <v>160</v>
      </c>
      <c r="D127" s="292">
        <v>21.060300000000002</v>
      </c>
      <c r="E127" s="292">
        <v>25</v>
      </c>
      <c r="F127" s="292">
        <f t="shared" si="5"/>
        <v>630.35199999999975</v>
      </c>
      <c r="G127" s="292">
        <f t="shared" si="6"/>
        <v>3369.6480000000001</v>
      </c>
      <c r="H127" s="293">
        <f t="shared" si="7"/>
        <v>0.18706761062283053</v>
      </c>
      <c r="I127" s="292"/>
      <c r="J127" s="292"/>
    </row>
    <row r="128" spans="2:10" x14ac:dyDescent="0.25">
      <c r="B128" s="533">
        <v>42625</v>
      </c>
      <c r="C128" s="291">
        <v>160</v>
      </c>
      <c r="D128" s="292">
        <v>21.060300000000002</v>
      </c>
      <c r="E128" s="292">
        <v>25.51</v>
      </c>
      <c r="F128" s="292">
        <f t="shared" si="5"/>
        <v>711.952</v>
      </c>
      <c r="G128" s="292">
        <f t="shared" si="6"/>
        <v>3369.6480000000001</v>
      </c>
      <c r="H128" s="293">
        <f t="shared" si="7"/>
        <v>0.21128378987953636</v>
      </c>
      <c r="I128" s="292"/>
      <c r="J128" s="292"/>
    </row>
    <row r="129" spans="2:10" x14ac:dyDescent="0.25">
      <c r="B129" s="533">
        <v>42626</v>
      </c>
      <c r="C129" s="291">
        <v>200</v>
      </c>
      <c r="D129" s="292">
        <v>21.764199999999999</v>
      </c>
      <c r="E129" s="292">
        <v>24.01</v>
      </c>
      <c r="F129" s="292">
        <f t="shared" si="5"/>
        <v>449.16000000000054</v>
      </c>
      <c r="G129" s="292">
        <f t="shared" si="6"/>
        <v>4352.84</v>
      </c>
      <c r="H129" s="293">
        <f t="shared" si="7"/>
        <v>0.10318780382462957</v>
      </c>
      <c r="I129" s="292" t="s">
        <v>273</v>
      </c>
      <c r="J129" s="292"/>
    </row>
    <row r="130" spans="2:10" x14ac:dyDescent="0.25">
      <c r="B130" s="533">
        <v>42632</v>
      </c>
      <c r="C130" s="291">
        <v>200</v>
      </c>
      <c r="D130" s="292">
        <v>21.764199999999999</v>
      </c>
      <c r="E130" s="292">
        <v>23.68</v>
      </c>
      <c r="F130" s="292">
        <f t="shared" si="5"/>
        <v>383.1600000000002</v>
      </c>
      <c r="G130" s="292">
        <f t="shared" si="6"/>
        <v>4352.84</v>
      </c>
      <c r="H130" s="293">
        <f t="shared" si="7"/>
        <v>8.8025289236452572E-2</v>
      </c>
      <c r="I130" s="292"/>
      <c r="J130" s="292"/>
    </row>
    <row r="131" spans="2:10" x14ac:dyDescent="0.25">
      <c r="B131" s="533">
        <v>42633</v>
      </c>
      <c r="C131" s="291">
        <v>200</v>
      </c>
      <c r="D131" s="292">
        <v>21.764199999999999</v>
      </c>
      <c r="E131" s="292">
        <v>23.3</v>
      </c>
      <c r="F131" s="292">
        <f t="shared" si="5"/>
        <v>307.16000000000037</v>
      </c>
      <c r="G131" s="292">
        <f t="shared" si="6"/>
        <v>4352.84</v>
      </c>
      <c r="H131" s="293">
        <f t="shared" si="7"/>
        <v>7.0565423953097381E-2</v>
      </c>
      <c r="I131" s="292"/>
      <c r="J131" s="292"/>
    </row>
    <row r="132" spans="2:10" x14ac:dyDescent="0.25">
      <c r="B132" s="533">
        <v>42634</v>
      </c>
      <c r="C132" s="291">
        <v>200</v>
      </c>
      <c r="D132" s="292">
        <v>21.764199999999999</v>
      </c>
      <c r="E132" s="292">
        <v>23.03</v>
      </c>
      <c r="F132" s="292">
        <f t="shared" si="5"/>
        <v>253.16000000000045</v>
      </c>
      <c r="G132" s="292">
        <f t="shared" si="6"/>
        <v>4352.84</v>
      </c>
      <c r="H132" s="293">
        <f t="shared" si="7"/>
        <v>5.8159730199134466E-2</v>
      </c>
      <c r="I132" s="292"/>
      <c r="J132" s="292"/>
    </row>
    <row r="133" spans="2:10" x14ac:dyDescent="0.25">
      <c r="B133" s="533">
        <v>42636</v>
      </c>
      <c r="C133" s="291">
        <v>200</v>
      </c>
      <c r="D133" s="292">
        <v>21.764199999999999</v>
      </c>
      <c r="E133" s="292">
        <v>22.63</v>
      </c>
      <c r="F133" s="292">
        <f t="shared" si="5"/>
        <v>173.16000000000003</v>
      </c>
      <c r="G133" s="292">
        <f t="shared" si="6"/>
        <v>4352.84</v>
      </c>
      <c r="H133" s="293">
        <f t="shared" si="7"/>
        <v>3.9780924637707805E-2</v>
      </c>
      <c r="I133" s="292"/>
      <c r="J133" s="292"/>
    </row>
    <row r="134" spans="2:10" x14ac:dyDescent="0.25">
      <c r="B134" s="533">
        <v>42639</v>
      </c>
      <c r="C134" s="291">
        <v>300</v>
      </c>
      <c r="D134" s="292">
        <v>21.936299999999999</v>
      </c>
      <c r="E134" s="292">
        <v>22.64</v>
      </c>
      <c r="F134" s="292">
        <f t="shared" si="5"/>
        <v>211.11000000000041</v>
      </c>
      <c r="G134" s="292">
        <f t="shared" si="6"/>
        <v>6580.8899999999994</v>
      </c>
      <c r="H134" s="293">
        <f t="shared" si="7"/>
        <v>3.2079247639756996E-2</v>
      </c>
      <c r="I134" s="292"/>
      <c r="J134" s="292"/>
    </row>
    <row r="135" spans="2:10" x14ac:dyDescent="0.25">
      <c r="B135" s="533">
        <v>42639</v>
      </c>
      <c r="C135" s="291">
        <v>200</v>
      </c>
      <c r="D135" s="292">
        <v>21.494499999999999</v>
      </c>
      <c r="E135" s="292">
        <v>22.64</v>
      </c>
      <c r="F135" s="292">
        <f t="shared" si="5"/>
        <v>229.10000000000039</v>
      </c>
      <c r="G135" s="292">
        <f t="shared" si="6"/>
        <v>4298.8999999999996</v>
      </c>
      <c r="H135" s="293">
        <f t="shared" si="7"/>
        <v>5.3292702784433321E-2</v>
      </c>
      <c r="I135" s="292" t="s">
        <v>274</v>
      </c>
      <c r="J135" s="292"/>
    </row>
    <row r="136" spans="2:10" x14ac:dyDescent="0.25">
      <c r="B136" s="533">
        <v>42640</v>
      </c>
      <c r="C136" s="291">
        <v>200</v>
      </c>
      <c r="D136" s="292">
        <v>21.494499999999999</v>
      </c>
      <c r="E136" s="292">
        <v>23.95</v>
      </c>
      <c r="F136" s="292">
        <f t="shared" si="5"/>
        <v>491.10000000000014</v>
      </c>
      <c r="G136" s="292">
        <f t="shared" si="6"/>
        <v>4298.8999999999996</v>
      </c>
      <c r="H136" s="293">
        <f t="shared" si="7"/>
        <v>0.11423852613459261</v>
      </c>
      <c r="I136" s="292"/>
      <c r="J136" s="292"/>
    </row>
    <row r="137" spans="2:10" x14ac:dyDescent="0.25">
      <c r="B137" s="533">
        <v>42643</v>
      </c>
      <c r="C137" s="291">
        <v>140</v>
      </c>
      <c r="D137" s="292">
        <v>20.112300000000001</v>
      </c>
      <c r="E137" s="292">
        <v>24.2</v>
      </c>
      <c r="F137" s="292">
        <f t="shared" si="5"/>
        <v>572.27799999999979</v>
      </c>
      <c r="G137" s="292">
        <f t="shared" si="6"/>
        <v>2815.7220000000002</v>
      </c>
      <c r="H137" s="293">
        <f t="shared" si="7"/>
        <v>0.2032437861408192</v>
      </c>
      <c r="I137" s="292"/>
      <c r="J137" s="292"/>
    </row>
    <row r="138" spans="2:10" x14ac:dyDescent="0.25">
      <c r="B138" s="533">
        <v>42643</v>
      </c>
      <c r="C138" s="291">
        <v>200</v>
      </c>
      <c r="D138" s="292">
        <v>21.368600000000001</v>
      </c>
      <c r="E138" s="292">
        <v>24.2</v>
      </c>
      <c r="F138" s="292">
        <f t="shared" si="5"/>
        <v>566.27999999999975</v>
      </c>
      <c r="G138" s="292">
        <f t="shared" si="6"/>
        <v>4273.72</v>
      </c>
      <c r="H138" s="293">
        <f t="shared" si="7"/>
        <v>0.13250283125707807</v>
      </c>
      <c r="I138" s="292" t="s">
        <v>274</v>
      </c>
      <c r="J138" s="292"/>
    </row>
    <row r="139" spans="2:10" x14ac:dyDescent="0.25">
      <c r="B139" s="533">
        <v>42648</v>
      </c>
      <c r="C139" s="291">
        <v>200</v>
      </c>
      <c r="D139" s="292">
        <v>21.368600000000001</v>
      </c>
      <c r="E139" s="292">
        <v>24.86</v>
      </c>
      <c r="F139" s="292">
        <f t="shared" si="5"/>
        <v>698.27999999999975</v>
      </c>
      <c r="G139" s="292">
        <f t="shared" si="6"/>
        <v>4273.72</v>
      </c>
      <c r="H139" s="293">
        <f t="shared" si="7"/>
        <v>0.16338927210954385</v>
      </c>
      <c r="I139" s="292"/>
      <c r="J139" s="292"/>
    </row>
    <row r="140" spans="2:10" x14ac:dyDescent="0.25">
      <c r="B140" s="533">
        <v>42649</v>
      </c>
      <c r="C140" s="291">
        <v>200</v>
      </c>
      <c r="D140" s="292">
        <v>21.368600000000001</v>
      </c>
      <c r="E140" s="292">
        <v>24.66</v>
      </c>
      <c r="F140" s="292">
        <f t="shared" si="5"/>
        <v>658.27999999999986</v>
      </c>
      <c r="G140" s="292">
        <f t="shared" si="6"/>
        <v>4273.72</v>
      </c>
      <c r="H140" s="293">
        <f t="shared" si="7"/>
        <v>0.15402974457849364</v>
      </c>
      <c r="I140" s="292"/>
      <c r="J140" s="292"/>
    </row>
    <row r="141" spans="2:10" x14ac:dyDescent="0.25">
      <c r="B141" s="533">
        <v>42650</v>
      </c>
      <c r="C141" s="291">
        <v>200</v>
      </c>
      <c r="D141" s="292">
        <v>21.368600000000001</v>
      </c>
      <c r="E141" s="292">
        <v>23.95</v>
      </c>
      <c r="F141" s="292">
        <f t="shared" si="5"/>
        <v>516.27999999999975</v>
      </c>
      <c r="G141" s="292">
        <f t="shared" si="6"/>
        <v>4273.72</v>
      </c>
      <c r="H141" s="293">
        <f t="shared" si="7"/>
        <v>0.12080342184326529</v>
      </c>
      <c r="I141" s="292"/>
      <c r="J141" s="292"/>
    </row>
    <row r="142" spans="2:10" x14ac:dyDescent="0.25">
      <c r="B142" s="533">
        <v>42661</v>
      </c>
      <c r="C142" s="291">
        <v>300</v>
      </c>
      <c r="D142" s="292">
        <v>21.765699999999999</v>
      </c>
      <c r="E142" s="292">
        <v>23.46</v>
      </c>
      <c r="F142" s="292">
        <f t="shared" si="5"/>
        <v>508.29000000000059</v>
      </c>
      <c r="G142" s="292">
        <f t="shared" si="6"/>
        <v>6529.71</v>
      </c>
      <c r="H142" s="293">
        <f t="shared" si="7"/>
        <v>7.7842660700092436E-2</v>
      </c>
      <c r="I142" s="292">
        <v>21.5</v>
      </c>
      <c r="J142" s="292"/>
    </row>
    <row r="143" spans="2:10" x14ac:dyDescent="0.25">
      <c r="B143" s="533">
        <v>42662</v>
      </c>
      <c r="C143" s="291">
        <v>300</v>
      </c>
      <c r="D143" s="292">
        <v>21.77</v>
      </c>
      <c r="E143" s="292">
        <v>24.15</v>
      </c>
      <c r="F143" s="292">
        <f t="shared" si="5"/>
        <v>713.99999999999966</v>
      </c>
      <c r="G143" s="292">
        <f t="shared" si="6"/>
        <v>6531</v>
      </c>
      <c r="H143" s="293">
        <f t="shared" si="7"/>
        <v>0.10932475884244369</v>
      </c>
      <c r="I143" s="292"/>
      <c r="J143" s="292"/>
    </row>
    <row r="144" spans="2:10" x14ac:dyDescent="0.25">
      <c r="B144" s="533">
        <v>42663</v>
      </c>
      <c r="C144" s="291">
        <v>260</v>
      </c>
      <c r="D144" s="292">
        <v>21.302099999999999</v>
      </c>
      <c r="E144" s="292">
        <v>24.98</v>
      </c>
      <c r="F144" s="292">
        <f t="shared" si="5"/>
        <v>956.25400000000025</v>
      </c>
      <c r="G144" s="292">
        <f t="shared" si="6"/>
        <v>5538.5460000000003</v>
      </c>
      <c r="H144" s="293">
        <f t="shared" si="7"/>
        <v>0.17265433924354881</v>
      </c>
      <c r="I144" s="292"/>
      <c r="J144" s="292"/>
    </row>
    <row r="145" spans="2:10" x14ac:dyDescent="0.25">
      <c r="B145" s="533">
        <v>42664</v>
      </c>
      <c r="C145" s="291">
        <v>260</v>
      </c>
      <c r="D145" s="292">
        <v>21.302099999999999</v>
      </c>
      <c r="E145" s="292">
        <v>25.92</v>
      </c>
      <c r="F145" s="292">
        <f t="shared" si="5"/>
        <v>1200.6540000000007</v>
      </c>
      <c r="G145" s="292">
        <f t="shared" si="6"/>
        <v>5538.5460000000003</v>
      </c>
      <c r="H145" s="293">
        <f t="shared" si="7"/>
        <v>0.21678144408297786</v>
      </c>
      <c r="I145" s="292"/>
      <c r="J145" s="292"/>
    </row>
    <row r="146" spans="2:10" x14ac:dyDescent="0.25">
      <c r="B146" s="533">
        <v>42667</v>
      </c>
      <c r="C146" s="291">
        <v>260</v>
      </c>
      <c r="D146" s="292">
        <v>21.302099999999999</v>
      </c>
      <c r="E146" s="292">
        <v>25.35</v>
      </c>
      <c r="F146" s="292">
        <f t="shared" si="5"/>
        <v>1052.4540000000006</v>
      </c>
      <c r="G146" s="292">
        <f t="shared" si="6"/>
        <v>5538.5460000000003</v>
      </c>
      <c r="H146" s="293">
        <f t="shared" si="7"/>
        <v>0.19002351880800494</v>
      </c>
      <c r="I146" s="292"/>
      <c r="J146" s="292"/>
    </row>
    <row r="147" spans="2:10" x14ac:dyDescent="0.25">
      <c r="B147" s="533">
        <v>42674</v>
      </c>
      <c r="C147" s="291">
        <v>300</v>
      </c>
      <c r="D147" s="292">
        <v>21.6828</v>
      </c>
      <c r="E147" s="292">
        <v>24.01</v>
      </c>
      <c r="F147" s="292">
        <f t="shared" si="5"/>
        <v>698.16000000000042</v>
      </c>
      <c r="G147" s="292">
        <f t="shared" si="6"/>
        <v>6504.84</v>
      </c>
      <c r="H147" s="293">
        <f t="shared" si="7"/>
        <v>0.10732931171250951</v>
      </c>
      <c r="I147" s="292">
        <v>21.5</v>
      </c>
      <c r="J147" s="292"/>
    </row>
    <row r="148" spans="2:10" x14ac:dyDescent="0.25">
      <c r="B148" s="533">
        <v>42675</v>
      </c>
      <c r="C148" s="291">
        <v>300</v>
      </c>
      <c r="D148" s="292">
        <v>21.6096</v>
      </c>
      <c r="E148" s="292">
        <v>24.89</v>
      </c>
      <c r="F148" s="292">
        <f t="shared" si="5"/>
        <v>984.12000000000012</v>
      </c>
      <c r="G148" s="292">
        <f t="shared" si="6"/>
        <v>6482.88</v>
      </c>
      <c r="H148" s="293">
        <f t="shared" si="7"/>
        <v>0.15180290241374206</v>
      </c>
      <c r="I148" s="292">
        <v>21.5</v>
      </c>
      <c r="J148" s="292"/>
    </row>
    <row r="149" spans="2:10" x14ac:dyDescent="0.25">
      <c r="B149" s="533">
        <v>42677</v>
      </c>
      <c r="C149" s="291">
        <v>340</v>
      </c>
      <c r="D149" s="292">
        <v>21.5627</v>
      </c>
      <c r="E149" s="292">
        <v>22.6</v>
      </c>
      <c r="F149" s="292">
        <f t="shared" si="5"/>
        <v>352.68200000000064</v>
      </c>
      <c r="G149" s="292">
        <f t="shared" si="6"/>
        <v>7331.3180000000002</v>
      </c>
      <c r="H149" s="293">
        <f t="shared" si="7"/>
        <v>4.8106220464042164E-2</v>
      </c>
      <c r="I149" s="292"/>
      <c r="J149" s="292"/>
    </row>
    <row r="150" spans="2:10" x14ac:dyDescent="0.25">
      <c r="B150" s="533">
        <v>42701</v>
      </c>
      <c r="C150" s="291">
        <v>240</v>
      </c>
      <c r="D150" s="292">
        <v>18.880800000000001</v>
      </c>
      <c r="E150" s="292">
        <v>28.55</v>
      </c>
      <c r="F150" s="292">
        <f t="shared" si="5"/>
        <v>2320.6080000000002</v>
      </c>
      <c r="G150" s="292">
        <f t="shared" si="6"/>
        <v>4531.3919999999998</v>
      </c>
      <c r="H150" s="293">
        <f t="shared" si="7"/>
        <v>0.51211813058768696</v>
      </c>
      <c r="I150" s="292"/>
      <c r="J150" s="292"/>
    </row>
    <row r="151" spans="2:10" x14ac:dyDescent="0.25">
      <c r="B151" s="533">
        <v>42705</v>
      </c>
      <c r="C151" s="291">
        <v>200</v>
      </c>
      <c r="D151" s="292">
        <v>16.231100000000001</v>
      </c>
      <c r="E151" s="292">
        <v>28.94</v>
      </c>
      <c r="F151" s="292">
        <f t="shared" si="5"/>
        <v>2541.7799999999997</v>
      </c>
      <c r="G151" s="292">
        <f t="shared" si="6"/>
        <v>3246.2200000000003</v>
      </c>
      <c r="H151" s="293">
        <f t="shared" si="7"/>
        <v>0.78299683940090314</v>
      </c>
      <c r="I151" s="292" t="s">
        <v>291</v>
      </c>
      <c r="J151" s="292"/>
    </row>
    <row r="152" spans="2:10" x14ac:dyDescent="0.25">
      <c r="B152" s="533">
        <v>42711</v>
      </c>
      <c r="C152" s="291">
        <v>0</v>
      </c>
      <c r="D152" s="292"/>
      <c r="E152" s="292"/>
      <c r="F152" s="292">
        <v>2733.66</v>
      </c>
      <c r="G152" s="292"/>
      <c r="H152" s="293"/>
      <c r="I152" s="292"/>
      <c r="J152" s="292"/>
    </row>
    <row r="153" spans="2:10" x14ac:dyDescent="0.25">
      <c r="B153" s="533"/>
      <c r="C153" s="291"/>
      <c r="D153" s="292"/>
      <c r="E153" s="292"/>
      <c r="F153" s="292"/>
      <c r="G153" s="292"/>
      <c r="H153" s="293"/>
      <c r="I153" s="292"/>
      <c r="J153" s="292"/>
    </row>
    <row r="154" spans="2:10" x14ac:dyDescent="0.25">
      <c r="B154" s="533">
        <v>42716</v>
      </c>
      <c r="C154" s="291">
        <v>200</v>
      </c>
      <c r="D154" s="292">
        <v>29.285</v>
      </c>
      <c r="E154" s="292">
        <v>29</v>
      </c>
      <c r="F154" s="292">
        <f t="shared" ref="F154:F161" si="8">C154*(E154-D154)</f>
        <v>-57.000000000000028</v>
      </c>
      <c r="G154" s="292">
        <f t="shared" ref="G154:G161" si="9">D154*C154</f>
        <v>5857</v>
      </c>
      <c r="H154" s="293">
        <f t="shared" ref="H154:H161" si="10">(E154-D154)/D154</f>
        <v>-9.7319446815776044E-3</v>
      </c>
      <c r="I154" s="292"/>
      <c r="J154" s="292"/>
    </row>
    <row r="155" spans="2:10" x14ac:dyDescent="0.25">
      <c r="B155" s="533">
        <v>42720</v>
      </c>
      <c r="C155" s="291">
        <v>100</v>
      </c>
      <c r="D155" s="292">
        <v>29.210599999999999</v>
      </c>
      <c r="E155" s="292">
        <v>29.48</v>
      </c>
      <c r="F155" s="292">
        <f t="shared" si="8"/>
        <v>26.940000000000097</v>
      </c>
      <c r="G155" s="292">
        <f t="shared" si="9"/>
        <v>2921.06</v>
      </c>
      <c r="H155" s="293">
        <f t="shared" si="10"/>
        <v>9.2226794382861358E-3</v>
      </c>
      <c r="I155" s="292"/>
      <c r="J155" s="292"/>
    </row>
    <row r="156" spans="2:10" x14ac:dyDescent="0.25">
      <c r="B156" s="533">
        <v>42723</v>
      </c>
      <c r="C156" s="291">
        <v>200</v>
      </c>
      <c r="D156" s="292">
        <v>28.7453</v>
      </c>
      <c r="E156" s="292">
        <v>28.29</v>
      </c>
      <c r="F156" s="292">
        <f t="shared" si="8"/>
        <v>-91.06000000000023</v>
      </c>
      <c r="G156" s="292">
        <f t="shared" si="9"/>
        <v>5749.06</v>
      </c>
      <c r="H156" s="293">
        <f t="shared" si="10"/>
        <v>-1.5839111089465101E-2</v>
      </c>
      <c r="I156" s="292"/>
      <c r="J156" s="292"/>
    </row>
    <row r="157" spans="2:10" x14ac:dyDescent="0.25">
      <c r="B157" s="533">
        <v>42724</v>
      </c>
      <c r="C157" s="291">
        <v>100</v>
      </c>
      <c r="D157" s="292">
        <v>28.511199999999999</v>
      </c>
      <c r="E157" s="292">
        <v>28.76</v>
      </c>
      <c r="F157" s="292">
        <f t="shared" si="8"/>
        <v>24.88000000000028</v>
      </c>
      <c r="G157" s="292">
        <f t="shared" si="9"/>
        <v>2851.12</v>
      </c>
      <c r="H157" s="293">
        <f t="shared" si="10"/>
        <v>8.7263952411684807E-3</v>
      </c>
      <c r="I157" s="292"/>
      <c r="J157" s="292"/>
    </row>
    <row r="158" spans="2:10" x14ac:dyDescent="0.25">
      <c r="B158" s="533">
        <v>42731</v>
      </c>
      <c r="C158" s="291">
        <v>100</v>
      </c>
      <c r="D158" s="292">
        <v>28.511199999999999</v>
      </c>
      <c r="E158" s="292">
        <v>31.95</v>
      </c>
      <c r="F158" s="292">
        <f t="shared" si="8"/>
        <v>343.88000000000005</v>
      </c>
      <c r="G158" s="292">
        <f t="shared" si="9"/>
        <v>2851.12</v>
      </c>
      <c r="H158" s="293">
        <f t="shared" si="10"/>
        <v>0.12061225062431608</v>
      </c>
      <c r="I158" s="292"/>
      <c r="J158" s="292"/>
    </row>
    <row r="159" spans="2:10" x14ac:dyDescent="0.25">
      <c r="B159" s="533">
        <v>42739</v>
      </c>
      <c r="C159" s="291">
        <v>100</v>
      </c>
      <c r="D159" s="292">
        <v>28.511199999999999</v>
      </c>
      <c r="E159" s="292">
        <v>33.04</v>
      </c>
      <c r="F159" s="292">
        <f t="shared" si="8"/>
        <v>452.88000000000005</v>
      </c>
      <c r="G159" s="292">
        <f t="shared" si="9"/>
        <v>2851.12</v>
      </c>
      <c r="H159" s="293">
        <f t="shared" si="10"/>
        <v>0.15884284070821295</v>
      </c>
      <c r="I159" s="292"/>
      <c r="J159" s="292"/>
    </row>
    <row r="160" spans="2:10" x14ac:dyDescent="0.25">
      <c r="B160" s="533">
        <v>42744</v>
      </c>
      <c r="C160" s="291">
        <v>100</v>
      </c>
      <c r="D160" s="292">
        <v>28.511199999999999</v>
      </c>
      <c r="E160" s="292">
        <v>33.770000000000003</v>
      </c>
      <c r="F160" s="292">
        <f t="shared" si="8"/>
        <v>525.88000000000045</v>
      </c>
      <c r="G160" s="292">
        <f t="shared" si="9"/>
        <v>2851.12</v>
      </c>
      <c r="H160" s="293">
        <f t="shared" si="10"/>
        <v>0.18444681388366693</v>
      </c>
      <c r="I160" s="292"/>
      <c r="J160" s="292"/>
    </row>
    <row r="161" spans="1:10" x14ac:dyDescent="0.25">
      <c r="B161" s="533">
        <v>42745</v>
      </c>
      <c r="C161" s="291">
        <v>100</v>
      </c>
      <c r="D161" s="292">
        <v>28.511199999999999</v>
      </c>
      <c r="E161" s="292">
        <v>32.729999999999997</v>
      </c>
      <c r="F161" s="292">
        <f t="shared" si="8"/>
        <v>421.87999999999982</v>
      </c>
      <c r="G161" s="292">
        <f t="shared" si="9"/>
        <v>2851.12</v>
      </c>
      <c r="H161" s="293">
        <f t="shared" si="10"/>
        <v>0.14796992059260916</v>
      </c>
      <c r="I161" s="292"/>
      <c r="J161" s="292"/>
    </row>
    <row r="162" spans="1:10" x14ac:dyDescent="0.25">
      <c r="B162" s="533"/>
      <c r="C162" s="291"/>
      <c r="D162" s="292"/>
      <c r="E162" s="292"/>
      <c r="F162" s="292"/>
      <c r="G162" s="291"/>
      <c r="H162" s="291"/>
      <c r="I162" s="292"/>
      <c r="J162" s="292"/>
    </row>
    <row r="163" spans="1:10" x14ac:dyDescent="0.25">
      <c r="B163" s="533"/>
      <c r="C163" s="291"/>
      <c r="D163" s="292"/>
      <c r="E163" s="292"/>
      <c r="F163" s="292"/>
      <c r="G163" s="291"/>
      <c r="H163" s="291"/>
      <c r="I163" s="292"/>
      <c r="J163" s="292"/>
    </row>
    <row r="164" spans="1:10" x14ac:dyDescent="0.25">
      <c r="B164" s="533"/>
      <c r="C164" s="291"/>
      <c r="D164" s="292"/>
      <c r="E164" s="292"/>
      <c r="F164" s="292"/>
      <c r="G164" s="291"/>
      <c r="H164" s="291"/>
      <c r="I164" s="292"/>
      <c r="J164" s="292"/>
    </row>
    <row r="165" spans="1:10" x14ac:dyDescent="0.25">
      <c r="B165" s="533"/>
      <c r="C165" s="291"/>
      <c r="D165" s="292"/>
      <c r="E165" s="292"/>
      <c r="F165" s="292"/>
      <c r="G165" s="291"/>
      <c r="H165" s="291"/>
      <c r="I165" s="292"/>
      <c r="J165" s="292"/>
    </row>
    <row r="166" spans="1:10" x14ac:dyDescent="0.25">
      <c r="B166" s="401" t="s">
        <v>113</v>
      </c>
      <c r="C166" s="159" t="s">
        <v>143</v>
      </c>
      <c r="D166" s="160" t="s">
        <v>142</v>
      </c>
      <c r="E166" s="162" t="s">
        <v>144</v>
      </c>
      <c r="F166" s="162" t="s">
        <v>65</v>
      </c>
      <c r="G166" s="173" t="s">
        <v>148</v>
      </c>
      <c r="H166" s="173" t="s">
        <v>88</v>
      </c>
      <c r="I166" s="173" t="s">
        <v>151</v>
      </c>
      <c r="J166" s="173" t="s">
        <v>458</v>
      </c>
    </row>
    <row r="167" spans="1:10" x14ac:dyDescent="0.25">
      <c r="A167" t="s">
        <v>319</v>
      </c>
      <c r="B167" s="147">
        <v>42755</v>
      </c>
      <c r="C167" s="10">
        <v>100</v>
      </c>
      <c r="D167" s="39">
        <v>33.58</v>
      </c>
      <c r="E167" s="39">
        <v>34.200000000000003</v>
      </c>
      <c r="F167" s="39">
        <f t="shared" ref="F167:F196" si="11">C167*(E167-D167)</f>
        <v>62.000000000000455</v>
      </c>
      <c r="G167" s="39">
        <f t="shared" ref="G167:G196" si="12">D167*C167</f>
        <v>3358</v>
      </c>
      <c r="H167" s="175">
        <f t="shared" ref="H167:H196" si="13">(E167-D167)/D167</f>
        <v>1.8463371054199065E-2</v>
      </c>
      <c r="I167" s="39"/>
      <c r="J167" s="39"/>
    </row>
    <row r="168" spans="1:10" x14ac:dyDescent="0.25">
      <c r="A168" t="s">
        <v>319</v>
      </c>
      <c r="B168" s="147">
        <v>42760</v>
      </c>
      <c r="C168" s="10">
        <v>100</v>
      </c>
      <c r="D168" s="39">
        <v>33.58</v>
      </c>
      <c r="E168" s="39">
        <v>36.54</v>
      </c>
      <c r="F168" s="39">
        <f t="shared" si="11"/>
        <v>296.00000000000011</v>
      </c>
      <c r="G168" s="39">
        <f t="shared" si="12"/>
        <v>3358</v>
      </c>
      <c r="H168" s="175">
        <f t="shared" si="13"/>
        <v>8.8147706968433617E-2</v>
      </c>
      <c r="I168" s="39"/>
      <c r="J168" s="39"/>
    </row>
    <row r="169" spans="1:10" x14ac:dyDescent="0.25">
      <c r="A169" t="s">
        <v>391</v>
      </c>
      <c r="B169" s="147">
        <v>42781</v>
      </c>
      <c r="C169" s="10">
        <v>150</v>
      </c>
      <c r="D169" s="39">
        <v>33.936700000000002</v>
      </c>
      <c r="E169" s="39">
        <v>34.659999999999997</v>
      </c>
      <c r="F169" s="39">
        <f t="shared" si="11"/>
        <v>108.49499999999921</v>
      </c>
      <c r="G169" s="39">
        <f t="shared" si="12"/>
        <v>5090.5050000000001</v>
      </c>
      <c r="H169" s="175">
        <f t="shared" si="13"/>
        <v>2.1313209593154157E-2</v>
      </c>
      <c r="I169" s="39"/>
      <c r="J169" s="39"/>
    </row>
    <row r="170" spans="1:10" x14ac:dyDescent="0.25">
      <c r="A170" t="s">
        <v>405</v>
      </c>
      <c r="B170" s="147">
        <v>42788</v>
      </c>
      <c r="C170" s="10">
        <v>200</v>
      </c>
      <c r="D170" s="39">
        <v>33.762500000000003</v>
      </c>
      <c r="E170" s="39">
        <v>33.22</v>
      </c>
      <c r="F170" s="39">
        <f t="shared" si="11"/>
        <v>-108.5000000000008</v>
      </c>
      <c r="G170" s="39">
        <f t="shared" si="12"/>
        <v>6752.5000000000009</v>
      </c>
      <c r="H170" s="175">
        <f t="shared" si="13"/>
        <v>-1.6068122917438102E-2</v>
      </c>
      <c r="I170" s="39"/>
      <c r="J170" s="39"/>
    </row>
    <row r="171" spans="1:10" x14ac:dyDescent="0.25">
      <c r="A171" t="s">
        <v>409</v>
      </c>
      <c r="B171" s="147">
        <v>42789</v>
      </c>
      <c r="C171" s="10">
        <v>250</v>
      </c>
      <c r="D171" s="39">
        <v>33.345999999999997</v>
      </c>
      <c r="E171" s="39">
        <v>31.82</v>
      </c>
      <c r="F171" s="39">
        <f t="shared" si="11"/>
        <v>-381.49999999999909</v>
      </c>
      <c r="G171" s="39">
        <f t="shared" si="12"/>
        <v>8336.5</v>
      </c>
      <c r="H171" s="175">
        <f t="shared" si="13"/>
        <v>-4.5762610208120807E-2</v>
      </c>
      <c r="I171" s="39"/>
      <c r="J171" s="39"/>
    </row>
    <row r="172" spans="1:10" x14ac:dyDescent="0.25">
      <c r="A172" t="s">
        <v>335</v>
      </c>
      <c r="B172" s="147">
        <v>42790</v>
      </c>
      <c r="C172" s="7">
        <v>250</v>
      </c>
      <c r="D172" s="43">
        <v>33.345999999999997</v>
      </c>
      <c r="E172" s="39">
        <v>31.15</v>
      </c>
      <c r="F172" s="39">
        <f t="shared" si="11"/>
        <v>-548.99999999999955</v>
      </c>
      <c r="G172" s="39">
        <f t="shared" si="12"/>
        <v>8336.5</v>
      </c>
      <c r="H172" s="175">
        <f t="shared" si="13"/>
        <v>-6.5854975109458355E-2</v>
      </c>
      <c r="I172" s="39"/>
      <c r="J172" s="39"/>
    </row>
    <row r="173" spans="1:10" x14ac:dyDescent="0.25">
      <c r="A173" t="s">
        <v>424</v>
      </c>
      <c r="B173" s="147">
        <v>42795</v>
      </c>
      <c r="C173" s="10">
        <v>250</v>
      </c>
      <c r="D173" s="39">
        <v>33.225999999999999</v>
      </c>
      <c r="E173" s="39">
        <v>32.15</v>
      </c>
      <c r="F173" s="39">
        <f t="shared" si="11"/>
        <v>-269.00000000000011</v>
      </c>
      <c r="G173" s="39">
        <f t="shared" si="12"/>
        <v>8306.5</v>
      </c>
      <c r="H173" s="175">
        <f t="shared" si="13"/>
        <v>-3.2384277373141535E-2</v>
      </c>
      <c r="I173" s="39"/>
      <c r="J173" s="39"/>
    </row>
    <row r="174" spans="1:10" x14ac:dyDescent="0.25">
      <c r="A174">
        <v>100</v>
      </c>
      <c r="B174" s="147">
        <v>42808</v>
      </c>
      <c r="C174" s="10">
        <v>250</v>
      </c>
      <c r="D174" s="39">
        <v>33.225999999999999</v>
      </c>
      <c r="E174" s="39">
        <v>28.68</v>
      </c>
      <c r="F174" s="39">
        <f t="shared" si="11"/>
        <v>-1136.4999999999998</v>
      </c>
      <c r="G174" s="39">
        <f t="shared" si="12"/>
        <v>8306.5</v>
      </c>
      <c r="H174" s="175">
        <f t="shared" si="13"/>
        <v>-0.13682056221031721</v>
      </c>
      <c r="I174" s="39"/>
      <c r="J174" s="39"/>
    </row>
    <row r="175" spans="1:10" x14ac:dyDescent="0.25">
      <c r="A175">
        <v>100</v>
      </c>
      <c r="B175" s="147">
        <v>42809</v>
      </c>
      <c r="C175" s="470">
        <v>350</v>
      </c>
      <c r="D175" s="536">
        <v>31.8414</v>
      </c>
      <c r="E175" s="39">
        <v>28.71</v>
      </c>
      <c r="F175" s="39">
        <f t="shared" si="11"/>
        <v>-1095.9899999999998</v>
      </c>
      <c r="G175" s="39">
        <f t="shared" si="12"/>
        <v>11144.49</v>
      </c>
      <c r="H175" s="175">
        <f t="shared" si="13"/>
        <v>-9.8343665793589455E-2</v>
      </c>
      <c r="I175" s="39"/>
      <c r="J175" s="39">
        <v>2214</v>
      </c>
    </row>
    <row r="176" spans="1:10" x14ac:dyDescent="0.25">
      <c r="A176">
        <v>0</v>
      </c>
      <c r="B176" s="147">
        <v>42801</v>
      </c>
      <c r="C176" s="7">
        <v>250</v>
      </c>
      <c r="D176" s="43">
        <v>32.8262</v>
      </c>
      <c r="E176" s="39">
        <v>29.29</v>
      </c>
      <c r="F176" s="39">
        <f t="shared" si="11"/>
        <v>-884.05000000000018</v>
      </c>
      <c r="G176" s="39">
        <f t="shared" si="12"/>
        <v>8206.5499999999993</v>
      </c>
      <c r="H176" s="175">
        <f t="shared" si="13"/>
        <v>-0.10772492703998637</v>
      </c>
      <c r="I176" s="39">
        <v>32.5</v>
      </c>
      <c r="J176" s="39">
        <v>2426</v>
      </c>
    </row>
    <row r="177" spans="1:10" x14ac:dyDescent="0.25">
      <c r="B177" s="147">
        <v>42828</v>
      </c>
      <c r="C177" s="10">
        <v>350</v>
      </c>
      <c r="D177" s="39">
        <v>31.55</v>
      </c>
      <c r="E177" s="39">
        <v>28.42</v>
      </c>
      <c r="F177" s="39">
        <f t="shared" si="11"/>
        <v>-1095.4999999999995</v>
      </c>
      <c r="G177" s="39">
        <f t="shared" si="12"/>
        <v>11042.5</v>
      </c>
      <c r="H177" s="175">
        <f t="shared" si="13"/>
        <v>-9.920760697305861E-2</v>
      </c>
      <c r="I177" s="39"/>
      <c r="J177" s="39">
        <v>2215</v>
      </c>
    </row>
    <row r="178" spans="1:10" x14ac:dyDescent="0.25">
      <c r="A178">
        <v>50</v>
      </c>
      <c r="B178" s="147">
        <v>42829</v>
      </c>
      <c r="C178" s="7">
        <v>250</v>
      </c>
      <c r="D178" s="43">
        <v>32.5625</v>
      </c>
      <c r="E178" s="39">
        <v>29.23</v>
      </c>
      <c r="F178" s="39">
        <f t="shared" si="11"/>
        <v>-833.12499999999989</v>
      </c>
      <c r="G178" s="39">
        <f t="shared" si="12"/>
        <v>8140.625</v>
      </c>
      <c r="H178" s="175">
        <f t="shared" si="13"/>
        <v>-0.10234165067178501</v>
      </c>
      <c r="I178" s="39"/>
      <c r="J178" s="39">
        <v>2477</v>
      </c>
    </row>
    <row r="179" spans="1:10" x14ac:dyDescent="0.25">
      <c r="A179">
        <v>50</v>
      </c>
      <c r="B179" s="147">
        <v>42836</v>
      </c>
      <c r="C179" s="10">
        <v>250</v>
      </c>
      <c r="D179" s="39">
        <v>32.5625</v>
      </c>
      <c r="E179" s="39">
        <v>29.65</v>
      </c>
      <c r="F179" s="39">
        <f t="shared" si="11"/>
        <v>-728.12500000000034</v>
      </c>
      <c r="G179" s="39">
        <f t="shared" si="12"/>
        <v>8140.625</v>
      </c>
      <c r="H179" s="175">
        <f t="shared" si="13"/>
        <v>-8.9443378119001965E-2</v>
      </c>
      <c r="I179" s="39">
        <v>32.5</v>
      </c>
      <c r="J179" s="39">
        <v>2582</v>
      </c>
    </row>
    <row r="180" spans="1:10" x14ac:dyDescent="0.25">
      <c r="A180">
        <v>150</v>
      </c>
      <c r="B180" s="147">
        <v>42843</v>
      </c>
      <c r="C180" s="10">
        <v>250</v>
      </c>
      <c r="D180" s="39">
        <v>32.5625</v>
      </c>
      <c r="E180" s="39">
        <v>27.08</v>
      </c>
      <c r="F180" s="39">
        <f t="shared" si="11"/>
        <v>-1370.6250000000005</v>
      </c>
      <c r="G180" s="39">
        <f t="shared" si="12"/>
        <v>8140.625</v>
      </c>
      <c r="H180" s="175">
        <f t="shared" si="13"/>
        <v>-0.1683685220729367</v>
      </c>
      <c r="I180" s="39"/>
      <c r="J180" s="39">
        <v>1940</v>
      </c>
    </row>
    <row r="181" spans="1:10" x14ac:dyDescent="0.25">
      <c r="A181">
        <v>150</v>
      </c>
      <c r="B181" s="147">
        <v>42846</v>
      </c>
      <c r="C181" s="470">
        <v>350</v>
      </c>
      <c r="D181" s="536">
        <v>30.687999999999999</v>
      </c>
      <c r="E181" s="39">
        <v>26</v>
      </c>
      <c r="F181" s="39">
        <f t="shared" si="11"/>
        <v>-1640.7999999999995</v>
      </c>
      <c r="G181" s="39">
        <f t="shared" si="12"/>
        <v>10740.8</v>
      </c>
      <c r="H181" s="175">
        <f t="shared" si="13"/>
        <v>-0.1527632950990615</v>
      </c>
      <c r="I181" s="39"/>
      <c r="J181" s="39">
        <v>1670</v>
      </c>
    </row>
    <row r="182" spans="1:10" x14ac:dyDescent="0.25">
      <c r="A182">
        <v>50</v>
      </c>
      <c r="B182" s="147">
        <v>42851</v>
      </c>
      <c r="C182" s="7">
        <v>250</v>
      </c>
      <c r="D182" s="43">
        <v>32.002699999999997</v>
      </c>
      <c r="E182" s="39">
        <v>27.26</v>
      </c>
      <c r="F182" s="39">
        <f t="shared" si="11"/>
        <v>-1185.6749999999988</v>
      </c>
      <c r="G182" s="39">
        <f t="shared" si="12"/>
        <v>8000.6749999999993</v>
      </c>
      <c r="H182" s="175">
        <f t="shared" si="13"/>
        <v>-0.14819687088901862</v>
      </c>
      <c r="I182" s="39" t="s">
        <v>605</v>
      </c>
      <c r="J182" s="39">
        <v>2125</v>
      </c>
    </row>
    <row r="183" spans="1:10" x14ac:dyDescent="0.25">
      <c r="A183">
        <v>50</v>
      </c>
      <c r="B183" s="147">
        <v>42853</v>
      </c>
      <c r="C183" s="470">
        <v>350</v>
      </c>
      <c r="D183" s="536">
        <v>30.501999999999999</v>
      </c>
      <c r="E183" s="39">
        <v>26.74</v>
      </c>
      <c r="F183" s="39">
        <f t="shared" si="11"/>
        <v>-1316.7000000000003</v>
      </c>
      <c r="G183" s="39">
        <f t="shared" si="12"/>
        <v>10675.699999999999</v>
      </c>
      <c r="H183" s="175">
        <f t="shared" si="13"/>
        <v>-0.12333617467707038</v>
      </c>
      <c r="I183" s="39"/>
      <c r="J183" s="39">
        <v>1994</v>
      </c>
    </row>
    <row r="184" spans="1:10" x14ac:dyDescent="0.25">
      <c r="A184">
        <v>50</v>
      </c>
      <c r="B184" s="147">
        <v>42860</v>
      </c>
      <c r="C184" s="7">
        <v>250</v>
      </c>
      <c r="D184" s="43">
        <v>31.67</v>
      </c>
      <c r="E184" s="39">
        <v>28.42</v>
      </c>
      <c r="F184" s="39">
        <f t="shared" si="11"/>
        <v>-812.5</v>
      </c>
      <c r="G184" s="39">
        <f t="shared" si="12"/>
        <v>7917.5</v>
      </c>
      <c r="H184" s="175">
        <f t="shared" si="13"/>
        <v>-0.10262077676034101</v>
      </c>
      <c r="I184" s="39" t="s">
        <v>606</v>
      </c>
      <c r="J184" s="39">
        <v>2498</v>
      </c>
    </row>
    <row r="185" spans="1:10" x14ac:dyDescent="0.25">
      <c r="A185">
        <v>250</v>
      </c>
      <c r="B185" s="147">
        <v>42887</v>
      </c>
      <c r="C185" s="10">
        <v>250</v>
      </c>
      <c r="D185" s="39">
        <v>31.37</v>
      </c>
      <c r="E185" s="39">
        <v>27.03</v>
      </c>
      <c r="F185" s="39">
        <f t="shared" si="11"/>
        <v>-1085</v>
      </c>
      <c r="G185" s="39">
        <f t="shared" si="12"/>
        <v>7842.5</v>
      </c>
      <c r="H185" s="175">
        <f t="shared" si="13"/>
        <v>-0.13834874083519286</v>
      </c>
      <c r="I185" s="39" t="s">
        <v>610</v>
      </c>
      <c r="J185" s="39">
        <v>2225</v>
      </c>
    </row>
    <row r="186" spans="1:10" x14ac:dyDescent="0.25">
      <c r="A186">
        <v>150</v>
      </c>
      <c r="B186" s="147">
        <v>42898</v>
      </c>
      <c r="C186" s="7">
        <v>250</v>
      </c>
      <c r="D186" s="43">
        <v>30.778400000000001</v>
      </c>
      <c r="E186" s="39">
        <v>27.36</v>
      </c>
      <c r="F186" s="39">
        <f t="shared" si="11"/>
        <v>-854.60000000000048</v>
      </c>
      <c r="G186" s="39">
        <f t="shared" si="12"/>
        <v>7694.6</v>
      </c>
      <c r="H186" s="175">
        <f t="shared" si="13"/>
        <v>-0.11106490265900767</v>
      </c>
      <c r="I186" s="39"/>
      <c r="J186" s="39">
        <v>2456</v>
      </c>
    </row>
    <row r="187" spans="1:10" x14ac:dyDescent="0.25">
      <c r="A187">
        <v>150</v>
      </c>
      <c r="B187" s="147">
        <v>42936</v>
      </c>
      <c r="C187" s="10">
        <v>150</v>
      </c>
      <c r="D187" s="39">
        <v>30.5411</v>
      </c>
      <c r="E187" s="39">
        <v>31.13</v>
      </c>
      <c r="F187" s="39">
        <f t="shared" si="11"/>
        <v>88.334999999999837</v>
      </c>
      <c r="G187" s="39">
        <f t="shared" si="12"/>
        <v>4581.165</v>
      </c>
      <c r="H187" s="175">
        <f t="shared" si="13"/>
        <v>1.9282213148838739E-2</v>
      </c>
      <c r="I187" s="39"/>
      <c r="J187" s="39">
        <v>3380</v>
      </c>
    </row>
    <row r="188" spans="1:10" x14ac:dyDescent="0.25">
      <c r="A188">
        <v>150</v>
      </c>
      <c r="B188" s="147">
        <v>42940</v>
      </c>
      <c r="C188" s="7">
        <v>250</v>
      </c>
      <c r="D188" s="43">
        <v>30.4406</v>
      </c>
      <c r="E188" s="39">
        <v>30.22</v>
      </c>
      <c r="F188" s="39">
        <f t="shared" si="11"/>
        <v>-55.150000000000254</v>
      </c>
      <c r="G188" s="39">
        <f t="shared" si="12"/>
        <v>7610.15</v>
      </c>
      <c r="H188" s="175">
        <f t="shared" si="13"/>
        <v>-7.2469005210147311E-3</v>
      </c>
      <c r="I188" s="39"/>
      <c r="J188" s="39">
        <v>3255</v>
      </c>
    </row>
    <row r="189" spans="1:10" x14ac:dyDescent="0.25">
      <c r="A189">
        <v>150</v>
      </c>
      <c r="B189" s="147">
        <v>42942</v>
      </c>
      <c r="C189" s="10">
        <v>300</v>
      </c>
      <c r="D189" s="39">
        <v>30.165500000000002</v>
      </c>
      <c r="E189" s="39">
        <v>28.88</v>
      </c>
      <c r="F189" s="39">
        <f t="shared" si="11"/>
        <v>-385.65000000000077</v>
      </c>
      <c r="G189" s="39">
        <f t="shared" si="12"/>
        <v>9049.65</v>
      </c>
      <c r="H189" s="175">
        <f t="shared" si="13"/>
        <v>-4.2614907758863681E-2</v>
      </c>
      <c r="I189" s="39"/>
      <c r="J189" s="39">
        <v>2925</v>
      </c>
    </row>
    <row r="190" spans="1:10" x14ac:dyDescent="0.25">
      <c r="A190">
        <v>100</v>
      </c>
      <c r="B190" s="147">
        <v>42950</v>
      </c>
      <c r="C190" s="7">
        <v>250</v>
      </c>
      <c r="D190" s="43">
        <v>30.122800000000002</v>
      </c>
      <c r="E190" s="39">
        <v>30.71</v>
      </c>
      <c r="F190" s="39">
        <f t="shared" si="11"/>
        <v>146.79999999999981</v>
      </c>
      <c r="G190" s="39">
        <f t="shared" si="12"/>
        <v>7530.7000000000007</v>
      </c>
      <c r="H190" s="175">
        <f t="shared" si="13"/>
        <v>1.9493539777178725E-2</v>
      </c>
      <c r="I190" s="39"/>
      <c r="J190" s="39">
        <v>3457</v>
      </c>
    </row>
    <row r="191" spans="1:10" x14ac:dyDescent="0.25">
      <c r="A191">
        <v>50</v>
      </c>
      <c r="B191" s="147">
        <v>42951</v>
      </c>
      <c r="C191" s="10">
        <v>200</v>
      </c>
      <c r="D191" s="39">
        <v>29.808700000000002</v>
      </c>
      <c r="E191" s="39">
        <v>32.21</v>
      </c>
      <c r="F191" s="39">
        <f t="shared" si="11"/>
        <v>480.25999999999982</v>
      </c>
      <c r="G191" s="39">
        <f t="shared" si="12"/>
        <v>5961.7400000000007</v>
      </c>
      <c r="H191" s="175">
        <f t="shared" si="13"/>
        <v>8.0557018588532842E-2</v>
      </c>
      <c r="I191" s="39"/>
      <c r="J191" s="39">
        <v>3791</v>
      </c>
    </row>
    <row r="192" spans="1:10" x14ac:dyDescent="0.25">
      <c r="A192">
        <v>50</v>
      </c>
      <c r="B192" s="147">
        <v>42957</v>
      </c>
      <c r="C192" s="7">
        <v>250</v>
      </c>
      <c r="D192" s="43">
        <v>29.986999999999998</v>
      </c>
      <c r="E192" s="39">
        <v>30.76</v>
      </c>
      <c r="F192" s="39">
        <f t="shared" si="11"/>
        <v>193.2500000000008</v>
      </c>
      <c r="G192" s="39">
        <f t="shared" si="12"/>
        <v>7496.75</v>
      </c>
      <c r="H192" s="175">
        <f t="shared" si="13"/>
        <v>2.577783706272729E-2</v>
      </c>
      <c r="I192" s="39"/>
      <c r="J192" s="39">
        <v>3504</v>
      </c>
    </row>
    <row r="193" spans="1:10" x14ac:dyDescent="0.25">
      <c r="B193" s="147">
        <v>42979</v>
      </c>
      <c r="C193" s="7">
        <v>250</v>
      </c>
      <c r="D193" s="43">
        <v>29.687000000000001</v>
      </c>
      <c r="E193" s="39">
        <v>29.98</v>
      </c>
      <c r="F193" s="39">
        <f t="shared" si="11"/>
        <v>73.249999999999815</v>
      </c>
      <c r="G193" s="39">
        <f t="shared" si="12"/>
        <v>7421.75</v>
      </c>
      <c r="H193" s="175">
        <f t="shared" si="13"/>
        <v>9.8696399097247707E-3</v>
      </c>
      <c r="I193" s="170" t="s">
        <v>638</v>
      </c>
      <c r="J193" s="39">
        <v>3384</v>
      </c>
    </row>
    <row r="194" spans="1:10" x14ac:dyDescent="0.25">
      <c r="A194">
        <v>200</v>
      </c>
      <c r="B194" s="147">
        <v>42983</v>
      </c>
      <c r="C194" s="470">
        <v>350</v>
      </c>
      <c r="D194" s="536">
        <v>29.5335</v>
      </c>
      <c r="E194" s="39">
        <v>29.08</v>
      </c>
      <c r="F194" s="39">
        <f t="shared" si="11"/>
        <v>-158.72500000000062</v>
      </c>
      <c r="G194" s="39">
        <f t="shared" si="12"/>
        <v>10336.725</v>
      </c>
      <c r="H194" s="175">
        <f t="shared" si="13"/>
        <v>-1.5355443818037206E-2</v>
      </c>
      <c r="I194" s="39">
        <v>29</v>
      </c>
      <c r="J194" s="39">
        <v>3152</v>
      </c>
    </row>
    <row r="195" spans="1:10" x14ac:dyDescent="0.25">
      <c r="A195">
        <v>100</v>
      </c>
      <c r="B195" s="147">
        <v>42984</v>
      </c>
      <c r="C195" s="7">
        <v>250</v>
      </c>
      <c r="D195" s="43">
        <v>29.3552</v>
      </c>
      <c r="E195" s="39">
        <v>29.98</v>
      </c>
      <c r="F195" s="39">
        <f t="shared" si="11"/>
        <v>156.2000000000001</v>
      </c>
      <c r="G195" s="39">
        <f t="shared" si="12"/>
        <v>7338.8</v>
      </c>
      <c r="H195" s="175">
        <f t="shared" si="13"/>
        <v>2.1284133645827673E-2</v>
      </c>
      <c r="I195" s="39">
        <v>29</v>
      </c>
      <c r="J195" s="39"/>
    </row>
    <row r="196" spans="1:10" x14ac:dyDescent="0.25">
      <c r="A196">
        <v>50</v>
      </c>
      <c r="B196" s="147">
        <v>42984</v>
      </c>
      <c r="C196" s="10">
        <v>200</v>
      </c>
      <c r="D196" s="39">
        <v>28.998999999999999</v>
      </c>
      <c r="E196" s="39">
        <v>30.78</v>
      </c>
      <c r="F196" s="39">
        <f t="shared" si="11"/>
        <v>356.2000000000005</v>
      </c>
      <c r="G196" s="39">
        <f t="shared" si="12"/>
        <v>5799.8</v>
      </c>
      <c r="H196" s="175">
        <f t="shared" si="13"/>
        <v>6.141591089347917E-2</v>
      </c>
      <c r="I196" s="39"/>
      <c r="J196" s="39">
        <v>3633</v>
      </c>
    </row>
    <row r="197" spans="1:10" x14ac:dyDescent="0.25">
      <c r="B197" s="147"/>
      <c r="C197" s="10"/>
      <c r="D197" s="39"/>
      <c r="E197" s="39"/>
      <c r="F197" s="39"/>
      <c r="G197" s="39"/>
      <c r="H197" s="175"/>
      <c r="I197" s="39"/>
      <c r="J197" s="39"/>
    </row>
    <row r="198" spans="1:10" x14ac:dyDescent="0.25">
      <c r="A198">
        <v>0</v>
      </c>
      <c r="B198" s="147">
        <v>42984</v>
      </c>
      <c r="C198" s="10">
        <v>150</v>
      </c>
      <c r="D198" s="39">
        <v>29.666699999999999</v>
      </c>
      <c r="E198" s="39">
        <v>31.2</v>
      </c>
      <c r="F198" s="39">
        <f>C198*(E198-D198)</f>
        <v>229.99500000000009</v>
      </c>
      <c r="G198" s="39">
        <f>D198*C198</f>
        <v>4450.0050000000001</v>
      </c>
      <c r="H198" s="175">
        <f>(E198-D198)/D198</f>
        <v>5.1684211590773514E-2</v>
      </c>
      <c r="I198" s="39">
        <v>29</v>
      </c>
      <c r="J198" s="39">
        <v>3519</v>
      </c>
    </row>
    <row r="199" spans="1:10" x14ac:dyDescent="0.25">
      <c r="A199">
        <v>0</v>
      </c>
      <c r="B199" s="147">
        <v>42989</v>
      </c>
      <c r="C199" s="10">
        <v>100</v>
      </c>
      <c r="D199" s="39">
        <v>28.1554</v>
      </c>
      <c r="E199" s="39">
        <v>32.31</v>
      </c>
      <c r="F199" s="39">
        <f>C199*(E199-D199)</f>
        <v>415.46000000000021</v>
      </c>
      <c r="G199" s="39">
        <f>D199*C199</f>
        <v>2815.54</v>
      </c>
      <c r="H199" s="175">
        <f>(E199-D199)/D199</f>
        <v>0.14755961556220129</v>
      </c>
      <c r="I199" s="39">
        <v>28</v>
      </c>
      <c r="J199" s="39">
        <v>3940</v>
      </c>
    </row>
    <row r="200" spans="1:10" x14ac:dyDescent="0.25">
      <c r="B200" s="147">
        <v>43002</v>
      </c>
      <c r="C200" s="10">
        <v>100</v>
      </c>
      <c r="D200" s="39">
        <v>28.16</v>
      </c>
      <c r="E200" s="39">
        <v>35.229999999999997</v>
      </c>
      <c r="F200" s="39">
        <f>C200*(E200-D200)</f>
        <v>706.99999999999966</v>
      </c>
      <c r="G200" s="39">
        <f>D200*C200</f>
        <v>2816</v>
      </c>
      <c r="H200" s="175">
        <f>(E200-D200)/D200</f>
        <v>0.25106534090909077</v>
      </c>
      <c r="I200" s="39">
        <v>28</v>
      </c>
      <c r="J200" s="39">
        <v>4232</v>
      </c>
    </row>
    <row r="201" spans="1:10" x14ac:dyDescent="0.25">
      <c r="B201" s="147"/>
      <c r="C201" s="10"/>
      <c r="D201" s="39"/>
      <c r="E201" s="39"/>
      <c r="F201" s="39"/>
      <c r="G201" s="39"/>
      <c r="H201" s="175"/>
      <c r="I201" s="39"/>
      <c r="J201" s="39"/>
    </row>
    <row r="202" spans="1:10" x14ac:dyDescent="0.25">
      <c r="B202" s="147">
        <v>43009</v>
      </c>
      <c r="C202" s="10">
        <v>100</v>
      </c>
      <c r="D202" s="39">
        <v>29.15</v>
      </c>
      <c r="E202" s="39">
        <v>35.159999999999997</v>
      </c>
      <c r="F202" s="39">
        <f>C202*(E202-D202)</f>
        <v>600.99999999999977</v>
      </c>
      <c r="G202" s="39">
        <f>D202*C202</f>
        <v>2915</v>
      </c>
      <c r="H202" s="175">
        <f>(E202-D202)/D202</f>
        <v>0.20617495711835329</v>
      </c>
      <c r="I202" s="39">
        <v>28.5</v>
      </c>
      <c r="J202" s="39">
        <v>4225</v>
      </c>
    </row>
    <row r="203" spans="1:10" x14ac:dyDescent="0.25">
      <c r="B203" s="147">
        <v>43021</v>
      </c>
      <c r="C203" s="10">
        <v>0</v>
      </c>
      <c r="D203" s="39"/>
      <c r="E203" s="39"/>
      <c r="F203" s="39">
        <v>752.92</v>
      </c>
      <c r="G203" s="39"/>
      <c r="H203" s="175"/>
      <c r="I203" s="39"/>
      <c r="J203" s="39">
        <v>4376.96</v>
      </c>
    </row>
    <row r="204" spans="1:10" x14ac:dyDescent="0.25">
      <c r="B204" s="147"/>
      <c r="C204" s="10"/>
      <c r="D204" s="39"/>
      <c r="E204" s="39"/>
      <c r="F204" s="39"/>
      <c r="G204" s="39"/>
      <c r="H204" s="175"/>
      <c r="I204" s="39"/>
      <c r="J204" s="39"/>
    </row>
    <row r="205" spans="1:10" x14ac:dyDescent="0.25">
      <c r="B205" s="147"/>
      <c r="C205" s="10"/>
      <c r="D205" s="39"/>
      <c r="E205" s="39"/>
      <c r="F205" s="39"/>
      <c r="G205" s="39"/>
      <c r="H205" s="175"/>
      <c r="I205" s="39"/>
      <c r="J205" s="39"/>
    </row>
    <row r="206" spans="1:10" x14ac:dyDescent="0.25">
      <c r="B206" s="147"/>
      <c r="C206" s="10"/>
      <c r="D206" s="39"/>
      <c r="E206" s="39"/>
      <c r="F206" s="39"/>
      <c r="G206" s="39"/>
      <c r="H206" s="175"/>
      <c r="I206" s="39"/>
      <c r="J206" s="39"/>
    </row>
    <row r="207" spans="1:10" x14ac:dyDescent="0.25">
      <c r="B207" s="147"/>
      <c r="C207" s="10"/>
      <c r="D207" s="39"/>
      <c r="E207" s="39"/>
      <c r="F207" s="39"/>
      <c r="G207" s="39"/>
      <c r="H207" s="175"/>
      <c r="I207" s="39"/>
      <c r="J207" s="39"/>
    </row>
    <row r="208" spans="1:10" x14ac:dyDescent="0.25">
      <c r="B208" s="147"/>
      <c r="C208" s="10"/>
      <c r="D208" s="39"/>
      <c r="E208" s="39"/>
      <c r="F208" s="39"/>
      <c r="G208" s="39"/>
      <c r="H208" s="175"/>
      <c r="I208" s="39"/>
      <c r="J208" s="39"/>
    </row>
    <row r="209" spans="2:10" x14ac:dyDescent="0.25">
      <c r="B209" s="147"/>
      <c r="C209" s="10"/>
      <c r="D209" s="39"/>
      <c r="E209" s="39"/>
      <c r="F209" s="39"/>
      <c r="G209" s="39"/>
      <c r="H209" s="175"/>
      <c r="I209" s="39"/>
      <c r="J209" s="39"/>
    </row>
    <row r="210" spans="2:10" x14ac:dyDescent="0.25">
      <c r="B210" s="147"/>
      <c r="C210" s="10"/>
      <c r="D210" s="39"/>
      <c r="E210" s="39"/>
      <c r="F210" s="39"/>
      <c r="G210" s="39"/>
      <c r="H210" s="175"/>
      <c r="I210" s="39"/>
      <c r="J210" s="39"/>
    </row>
    <row r="211" spans="2:10" x14ac:dyDescent="0.25">
      <c r="B211" s="147"/>
      <c r="C211" s="10"/>
      <c r="D211" s="39"/>
      <c r="E211" s="39"/>
      <c r="F211" s="39"/>
      <c r="G211" s="39"/>
      <c r="H211" s="175"/>
      <c r="I211" s="39"/>
      <c r="J211" s="39"/>
    </row>
  </sheetData>
  <conditionalFormatting sqref="O29:O49">
    <cfRule type="colorScale" priority="95">
      <colorScale>
        <cfvo type="min"/>
        <cfvo type="percentile" val="50"/>
        <cfvo type="max"/>
        <color rgb="FFF8696B"/>
        <color rgb="FFFFEB84"/>
        <color rgb="FF63BE7B"/>
      </colorScale>
    </cfRule>
  </conditionalFormatting>
  <conditionalFormatting sqref="P29:P49">
    <cfRule type="colorScale" priority="94">
      <colorScale>
        <cfvo type="min"/>
        <cfvo type="percentile" val="50"/>
        <cfvo type="max"/>
        <color rgb="FFF8696B"/>
        <color rgb="FFFFEB84"/>
        <color rgb="FF63BE7B"/>
      </colorScale>
    </cfRule>
  </conditionalFormatting>
  <conditionalFormatting sqref="W1:W69">
    <cfRule type="iconSet" priority="92">
      <iconSet iconSet="3Arrows">
        <cfvo type="percent" val="0"/>
        <cfvo type="num" val="0"/>
        <cfvo type="num" val="0"/>
      </iconSet>
    </cfRule>
  </conditionalFormatting>
  <conditionalFormatting sqref="Q7 F24:F28 H24:H36 J24:J31">
    <cfRule type="expression" dxfId="1207" priority="84">
      <formula>F7&gt;0</formula>
    </cfRule>
    <cfRule type="expression" dxfId="1206" priority="85">
      <formula>F7&lt;0</formula>
    </cfRule>
  </conditionalFormatting>
  <conditionalFormatting sqref="Q8">
    <cfRule type="expression" dxfId="1205" priority="82">
      <formula>Q8&gt;0</formula>
    </cfRule>
    <cfRule type="expression" dxfId="1204" priority="83">
      <formula>Q8&lt;0</formula>
    </cfRule>
  </conditionalFormatting>
  <conditionalFormatting sqref="F29:F36">
    <cfRule type="expression" dxfId="1203" priority="62">
      <formula>F29&gt;0</formula>
    </cfRule>
    <cfRule type="expression" dxfId="1202" priority="63">
      <formula>F29&lt;0</formula>
    </cfRule>
  </conditionalFormatting>
  <conditionalFormatting sqref="J32:J38">
    <cfRule type="expression" dxfId="1201" priority="57">
      <formula>J32&gt;0</formula>
    </cfRule>
    <cfRule type="expression" dxfId="1200" priority="58">
      <formula>J32&lt;0</formula>
    </cfRule>
  </conditionalFormatting>
  <conditionalFormatting sqref="M42">
    <cfRule type="expression" dxfId="1199" priority="55">
      <formula>M42&gt;0</formula>
    </cfRule>
    <cfRule type="expression" dxfId="1198" priority="56">
      <formula>M42&lt;0</formula>
    </cfRule>
  </conditionalFormatting>
  <conditionalFormatting sqref="F98:F134 H98:H134 H137:H142 F137:F142 F144:F153 H144:H153">
    <cfRule type="expression" dxfId="1197" priority="53">
      <formula>F98&gt;0</formula>
    </cfRule>
    <cfRule type="expression" dxfId="1196" priority="54">
      <formula>F98&lt;0</formula>
    </cfRule>
  </conditionalFormatting>
  <conditionalFormatting sqref="F90:F97">
    <cfRule type="expression" dxfId="1195" priority="51">
      <formula>F90&gt;0</formula>
    </cfRule>
    <cfRule type="expression" dxfId="1194" priority="52">
      <formula>F90&lt;0</formula>
    </cfRule>
  </conditionalFormatting>
  <conditionalFormatting sqref="H90:H97">
    <cfRule type="expression" dxfId="1193" priority="49">
      <formula>H90&gt;0</formula>
    </cfRule>
    <cfRule type="expression" dxfId="1192" priority="50">
      <formula>H90&lt;0</formula>
    </cfRule>
  </conditionalFormatting>
  <conditionalFormatting sqref="F135:F136 H135:H136">
    <cfRule type="expression" dxfId="1191" priority="47">
      <formula>F135&gt;0</formula>
    </cfRule>
    <cfRule type="expression" dxfId="1190" priority="48">
      <formula>F135&lt;0</formula>
    </cfRule>
  </conditionalFormatting>
  <conditionalFormatting sqref="H143 F143">
    <cfRule type="expression" dxfId="1189" priority="45">
      <formula>F143&gt;0</formula>
    </cfRule>
    <cfRule type="expression" dxfId="1188" priority="46">
      <formula>F143&lt;0</formula>
    </cfRule>
  </conditionalFormatting>
  <conditionalFormatting sqref="F154:F161">
    <cfRule type="expression" dxfId="1187" priority="31">
      <formula>F154&gt;0</formula>
    </cfRule>
    <cfRule type="expression" dxfId="1186" priority="32">
      <formula>F154&lt;0</formula>
    </cfRule>
  </conditionalFormatting>
  <conditionalFormatting sqref="H154:H161">
    <cfRule type="expression" dxfId="1185" priority="29">
      <formula>H154&gt;0</formula>
    </cfRule>
    <cfRule type="expression" dxfId="1184" priority="30">
      <formula>H154&lt;0</formula>
    </cfRule>
  </conditionalFormatting>
  <conditionalFormatting sqref="Q10">
    <cfRule type="expression" dxfId="1183" priority="27">
      <formula>Q10&gt;0</formula>
    </cfRule>
    <cfRule type="expression" dxfId="1182" priority="28">
      <formula>Q10&lt;0</formula>
    </cfRule>
  </conditionalFormatting>
  <conditionalFormatting sqref="F37:F38">
    <cfRule type="expression" dxfId="1181" priority="25">
      <formula>F37&gt;0</formula>
    </cfRule>
    <cfRule type="expression" dxfId="1180" priority="26">
      <formula>F37&lt;0</formula>
    </cfRule>
  </conditionalFormatting>
  <conditionalFormatting sqref="H37:H38">
    <cfRule type="expression" dxfId="1179" priority="23">
      <formula>H37&gt;0</formula>
    </cfRule>
    <cfRule type="expression" dxfId="1178" priority="24">
      <formula>H37&lt;0</formula>
    </cfRule>
  </conditionalFormatting>
  <conditionalFormatting sqref="F167">
    <cfRule type="expression" dxfId="1177" priority="21">
      <formula>F167&gt;0</formula>
    </cfRule>
    <cfRule type="expression" dxfId="1176" priority="22">
      <formula>F167&lt;0</formula>
    </cfRule>
  </conditionalFormatting>
  <conditionalFormatting sqref="F168:F179">
    <cfRule type="expression" dxfId="1175" priority="19">
      <formula>F168&gt;0</formula>
    </cfRule>
    <cfRule type="expression" dxfId="1174" priority="20">
      <formula>F168&lt;0</formula>
    </cfRule>
  </conditionalFormatting>
  <conditionalFormatting sqref="H167:H179">
    <cfRule type="expression" dxfId="1173" priority="17">
      <formula>H167&gt;0</formula>
    </cfRule>
    <cfRule type="expression" dxfId="1172" priority="18">
      <formula>H167&lt;0</formula>
    </cfRule>
  </conditionalFormatting>
  <conditionalFormatting sqref="J175:J197 J201">
    <cfRule type="expression" dxfId="1171" priority="15">
      <formula>J175&gt;0</formula>
    </cfRule>
    <cfRule type="expression" dxfId="1170" priority="16">
      <formula>J175&lt;0</formula>
    </cfRule>
  </conditionalFormatting>
  <conditionalFormatting sqref="F180:F197 F201">
    <cfRule type="expression" dxfId="1169" priority="13">
      <formula>F180&gt;0</formula>
    </cfRule>
    <cfRule type="expression" dxfId="1168" priority="14">
      <formula>F180&lt;0</formula>
    </cfRule>
  </conditionalFormatting>
  <conditionalFormatting sqref="H180:H197 H201">
    <cfRule type="expression" dxfId="1167" priority="11">
      <formula>H180&gt;0</formula>
    </cfRule>
    <cfRule type="expression" dxfId="1166" priority="12">
      <formula>H180&lt;0</formula>
    </cfRule>
  </conditionalFormatting>
  <conditionalFormatting sqref="I32:J35">
    <cfRule type="expression" dxfId="1165" priority="9">
      <formula>I32&gt;0</formula>
    </cfRule>
    <cfRule type="expression" dxfId="1164" priority="10">
      <formula>I32&lt;0</formula>
    </cfRule>
  </conditionalFormatting>
  <conditionalFormatting sqref="F198:F200">
    <cfRule type="expression" dxfId="1163" priority="7">
      <formula>F198&gt;0</formula>
    </cfRule>
    <cfRule type="expression" dxfId="1162" priority="8">
      <formula>F198&lt;0</formula>
    </cfRule>
  </conditionalFormatting>
  <conditionalFormatting sqref="H198:H200">
    <cfRule type="expression" dxfId="1161" priority="5">
      <formula>H198&gt;0</formula>
    </cfRule>
    <cfRule type="expression" dxfId="1160" priority="6">
      <formula>H198&lt;0</formula>
    </cfRule>
  </conditionalFormatting>
  <conditionalFormatting sqref="J198:J200">
    <cfRule type="expression" dxfId="1159" priority="3">
      <formula>J198&gt;0</formula>
    </cfRule>
    <cfRule type="expression" dxfId="1158" priority="4">
      <formula>J198&lt;0</formula>
    </cfRule>
  </conditionalFormatting>
  <conditionalFormatting sqref="F202:F211 H202:H211 J202:J211">
    <cfRule type="expression" dxfId="1157" priority="1">
      <formula>F202&gt;0</formula>
    </cfRule>
    <cfRule type="expression" dxfId="1156" priority="2">
      <formula>F202&lt;0</formula>
    </cfRule>
  </conditionalFormatting>
  <hyperlinks>
    <hyperlink ref="A3" location="ACTIVE!A1" display="Back"/>
    <hyperlink ref="A45" location="ACTIVE!A1" display="Back"/>
  </hyperlinks>
  <pageMargins left="0.7" right="0.7" top="0.75" bottom="0.75" header="0.3" footer="0.3"/>
  <pageSetup orientation="portrait"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1"/>
  <dimension ref="A1:W116"/>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5" max="15" width="30" bestFit="1" customWidth="1"/>
    <col min="17" max="17" width="14.42578125" bestFit="1" customWidth="1"/>
    <col min="18" max="18" width="10.42578125" bestFit="1" customWidth="1"/>
    <col min="20" max="20" width="18.5703125" customWidth="1"/>
    <col min="21" max="21" width="35.5703125" customWidth="1"/>
    <col min="23" max="23" width="17.8554687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321</v>
      </c>
      <c r="B2" s="727">
        <v>43165</v>
      </c>
      <c r="C2" s="725">
        <v>50</v>
      </c>
      <c r="D2" s="726">
        <v>70.28</v>
      </c>
      <c r="E2" s="726">
        <v>0</v>
      </c>
      <c r="F2" s="726">
        <f>C2*D2+E2</f>
        <v>3514</v>
      </c>
      <c r="G2" s="727">
        <v>43217</v>
      </c>
      <c r="H2" s="725">
        <v>50</v>
      </c>
      <c r="I2" s="726">
        <v>72.88</v>
      </c>
      <c r="J2" s="726">
        <v>0.08</v>
      </c>
      <c r="K2" s="726">
        <f>H2*I2-J2</f>
        <v>3643.92</v>
      </c>
      <c r="L2" s="661"/>
      <c r="M2" s="660"/>
      <c r="O2" s="11" t="s">
        <v>57</v>
      </c>
      <c r="Q2">
        <f>C18-H18</f>
        <v>0</v>
      </c>
      <c r="T2" s="1"/>
    </row>
    <row r="3" spans="1:23" x14ac:dyDescent="0.25">
      <c r="A3" s="22" t="s">
        <v>71</v>
      </c>
      <c r="B3" s="398"/>
      <c r="C3" s="4"/>
      <c r="D3" s="3"/>
      <c r="E3" s="3"/>
      <c r="F3" s="3"/>
      <c r="G3" s="398"/>
      <c r="H3" s="158"/>
      <c r="I3" s="3"/>
      <c r="J3" s="3"/>
      <c r="K3" s="3"/>
      <c r="L3" s="69"/>
      <c r="M3" s="3"/>
      <c r="O3" s="11" t="s">
        <v>58</v>
      </c>
      <c r="Q3" s="174">
        <f>IF(Q2=0, Q4, (F18-K18-M18)/Q2)</f>
        <v>108.78</v>
      </c>
      <c r="T3" s="1"/>
    </row>
    <row r="4" spans="1:23" x14ac:dyDescent="0.25">
      <c r="B4" s="398"/>
      <c r="C4" s="4"/>
      <c r="D4" s="3"/>
      <c r="E4" s="3"/>
      <c r="F4" s="3"/>
      <c r="G4" s="398"/>
      <c r="H4" s="158"/>
      <c r="I4" s="3"/>
      <c r="J4" s="3"/>
      <c r="K4" s="3"/>
      <c r="L4" s="4"/>
      <c r="M4" s="4"/>
      <c r="O4" s="11" t="s">
        <v>66</v>
      </c>
      <c r="Q4" s="53">
        <v>108.78</v>
      </c>
      <c r="R4" s="414">
        <v>1.61E-2</v>
      </c>
      <c r="T4" s="153"/>
      <c r="U4" s="1"/>
    </row>
    <row r="5" spans="1:23" x14ac:dyDescent="0.25">
      <c r="B5" s="398"/>
      <c r="C5" s="4"/>
      <c r="D5" s="3"/>
      <c r="E5" s="3"/>
      <c r="F5" s="3"/>
      <c r="G5" s="398"/>
      <c r="H5" s="158"/>
      <c r="I5" s="3"/>
      <c r="J5" s="3"/>
      <c r="K5" s="3"/>
      <c r="L5" s="4"/>
      <c r="M5" s="4"/>
      <c r="O5" s="11" t="s">
        <v>67</v>
      </c>
      <c r="Q5" s="3">
        <f>Q4*Q2</f>
        <v>0</v>
      </c>
    </row>
    <row r="6" spans="1:23" x14ac:dyDescent="0.25">
      <c r="B6" s="398"/>
      <c r="C6" s="4"/>
      <c r="D6" s="3"/>
      <c r="E6" s="3"/>
      <c r="F6" s="3"/>
      <c r="G6" s="398"/>
      <c r="H6" s="158"/>
      <c r="I6" s="3"/>
      <c r="J6" s="3"/>
      <c r="K6" s="3"/>
      <c r="L6" s="4"/>
      <c r="M6" s="4"/>
      <c r="O6" s="11" t="s">
        <v>64</v>
      </c>
      <c r="Q6" s="2">
        <f>Q3*Q2</f>
        <v>0</v>
      </c>
    </row>
    <row r="7" spans="1:23" x14ac:dyDescent="0.25">
      <c r="B7" s="398"/>
      <c r="C7" s="4"/>
      <c r="D7" s="3"/>
      <c r="E7" s="3"/>
      <c r="F7" s="3"/>
      <c r="G7" s="398"/>
      <c r="H7" s="158"/>
      <c r="I7" s="3"/>
      <c r="J7" s="3"/>
      <c r="K7" s="3"/>
      <c r="L7" s="4"/>
      <c r="M7" s="4"/>
      <c r="O7" s="11" t="s">
        <v>175</v>
      </c>
      <c r="Q7" s="2">
        <f>Q10+Q8</f>
        <v>2190.3500000000004</v>
      </c>
      <c r="R7">
        <v>0</v>
      </c>
    </row>
    <row r="8" spans="1:23" x14ac:dyDescent="0.25">
      <c r="G8" s="398"/>
      <c r="H8" s="158"/>
      <c r="I8" s="3"/>
      <c r="J8" s="3"/>
      <c r="K8" s="3"/>
      <c r="L8" s="4"/>
      <c r="M8" s="4"/>
      <c r="O8" s="11" t="s">
        <v>177</v>
      </c>
      <c r="P8" s="33"/>
      <c r="Q8" s="2">
        <f>K18+M18-F18+Q2*Q4</f>
        <v>129.92000000000007</v>
      </c>
    </row>
    <row r="9" spans="1:23" x14ac:dyDescent="0.25">
      <c r="B9" s="398"/>
      <c r="C9" s="4"/>
      <c r="D9" s="3"/>
      <c r="E9" s="3"/>
      <c r="F9" s="3"/>
      <c r="G9" s="398"/>
      <c r="H9" s="158"/>
      <c r="I9" s="3"/>
      <c r="J9" s="3"/>
      <c r="K9" s="3"/>
      <c r="L9" s="4"/>
      <c r="M9" s="4"/>
      <c r="O9" s="11" t="s">
        <v>202</v>
      </c>
      <c r="Q9" s="152">
        <f>IF(Q2=0, 0, Q8/Q6)</f>
        <v>0</v>
      </c>
    </row>
    <row r="10" spans="1:23" x14ac:dyDescent="0.25">
      <c r="B10" s="398"/>
      <c r="C10" s="4"/>
      <c r="D10" s="3"/>
      <c r="E10" s="3"/>
      <c r="F10" s="3"/>
      <c r="G10" s="398"/>
      <c r="H10" s="158"/>
      <c r="I10" s="3"/>
      <c r="J10" s="3"/>
      <c r="K10" s="3"/>
      <c r="L10" s="398"/>
      <c r="M10" s="4"/>
      <c r="O10" s="11" t="s">
        <v>201</v>
      </c>
      <c r="P10" s="33"/>
      <c r="Q10" s="2">
        <f>M59</f>
        <v>2060.4300000000003</v>
      </c>
    </row>
    <row r="11" spans="1:23" x14ac:dyDescent="0.25">
      <c r="B11" s="398"/>
      <c r="C11" s="4"/>
      <c r="D11" s="3"/>
      <c r="E11" s="3"/>
      <c r="F11" s="3"/>
      <c r="G11" s="398"/>
      <c r="H11" s="158"/>
      <c r="I11" s="3"/>
      <c r="J11" s="3"/>
      <c r="K11" s="3"/>
      <c r="L11" s="4"/>
      <c r="M11" s="4"/>
      <c r="O11" s="11" t="s">
        <v>173</v>
      </c>
      <c r="P11" s="33"/>
      <c r="Q11" s="131">
        <f>IF(U58="N/A (N/A)", 0, VALUE(TRIM(CLEAN(MID(U58, FIND("(", U58)+1, 5)))))</f>
        <v>4.3499999999999997E-2</v>
      </c>
    </row>
    <row r="12" spans="1:23" x14ac:dyDescent="0.25">
      <c r="B12" s="398"/>
      <c r="C12" s="4"/>
      <c r="D12" s="3"/>
      <c r="E12" s="3"/>
      <c r="F12" s="3"/>
      <c r="G12" s="398"/>
      <c r="H12" s="158"/>
      <c r="I12" s="3"/>
      <c r="J12" s="3"/>
      <c r="K12" s="3"/>
      <c r="L12" s="4"/>
      <c r="M12" s="4"/>
      <c r="O12" s="11" t="s">
        <v>875</v>
      </c>
      <c r="Q12" s="1"/>
    </row>
    <row r="13" spans="1:23" x14ac:dyDescent="0.25">
      <c r="B13" s="398"/>
      <c r="C13" s="4"/>
      <c r="D13" s="3"/>
      <c r="E13" s="3"/>
      <c r="F13" s="3"/>
      <c r="G13" s="398"/>
      <c r="H13" s="158"/>
      <c r="I13" s="3"/>
      <c r="J13" s="3"/>
      <c r="K13" s="3"/>
      <c r="L13" s="4"/>
      <c r="M13" s="4"/>
      <c r="O13" s="11" t="s">
        <v>901</v>
      </c>
      <c r="Q13">
        <f>Q4/5.25</f>
        <v>20.72</v>
      </c>
    </row>
    <row r="14" spans="1:23" x14ac:dyDescent="0.25">
      <c r="B14" s="398"/>
      <c r="C14" s="4"/>
      <c r="D14" s="3"/>
      <c r="E14" s="3"/>
      <c r="F14" s="3"/>
      <c r="G14" s="398"/>
      <c r="H14" s="158"/>
      <c r="I14" s="3"/>
      <c r="J14" s="3"/>
      <c r="K14" s="3"/>
      <c r="L14" s="4"/>
      <c r="M14" s="4"/>
    </row>
    <row r="15" spans="1:23" x14ac:dyDescent="0.25">
      <c r="B15" s="398"/>
      <c r="C15" s="4"/>
      <c r="D15" s="3"/>
      <c r="E15" s="3"/>
      <c r="F15" s="3"/>
      <c r="G15" s="398"/>
      <c r="H15" s="158"/>
      <c r="I15" s="3"/>
      <c r="J15" s="3"/>
      <c r="K15" s="3"/>
      <c r="L15" s="4"/>
      <c r="M15" s="4"/>
      <c r="O15" s="591" t="s">
        <v>113</v>
      </c>
      <c r="P15" s="591" t="s">
        <v>619</v>
      </c>
      <c r="Q15" s="591" t="s">
        <v>620</v>
      </c>
      <c r="R15" s="589" t="s">
        <v>613</v>
      </c>
      <c r="S15" s="589" t="s">
        <v>614</v>
      </c>
      <c r="T15" s="591" t="s">
        <v>616</v>
      </c>
      <c r="U15" s="591" t="s">
        <v>617</v>
      </c>
      <c r="V15" s="589" t="s">
        <v>615</v>
      </c>
      <c r="W15" s="590" t="s">
        <v>618</v>
      </c>
    </row>
    <row r="16" spans="1:23" x14ac:dyDescent="0.25">
      <c r="G16" s="29"/>
      <c r="H16" s="67"/>
      <c r="O16" s="592">
        <v>42963</v>
      </c>
      <c r="P16" s="588" t="s">
        <v>621</v>
      </c>
      <c r="Q16" s="588"/>
      <c r="R16" s="587">
        <v>1.18</v>
      </c>
      <c r="S16" s="587">
        <v>1.23</v>
      </c>
      <c r="T16" s="588">
        <v>16.28</v>
      </c>
      <c r="U16" s="588">
        <v>16.399999999999999</v>
      </c>
      <c r="V16" s="585" t="s">
        <v>623</v>
      </c>
      <c r="W16" s="586"/>
    </row>
    <row r="17" spans="1:23" x14ac:dyDescent="0.25">
      <c r="G17" s="29"/>
      <c r="O17" s="594"/>
      <c r="P17" s="588"/>
      <c r="Q17" s="588"/>
      <c r="R17" s="587"/>
      <c r="S17" s="585"/>
      <c r="T17" s="588"/>
      <c r="U17" s="588"/>
      <c r="V17" s="585"/>
      <c r="W17" s="586"/>
    </row>
    <row r="18" spans="1:23" x14ac:dyDescent="0.25">
      <c r="A18" s="31" t="s">
        <v>81</v>
      </c>
      <c r="B18" s="399"/>
      <c r="C18" s="14">
        <f>SUM(C2:C14)</f>
        <v>50</v>
      </c>
      <c r="D18" s="18"/>
      <c r="E18" s="18"/>
      <c r="F18" s="18">
        <f>SUM(F2:F14)</f>
        <v>3514</v>
      </c>
      <c r="G18" s="14"/>
      <c r="H18" s="14">
        <f>SUM(H2:H13)</f>
        <v>50</v>
      </c>
      <c r="I18" s="18"/>
      <c r="J18" s="18"/>
      <c r="K18" s="18">
        <f>SUM(K2:K13)</f>
        <v>3643.92</v>
      </c>
      <c r="L18" s="14"/>
      <c r="M18" s="18">
        <f>SUM(M2:M10)</f>
        <v>0</v>
      </c>
      <c r="O18" s="593"/>
      <c r="P18" s="588"/>
      <c r="Q18" s="588"/>
      <c r="R18" s="585"/>
      <c r="S18" s="585"/>
      <c r="T18" s="588"/>
      <c r="U18" s="588"/>
      <c r="V18" s="585"/>
      <c r="W18" s="586"/>
    </row>
    <row r="19" spans="1:23" ht="15.75" thickBot="1" x14ac:dyDescent="0.3">
      <c r="A19" s="273" t="s">
        <v>189</v>
      </c>
      <c r="B19" s="400"/>
      <c r="C19" s="275">
        <f>SumByColor($A$19,C2:C17)</f>
        <v>50</v>
      </c>
      <c r="D19" s="275"/>
      <c r="E19" s="275"/>
      <c r="F19" s="276">
        <f>SumByColor($A$19,F2:F17)</f>
        <v>3514</v>
      </c>
      <c r="G19" s="275"/>
      <c r="H19" s="275">
        <f>SumByColor($A$19,H2:H17)</f>
        <v>50</v>
      </c>
      <c r="I19" s="275"/>
      <c r="J19" s="275"/>
      <c r="K19" s="276">
        <f>SumByColor($A$19,K2:K17)</f>
        <v>3644</v>
      </c>
      <c r="L19" s="275"/>
      <c r="M19" s="276">
        <f>SumByColor($A$19,M2:M17)</f>
        <v>0</v>
      </c>
      <c r="O19" s="593"/>
      <c r="P19" s="588"/>
      <c r="Q19" s="588"/>
      <c r="R19" s="585"/>
      <c r="S19" s="585"/>
      <c r="T19" s="588"/>
      <c r="U19" s="588"/>
      <c r="V19" s="585"/>
      <c r="W19" s="586"/>
    </row>
    <row r="20" spans="1:23" x14ac:dyDescent="0.25">
      <c r="O20" s="593"/>
      <c r="P20" s="588"/>
      <c r="Q20" s="588"/>
      <c r="R20" s="585"/>
      <c r="S20" s="585"/>
      <c r="T20" s="588"/>
      <c r="U20" s="588"/>
      <c r="V20" s="585"/>
      <c r="W20" s="586"/>
    </row>
    <row r="21" spans="1:23" x14ac:dyDescent="0.25">
      <c r="O21" s="593"/>
      <c r="P21" s="588"/>
      <c r="Q21" s="588"/>
      <c r="R21" s="585"/>
      <c r="S21" s="585"/>
      <c r="T21" s="588"/>
      <c r="U21" s="588"/>
      <c r="V21" s="585"/>
      <c r="W21" s="586"/>
    </row>
    <row r="22" spans="1:23" x14ac:dyDescent="0.25">
      <c r="O22" s="593"/>
      <c r="P22" s="588"/>
      <c r="Q22" s="588"/>
      <c r="R22" s="585"/>
      <c r="S22" s="585"/>
      <c r="T22" s="588"/>
      <c r="U22" s="588"/>
      <c r="V22" s="585"/>
      <c r="W22" s="586"/>
    </row>
    <row r="23" spans="1:23" x14ac:dyDescent="0.25">
      <c r="B23" s="401" t="s">
        <v>113</v>
      </c>
      <c r="C23" s="159" t="s">
        <v>143</v>
      </c>
      <c r="D23" s="160" t="s">
        <v>142</v>
      </c>
      <c r="E23" s="162" t="s">
        <v>144</v>
      </c>
      <c r="F23" s="162" t="s">
        <v>65</v>
      </c>
      <c r="G23" s="173" t="s">
        <v>148</v>
      </c>
      <c r="H23" s="173" t="s">
        <v>88</v>
      </c>
      <c r="I23" s="173" t="s">
        <v>151</v>
      </c>
      <c r="J23" s="173" t="s">
        <v>147</v>
      </c>
      <c r="O23" s="593"/>
      <c r="P23" s="588"/>
      <c r="Q23" s="588"/>
      <c r="R23" s="585"/>
      <c r="S23" s="585"/>
      <c r="T23" s="588"/>
      <c r="U23" s="588"/>
      <c r="V23" s="585"/>
      <c r="W23" s="586"/>
    </row>
    <row r="24" spans="1:23" x14ac:dyDescent="0.25">
      <c r="A24" s="1"/>
      <c r="B24" s="147">
        <v>43165</v>
      </c>
      <c r="C24" s="10">
        <v>50</v>
      </c>
      <c r="D24" s="39">
        <v>70.28</v>
      </c>
      <c r="E24" s="39">
        <v>71.790000000000006</v>
      </c>
      <c r="F24" s="39">
        <f>(E24-D24)*C24</f>
        <v>75.500000000000256</v>
      </c>
      <c r="G24" s="39">
        <f>C24*D24</f>
        <v>3514</v>
      </c>
      <c r="H24" s="152">
        <f>-(D24-E24)/D24</f>
        <v>2.148548662492893E-2</v>
      </c>
      <c r="I24" s="39"/>
      <c r="J24" s="39"/>
      <c r="K24" s="3"/>
      <c r="L24" s="4"/>
      <c r="M24" s="4"/>
      <c r="O24" s="593"/>
      <c r="P24" s="588"/>
      <c r="Q24" s="588"/>
      <c r="R24" s="585"/>
      <c r="S24" s="585"/>
      <c r="T24" s="588"/>
      <c r="U24" s="588"/>
      <c r="V24" s="585"/>
      <c r="W24" s="586"/>
    </row>
    <row r="25" spans="1:23" x14ac:dyDescent="0.25">
      <c r="B25" s="147">
        <v>43184</v>
      </c>
      <c r="C25" s="10">
        <v>50</v>
      </c>
      <c r="D25" s="39">
        <v>70.28</v>
      </c>
      <c r="E25" s="39">
        <v>67.88</v>
      </c>
      <c r="F25" s="39">
        <f>(E25-D25)*C25</f>
        <v>-120.00000000000028</v>
      </c>
      <c r="G25" s="39">
        <f>C25*D25</f>
        <v>3514</v>
      </c>
      <c r="H25" s="152">
        <f>-(D25-E25)/D25</f>
        <v>-3.4149117814456544E-2</v>
      </c>
      <c r="I25" s="39"/>
      <c r="J25" s="39"/>
      <c r="O25" s="593"/>
      <c r="P25" s="588"/>
      <c r="Q25" s="588"/>
      <c r="R25" s="585"/>
      <c r="S25" s="585"/>
      <c r="T25" s="588"/>
      <c r="U25" s="588"/>
      <c r="V25" s="585"/>
      <c r="W25" s="586"/>
    </row>
    <row r="26" spans="1:23" x14ac:dyDescent="0.25">
      <c r="B26" s="147">
        <v>43185</v>
      </c>
      <c r="C26" s="10">
        <v>50</v>
      </c>
      <c r="D26" s="39">
        <v>70.28</v>
      </c>
      <c r="E26" s="39">
        <v>70.28</v>
      </c>
      <c r="F26" s="39">
        <f>(E26-D26)*C26</f>
        <v>0</v>
      </c>
      <c r="G26" s="39">
        <f>C26*D26</f>
        <v>3514</v>
      </c>
      <c r="H26" s="152">
        <f>-(D26-E26)/D26</f>
        <v>0</v>
      </c>
      <c r="I26" s="39"/>
      <c r="J26" s="39"/>
      <c r="O26" s="593"/>
      <c r="P26" s="588"/>
      <c r="Q26" s="588"/>
      <c r="R26" s="585"/>
      <c r="S26" s="585"/>
      <c r="T26" s="588"/>
      <c r="U26" s="588"/>
      <c r="V26" s="585"/>
      <c r="W26" s="586"/>
    </row>
    <row r="27" spans="1:23" x14ac:dyDescent="0.25">
      <c r="B27" s="147">
        <v>43217</v>
      </c>
      <c r="C27" s="10">
        <v>0</v>
      </c>
      <c r="D27" s="39"/>
      <c r="E27" s="39">
        <v>72.88</v>
      </c>
      <c r="F27" s="39">
        <v>129.91999999999999</v>
      </c>
      <c r="G27" s="39"/>
      <c r="H27" s="152"/>
      <c r="I27" s="39"/>
      <c r="J27" s="39"/>
    </row>
    <row r="28" spans="1:23" x14ac:dyDescent="0.25">
      <c r="B28" s="147"/>
      <c r="C28" s="10"/>
      <c r="D28" s="39"/>
      <c r="E28" s="39"/>
      <c r="F28" s="39"/>
      <c r="G28" s="39"/>
      <c r="H28" s="152"/>
      <c r="I28" s="39"/>
      <c r="J28" s="39"/>
    </row>
    <row r="29" spans="1:23" x14ac:dyDescent="0.25">
      <c r="B29" s="147"/>
      <c r="C29" s="10"/>
      <c r="D29" s="39"/>
      <c r="E29" s="39"/>
      <c r="F29" s="39"/>
      <c r="G29" s="39"/>
      <c r="H29" s="152"/>
      <c r="I29" s="39"/>
      <c r="J29" s="39"/>
    </row>
    <row r="30" spans="1:23" x14ac:dyDescent="0.25">
      <c r="B30" s="147"/>
      <c r="C30" s="10"/>
      <c r="D30" s="39"/>
      <c r="E30" s="39"/>
      <c r="F30" s="39"/>
      <c r="G30" s="39"/>
      <c r="H30" s="152"/>
      <c r="I30" s="39"/>
      <c r="J30" s="39"/>
    </row>
    <row r="31" spans="1:23" x14ac:dyDescent="0.25">
      <c r="B31" s="147"/>
      <c r="C31" s="10"/>
      <c r="D31" s="39"/>
      <c r="E31" s="39"/>
      <c r="F31" s="39"/>
      <c r="G31" s="39"/>
      <c r="H31" s="152"/>
      <c r="I31" s="39"/>
      <c r="J31" s="39"/>
    </row>
    <row r="32" spans="1:23" x14ac:dyDescent="0.25">
      <c r="B32" s="147"/>
      <c r="C32" s="10"/>
      <c r="D32" s="39"/>
      <c r="E32" s="39"/>
      <c r="F32" s="39"/>
      <c r="G32" s="39"/>
      <c r="H32" s="152"/>
      <c r="I32" s="39"/>
      <c r="J32" s="39"/>
    </row>
    <row r="33" spans="1:21" x14ac:dyDescent="0.25">
      <c r="B33" s="147"/>
      <c r="C33" s="10"/>
      <c r="D33" s="39"/>
      <c r="E33" s="39"/>
      <c r="F33" s="39"/>
      <c r="G33" s="39"/>
      <c r="H33" s="152"/>
      <c r="I33" s="39"/>
      <c r="J33" s="39"/>
    </row>
    <row r="34" spans="1:21" x14ac:dyDescent="0.25">
      <c r="B34" s="147"/>
      <c r="C34" s="10"/>
      <c r="D34" s="39"/>
      <c r="E34" s="39"/>
      <c r="F34" s="39"/>
      <c r="G34" s="39"/>
      <c r="H34" s="152"/>
      <c r="I34" s="39"/>
      <c r="J34" s="39"/>
    </row>
    <row r="35" spans="1:21" x14ac:dyDescent="0.25">
      <c r="B35" s="147"/>
      <c r="C35" s="10"/>
      <c r="D35" s="39"/>
      <c r="E35" s="39"/>
      <c r="F35" s="39"/>
      <c r="G35" s="39"/>
      <c r="H35" s="152"/>
      <c r="I35" s="39"/>
      <c r="J35" s="39"/>
    </row>
    <row r="36" spans="1:21" x14ac:dyDescent="0.25">
      <c r="B36" s="147"/>
      <c r="C36" s="10"/>
      <c r="D36" s="39"/>
      <c r="E36" s="39"/>
      <c r="F36" s="39"/>
      <c r="G36" s="39"/>
      <c r="H36" s="152"/>
      <c r="I36" s="39"/>
      <c r="J36" s="39"/>
    </row>
    <row r="37" spans="1:21" x14ac:dyDescent="0.25">
      <c r="B37" s="147"/>
      <c r="C37" s="10"/>
      <c r="D37" s="39"/>
      <c r="E37" s="39"/>
      <c r="F37" s="39"/>
      <c r="G37" s="39"/>
      <c r="H37" s="152"/>
      <c r="I37" s="39"/>
      <c r="J37" s="39"/>
    </row>
    <row r="38" spans="1:21" x14ac:dyDescent="0.25">
      <c r="B38" s="147"/>
      <c r="C38" s="10"/>
      <c r="D38" s="39"/>
      <c r="E38" s="39"/>
      <c r="F38" s="39"/>
      <c r="G38" s="39"/>
      <c r="H38" s="152"/>
      <c r="I38" s="39"/>
      <c r="J38" s="39"/>
    </row>
    <row r="39" spans="1:21" x14ac:dyDescent="0.25">
      <c r="B39" s="147"/>
      <c r="C39" s="10"/>
      <c r="D39" s="39"/>
      <c r="E39" s="39"/>
      <c r="F39" s="39"/>
      <c r="G39" s="39"/>
      <c r="H39" s="152"/>
      <c r="I39" s="39"/>
      <c r="J39" s="39"/>
    </row>
    <row r="40" spans="1:21" ht="20.25" thickBot="1" x14ac:dyDescent="0.35">
      <c r="B40" s="147"/>
      <c r="C40" s="10"/>
      <c r="D40" s="39"/>
      <c r="E40" s="39"/>
      <c r="F40" s="39"/>
      <c r="G40" s="39"/>
      <c r="H40" s="152"/>
      <c r="I40" s="39"/>
      <c r="J40" s="39"/>
      <c r="O40" s="886" t="s">
        <v>78</v>
      </c>
      <c r="P40" s="886"/>
    </row>
    <row r="41" spans="1:21" ht="15.75" thickTop="1" x14ac:dyDescent="0.25">
      <c r="B41" s="147"/>
      <c r="C41" s="10"/>
      <c r="D41" s="39"/>
      <c r="E41" s="39"/>
      <c r="F41" s="39"/>
      <c r="G41" s="39"/>
      <c r="H41" s="152"/>
      <c r="I41" s="39"/>
      <c r="J41" s="39"/>
      <c r="O41" s="78">
        <v>1.1000000000000001</v>
      </c>
      <c r="P41" s="78">
        <f>O41*$Q$4</f>
        <v>119.65800000000002</v>
      </c>
      <c r="Q41" s="2"/>
    </row>
    <row r="42" spans="1:21" ht="20.25" thickBot="1" x14ac:dyDescent="0.35">
      <c r="B42" s="147"/>
      <c r="C42" s="10"/>
      <c r="D42" s="39"/>
      <c r="E42" s="10"/>
      <c r="F42" s="39"/>
      <c r="G42" s="39"/>
      <c r="H42" s="152"/>
      <c r="I42" s="39"/>
      <c r="J42" s="39"/>
      <c r="O42" s="78">
        <v>1.0900000000000001</v>
      </c>
      <c r="P42" s="78">
        <f t="shared" ref="P42:P61" si="0">O42*$Q$4</f>
        <v>118.57020000000001</v>
      </c>
      <c r="Q42" s="2"/>
      <c r="T42" s="86" t="s">
        <v>112</v>
      </c>
    </row>
    <row r="43" spans="1:21" ht="15.75" thickTop="1" x14ac:dyDescent="0.25">
      <c r="A43" s="1"/>
      <c r="B43" s="147"/>
      <c r="C43" s="10"/>
      <c r="D43" s="39"/>
      <c r="E43" s="10"/>
      <c r="F43" s="39"/>
      <c r="G43" s="39"/>
      <c r="H43" s="152"/>
      <c r="I43" s="39"/>
      <c r="J43" s="39"/>
      <c r="O43" s="78">
        <v>1.08</v>
      </c>
      <c r="P43" s="78">
        <f t="shared" si="0"/>
        <v>117.48240000000001</v>
      </c>
      <c r="Q43" s="2"/>
      <c r="T43" s="122" t="s">
        <v>97</v>
      </c>
      <c r="U43" s="123">
        <v>53.43</v>
      </c>
    </row>
    <row r="44" spans="1:21" x14ac:dyDescent="0.25">
      <c r="B44" s="147"/>
      <c r="C44" s="10"/>
      <c r="D44" s="39"/>
      <c r="E44" s="10"/>
      <c r="F44" s="39"/>
      <c r="G44" s="10"/>
      <c r="H44" s="10"/>
      <c r="I44" s="39"/>
      <c r="J44" s="39"/>
      <c r="O44" s="78">
        <v>1.07</v>
      </c>
      <c r="P44" s="78">
        <f t="shared" si="0"/>
        <v>116.39460000000001</v>
      </c>
      <c r="Q44" s="2"/>
      <c r="T44" s="88" t="s">
        <v>98</v>
      </c>
      <c r="U44" s="124">
        <v>53.55</v>
      </c>
    </row>
    <row r="45" spans="1:21" x14ac:dyDescent="0.25">
      <c r="B45" s="147"/>
      <c r="C45" s="10"/>
      <c r="D45" s="39"/>
      <c r="E45" s="10"/>
      <c r="F45" s="39"/>
      <c r="G45" s="10"/>
      <c r="H45" s="152"/>
      <c r="I45" s="39"/>
      <c r="J45" s="39"/>
      <c r="O45" s="78">
        <v>1.06</v>
      </c>
      <c r="P45" s="78">
        <f t="shared" si="0"/>
        <v>115.30680000000001</v>
      </c>
      <c r="Q45" s="2"/>
      <c r="T45" s="88" t="s">
        <v>99</v>
      </c>
      <c r="U45" s="124" t="s">
        <v>128</v>
      </c>
    </row>
    <row r="46" spans="1:21" x14ac:dyDescent="0.25">
      <c r="B46" s="147"/>
      <c r="C46" s="10"/>
      <c r="D46" s="39"/>
      <c r="E46" s="39"/>
      <c r="F46" s="39"/>
      <c r="G46" s="10"/>
      <c r="H46" s="10"/>
      <c r="I46" s="39"/>
      <c r="J46" s="39"/>
      <c r="O46" s="78">
        <v>1.05</v>
      </c>
      <c r="P46" s="78">
        <f t="shared" si="0"/>
        <v>114.21900000000001</v>
      </c>
      <c r="Q46" s="2"/>
      <c r="T46" s="88" t="s">
        <v>100</v>
      </c>
      <c r="U46" s="124" t="s">
        <v>128</v>
      </c>
    </row>
    <row r="47" spans="1:21" x14ac:dyDescent="0.25">
      <c r="B47" s="147"/>
      <c r="C47" s="10"/>
      <c r="D47" s="39"/>
      <c r="E47" s="39"/>
      <c r="F47" s="39"/>
      <c r="G47" s="10"/>
      <c r="H47" s="152"/>
      <c r="I47" s="39"/>
      <c r="J47" s="39"/>
      <c r="O47" s="78">
        <v>1.04</v>
      </c>
      <c r="P47" s="78">
        <f t="shared" si="0"/>
        <v>113.13120000000001</v>
      </c>
      <c r="Q47" s="2"/>
      <c r="T47" s="88" t="s">
        <v>101</v>
      </c>
      <c r="U47" s="124">
        <v>61.81</v>
      </c>
    </row>
    <row r="48" spans="1:21" x14ac:dyDescent="0.25">
      <c r="B48" s="147"/>
      <c r="C48" s="10"/>
      <c r="D48" s="39"/>
      <c r="E48" s="39"/>
      <c r="F48" s="39"/>
      <c r="G48" s="10"/>
      <c r="H48" s="152"/>
      <c r="I48" s="39"/>
      <c r="J48" s="39"/>
      <c r="O48" s="78">
        <v>1.03</v>
      </c>
      <c r="P48" s="78">
        <f t="shared" si="0"/>
        <v>112.04340000000001</v>
      </c>
      <c r="Q48" s="2"/>
      <c r="T48" s="88" t="s">
        <v>102</v>
      </c>
      <c r="U48" s="124">
        <v>0.240561</v>
      </c>
    </row>
    <row r="49" spans="1:21" x14ac:dyDescent="0.25">
      <c r="B49" s="147"/>
      <c r="C49" s="10"/>
      <c r="D49" s="39"/>
      <c r="E49" s="39"/>
      <c r="F49" s="39"/>
      <c r="G49" s="10"/>
      <c r="H49" s="10"/>
      <c r="I49" s="39"/>
      <c r="J49" s="39"/>
      <c r="O49" s="78">
        <v>1.02</v>
      </c>
      <c r="P49" s="78">
        <f t="shared" si="0"/>
        <v>110.9556</v>
      </c>
      <c r="Q49" s="2"/>
      <c r="T49" s="88" t="s">
        <v>103</v>
      </c>
      <c r="U49" s="124" t="s">
        <v>436</v>
      </c>
    </row>
    <row r="50" spans="1:21" x14ac:dyDescent="0.25">
      <c r="B50" s="147"/>
      <c r="C50" s="10"/>
      <c r="D50" s="39"/>
      <c r="E50" s="39"/>
      <c r="F50" s="39"/>
      <c r="G50" s="10"/>
      <c r="H50" s="152"/>
      <c r="I50" s="39"/>
      <c r="J50" s="39"/>
      <c r="O50" s="78">
        <v>1.01</v>
      </c>
      <c r="P50" s="78">
        <f t="shared" si="0"/>
        <v>109.8678</v>
      </c>
      <c r="Q50" s="2"/>
      <c r="T50" s="88"/>
      <c r="U50" s="124"/>
    </row>
    <row r="51" spans="1:21" x14ac:dyDescent="0.25">
      <c r="B51" s="147"/>
      <c r="C51" s="10"/>
      <c r="D51" s="39"/>
      <c r="E51" s="39"/>
      <c r="F51" s="39"/>
      <c r="G51" s="10"/>
      <c r="H51" s="152"/>
      <c r="I51" s="39"/>
      <c r="J51" s="39"/>
      <c r="O51" s="78">
        <v>1</v>
      </c>
      <c r="P51" s="78">
        <f t="shared" si="0"/>
        <v>108.78</v>
      </c>
      <c r="Q51" s="2"/>
      <c r="T51" s="88" t="s">
        <v>104</v>
      </c>
      <c r="U51" s="124" t="s">
        <v>567</v>
      </c>
    </row>
    <row r="52" spans="1:21" x14ac:dyDescent="0.25">
      <c r="B52" s="147"/>
      <c r="C52" s="10"/>
      <c r="D52" s="39"/>
      <c r="E52" s="39"/>
      <c r="F52" s="39"/>
      <c r="G52" s="10"/>
      <c r="H52" s="10"/>
      <c r="I52" s="39"/>
      <c r="J52" s="39"/>
      <c r="O52" s="78">
        <v>0.99</v>
      </c>
      <c r="P52" s="78">
        <f t="shared" si="0"/>
        <v>107.6922</v>
      </c>
      <c r="Q52" s="2"/>
      <c r="T52" s="88" t="s">
        <v>105</v>
      </c>
      <c r="U52" s="124" t="s">
        <v>568</v>
      </c>
    </row>
    <row r="53" spans="1:21" x14ac:dyDescent="0.25">
      <c r="B53" s="147"/>
      <c r="C53" s="10"/>
      <c r="D53" s="39"/>
      <c r="E53" s="39"/>
      <c r="F53" s="39"/>
      <c r="G53" s="10"/>
      <c r="H53" s="152"/>
      <c r="I53" s="39"/>
      <c r="J53" s="39"/>
      <c r="O53" s="78">
        <v>0.98</v>
      </c>
      <c r="P53" s="78">
        <f t="shared" si="0"/>
        <v>106.6044</v>
      </c>
      <c r="Q53" s="2"/>
      <c r="T53" s="88" t="s">
        <v>106</v>
      </c>
      <c r="U53" s="125">
        <v>6810845</v>
      </c>
    </row>
    <row r="54" spans="1:21" x14ac:dyDescent="0.25">
      <c r="O54" s="78">
        <v>0.97</v>
      </c>
      <c r="P54" s="78">
        <f t="shared" si="0"/>
        <v>105.5166</v>
      </c>
      <c r="T54" s="88" t="s">
        <v>109</v>
      </c>
      <c r="U54" s="125">
        <v>7775990</v>
      </c>
    </row>
    <row r="55" spans="1:21" x14ac:dyDescent="0.25">
      <c r="O55" s="78">
        <v>0.96</v>
      </c>
      <c r="P55" s="78">
        <f t="shared" si="0"/>
        <v>104.4288</v>
      </c>
      <c r="T55" s="88" t="s">
        <v>107</v>
      </c>
      <c r="U55" s="124" t="s">
        <v>569</v>
      </c>
    </row>
    <row r="56" spans="1:21" x14ac:dyDescent="0.25">
      <c r="O56" s="78">
        <v>0.95</v>
      </c>
      <c r="P56" s="78">
        <f t="shared" si="0"/>
        <v>103.34099999999999</v>
      </c>
      <c r="T56" s="88" t="s">
        <v>110</v>
      </c>
      <c r="U56" s="124">
        <v>11.23</v>
      </c>
    </row>
    <row r="57" spans="1:21" x14ac:dyDescent="0.25">
      <c r="O57" s="78">
        <v>0.94</v>
      </c>
      <c r="P57" s="78">
        <f t="shared" si="0"/>
        <v>102.25319999999999</v>
      </c>
      <c r="T57" s="88" t="s">
        <v>111</v>
      </c>
      <c r="U57" s="124">
        <v>4.7</v>
      </c>
    </row>
    <row r="58" spans="1:21" x14ac:dyDescent="0.25">
      <c r="O58" s="78">
        <v>0.93</v>
      </c>
      <c r="P58" s="78">
        <f t="shared" si="0"/>
        <v>101.16540000000001</v>
      </c>
      <c r="T58" s="88" t="s">
        <v>108</v>
      </c>
      <c r="U58" s="124" t="s">
        <v>497</v>
      </c>
    </row>
    <row r="59" spans="1:21" x14ac:dyDescent="0.25">
      <c r="L59" t="s">
        <v>65</v>
      </c>
      <c r="M59" s="39">
        <f>M77+K77-F77</f>
        <v>2060.4300000000003</v>
      </c>
      <c r="O59" s="78">
        <v>0.92</v>
      </c>
      <c r="P59" s="78">
        <f t="shared" si="0"/>
        <v>100.0776</v>
      </c>
    </row>
    <row r="60" spans="1:21" x14ac:dyDescent="0.25">
      <c r="A60" s="297" t="s">
        <v>1</v>
      </c>
      <c r="B60" s="538" t="s">
        <v>2</v>
      </c>
      <c r="C60" s="297" t="s">
        <v>4</v>
      </c>
      <c r="D60" s="299" t="s">
        <v>5</v>
      </c>
      <c r="E60" s="299" t="s">
        <v>94</v>
      </c>
      <c r="F60" s="299" t="s">
        <v>60</v>
      </c>
      <c r="G60" s="297" t="s">
        <v>3</v>
      </c>
      <c r="H60" s="297" t="s">
        <v>6</v>
      </c>
      <c r="I60" s="299" t="s">
        <v>7</v>
      </c>
      <c r="J60" s="299" t="s">
        <v>95</v>
      </c>
      <c r="K60" s="299" t="s">
        <v>61</v>
      </c>
      <c r="L60" s="297" t="s">
        <v>37</v>
      </c>
      <c r="M60" s="297" t="s">
        <v>38</v>
      </c>
      <c r="O60" s="78">
        <v>0.91</v>
      </c>
      <c r="P60" s="78">
        <f t="shared" si="0"/>
        <v>98.989800000000002</v>
      </c>
    </row>
    <row r="61" spans="1:21" x14ac:dyDescent="0.25">
      <c r="A61" s="300" t="s">
        <v>321</v>
      </c>
      <c r="B61" s="533">
        <v>42755</v>
      </c>
      <c r="C61" s="291">
        <v>30</v>
      </c>
      <c r="D61" s="292">
        <v>64.680000000000007</v>
      </c>
      <c r="E61" s="292">
        <v>0</v>
      </c>
      <c r="F61" s="292">
        <f t="shared" ref="F61:F66" si="1">D61*C61+E61</f>
        <v>1940.4</v>
      </c>
      <c r="G61" s="533">
        <v>42864</v>
      </c>
      <c r="H61" s="295">
        <v>80</v>
      </c>
      <c r="I61" s="292">
        <v>57.98</v>
      </c>
      <c r="J61" s="292">
        <v>0.1</v>
      </c>
      <c r="K61" s="292">
        <f>H61*I61-J61</f>
        <v>4638.2999999999993</v>
      </c>
      <c r="L61" s="290">
        <v>42805</v>
      </c>
      <c r="M61" s="292">
        <v>18</v>
      </c>
      <c r="O61" s="78">
        <v>0.9</v>
      </c>
      <c r="P61" s="78">
        <f t="shared" si="0"/>
        <v>97.902000000000001</v>
      </c>
    </row>
    <row r="62" spans="1:21" x14ac:dyDescent="0.25">
      <c r="A62" s="301" t="s">
        <v>71</v>
      </c>
      <c r="B62" s="533">
        <v>42797</v>
      </c>
      <c r="C62" s="291">
        <v>50</v>
      </c>
      <c r="D62" s="292">
        <v>57.38</v>
      </c>
      <c r="E62" s="292">
        <v>0</v>
      </c>
      <c r="F62" s="292">
        <f t="shared" si="1"/>
        <v>2869</v>
      </c>
      <c r="G62" s="533">
        <v>42955</v>
      </c>
      <c r="H62" s="295">
        <v>100</v>
      </c>
      <c r="I62" s="292">
        <v>58.78</v>
      </c>
      <c r="J62" s="292">
        <v>0.14000000000000001</v>
      </c>
      <c r="K62" s="292">
        <f>H62*I62-J62</f>
        <v>5877.86</v>
      </c>
      <c r="L62" s="290">
        <v>42899</v>
      </c>
      <c r="M62" s="292">
        <v>48</v>
      </c>
    </row>
    <row r="63" spans="1:21" x14ac:dyDescent="0.25">
      <c r="A63" s="291"/>
      <c r="B63" s="533">
        <v>42809</v>
      </c>
      <c r="C63" s="291">
        <v>50</v>
      </c>
      <c r="D63" s="292">
        <v>54.38</v>
      </c>
      <c r="E63" s="292">
        <v>0</v>
      </c>
      <c r="F63" s="292">
        <f t="shared" si="1"/>
        <v>2719</v>
      </c>
      <c r="G63" s="533">
        <v>42984</v>
      </c>
      <c r="H63" s="295">
        <v>80</v>
      </c>
      <c r="I63" s="292">
        <v>58.38</v>
      </c>
      <c r="J63" s="292">
        <v>0.11</v>
      </c>
      <c r="K63" s="292">
        <f>H63*I63-J63</f>
        <v>4670.2900000000009</v>
      </c>
      <c r="L63" s="291"/>
      <c r="M63" s="291"/>
    </row>
    <row r="64" spans="1:21" x14ac:dyDescent="0.25">
      <c r="A64" s="291"/>
      <c r="B64" s="533">
        <v>42866</v>
      </c>
      <c r="C64" s="291">
        <v>30</v>
      </c>
      <c r="D64" s="292">
        <v>56.25</v>
      </c>
      <c r="E64" s="292">
        <v>0</v>
      </c>
      <c r="F64" s="292">
        <f t="shared" si="1"/>
        <v>1687.5</v>
      </c>
      <c r="G64" s="533"/>
      <c r="H64" s="295"/>
      <c r="I64" s="292"/>
      <c r="J64" s="292"/>
      <c r="K64" s="292"/>
      <c r="L64" s="291"/>
      <c r="M64" s="291"/>
    </row>
    <row r="65" spans="1:13" x14ac:dyDescent="0.25">
      <c r="A65" s="291"/>
      <c r="B65" s="533">
        <v>42871</v>
      </c>
      <c r="C65" s="291">
        <v>50</v>
      </c>
      <c r="D65" s="292">
        <v>54.45</v>
      </c>
      <c r="E65" s="292">
        <v>0</v>
      </c>
      <c r="F65" s="292">
        <f t="shared" si="1"/>
        <v>2722.5</v>
      </c>
      <c r="G65" s="533"/>
      <c r="H65" s="295"/>
      <c r="I65" s="292"/>
      <c r="J65" s="292"/>
      <c r="K65" s="292"/>
      <c r="L65" s="291"/>
      <c r="M65" s="291"/>
    </row>
    <row r="66" spans="1:13" x14ac:dyDescent="0.25">
      <c r="A66" s="291"/>
      <c r="B66" s="533">
        <v>42902</v>
      </c>
      <c r="C66" s="291">
        <v>50</v>
      </c>
      <c r="D66" s="292">
        <v>49</v>
      </c>
      <c r="E66" s="292">
        <v>0</v>
      </c>
      <c r="F66" s="292">
        <f t="shared" si="1"/>
        <v>2450</v>
      </c>
      <c r="G66" s="533"/>
      <c r="H66" s="295"/>
      <c r="I66" s="292"/>
      <c r="J66" s="292"/>
      <c r="K66" s="292"/>
      <c r="L66" s="291"/>
      <c r="M66" s="291"/>
    </row>
    <row r="67" spans="1:13" x14ac:dyDescent="0.25">
      <c r="A67" s="291"/>
      <c r="B67" s="533"/>
      <c r="C67" s="291"/>
      <c r="D67" s="292"/>
      <c r="E67" s="292"/>
      <c r="F67" s="292"/>
      <c r="G67" s="533"/>
      <c r="H67" s="295"/>
      <c r="I67" s="292"/>
      <c r="J67" s="292"/>
      <c r="K67" s="292"/>
      <c r="L67" s="291"/>
      <c r="M67" s="291"/>
    </row>
    <row r="68" spans="1:13" x14ac:dyDescent="0.25">
      <c r="A68" s="291"/>
      <c r="B68" s="397">
        <v>42956</v>
      </c>
      <c r="C68" s="7">
        <v>100</v>
      </c>
      <c r="D68" s="43">
        <v>57.5</v>
      </c>
      <c r="E68" s="43">
        <v>0</v>
      </c>
      <c r="F68" s="43">
        <f>D68*C68+E68</f>
        <v>5750</v>
      </c>
      <c r="G68" s="397">
        <v>42991</v>
      </c>
      <c r="H68" s="7">
        <v>100</v>
      </c>
      <c r="I68" s="43">
        <v>59.98</v>
      </c>
      <c r="J68" s="43">
        <v>0.14000000000000001</v>
      </c>
      <c r="K68" s="43">
        <f>I68*H68-J68</f>
        <v>5997.86</v>
      </c>
      <c r="L68" s="69">
        <v>42988</v>
      </c>
      <c r="M68" s="43">
        <v>111.6</v>
      </c>
    </row>
    <row r="69" spans="1:13" x14ac:dyDescent="0.25">
      <c r="A69" s="291"/>
      <c r="B69" s="533"/>
      <c r="C69" s="291"/>
      <c r="D69" s="292"/>
      <c r="E69" s="292"/>
      <c r="F69" s="292"/>
      <c r="G69" s="533"/>
      <c r="H69" s="295"/>
      <c r="I69" s="292"/>
      <c r="J69" s="292"/>
      <c r="K69" s="292"/>
      <c r="L69" s="533"/>
      <c r="M69" s="291"/>
    </row>
    <row r="70" spans="1:13" x14ac:dyDescent="0.25">
      <c r="A70" s="291"/>
      <c r="B70" s="398">
        <v>43014</v>
      </c>
      <c r="C70" s="4">
        <v>50</v>
      </c>
      <c r="D70" s="3">
        <v>56.88</v>
      </c>
      <c r="E70" s="3">
        <v>0</v>
      </c>
      <c r="F70" s="3">
        <f>C70*D70+E70</f>
        <v>2844</v>
      </c>
      <c r="G70" s="398">
        <v>43111</v>
      </c>
      <c r="H70" s="4">
        <v>50</v>
      </c>
      <c r="I70" s="3">
        <v>73</v>
      </c>
      <c r="J70" s="3">
        <v>0.08</v>
      </c>
      <c r="K70" s="3">
        <f>H70*I70-J70</f>
        <v>3649.92</v>
      </c>
      <c r="L70" s="69">
        <v>43081</v>
      </c>
      <c r="M70" s="43">
        <v>31</v>
      </c>
    </row>
    <row r="71" spans="1:13" x14ac:dyDescent="0.25">
      <c r="A71" s="291"/>
      <c r="B71" s="533"/>
      <c r="C71" s="291"/>
      <c r="D71" s="292"/>
      <c r="E71" s="292"/>
      <c r="F71" s="292"/>
      <c r="G71" s="533"/>
      <c r="H71" s="295"/>
      <c r="I71" s="292"/>
      <c r="J71" s="292"/>
      <c r="K71" s="292"/>
      <c r="L71" s="291"/>
      <c r="M71" s="291"/>
    </row>
    <row r="72" spans="1:13" x14ac:dyDescent="0.25">
      <c r="A72" s="291"/>
      <c r="B72" s="533"/>
      <c r="C72" s="291"/>
      <c r="D72" s="292"/>
      <c r="E72" s="292"/>
      <c r="F72" s="292"/>
      <c r="G72" s="533"/>
      <c r="H72" s="295"/>
      <c r="I72" s="292"/>
      <c r="J72" s="292"/>
      <c r="K72" s="292"/>
      <c r="L72" s="291"/>
      <c r="M72" s="291"/>
    </row>
    <row r="73" spans="1:13" x14ac:dyDescent="0.25">
      <c r="A73" s="291"/>
      <c r="B73" s="533"/>
      <c r="C73" s="291"/>
      <c r="D73" s="292"/>
      <c r="E73" s="292"/>
      <c r="F73" s="292"/>
      <c r="G73" s="533"/>
      <c r="H73" s="295"/>
      <c r="I73" s="292"/>
      <c r="J73" s="292"/>
      <c r="K73" s="292"/>
      <c r="L73" s="291"/>
      <c r="M73" s="291"/>
    </row>
    <row r="74" spans="1:13" x14ac:dyDescent="0.25">
      <c r="A74" s="291"/>
      <c r="B74" s="533"/>
      <c r="C74" s="291"/>
      <c r="D74" s="292"/>
      <c r="E74" s="292"/>
      <c r="F74" s="292"/>
      <c r="G74" s="533"/>
      <c r="H74" s="295"/>
      <c r="I74" s="292"/>
      <c r="J74" s="292"/>
      <c r="K74" s="292"/>
      <c r="L74" s="291"/>
      <c r="M74" s="291"/>
    </row>
    <row r="75" spans="1:13" x14ac:dyDescent="0.25">
      <c r="A75" s="291"/>
      <c r="B75" s="533"/>
      <c r="C75" s="291"/>
      <c r="D75" s="292"/>
      <c r="E75" s="292"/>
      <c r="F75" s="292"/>
      <c r="G75" s="533"/>
      <c r="H75" s="295"/>
      <c r="I75" s="292"/>
      <c r="J75" s="292"/>
      <c r="K75" s="292"/>
      <c r="L75" s="291"/>
      <c r="M75" s="291"/>
    </row>
    <row r="76" spans="1:13" x14ac:dyDescent="0.25">
      <c r="A76" s="291"/>
      <c r="B76" s="533"/>
      <c r="C76" s="291"/>
      <c r="D76" s="292"/>
      <c r="E76" s="292"/>
      <c r="F76" s="292"/>
      <c r="G76" s="533"/>
      <c r="H76" s="291"/>
      <c r="I76" s="292"/>
      <c r="J76" s="292"/>
      <c r="K76" s="292"/>
      <c r="L76" s="291"/>
      <c r="M76" s="291"/>
    </row>
    <row r="77" spans="1:13" x14ac:dyDescent="0.25">
      <c r="A77" s="21" t="s">
        <v>81</v>
      </c>
      <c r="B77" s="539"/>
      <c r="C77" s="12">
        <f>SUM(C61:C73)</f>
        <v>410</v>
      </c>
      <c r="D77" s="13"/>
      <c r="E77" s="13"/>
      <c r="F77" s="13">
        <f>SUM(F61:F73)</f>
        <v>22982.400000000001</v>
      </c>
      <c r="G77" s="12"/>
      <c r="H77" s="12">
        <f>SUM(H61:H72)</f>
        <v>410</v>
      </c>
      <c r="I77" s="13"/>
      <c r="J77" s="13"/>
      <c r="K77" s="13">
        <f>SUM(K61:K72)</f>
        <v>24834.230000000003</v>
      </c>
      <c r="L77" s="12"/>
      <c r="M77" s="13">
        <f>SUM(M61:M76)</f>
        <v>208.6</v>
      </c>
    </row>
    <row r="78" spans="1:13" ht="15.75" thickBot="1" x14ac:dyDescent="0.3">
      <c r="A78" s="370" t="s">
        <v>189</v>
      </c>
      <c r="B78" s="540"/>
      <c r="C78" s="372">
        <f>SumByColor($A$19,C61:C76)</f>
        <v>100</v>
      </c>
      <c r="D78" s="372"/>
      <c r="E78" s="372"/>
      <c r="F78" s="373">
        <f>SumByColor($A$19,F61:F76)</f>
        <v>5750</v>
      </c>
      <c r="G78" s="372"/>
      <c r="H78" s="372">
        <f>SumByColor($A$19,H61:H76)</f>
        <v>100</v>
      </c>
      <c r="I78" s="372"/>
      <c r="J78" s="372"/>
      <c r="K78" s="373">
        <f>SumByColor($A$19,K61:K76)</f>
        <v>5998</v>
      </c>
      <c r="L78" s="372"/>
      <c r="M78" s="373">
        <f>SumByColor($A$19,M61:M76)</f>
        <v>143</v>
      </c>
    </row>
    <row r="83" spans="1:13" x14ac:dyDescent="0.25">
      <c r="A83" s="291"/>
      <c r="B83" s="531" t="s">
        <v>113</v>
      </c>
      <c r="C83" s="405" t="s">
        <v>143</v>
      </c>
      <c r="D83" s="406" t="s">
        <v>142</v>
      </c>
      <c r="E83" s="407" t="s">
        <v>144</v>
      </c>
      <c r="F83" s="407" t="s">
        <v>65</v>
      </c>
      <c r="G83" s="409" t="s">
        <v>148</v>
      </c>
      <c r="H83" s="409" t="s">
        <v>88</v>
      </c>
      <c r="I83" s="409" t="s">
        <v>151</v>
      </c>
      <c r="J83" s="409" t="s">
        <v>147</v>
      </c>
      <c r="K83" s="292"/>
      <c r="L83" s="291"/>
      <c r="M83" s="291"/>
    </row>
    <row r="84" spans="1:13" x14ac:dyDescent="0.25">
      <c r="A84" s="291"/>
      <c r="B84" s="533">
        <v>42755</v>
      </c>
      <c r="C84" s="291">
        <v>30</v>
      </c>
      <c r="D84" s="292">
        <v>64.680000000000007</v>
      </c>
      <c r="E84" s="292">
        <v>64.099999999999994</v>
      </c>
      <c r="F84" s="292">
        <f t="shared" ref="F84:F103" si="2">C84*(E84-D84)</f>
        <v>-17.400000000000375</v>
      </c>
      <c r="G84" s="292">
        <f t="shared" ref="G84:G103" si="3">D84*C84</f>
        <v>1940.4</v>
      </c>
      <c r="H84" s="615">
        <f>(E84-D84)/D84</f>
        <v>-8.9672232529377314E-3</v>
      </c>
      <c r="I84" s="292"/>
      <c r="J84" s="292"/>
      <c r="K84" s="292"/>
      <c r="L84" s="291"/>
      <c r="M84" s="291"/>
    </row>
    <row r="85" spans="1:13" x14ac:dyDescent="0.25">
      <c r="A85" s="291"/>
      <c r="B85" s="533">
        <v>42760</v>
      </c>
      <c r="C85" s="291">
        <v>30</v>
      </c>
      <c r="D85" s="292">
        <v>64.680000000000007</v>
      </c>
      <c r="E85" s="292">
        <v>65</v>
      </c>
      <c r="F85" s="292">
        <f t="shared" si="2"/>
        <v>9.5999999999997954</v>
      </c>
      <c r="G85" s="292">
        <f t="shared" si="3"/>
        <v>1940.4</v>
      </c>
      <c r="H85" s="615">
        <f t="shared" ref="H85:H103" si="4">(E85-D85)/D85</f>
        <v>4.947433518861984E-3</v>
      </c>
      <c r="I85" s="292"/>
      <c r="J85" s="292"/>
      <c r="K85" s="292"/>
      <c r="L85" s="291"/>
      <c r="M85" s="291"/>
    </row>
    <row r="86" spans="1:13" x14ac:dyDescent="0.25">
      <c r="A86" s="291"/>
      <c r="B86" s="533">
        <v>42771</v>
      </c>
      <c r="C86" s="291">
        <v>30</v>
      </c>
      <c r="D86" s="292">
        <v>64.680000000000007</v>
      </c>
      <c r="E86" s="292">
        <v>63.75</v>
      </c>
      <c r="F86" s="292">
        <f t="shared" si="2"/>
        <v>-27.900000000000205</v>
      </c>
      <c r="G86" s="292">
        <f t="shared" si="3"/>
        <v>1940.4</v>
      </c>
      <c r="H86" s="615">
        <f t="shared" si="4"/>
        <v>-1.4378478664193053E-2</v>
      </c>
      <c r="I86" s="292"/>
      <c r="J86" s="292"/>
      <c r="K86" s="292"/>
      <c r="L86" s="291"/>
      <c r="M86" s="291"/>
    </row>
    <row r="87" spans="1:13" x14ac:dyDescent="0.25">
      <c r="A87" s="291" t="s">
        <v>411</v>
      </c>
      <c r="B87" s="533">
        <v>42790</v>
      </c>
      <c r="C87" s="291">
        <v>30</v>
      </c>
      <c r="D87" s="292">
        <v>64.680000000000007</v>
      </c>
      <c r="E87" s="292">
        <v>66.510000000000005</v>
      </c>
      <c r="F87" s="292">
        <f t="shared" si="2"/>
        <v>54.899999999999949</v>
      </c>
      <c r="G87" s="292">
        <f t="shared" si="3"/>
        <v>1940.4</v>
      </c>
      <c r="H87" s="615">
        <f t="shared" si="4"/>
        <v>2.8293135435992548E-2</v>
      </c>
      <c r="I87" s="292"/>
      <c r="J87" s="292"/>
      <c r="K87" s="292"/>
      <c r="L87" s="291"/>
      <c r="M87" s="291"/>
    </row>
    <row r="88" spans="1:13" x14ac:dyDescent="0.25">
      <c r="A88" s="291" t="s">
        <v>411</v>
      </c>
      <c r="B88" s="533">
        <v>42795</v>
      </c>
      <c r="C88" s="291">
        <v>30</v>
      </c>
      <c r="D88" s="292">
        <v>64.680000000000007</v>
      </c>
      <c r="E88" s="292">
        <v>57.83</v>
      </c>
      <c r="F88" s="292">
        <f t="shared" si="2"/>
        <v>-205.50000000000026</v>
      </c>
      <c r="G88" s="292">
        <f t="shared" si="3"/>
        <v>1940.4</v>
      </c>
      <c r="H88" s="615">
        <f t="shared" si="4"/>
        <v>-0.10590599876314175</v>
      </c>
      <c r="I88" s="292"/>
      <c r="J88" s="292"/>
      <c r="K88" s="292"/>
      <c r="L88" s="291"/>
      <c r="M88" s="291"/>
    </row>
    <row r="89" spans="1:13" x14ac:dyDescent="0.25">
      <c r="A89" s="291" t="s">
        <v>430</v>
      </c>
      <c r="B89" s="533">
        <v>42798</v>
      </c>
      <c r="C89" s="291">
        <v>80</v>
      </c>
      <c r="D89" s="292">
        <v>60.1175</v>
      </c>
      <c r="E89" s="292">
        <v>57.35</v>
      </c>
      <c r="F89" s="292">
        <f t="shared" si="2"/>
        <v>-221.39999999999986</v>
      </c>
      <c r="G89" s="292">
        <f t="shared" si="3"/>
        <v>4809.3999999999996</v>
      </c>
      <c r="H89" s="615">
        <f t="shared" si="4"/>
        <v>-4.6034848421840531E-2</v>
      </c>
      <c r="I89" s="292"/>
      <c r="J89" s="292"/>
      <c r="K89" s="292"/>
      <c r="L89" s="291"/>
      <c r="M89" s="291"/>
    </row>
    <row r="90" spans="1:13" x14ac:dyDescent="0.25">
      <c r="A90" s="291">
        <v>30</v>
      </c>
      <c r="B90" s="533">
        <v>42800</v>
      </c>
      <c r="C90" s="291">
        <v>80</v>
      </c>
      <c r="D90" s="292">
        <v>60.1175</v>
      </c>
      <c r="E90" s="292">
        <v>56.1</v>
      </c>
      <c r="F90" s="292">
        <f t="shared" si="2"/>
        <v>-321.39999999999986</v>
      </c>
      <c r="G90" s="292">
        <f t="shared" si="3"/>
        <v>4809.3999999999996</v>
      </c>
      <c r="H90" s="615">
        <f t="shared" si="4"/>
        <v>-6.6827462885183153E-2</v>
      </c>
      <c r="I90" s="292"/>
      <c r="J90" s="292"/>
      <c r="K90" s="292"/>
      <c r="L90" s="291"/>
      <c r="M90" s="291"/>
    </row>
    <row r="91" spans="1:13" x14ac:dyDescent="0.25">
      <c r="A91" s="291">
        <v>30</v>
      </c>
      <c r="B91" s="533">
        <v>42805</v>
      </c>
      <c r="C91" s="291">
        <v>80</v>
      </c>
      <c r="D91" s="292">
        <v>59.892499999999998</v>
      </c>
      <c r="E91" s="292">
        <v>55.36</v>
      </c>
      <c r="F91" s="292">
        <f t="shared" si="2"/>
        <v>-362.59999999999991</v>
      </c>
      <c r="G91" s="292">
        <f t="shared" si="3"/>
        <v>4791.3999999999996</v>
      </c>
      <c r="H91" s="615">
        <f t="shared" si="4"/>
        <v>-7.5677255082021944E-2</v>
      </c>
      <c r="I91" s="292"/>
      <c r="J91" s="292"/>
      <c r="K91" s="292"/>
      <c r="L91" s="291"/>
      <c r="M91" s="291"/>
    </row>
    <row r="92" spans="1:13" x14ac:dyDescent="0.25">
      <c r="A92" s="291">
        <v>30</v>
      </c>
      <c r="B92" s="533">
        <v>42808</v>
      </c>
      <c r="C92" s="291">
        <v>80</v>
      </c>
      <c r="D92" s="292">
        <v>59.892499999999998</v>
      </c>
      <c r="E92" s="292">
        <v>54.75</v>
      </c>
      <c r="F92" s="292">
        <f t="shared" si="2"/>
        <v>-411.39999999999986</v>
      </c>
      <c r="G92" s="292">
        <f t="shared" si="3"/>
        <v>4791.3999999999996</v>
      </c>
      <c r="H92" s="615">
        <f t="shared" si="4"/>
        <v>-8.5862169720749656E-2</v>
      </c>
      <c r="I92" s="292"/>
      <c r="J92" s="292"/>
      <c r="K92" s="292"/>
      <c r="L92" s="291"/>
      <c r="M92" s="291"/>
    </row>
    <row r="93" spans="1:13" x14ac:dyDescent="0.25">
      <c r="A93" s="291">
        <v>30</v>
      </c>
      <c r="B93" s="533">
        <v>42809</v>
      </c>
      <c r="C93" s="291">
        <v>130</v>
      </c>
      <c r="D93" s="292">
        <v>57.772300000000001</v>
      </c>
      <c r="E93" s="292">
        <v>54.57</v>
      </c>
      <c r="F93" s="292">
        <f t="shared" si="2"/>
        <v>-416.29900000000015</v>
      </c>
      <c r="G93" s="292">
        <f t="shared" si="3"/>
        <v>7510.3990000000003</v>
      </c>
      <c r="H93" s="615">
        <f t="shared" si="4"/>
        <v>-5.5429678236802081E-2</v>
      </c>
      <c r="I93" s="292"/>
      <c r="J93" s="292"/>
      <c r="K93" s="292"/>
      <c r="L93" s="291"/>
      <c r="M93" s="291"/>
    </row>
    <row r="94" spans="1:13" x14ac:dyDescent="0.25">
      <c r="A94" s="291">
        <v>130</v>
      </c>
      <c r="B94" s="533">
        <v>42862</v>
      </c>
      <c r="C94" s="291">
        <v>130</v>
      </c>
      <c r="D94" s="292">
        <v>57.77</v>
      </c>
      <c r="E94" s="292">
        <v>57.32</v>
      </c>
      <c r="F94" s="292">
        <f t="shared" si="2"/>
        <v>-58.500000000000369</v>
      </c>
      <c r="G94" s="292">
        <f t="shared" si="3"/>
        <v>7510.1</v>
      </c>
      <c r="H94" s="615">
        <f t="shared" si="4"/>
        <v>-7.7895101263632128E-3</v>
      </c>
      <c r="I94" s="292"/>
      <c r="J94" s="292"/>
      <c r="K94" s="292"/>
      <c r="L94" s="291"/>
      <c r="M94" s="291"/>
    </row>
    <row r="95" spans="1:13" x14ac:dyDescent="0.25">
      <c r="A95" s="291">
        <v>50</v>
      </c>
      <c r="B95" s="533">
        <v>42864</v>
      </c>
      <c r="C95" s="291">
        <v>50</v>
      </c>
      <c r="D95" s="292">
        <v>57.442</v>
      </c>
      <c r="E95" s="292">
        <v>58.01</v>
      </c>
      <c r="F95" s="292">
        <f t="shared" si="2"/>
        <v>28.399999999999892</v>
      </c>
      <c r="G95" s="292">
        <f t="shared" si="3"/>
        <v>2872.1</v>
      </c>
      <c r="H95" s="615">
        <f t="shared" si="4"/>
        <v>9.8882350893074369E-3</v>
      </c>
      <c r="I95" s="292"/>
      <c r="J95" s="292"/>
      <c r="K95" s="292"/>
      <c r="L95" s="291"/>
      <c r="M95" s="291"/>
    </row>
    <row r="96" spans="1:13" x14ac:dyDescent="0.25">
      <c r="A96" s="291">
        <v>50</v>
      </c>
      <c r="B96" s="533">
        <v>42866</v>
      </c>
      <c r="C96" s="291">
        <v>80</v>
      </c>
      <c r="D96" s="292">
        <v>56.994999999999997</v>
      </c>
      <c r="E96" s="292">
        <v>56.06</v>
      </c>
      <c r="F96" s="292">
        <f t="shared" si="2"/>
        <v>-74.799999999999613</v>
      </c>
      <c r="G96" s="292">
        <f t="shared" si="3"/>
        <v>4559.5999999999995</v>
      </c>
      <c r="H96" s="615">
        <f t="shared" si="4"/>
        <v>-1.6404947802438726E-2</v>
      </c>
      <c r="I96" s="292"/>
      <c r="J96" s="292"/>
      <c r="K96" s="292"/>
      <c r="L96" s="291"/>
      <c r="M96" s="291"/>
    </row>
    <row r="97" spans="1:13" x14ac:dyDescent="0.25">
      <c r="A97" s="291">
        <v>50</v>
      </c>
      <c r="B97" s="533">
        <v>42871</v>
      </c>
      <c r="C97" s="291">
        <v>130</v>
      </c>
      <c r="D97" s="292">
        <v>56.015999999999998</v>
      </c>
      <c r="E97" s="292">
        <v>54.53</v>
      </c>
      <c r="F97" s="292">
        <f t="shared" si="2"/>
        <v>-193.17999999999961</v>
      </c>
      <c r="G97" s="292">
        <f t="shared" si="3"/>
        <v>7282.08</v>
      </c>
      <c r="H97" s="615">
        <f t="shared" si="4"/>
        <v>-2.6528134818623199E-2</v>
      </c>
      <c r="I97" s="292"/>
      <c r="J97" s="292"/>
      <c r="K97" s="292"/>
      <c r="L97" s="291"/>
      <c r="M97" s="291"/>
    </row>
    <row r="98" spans="1:13" x14ac:dyDescent="0.25">
      <c r="A98" s="291">
        <v>80</v>
      </c>
      <c r="B98" s="533">
        <v>42899</v>
      </c>
      <c r="C98" s="291">
        <v>130</v>
      </c>
      <c r="D98" s="292">
        <v>55.646900000000002</v>
      </c>
      <c r="E98" s="292">
        <v>57.38</v>
      </c>
      <c r="F98" s="292">
        <f t="shared" si="2"/>
        <v>225.30300000000005</v>
      </c>
      <c r="G98" s="292">
        <f t="shared" si="3"/>
        <v>7234.0970000000007</v>
      </c>
      <c r="H98" s="615">
        <f t="shared" si="4"/>
        <v>3.1144592061732104E-2</v>
      </c>
      <c r="I98" s="292"/>
      <c r="J98" s="292"/>
      <c r="K98" s="292"/>
      <c r="L98" s="291"/>
      <c r="M98" s="291"/>
    </row>
    <row r="99" spans="1:13" x14ac:dyDescent="0.25">
      <c r="A99" s="291">
        <v>130</v>
      </c>
      <c r="B99" s="533">
        <v>42904</v>
      </c>
      <c r="C99" s="291">
        <v>180</v>
      </c>
      <c r="D99" s="292">
        <v>53.8</v>
      </c>
      <c r="E99" s="292">
        <v>52.61</v>
      </c>
      <c r="F99" s="292">
        <f t="shared" si="2"/>
        <v>-214.19999999999959</v>
      </c>
      <c r="G99" s="292">
        <f t="shared" si="3"/>
        <v>9684</v>
      </c>
      <c r="H99" s="615">
        <f t="shared" si="4"/>
        <v>-2.211895910780665E-2</v>
      </c>
      <c r="I99" s="292"/>
      <c r="J99" s="292"/>
      <c r="K99" s="292"/>
      <c r="L99" s="291"/>
      <c r="M99" s="291"/>
    </row>
    <row r="100" spans="1:13" x14ac:dyDescent="0.25">
      <c r="A100" s="291"/>
      <c r="B100" s="533">
        <v>42943</v>
      </c>
      <c r="C100" s="291">
        <v>180</v>
      </c>
      <c r="D100" s="292">
        <v>53.8</v>
      </c>
      <c r="E100" s="292">
        <v>56.05</v>
      </c>
      <c r="F100" s="292">
        <f t="shared" si="2"/>
        <v>405</v>
      </c>
      <c r="G100" s="292">
        <f t="shared" si="3"/>
        <v>9684</v>
      </c>
      <c r="H100" s="615">
        <f t="shared" si="4"/>
        <v>4.1821561338289966E-2</v>
      </c>
      <c r="I100" s="292"/>
      <c r="J100" s="292"/>
      <c r="K100" s="292"/>
      <c r="L100" s="291"/>
      <c r="M100" s="291"/>
    </row>
    <row r="101" spans="1:13" x14ac:dyDescent="0.25">
      <c r="A101" s="291">
        <v>80</v>
      </c>
      <c r="B101" s="533">
        <v>42955</v>
      </c>
      <c r="C101" s="291">
        <v>80</v>
      </c>
      <c r="D101" s="292">
        <v>47.578000000000003</v>
      </c>
      <c r="E101" s="292">
        <v>58.74</v>
      </c>
      <c r="F101" s="292">
        <f t="shared" si="2"/>
        <v>892.95999999999992</v>
      </c>
      <c r="G101" s="292">
        <f t="shared" si="3"/>
        <v>3806.2400000000002</v>
      </c>
      <c r="H101" s="615">
        <f t="shared" si="4"/>
        <v>0.23460422884526458</v>
      </c>
      <c r="I101" s="292"/>
      <c r="J101" s="292"/>
      <c r="K101" s="292"/>
      <c r="L101" s="291"/>
      <c r="M101" s="291"/>
    </row>
    <row r="102" spans="1:13" x14ac:dyDescent="0.25">
      <c r="A102" s="291">
        <v>80</v>
      </c>
      <c r="B102" s="533">
        <v>42956</v>
      </c>
      <c r="C102" s="291">
        <v>180</v>
      </c>
      <c r="D102" s="292">
        <v>53.09</v>
      </c>
      <c r="E102" s="292">
        <v>57.87</v>
      </c>
      <c r="F102" s="292">
        <f t="shared" si="2"/>
        <v>860.39999999999895</v>
      </c>
      <c r="G102" s="292">
        <f t="shared" si="3"/>
        <v>9556.2000000000007</v>
      </c>
      <c r="H102" s="615">
        <f t="shared" si="4"/>
        <v>9.0035788284045848E-2</v>
      </c>
      <c r="I102" s="292"/>
      <c r="J102" s="292"/>
      <c r="K102" s="292"/>
      <c r="L102" s="291"/>
      <c r="M102" s="291"/>
    </row>
    <row r="103" spans="1:13" x14ac:dyDescent="0.25">
      <c r="A103" s="290">
        <v>42989</v>
      </c>
      <c r="B103" s="533">
        <v>42984</v>
      </c>
      <c r="C103" s="291">
        <v>100</v>
      </c>
      <c r="D103" s="292">
        <v>48.859499999999997</v>
      </c>
      <c r="E103" s="292">
        <v>58.14</v>
      </c>
      <c r="F103" s="292">
        <f t="shared" si="2"/>
        <v>928.05000000000041</v>
      </c>
      <c r="G103" s="292">
        <f t="shared" si="3"/>
        <v>4885.95</v>
      </c>
      <c r="H103" s="615">
        <f t="shared" si="4"/>
        <v>0.18994259048905543</v>
      </c>
      <c r="I103" s="292"/>
      <c r="J103" s="292"/>
      <c r="K103" s="292"/>
      <c r="L103" s="291"/>
      <c r="M103" s="291"/>
    </row>
    <row r="104" spans="1:13" x14ac:dyDescent="0.25">
      <c r="A104" s="291"/>
      <c r="B104" s="533"/>
      <c r="C104" s="291"/>
      <c r="D104" s="292"/>
      <c r="E104" s="292"/>
      <c r="F104" s="292"/>
      <c r="G104" s="291"/>
      <c r="H104" s="291"/>
      <c r="I104" s="292"/>
      <c r="J104" s="292"/>
      <c r="K104" s="292"/>
      <c r="L104" s="291"/>
      <c r="M104" s="291"/>
    </row>
    <row r="105" spans="1:13" x14ac:dyDescent="0.25">
      <c r="A105" s="1">
        <v>42989</v>
      </c>
      <c r="B105" s="147">
        <v>42984</v>
      </c>
      <c r="C105" s="10">
        <v>100</v>
      </c>
      <c r="D105" s="39">
        <v>57.5</v>
      </c>
      <c r="E105" s="39">
        <v>58.05</v>
      </c>
      <c r="F105" s="39">
        <f>C105*(E105-D105)</f>
        <v>54.999999999999716</v>
      </c>
      <c r="G105" s="39">
        <f>D105*C105</f>
        <v>5750</v>
      </c>
      <c r="H105" s="152">
        <f>(E105-D105)/D105</f>
        <v>9.5652173913042988E-3</v>
      </c>
      <c r="I105" s="39"/>
      <c r="J105" s="39">
        <v>919</v>
      </c>
      <c r="K105" s="292"/>
      <c r="L105" s="291"/>
      <c r="M105" s="291"/>
    </row>
    <row r="106" spans="1:13" x14ac:dyDescent="0.25">
      <c r="B106" s="147">
        <v>42991</v>
      </c>
      <c r="C106" s="10">
        <v>0</v>
      </c>
      <c r="D106" s="39"/>
      <c r="E106" s="39">
        <v>59.53</v>
      </c>
      <c r="F106" s="39"/>
      <c r="G106" s="39"/>
      <c r="H106" s="152"/>
      <c r="I106" s="39"/>
      <c r="J106" s="39">
        <v>1224</v>
      </c>
      <c r="K106" s="292"/>
      <c r="L106" s="291"/>
      <c r="M106" s="291"/>
    </row>
    <row r="107" spans="1:13" x14ac:dyDescent="0.25">
      <c r="A107" s="291"/>
      <c r="B107" s="533"/>
      <c r="C107" s="291"/>
      <c r="D107" s="292"/>
      <c r="E107" s="292"/>
      <c r="F107" s="292"/>
      <c r="G107" s="291"/>
      <c r="H107" s="615"/>
      <c r="I107" s="292"/>
      <c r="J107" s="292"/>
      <c r="K107" s="292"/>
      <c r="L107" s="291"/>
      <c r="M107" s="291"/>
    </row>
    <row r="108" spans="1:13" x14ac:dyDescent="0.25">
      <c r="A108" s="1"/>
      <c r="B108" s="147">
        <v>43014</v>
      </c>
      <c r="C108" s="10">
        <v>50</v>
      </c>
      <c r="D108" s="39">
        <v>56.88</v>
      </c>
      <c r="E108" s="39">
        <v>56.88</v>
      </c>
      <c r="F108" s="39">
        <f>C108*(E108-D108)</f>
        <v>0</v>
      </c>
      <c r="G108" s="39">
        <f>D108*C108</f>
        <v>2844</v>
      </c>
      <c r="H108" s="152">
        <f>(E108-D108)/D108</f>
        <v>0</v>
      </c>
      <c r="I108" s="39"/>
      <c r="J108" s="39"/>
      <c r="K108" s="292"/>
      <c r="L108" s="291"/>
      <c r="M108" s="291"/>
    </row>
    <row r="109" spans="1:13" x14ac:dyDescent="0.25">
      <c r="B109" s="147">
        <v>43031</v>
      </c>
      <c r="C109" s="10">
        <v>50</v>
      </c>
      <c r="D109" s="39">
        <v>56.88</v>
      </c>
      <c r="E109" s="39">
        <v>62.58</v>
      </c>
      <c r="F109" s="39">
        <f>C109*(E109-D109)</f>
        <v>284.99999999999977</v>
      </c>
      <c r="G109" s="39">
        <f>D109*C109</f>
        <v>2844</v>
      </c>
      <c r="H109" s="152">
        <f>(E109-D109)/D109</f>
        <v>0.10021097046413494</v>
      </c>
      <c r="I109" s="39"/>
      <c r="J109" s="39"/>
      <c r="K109" s="292"/>
      <c r="L109" s="291"/>
      <c r="M109" s="291"/>
    </row>
    <row r="110" spans="1:13" x14ac:dyDescent="0.25">
      <c r="B110" s="147">
        <v>43081</v>
      </c>
      <c r="C110" s="10">
        <v>50</v>
      </c>
      <c r="D110" s="39">
        <v>56.28</v>
      </c>
      <c r="E110" s="39">
        <v>61.02</v>
      </c>
      <c r="F110" s="39">
        <f>C110*(E110-D110)</f>
        <v>237.00000000000011</v>
      </c>
      <c r="G110" s="39">
        <f>D110*C110</f>
        <v>2814</v>
      </c>
      <c r="H110" s="152">
        <f>(E110-D110)/D110</f>
        <v>8.4221748400852905E-2</v>
      </c>
      <c r="I110" s="39">
        <v>56</v>
      </c>
      <c r="J110" s="39">
        <v>1461</v>
      </c>
      <c r="K110" s="292"/>
      <c r="L110" s="291"/>
      <c r="M110" s="291"/>
    </row>
    <row r="111" spans="1:13" x14ac:dyDescent="0.25">
      <c r="B111" s="147">
        <v>43105</v>
      </c>
      <c r="C111" s="10">
        <v>50</v>
      </c>
      <c r="D111" s="39">
        <v>56.26</v>
      </c>
      <c r="E111" s="39">
        <v>66.55</v>
      </c>
      <c r="F111" s="39">
        <f>C111*(E111-D111)</f>
        <v>514.5</v>
      </c>
      <c r="G111" s="39">
        <f>D111*C111</f>
        <v>2813</v>
      </c>
      <c r="H111" s="152">
        <f>(E111-D111)/D111</f>
        <v>0.18290081763242089</v>
      </c>
      <c r="I111" s="39"/>
      <c r="J111" s="39">
        <v>1738.01</v>
      </c>
      <c r="K111" s="292"/>
      <c r="L111" s="291"/>
      <c r="M111" s="291"/>
    </row>
    <row r="112" spans="1:13" x14ac:dyDescent="0.25">
      <c r="B112" s="147">
        <v>43108</v>
      </c>
      <c r="C112" s="10">
        <v>50</v>
      </c>
      <c r="D112" s="39">
        <v>56.26</v>
      </c>
      <c r="E112" s="39">
        <v>67.180000000000007</v>
      </c>
      <c r="F112" s="39">
        <f>C112*(E112-D112)</f>
        <v>546.00000000000045</v>
      </c>
      <c r="G112" s="39">
        <f>D112*C112</f>
        <v>2813</v>
      </c>
      <c r="H112" s="152">
        <f>(E112-D112)/D112</f>
        <v>0.19409882687522234</v>
      </c>
      <c r="I112" s="39"/>
      <c r="J112" s="39">
        <v>1770</v>
      </c>
      <c r="K112" s="292"/>
      <c r="L112" s="291"/>
      <c r="M112" s="291"/>
    </row>
    <row r="113" spans="1:13" x14ac:dyDescent="0.25">
      <c r="B113" s="147">
        <v>43111</v>
      </c>
      <c r="C113" s="10">
        <v>0</v>
      </c>
      <c r="D113" s="39"/>
      <c r="E113" s="39">
        <v>74</v>
      </c>
      <c r="F113" s="39">
        <v>836.92</v>
      </c>
      <c r="G113" s="39"/>
      <c r="H113" s="152"/>
      <c r="I113" s="39"/>
      <c r="J113" s="39">
        <v>2060.4299999999998</v>
      </c>
      <c r="K113" s="292"/>
      <c r="L113" s="291"/>
      <c r="M113" s="291"/>
    </row>
    <row r="114" spans="1:13" x14ac:dyDescent="0.25">
      <c r="A114" s="291"/>
      <c r="B114" s="533"/>
      <c r="C114" s="291"/>
      <c r="D114" s="292"/>
      <c r="E114" s="292"/>
      <c r="F114" s="292"/>
      <c r="G114" s="291"/>
      <c r="H114" s="291"/>
      <c r="I114" s="292"/>
      <c r="J114" s="292"/>
      <c r="K114" s="292"/>
      <c r="L114" s="291"/>
      <c r="M114" s="291"/>
    </row>
    <row r="115" spans="1:13" x14ac:dyDescent="0.25">
      <c r="A115" s="291"/>
      <c r="B115" s="533"/>
      <c r="C115" s="291"/>
      <c r="D115" s="292"/>
      <c r="E115" s="292"/>
      <c r="F115" s="292"/>
      <c r="G115" s="291"/>
      <c r="H115" s="291"/>
      <c r="I115" s="292"/>
      <c r="J115" s="292"/>
      <c r="K115" s="292"/>
      <c r="L115" s="291"/>
      <c r="M115" s="291"/>
    </row>
    <row r="116" spans="1:13" x14ac:dyDescent="0.25">
      <c r="A116" s="291"/>
      <c r="B116" s="533"/>
      <c r="C116" s="291"/>
      <c r="D116" s="292"/>
      <c r="E116" s="292"/>
      <c r="F116" s="292"/>
      <c r="G116" s="291"/>
      <c r="H116" s="291"/>
      <c r="I116" s="292"/>
      <c r="J116" s="292"/>
      <c r="K116" s="292"/>
      <c r="L116" s="291"/>
      <c r="M116" s="291"/>
    </row>
  </sheetData>
  <mergeCells count="1">
    <mergeCell ref="O40:P40"/>
  </mergeCells>
  <conditionalFormatting sqref="O41:O61">
    <cfRule type="colorScale" priority="87">
      <colorScale>
        <cfvo type="min"/>
        <cfvo type="percentile" val="50"/>
        <cfvo type="max"/>
        <color rgb="FFF8696B"/>
        <color rgb="FFFFEB84"/>
        <color rgb="FF63BE7B"/>
      </colorScale>
    </cfRule>
  </conditionalFormatting>
  <conditionalFormatting sqref="P41:P61">
    <cfRule type="colorScale" priority="86">
      <colorScale>
        <cfvo type="min"/>
        <cfvo type="percentile" val="50"/>
        <cfvo type="max"/>
        <color rgb="FFF8696B"/>
        <color rgb="FFFFEB84"/>
        <color rgb="FF63BE7B"/>
      </colorScale>
    </cfRule>
  </conditionalFormatting>
  <conditionalFormatting sqref="Q7">
    <cfRule type="expression" dxfId="1155" priority="80">
      <formula>Q7&gt;0</formula>
    </cfRule>
    <cfRule type="expression" dxfId="1154" priority="81">
      <formula>Q7&lt;0</formula>
    </cfRule>
  </conditionalFormatting>
  <conditionalFormatting sqref="Q8">
    <cfRule type="expression" dxfId="1153" priority="78">
      <formula>Q8&gt;0</formula>
    </cfRule>
    <cfRule type="expression" dxfId="1152" priority="79">
      <formula>Q8&lt;0</formula>
    </cfRule>
  </conditionalFormatting>
  <conditionalFormatting sqref="F29:F43">
    <cfRule type="expression" dxfId="1151" priority="62">
      <formula>F29&gt;0</formula>
    </cfRule>
    <cfRule type="expression" dxfId="1150" priority="63">
      <formula>F29&lt;0</formula>
    </cfRule>
  </conditionalFormatting>
  <conditionalFormatting sqref="H45 H47:H48 H50:H51 H53 H29:H43">
    <cfRule type="expression" dxfId="1149" priority="60">
      <formula>H29&gt;0</formula>
    </cfRule>
    <cfRule type="expression" dxfId="1148" priority="61">
      <formula>H29&lt;0</formula>
    </cfRule>
  </conditionalFormatting>
  <conditionalFormatting sqref="J35">
    <cfRule type="expression" dxfId="1147" priority="56">
      <formula>J35&gt;0</formula>
    </cfRule>
    <cfRule type="expression" dxfId="1146" priority="57">
      <formula>J35&lt;0</formula>
    </cfRule>
  </conditionalFormatting>
  <conditionalFormatting sqref="J36:J37">
    <cfRule type="expression" dxfId="1145" priority="54">
      <formula>J36&gt;0</formula>
    </cfRule>
    <cfRule type="expression" dxfId="1144" priority="55">
      <formula>J36&lt;0</formula>
    </cfRule>
  </conditionalFormatting>
  <conditionalFormatting sqref="J38:J45 J48 J51">
    <cfRule type="expression" dxfId="1143" priority="52">
      <formula>J38&gt;0</formula>
    </cfRule>
    <cfRule type="expression" dxfId="1142" priority="53">
      <formula>J38&lt;0</formula>
    </cfRule>
  </conditionalFormatting>
  <conditionalFormatting sqref="W15:W26">
    <cfRule type="iconSet" priority="51">
      <iconSet iconSet="3Arrows">
        <cfvo type="percent" val="0"/>
        <cfvo type="num" val="0"/>
        <cfvo type="num" val="0"/>
      </iconSet>
    </cfRule>
  </conditionalFormatting>
  <conditionalFormatting sqref="M59">
    <cfRule type="expression" dxfId="1141" priority="49">
      <formula>M59&gt;0</formula>
    </cfRule>
    <cfRule type="expression" dxfId="1140" priority="50">
      <formula>M59&lt;0</formula>
    </cfRule>
  </conditionalFormatting>
  <conditionalFormatting sqref="Q10">
    <cfRule type="expression" dxfId="1139" priority="47">
      <formula>Q10&gt;0</formula>
    </cfRule>
    <cfRule type="expression" dxfId="1138" priority="48">
      <formula>Q10&lt;0</formula>
    </cfRule>
  </conditionalFormatting>
  <conditionalFormatting sqref="F84:F103">
    <cfRule type="expression" dxfId="1137" priority="45">
      <formula>F84&gt;0</formula>
    </cfRule>
    <cfRule type="expression" dxfId="1136" priority="46">
      <formula>F84&lt;0</formula>
    </cfRule>
  </conditionalFormatting>
  <conditionalFormatting sqref="H107 H84:H103">
    <cfRule type="expression" dxfId="1135" priority="43">
      <formula>H84&gt;0</formula>
    </cfRule>
    <cfRule type="expression" dxfId="1134" priority="44">
      <formula>H84&lt;0</formula>
    </cfRule>
  </conditionalFormatting>
  <conditionalFormatting sqref="J89">
    <cfRule type="expression" dxfId="1133" priority="41">
      <formula>J89&gt;0</formula>
    </cfRule>
    <cfRule type="expression" dxfId="1132" priority="42">
      <formula>J89&lt;0</formula>
    </cfRule>
  </conditionalFormatting>
  <conditionalFormatting sqref="J90:J95">
    <cfRule type="expression" dxfId="1131" priority="39">
      <formula>J90&gt;0</formula>
    </cfRule>
    <cfRule type="expression" dxfId="1130" priority="40">
      <formula>J90&lt;0</formula>
    </cfRule>
  </conditionalFormatting>
  <conditionalFormatting sqref="J96:J97">
    <cfRule type="expression" dxfId="1129" priority="37">
      <formula>J96&gt;0</formula>
    </cfRule>
    <cfRule type="expression" dxfId="1128" priority="38">
      <formula>J96&lt;0</formula>
    </cfRule>
  </conditionalFormatting>
  <conditionalFormatting sqref="J98:J104">
    <cfRule type="expression" dxfId="1127" priority="35">
      <formula>J98&gt;0</formula>
    </cfRule>
    <cfRule type="expression" dxfId="1126" priority="36">
      <formula>J98&lt;0</formula>
    </cfRule>
  </conditionalFormatting>
  <conditionalFormatting sqref="J25">
    <cfRule type="expression" dxfId="1125" priority="31">
      <formula>J25&gt;0</formula>
    </cfRule>
    <cfRule type="expression" dxfId="1124" priority="32">
      <formula>J25&lt;0</formula>
    </cfRule>
  </conditionalFormatting>
  <conditionalFormatting sqref="F105:F106">
    <cfRule type="expression" dxfId="1123" priority="29">
      <formula>F105&gt;0</formula>
    </cfRule>
    <cfRule type="expression" dxfId="1122" priority="30">
      <formula>F105&lt;0</formula>
    </cfRule>
  </conditionalFormatting>
  <conditionalFormatting sqref="H105:H106">
    <cfRule type="expression" dxfId="1121" priority="27">
      <formula>H105&gt;0</formula>
    </cfRule>
    <cfRule type="expression" dxfId="1120" priority="28">
      <formula>H105&lt;0</formula>
    </cfRule>
  </conditionalFormatting>
  <conditionalFormatting sqref="J105">
    <cfRule type="expression" dxfId="1119" priority="25">
      <formula>J105&gt;0</formula>
    </cfRule>
    <cfRule type="expression" dxfId="1118" priority="26">
      <formula>J105&lt;0</formula>
    </cfRule>
  </conditionalFormatting>
  <conditionalFormatting sqref="J106">
    <cfRule type="expression" dxfId="1117" priority="23">
      <formula>J106&gt;0</formula>
    </cfRule>
    <cfRule type="expression" dxfId="1116" priority="24">
      <formula>J106&lt;0</formula>
    </cfRule>
  </conditionalFormatting>
  <conditionalFormatting sqref="F24 F27:F28">
    <cfRule type="expression" dxfId="1115" priority="21">
      <formula>F24&gt;0</formula>
    </cfRule>
    <cfRule type="expression" dxfId="1114" priority="22">
      <formula>F24&lt;0</formula>
    </cfRule>
  </conditionalFormatting>
  <conditionalFormatting sqref="H24:H28">
    <cfRule type="expression" dxfId="1113" priority="19">
      <formula>H24&gt;0</formula>
    </cfRule>
    <cfRule type="expression" dxfId="1112" priority="20">
      <formula>H24&lt;0</formula>
    </cfRule>
  </conditionalFormatting>
  <conditionalFormatting sqref="J26:J34">
    <cfRule type="expression" dxfId="1111" priority="17">
      <formula>J26&gt;0</formula>
    </cfRule>
    <cfRule type="expression" dxfId="1110" priority="18">
      <formula>J26&lt;0</formula>
    </cfRule>
  </conditionalFormatting>
  <conditionalFormatting sqref="F113">
    <cfRule type="expression" dxfId="1109" priority="15">
      <formula>F113&gt;0</formula>
    </cfRule>
    <cfRule type="expression" dxfId="1108" priority="16">
      <formula>F113&lt;0</formula>
    </cfRule>
  </conditionalFormatting>
  <conditionalFormatting sqref="H113">
    <cfRule type="expression" dxfId="1107" priority="13">
      <formula>H113&gt;0</formula>
    </cfRule>
    <cfRule type="expression" dxfId="1106" priority="14">
      <formula>H113&lt;0</formula>
    </cfRule>
  </conditionalFormatting>
  <conditionalFormatting sqref="J109">
    <cfRule type="expression" dxfId="1105" priority="11">
      <formula>J109&gt;0</formula>
    </cfRule>
    <cfRule type="expression" dxfId="1104" priority="12">
      <formula>J109&lt;0</formula>
    </cfRule>
  </conditionalFormatting>
  <conditionalFormatting sqref="F108:F112">
    <cfRule type="expression" dxfId="1103" priority="9">
      <formula>F108&gt;0</formula>
    </cfRule>
    <cfRule type="expression" dxfId="1102" priority="10">
      <formula>F108&lt;0</formula>
    </cfRule>
  </conditionalFormatting>
  <conditionalFormatting sqref="H108:H112">
    <cfRule type="expression" dxfId="1101" priority="7">
      <formula>H108&gt;0</formula>
    </cfRule>
    <cfRule type="expression" dxfId="1100" priority="8">
      <formula>H108&lt;0</formula>
    </cfRule>
  </conditionalFormatting>
  <conditionalFormatting sqref="J110:J113">
    <cfRule type="expression" dxfId="1099" priority="5">
      <formula>J110&gt;0</formula>
    </cfRule>
    <cfRule type="expression" dxfId="1098" priority="6">
      <formula>J110&lt;0</formula>
    </cfRule>
  </conditionalFormatting>
  <conditionalFormatting sqref="F25:F26">
    <cfRule type="expression" dxfId="1097" priority="3">
      <formula>F25&gt;0</formula>
    </cfRule>
    <cfRule type="expression" dxfId="1096" priority="4">
      <formula>F25&lt;0</formula>
    </cfRule>
  </conditionalFormatting>
  <conditionalFormatting sqref="Q9">
    <cfRule type="expression" dxfId="1095" priority="1">
      <formula>Q9&gt;0</formula>
    </cfRule>
    <cfRule type="expression" dxfId="1094" priority="2">
      <formula>Q9&lt;0</formula>
    </cfRule>
  </conditionalFormatting>
  <hyperlinks>
    <hyperlink ref="A3" location="ACTIVE!A1" display="Back"/>
    <hyperlink ref="A62" location="ACTIVE!A1" display="Back"/>
  </hyperlinks>
  <pageMargins left="0.7" right="0.7" top="0.75" bottom="0.75" header="0.3" footer="0.3"/>
  <pageSetup orientation="portrait" r:id="rId1"/>
  <tableParts count="1">
    <tablePart r:id="rId2"/>
  </tableParts>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AC175"/>
  <sheetViews>
    <sheetView workbookViewId="0">
      <pane ySplit="1" topLeftCell="A2" activePane="bottomLeft" state="frozen"/>
      <selection activeCell="M34" sqref="M34"/>
      <selection pane="bottomLeft" activeCell="A3" sqref="A3"/>
    </sheetView>
  </sheetViews>
  <sheetFormatPr defaultRowHeight="15" x14ac:dyDescent="0.25"/>
  <cols>
    <col min="4" max="5" width="10" style="2" customWidth="1"/>
    <col min="6" max="6" width="9.85546875" style="2" bestFit="1" customWidth="1"/>
    <col min="9" max="9" width="11.85546875" style="2" bestFit="1" customWidth="1"/>
    <col min="10" max="11" width="9.140625" style="2"/>
    <col min="17" max="17" width="12.85546875" bestFit="1" customWidth="1"/>
    <col min="18" max="18" width="10.7109375" bestFit="1" customWidth="1"/>
    <col min="20" max="20" width="18.5703125" customWidth="1"/>
    <col min="21" max="21" width="121" customWidth="1"/>
    <col min="22" max="22" width="21.28515625"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row>
    <row r="2" spans="1:29" x14ac:dyDescent="0.25">
      <c r="A2" s="6" t="s">
        <v>171</v>
      </c>
      <c r="B2" s="360">
        <v>42985</v>
      </c>
      <c r="C2" s="4">
        <v>50</v>
      </c>
      <c r="D2" s="3">
        <v>44.98</v>
      </c>
      <c r="E2" s="3">
        <v>0</v>
      </c>
      <c r="F2" s="3">
        <f>C2*D2</f>
        <v>2249</v>
      </c>
      <c r="G2" s="360">
        <v>43047</v>
      </c>
      <c r="H2" s="77">
        <v>120</v>
      </c>
      <c r="I2" s="43">
        <v>31.31</v>
      </c>
      <c r="J2" s="43">
        <v>0.09</v>
      </c>
      <c r="K2" s="43">
        <f t="shared" ref="K2:K30" si="0">H2*I2-J2</f>
        <v>3757.1099999999997</v>
      </c>
      <c r="L2" s="69">
        <v>43087</v>
      </c>
      <c r="M2" s="43">
        <v>115</v>
      </c>
      <c r="O2" s="11" t="s">
        <v>57</v>
      </c>
      <c r="Q2" s="67">
        <f>C42-H42</f>
        <v>0</v>
      </c>
      <c r="T2" t="s">
        <v>83</v>
      </c>
      <c r="U2" t="s">
        <v>84</v>
      </c>
    </row>
    <row r="3" spans="1:29" x14ac:dyDescent="0.25">
      <c r="A3" s="22" t="s">
        <v>71</v>
      </c>
      <c r="B3" s="360">
        <v>42993</v>
      </c>
      <c r="C3" s="4">
        <v>60</v>
      </c>
      <c r="D3" s="3">
        <v>42.81</v>
      </c>
      <c r="E3" s="3">
        <v>0</v>
      </c>
      <c r="F3" s="3">
        <f>C3*D3</f>
        <v>2568.6000000000004</v>
      </c>
      <c r="G3" s="360">
        <v>43066</v>
      </c>
      <c r="H3" s="77">
        <v>100</v>
      </c>
      <c r="I3" s="43">
        <v>29.58</v>
      </c>
      <c r="J3" s="43">
        <v>7.0000000000000007E-2</v>
      </c>
      <c r="K3" s="43">
        <f t="shared" si="0"/>
        <v>2957.93</v>
      </c>
      <c r="L3" s="69">
        <v>43176</v>
      </c>
      <c r="M3" s="43">
        <v>64.400000000000006</v>
      </c>
      <c r="O3" s="11" t="s">
        <v>58</v>
      </c>
      <c r="Q3" s="174">
        <f>IF(Q2=0, Q4, (F42-K42-M42)/Q2)</f>
        <v>17.920000000000002</v>
      </c>
      <c r="T3" s="1">
        <v>42312</v>
      </c>
      <c r="U3" t="s">
        <v>145</v>
      </c>
      <c r="Z3" s="178"/>
      <c r="AC3" s="178"/>
    </row>
    <row r="4" spans="1:29" x14ac:dyDescent="0.25">
      <c r="B4" s="360">
        <v>43028</v>
      </c>
      <c r="C4" s="4">
        <v>10</v>
      </c>
      <c r="D4" s="3">
        <v>40.450000000000003</v>
      </c>
      <c r="E4" s="3">
        <v>0</v>
      </c>
      <c r="F4" s="3">
        <f>C4*D4</f>
        <v>404.5</v>
      </c>
      <c r="G4" s="360">
        <v>43069</v>
      </c>
      <c r="H4" s="77">
        <v>60</v>
      </c>
      <c r="I4" s="43">
        <v>30.9</v>
      </c>
      <c r="J4" s="43">
        <v>0.01</v>
      </c>
      <c r="K4" s="43">
        <f t="shared" si="0"/>
        <v>1853.99</v>
      </c>
      <c r="L4" s="69">
        <v>43266</v>
      </c>
      <c r="M4" s="43">
        <v>115</v>
      </c>
      <c r="O4" s="11" t="s">
        <v>66</v>
      </c>
      <c r="Q4" s="169">
        <v>17.920000000000002</v>
      </c>
      <c r="R4" s="176">
        <v>-2.2200000000000001E-2</v>
      </c>
      <c r="T4" s="1">
        <v>43096</v>
      </c>
      <c r="U4" t="s">
        <v>714</v>
      </c>
    </row>
    <row r="5" spans="1:29" x14ac:dyDescent="0.25">
      <c r="B5" s="360">
        <v>43028</v>
      </c>
      <c r="C5" s="4">
        <v>60</v>
      </c>
      <c r="D5" s="2">
        <v>40.450000000000003</v>
      </c>
      <c r="E5" s="2">
        <v>0</v>
      </c>
      <c r="F5" s="3">
        <f>C5*D5</f>
        <v>2427</v>
      </c>
      <c r="G5" s="360">
        <v>43090</v>
      </c>
      <c r="H5" s="77">
        <v>120</v>
      </c>
      <c r="I5" s="43">
        <v>30.68</v>
      </c>
      <c r="J5" s="43">
        <v>0.09</v>
      </c>
      <c r="K5" s="43">
        <f t="shared" si="0"/>
        <v>3681.5099999999998</v>
      </c>
      <c r="L5" s="69">
        <v>43357</v>
      </c>
      <c r="M5" s="43">
        <v>230</v>
      </c>
      <c r="O5" s="11" t="s">
        <v>67</v>
      </c>
      <c r="Q5" s="3">
        <f>Q4*Q2</f>
        <v>0</v>
      </c>
      <c r="U5" t="s">
        <v>715</v>
      </c>
    </row>
    <row r="6" spans="1:29" x14ac:dyDescent="0.25">
      <c r="B6" s="360">
        <v>43041</v>
      </c>
      <c r="C6" s="4">
        <v>40</v>
      </c>
      <c r="D6" s="3">
        <v>33.58</v>
      </c>
      <c r="E6" s="3">
        <v>0</v>
      </c>
      <c r="F6" s="3">
        <f t="shared" ref="F6:F11" si="1">C6*D6</f>
        <v>1343.1999999999998</v>
      </c>
      <c r="G6" s="360">
        <v>43097</v>
      </c>
      <c r="H6" s="77">
        <v>60</v>
      </c>
      <c r="I6" s="43">
        <v>30.9</v>
      </c>
      <c r="J6" s="43">
        <v>0.04</v>
      </c>
      <c r="K6" s="43">
        <f t="shared" si="0"/>
        <v>1853.96</v>
      </c>
      <c r="L6" s="69">
        <v>43448</v>
      </c>
      <c r="M6" s="43">
        <v>69</v>
      </c>
      <c r="O6" s="11" t="s">
        <v>64</v>
      </c>
      <c r="Q6" s="2">
        <f>Q3*Q2</f>
        <v>0</v>
      </c>
      <c r="U6" t="s">
        <v>716</v>
      </c>
    </row>
    <row r="7" spans="1:29" x14ac:dyDescent="0.25">
      <c r="B7" s="360">
        <v>43041</v>
      </c>
      <c r="C7" s="7">
        <v>60</v>
      </c>
      <c r="D7" s="43">
        <v>33.58</v>
      </c>
      <c r="E7" s="43">
        <v>0</v>
      </c>
      <c r="F7" s="43">
        <f t="shared" si="1"/>
        <v>2014.8</v>
      </c>
      <c r="G7" s="360">
        <v>43126</v>
      </c>
      <c r="H7" s="77">
        <v>180</v>
      </c>
      <c r="I7" s="43">
        <v>25.38</v>
      </c>
      <c r="J7" s="43">
        <v>0.11</v>
      </c>
      <c r="K7" s="43">
        <f t="shared" si="0"/>
        <v>4568.29</v>
      </c>
      <c r="L7" s="69">
        <v>43539</v>
      </c>
      <c r="M7" s="43">
        <v>115</v>
      </c>
      <c r="O7" s="11" t="s">
        <v>175</v>
      </c>
      <c r="Q7" s="2">
        <f>Q10+Q8</f>
        <v>-3627.0900000000006</v>
      </c>
      <c r="R7">
        <v>0</v>
      </c>
      <c r="U7" t="s">
        <v>717</v>
      </c>
    </row>
    <row r="8" spans="1:29" x14ac:dyDescent="0.25">
      <c r="B8" s="360">
        <v>43045</v>
      </c>
      <c r="C8" s="7">
        <v>120</v>
      </c>
      <c r="D8" s="43">
        <v>30.08</v>
      </c>
      <c r="E8" s="43">
        <v>0</v>
      </c>
      <c r="F8" s="43">
        <f t="shared" si="1"/>
        <v>3609.6</v>
      </c>
      <c r="G8" s="360">
        <v>43126</v>
      </c>
      <c r="H8" s="77">
        <v>40</v>
      </c>
      <c r="I8" s="43">
        <v>26.35</v>
      </c>
      <c r="J8" s="43">
        <v>0.02</v>
      </c>
      <c r="K8" s="43">
        <f t="shared" si="0"/>
        <v>1053.98</v>
      </c>
      <c r="L8" s="1">
        <v>43631</v>
      </c>
      <c r="M8" s="43">
        <v>115</v>
      </c>
      <c r="O8" s="11" t="s">
        <v>177</v>
      </c>
      <c r="P8" s="33"/>
      <c r="Q8" s="2">
        <f>K42+M42-F42+Q2*Q4</f>
        <v>-3702.1100000000006</v>
      </c>
      <c r="U8" t="s">
        <v>718</v>
      </c>
    </row>
    <row r="9" spans="1:29" x14ac:dyDescent="0.25">
      <c r="B9" s="360">
        <v>43045</v>
      </c>
      <c r="C9" s="7">
        <v>100</v>
      </c>
      <c r="D9" s="43">
        <v>30.05</v>
      </c>
      <c r="E9" s="43">
        <v>0</v>
      </c>
      <c r="F9" s="43">
        <f t="shared" si="1"/>
        <v>3005</v>
      </c>
      <c r="G9" s="360">
        <v>43194</v>
      </c>
      <c r="H9" s="77">
        <v>120</v>
      </c>
      <c r="I9" s="43">
        <v>25.68</v>
      </c>
      <c r="J9" s="43">
        <v>7.0000000000000007E-2</v>
      </c>
      <c r="K9" s="43">
        <f t="shared" si="0"/>
        <v>3081.5299999999997</v>
      </c>
      <c r="L9" s="1">
        <v>43722</v>
      </c>
      <c r="M9" s="43">
        <v>115</v>
      </c>
      <c r="O9" s="11" t="s">
        <v>202</v>
      </c>
      <c r="Q9" s="131">
        <f>IF(Q2=0, 0, Q8/Q6)</f>
        <v>0</v>
      </c>
    </row>
    <row r="10" spans="1:29" x14ac:dyDescent="0.25">
      <c r="B10" s="360">
        <v>43048</v>
      </c>
      <c r="C10" s="7">
        <v>120</v>
      </c>
      <c r="D10" s="43">
        <v>30.38</v>
      </c>
      <c r="E10" s="43">
        <v>0</v>
      </c>
      <c r="F10" s="43">
        <f t="shared" si="1"/>
        <v>3645.6</v>
      </c>
      <c r="G10" s="360">
        <v>43217</v>
      </c>
      <c r="H10" s="77">
        <v>100</v>
      </c>
      <c r="I10" s="43">
        <v>27.58</v>
      </c>
      <c r="J10" s="43">
        <v>0.06</v>
      </c>
      <c r="K10" s="43">
        <f t="shared" si="0"/>
        <v>2757.94</v>
      </c>
      <c r="O10" s="11" t="s">
        <v>201</v>
      </c>
      <c r="P10" s="33"/>
      <c r="Q10" s="2">
        <f>M139</f>
        <v>75.019999999999982</v>
      </c>
      <c r="T10" s="1">
        <v>43103</v>
      </c>
      <c r="U10" t="s">
        <v>765</v>
      </c>
    </row>
    <row r="11" spans="1:29" x14ac:dyDescent="0.25">
      <c r="B11" s="360">
        <v>43417</v>
      </c>
      <c r="C11" s="7">
        <v>20</v>
      </c>
      <c r="D11" s="43">
        <v>28.38</v>
      </c>
      <c r="E11" s="43">
        <v>0</v>
      </c>
      <c r="F11" s="43">
        <f t="shared" si="1"/>
        <v>567.6</v>
      </c>
      <c r="G11" s="360">
        <v>43222</v>
      </c>
      <c r="H11" s="77">
        <v>100</v>
      </c>
      <c r="I11" s="43">
        <v>27.68</v>
      </c>
      <c r="J11" s="43">
        <v>0.06</v>
      </c>
      <c r="K11" s="43">
        <f t="shared" si="0"/>
        <v>2767.94</v>
      </c>
      <c r="O11" s="11" t="s">
        <v>173</v>
      </c>
      <c r="P11" s="33"/>
      <c r="Q11" s="131">
        <f>R11*4/Q4</f>
        <v>5.1339285714285712E-2</v>
      </c>
      <c r="R11">
        <f>0.23</f>
        <v>0.23</v>
      </c>
      <c r="U11" t="s">
        <v>766</v>
      </c>
    </row>
    <row r="12" spans="1:29" x14ac:dyDescent="0.25">
      <c r="B12" s="360">
        <v>43052</v>
      </c>
      <c r="C12" s="7">
        <v>80</v>
      </c>
      <c r="D12" s="43">
        <v>28.38</v>
      </c>
      <c r="E12" s="43">
        <v>0</v>
      </c>
      <c r="F12" s="43">
        <f t="shared" ref="F12:F37" si="2">C12*D12</f>
        <v>2270.4</v>
      </c>
      <c r="G12" s="360">
        <v>43262</v>
      </c>
      <c r="H12" s="77">
        <v>120</v>
      </c>
      <c r="I12" s="43">
        <v>25.68</v>
      </c>
      <c r="J12" s="43">
        <v>0.04</v>
      </c>
      <c r="K12" s="43">
        <f t="shared" si="0"/>
        <v>3081.56</v>
      </c>
      <c r="O12" s="11" t="s">
        <v>875</v>
      </c>
      <c r="Q12" s="1" t="s">
        <v>1351</v>
      </c>
      <c r="T12" s="1">
        <v>43110</v>
      </c>
      <c r="U12" t="s">
        <v>794</v>
      </c>
    </row>
    <row r="13" spans="1:29" x14ac:dyDescent="0.25">
      <c r="B13" s="360">
        <v>43089</v>
      </c>
      <c r="C13" s="4">
        <v>60</v>
      </c>
      <c r="D13" s="3">
        <v>30.18</v>
      </c>
      <c r="E13" s="3">
        <v>0</v>
      </c>
      <c r="F13" s="3">
        <f t="shared" si="2"/>
        <v>1810.8</v>
      </c>
      <c r="G13" s="360">
        <v>43286</v>
      </c>
      <c r="H13" s="77">
        <v>100</v>
      </c>
      <c r="I13" s="43">
        <v>27.18</v>
      </c>
      <c r="J13" s="43">
        <v>0.04</v>
      </c>
      <c r="K13" s="43">
        <f t="shared" si="0"/>
        <v>2717.96</v>
      </c>
      <c r="O13" s="11" t="s">
        <v>901</v>
      </c>
      <c r="Q13" s="2">
        <f>Q4/1.55</f>
        <v>11.561290322580646</v>
      </c>
      <c r="T13" s="1">
        <v>43112</v>
      </c>
      <c r="U13" t="s">
        <v>790</v>
      </c>
    </row>
    <row r="14" spans="1:29" x14ac:dyDescent="0.25">
      <c r="B14" s="360">
        <v>43125</v>
      </c>
      <c r="C14" s="7">
        <v>180</v>
      </c>
      <c r="D14" s="43">
        <v>25</v>
      </c>
      <c r="E14" s="43">
        <v>0</v>
      </c>
      <c r="F14" s="43">
        <f t="shared" si="2"/>
        <v>4500</v>
      </c>
      <c r="G14" s="360">
        <v>43307</v>
      </c>
      <c r="H14" s="77">
        <v>120</v>
      </c>
      <c r="I14" s="43">
        <v>26.52</v>
      </c>
      <c r="J14" s="43">
        <v>0.04</v>
      </c>
      <c r="K14" s="43">
        <f t="shared" si="0"/>
        <v>3182.36</v>
      </c>
      <c r="O14" s="11" t="s">
        <v>988</v>
      </c>
      <c r="Q14" s="1">
        <v>43417</v>
      </c>
      <c r="U14" t="s">
        <v>791</v>
      </c>
    </row>
    <row r="15" spans="1:29" x14ac:dyDescent="0.25">
      <c r="B15" s="360">
        <v>43178</v>
      </c>
      <c r="C15" s="7">
        <v>100</v>
      </c>
      <c r="D15" s="43">
        <v>26.88</v>
      </c>
      <c r="E15" s="43">
        <v>0</v>
      </c>
      <c r="F15" s="43">
        <f t="shared" si="2"/>
        <v>2688</v>
      </c>
      <c r="G15" s="360">
        <v>43329</v>
      </c>
      <c r="H15" s="77">
        <v>200</v>
      </c>
      <c r="I15" s="43">
        <v>21.6</v>
      </c>
      <c r="J15" s="43">
        <v>0.06</v>
      </c>
      <c r="K15" s="43">
        <f t="shared" si="0"/>
        <v>4319.9399999999996</v>
      </c>
      <c r="U15" s="396" t="s">
        <v>793</v>
      </c>
    </row>
    <row r="16" spans="1:29" x14ac:dyDescent="0.25">
      <c r="B16" s="360">
        <v>43186</v>
      </c>
      <c r="C16" s="7">
        <v>120</v>
      </c>
      <c r="D16" s="43">
        <v>24.68</v>
      </c>
      <c r="E16" s="43">
        <v>0</v>
      </c>
      <c r="F16" s="43">
        <f t="shared" si="2"/>
        <v>2961.6</v>
      </c>
      <c r="G16" s="360">
        <v>43332</v>
      </c>
      <c r="H16" s="77">
        <v>300</v>
      </c>
      <c r="I16" s="43">
        <v>21.75</v>
      </c>
      <c r="J16" s="43">
        <v>0.08</v>
      </c>
      <c r="K16" s="43">
        <f t="shared" si="0"/>
        <v>6524.92</v>
      </c>
    </row>
    <row r="17" spans="1:21" x14ac:dyDescent="0.25">
      <c r="B17" s="360">
        <v>43221</v>
      </c>
      <c r="C17" s="7">
        <v>100</v>
      </c>
      <c r="D17" s="43">
        <v>26.6</v>
      </c>
      <c r="E17" s="43">
        <v>0</v>
      </c>
      <c r="F17" s="43">
        <f t="shared" si="2"/>
        <v>2660</v>
      </c>
      <c r="G17" s="360">
        <v>43363</v>
      </c>
      <c r="H17" s="77">
        <v>200</v>
      </c>
      <c r="I17" s="43">
        <v>22.28</v>
      </c>
      <c r="J17" s="43">
        <v>0.06</v>
      </c>
      <c r="K17" s="43">
        <f t="shared" si="0"/>
        <v>4455.9399999999996</v>
      </c>
      <c r="T17" s="1">
        <v>43120</v>
      </c>
      <c r="U17" t="s">
        <v>829</v>
      </c>
    </row>
    <row r="18" spans="1:21" ht="20.25" thickBot="1" x14ac:dyDescent="0.35">
      <c r="B18" s="360">
        <v>43223</v>
      </c>
      <c r="C18" s="7">
        <v>100</v>
      </c>
      <c r="D18" s="43">
        <v>26.75</v>
      </c>
      <c r="E18" s="43">
        <v>0</v>
      </c>
      <c r="F18" s="43">
        <f t="shared" si="2"/>
        <v>2675</v>
      </c>
      <c r="G18" s="360">
        <v>43409</v>
      </c>
      <c r="H18" s="77">
        <v>200</v>
      </c>
      <c r="I18" s="43">
        <v>19.68</v>
      </c>
      <c r="J18" s="43">
        <v>0.05</v>
      </c>
      <c r="K18" s="43">
        <f t="shared" si="0"/>
        <v>3935.95</v>
      </c>
      <c r="O18" s="189" t="s">
        <v>78</v>
      </c>
      <c r="P18" s="189"/>
    </row>
    <row r="19" spans="1:21" ht="15.75" thickTop="1" x14ac:dyDescent="0.25">
      <c r="B19" s="360">
        <v>43249</v>
      </c>
      <c r="C19" s="7">
        <v>120</v>
      </c>
      <c r="D19" s="43">
        <v>24.65</v>
      </c>
      <c r="E19" s="43">
        <v>0</v>
      </c>
      <c r="F19" s="43">
        <f t="shared" si="2"/>
        <v>2958</v>
      </c>
      <c r="G19" s="360">
        <v>43419</v>
      </c>
      <c r="H19" s="77">
        <v>200</v>
      </c>
      <c r="I19" s="43">
        <v>21.28</v>
      </c>
      <c r="J19" s="43">
        <v>0.06</v>
      </c>
      <c r="K19" s="43">
        <f t="shared" si="0"/>
        <v>4255.9399999999996</v>
      </c>
      <c r="O19" s="78">
        <v>1.1000000000000001</v>
      </c>
      <c r="P19" s="78">
        <f>O19*$Q$4</f>
        <v>19.712000000000003</v>
      </c>
      <c r="T19" s="1">
        <v>43125</v>
      </c>
      <c r="U19" t="s">
        <v>843</v>
      </c>
    </row>
    <row r="20" spans="1:21" x14ac:dyDescent="0.25">
      <c r="B20" s="360">
        <v>43301</v>
      </c>
      <c r="C20" s="4">
        <v>40</v>
      </c>
      <c r="D20" s="3">
        <v>26.28</v>
      </c>
      <c r="E20" s="3">
        <v>0</v>
      </c>
      <c r="F20" s="3">
        <f>C20*D20</f>
        <v>1051.2</v>
      </c>
      <c r="G20" s="360">
        <v>43419</v>
      </c>
      <c r="H20" s="77">
        <v>300</v>
      </c>
      <c r="I20" s="43">
        <v>21.42</v>
      </c>
      <c r="J20" s="43">
        <v>0.08</v>
      </c>
      <c r="K20" s="43">
        <f t="shared" si="0"/>
        <v>6425.920000000001</v>
      </c>
      <c r="O20" s="78">
        <v>1.0900000000000001</v>
      </c>
      <c r="P20" s="78">
        <f t="shared" ref="P20:P39" si="3">O20*$Q$4</f>
        <v>19.532800000000002</v>
      </c>
      <c r="T20" s="1">
        <v>43126</v>
      </c>
      <c r="U20" t="s">
        <v>841</v>
      </c>
    </row>
    <row r="21" spans="1:21" x14ac:dyDescent="0.25">
      <c r="B21" s="360">
        <v>43301</v>
      </c>
      <c r="C21" s="4">
        <v>60</v>
      </c>
      <c r="D21" s="3">
        <v>26.28</v>
      </c>
      <c r="E21" s="3">
        <v>0</v>
      </c>
      <c r="F21" s="3">
        <f t="shared" si="2"/>
        <v>1576.8000000000002</v>
      </c>
      <c r="G21" s="360">
        <v>43420</v>
      </c>
      <c r="H21" s="77">
        <v>300</v>
      </c>
      <c r="I21" s="43">
        <v>21.79</v>
      </c>
      <c r="J21" s="43">
        <v>0.08</v>
      </c>
      <c r="K21" s="43">
        <f t="shared" si="0"/>
        <v>6536.92</v>
      </c>
      <c r="O21" s="78">
        <v>1.08</v>
      </c>
      <c r="P21" s="78">
        <f t="shared" si="3"/>
        <v>19.353600000000004</v>
      </c>
      <c r="U21" t="s">
        <v>842</v>
      </c>
    </row>
    <row r="22" spans="1:21" x14ac:dyDescent="0.25">
      <c r="A22" t="s">
        <v>712</v>
      </c>
      <c r="B22" s="360">
        <v>43306</v>
      </c>
      <c r="C22" s="7">
        <v>120</v>
      </c>
      <c r="D22" s="43">
        <v>25.67</v>
      </c>
      <c r="E22" s="43">
        <v>0</v>
      </c>
      <c r="F22" s="43">
        <f t="shared" si="2"/>
        <v>3080.4</v>
      </c>
      <c r="G22" s="360">
        <v>43430</v>
      </c>
      <c r="H22" s="77">
        <v>100</v>
      </c>
      <c r="I22" s="43">
        <v>22.58</v>
      </c>
      <c r="J22" s="43">
        <v>0.03</v>
      </c>
      <c r="K22" s="43">
        <f t="shared" si="0"/>
        <v>2257.9699999999998</v>
      </c>
      <c r="O22" s="78">
        <v>1.07</v>
      </c>
      <c r="P22" s="78">
        <f t="shared" si="3"/>
        <v>19.174400000000002</v>
      </c>
    </row>
    <row r="23" spans="1:21" x14ac:dyDescent="0.25">
      <c r="A23" s="892" t="s">
        <v>1171</v>
      </c>
      <c r="B23" s="360">
        <v>43318</v>
      </c>
      <c r="C23" s="4">
        <v>120</v>
      </c>
      <c r="D23" s="3">
        <v>25.2</v>
      </c>
      <c r="E23" s="3">
        <v>0</v>
      </c>
      <c r="F23" s="3">
        <f t="shared" si="2"/>
        <v>3024</v>
      </c>
      <c r="G23" s="360">
        <v>43430</v>
      </c>
      <c r="H23" s="77">
        <v>100</v>
      </c>
      <c r="I23" s="43">
        <v>22.98</v>
      </c>
      <c r="J23" s="43">
        <v>0.03</v>
      </c>
      <c r="K23" s="43">
        <f t="shared" si="0"/>
        <v>2297.9699999999998</v>
      </c>
      <c r="O23" s="78">
        <v>1.06</v>
      </c>
      <c r="P23" s="78">
        <f t="shared" si="3"/>
        <v>18.995200000000004</v>
      </c>
      <c r="T23" s="1">
        <v>43128</v>
      </c>
      <c r="U23" t="s">
        <v>844</v>
      </c>
    </row>
    <row r="24" spans="1:21" x14ac:dyDescent="0.25">
      <c r="A24" s="892"/>
      <c r="B24" s="360">
        <v>43318</v>
      </c>
      <c r="C24" s="725">
        <v>120</v>
      </c>
      <c r="D24" s="43">
        <v>23.52</v>
      </c>
      <c r="E24" s="43">
        <v>0</v>
      </c>
      <c r="F24" s="43">
        <f t="shared" si="2"/>
        <v>2822.4</v>
      </c>
      <c r="G24" s="360">
        <v>43588</v>
      </c>
      <c r="H24" s="77">
        <v>200</v>
      </c>
      <c r="I24" s="43">
        <v>16.28</v>
      </c>
      <c r="J24" s="43">
        <v>7.0000000000000007E-2</v>
      </c>
      <c r="K24" s="43">
        <f t="shared" si="0"/>
        <v>3255.93</v>
      </c>
      <c r="O24" s="78">
        <v>1.05</v>
      </c>
      <c r="P24" s="78">
        <f t="shared" si="3"/>
        <v>18.816000000000003</v>
      </c>
    </row>
    <row r="25" spans="1:21" x14ac:dyDescent="0.25">
      <c r="A25" s="892"/>
      <c r="B25" s="360">
        <v>43318</v>
      </c>
      <c r="C25" s="7">
        <v>80</v>
      </c>
      <c r="D25" s="43">
        <v>23.08</v>
      </c>
      <c r="E25" s="43">
        <v>0</v>
      </c>
      <c r="F25" s="43">
        <f t="shared" si="2"/>
        <v>1846.3999999999999</v>
      </c>
      <c r="G25" s="360">
        <v>43658</v>
      </c>
      <c r="H25" s="77">
        <v>200</v>
      </c>
      <c r="I25" s="43">
        <v>14.92</v>
      </c>
      <c r="J25" s="43">
        <v>0.06</v>
      </c>
      <c r="K25" s="43">
        <f t="shared" si="0"/>
        <v>2983.94</v>
      </c>
      <c r="L25" s="4"/>
      <c r="O25" s="78">
        <v>1.04</v>
      </c>
      <c r="P25" s="78">
        <f t="shared" si="3"/>
        <v>18.636800000000001</v>
      </c>
    </row>
    <row r="26" spans="1:21" x14ac:dyDescent="0.25">
      <c r="A26" s="892"/>
      <c r="B26" s="360">
        <v>43319</v>
      </c>
      <c r="C26" s="7">
        <v>100</v>
      </c>
      <c r="D26" s="43">
        <v>21.72</v>
      </c>
      <c r="E26" s="43">
        <v>0</v>
      </c>
      <c r="F26" s="43">
        <f t="shared" si="2"/>
        <v>2172</v>
      </c>
      <c r="G26" s="360">
        <v>43679</v>
      </c>
      <c r="H26" s="77">
        <v>102</v>
      </c>
      <c r="I26" s="43">
        <v>14.8</v>
      </c>
      <c r="J26" s="43">
        <v>0.03</v>
      </c>
      <c r="K26" s="43">
        <f t="shared" si="0"/>
        <v>1509.5700000000002</v>
      </c>
      <c r="O26" s="78">
        <v>1.03</v>
      </c>
      <c r="P26" s="78">
        <f t="shared" si="3"/>
        <v>18.457600000000003</v>
      </c>
    </row>
    <row r="27" spans="1:21" x14ac:dyDescent="0.25">
      <c r="A27" s="892"/>
      <c r="B27" s="360">
        <v>43320</v>
      </c>
      <c r="C27" s="7">
        <v>200</v>
      </c>
      <c r="D27" s="43">
        <v>20.399999999999999</v>
      </c>
      <c r="E27" s="43">
        <v>0</v>
      </c>
      <c r="F27" s="43">
        <f t="shared" si="2"/>
        <v>4079.9999999999995</v>
      </c>
      <c r="G27" s="360">
        <v>43679</v>
      </c>
      <c r="H27" s="77">
        <v>98</v>
      </c>
      <c r="I27" s="43">
        <v>14.94</v>
      </c>
      <c r="J27" s="43">
        <v>0.03</v>
      </c>
      <c r="K27" s="43">
        <f t="shared" si="0"/>
        <v>1464.09</v>
      </c>
      <c r="O27" s="78">
        <v>1.02</v>
      </c>
      <c r="P27" s="78">
        <f t="shared" si="3"/>
        <v>18.278400000000001</v>
      </c>
    </row>
    <row r="28" spans="1:21" x14ac:dyDescent="0.25">
      <c r="B28" s="360">
        <v>43325</v>
      </c>
      <c r="C28" s="7">
        <v>500</v>
      </c>
      <c r="D28" s="43">
        <v>20.48</v>
      </c>
      <c r="E28" s="43">
        <v>0</v>
      </c>
      <c r="F28" s="43">
        <f t="shared" si="2"/>
        <v>10240</v>
      </c>
      <c r="G28" s="360">
        <v>43707</v>
      </c>
      <c r="H28" s="158">
        <v>100</v>
      </c>
      <c r="I28" s="3">
        <v>16.61</v>
      </c>
      <c r="J28" s="3">
        <v>0.03</v>
      </c>
      <c r="K28" s="3">
        <f t="shared" si="0"/>
        <v>1660.97</v>
      </c>
      <c r="O28" s="78">
        <v>1.01</v>
      </c>
      <c r="P28" s="78">
        <f t="shared" si="3"/>
        <v>18.099200000000003</v>
      </c>
      <c r="T28" s="680">
        <v>43136</v>
      </c>
      <c r="U28" t="s">
        <v>792</v>
      </c>
    </row>
    <row r="29" spans="1:21" x14ac:dyDescent="0.25">
      <c r="B29" s="360">
        <v>43347</v>
      </c>
      <c r="C29" s="7">
        <v>200</v>
      </c>
      <c r="D29" s="43">
        <v>21.28</v>
      </c>
      <c r="E29" s="43">
        <v>0</v>
      </c>
      <c r="F29" s="43">
        <f t="shared" si="2"/>
        <v>4256</v>
      </c>
      <c r="G29" s="360">
        <v>43712</v>
      </c>
      <c r="H29" s="158">
        <v>100</v>
      </c>
      <c r="I29" s="2">
        <v>16.829999999999998</v>
      </c>
      <c r="J29" s="2">
        <v>0.03</v>
      </c>
      <c r="K29" s="2">
        <f t="shared" si="0"/>
        <v>1682.9699999999998</v>
      </c>
      <c r="O29" s="78">
        <v>1</v>
      </c>
      <c r="P29" s="78">
        <f t="shared" si="3"/>
        <v>17.920000000000002</v>
      </c>
    </row>
    <row r="30" spans="1:21" ht="15" customHeight="1" x14ac:dyDescent="0.25">
      <c r="A30" s="893" t="s">
        <v>1228</v>
      </c>
      <c r="B30" s="360">
        <v>43367</v>
      </c>
      <c r="C30" s="7">
        <v>200</v>
      </c>
      <c r="D30" s="43">
        <v>20.98</v>
      </c>
      <c r="E30" s="43">
        <v>0</v>
      </c>
      <c r="F30" s="43">
        <f t="shared" si="2"/>
        <v>4196</v>
      </c>
      <c r="G30" s="360">
        <v>43713</v>
      </c>
      <c r="H30" s="158">
        <v>300</v>
      </c>
      <c r="I30" s="2">
        <v>17.52</v>
      </c>
      <c r="J30" s="2">
        <v>0.11</v>
      </c>
      <c r="K30" s="2">
        <f t="shared" si="0"/>
        <v>5255.89</v>
      </c>
      <c r="O30" s="78">
        <v>0.99</v>
      </c>
      <c r="P30" s="78">
        <f t="shared" si="3"/>
        <v>17.7408</v>
      </c>
      <c r="T30" s="1">
        <v>43175</v>
      </c>
      <c r="U30" t="s">
        <v>1042</v>
      </c>
    </row>
    <row r="31" spans="1:21" x14ac:dyDescent="0.25">
      <c r="A31" s="893"/>
      <c r="B31" s="360">
        <v>43367</v>
      </c>
      <c r="C31" s="7">
        <v>100</v>
      </c>
      <c r="D31" s="43">
        <v>20.315000000000001</v>
      </c>
      <c r="E31" s="43">
        <v>0</v>
      </c>
      <c r="F31" s="43">
        <f t="shared" si="2"/>
        <v>2031.5000000000002</v>
      </c>
      <c r="O31" s="78">
        <v>0.98</v>
      </c>
      <c r="P31" s="78">
        <f t="shared" si="3"/>
        <v>17.561600000000002</v>
      </c>
      <c r="T31" s="1">
        <v>43178</v>
      </c>
      <c r="U31" t="s">
        <v>889</v>
      </c>
    </row>
    <row r="32" spans="1:21" x14ac:dyDescent="0.25">
      <c r="A32" s="893"/>
      <c r="B32" s="360">
        <v>43378</v>
      </c>
      <c r="C32" s="7">
        <v>100</v>
      </c>
      <c r="D32" s="43">
        <v>19.39</v>
      </c>
      <c r="E32" s="43">
        <v>0</v>
      </c>
      <c r="F32" s="43">
        <f t="shared" si="2"/>
        <v>1939</v>
      </c>
      <c r="O32" s="78">
        <v>0.97</v>
      </c>
      <c r="P32" s="78">
        <f t="shared" si="3"/>
        <v>17.382400000000001</v>
      </c>
    </row>
    <row r="33" spans="1:21" x14ac:dyDescent="0.25">
      <c r="A33" s="893"/>
      <c r="B33" s="360">
        <v>43378</v>
      </c>
      <c r="C33" s="7">
        <v>100</v>
      </c>
      <c r="D33" s="43">
        <v>18.75</v>
      </c>
      <c r="E33" s="43">
        <v>0</v>
      </c>
      <c r="F33" s="43">
        <f t="shared" si="2"/>
        <v>1875</v>
      </c>
      <c r="O33" s="78">
        <v>0.96</v>
      </c>
      <c r="P33" s="78">
        <f t="shared" si="3"/>
        <v>17.203200000000002</v>
      </c>
      <c r="T33" s="1">
        <v>43217</v>
      </c>
      <c r="U33" t="s">
        <v>961</v>
      </c>
    </row>
    <row r="34" spans="1:21" x14ac:dyDescent="0.25">
      <c r="B34" s="360">
        <v>43511</v>
      </c>
      <c r="C34" s="4">
        <v>200</v>
      </c>
      <c r="D34" s="3">
        <v>17.68</v>
      </c>
      <c r="E34" s="3">
        <v>0</v>
      </c>
      <c r="F34" s="3">
        <f t="shared" si="2"/>
        <v>3536</v>
      </c>
      <c r="O34" s="78">
        <v>0.95</v>
      </c>
      <c r="P34" s="78">
        <f t="shared" si="3"/>
        <v>17.024000000000001</v>
      </c>
    </row>
    <row r="35" spans="1:21" x14ac:dyDescent="0.25">
      <c r="B35" s="360">
        <v>43546</v>
      </c>
      <c r="C35" s="7">
        <v>200</v>
      </c>
      <c r="D35" s="43">
        <v>15.12</v>
      </c>
      <c r="E35" s="43">
        <v>0</v>
      </c>
      <c r="F35" s="43">
        <f t="shared" si="2"/>
        <v>3024</v>
      </c>
      <c r="O35" s="78">
        <v>0.94</v>
      </c>
      <c r="P35" s="78">
        <f t="shared" si="3"/>
        <v>16.844799999999999</v>
      </c>
      <c r="T35" s="1">
        <v>43224</v>
      </c>
      <c r="U35" t="s">
        <v>82</v>
      </c>
    </row>
    <row r="36" spans="1:21" x14ac:dyDescent="0.25">
      <c r="B36" s="360">
        <v>43657</v>
      </c>
      <c r="C36" s="7">
        <v>200</v>
      </c>
      <c r="D36" s="43">
        <v>14.48</v>
      </c>
      <c r="E36" s="43">
        <v>0</v>
      </c>
      <c r="F36" s="43">
        <f t="shared" si="2"/>
        <v>2896</v>
      </c>
      <c r="O36" s="78">
        <v>0.93</v>
      </c>
      <c r="P36" s="78">
        <f t="shared" si="3"/>
        <v>16.665600000000001</v>
      </c>
    </row>
    <row r="37" spans="1:21" x14ac:dyDescent="0.25">
      <c r="B37" s="360">
        <v>43678</v>
      </c>
      <c r="C37" s="7">
        <v>200</v>
      </c>
      <c r="D37" s="43">
        <v>13.88</v>
      </c>
      <c r="E37" s="43">
        <v>0</v>
      </c>
      <c r="F37" s="43">
        <f t="shared" si="2"/>
        <v>2776</v>
      </c>
      <c r="O37" s="78">
        <v>0.92</v>
      </c>
      <c r="P37" s="78">
        <f t="shared" si="3"/>
        <v>16.486400000000003</v>
      </c>
    </row>
    <row r="38" spans="1:21" x14ac:dyDescent="0.25">
      <c r="B38" s="4"/>
      <c r="C38" s="4"/>
      <c r="D38" s="3"/>
      <c r="E38" s="3"/>
      <c r="F38" s="3"/>
      <c r="O38" s="78">
        <v>0.91</v>
      </c>
      <c r="P38" s="78">
        <f t="shared" si="3"/>
        <v>16.307200000000002</v>
      </c>
      <c r="T38" s="680">
        <v>43318</v>
      </c>
      <c r="U38" t="s">
        <v>82</v>
      </c>
    </row>
    <row r="39" spans="1:21" x14ac:dyDescent="0.25">
      <c r="O39" s="78">
        <v>0.9</v>
      </c>
      <c r="P39" s="78">
        <f t="shared" si="3"/>
        <v>16.128000000000004</v>
      </c>
      <c r="U39" t="s">
        <v>1157</v>
      </c>
    </row>
    <row r="40" spans="1:21" x14ac:dyDescent="0.25">
      <c r="B40" s="4"/>
      <c r="C40" s="4"/>
      <c r="D40" s="3"/>
      <c r="E40" s="3"/>
      <c r="F40" s="3"/>
      <c r="U40" t="s">
        <v>1168</v>
      </c>
    </row>
    <row r="41" spans="1:21" x14ac:dyDescent="0.25">
      <c r="O41" s="33"/>
      <c r="R41" s="33"/>
    </row>
    <row r="42" spans="1:21" x14ac:dyDescent="0.25">
      <c r="A42" s="35" t="s">
        <v>81</v>
      </c>
      <c r="B42" s="36"/>
      <c r="C42" s="36">
        <f>SUM(C2:C41)</f>
        <v>4340</v>
      </c>
      <c r="D42" s="37"/>
      <c r="E42" s="37"/>
      <c r="F42" s="37">
        <f>SUM(F2:F41)</f>
        <v>100781.4</v>
      </c>
      <c r="G42" s="36"/>
      <c r="H42" s="157">
        <f>SUM(H2:H41)</f>
        <v>4340</v>
      </c>
      <c r="I42" s="37"/>
      <c r="J42" s="37"/>
      <c r="K42" s="37">
        <f>SUM(K2:K41)</f>
        <v>96140.89</v>
      </c>
      <c r="L42" s="37"/>
      <c r="M42" s="37">
        <f>SUM(M2:M41)</f>
        <v>938.4</v>
      </c>
      <c r="Q42" s="33"/>
      <c r="R42" s="33"/>
      <c r="T42" s="1">
        <v>43319</v>
      </c>
      <c r="U42" t="s">
        <v>1167</v>
      </c>
    </row>
    <row r="43" spans="1:21" ht="15.75" thickBot="1" x14ac:dyDescent="0.3">
      <c r="A43" s="273" t="s">
        <v>189</v>
      </c>
      <c r="B43" s="274"/>
      <c r="C43" s="275">
        <f>SumByColor($A$43,C2:C41)</f>
        <v>3640</v>
      </c>
      <c r="D43" s="275"/>
      <c r="E43" s="275"/>
      <c r="F43" s="276">
        <f>SumByColor($A$43,F2:F42)</f>
        <v>80790</v>
      </c>
      <c r="G43" s="275"/>
      <c r="H43" s="275">
        <f>SumByColor($A$43,H2:H41)</f>
        <v>3840</v>
      </c>
      <c r="I43" s="275"/>
      <c r="J43" s="275"/>
      <c r="K43" s="276">
        <f>SumByColor($A$43,K2:K41)</f>
        <v>87543</v>
      </c>
      <c r="L43" s="275"/>
      <c r="M43" s="276">
        <f>SumByColor($A$43,M2:M41)</f>
        <v>938</v>
      </c>
      <c r="Q43" s="33"/>
      <c r="R43" s="33"/>
    </row>
    <row r="44" spans="1:21" x14ac:dyDescent="0.25">
      <c r="Q44" s="33"/>
      <c r="R44" s="33"/>
      <c r="T44" s="1">
        <v>43320</v>
      </c>
      <c r="U44" t="s">
        <v>1172</v>
      </c>
    </row>
    <row r="45" spans="1:21" x14ac:dyDescent="0.25">
      <c r="B45" s="159" t="s">
        <v>113</v>
      </c>
      <c r="C45" s="159" t="s">
        <v>143</v>
      </c>
      <c r="D45" s="160" t="s">
        <v>142</v>
      </c>
      <c r="E45" s="162"/>
      <c r="F45" s="163" t="s">
        <v>65</v>
      </c>
      <c r="G45" s="173" t="s">
        <v>148</v>
      </c>
      <c r="H45" s="163" t="s">
        <v>88</v>
      </c>
      <c r="I45" s="163" t="s">
        <v>151</v>
      </c>
      <c r="J45" s="163" t="s">
        <v>452</v>
      </c>
      <c r="K45" s="163" t="s">
        <v>147</v>
      </c>
      <c r="L45" s="163" t="s">
        <v>901</v>
      </c>
      <c r="Q45" s="33"/>
      <c r="R45" s="33"/>
      <c r="U45" t="s">
        <v>1173</v>
      </c>
    </row>
    <row r="46" spans="1:21" x14ac:dyDescent="0.25">
      <c r="B46" s="161">
        <v>42985</v>
      </c>
      <c r="C46" s="10">
        <v>50</v>
      </c>
      <c r="D46" s="39">
        <v>44.98</v>
      </c>
      <c r="E46" s="39">
        <v>44.76</v>
      </c>
      <c r="F46" s="39">
        <f t="shared" ref="F46:F60" si="4">C46*(E46-D46)</f>
        <v>-10.999999999999943</v>
      </c>
      <c r="G46" s="39">
        <f t="shared" ref="G46:G60" si="5">D46*C46</f>
        <v>2249</v>
      </c>
      <c r="H46" s="175">
        <f t="shared" ref="H46:H60" si="6">(E46-D46)/D46</f>
        <v>-4.891062694530878E-3</v>
      </c>
      <c r="I46" s="175"/>
      <c r="J46" s="175"/>
      <c r="K46" s="175"/>
      <c r="L46" s="175"/>
      <c r="Q46" s="78"/>
      <c r="R46" s="33"/>
    </row>
    <row r="47" spans="1:21" x14ac:dyDescent="0.25">
      <c r="B47" s="161">
        <v>42994</v>
      </c>
      <c r="C47" s="10">
        <v>110</v>
      </c>
      <c r="D47" s="39">
        <v>43.796399999999998</v>
      </c>
      <c r="E47" s="39">
        <v>43.2</v>
      </c>
      <c r="F47" s="39">
        <f t="shared" si="4"/>
        <v>-65.603999999999516</v>
      </c>
      <c r="G47" s="39">
        <f t="shared" si="5"/>
        <v>4817.6040000000003</v>
      </c>
      <c r="H47" s="175">
        <f t="shared" si="6"/>
        <v>-1.3617557607474486E-2</v>
      </c>
      <c r="I47" s="175"/>
      <c r="J47" s="175"/>
      <c r="K47" s="175"/>
      <c r="L47" s="175"/>
      <c r="Q47" s="78"/>
      <c r="R47" s="33"/>
      <c r="T47" s="1">
        <v>43322</v>
      </c>
      <c r="U47" t="s">
        <v>1177</v>
      </c>
    </row>
    <row r="48" spans="1:21" x14ac:dyDescent="0.25">
      <c r="B48" s="161">
        <v>42999</v>
      </c>
      <c r="C48" s="10">
        <v>110</v>
      </c>
      <c r="D48" s="39">
        <v>43.796399999999998</v>
      </c>
      <c r="E48" s="39">
        <v>41.48</v>
      </c>
      <c r="F48" s="39">
        <f t="shared" si="4"/>
        <v>-254.80400000000017</v>
      </c>
      <c r="G48" s="39">
        <f t="shared" si="5"/>
        <v>4817.6040000000003</v>
      </c>
      <c r="H48" s="175">
        <f t="shared" si="6"/>
        <v>-5.2890191887917763E-2</v>
      </c>
      <c r="I48" s="175"/>
      <c r="J48" s="175"/>
      <c r="K48" s="175"/>
      <c r="L48" s="175"/>
      <c r="Q48" s="78"/>
      <c r="R48" s="33"/>
    </row>
    <row r="49" spans="1:21" x14ac:dyDescent="0.25">
      <c r="B49" s="161">
        <v>43028</v>
      </c>
      <c r="C49" s="10">
        <v>180</v>
      </c>
      <c r="D49" s="39">
        <v>42.494999999999997</v>
      </c>
      <c r="E49" s="39">
        <v>40.369999999999997</v>
      </c>
      <c r="F49" s="39">
        <f t="shared" si="4"/>
        <v>-382.5</v>
      </c>
      <c r="G49" s="39">
        <f t="shared" si="5"/>
        <v>7649.0999999999995</v>
      </c>
      <c r="H49" s="175">
        <f t="shared" si="6"/>
        <v>-5.0005883045064127E-2</v>
      </c>
      <c r="I49" s="175"/>
      <c r="J49" s="175"/>
      <c r="K49" s="175"/>
      <c r="L49" s="175"/>
      <c r="Q49" s="78"/>
      <c r="R49" s="33"/>
      <c r="T49" s="1">
        <v>43327</v>
      </c>
      <c r="U49" t="s">
        <v>1191</v>
      </c>
    </row>
    <row r="50" spans="1:21" x14ac:dyDescent="0.25">
      <c r="B50" s="161">
        <v>43042</v>
      </c>
      <c r="C50" s="10">
        <v>280</v>
      </c>
      <c r="D50" s="39">
        <v>39.311100000000003</v>
      </c>
      <c r="E50" s="39">
        <v>30.77</v>
      </c>
      <c r="F50" s="39">
        <f t="shared" si="4"/>
        <v>-2391.5080000000012</v>
      </c>
      <c r="G50" s="39">
        <f t="shared" si="5"/>
        <v>11007.108</v>
      </c>
      <c r="H50" s="176">
        <f t="shared" si="6"/>
        <v>-0.21726942263126708</v>
      </c>
      <c r="I50" s="176"/>
      <c r="J50" s="176"/>
      <c r="K50" s="176"/>
      <c r="L50" s="176"/>
      <c r="Q50" s="78"/>
      <c r="R50" s="33"/>
    </row>
    <row r="51" spans="1:21" x14ac:dyDescent="0.25">
      <c r="B51" s="161">
        <v>43045</v>
      </c>
      <c r="C51" s="7">
        <v>500</v>
      </c>
      <c r="D51" s="43">
        <v>35.243400000000001</v>
      </c>
      <c r="E51" s="39">
        <v>30.82</v>
      </c>
      <c r="F51" s="39">
        <f t="shared" si="4"/>
        <v>-2211.7000000000003</v>
      </c>
      <c r="G51" s="39">
        <f t="shared" si="5"/>
        <v>17621.7</v>
      </c>
      <c r="H51" s="176">
        <f t="shared" si="6"/>
        <v>-0.12551002457197663</v>
      </c>
      <c r="I51" s="176"/>
      <c r="J51" s="176"/>
      <c r="K51" s="176"/>
      <c r="L51" s="176"/>
      <c r="Q51" s="78"/>
      <c r="R51" s="33"/>
      <c r="T51" s="1">
        <v>43418</v>
      </c>
      <c r="U51" t="s">
        <v>1261</v>
      </c>
    </row>
    <row r="52" spans="1:21" x14ac:dyDescent="0.25">
      <c r="B52" s="161">
        <v>43047</v>
      </c>
      <c r="C52" s="10">
        <v>380</v>
      </c>
      <c r="D52" s="39">
        <v>36.485799999999998</v>
      </c>
      <c r="E52" s="39">
        <v>31.31</v>
      </c>
      <c r="F52" s="39">
        <f t="shared" si="4"/>
        <v>-1966.8039999999996</v>
      </c>
      <c r="G52" s="39">
        <f t="shared" si="5"/>
        <v>13864.603999999999</v>
      </c>
      <c r="H52" s="176">
        <f t="shared" si="6"/>
        <v>-0.14185792828991003</v>
      </c>
      <c r="I52" s="176"/>
      <c r="J52" s="176"/>
      <c r="K52" s="176"/>
      <c r="L52" s="176"/>
      <c r="Q52" s="78"/>
      <c r="R52" s="33"/>
    </row>
    <row r="53" spans="1:21" x14ac:dyDescent="0.25">
      <c r="B53" s="161">
        <v>43048</v>
      </c>
      <c r="C53" s="7">
        <v>500</v>
      </c>
      <c r="D53" s="43">
        <v>35.020400000000002</v>
      </c>
      <c r="E53" s="39">
        <v>30.1</v>
      </c>
      <c r="F53" s="39">
        <f t="shared" si="4"/>
        <v>-2460.2000000000003</v>
      </c>
      <c r="G53" s="39">
        <f t="shared" si="5"/>
        <v>17510.2</v>
      </c>
      <c r="H53" s="176">
        <f t="shared" si="6"/>
        <v>-0.14050096515174015</v>
      </c>
      <c r="I53" s="39">
        <v>34.5</v>
      </c>
      <c r="J53" s="39"/>
      <c r="K53" s="39"/>
      <c r="L53" s="39"/>
      <c r="Q53" s="78"/>
      <c r="R53" s="33"/>
      <c r="T53" s="1">
        <v>43421</v>
      </c>
      <c r="U53" t="s">
        <v>1262</v>
      </c>
    </row>
    <row r="54" spans="1:21" x14ac:dyDescent="0.25">
      <c r="B54" s="161">
        <v>43052</v>
      </c>
      <c r="C54" s="10">
        <v>600</v>
      </c>
      <c r="D54" s="39">
        <v>33.913699999999999</v>
      </c>
      <c r="E54" s="39">
        <v>28.45</v>
      </c>
      <c r="F54" s="39">
        <f t="shared" si="4"/>
        <v>-3278.22</v>
      </c>
      <c r="G54" s="39">
        <f t="shared" si="5"/>
        <v>20348.219999999998</v>
      </c>
      <c r="H54" s="176">
        <f t="shared" si="6"/>
        <v>-0.16110598371749468</v>
      </c>
      <c r="I54" s="39">
        <v>33.5</v>
      </c>
      <c r="J54" s="39"/>
      <c r="K54" s="39"/>
      <c r="L54" s="39"/>
      <c r="Q54" s="78"/>
      <c r="R54" s="33"/>
    </row>
    <row r="55" spans="1:21" x14ac:dyDescent="0.25">
      <c r="A55">
        <v>0</v>
      </c>
      <c r="B55" s="161">
        <v>43066</v>
      </c>
      <c r="C55" s="10">
        <v>500</v>
      </c>
      <c r="D55" s="39">
        <v>34.780500000000004</v>
      </c>
      <c r="E55" s="39">
        <v>29.79</v>
      </c>
      <c r="F55" s="39">
        <f t="shared" si="4"/>
        <v>-2495.2500000000023</v>
      </c>
      <c r="G55" s="39">
        <f t="shared" si="5"/>
        <v>17390.25</v>
      </c>
      <c r="H55" s="176">
        <f t="shared" si="6"/>
        <v>-0.14348557381291252</v>
      </c>
      <c r="I55" s="39">
        <v>34.5</v>
      </c>
      <c r="J55" s="39"/>
      <c r="K55" s="39"/>
      <c r="L55" s="39"/>
      <c r="Q55" s="78"/>
    </row>
    <row r="56" spans="1:21" x14ac:dyDescent="0.25">
      <c r="B56" s="161">
        <v>43074</v>
      </c>
      <c r="C56" s="10">
        <v>440</v>
      </c>
      <c r="D56" s="39">
        <v>35.309699999999999</v>
      </c>
      <c r="E56" s="39">
        <v>31.78</v>
      </c>
      <c r="F56" s="39">
        <f t="shared" si="4"/>
        <v>-1553.0679999999993</v>
      </c>
      <c r="G56" s="39">
        <f t="shared" si="5"/>
        <v>15536.268</v>
      </c>
      <c r="H56" s="176">
        <f t="shared" si="6"/>
        <v>-9.9964032546297432E-2</v>
      </c>
      <c r="I56" s="39"/>
      <c r="J56" s="39"/>
      <c r="K56" s="39"/>
      <c r="L56" s="39"/>
      <c r="Q56" s="78"/>
    </row>
    <row r="57" spans="1:21" x14ac:dyDescent="0.25">
      <c r="A57">
        <v>440</v>
      </c>
      <c r="B57" s="161">
        <v>43087</v>
      </c>
      <c r="C57" s="10">
        <v>440</v>
      </c>
      <c r="D57" s="39">
        <v>35.049999999999997</v>
      </c>
      <c r="E57" s="39">
        <v>30.7</v>
      </c>
      <c r="F57" s="39">
        <f t="shared" si="4"/>
        <v>-1913.9999999999991</v>
      </c>
      <c r="G57" s="39">
        <f t="shared" si="5"/>
        <v>15421.999999999998</v>
      </c>
      <c r="H57" s="176">
        <f t="shared" si="6"/>
        <v>-0.12410841654778883</v>
      </c>
      <c r="I57" s="39"/>
      <c r="J57" s="39"/>
      <c r="K57" s="39"/>
      <c r="L57" s="39"/>
      <c r="Q57" s="78"/>
    </row>
    <row r="58" spans="1:21" x14ac:dyDescent="0.25">
      <c r="A58">
        <v>440</v>
      </c>
      <c r="B58" s="161">
        <v>43089</v>
      </c>
      <c r="C58" s="10">
        <v>500</v>
      </c>
      <c r="D58" s="39">
        <v>34.463999999999999</v>
      </c>
      <c r="E58" s="39">
        <v>30.21</v>
      </c>
      <c r="F58" s="39">
        <f t="shared" si="4"/>
        <v>-2126.9999999999991</v>
      </c>
      <c r="G58" s="39">
        <f t="shared" si="5"/>
        <v>17232</v>
      </c>
      <c r="H58" s="176">
        <f t="shared" si="6"/>
        <v>-0.12343314763231192</v>
      </c>
      <c r="I58" s="39" t="s">
        <v>709</v>
      </c>
      <c r="J58" s="39"/>
      <c r="K58" s="39"/>
      <c r="L58" s="39"/>
      <c r="Q58" s="78"/>
    </row>
    <row r="59" spans="1:21" x14ac:dyDescent="0.25">
      <c r="A59">
        <v>320</v>
      </c>
      <c r="B59" s="161">
        <v>43090</v>
      </c>
      <c r="C59" s="10">
        <v>380</v>
      </c>
      <c r="D59" s="39">
        <v>35.658999999999999</v>
      </c>
      <c r="E59" s="39">
        <v>30.68</v>
      </c>
      <c r="F59" s="39">
        <f t="shared" si="4"/>
        <v>-1892.0199999999998</v>
      </c>
      <c r="G59" s="39">
        <f t="shared" si="5"/>
        <v>13550.42</v>
      </c>
      <c r="H59" s="176">
        <f t="shared" si="6"/>
        <v>-0.13962814436748083</v>
      </c>
      <c r="I59" s="39"/>
      <c r="J59" s="39"/>
      <c r="K59" s="39"/>
      <c r="L59" s="39"/>
      <c r="Q59" s="78"/>
    </row>
    <row r="60" spans="1:21" x14ac:dyDescent="0.25">
      <c r="A60">
        <v>260</v>
      </c>
      <c r="B60" s="161">
        <v>43097</v>
      </c>
      <c r="C60" s="10">
        <v>320</v>
      </c>
      <c r="D60" s="39">
        <v>36.552</v>
      </c>
      <c r="E60" s="39">
        <v>30.9</v>
      </c>
      <c r="F60" s="39">
        <f t="shared" si="4"/>
        <v>-1808.6400000000003</v>
      </c>
      <c r="G60" s="39">
        <f t="shared" si="5"/>
        <v>11696.64</v>
      </c>
      <c r="H60" s="176">
        <f t="shared" si="6"/>
        <v>-0.15462902166776102</v>
      </c>
      <c r="I60" s="39"/>
      <c r="J60" s="39"/>
      <c r="K60" s="39"/>
      <c r="L60" s="39"/>
      <c r="Q60" s="78"/>
    </row>
    <row r="61" spans="1:21" x14ac:dyDescent="0.25">
      <c r="A61">
        <v>260</v>
      </c>
      <c r="B61" s="161">
        <v>43103</v>
      </c>
      <c r="C61" s="10">
        <v>320</v>
      </c>
      <c r="D61" s="39">
        <v>36.552</v>
      </c>
      <c r="E61" s="39">
        <v>31.83</v>
      </c>
      <c r="F61" s="39">
        <f t="shared" ref="F61:F95" si="7">C61*(E61-D61)</f>
        <v>-1511.0400000000004</v>
      </c>
      <c r="G61" s="39">
        <f t="shared" ref="G61:G95" si="8">D61*C61</f>
        <v>11696.64</v>
      </c>
      <c r="H61" s="176">
        <f t="shared" ref="H61:H95" si="9">(E61-D61)/D61</f>
        <v>-0.1291858174655286</v>
      </c>
      <c r="I61" s="39"/>
      <c r="J61" s="39">
        <v>55.37</v>
      </c>
      <c r="K61" s="39"/>
      <c r="L61" s="39"/>
      <c r="Q61" s="78"/>
    </row>
    <row r="62" spans="1:21" x14ac:dyDescent="0.25">
      <c r="A62">
        <v>260</v>
      </c>
      <c r="B62" s="161">
        <v>43110</v>
      </c>
      <c r="C62" s="10">
        <v>320</v>
      </c>
      <c r="D62" s="39">
        <v>36.552</v>
      </c>
      <c r="E62" s="39">
        <v>31.15</v>
      </c>
      <c r="F62" s="39">
        <f t="shared" si="7"/>
        <v>-1728.6400000000003</v>
      </c>
      <c r="G62" s="39">
        <f t="shared" si="8"/>
        <v>11696.64</v>
      </c>
      <c r="H62" s="176">
        <f t="shared" si="9"/>
        <v>-0.14778945064565555</v>
      </c>
      <c r="I62" s="39"/>
      <c r="J62" s="39">
        <v>57.27</v>
      </c>
      <c r="K62" s="39"/>
      <c r="L62" s="39"/>
      <c r="Q62" s="78"/>
    </row>
    <row r="63" spans="1:21" x14ac:dyDescent="0.25">
      <c r="A63">
        <v>320</v>
      </c>
      <c r="B63" s="161">
        <v>43125</v>
      </c>
      <c r="C63" s="7">
        <v>500</v>
      </c>
      <c r="D63" s="43">
        <v>32.3932</v>
      </c>
      <c r="E63" s="39">
        <v>24.81</v>
      </c>
      <c r="F63" s="39">
        <f t="shared" si="7"/>
        <v>-3791.6000000000008</v>
      </c>
      <c r="G63" s="39">
        <f t="shared" si="8"/>
        <v>16196.6</v>
      </c>
      <c r="H63" s="176">
        <f t="shared" si="9"/>
        <v>-0.23409851450304389</v>
      </c>
      <c r="I63" s="39"/>
      <c r="J63" s="39"/>
      <c r="K63" s="39"/>
      <c r="L63" s="39"/>
      <c r="Q63" s="78"/>
    </row>
    <row r="64" spans="1:21" x14ac:dyDescent="0.25">
      <c r="A64">
        <v>140</v>
      </c>
      <c r="B64" s="161">
        <v>43126</v>
      </c>
      <c r="C64" s="10">
        <v>320</v>
      </c>
      <c r="D64" s="39">
        <v>36.340000000000003</v>
      </c>
      <c r="E64" s="39">
        <v>25.38</v>
      </c>
      <c r="F64" s="39">
        <f t="shared" si="7"/>
        <v>-3507.2000000000016</v>
      </c>
      <c r="G64" s="39">
        <f t="shared" si="8"/>
        <v>11628.800000000001</v>
      </c>
      <c r="H64" s="176">
        <f t="shared" si="9"/>
        <v>-0.30159603742432589</v>
      </c>
      <c r="I64" s="39"/>
      <c r="J64" s="39"/>
      <c r="K64" s="39"/>
      <c r="L64" s="39"/>
      <c r="O64" s="33"/>
    </row>
    <row r="65" spans="1:15" x14ac:dyDescent="0.25">
      <c r="A65">
        <v>100</v>
      </c>
      <c r="B65" s="161">
        <v>43126</v>
      </c>
      <c r="C65" s="10">
        <v>280</v>
      </c>
      <c r="D65" s="39">
        <v>37.770000000000003</v>
      </c>
      <c r="E65" s="39">
        <v>26.358000000000001</v>
      </c>
      <c r="F65" s="39">
        <f t="shared" si="7"/>
        <v>-3195.3600000000006</v>
      </c>
      <c r="G65" s="39">
        <f t="shared" si="8"/>
        <v>10575.6</v>
      </c>
      <c r="H65" s="176">
        <f t="shared" si="9"/>
        <v>-0.30214455917394761</v>
      </c>
      <c r="I65" s="39">
        <v>37</v>
      </c>
      <c r="J65" s="39"/>
      <c r="K65" s="39"/>
      <c r="L65" s="39"/>
    </row>
    <row r="66" spans="1:15" x14ac:dyDescent="0.25">
      <c r="A66">
        <v>100</v>
      </c>
      <c r="B66" s="161">
        <v>43142</v>
      </c>
      <c r="C66" s="10">
        <v>280</v>
      </c>
      <c r="D66" s="39">
        <v>37.770000000000003</v>
      </c>
      <c r="E66" s="39">
        <v>27.61</v>
      </c>
      <c r="F66" s="39">
        <f t="shared" si="7"/>
        <v>-2844.8000000000011</v>
      </c>
      <c r="G66" s="39">
        <f t="shared" si="8"/>
        <v>10575.6</v>
      </c>
      <c r="H66" s="176">
        <f t="shared" si="9"/>
        <v>-0.26899655811490608</v>
      </c>
      <c r="I66" s="39"/>
      <c r="J66" s="39"/>
      <c r="K66" s="39"/>
      <c r="L66" s="39"/>
    </row>
    <row r="67" spans="1:15" x14ac:dyDescent="0.25">
      <c r="A67">
        <v>280</v>
      </c>
      <c r="B67" s="161">
        <v>43143</v>
      </c>
      <c r="C67" s="10">
        <v>280</v>
      </c>
      <c r="D67" s="39">
        <v>37.770000000000003</v>
      </c>
      <c r="E67" s="39">
        <v>26.96</v>
      </c>
      <c r="F67" s="39">
        <f t="shared" si="7"/>
        <v>-3026.8000000000006</v>
      </c>
      <c r="G67" s="39">
        <f t="shared" si="8"/>
        <v>10575.6</v>
      </c>
      <c r="H67" s="176">
        <f t="shared" si="9"/>
        <v>-0.28620598358485572</v>
      </c>
      <c r="I67" s="39"/>
      <c r="J67" s="39"/>
      <c r="K67" s="39"/>
      <c r="L67" s="39"/>
    </row>
    <row r="68" spans="1:15" x14ac:dyDescent="0.25">
      <c r="B68" s="161">
        <v>43172</v>
      </c>
      <c r="C68" s="10">
        <v>280</v>
      </c>
      <c r="D68" s="39">
        <v>37.770000000000003</v>
      </c>
      <c r="E68" s="39">
        <v>28.6</v>
      </c>
      <c r="F68" s="39">
        <f t="shared" si="7"/>
        <v>-2567.6000000000004</v>
      </c>
      <c r="G68" s="39">
        <f t="shared" si="8"/>
        <v>10575.6</v>
      </c>
      <c r="H68" s="176">
        <f t="shared" si="9"/>
        <v>-0.24278527932221342</v>
      </c>
      <c r="I68" s="39"/>
      <c r="J68" s="39"/>
      <c r="K68" s="39">
        <v>-2491</v>
      </c>
      <c r="L68" s="39"/>
    </row>
    <row r="69" spans="1:15" x14ac:dyDescent="0.25">
      <c r="B69" s="161">
        <v>43178</v>
      </c>
      <c r="C69" s="10">
        <v>380</v>
      </c>
      <c r="D69" s="39">
        <v>34.729999999999997</v>
      </c>
      <c r="E69" s="39">
        <v>26.79</v>
      </c>
      <c r="F69" s="39">
        <f t="shared" si="7"/>
        <v>-3017.1999999999989</v>
      </c>
      <c r="G69" s="39">
        <f t="shared" si="8"/>
        <v>13197.4</v>
      </c>
      <c r="H69" s="176">
        <f t="shared" si="9"/>
        <v>-0.22862078894327667</v>
      </c>
      <c r="I69" s="39"/>
      <c r="J69" s="39"/>
      <c r="K69" s="39"/>
      <c r="L69" s="39"/>
      <c r="O69" s="33"/>
    </row>
    <row r="70" spans="1:15" x14ac:dyDescent="0.25">
      <c r="B70" s="161">
        <v>43185</v>
      </c>
      <c r="C70" s="10">
        <v>380</v>
      </c>
      <c r="D70" s="39">
        <v>34.729999999999997</v>
      </c>
      <c r="E70" s="39">
        <v>26.06</v>
      </c>
      <c r="F70" s="39">
        <f t="shared" si="7"/>
        <v>-3294.5999999999995</v>
      </c>
      <c r="G70" s="39">
        <f t="shared" si="8"/>
        <v>13197.4</v>
      </c>
      <c r="H70" s="176">
        <f t="shared" si="9"/>
        <v>-0.24964008062194065</v>
      </c>
      <c r="I70" s="39"/>
      <c r="J70" s="39"/>
      <c r="K70" s="39">
        <v>-3220</v>
      </c>
      <c r="L70" s="39"/>
    </row>
    <row r="71" spans="1:15" x14ac:dyDescent="0.25">
      <c r="A71">
        <v>280</v>
      </c>
      <c r="B71" s="161">
        <v>43186</v>
      </c>
      <c r="C71" s="7">
        <v>500</v>
      </c>
      <c r="D71" s="43">
        <v>32.32</v>
      </c>
      <c r="E71" s="39">
        <v>25.19</v>
      </c>
      <c r="F71" s="39">
        <f t="shared" si="7"/>
        <v>-3564.9999999999995</v>
      </c>
      <c r="G71" s="39">
        <f t="shared" si="8"/>
        <v>16160</v>
      </c>
      <c r="H71" s="176">
        <f t="shared" si="9"/>
        <v>-0.22060643564356433</v>
      </c>
      <c r="I71" s="39"/>
      <c r="J71" s="39"/>
      <c r="K71" s="39">
        <v>-3490</v>
      </c>
      <c r="L71" s="39"/>
    </row>
    <row r="72" spans="1:15" x14ac:dyDescent="0.25">
      <c r="A72">
        <v>160</v>
      </c>
      <c r="B72" s="161">
        <v>43194</v>
      </c>
      <c r="C72" s="10">
        <v>380</v>
      </c>
      <c r="D72" s="39">
        <v>34.42</v>
      </c>
      <c r="E72" s="39">
        <v>25.67</v>
      </c>
      <c r="F72" s="39">
        <f t="shared" si="7"/>
        <v>-3325</v>
      </c>
      <c r="G72" s="39">
        <f t="shared" si="8"/>
        <v>13079.6</v>
      </c>
      <c r="H72" s="176">
        <f t="shared" si="9"/>
        <v>-0.25421266705403833</v>
      </c>
      <c r="I72" s="39"/>
      <c r="J72" s="39"/>
      <c r="K72" s="39">
        <v>-3248</v>
      </c>
      <c r="L72" s="39"/>
    </row>
    <row r="73" spans="1:15" x14ac:dyDescent="0.25">
      <c r="A73">
        <v>260</v>
      </c>
      <c r="B73" s="161">
        <v>43216</v>
      </c>
      <c r="C73" s="10">
        <v>380</v>
      </c>
      <c r="D73" s="39">
        <v>34.42</v>
      </c>
      <c r="E73" s="39">
        <v>26.96</v>
      </c>
      <c r="F73" s="39">
        <f t="shared" si="7"/>
        <v>-2834.8</v>
      </c>
      <c r="G73" s="39">
        <f t="shared" si="8"/>
        <v>13079.6</v>
      </c>
      <c r="H73" s="176">
        <f t="shared" si="9"/>
        <v>-0.21673445671121441</v>
      </c>
      <c r="I73" s="39"/>
      <c r="J73" s="39"/>
      <c r="K73" s="39">
        <v>-2758</v>
      </c>
      <c r="L73" s="39"/>
    </row>
    <row r="74" spans="1:15" x14ac:dyDescent="0.25">
      <c r="A74">
        <v>280</v>
      </c>
      <c r="B74" s="161">
        <v>43217</v>
      </c>
      <c r="C74" s="10">
        <v>280</v>
      </c>
      <c r="D74" s="39">
        <v>36.86</v>
      </c>
      <c r="E74" s="39">
        <v>27.58</v>
      </c>
      <c r="F74" s="39">
        <f t="shared" si="7"/>
        <v>-2598.4000000000005</v>
      </c>
      <c r="G74" s="39">
        <f t="shared" si="8"/>
        <v>10320.799999999999</v>
      </c>
      <c r="H74" s="176">
        <f t="shared" si="9"/>
        <v>-0.25176342919153555</v>
      </c>
      <c r="I74" s="170" t="s">
        <v>972</v>
      </c>
      <c r="J74" s="39"/>
      <c r="K74" s="39">
        <v>-2523</v>
      </c>
      <c r="L74" s="39"/>
    </row>
    <row r="75" spans="1:15" x14ac:dyDescent="0.25">
      <c r="A75">
        <v>280</v>
      </c>
      <c r="B75" s="161">
        <v>43221</v>
      </c>
      <c r="C75" s="10">
        <v>380</v>
      </c>
      <c r="D75" s="39">
        <v>34.158099999999997</v>
      </c>
      <c r="E75" s="39">
        <v>27.05</v>
      </c>
      <c r="F75" s="39">
        <f t="shared" si="7"/>
        <v>-2701.0779999999986</v>
      </c>
      <c r="G75" s="39">
        <f t="shared" si="8"/>
        <v>12980.078</v>
      </c>
      <c r="H75" s="176">
        <f t="shared" si="9"/>
        <v>-0.20809412701526131</v>
      </c>
      <c r="I75" s="170">
        <v>34</v>
      </c>
      <c r="J75" s="39"/>
      <c r="K75" s="39">
        <v>-2626</v>
      </c>
      <c r="L75" s="170"/>
    </row>
    <row r="76" spans="1:15" x14ac:dyDescent="0.25">
      <c r="A76">
        <v>180</v>
      </c>
      <c r="B76" s="161">
        <v>43222</v>
      </c>
      <c r="C76" s="10">
        <v>280</v>
      </c>
      <c r="D76" s="39">
        <v>36.472000000000001</v>
      </c>
      <c r="E76" s="39">
        <v>26.85</v>
      </c>
      <c r="F76" s="39">
        <f t="shared" si="7"/>
        <v>-2694.16</v>
      </c>
      <c r="G76" s="39">
        <f t="shared" si="8"/>
        <v>10212.16</v>
      </c>
      <c r="H76" s="176">
        <f t="shared" si="9"/>
        <v>-0.26381881991664835</v>
      </c>
      <c r="I76" s="170">
        <v>36</v>
      </c>
      <c r="J76" s="39"/>
      <c r="K76" s="39">
        <v>-2619</v>
      </c>
      <c r="L76" s="170"/>
    </row>
    <row r="77" spans="1:15" x14ac:dyDescent="0.25">
      <c r="A77">
        <v>180</v>
      </c>
      <c r="B77" s="161">
        <v>43223</v>
      </c>
      <c r="C77" s="10">
        <v>380</v>
      </c>
      <c r="D77" s="39">
        <v>33.9133</v>
      </c>
      <c r="E77" s="39">
        <v>26.69</v>
      </c>
      <c r="F77" s="39">
        <f t="shared" si="7"/>
        <v>-2744.8539999999994</v>
      </c>
      <c r="G77" s="39">
        <f t="shared" si="8"/>
        <v>12887.054</v>
      </c>
      <c r="H77" s="176">
        <f t="shared" si="9"/>
        <v>-0.21299313248784396</v>
      </c>
      <c r="I77" s="39"/>
      <c r="J77" s="39"/>
      <c r="K77" s="39">
        <v>-2670</v>
      </c>
      <c r="L77" s="170"/>
    </row>
    <row r="78" spans="1:15" x14ac:dyDescent="0.25">
      <c r="A78">
        <v>180</v>
      </c>
      <c r="B78" s="161">
        <v>43241</v>
      </c>
      <c r="C78" s="10">
        <v>380</v>
      </c>
      <c r="D78" s="39">
        <v>33.9133</v>
      </c>
      <c r="E78" s="39">
        <v>26.39</v>
      </c>
      <c r="F78" s="39">
        <f t="shared" si="7"/>
        <v>-2858.8539999999998</v>
      </c>
      <c r="G78" s="39">
        <f t="shared" si="8"/>
        <v>12887.054</v>
      </c>
      <c r="H78" s="176">
        <f t="shared" si="9"/>
        <v>-0.22183921942128895</v>
      </c>
      <c r="I78" s="39"/>
      <c r="J78" s="39"/>
      <c r="K78" s="39">
        <v>-2669</v>
      </c>
      <c r="L78" s="170">
        <v>9.8800000000000008</v>
      </c>
    </row>
    <row r="79" spans="1:15" x14ac:dyDescent="0.25">
      <c r="A79">
        <v>180</v>
      </c>
      <c r="B79" s="161">
        <v>43249</v>
      </c>
      <c r="C79" s="7">
        <v>500</v>
      </c>
      <c r="D79" s="43">
        <v>31.690200000000001</v>
      </c>
      <c r="E79" s="39">
        <v>24.83</v>
      </c>
      <c r="F79" s="39">
        <f t="shared" si="7"/>
        <v>-3430.1000000000013</v>
      </c>
      <c r="G79" s="39">
        <f t="shared" si="8"/>
        <v>15845.1</v>
      </c>
      <c r="H79" s="176">
        <f t="shared" si="9"/>
        <v>-0.21647701813178846</v>
      </c>
      <c r="I79" s="39"/>
      <c r="J79" s="39"/>
      <c r="K79" s="39">
        <f t="shared" ref="K79:K95" si="10">F79+$Q$10</f>
        <v>-3355.0800000000013</v>
      </c>
      <c r="L79" s="170">
        <v>9.3000000000000007</v>
      </c>
    </row>
    <row r="80" spans="1:15" x14ac:dyDescent="0.25">
      <c r="A80">
        <v>380</v>
      </c>
      <c r="B80" s="161">
        <v>43254</v>
      </c>
      <c r="C80" s="10">
        <v>500</v>
      </c>
      <c r="D80" s="39">
        <v>31.690200000000001</v>
      </c>
      <c r="E80" s="39">
        <v>23.12</v>
      </c>
      <c r="F80" s="39">
        <f t="shared" si="7"/>
        <v>-4285.1000000000004</v>
      </c>
      <c r="G80" s="39">
        <f t="shared" si="8"/>
        <v>15845.1</v>
      </c>
      <c r="H80" s="176">
        <f t="shared" si="9"/>
        <v>-0.27043691740664305</v>
      </c>
      <c r="I80" s="39"/>
      <c r="J80" s="39"/>
      <c r="K80" s="39">
        <f t="shared" si="10"/>
        <v>-4210.08</v>
      </c>
      <c r="L80" s="170">
        <v>8.66</v>
      </c>
    </row>
    <row r="81" spans="1:12" x14ac:dyDescent="0.25">
      <c r="A81">
        <v>260</v>
      </c>
      <c r="B81" s="161">
        <v>43262</v>
      </c>
      <c r="C81" s="10">
        <v>380</v>
      </c>
      <c r="D81" s="39">
        <v>33.588299999999997</v>
      </c>
      <c r="E81" s="39">
        <v>25.59</v>
      </c>
      <c r="F81" s="39">
        <f t="shared" si="7"/>
        <v>-3039.3539999999989</v>
      </c>
      <c r="G81" s="39">
        <f t="shared" si="8"/>
        <v>12763.553999999998</v>
      </c>
      <c r="H81" s="176">
        <f t="shared" si="9"/>
        <v>-0.23812756227614967</v>
      </c>
      <c r="I81" s="39"/>
      <c r="J81" s="39"/>
      <c r="K81" s="39">
        <f t="shared" si="10"/>
        <v>-2964.3339999999989</v>
      </c>
      <c r="L81" s="170">
        <v>9.58</v>
      </c>
    </row>
    <row r="82" spans="1:12" x14ac:dyDescent="0.25">
      <c r="A82">
        <v>260</v>
      </c>
      <c r="B82" s="161">
        <v>43266</v>
      </c>
      <c r="C82" s="10">
        <v>380</v>
      </c>
      <c r="D82" s="39">
        <v>33.285699999999999</v>
      </c>
      <c r="E82" s="39">
        <v>26.05</v>
      </c>
      <c r="F82" s="39">
        <f t="shared" si="7"/>
        <v>-2749.5659999999993</v>
      </c>
      <c r="G82" s="39">
        <f t="shared" si="8"/>
        <v>12648.565999999999</v>
      </c>
      <c r="H82" s="176">
        <f t="shared" si="9"/>
        <v>-0.21738163836121813</v>
      </c>
      <c r="I82" s="39"/>
      <c r="J82" s="39"/>
      <c r="K82" s="39">
        <f t="shared" si="10"/>
        <v>-2674.5459999999994</v>
      </c>
      <c r="L82" s="170"/>
    </row>
    <row r="83" spans="1:12" x14ac:dyDescent="0.25">
      <c r="A83">
        <v>280</v>
      </c>
      <c r="B83" s="161">
        <v>43286</v>
      </c>
      <c r="C83" s="10">
        <v>280</v>
      </c>
      <c r="D83" s="39">
        <v>35.47</v>
      </c>
      <c r="E83" s="39">
        <v>27.15</v>
      </c>
      <c r="F83" s="39">
        <f t="shared" si="7"/>
        <v>-2329.6</v>
      </c>
      <c r="G83" s="39">
        <f t="shared" si="8"/>
        <v>9931.6</v>
      </c>
      <c r="H83" s="176">
        <f t="shared" si="9"/>
        <v>-0.23456442063715818</v>
      </c>
      <c r="I83" s="39" t="s">
        <v>1093</v>
      </c>
      <c r="J83" s="39"/>
      <c r="K83" s="39">
        <f t="shared" si="10"/>
        <v>-2254.58</v>
      </c>
      <c r="L83" s="170">
        <v>10.17</v>
      </c>
    </row>
    <row r="84" spans="1:12" x14ac:dyDescent="0.25">
      <c r="A84">
        <v>280</v>
      </c>
      <c r="B84" s="161">
        <v>43288</v>
      </c>
      <c r="C84" s="10">
        <v>280</v>
      </c>
      <c r="D84" s="39">
        <v>35.47</v>
      </c>
      <c r="E84" s="39">
        <v>27.42</v>
      </c>
      <c r="F84" s="39">
        <f t="shared" si="7"/>
        <v>-2253.9999999999991</v>
      </c>
      <c r="G84" s="39">
        <f t="shared" si="8"/>
        <v>9931.6</v>
      </c>
      <c r="H84" s="176">
        <f t="shared" si="9"/>
        <v>-0.226952354102058</v>
      </c>
      <c r="I84" s="39"/>
      <c r="J84" s="39"/>
      <c r="K84" s="39">
        <f t="shared" si="10"/>
        <v>-2178.9799999999991</v>
      </c>
      <c r="L84" s="170">
        <v>10.27</v>
      </c>
    </row>
    <row r="85" spans="1:12" x14ac:dyDescent="0.25">
      <c r="A85">
        <v>280</v>
      </c>
      <c r="B85" s="161">
        <v>43301</v>
      </c>
      <c r="C85" s="10">
        <v>380</v>
      </c>
      <c r="D85" s="39">
        <v>33.048900000000003</v>
      </c>
      <c r="E85" s="39">
        <v>26.28</v>
      </c>
      <c r="F85" s="39">
        <f t="shared" si="7"/>
        <v>-2572.1820000000007</v>
      </c>
      <c r="G85" s="39">
        <f t="shared" si="8"/>
        <v>12558.582000000002</v>
      </c>
      <c r="H85" s="176">
        <f t="shared" si="9"/>
        <v>-0.20481468369597783</v>
      </c>
      <c r="I85" s="170"/>
      <c r="J85" s="39"/>
      <c r="K85" s="39">
        <f t="shared" si="10"/>
        <v>-2497.1620000000007</v>
      </c>
      <c r="L85" s="170">
        <v>9.84</v>
      </c>
    </row>
    <row r="86" spans="1:12" x14ac:dyDescent="0.25">
      <c r="A86">
        <v>280</v>
      </c>
      <c r="B86" s="161">
        <v>43306</v>
      </c>
      <c r="C86" s="7">
        <v>500</v>
      </c>
      <c r="D86" s="43">
        <v>31.277999999999999</v>
      </c>
      <c r="E86" s="39">
        <v>25.67</v>
      </c>
      <c r="F86" s="39">
        <f t="shared" si="7"/>
        <v>-2803.9999999999986</v>
      </c>
      <c r="G86" s="39">
        <f t="shared" si="8"/>
        <v>15639</v>
      </c>
      <c r="H86" s="176">
        <f t="shared" si="9"/>
        <v>-0.17929535136517671</v>
      </c>
      <c r="I86" s="170">
        <v>30.5</v>
      </c>
      <c r="J86" s="39"/>
      <c r="K86" s="39">
        <f t="shared" si="10"/>
        <v>-2728.9799999999987</v>
      </c>
      <c r="L86" s="170"/>
    </row>
    <row r="87" spans="1:12" x14ac:dyDescent="0.25">
      <c r="A87">
        <v>160</v>
      </c>
      <c r="B87" s="161">
        <v>43307</v>
      </c>
      <c r="C87" s="10">
        <v>380</v>
      </c>
      <c r="D87" s="39">
        <v>32.78</v>
      </c>
      <c r="E87" s="39">
        <v>26.52</v>
      </c>
      <c r="F87" s="39">
        <f t="shared" si="7"/>
        <v>-2378.8000000000006</v>
      </c>
      <c r="G87" s="39">
        <f t="shared" si="8"/>
        <v>12456.4</v>
      </c>
      <c r="H87" s="176">
        <f t="shared" si="9"/>
        <v>-0.19097010372178161</v>
      </c>
      <c r="I87" s="170"/>
      <c r="J87" s="39"/>
      <c r="K87" s="39">
        <f t="shared" si="10"/>
        <v>-2303.7800000000007</v>
      </c>
      <c r="L87" s="170">
        <v>9.93</v>
      </c>
    </row>
    <row r="88" spans="1:12" x14ac:dyDescent="0.25">
      <c r="A88">
        <v>160</v>
      </c>
      <c r="B88" s="161">
        <v>43318</v>
      </c>
      <c r="C88" s="7">
        <v>500</v>
      </c>
      <c r="D88" s="43">
        <v>30.961300000000001</v>
      </c>
      <c r="E88" s="39">
        <v>25.2</v>
      </c>
      <c r="F88" s="39">
        <f t="shared" si="7"/>
        <v>-2880.650000000001</v>
      </c>
      <c r="G88" s="39">
        <f t="shared" si="8"/>
        <v>15480.650000000001</v>
      </c>
      <c r="H88" s="176">
        <f t="shared" si="9"/>
        <v>-0.18608068782641562</v>
      </c>
      <c r="I88" s="170"/>
      <c r="J88" s="39"/>
      <c r="K88" s="39">
        <f t="shared" si="10"/>
        <v>-2805.630000000001</v>
      </c>
      <c r="L88" s="170"/>
    </row>
    <row r="89" spans="1:12" x14ac:dyDescent="0.25">
      <c r="A89">
        <v>160</v>
      </c>
      <c r="B89" s="161">
        <v>43318</v>
      </c>
      <c r="C89" s="352">
        <v>700</v>
      </c>
      <c r="D89" s="353">
        <v>28.7849</v>
      </c>
      <c r="E89" s="39">
        <v>22.76</v>
      </c>
      <c r="F89" s="39">
        <f t="shared" si="7"/>
        <v>-4217.4299999999994</v>
      </c>
      <c r="G89" s="39">
        <f t="shared" si="8"/>
        <v>20149.43</v>
      </c>
      <c r="H89" s="176">
        <f t="shared" si="9"/>
        <v>-0.20930765783448957</v>
      </c>
      <c r="I89" s="170"/>
      <c r="J89" s="39"/>
      <c r="K89" s="39">
        <f t="shared" si="10"/>
        <v>-4142.41</v>
      </c>
      <c r="L89" s="170"/>
    </row>
    <row r="90" spans="1:12" x14ac:dyDescent="0.25">
      <c r="A90">
        <v>160</v>
      </c>
      <c r="B90" s="161">
        <v>43319</v>
      </c>
      <c r="C90" s="10">
        <v>800</v>
      </c>
      <c r="D90" s="39">
        <v>27.901800000000001</v>
      </c>
      <c r="E90" s="39">
        <v>21.68</v>
      </c>
      <c r="F90" s="39">
        <f t="shared" si="7"/>
        <v>-4977.4400000000014</v>
      </c>
      <c r="G90" s="39">
        <f t="shared" si="8"/>
        <v>22321.440000000002</v>
      </c>
      <c r="H90" s="176">
        <f t="shared" si="9"/>
        <v>-0.22298919782953075</v>
      </c>
      <c r="I90" s="170">
        <v>27</v>
      </c>
      <c r="J90" s="39"/>
      <c r="K90" s="39">
        <f t="shared" si="10"/>
        <v>-4902.4200000000019</v>
      </c>
      <c r="L90" s="170">
        <v>8.1199999999999992</v>
      </c>
    </row>
    <row r="91" spans="1:12" x14ac:dyDescent="0.25">
      <c r="A91">
        <v>160</v>
      </c>
      <c r="B91" s="161">
        <v>43320</v>
      </c>
      <c r="C91" s="10">
        <v>1000</v>
      </c>
      <c r="D91" s="39">
        <v>26.401399999999999</v>
      </c>
      <c r="E91" s="39">
        <v>20.79</v>
      </c>
      <c r="F91" s="39">
        <f t="shared" si="7"/>
        <v>-5611.4</v>
      </c>
      <c r="G91" s="39">
        <f t="shared" si="8"/>
        <v>26401.399999999998</v>
      </c>
      <c r="H91" s="176">
        <f t="shared" si="9"/>
        <v>-0.21254175914913603</v>
      </c>
      <c r="I91" s="39"/>
      <c r="J91" s="39"/>
      <c r="K91" s="39">
        <f t="shared" si="10"/>
        <v>-5536.3799999999992</v>
      </c>
      <c r="L91" s="170">
        <v>8.5</v>
      </c>
    </row>
    <row r="92" spans="1:12" x14ac:dyDescent="0.25">
      <c r="A92">
        <v>160</v>
      </c>
      <c r="B92" s="161">
        <v>43325</v>
      </c>
      <c r="C92" s="10">
        <v>1500</v>
      </c>
      <c r="D92" s="39">
        <v>24.43</v>
      </c>
      <c r="E92" s="39">
        <v>20.45</v>
      </c>
      <c r="F92" s="39">
        <f t="shared" si="7"/>
        <v>-5970.0000000000009</v>
      </c>
      <c r="G92" s="39">
        <f t="shared" si="8"/>
        <v>36645</v>
      </c>
      <c r="H92" s="176">
        <f t="shared" si="9"/>
        <v>-0.16291444944740074</v>
      </c>
      <c r="I92" s="39"/>
      <c r="J92" s="39"/>
      <c r="K92" s="39">
        <f t="shared" si="10"/>
        <v>-5894.9800000000014</v>
      </c>
      <c r="L92" s="170">
        <v>8.02</v>
      </c>
    </row>
    <row r="93" spans="1:12" x14ac:dyDescent="0.25">
      <c r="A93">
        <v>160</v>
      </c>
      <c r="B93" s="161">
        <v>43328</v>
      </c>
      <c r="C93" s="10">
        <v>1500</v>
      </c>
      <c r="D93" s="39">
        <v>24.43</v>
      </c>
      <c r="E93" s="39">
        <v>21.31</v>
      </c>
      <c r="F93" s="39">
        <f t="shared" si="7"/>
        <v>-4680.0000000000018</v>
      </c>
      <c r="G93" s="39">
        <f t="shared" si="8"/>
        <v>36645</v>
      </c>
      <c r="H93" s="176">
        <f t="shared" si="9"/>
        <v>-0.12771182971756043</v>
      </c>
      <c r="I93" s="39"/>
      <c r="J93" s="39"/>
      <c r="K93" s="39">
        <f t="shared" si="10"/>
        <v>-4604.9800000000014</v>
      </c>
      <c r="L93" s="170">
        <v>8.36</v>
      </c>
    </row>
    <row r="94" spans="1:12" x14ac:dyDescent="0.25">
      <c r="A94">
        <v>0</v>
      </c>
      <c r="B94" s="161">
        <v>43329</v>
      </c>
      <c r="C94" s="10">
        <v>1300</v>
      </c>
      <c r="D94" s="39">
        <v>24.8627</v>
      </c>
      <c r="E94" s="39">
        <v>21.5</v>
      </c>
      <c r="F94" s="39">
        <f t="shared" si="7"/>
        <v>-4371.51</v>
      </c>
      <c r="G94" s="39">
        <f t="shared" si="8"/>
        <v>32321.510000000002</v>
      </c>
      <c r="H94" s="176">
        <f t="shared" si="9"/>
        <v>-0.13525079737920662</v>
      </c>
      <c r="I94" s="39"/>
      <c r="J94" s="39"/>
      <c r="K94" s="39">
        <f t="shared" si="10"/>
        <v>-4296.49</v>
      </c>
      <c r="L94" s="170">
        <v>8.43</v>
      </c>
    </row>
    <row r="95" spans="1:12" x14ac:dyDescent="0.25">
      <c r="A95">
        <v>0</v>
      </c>
      <c r="B95" s="161">
        <v>43332</v>
      </c>
      <c r="C95" s="10">
        <v>1000</v>
      </c>
      <c r="D95" s="39">
        <v>25.796600000000002</v>
      </c>
      <c r="E95" s="39">
        <v>21.75</v>
      </c>
      <c r="F95" s="39">
        <f t="shared" si="7"/>
        <v>-4046.6000000000017</v>
      </c>
      <c r="G95" s="39">
        <f t="shared" si="8"/>
        <v>25796.600000000002</v>
      </c>
      <c r="H95" s="176">
        <f t="shared" si="9"/>
        <v>-0.15686563345557172</v>
      </c>
      <c r="I95" s="170">
        <v>25</v>
      </c>
      <c r="J95" s="39"/>
      <c r="K95" s="39">
        <f t="shared" si="10"/>
        <v>-3971.5800000000017</v>
      </c>
      <c r="L95" s="170">
        <v>8.5299999999999994</v>
      </c>
    </row>
    <row r="96" spans="1:12" x14ac:dyDescent="0.25">
      <c r="A96">
        <v>0</v>
      </c>
      <c r="B96" s="161">
        <v>43341</v>
      </c>
      <c r="C96" s="10">
        <v>1000</v>
      </c>
      <c r="D96" s="39">
        <v>25.796600000000002</v>
      </c>
      <c r="E96" s="39">
        <v>22.5</v>
      </c>
      <c r="F96" s="39">
        <f t="shared" ref="F96:F107" si="11">C96*(E96-D96)</f>
        <v>-3296.6000000000017</v>
      </c>
      <c r="G96" s="39">
        <f t="shared" ref="G96:G107" si="12">D96*C96</f>
        <v>25796.600000000002</v>
      </c>
      <c r="H96" s="176">
        <f t="shared" ref="H96:H107" si="13">(E96-D96)/D96</f>
        <v>-0.12779203460921212</v>
      </c>
      <c r="I96" s="170">
        <v>25</v>
      </c>
      <c r="J96" s="39"/>
      <c r="K96" s="39">
        <f t="shared" ref="K96:K101" si="14">F96+$Q$10</f>
        <v>-3221.5800000000017</v>
      </c>
      <c r="L96" s="170">
        <v>8.82</v>
      </c>
    </row>
    <row r="97" spans="1:12" x14ac:dyDescent="0.25">
      <c r="A97">
        <v>0</v>
      </c>
      <c r="B97" s="161">
        <v>43342</v>
      </c>
      <c r="C97" s="10">
        <v>1000</v>
      </c>
      <c r="D97" s="39">
        <v>25.796600000000002</v>
      </c>
      <c r="E97" s="39">
        <v>21.86</v>
      </c>
      <c r="F97" s="39">
        <f t="shared" si="11"/>
        <v>-3936.6000000000022</v>
      </c>
      <c r="G97" s="39">
        <f t="shared" si="12"/>
        <v>25796.600000000002</v>
      </c>
      <c r="H97" s="176">
        <f t="shared" si="13"/>
        <v>-0.15260150562477232</v>
      </c>
      <c r="I97" s="39"/>
      <c r="J97" s="39"/>
      <c r="K97" s="39">
        <f t="shared" si="14"/>
        <v>-3861.5800000000022</v>
      </c>
      <c r="L97" s="170">
        <v>8.57</v>
      </c>
    </row>
    <row r="98" spans="1:12" x14ac:dyDescent="0.25">
      <c r="A98">
        <v>0</v>
      </c>
      <c r="B98" s="161">
        <v>43347</v>
      </c>
      <c r="C98" s="10">
        <v>1200</v>
      </c>
      <c r="D98" s="39">
        <v>25.044</v>
      </c>
      <c r="E98" s="39">
        <v>21.37</v>
      </c>
      <c r="F98" s="39">
        <f t="shared" si="11"/>
        <v>-4408.7999999999993</v>
      </c>
      <c r="G98" s="39">
        <f t="shared" si="12"/>
        <v>30052.799999999999</v>
      </c>
      <c r="H98" s="176">
        <f t="shared" si="13"/>
        <v>-0.14670180482351058</v>
      </c>
      <c r="I98" s="39"/>
      <c r="J98" s="39"/>
      <c r="K98" s="39">
        <f t="shared" si="14"/>
        <v>-4333.7799999999988</v>
      </c>
      <c r="L98" s="170">
        <v>8.3800000000000008</v>
      </c>
    </row>
    <row r="99" spans="1:12" x14ac:dyDescent="0.25">
      <c r="A99">
        <v>0</v>
      </c>
      <c r="B99" s="161">
        <v>43348</v>
      </c>
      <c r="C99" s="10">
        <v>1200</v>
      </c>
      <c r="D99" s="39">
        <v>25.044</v>
      </c>
      <c r="E99" s="39">
        <v>21.87</v>
      </c>
      <c r="F99" s="39">
        <f t="shared" si="11"/>
        <v>-3808.7999999999993</v>
      </c>
      <c r="G99" s="39">
        <f t="shared" si="12"/>
        <v>30052.799999999999</v>
      </c>
      <c r="H99" s="176">
        <f t="shared" si="13"/>
        <v>-0.12673694298035457</v>
      </c>
      <c r="I99" s="39"/>
      <c r="J99" s="39"/>
      <c r="K99" s="39">
        <f t="shared" si="14"/>
        <v>-3733.7799999999993</v>
      </c>
      <c r="L99" s="170">
        <v>8.58</v>
      </c>
    </row>
    <row r="100" spans="1:12" x14ac:dyDescent="0.25">
      <c r="A100">
        <v>300</v>
      </c>
      <c r="B100" s="161">
        <v>43350</v>
      </c>
      <c r="C100" s="10">
        <v>1200</v>
      </c>
      <c r="D100" s="39">
        <v>25.044</v>
      </c>
      <c r="E100" s="39">
        <v>21.27</v>
      </c>
      <c r="F100" s="39">
        <f t="shared" si="11"/>
        <v>-4528.8000000000011</v>
      </c>
      <c r="G100" s="39">
        <f t="shared" si="12"/>
        <v>30052.799999999999</v>
      </c>
      <c r="H100" s="176">
        <f t="shared" si="13"/>
        <v>-0.15069477719214186</v>
      </c>
      <c r="I100" s="39"/>
      <c r="J100" s="39"/>
      <c r="K100" s="39">
        <f t="shared" si="14"/>
        <v>-4453.7800000000007</v>
      </c>
      <c r="L100" s="170">
        <v>8.34</v>
      </c>
    </row>
    <row r="101" spans="1:12" x14ac:dyDescent="0.25">
      <c r="A101">
        <v>1000</v>
      </c>
      <c r="B101" s="161">
        <v>43355</v>
      </c>
      <c r="C101" s="10">
        <v>1200</v>
      </c>
      <c r="D101" s="39">
        <v>25.044</v>
      </c>
      <c r="E101" s="39">
        <v>21.73</v>
      </c>
      <c r="F101" s="39">
        <f t="shared" si="11"/>
        <v>-3976.8</v>
      </c>
      <c r="G101" s="39">
        <f t="shared" si="12"/>
        <v>30052.799999999999</v>
      </c>
      <c r="H101" s="176">
        <f t="shared" si="13"/>
        <v>-0.13232710429643826</v>
      </c>
      <c r="I101" s="39"/>
      <c r="J101" s="39"/>
      <c r="K101" s="39">
        <f t="shared" si="14"/>
        <v>-3901.78</v>
      </c>
      <c r="L101" s="170">
        <v>8.52</v>
      </c>
    </row>
    <row r="102" spans="1:12" x14ac:dyDescent="0.25">
      <c r="A102">
        <v>1000</v>
      </c>
      <c r="B102" s="161">
        <v>43357</v>
      </c>
      <c r="C102" s="10">
        <v>1200</v>
      </c>
      <c r="D102" s="39">
        <v>24.8522</v>
      </c>
      <c r="E102" s="39">
        <v>21.7</v>
      </c>
      <c r="F102" s="39">
        <f t="shared" si="11"/>
        <v>-3782.6400000000008</v>
      </c>
      <c r="G102" s="39">
        <f t="shared" si="12"/>
        <v>29822.639999999999</v>
      </c>
      <c r="H102" s="176">
        <f t="shared" si="13"/>
        <v>-0.12683786546060311</v>
      </c>
      <c r="I102" s="39"/>
      <c r="J102" s="39" t="s">
        <v>182</v>
      </c>
      <c r="K102" s="39">
        <f t="shared" ref="K102:K107" si="15">F102+$Q$10</f>
        <v>-3707.6200000000008</v>
      </c>
      <c r="L102" s="170">
        <v>8.51</v>
      </c>
    </row>
    <row r="103" spans="1:12" x14ac:dyDescent="0.25">
      <c r="A103">
        <v>800</v>
      </c>
      <c r="B103" s="161">
        <v>43363</v>
      </c>
      <c r="C103" s="10">
        <v>1000</v>
      </c>
      <c r="D103" s="39">
        <v>25.366599999999998</v>
      </c>
      <c r="E103" s="39">
        <v>22</v>
      </c>
      <c r="F103" s="39">
        <f t="shared" si="11"/>
        <v>-3366.5999999999981</v>
      </c>
      <c r="G103" s="39">
        <f t="shared" si="12"/>
        <v>25366.6</v>
      </c>
      <c r="H103" s="176">
        <f t="shared" si="13"/>
        <v>-0.13271782580243305</v>
      </c>
      <c r="I103" s="170">
        <v>25</v>
      </c>
      <c r="J103" s="39"/>
      <c r="K103" s="39">
        <f t="shared" si="15"/>
        <v>-3291.5799999999981</v>
      </c>
      <c r="L103" s="170">
        <v>8.6300000000000008</v>
      </c>
    </row>
    <row r="104" spans="1:12" x14ac:dyDescent="0.25">
      <c r="A104">
        <v>800</v>
      </c>
      <c r="B104" s="161">
        <v>43364</v>
      </c>
      <c r="C104" s="10">
        <v>1000</v>
      </c>
      <c r="D104" s="39">
        <v>25.366599999999998</v>
      </c>
      <c r="E104" s="39">
        <v>21.84</v>
      </c>
      <c r="F104" s="39">
        <f t="shared" si="11"/>
        <v>-3526.5999999999985</v>
      </c>
      <c r="G104" s="39">
        <f t="shared" si="12"/>
        <v>25366.6</v>
      </c>
      <c r="H104" s="176">
        <f t="shared" si="13"/>
        <v>-0.13902533252386992</v>
      </c>
      <c r="I104" s="170">
        <v>26</v>
      </c>
      <c r="J104" s="39"/>
      <c r="K104" s="39">
        <f t="shared" si="15"/>
        <v>-3451.5799999999986</v>
      </c>
      <c r="L104" s="170">
        <v>10.65</v>
      </c>
    </row>
    <row r="105" spans="1:12" x14ac:dyDescent="0.25">
      <c r="B105" s="161">
        <v>43367</v>
      </c>
      <c r="C105" s="10">
        <v>1200</v>
      </c>
      <c r="D105" s="39">
        <v>24.6355</v>
      </c>
      <c r="E105" s="39">
        <v>20.45</v>
      </c>
      <c r="F105" s="39">
        <f t="shared" si="11"/>
        <v>-5022.6000000000013</v>
      </c>
      <c r="G105" s="39">
        <f t="shared" si="12"/>
        <v>29562.600000000002</v>
      </c>
      <c r="H105" s="176">
        <f t="shared" si="13"/>
        <v>-0.16989709971382766</v>
      </c>
      <c r="I105" s="39"/>
      <c r="J105" s="39"/>
      <c r="K105" s="39">
        <f t="shared" si="15"/>
        <v>-4947.5800000000017</v>
      </c>
      <c r="L105" s="170">
        <v>9.98</v>
      </c>
    </row>
    <row r="106" spans="1:12" x14ac:dyDescent="0.25">
      <c r="A106">
        <v>800</v>
      </c>
      <c r="B106" s="161">
        <v>43367</v>
      </c>
      <c r="C106" s="10">
        <v>1300</v>
      </c>
      <c r="D106" s="39">
        <v>24.3032</v>
      </c>
      <c r="E106" s="39">
        <v>20.45</v>
      </c>
      <c r="F106" s="39">
        <f t="shared" si="11"/>
        <v>-5009.1600000000017</v>
      </c>
      <c r="G106" s="39">
        <f t="shared" si="12"/>
        <v>31594.16</v>
      </c>
      <c r="H106" s="176">
        <f t="shared" si="13"/>
        <v>-0.15854702261430598</v>
      </c>
      <c r="I106" s="39"/>
      <c r="J106" s="39"/>
      <c r="K106" s="39">
        <f t="shared" si="15"/>
        <v>-4934.1400000000012</v>
      </c>
      <c r="L106" s="170">
        <v>9.98</v>
      </c>
    </row>
    <row r="107" spans="1:12" x14ac:dyDescent="0.25">
      <c r="A107">
        <v>1000</v>
      </c>
      <c r="B107" s="161">
        <v>43378</v>
      </c>
      <c r="C107" s="10">
        <v>1500</v>
      </c>
      <c r="D107" s="39">
        <v>23.605399999999999</v>
      </c>
      <c r="E107" s="39">
        <v>18.82</v>
      </c>
      <c r="F107" s="39">
        <f t="shared" si="11"/>
        <v>-7178.0999999999985</v>
      </c>
      <c r="G107" s="39">
        <f t="shared" si="12"/>
        <v>35408.1</v>
      </c>
      <c r="H107" s="176">
        <f t="shared" si="13"/>
        <v>-0.20272480025756814</v>
      </c>
      <c r="I107" s="39"/>
      <c r="J107" s="39"/>
      <c r="K107" s="39">
        <f t="shared" si="15"/>
        <v>-7103.0799999999981</v>
      </c>
      <c r="L107" s="170">
        <v>9.74</v>
      </c>
    </row>
    <row r="108" spans="1:12" x14ac:dyDescent="0.25">
      <c r="A108">
        <v>1000</v>
      </c>
      <c r="B108" s="161">
        <v>43381</v>
      </c>
      <c r="C108" s="10">
        <v>1500</v>
      </c>
      <c r="D108" s="39">
        <v>23.605399999999999</v>
      </c>
      <c r="E108" s="39">
        <v>19.309999999999999</v>
      </c>
      <c r="F108" s="39">
        <f t="shared" ref="F108:F113" si="16">C108*(E108-D108)</f>
        <v>-6443.1000000000013</v>
      </c>
      <c r="G108" s="39">
        <f t="shared" ref="G108:G113" si="17">D108*C108</f>
        <v>35408.1</v>
      </c>
      <c r="H108" s="176">
        <f t="shared" ref="H108:H113" si="18">(E108-D108)/D108</f>
        <v>-0.18196683809636782</v>
      </c>
      <c r="I108" s="39"/>
      <c r="J108" s="39"/>
      <c r="K108" s="39">
        <f t="shared" ref="K108:K113" si="19">F108+$Q$10</f>
        <v>-6368.0800000000017</v>
      </c>
      <c r="L108" s="170"/>
    </row>
    <row r="109" spans="1:12" x14ac:dyDescent="0.25">
      <c r="A109">
        <v>1000</v>
      </c>
      <c r="B109" s="161">
        <v>43383</v>
      </c>
      <c r="C109" s="10">
        <v>1500</v>
      </c>
      <c r="D109" s="39">
        <v>23.605399999999999</v>
      </c>
      <c r="E109" s="39">
        <v>18.07</v>
      </c>
      <c r="F109" s="39">
        <f t="shared" si="16"/>
        <v>-8303.0999999999985</v>
      </c>
      <c r="G109" s="39">
        <f t="shared" si="17"/>
        <v>35408.1</v>
      </c>
      <c r="H109" s="176">
        <f t="shared" si="18"/>
        <v>-0.23449719132062999</v>
      </c>
      <c r="I109" s="39"/>
      <c r="J109" s="39"/>
      <c r="K109" s="39">
        <f t="shared" si="19"/>
        <v>-8228.0799999999981</v>
      </c>
      <c r="L109" s="170">
        <v>8.81</v>
      </c>
    </row>
    <row r="110" spans="1:12" x14ac:dyDescent="0.25">
      <c r="A110">
        <v>1000</v>
      </c>
      <c r="B110" s="161">
        <v>43385</v>
      </c>
      <c r="C110" s="10">
        <v>1500</v>
      </c>
      <c r="D110" s="39">
        <v>23.605399999999999</v>
      </c>
      <c r="E110" s="39">
        <v>17.52</v>
      </c>
      <c r="F110" s="39">
        <f t="shared" si="16"/>
        <v>-9128.1</v>
      </c>
      <c r="G110" s="39">
        <f t="shared" si="17"/>
        <v>35408.1</v>
      </c>
      <c r="H110" s="176">
        <f t="shared" si="18"/>
        <v>-0.25779694476687537</v>
      </c>
      <c r="I110" s="39"/>
      <c r="J110" s="39"/>
      <c r="K110" s="39">
        <f t="shared" si="19"/>
        <v>-9053.08</v>
      </c>
      <c r="L110" s="170">
        <v>8.5500000000000007</v>
      </c>
    </row>
    <row r="111" spans="1:12" x14ac:dyDescent="0.25">
      <c r="A111">
        <v>1300</v>
      </c>
      <c r="B111" s="161">
        <v>43402</v>
      </c>
      <c r="C111" s="10">
        <v>1500</v>
      </c>
      <c r="D111" s="39">
        <v>23.61</v>
      </c>
      <c r="E111" s="39">
        <v>15.4</v>
      </c>
      <c r="F111" s="39">
        <f t="shared" si="16"/>
        <v>-12314.999999999998</v>
      </c>
      <c r="G111" s="39">
        <f t="shared" si="17"/>
        <v>35415</v>
      </c>
      <c r="H111" s="176">
        <f t="shared" si="18"/>
        <v>-0.34773401101228291</v>
      </c>
      <c r="I111" s="39"/>
      <c r="J111" s="39"/>
      <c r="K111" s="39">
        <f t="shared" si="19"/>
        <v>-12239.979999999998</v>
      </c>
      <c r="L111" s="170">
        <v>7.51</v>
      </c>
    </row>
    <row r="112" spans="1:12" x14ac:dyDescent="0.25">
      <c r="A112">
        <v>1300</v>
      </c>
      <c r="B112" s="161">
        <v>43407</v>
      </c>
      <c r="C112" s="10">
        <v>1500</v>
      </c>
      <c r="D112" s="39">
        <v>23.61</v>
      </c>
      <c r="E112" s="39">
        <v>18.989999999999998</v>
      </c>
      <c r="F112" s="39">
        <f t="shared" si="16"/>
        <v>-6930.0000000000018</v>
      </c>
      <c r="G112" s="39">
        <f t="shared" si="17"/>
        <v>35415</v>
      </c>
      <c r="H112" s="176">
        <f t="shared" si="18"/>
        <v>-0.19567979669631516</v>
      </c>
      <c r="I112" s="39"/>
      <c r="J112" s="39"/>
      <c r="K112" s="39">
        <f t="shared" si="19"/>
        <v>-6854.9800000000014</v>
      </c>
      <c r="L112" s="170">
        <v>9.5</v>
      </c>
    </row>
    <row r="113" spans="1:12" x14ac:dyDescent="0.25">
      <c r="A113">
        <v>1300</v>
      </c>
      <c r="B113" s="161">
        <v>43409</v>
      </c>
      <c r="C113" s="10">
        <v>1300</v>
      </c>
      <c r="D113" s="39">
        <v>24.209399999999999</v>
      </c>
      <c r="E113" s="39">
        <v>19.97</v>
      </c>
      <c r="F113" s="39">
        <f t="shared" si="16"/>
        <v>-5511.2199999999993</v>
      </c>
      <c r="G113" s="39">
        <f t="shared" si="17"/>
        <v>31472.219999999998</v>
      </c>
      <c r="H113" s="176">
        <f t="shared" si="18"/>
        <v>-0.17511379877237768</v>
      </c>
      <c r="I113" s="39"/>
      <c r="J113" s="39"/>
      <c r="K113" s="39">
        <f t="shared" si="19"/>
        <v>-5436.1999999999989</v>
      </c>
      <c r="L113" s="170">
        <v>9.99</v>
      </c>
    </row>
    <row r="114" spans="1:12" x14ac:dyDescent="0.25">
      <c r="A114">
        <v>1300</v>
      </c>
      <c r="B114" s="161">
        <v>43417</v>
      </c>
      <c r="C114" s="10">
        <v>1300</v>
      </c>
      <c r="D114" s="39">
        <v>24.21</v>
      </c>
      <c r="E114" s="39">
        <v>20.53</v>
      </c>
      <c r="F114" s="39">
        <f t="shared" ref="F114:F120" si="20">C114*(E114-D114)</f>
        <v>-4784</v>
      </c>
      <c r="G114" s="39">
        <f t="shared" ref="G114:G120" si="21">D114*C114</f>
        <v>31473</v>
      </c>
      <c r="H114" s="176">
        <f t="shared" ref="H114:H120" si="22">(E114-D114)/D114</f>
        <v>-0.15200330441966128</v>
      </c>
      <c r="I114" s="39"/>
      <c r="J114" s="39"/>
      <c r="K114" s="39">
        <f t="shared" ref="K114:K129" si="23">F114+$Q$10</f>
        <v>-4708.9799999999996</v>
      </c>
      <c r="L114" s="170">
        <v>10.26</v>
      </c>
    </row>
    <row r="115" spans="1:12" x14ac:dyDescent="0.25">
      <c r="A115">
        <v>800</v>
      </c>
      <c r="B115" s="161">
        <v>43419</v>
      </c>
      <c r="C115" s="10">
        <v>800</v>
      </c>
      <c r="D115" s="39">
        <v>25.9879</v>
      </c>
      <c r="E115" s="39">
        <v>21.38</v>
      </c>
      <c r="F115" s="39">
        <f t="shared" si="20"/>
        <v>-3686.3200000000006</v>
      </c>
      <c r="G115" s="39">
        <f t="shared" si="21"/>
        <v>20790.32</v>
      </c>
      <c r="H115" s="176">
        <f t="shared" si="22"/>
        <v>-0.17730944016253722</v>
      </c>
      <c r="I115" s="39"/>
      <c r="J115" s="39"/>
      <c r="K115" s="39">
        <f t="shared" si="23"/>
        <v>-3611.3000000000006</v>
      </c>
      <c r="L115" s="170">
        <v>10.69</v>
      </c>
    </row>
    <row r="116" spans="1:12" x14ac:dyDescent="0.25">
      <c r="A116">
        <v>500</v>
      </c>
      <c r="B116" s="161">
        <v>43420</v>
      </c>
      <c r="C116" s="7">
        <v>500</v>
      </c>
      <c r="D116" s="43">
        <v>28.506799999999998</v>
      </c>
      <c r="E116" s="39">
        <v>21.68</v>
      </c>
      <c r="F116" s="39">
        <f t="shared" si="20"/>
        <v>-3413.3999999999992</v>
      </c>
      <c r="G116" s="39">
        <f t="shared" si="21"/>
        <v>14253.4</v>
      </c>
      <c r="H116" s="176">
        <f t="shared" si="22"/>
        <v>-0.2394797030883859</v>
      </c>
      <c r="I116" s="39" t="s">
        <v>1256</v>
      </c>
      <c r="J116" s="39"/>
      <c r="K116" s="39">
        <f t="shared" si="23"/>
        <v>-3338.3799999999992</v>
      </c>
      <c r="L116" s="170">
        <v>10.84</v>
      </c>
    </row>
    <row r="117" spans="1:12" x14ac:dyDescent="0.25">
      <c r="A117">
        <v>300</v>
      </c>
      <c r="B117" s="161">
        <v>43430</v>
      </c>
      <c r="C117" s="181">
        <v>300</v>
      </c>
      <c r="D117" s="182">
        <v>32.3249</v>
      </c>
      <c r="E117" s="39">
        <v>23.52</v>
      </c>
      <c r="F117" s="39">
        <f t="shared" si="20"/>
        <v>-2641.47</v>
      </c>
      <c r="G117" s="39">
        <f t="shared" si="21"/>
        <v>9697.4699999999993</v>
      </c>
      <c r="H117" s="176">
        <f t="shared" si="22"/>
        <v>-0.27238754025534495</v>
      </c>
      <c r="I117" s="39"/>
      <c r="J117" s="39"/>
      <c r="K117" s="39">
        <f t="shared" si="23"/>
        <v>-2566.4499999999998</v>
      </c>
      <c r="L117" s="170">
        <v>11.76</v>
      </c>
    </row>
    <row r="118" spans="1:12" x14ac:dyDescent="0.25">
      <c r="A118">
        <v>300</v>
      </c>
      <c r="B118" s="161">
        <v>43448</v>
      </c>
      <c r="C118" s="181">
        <v>300</v>
      </c>
      <c r="D118" s="182">
        <v>32.094999999999999</v>
      </c>
      <c r="E118" s="39">
        <v>22.08</v>
      </c>
      <c r="F118" s="39">
        <f t="shared" si="20"/>
        <v>-3004.5</v>
      </c>
      <c r="G118" s="39">
        <f t="shared" si="21"/>
        <v>9628.5</v>
      </c>
      <c r="H118" s="176">
        <f t="shared" si="22"/>
        <v>-0.31204237420158903</v>
      </c>
      <c r="I118" s="39"/>
      <c r="J118" s="39"/>
      <c r="K118" s="39">
        <f t="shared" si="23"/>
        <v>-2929.48</v>
      </c>
      <c r="L118" s="170">
        <v>11.29</v>
      </c>
    </row>
    <row r="119" spans="1:12" x14ac:dyDescent="0.25">
      <c r="A119">
        <v>300</v>
      </c>
      <c r="B119" s="161">
        <v>43511</v>
      </c>
      <c r="C119" s="7">
        <v>500</v>
      </c>
      <c r="D119" s="43">
        <v>26.328900000000001</v>
      </c>
      <c r="E119" s="39">
        <v>17.16</v>
      </c>
      <c r="F119" s="39">
        <f t="shared" si="20"/>
        <v>-4584.4500000000007</v>
      </c>
      <c r="G119" s="39">
        <f t="shared" si="21"/>
        <v>13164.45</v>
      </c>
      <c r="H119" s="176">
        <f t="shared" si="22"/>
        <v>-0.34824470448822398</v>
      </c>
      <c r="I119" s="39"/>
      <c r="J119" s="39"/>
      <c r="K119" s="39">
        <f t="shared" si="23"/>
        <v>-4509.43</v>
      </c>
      <c r="L119" s="170">
        <v>11.07</v>
      </c>
    </row>
    <row r="120" spans="1:12" x14ac:dyDescent="0.25">
      <c r="A120">
        <v>300</v>
      </c>
      <c r="B120" s="161">
        <v>43535</v>
      </c>
      <c r="C120" s="10">
        <v>500</v>
      </c>
      <c r="D120" s="39">
        <v>26.33</v>
      </c>
      <c r="E120" s="39">
        <v>15.61</v>
      </c>
      <c r="F120" s="39">
        <f t="shared" si="20"/>
        <v>-5359.9999999999991</v>
      </c>
      <c r="G120" s="39">
        <f t="shared" si="21"/>
        <v>13165</v>
      </c>
      <c r="H120" s="176">
        <f t="shared" si="22"/>
        <v>-0.40714014432206608</v>
      </c>
      <c r="I120" s="39"/>
      <c r="J120" s="39"/>
      <c r="K120" s="39">
        <f t="shared" si="23"/>
        <v>-5284.98</v>
      </c>
      <c r="L120" s="170">
        <v>10.07</v>
      </c>
    </row>
    <row r="121" spans="1:12" x14ac:dyDescent="0.25">
      <c r="A121">
        <v>300</v>
      </c>
      <c r="B121" s="161">
        <v>43539</v>
      </c>
      <c r="C121" s="7">
        <v>500</v>
      </c>
      <c r="D121" s="43">
        <v>26.1</v>
      </c>
      <c r="E121" s="39">
        <v>15.4</v>
      </c>
      <c r="F121" s="39">
        <f t="shared" ref="F121:F129" si="24">C121*(E121-D121)</f>
        <v>-5350.0000000000009</v>
      </c>
      <c r="G121" s="39">
        <f t="shared" ref="G121:G129" si="25">D121*C121</f>
        <v>13050</v>
      </c>
      <c r="H121" s="176">
        <f t="shared" ref="H121:H129" si="26">(E121-D121)/D121</f>
        <v>-0.40996168582375481</v>
      </c>
      <c r="I121" s="39"/>
      <c r="J121" s="39"/>
      <c r="K121" s="39">
        <f t="shared" si="23"/>
        <v>-5274.9800000000014</v>
      </c>
      <c r="L121" s="170"/>
    </row>
    <row r="122" spans="1:12" x14ac:dyDescent="0.25">
      <c r="A122">
        <v>500</v>
      </c>
      <c r="B122" s="161">
        <v>43546</v>
      </c>
      <c r="C122" s="352">
        <v>700</v>
      </c>
      <c r="D122" s="353">
        <v>22.9621</v>
      </c>
      <c r="E122" s="39">
        <v>15</v>
      </c>
      <c r="F122" s="39">
        <f t="shared" si="24"/>
        <v>-5573.4699999999993</v>
      </c>
      <c r="G122" s="39">
        <f t="shared" si="25"/>
        <v>16073.47</v>
      </c>
      <c r="H122" s="176">
        <f t="shared" si="26"/>
        <v>-0.34674964397855595</v>
      </c>
      <c r="I122" s="39"/>
      <c r="J122" s="39"/>
      <c r="K122" s="39">
        <f t="shared" si="23"/>
        <v>-5498.4499999999989</v>
      </c>
      <c r="L122" s="170">
        <v>9.68</v>
      </c>
    </row>
    <row r="123" spans="1:12" x14ac:dyDescent="0.25">
      <c r="A123">
        <v>500</v>
      </c>
      <c r="B123" s="161">
        <v>43588</v>
      </c>
      <c r="C123" s="7">
        <v>500</v>
      </c>
      <c r="D123" s="43">
        <v>25.635000000000002</v>
      </c>
      <c r="E123" s="39">
        <v>16.63</v>
      </c>
      <c r="F123" s="39">
        <f t="shared" si="24"/>
        <v>-4502.5000000000009</v>
      </c>
      <c r="G123" s="39">
        <f t="shared" si="25"/>
        <v>12817.5</v>
      </c>
      <c r="H123" s="176">
        <f t="shared" si="26"/>
        <v>-0.35127755022430279</v>
      </c>
      <c r="I123" s="39"/>
      <c r="J123" s="39"/>
      <c r="K123" s="39">
        <f t="shared" si="23"/>
        <v>-4427.4800000000014</v>
      </c>
      <c r="L123" s="170"/>
    </row>
    <row r="124" spans="1:12" x14ac:dyDescent="0.25">
      <c r="A124">
        <v>500</v>
      </c>
      <c r="B124" s="161">
        <v>43614</v>
      </c>
      <c r="C124" s="10">
        <v>500</v>
      </c>
      <c r="D124" s="39">
        <v>25.64</v>
      </c>
      <c r="E124" s="39">
        <v>13.65</v>
      </c>
      <c r="F124" s="39">
        <f t="shared" si="24"/>
        <v>-5995</v>
      </c>
      <c r="G124" s="39">
        <f t="shared" si="25"/>
        <v>12820</v>
      </c>
      <c r="H124" s="176">
        <f t="shared" si="26"/>
        <v>-0.46762870514820593</v>
      </c>
      <c r="I124" s="39"/>
      <c r="J124" s="39"/>
      <c r="K124" s="39">
        <f t="shared" si="23"/>
        <v>-5919.98</v>
      </c>
      <c r="L124" s="170"/>
    </row>
    <row r="125" spans="1:12" x14ac:dyDescent="0.25">
      <c r="A125">
        <v>500</v>
      </c>
      <c r="B125" s="161">
        <v>43631</v>
      </c>
      <c r="C125" s="7">
        <v>500</v>
      </c>
      <c r="D125" s="43">
        <v>25.405000000000001</v>
      </c>
      <c r="E125" s="39">
        <v>14.5</v>
      </c>
      <c r="F125" s="39">
        <f t="shared" si="24"/>
        <v>-5452.5000000000009</v>
      </c>
      <c r="G125" s="39">
        <f t="shared" si="25"/>
        <v>12702.5</v>
      </c>
      <c r="H125" s="176">
        <f t="shared" si="26"/>
        <v>-0.42924621137571345</v>
      </c>
      <c r="I125" s="39"/>
      <c r="J125" s="39"/>
      <c r="K125" s="39">
        <f t="shared" si="23"/>
        <v>-5377.4800000000014</v>
      </c>
      <c r="L125" s="170"/>
    </row>
    <row r="126" spans="1:12" x14ac:dyDescent="0.25">
      <c r="B126" s="161">
        <v>43657</v>
      </c>
      <c r="C126" s="352">
        <v>700</v>
      </c>
      <c r="D126" s="353">
        <v>22.283999999999999</v>
      </c>
      <c r="E126" s="39">
        <v>14.62</v>
      </c>
      <c r="F126" s="39">
        <f t="shared" si="24"/>
        <v>-5364.8</v>
      </c>
      <c r="G126" s="39">
        <f t="shared" si="25"/>
        <v>15598.8</v>
      </c>
      <c r="H126" s="176">
        <f t="shared" si="26"/>
        <v>-0.34392389158140368</v>
      </c>
      <c r="I126" s="39"/>
      <c r="J126" s="39"/>
      <c r="K126" s="39">
        <f t="shared" si="23"/>
        <v>-5289.7800000000007</v>
      </c>
      <c r="L126" s="170"/>
    </row>
    <row r="127" spans="1:12" x14ac:dyDescent="0.25">
      <c r="A127">
        <v>300</v>
      </c>
      <c r="B127" s="161">
        <v>43658</v>
      </c>
      <c r="C127" s="7">
        <v>500</v>
      </c>
      <c r="D127" s="43">
        <v>25.23</v>
      </c>
      <c r="E127" s="39">
        <v>14.92</v>
      </c>
      <c r="F127" s="39">
        <f t="shared" si="24"/>
        <v>-5155</v>
      </c>
      <c r="G127" s="39">
        <f t="shared" si="25"/>
        <v>12615</v>
      </c>
      <c r="H127" s="176">
        <f t="shared" si="26"/>
        <v>-0.40864050733254065</v>
      </c>
      <c r="I127" s="39"/>
      <c r="J127" s="39"/>
      <c r="K127" s="39">
        <f t="shared" si="23"/>
        <v>-5079.9799999999996</v>
      </c>
      <c r="L127" s="170"/>
    </row>
    <row r="128" spans="1:12" x14ac:dyDescent="0.25">
      <c r="A128">
        <v>300</v>
      </c>
      <c r="B128" s="161">
        <v>43678</v>
      </c>
      <c r="C128" s="352">
        <v>700</v>
      </c>
      <c r="D128" s="353">
        <v>21.986599999999999</v>
      </c>
      <c r="E128" s="39">
        <v>13.43</v>
      </c>
      <c r="F128" s="39">
        <f t="shared" si="24"/>
        <v>-5989.62</v>
      </c>
      <c r="G128" s="39">
        <f t="shared" si="25"/>
        <v>15390.619999999999</v>
      </c>
      <c r="H128" s="176">
        <f t="shared" si="26"/>
        <v>-0.38917340561978658</v>
      </c>
      <c r="I128" s="39"/>
      <c r="J128" s="39"/>
      <c r="K128" s="39">
        <f t="shared" si="23"/>
        <v>-5914.6</v>
      </c>
      <c r="L128" s="170"/>
    </row>
    <row r="129" spans="1:13" x14ac:dyDescent="0.25">
      <c r="A129">
        <v>100</v>
      </c>
      <c r="B129" s="161">
        <v>43679</v>
      </c>
      <c r="C129" s="7">
        <v>500</v>
      </c>
      <c r="D129" s="43">
        <v>24.832999999999998</v>
      </c>
      <c r="E129" s="39">
        <v>15.34</v>
      </c>
      <c r="F129" s="39">
        <f t="shared" si="24"/>
        <v>-4746.4999999999991</v>
      </c>
      <c r="G129" s="39">
        <f t="shared" si="25"/>
        <v>12416.5</v>
      </c>
      <c r="H129" s="176">
        <f t="shared" si="26"/>
        <v>-0.38227358756493374</v>
      </c>
      <c r="I129" s="39"/>
      <c r="J129" s="39"/>
      <c r="K129" s="39">
        <f t="shared" si="23"/>
        <v>-4671.4799999999996</v>
      </c>
      <c r="L129" s="170"/>
    </row>
    <row r="130" spans="1:13" x14ac:dyDescent="0.25">
      <c r="A130">
        <v>200</v>
      </c>
      <c r="B130" s="161">
        <v>43707</v>
      </c>
      <c r="C130" s="10">
        <v>400</v>
      </c>
      <c r="D130" s="39">
        <v>26.89</v>
      </c>
      <c r="E130" s="39">
        <v>16.600000000000001</v>
      </c>
      <c r="F130" s="39">
        <f t="shared" ref="F130:F131" si="27">C130*(E130-D130)</f>
        <v>-4116</v>
      </c>
      <c r="G130" s="39">
        <f t="shared" ref="G130:G131" si="28">D130*C130</f>
        <v>10756</v>
      </c>
      <c r="H130" s="176">
        <f t="shared" ref="H130:H131" si="29">(E130-D130)/D130</f>
        <v>-0.38267013759761992</v>
      </c>
      <c r="I130" s="39"/>
      <c r="J130" s="39"/>
      <c r="K130" s="39">
        <f t="shared" ref="K130:K131" si="30">F130+$Q$10</f>
        <v>-4040.98</v>
      </c>
      <c r="L130" s="170"/>
    </row>
    <row r="131" spans="1:13" x14ac:dyDescent="0.25">
      <c r="A131">
        <v>300</v>
      </c>
      <c r="B131" s="161">
        <v>43712</v>
      </c>
      <c r="C131" s="181">
        <v>300</v>
      </c>
      <c r="D131" s="182">
        <v>30.243300000000001</v>
      </c>
      <c r="E131" s="39">
        <v>16.98</v>
      </c>
      <c r="F131" s="39">
        <f t="shared" si="27"/>
        <v>-3978.9900000000002</v>
      </c>
      <c r="G131" s="39">
        <f t="shared" si="28"/>
        <v>9072.99</v>
      </c>
      <c r="H131" s="176">
        <f t="shared" si="29"/>
        <v>-0.43855333247363881</v>
      </c>
      <c r="I131" s="39"/>
      <c r="J131" s="39"/>
      <c r="K131" s="39">
        <f t="shared" si="30"/>
        <v>-3903.9700000000003</v>
      </c>
      <c r="L131" s="170"/>
    </row>
    <row r="132" spans="1:13" x14ac:dyDescent="0.25">
      <c r="B132" s="161">
        <v>43713</v>
      </c>
      <c r="C132" s="10">
        <v>0</v>
      </c>
      <c r="D132" s="39"/>
      <c r="E132" s="39"/>
      <c r="F132" s="39"/>
      <c r="G132" s="39"/>
      <c r="H132" s="176"/>
      <c r="I132" s="39"/>
      <c r="J132" s="39"/>
      <c r="K132" s="39">
        <v>-3742.09</v>
      </c>
      <c r="L132" s="170"/>
    </row>
    <row r="133" spans="1:13" x14ac:dyDescent="0.25">
      <c r="B133" s="161">
        <v>43722</v>
      </c>
      <c r="C133" s="10">
        <v>0</v>
      </c>
      <c r="D133" s="39"/>
      <c r="E133" s="39"/>
      <c r="F133" s="39"/>
      <c r="G133" s="39"/>
      <c r="H133" s="176"/>
      <c r="I133" s="39"/>
      <c r="J133" s="39"/>
      <c r="K133" s="39">
        <v>-3627.09</v>
      </c>
      <c r="L133" s="170"/>
    </row>
    <row r="134" spans="1:13" x14ac:dyDescent="0.25">
      <c r="B134" s="161"/>
      <c r="C134" s="10"/>
      <c r="D134" s="39"/>
      <c r="E134" s="39"/>
      <c r="F134" s="39"/>
      <c r="G134" s="39"/>
      <c r="H134" s="176"/>
      <c r="I134" s="39"/>
      <c r="J134" s="39"/>
      <c r="K134" s="39"/>
      <c r="L134" s="170"/>
    </row>
    <row r="135" spans="1:13" x14ac:dyDescent="0.25">
      <c r="B135" s="161"/>
      <c r="C135" s="10"/>
      <c r="D135" s="39"/>
      <c r="E135" s="39"/>
      <c r="F135" s="39"/>
      <c r="G135" s="39"/>
      <c r="H135" s="176"/>
      <c r="I135" s="39"/>
      <c r="J135" s="39"/>
      <c r="K135" s="39"/>
      <c r="L135" s="170"/>
    </row>
    <row r="136" spans="1:13" x14ac:dyDescent="0.25">
      <c r="B136" s="161"/>
      <c r="C136" s="10"/>
      <c r="D136" s="39"/>
      <c r="E136" s="39"/>
      <c r="F136" s="39"/>
      <c r="G136" s="39"/>
      <c r="H136" s="176"/>
      <c r="I136" s="39"/>
      <c r="J136" s="39"/>
      <c r="K136" s="39"/>
      <c r="L136" s="170"/>
    </row>
    <row r="137" spans="1:13" x14ac:dyDescent="0.25">
      <c r="B137" s="161"/>
      <c r="C137" s="10"/>
      <c r="D137" s="39"/>
      <c r="E137" s="39"/>
      <c r="F137" s="39"/>
      <c r="G137" s="39"/>
      <c r="H137" s="176"/>
      <c r="I137" s="39"/>
      <c r="J137" s="39"/>
      <c r="K137" s="39"/>
      <c r="L137" s="170"/>
    </row>
    <row r="138" spans="1:13" x14ac:dyDescent="0.25">
      <c r="B138" s="4"/>
      <c r="C138" s="4"/>
      <c r="D138" s="3"/>
      <c r="E138" s="3"/>
      <c r="F138" s="3"/>
      <c r="G138" s="3"/>
      <c r="H138" s="177"/>
      <c r="I138" s="3"/>
      <c r="J138" s="3"/>
      <c r="K138" s="3"/>
    </row>
    <row r="139" spans="1:13" x14ac:dyDescent="0.25">
      <c r="L139" t="s">
        <v>203</v>
      </c>
      <c r="M139" s="2">
        <f>M153+K153-F153</f>
        <v>75.019999999999982</v>
      </c>
    </row>
    <row r="140" spans="1:13" x14ac:dyDescent="0.25">
      <c r="A140" s="297" t="s">
        <v>1</v>
      </c>
      <c r="B140" s="297" t="s">
        <v>2</v>
      </c>
      <c r="C140" s="297" t="s">
        <v>4</v>
      </c>
      <c r="D140" s="299" t="s">
        <v>5</v>
      </c>
      <c r="E140" s="299" t="s">
        <v>94</v>
      </c>
      <c r="F140" s="299" t="s">
        <v>60</v>
      </c>
      <c r="G140" s="297" t="s">
        <v>3</v>
      </c>
      <c r="H140" s="297" t="s">
        <v>6</v>
      </c>
      <c r="I140" s="299" t="s">
        <v>7</v>
      </c>
      <c r="J140" s="299" t="s">
        <v>95</v>
      </c>
      <c r="K140" s="299" t="s">
        <v>61</v>
      </c>
      <c r="L140" s="297" t="s">
        <v>77</v>
      </c>
      <c r="M140" s="297" t="s">
        <v>38</v>
      </c>
    </row>
    <row r="141" spans="1:13" x14ac:dyDescent="0.25">
      <c r="A141" s="300" t="s">
        <v>171</v>
      </c>
      <c r="B141" s="290">
        <v>42376</v>
      </c>
      <c r="C141" s="291">
        <v>60</v>
      </c>
      <c r="D141" s="292">
        <v>41.01</v>
      </c>
      <c r="E141" s="292">
        <v>0</v>
      </c>
      <c r="F141" s="292">
        <f>C141*D141</f>
        <v>2460.6</v>
      </c>
      <c r="G141" s="290">
        <v>42426</v>
      </c>
      <c r="H141" s="295">
        <v>20</v>
      </c>
      <c r="I141" s="292">
        <v>38.450000000000003</v>
      </c>
      <c r="J141" s="292">
        <v>0.02</v>
      </c>
      <c r="K141" s="292">
        <f>H141*I141-J141</f>
        <v>768.98</v>
      </c>
      <c r="L141" s="290">
        <v>42444</v>
      </c>
      <c r="M141" s="292">
        <v>15.2</v>
      </c>
    </row>
    <row r="142" spans="1:13" x14ac:dyDescent="0.25">
      <c r="A142" s="301" t="s">
        <v>71</v>
      </c>
      <c r="B142" s="290">
        <v>42403</v>
      </c>
      <c r="C142" s="291">
        <v>20</v>
      </c>
      <c r="D142" s="292">
        <v>35.5</v>
      </c>
      <c r="E142" s="292">
        <v>0</v>
      </c>
      <c r="F142" s="292">
        <f>C142*D142</f>
        <v>710</v>
      </c>
      <c r="G142" s="290">
        <v>42426</v>
      </c>
      <c r="H142" s="295">
        <v>30</v>
      </c>
      <c r="I142" s="292">
        <v>38.75</v>
      </c>
      <c r="J142" s="292">
        <v>0.03</v>
      </c>
      <c r="K142" s="292">
        <f>H142*I142-J142</f>
        <v>1162.47</v>
      </c>
      <c r="L142" s="291"/>
      <c r="M142" s="291"/>
    </row>
    <row r="143" spans="1:13" x14ac:dyDescent="0.25">
      <c r="A143" s="291"/>
      <c r="B143" s="291"/>
      <c r="C143" s="291"/>
      <c r="D143" s="292"/>
      <c r="E143" s="292"/>
      <c r="F143" s="292"/>
      <c r="G143" s="290">
        <v>42447</v>
      </c>
      <c r="H143" s="295">
        <v>30</v>
      </c>
      <c r="I143" s="292">
        <v>43.3</v>
      </c>
      <c r="J143" s="292">
        <v>0.03</v>
      </c>
      <c r="K143" s="292">
        <f>H143*I143-J143</f>
        <v>1298.97</v>
      </c>
      <c r="L143" s="291"/>
      <c r="M143" s="291"/>
    </row>
    <row r="144" spans="1:13" x14ac:dyDescent="0.25">
      <c r="A144" s="291"/>
      <c r="B144" s="291"/>
      <c r="C144" s="291"/>
      <c r="D144" s="292"/>
      <c r="E144" s="292"/>
      <c r="F144" s="292"/>
      <c r="G144" s="291"/>
      <c r="H144" s="291"/>
      <c r="I144" s="292"/>
      <c r="J144" s="292"/>
      <c r="K144" s="292"/>
      <c r="L144" s="291"/>
      <c r="M144" s="291"/>
    </row>
    <row r="145" spans="1:13" x14ac:dyDescent="0.25">
      <c r="A145" s="291"/>
      <c r="B145" s="291"/>
      <c r="C145" s="291"/>
      <c r="D145" s="292"/>
      <c r="E145" s="292"/>
      <c r="F145" s="292"/>
      <c r="G145" s="291"/>
      <c r="H145" s="291"/>
      <c r="I145" s="292"/>
      <c r="J145" s="292"/>
      <c r="K145" s="292"/>
      <c r="L145" s="291"/>
      <c r="M145" s="291"/>
    </row>
    <row r="146" spans="1:13" x14ac:dyDescent="0.25">
      <c r="A146" s="291"/>
      <c r="B146" s="291"/>
      <c r="C146" s="291"/>
      <c r="D146" s="292"/>
      <c r="E146" s="292"/>
      <c r="F146" s="292"/>
      <c r="G146" s="291"/>
      <c r="H146" s="291"/>
      <c r="I146" s="292"/>
      <c r="J146" s="292"/>
      <c r="K146" s="292"/>
      <c r="L146" s="291"/>
      <c r="M146" s="291"/>
    </row>
    <row r="147" spans="1:13" x14ac:dyDescent="0.25">
      <c r="A147" s="291"/>
      <c r="B147" s="291"/>
      <c r="C147" s="291"/>
      <c r="D147" s="292"/>
      <c r="E147" s="292"/>
      <c r="F147" s="292"/>
      <c r="G147" s="291"/>
      <c r="H147" s="291"/>
      <c r="I147" s="292"/>
      <c r="J147" s="292"/>
      <c r="K147" s="292"/>
      <c r="L147" s="291"/>
      <c r="M147" s="291"/>
    </row>
    <row r="148" spans="1:13" x14ac:dyDescent="0.25">
      <c r="A148" s="291"/>
      <c r="B148" s="291"/>
      <c r="C148" s="291"/>
      <c r="D148" s="292"/>
      <c r="E148" s="292"/>
      <c r="F148" s="292"/>
      <c r="G148" s="291"/>
      <c r="H148" s="291"/>
      <c r="I148" s="292"/>
      <c r="J148" s="292"/>
      <c r="K148" s="292"/>
      <c r="L148" s="291"/>
      <c r="M148" s="291"/>
    </row>
    <row r="149" spans="1:13" x14ac:dyDescent="0.25">
      <c r="A149" s="291"/>
      <c r="B149" s="291"/>
      <c r="C149" s="291"/>
      <c r="D149" s="292"/>
      <c r="E149" s="292"/>
      <c r="F149" s="292"/>
      <c r="G149" s="291"/>
      <c r="H149" s="291"/>
      <c r="I149" s="292"/>
      <c r="J149" s="292"/>
      <c r="K149" s="292"/>
      <c r="L149" s="291"/>
      <c r="M149" s="291"/>
    </row>
    <row r="150" spans="1:13" x14ac:dyDescent="0.25">
      <c r="A150" s="291"/>
      <c r="B150" s="291"/>
      <c r="C150" s="291"/>
      <c r="D150" s="292"/>
      <c r="E150" s="292"/>
      <c r="F150" s="292"/>
      <c r="G150" s="291"/>
      <c r="H150" s="291"/>
      <c r="I150" s="292"/>
      <c r="J150" s="292"/>
      <c r="K150" s="292"/>
      <c r="L150" s="291"/>
      <c r="M150" s="291"/>
    </row>
    <row r="151" spans="1:13" x14ac:dyDescent="0.25">
      <c r="A151" s="291"/>
      <c r="B151" s="291"/>
      <c r="C151" s="291"/>
      <c r="D151" s="292"/>
      <c r="E151" s="292"/>
      <c r="F151" s="292"/>
      <c r="G151" s="291"/>
      <c r="H151" s="291"/>
      <c r="I151" s="292"/>
      <c r="J151" s="292"/>
      <c r="K151" s="292"/>
      <c r="L151" s="291"/>
      <c r="M151" s="291"/>
    </row>
    <row r="152" spans="1:13" x14ac:dyDescent="0.25">
      <c r="A152" s="291"/>
      <c r="B152" s="291"/>
      <c r="C152" s="291"/>
      <c r="D152" s="292"/>
      <c r="E152" s="292"/>
      <c r="F152" s="292"/>
      <c r="G152" s="291"/>
      <c r="H152" s="291"/>
      <c r="I152" s="292"/>
      <c r="J152" s="292"/>
      <c r="K152" s="292"/>
      <c r="L152" s="291"/>
      <c r="M152" s="291"/>
    </row>
    <row r="153" spans="1:13" x14ac:dyDescent="0.25">
      <c r="A153" s="35" t="s">
        <v>81</v>
      </c>
      <c r="B153" s="36"/>
      <c r="C153" s="36">
        <f>SUM(C141:C152)</f>
        <v>80</v>
      </c>
      <c r="D153" s="37"/>
      <c r="E153" s="37"/>
      <c r="F153" s="37">
        <f>SUM(F141:F152)</f>
        <v>3170.6</v>
      </c>
      <c r="G153" s="36"/>
      <c r="H153" s="157">
        <f>SUM(H141:H152)</f>
        <v>80</v>
      </c>
      <c r="I153" s="37"/>
      <c r="J153" s="37"/>
      <c r="K153" s="37">
        <f>SUM(K141:K152)</f>
        <v>3230.42</v>
      </c>
      <c r="L153" s="37"/>
      <c r="M153" s="37">
        <f>SUM(M141:M142)</f>
        <v>15.2</v>
      </c>
    </row>
    <row r="154" spans="1:13" x14ac:dyDescent="0.25">
      <c r="G154" s="2"/>
    </row>
    <row r="156" spans="1:13" x14ac:dyDescent="0.25">
      <c r="B156" s="201" t="s">
        <v>113</v>
      </c>
      <c r="C156" s="201" t="s">
        <v>143</v>
      </c>
      <c r="D156" s="202" t="s">
        <v>142</v>
      </c>
      <c r="E156" s="203" t="s">
        <v>144</v>
      </c>
      <c r="F156" s="204" t="s">
        <v>65</v>
      </c>
      <c r="G156" s="205" t="s">
        <v>148</v>
      </c>
      <c r="H156" s="204" t="s">
        <v>88</v>
      </c>
      <c r="I156" s="204" t="s">
        <v>151</v>
      </c>
    </row>
    <row r="157" spans="1:13" x14ac:dyDescent="0.25">
      <c r="B157" s="198">
        <v>42376</v>
      </c>
      <c r="C157" s="193">
        <v>60</v>
      </c>
      <c r="D157" s="194">
        <v>41.01</v>
      </c>
      <c r="E157" s="194">
        <v>40.33</v>
      </c>
      <c r="F157" s="194">
        <f>C157*(E157-D157)</f>
        <v>-40.799999999999983</v>
      </c>
      <c r="G157" s="194">
        <f>D157*C157</f>
        <v>2460.6</v>
      </c>
      <c r="H157" s="208">
        <f>(E157-D157)/D157</f>
        <v>-1.6581321628871E-2</v>
      </c>
      <c r="I157" s="208"/>
    </row>
    <row r="158" spans="1:13" x14ac:dyDescent="0.25">
      <c r="B158" s="198">
        <v>42403</v>
      </c>
      <c r="C158" s="193">
        <v>80</v>
      </c>
      <c r="D158" s="194">
        <v>39.630000000000003</v>
      </c>
      <c r="E158" s="194">
        <v>36.229999999999997</v>
      </c>
      <c r="F158" s="194">
        <f>C158*(E158-D158)</f>
        <v>-272.00000000000045</v>
      </c>
      <c r="G158" s="194">
        <f>D158*C158</f>
        <v>3170.4</v>
      </c>
      <c r="H158" s="208">
        <f>(E158-D158)/D158</f>
        <v>-8.5793590714105611E-2</v>
      </c>
      <c r="I158" s="208"/>
    </row>
    <row r="159" spans="1:13" x14ac:dyDescent="0.25">
      <c r="B159" s="198">
        <v>42421</v>
      </c>
      <c r="C159" s="193">
        <v>80</v>
      </c>
      <c r="D159" s="194">
        <v>39.630000000000003</v>
      </c>
      <c r="E159" s="194">
        <v>37.46</v>
      </c>
      <c r="F159" s="194">
        <f>C159*(E159-D159)</f>
        <v>-173.60000000000014</v>
      </c>
      <c r="G159" s="194">
        <f>D159*C159</f>
        <v>3170.4</v>
      </c>
      <c r="H159" s="208">
        <f>(E159-D159)/D159</f>
        <v>-5.4756497602826179E-2</v>
      </c>
      <c r="I159" s="208"/>
    </row>
    <row r="160" spans="1:13" x14ac:dyDescent="0.25">
      <c r="B160" s="198">
        <v>42426</v>
      </c>
      <c r="C160" s="193">
        <v>60</v>
      </c>
      <c r="D160" s="194">
        <v>40.03</v>
      </c>
      <c r="E160" s="194">
        <v>38.450000000000003</v>
      </c>
      <c r="F160" s="194">
        <f t="shared" ref="F160:F166" si="31">C160*(E160-D160)</f>
        <v>-94.799999999999898</v>
      </c>
      <c r="G160" s="194">
        <f t="shared" ref="G160:G166" si="32">D160*C160</f>
        <v>2401.8000000000002</v>
      </c>
      <c r="H160" s="208">
        <f t="shared" ref="H160:H166" si="33">(E160-D160)/D160</f>
        <v>-3.9470397202098384E-2</v>
      </c>
      <c r="I160" s="208"/>
    </row>
    <row r="161" spans="2:9" x14ac:dyDescent="0.25">
      <c r="B161" s="198">
        <v>42426</v>
      </c>
      <c r="C161" s="193">
        <v>30</v>
      </c>
      <c r="D161" s="194">
        <v>41.31</v>
      </c>
      <c r="E161" s="194">
        <v>38.44</v>
      </c>
      <c r="F161" s="194">
        <f t="shared" si="31"/>
        <v>-86.100000000000136</v>
      </c>
      <c r="G161" s="194">
        <f t="shared" si="32"/>
        <v>1239.3000000000002</v>
      </c>
      <c r="H161" s="206">
        <f t="shared" si="33"/>
        <v>-6.9474703461631676E-2</v>
      </c>
      <c r="I161" s="206"/>
    </row>
    <row r="162" spans="2:9" x14ac:dyDescent="0.25">
      <c r="B162" s="198">
        <v>42430</v>
      </c>
      <c r="C162" s="193">
        <v>30</v>
      </c>
      <c r="D162" s="194">
        <v>41.31</v>
      </c>
      <c r="E162" s="194">
        <v>39.51</v>
      </c>
      <c r="F162" s="194">
        <f t="shared" si="31"/>
        <v>-54.000000000000128</v>
      </c>
      <c r="G162" s="194">
        <f t="shared" si="32"/>
        <v>1239.3000000000002</v>
      </c>
      <c r="H162" s="206">
        <f t="shared" si="33"/>
        <v>-4.3572984749455437E-2</v>
      </c>
      <c r="I162" s="206"/>
    </row>
    <row r="163" spans="2:9" x14ac:dyDescent="0.25">
      <c r="B163" s="198">
        <v>42431</v>
      </c>
      <c r="C163" s="193">
        <v>30</v>
      </c>
      <c r="D163" s="194">
        <v>41.305</v>
      </c>
      <c r="E163" s="194">
        <v>40.31</v>
      </c>
      <c r="F163" s="194">
        <f t="shared" si="31"/>
        <v>-29.849999999999923</v>
      </c>
      <c r="G163" s="194">
        <f t="shared" si="32"/>
        <v>1239.1500000000001</v>
      </c>
      <c r="H163" s="206">
        <f t="shared" si="33"/>
        <v>-2.4089093330105251E-2</v>
      </c>
      <c r="I163" s="206"/>
    </row>
    <row r="164" spans="2:9" x14ac:dyDescent="0.25">
      <c r="B164" s="198">
        <v>42435</v>
      </c>
      <c r="C164" s="193">
        <v>30</v>
      </c>
      <c r="D164" s="194">
        <v>41.305</v>
      </c>
      <c r="E164" s="194">
        <v>40.98</v>
      </c>
      <c r="F164" s="194">
        <f t="shared" si="31"/>
        <v>-9.7500000000000853</v>
      </c>
      <c r="G164" s="194">
        <f t="shared" si="32"/>
        <v>1239.1500000000001</v>
      </c>
      <c r="H164" s="206">
        <f t="shared" si="33"/>
        <v>-7.8682968163661261E-3</v>
      </c>
      <c r="I164" s="206"/>
    </row>
    <row r="165" spans="2:9" x14ac:dyDescent="0.25">
      <c r="B165" s="198">
        <v>42436</v>
      </c>
      <c r="C165" s="193">
        <v>30</v>
      </c>
      <c r="D165" s="194">
        <v>41.305</v>
      </c>
      <c r="E165" s="194">
        <v>39.590000000000003</v>
      </c>
      <c r="F165" s="194">
        <f t="shared" si="31"/>
        <v>-51.449999999999889</v>
      </c>
      <c r="G165" s="194">
        <f t="shared" si="32"/>
        <v>1239.1500000000001</v>
      </c>
      <c r="H165" s="206">
        <f t="shared" si="33"/>
        <v>-4.1520397046362338E-2</v>
      </c>
      <c r="I165" s="206"/>
    </row>
    <row r="166" spans="2:9" x14ac:dyDescent="0.25">
      <c r="B166" s="198">
        <v>42444</v>
      </c>
      <c r="C166" s="193">
        <v>30</v>
      </c>
      <c r="D166" s="194">
        <v>41.305</v>
      </c>
      <c r="E166" s="194">
        <v>41.37</v>
      </c>
      <c r="F166" s="194">
        <f t="shared" si="31"/>
        <v>1.9499999999999318</v>
      </c>
      <c r="G166" s="194">
        <f t="shared" si="32"/>
        <v>1239.1500000000001</v>
      </c>
      <c r="H166" s="206">
        <f t="shared" si="33"/>
        <v>1.5736593632731564E-3</v>
      </c>
      <c r="I166" s="206"/>
    </row>
    <row r="167" spans="2:9" x14ac:dyDescent="0.25">
      <c r="B167" s="198">
        <v>42444</v>
      </c>
      <c r="C167" s="193">
        <v>30</v>
      </c>
      <c r="D167" s="194">
        <v>40.47983</v>
      </c>
      <c r="E167" s="194">
        <v>41.37</v>
      </c>
      <c r="F167" s="194">
        <f>C167*(E167-D167)</f>
        <v>26.705099999999931</v>
      </c>
      <c r="G167" s="194">
        <f>D167*C167</f>
        <v>1214.3949</v>
      </c>
      <c r="H167" s="206">
        <f>(E167-D167)/D167</f>
        <v>2.1990457963879731E-2</v>
      </c>
      <c r="I167" s="206" t="s">
        <v>179</v>
      </c>
    </row>
    <row r="168" spans="2:9" x14ac:dyDescent="0.25">
      <c r="B168" s="198">
        <v>42447</v>
      </c>
      <c r="C168" s="193">
        <v>0</v>
      </c>
      <c r="D168" s="194"/>
      <c r="E168" s="194"/>
      <c r="F168" s="194">
        <v>75.02</v>
      </c>
      <c r="G168" s="194"/>
      <c r="H168" s="206"/>
      <c r="I168" s="206"/>
    </row>
    <row r="169" spans="2:9" x14ac:dyDescent="0.25">
      <c r="B169" s="193"/>
      <c r="C169" s="193"/>
      <c r="D169" s="194"/>
      <c r="E169" s="194"/>
      <c r="F169" s="194"/>
      <c r="G169" s="194"/>
      <c r="H169" s="206"/>
      <c r="I169" s="206"/>
    </row>
    <row r="170" spans="2:9" x14ac:dyDescent="0.25">
      <c r="B170" s="193"/>
      <c r="C170" s="193"/>
      <c r="D170" s="194"/>
      <c r="E170" s="194"/>
      <c r="F170" s="194"/>
      <c r="G170" s="194"/>
      <c r="H170" s="206"/>
      <c r="I170" s="206"/>
    </row>
    <row r="171" spans="2:9" x14ac:dyDescent="0.25">
      <c r="B171" s="193"/>
      <c r="C171" s="193"/>
      <c r="D171" s="194"/>
      <c r="E171" s="194"/>
      <c r="F171" s="194"/>
      <c r="G171" s="194"/>
      <c r="H171" s="206"/>
      <c r="I171" s="206"/>
    </row>
    <row r="172" spans="2:9" x14ac:dyDescent="0.25">
      <c r="B172" s="193"/>
      <c r="C172" s="193"/>
      <c r="D172" s="194"/>
      <c r="E172" s="194"/>
      <c r="F172" s="194"/>
      <c r="G172" s="194"/>
      <c r="H172" s="206"/>
      <c r="I172" s="206"/>
    </row>
    <row r="173" spans="2:9" x14ac:dyDescent="0.25">
      <c r="B173" s="193"/>
      <c r="C173" s="193"/>
      <c r="D173" s="194"/>
      <c r="E173" s="194"/>
      <c r="F173" s="194"/>
      <c r="G173" s="194"/>
      <c r="H173" s="206"/>
      <c r="I173" s="206"/>
    </row>
    <row r="174" spans="2:9" x14ac:dyDescent="0.25">
      <c r="B174" s="193"/>
      <c r="C174" s="193"/>
      <c r="D174" s="194"/>
      <c r="E174" s="194"/>
      <c r="F174" s="194"/>
      <c r="G174" s="194"/>
      <c r="H174" s="206"/>
      <c r="I174" s="206"/>
    </row>
    <row r="175" spans="2:9" x14ac:dyDescent="0.25">
      <c r="B175" s="193"/>
      <c r="C175" s="193"/>
      <c r="D175" s="194"/>
      <c r="E175" s="194"/>
      <c r="F175" s="194"/>
      <c r="G175" s="194"/>
      <c r="H175" s="206"/>
      <c r="I175" s="206"/>
    </row>
  </sheetData>
  <mergeCells count="2">
    <mergeCell ref="A23:A27"/>
    <mergeCell ref="A30:A33"/>
  </mergeCells>
  <conditionalFormatting sqref="O19:O39">
    <cfRule type="colorScale" priority="115">
      <colorScale>
        <cfvo type="min"/>
        <cfvo type="percentile" val="50"/>
        <cfvo type="max"/>
        <color rgb="FFF8696B"/>
        <color rgb="FFFFEB84"/>
        <color rgb="FF63BE7B"/>
      </colorScale>
    </cfRule>
  </conditionalFormatting>
  <conditionalFormatting sqref="P19:P39">
    <cfRule type="colorScale" priority="114">
      <colorScale>
        <cfvo type="min"/>
        <cfvo type="percentile" val="50"/>
        <cfvo type="max"/>
        <color rgb="FFF8696B"/>
        <color rgb="FFFFEB84"/>
        <color rgb="FF63BE7B"/>
      </colorScale>
    </cfRule>
  </conditionalFormatting>
  <conditionalFormatting sqref="Q46:Q63">
    <cfRule type="colorScale" priority="113">
      <colorScale>
        <cfvo type="min"/>
        <cfvo type="percentile" val="50"/>
        <cfvo type="max"/>
        <color rgb="FFF8696B"/>
        <color rgb="FFFFEB84"/>
        <color rgb="FF63BE7B"/>
      </colorScale>
    </cfRule>
  </conditionalFormatting>
  <conditionalFormatting sqref="F50:F54 H55:H70 F69:F70 I72:K73 F74:F76 H74:H76 J74:K76 I66:L70 L72:L74 F81:F83 H81:J83 H118:K118 F118 F123 H123:K123 H127:K127 F127 F136:F137 H136:K138">
    <cfRule type="expression" dxfId="1093" priority="109">
      <formula>F50&gt;0</formula>
    </cfRule>
    <cfRule type="expression" dxfId="1092" priority="110">
      <formula>F50&lt;0</formula>
    </cfRule>
  </conditionalFormatting>
  <conditionalFormatting sqref="H50:H52">
    <cfRule type="expression" dxfId="1091" priority="107">
      <formula>H50&gt;0</formula>
    </cfRule>
    <cfRule type="expression" dxfId="1090" priority="108">
      <formula>H50&lt;0</formula>
    </cfRule>
  </conditionalFormatting>
  <conditionalFormatting sqref="H53">
    <cfRule type="expression" dxfId="1089" priority="105">
      <formula>H53&gt;0</formula>
    </cfRule>
    <cfRule type="expression" dxfId="1088" priority="106">
      <formula>H53&lt;0</formula>
    </cfRule>
  </conditionalFormatting>
  <conditionalFormatting sqref="H54">
    <cfRule type="expression" dxfId="1087" priority="103">
      <formula>H54&gt;0</formula>
    </cfRule>
    <cfRule type="expression" dxfId="1086" priority="104">
      <formula>H54&lt;0</formula>
    </cfRule>
  </conditionalFormatting>
  <conditionalFormatting sqref="F46:F49">
    <cfRule type="expression" dxfId="1085" priority="99">
      <formula>F46&gt;0</formula>
    </cfRule>
    <cfRule type="expression" dxfId="1084" priority="100">
      <formula>F46&lt;0</formula>
    </cfRule>
  </conditionalFormatting>
  <conditionalFormatting sqref="H46:H49">
    <cfRule type="expression" dxfId="1083" priority="97">
      <formula>H46&gt;0</formula>
    </cfRule>
    <cfRule type="expression" dxfId="1082" priority="98">
      <formula>H46&lt;0</formula>
    </cfRule>
  </conditionalFormatting>
  <conditionalFormatting sqref="F55:F56">
    <cfRule type="expression" dxfId="1081" priority="93">
      <formula>F55&gt;0</formula>
    </cfRule>
    <cfRule type="expression" dxfId="1080" priority="94">
      <formula>F55&lt;0</formula>
    </cfRule>
  </conditionalFormatting>
  <conditionalFormatting sqref="I50:L52">
    <cfRule type="expression" dxfId="1079" priority="91">
      <formula>I50&gt;0</formula>
    </cfRule>
    <cfRule type="expression" dxfId="1078" priority="92">
      <formula>I50&lt;0</formula>
    </cfRule>
  </conditionalFormatting>
  <conditionalFormatting sqref="I59:I64 I56:L57">
    <cfRule type="expression" dxfId="1077" priority="85">
      <formula>I56&gt;0</formula>
    </cfRule>
    <cfRule type="expression" dxfId="1076" priority="86">
      <formula>I56&lt;0</formula>
    </cfRule>
  </conditionalFormatting>
  <conditionalFormatting sqref="I46:L49">
    <cfRule type="expression" dxfId="1075" priority="83">
      <formula>I46&gt;0</formula>
    </cfRule>
    <cfRule type="expression" dxfId="1074" priority="84">
      <formula>I46&lt;0</formula>
    </cfRule>
  </conditionalFormatting>
  <conditionalFormatting sqref="F57:F68">
    <cfRule type="expression" dxfId="1073" priority="81">
      <formula>F57&gt;0</formula>
    </cfRule>
    <cfRule type="expression" dxfId="1072" priority="82">
      <formula>F57&lt;0</formula>
    </cfRule>
  </conditionalFormatting>
  <conditionalFormatting sqref="Q8">
    <cfRule type="expression" dxfId="1071" priority="77">
      <formula>Q8&gt;0</formula>
    </cfRule>
    <cfRule type="expression" dxfId="1070" priority="78">
      <formula>Q8&lt;0</formula>
    </cfRule>
  </conditionalFormatting>
  <conditionalFormatting sqref="Q7">
    <cfRule type="expression" dxfId="1069" priority="79">
      <formula>Q7&gt;0</formula>
    </cfRule>
    <cfRule type="expression" dxfId="1068" priority="80">
      <formula>Q7&lt;0</formula>
    </cfRule>
  </conditionalFormatting>
  <conditionalFormatting sqref="F161:F165">
    <cfRule type="expression" dxfId="1067" priority="75">
      <formula>F161&gt;0</formula>
    </cfRule>
    <cfRule type="expression" dxfId="1066" priority="76">
      <formula>F161&lt;0</formula>
    </cfRule>
  </conditionalFormatting>
  <conditionalFormatting sqref="H161:H163">
    <cfRule type="expression" dxfId="1065" priority="73">
      <formula>H161&gt;0</formula>
    </cfRule>
    <cfRule type="expression" dxfId="1064" priority="74">
      <formula>H161&lt;0</formula>
    </cfRule>
  </conditionalFormatting>
  <conditionalFormatting sqref="H164">
    <cfRule type="expression" dxfId="1063" priority="71">
      <formula>H164&gt;0</formula>
    </cfRule>
    <cfRule type="expression" dxfId="1062" priority="72">
      <formula>H164&lt;0</formula>
    </cfRule>
  </conditionalFormatting>
  <conditionalFormatting sqref="H165">
    <cfRule type="expression" dxfId="1061" priority="69">
      <formula>H165&gt;0</formula>
    </cfRule>
    <cfRule type="expression" dxfId="1060" priority="70">
      <formula>H165&lt;0</formula>
    </cfRule>
  </conditionalFormatting>
  <conditionalFormatting sqref="H166:H175">
    <cfRule type="expression" dxfId="1059" priority="67">
      <formula>H166&gt;0</formula>
    </cfRule>
    <cfRule type="expression" dxfId="1058" priority="68">
      <formula>H166&lt;0</formula>
    </cfRule>
  </conditionalFormatting>
  <conditionalFormatting sqref="F157:F160">
    <cfRule type="expression" dxfId="1057" priority="65">
      <formula>F157&gt;0</formula>
    </cfRule>
    <cfRule type="expression" dxfId="1056" priority="66">
      <formula>F157&lt;0</formula>
    </cfRule>
  </conditionalFormatting>
  <conditionalFormatting sqref="H157:H160">
    <cfRule type="expression" dxfId="1055" priority="63">
      <formula>H157&gt;0</formula>
    </cfRule>
    <cfRule type="expression" dxfId="1054" priority="64">
      <formula>H157&lt;0</formula>
    </cfRule>
  </conditionalFormatting>
  <conditionalFormatting sqref="F166:F167">
    <cfRule type="expression" dxfId="1053" priority="61">
      <formula>F166&gt;0</formula>
    </cfRule>
    <cfRule type="expression" dxfId="1052" priority="62">
      <formula>F166&lt;0</formula>
    </cfRule>
  </conditionalFormatting>
  <conditionalFormatting sqref="I161:I163">
    <cfRule type="expression" dxfId="1051" priority="59">
      <formula>I161&gt;0</formula>
    </cfRule>
    <cfRule type="expression" dxfId="1050" priority="60">
      <formula>I161&lt;0</formula>
    </cfRule>
  </conditionalFormatting>
  <conditionalFormatting sqref="I164">
    <cfRule type="expression" dxfId="1049" priority="57">
      <formula>I164&gt;0</formula>
    </cfRule>
    <cfRule type="expression" dxfId="1048" priority="58">
      <formula>I164&lt;0</formula>
    </cfRule>
  </conditionalFormatting>
  <conditionalFormatting sqref="I165">
    <cfRule type="expression" dxfId="1047" priority="55">
      <formula>I165&gt;0</formula>
    </cfRule>
    <cfRule type="expression" dxfId="1046" priority="56">
      <formula>I165&lt;0</formula>
    </cfRule>
  </conditionalFormatting>
  <conditionalFormatting sqref="I166:I175">
    <cfRule type="expression" dxfId="1045" priority="53">
      <formula>I166&gt;0</formula>
    </cfRule>
    <cfRule type="expression" dxfId="1044" priority="54">
      <formula>I166&lt;0</formula>
    </cfRule>
  </conditionalFormatting>
  <conditionalFormatting sqref="I157:I160">
    <cfRule type="expression" dxfId="1043" priority="51">
      <formula>I157&gt;0</formula>
    </cfRule>
    <cfRule type="expression" dxfId="1042" priority="52">
      <formula>I157&lt;0</formula>
    </cfRule>
  </conditionalFormatting>
  <conditionalFormatting sqref="F168">
    <cfRule type="expression" dxfId="1041" priority="49">
      <formula>F168&gt;0</formula>
    </cfRule>
    <cfRule type="expression" dxfId="1040" priority="50">
      <formula>F168&lt;0</formula>
    </cfRule>
  </conditionalFormatting>
  <conditionalFormatting sqref="F71:F73 H72:H73 H71:L71">
    <cfRule type="expression" dxfId="1039" priority="47">
      <formula>F71&gt;0</formula>
    </cfRule>
    <cfRule type="expression" dxfId="1038" priority="48">
      <formula>F71&lt;0</formula>
    </cfRule>
  </conditionalFormatting>
  <conditionalFormatting sqref="R4">
    <cfRule type="expression" dxfId="1037" priority="45">
      <formula>R4&gt;0</formula>
    </cfRule>
    <cfRule type="expression" dxfId="1036" priority="46">
      <formula>R4&lt;0</formula>
    </cfRule>
  </conditionalFormatting>
  <conditionalFormatting sqref="F77:F80 H77:K78 H79:J80">
    <cfRule type="expression" dxfId="1035" priority="43">
      <formula>F77&gt;0</formula>
    </cfRule>
    <cfRule type="expression" dxfId="1034" priority="44">
      <formula>F77&lt;0</formula>
    </cfRule>
  </conditionalFormatting>
  <conditionalFormatting sqref="H85:H89 F84:F89 H84:J84 J85:J89">
    <cfRule type="expression" dxfId="1033" priority="39">
      <formula>F84&gt;0</formula>
    </cfRule>
    <cfRule type="expression" dxfId="1032" priority="40">
      <formula>F84&lt;0</formula>
    </cfRule>
  </conditionalFormatting>
  <conditionalFormatting sqref="I97:J97">
    <cfRule type="expression" dxfId="1031" priority="37">
      <formula>I97&gt;0</formula>
    </cfRule>
    <cfRule type="expression" dxfId="1030" priority="38">
      <formula>I97&lt;0</formula>
    </cfRule>
  </conditionalFormatting>
  <conditionalFormatting sqref="H93:J94 J96:K96 J95 K79:K95 F93:F97 H95:H97 K97">
    <cfRule type="expression" dxfId="1029" priority="35">
      <formula>F79&gt;0</formula>
    </cfRule>
    <cfRule type="expression" dxfId="1028" priority="36">
      <formula>F79&lt;0</formula>
    </cfRule>
  </conditionalFormatting>
  <conditionalFormatting sqref="H91:J92 F90:F92 H90 J90">
    <cfRule type="expression" dxfId="1027" priority="33">
      <formula>F90&gt;0</formula>
    </cfRule>
    <cfRule type="expression" dxfId="1026" priority="34">
      <formula>F90&lt;0</formula>
    </cfRule>
  </conditionalFormatting>
  <conditionalFormatting sqref="H98:K102 F98:F102">
    <cfRule type="expression" dxfId="1025" priority="29">
      <formula>F98&gt;0</formula>
    </cfRule>
    <cfRule type="expression" dxfId="1024" priority="30">
      <formula>F98&lt;0</formula>
    </cfRule>
  </conditionalFormatting>
  <conditionalFormatting sqref="H111:K111 F111">
    <cfRule type="expression" dxfId="1023" priority="27">
      <formula>F111&gt;0</formula>
    </cfRule>
    <cfRule type="expression" dxfId="1022" priority="28">
      <formula>F111&lt;0</formula>
    </cfRule>
  </conditionalFormatting>
  <conditionalFormatting sqref="H106:K110 F106:F110">
    <cfRule type="expression" dxfId="1021" priority="25">
      <formula>F106&gt;0</formula>
    </cfRule>
    <cfRule type="expression" dxfId="1020" priority="26">
      <formula>F106&lt;0</formula>
    </cfRule>
  </conditionalFormatting>
  <conditionalFormatting sqref="H105:K105 F103:F105 H103:H104 J103:K104">
    <cfRule type="expression" dxfId="1019" priority="23">
      <formula>F103&gt;0</formula>
    </cfRule>
    <cfRule type="expression" dxfId="1018" priority="24">
      <formula>F103&lt;0</formula>
    </cfRule>
  </conditionalFormatting>
  <conditionalFormatting sqref="H112:K114 F112:F114">
    <cfRule type="expression" dxfId="1017" priority="21">
      <formula>F112&gt;0</formula>
    </cfRule>
    <cfRule type="expression" dxfId="1016" priority="22">
      <formula>F112&lt;0</formula>
    </cfRule>
  </conditionalFormatting>
  <conditionalFormatting sqref="H115:K117 F115:F117">
    <cfRule type="expression" dxfId="1015" priority="19">
      <formula>F115&gt;0</formula>
    </cfRule>
    <cfRule type="expression" dxfId="1014" priority="20">
      <formula>F115&lt;0</formula>
    </cfRule>
  </conditionalFormatting>
  <conditionalFormatting sqref="Q10">
    <cfRule type="expression" dxfId="1013" priority="17">
      <formula>Q10&gt;0</formula>
    </cfRule>
    <cfRule type="expression" dxfId="1012" priority="18">
      <formula>Q10&lt;0</formula>
    </cfRule>
  </conditionalFormatting>
  <conditionalFormatting sqref="H119:K120 F119:F121 H121:I121 K121">
    <cfRule type="expression" dxfId="1011" priority="15">
      <formula>F119&gt;0</formula>
    </cfRule>
    <cfRule type="expression" dxfId="1010" priority="16">
      <formula>F119&lt;0</formula>
    </cfRule>
  </conditionalFormatting>
  <conditionalFormatting sqref="F122 H122:K122 J121">
    <cfRule type="expression" dxfId="1009" priority="13">
      <formula>F121&gt;0</formula>
    </cfRule>
    <cfRule type="expression" dxfId="1008" priority="14">
      <formula>F121&lt;0</formula>
    </cfRule>
  </conditionalFormatting>
  <conditionalFormatting sqref="F124:F126 H124:K126">
    <cfRule type="expression" dxfId="1007" priority="9">
      <formula>F124&gt;0</formula>
    </cfRule>
    <cfRule type="expression" dxfId="1006" priority="10">
      <formula>F124&lt;0</formula>
    </cfRule>
  </conditionalFormatting>
  <conditionalFormatting sqref="F128:F130 H128:K130">
    <cfRule type="expression" dxfId="1005" priority="7">
      <formula>F128&gt;0</formula>
    </cfRule>
    <cfRule type="expression" dxfId="1004" priority="8">
      <formula>F128&lt;0</formula>
    </cfRule>
  </conditionalFormatting>
  <conditionalFormatting sqref="F134:F135 H134:K135">
    <cfRule type="expression" dxfId="1003" priority="5">
      <formula>F134&gt;0</formula>
    </cfRule>
    <cfRule type="expression" dxfId="1002" priority="6">
      <formula>F134&lt;0</formula>
    </cfRule>
  </conditionalFormatting>
  <conditionalFormatting sqref="F132:F133 H132:K133">
    <cfRule type="expression" dxfId="1001" priority="3">
      <formula>F132&gt;0</formula>
    </cfRule>
    <cfRule type="expression" dxfId="1000" priority="4">
      <formula>F132&lt;0</formula>
    </cfRule>
  </conditionalFormatting>
  <conditionalFormatting sqref="F131 H131:K131">
    <cfRule type="expression" dxfId="999" priority="1">
      <formula>F131&gt;0</formula>
    </cfRule>
    <cfRule type="expression" dxfId="998" priority="2">
      <formula>F131&lt;0</formula>
    </cfRule>
  </conditionalFormatting>
  <hyperlinks>
    <hyperlink ref="A3" location="ACTIVE!A1" display="Back"/>
    <hyperlink ref="A142" location="ACTIVE!A1" display="Back"/>
  </hyperlinks>
  <pageMargins left="0.7" right="0.7" top="0.75" bottom="0.75" header="0.3" footer="0.3"/>
  <pageSetup orientation="portrait" horizontalDpi="4294967293" r:id="rId1"/>
  <drawing r:id="rId2"/>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4"/>
  <dimension ref="A1:AO149"/>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9" width="11.85546875" style="2" bestFit="1" customWidth="1"/>
    <col min="10" max="11" width="9.140625" style="2"/>
    <col min="17" max="17" width="13.140625" bestFit="1" customWidth="1"/>
    <col min="18" max="18" width="10.7109375" bestFit="1" customWidth="1"/>
    <col min="19" max="19" width="36.85546875" customWidth="1"/>
    <col min="20" max="20" width="13.7109375" customWidth="1"/>
    <col min="21" max="21" width="112.7109375" bestFit="1" customWidth="1"/>
    <col min="23" max="23" width="11.14062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1029</v>
      </c>
      <c r="Z1" s="11" t="s">
        <v>1027</v>
      </c>
      <c r="AA1" s="11" t="s">
        <v>1028</v>
      </c>
      <c r="AB1" s="11" t="s">
        <v>1030</v>
      </c>
      <c r="AC1" s="11" t="s">
        <v>1027</v>
      </c>
      <c r="AD1" s="11" t="s">
        <v>1028</v>
      </c>
      <c r="AE1" s="11" t="s">
        <v>1031</v>
      </c>
      <c r="AF1" s="11" t="s">
        <v>1027</v>
      </c>
      <c r="AG1" s="11" t="s">
        <v>1028</v>
      </c>
      <c r="AH1" s="11" t="s">
        <v>1032</v>
      </c>
      <c r="AI1" s="11" t="s">
        <v>1027</v>
      </c>
      <c r="AJ1" s="11" t="s">
        <v>1028</v>
      </c>
      <c r="AK1" s="11" t="s">
        <v>1033</v>
      </c>
      <c r="AM1" s="11" t="s">
        <v>1034</v>
      </c>
      <c r="AO1" s="11" t="s">
        <v>1035</v>
      </c>
    </row>
    <row r="2" spans="1:41" x14ac:dyDescent="0.25">
      <c r="A2" s="6" t="s">
        <v>753</v>
      </c>
      <c r="B2" s="360">
        <v>43098</v>
      </c>
      <c r="C2" s="4">
        <v>50</v>
      </c>
      <c r="D2" s="3">
        <v>36.380000000000003</v>
      </c>
      <c r="E2" s="3">
        <v>0</v>
      </c>
      <c r="F2" s="3">
        <f>C2*D2+E2</f>
        <v>1819.0000000000002</v>
      </c>
      <c r="G2" s="360">
        <v>43161</v>
      </c>
      <c r="H2" s="7">
        <v>200</v>
      </c>
      <c r="I2" s="43">
        <v>24.95</v>
      </c>
      <c r="J2" s="43">
        <v>0.12</v>
      </c>
      <c r="K2" s="43">
        <f t="shared" ref="K2:K19" si="0">H2*I2-J2</f>
        <v>4989.88</v>
      </c>
      <c r="L2" s="69">
        <v>43129</v>
      </c>
      <c r="M2" s="43">
        <v>26</v>
      </c>
      <c r="O2" s="11" t="s">
        <v>57</v>
      </c>
      <c r="Q2" s="352">
        <f>C28-H28</f>
        <v>200</v>
      </c>
      <c r="W2" s="131"/>
      <c r="X2" s="647">
        <v>-1.08</v>
      </c>
      <c r="Z2">
        <f>B2-$B$2</f>
        <v>0</v>
      </c>
      <c r="AA2" s="2">
        <f>F2</f>
        <v>1819.0000000000002</v>
      </c>
      <c r="AB2">
        <f>AA2*EXP(-Z2/365.25 * $X$2)</f>
        <v>1819.0000000000002</v>
      </c>
      <c r="AC2">
        <f>G2-$B$2</f>
        <v>63</v>
      </c>
      <c r="AD2" s="2">
        <f>K2</f>
        <v>4989.88</v>
      </c>
      <c r="AE2">
        <f>AD2*EXP(-AC2/365.25 * $X$2)</f>
        <v>6011.6258069929763</v>
      </c>
      <c r="AF2">
        <f>L2-$B$2</f>
        <v>31</v>
      </c>
      <c r="AG2" s="2">
        <f>M2</f>
        <v>26</v>
      </c>
      <c r="AH2">
        <f>AG2*EXP(-AF2/365.25 * $X$2)</f>
        <v>28.495887607078068</v>
      </c>
      <c r="AI2" s="2">
        <f ca="1">TODAY()-$B$2</f>
        <v>711</v>
      </c>
      <c r="AJ2">
        <f>$Q$2*$Q$4</f>
        <v>4618</v>
      </c>
      <c r="AK2">
        <f ca="1">AJ2*EXP(-$X$2 * AI2/365.25)</f>
        <v>37799.753194390636</v>
      </c>
      <c r="AM2" s="2">
        <f>Q10</f>
        <v>0</v>
      </c>
      <c r="AO2">
        <f ca="1" xml:space="preserve"> (SUM(AB:AB) - SUM(AE:AE) - SUM(AH:AH) - SUM(AK:AK))/SUM(AB:AB)</f>
        <v>-1.9157642338818157</v>
      </c>
    </row>
    <row r="3" spans="1:41" x14ac:dyDescent="0.25">
      <c r="A3" s="22" t="s">
        <v>71</v>
      </c>
      <c r="B3" s="360">
        <v>43098</v>
      </c>
      <c r="C3" s="4">
        <v>50</v>
      </c>
      <c r="D3" s="3">
        <v>36.119999999999997</v>
      </c>
      <c r="E3" s="3">
        <v>0</v>
      </c>
      <c r="F3" s="3">
        <f>C3*D3+E3</f>
        <v>1805.9999999999998</v>
      </c>
      <c r="G3" s="360">
        <v>43182</v>
      </c>
      <c r="H3" s="77">
        <v>97</v>
      </c>
      <c r="I3" s="43">
        <v>22.71</v>
      </c>
      <c r="J3" s="43">
        <v>0.53</v>
      </c>
      <c r="K3" s="43">
        <f t="shared" si="0"/>
        <v>2202.3399999999997</v>
      </c>
      <c r="L3" s="69">
        <v>43219</v>
      </c>
      <c r="M3" s="43">
        <v>130</v>
      </c>
      <c r="O3" s="11" t="s">
        <v>58</v>
      </c>
      <c r="Q3" s="174">
        <f>IF(Q2=0, Q4, (F28-K28-M28)/Q2)</f>
        <v>29.324850000000005</v>
      </c>
      <c r="U3" t="s">
        <v>946</v>
      </c>
      <c r="W3" s="131"/>
      <c r="Z3">
        <f t="shared" ref="Z3:Z15" si="1">B3-$B$2</f>
        <v>0</v>
      </c>
      <c r="AA3" s="2">
        <f t="shared" ref="AA3:AA15" si="2">F3</f>
        <v>1805.9999999999998</v>
      </c>
      <c r="AB3">
        <f t="shared" ref="AB3:AB17" si="3">AA3*EXP(-Z3/365.25 * $X$2)</f>
        <v>1805.9999999999998</v>
      </c>
      <c r="AC3">
        <f t="shared" ref="AC3:AC15" si="4">G3-$B$2</f>
        <v>84</v>
      </c>
      <c r="AD3" s="2">
        <f t="shared" ref="AD3:AD15" si="5">K3</f>
        <v>2202.3399999999997</v>
      </c>
      <c r="AE3">
        <f t="shared" ref="AE3:AE17" si="6">AD3*EXP(-AC3/365.25 * $X$2)</f>
        <v>2823.2769657080917</v>
      </c>
      <c r="AF3">
        <f t="shared" ref="AF3:AF15" si="7">L3-$B$2</f>
        <v>121</v>
      </c>
      <c r="AG3" s="2">
        <f t="shared" ref="AG3:AG15" si="8">M3</f>
        <v>130</v>
      </c>
      <c r="AH3">
        <f t="shared" ref="AH3:AH17" si="9">AG3*EXP(-AF3/365.25 * $X$2)</f>
        <v>185.92005905832642</v>
      </c>
      <c r="AI3" s="2">
        <f t="shared" ref="AI3:AI17" ca="1" si="10">TODAY()-$B$2</f>
        <v>711</v>
      </c>
      <c r="AJ3">
        <f t="shared" ref="AJ3:AJ17" si="11">$Q$2*$Q$4</f>
        <v>4618</v>
      </c>
    </row>
    <row r="4" spans="1:41" x14ac:dyDescent="0.25">
      <c r="B4" s="360">
        <v>43130</v>
      </c>
      <c r="C4" s="4">
        <v>100</v>
      </c>
      <c r="D4" s="3">
        <v>36.68</v>
      </c>
      <c r="E4" s="3">
        <v>0</v>
      </c>
      <c r="F4" s="3">
        <f>C4*D4+E4</f>
        <v>3668</v>
      </c>
      <c r="G4" s="360">
        <v>43196</v>
      </c>
      <c r="H4" s="77">
        <v>100</v>
      </c>
      <c r="I4" s="43">
        <v>22.98</v>
      </c>
      <c r="J4" s="43">
        <v>0.05</v>
      </c>
      <c r="K4" s="43">
        <f t="shared" si="0"/>
        <v>2297.9499999999998</v>
      </c>
      <c r="L4" s="69">
        <v>43308</v>
      </c>
      <c r="M4" s="43">
        <v>104</v>
      </c>
      <c r="O4" s="11" t="s">
        <v>66</v>
      </c>
      <c r="Q4" s="53">
        <v>23.09</v>
      </c>
      <c r="R4" s="416">
        <v>-1.83E-2</v>
      </c>
      <c r="U4" t="s">
        <v>947</v>
      </c>
      <c r="W4" s="131"/>
      <c r="Z4">
        <f t="shared" si="1"/>
        <v>32</v>
      </c>
      <c r="AA4" s="2">
        <f t="shared" si="2"/>
        <v>3668</v>
      </c>
      <c r="AB4">
        <f t="shared" si="3"/>
        <v>4032.0167200469227</v>
      </c>
      <c r="AC4">
        <f t="shared" si="4"/>
        <v>98</v>
      </c>
      <c r="AD4" s="2">
        <f t="shared" si="5"/>
        <v>2297.9499999999998</v>
      </c>
      <c r="AE4">
        <f t="shared" si="6"/>
        <v>3070.3499595755325</v>
      </c>
      <c r="AF4">
        <f t="shared" si="7"/>
        <v>210</v>
      </c>
      <c r="AG4" s="2">
        <f t="shared" si="8"/>
        <v>104</v>
      </c>
      <c r="AH4">
        <f t="shared" si="9"/>
        <v>193.51121271972269</v>
      </c>
      <c r="AI4" s="2">
        <f t="shared" ca="1" si="10"/>
        <v>711</v>
      </c>
      <c r="AJ4">
        <f t="shared" si="11"/>
        <v>4618</v>
      </c>
    </row>
    <row r="5" spans="1:41" x14ac:dyDescent="0.25">
      <c r="B5" s="360">
        <v>43132</v>
      </c>
      <c r="C5" s="7">
        <v>97</v>
      </c>
      <c r="D5" s="43">
        <v>35.22</v>
      </c>
      <c r="E5" s="43">
        <v>0</v>
      </c>
      <c r="F5" s="43">
        <f>C5*D5+E5</f>
        <v>3416.3399999999997</v>
      </c>
      <c r="G5" s="360">
        <v>43217</v>
      </c>
      <c r="H5" s="77">
        <v>100</v>
      </c>
      <c r="I5" s="43">
        <v>23.89</v>
      </c>
      <c r="J5" s="43">
        <v>0.06</v>
      </c>
      <c r="K5" s="43">
        <f t="shared" si="0"/>
        <v>2388.94</v>
      </c>
      <c r="L5" s="69">
        <v>43399</v>
      </c>
      <c r="M5" s="43">
        <v>78</v>
      </c>
      <c r="O5" s="11" t="s">
        <v>67</v>
      </c>
      <c r="Q5" s="3">
        <f>Q4*Q2</f>
        <v>4618</v>
      </c>
      <c r="W5" s="131"/>
      <c r="Z5">
        <f t="shared" si="1"/>
        <v>34</v>
      </c>
      <c r="AA5" s="2">
        <f t="shared" si="2"/>
        <v>3416.3399999999997</v>
      </c>
      <c r="AB5">
        <f t="shared" si="3"/>
        <v>3777.6558943258942</v>
      </c>
      <c r="AC5">
        <f t="shared" si="4"/>
        <v>119</v>
      </c>
      <c r="AD5" s="2">
        <f t="shared" si="5"/>
        <v>2388.94</v>
      </c>
      <c r="AE5">
        <f t="shared" si="6"/>
        <v>3396.4077741528404</v>
      </c>
      <c r="AF5">
        <f t="shared" si="7"/>
        <v>301</v>
      </c>
      <c r="AG5" s="2">
        <f t="shared" si="8"/>
        <v>78</v>
      </c>
      <c r="AH5">
        <f t="shared" si="9"/>
        <v>189.94401304830873</v>
      </c>
      <c r="AI5" s="2">
        <f t="shared" ca="1" si="10"/>
        <v>711</v>
      </c>
      <c r="AJ5">
        <f t="shared" si="11"/>
        <v>4618</v>
      </c>
    </row>
    <row r="6" spans="1:41" x14ac:dyDescent="0.25">
      <c r="B6" s="360">
        <v>43132</v>
      </c>
      <c r="C6" s="7">
        <v>3</v>
      </c>
      <c r="D6" s="43">
        <v>35.22</v>
      </c>
      <c r="E6" s="43">
        <v>0</v>
      </c>
      <c r="F6" s="43">
        <f>C6*D6+E6</f>
        <v>105.66</v>
      </c>
      <c r="G6" s="360">
        <v>43272</v>
      </c>
      <c r="H6" s="77">
        <v>200</v>
      </c>
      <c r="I6" s="43">
        <v>24.88</v>
      </c>
      <c r="J6" s="43">
        <v>0.06</v>
      </c>
      <c r="K6" s="43">
        <f t="shared" si="0"/>
        <v>4975.9399999999996</v>
      </c>
      <c r="L6" s="69">
        <v>43490</v>
      </c>
      <c r="M6" s="43">
        <v>78</v>
      </c>
      <c r="O6" s="11" t="s">
        <v>64</v>
      </c>
      <c r="Q6" s="2">
        <f>Q3*Q2</f>
        <v>5864.9700000000012</v>
      </c>
      <c r="T6" s="1">
        <v>43032</v>
      </c>
      <c r="U6" t="s">
        <v>812</v>
      </c>
      <c r="W6" s="131"/>
      <c r="Z6">
        <f t="shared" si="1"/>
        <v>34</v>
      </c>
      <c r="AA6" s="2">
        <f t="shared" si="2"/>
        <v>105.66</v>
      </c>
      <c r="AB6">
        <f t="shared" si="3"/>
        <v>116.83471838121322</v>
      </c>
      <c r="AC6">
        <f t="shared" si="4"/>
        <v>174</v>
      </c>
      <c r="AD6" s="2">
        <f t="shared" si="5"/>
        <v>4975.9399999999996</v>
      </c>
      <c r="AE6">
        <f t="shared" si="6"/>
        <v>8323.7362072375236</v>
      </c>
      <c r="AF6">
        <f t="shared" si="7"/>
        <v>392</v>
      </c>
      <c r="AG6" s="2">
        <f t="shared" si="8"/>
        <v>78</v>
      </c>
      <c r="AH6">
        <f t="shared" si="9"/>
        <v>248.59009519103307</v>
      </c>
      <c r="AI6" s="2">
        <f t="shared" ca="1" si="10"/>
        <v>711</v>
      </c>
      <c r="AJ6">
        <f t="shared" si="11"/>
        <v>4618</v>
      </c>
    </row>
    <row r="7" spans="1:41" x14ac:dyDescent="0.25">
      <c r="B7" s="360">
        <v>43160</v>
      </c>
      <c r="C7" s="7">
        <v>100</v>
      </c>
      <c r="D7" s="43">
        <v>28.28</v>
      </c>
      <c r="E7" s="43">
        <v>0</v>
      </c>
      <c r="F7" s="43">
        <f t="shared" ref="F7:F23" si="12">C7*D7+E7</f>
        <v>2828</v>
      </c>
      <c r="G7" s="360">
        <v>43276</v>
      </c>
      <c r="H7" s="77">
        <v>100</v>
      </c>
      <c r="I7" s="43">
        <v>25.28</v>
      </c>
      <c r="J7" s="43">
        <v>0.03</v>
      </c>
      <c r="K7" s="43">
        <f t="shared" si="0"/>
        <v>2527.9699999999998</v>
      </c>
      <c r="L7" s="69">
        <v>43581</v>
      </c>
      <c r="M7" s="43">
        <v>78</v>
      </c>
      <c r="O7" s="11" t="s">
        <v>175</v>
      </c>
      <c r="Q7" s="2">
        <f>Q10+Q8</f>
        <v>-1246.9700000000012</v>
      </c>
      <c r="R7">
        <v>200</v>
      </c>
      <c r="T7" s="1"/>
      <c r="W7" s="131"/>
      <c r="Z7">
        <f t="shared" si="1"/>
        <v>62</v>
      </c>
      <c r="AA7" s="2">
        <f t="shared" si="2"/>
        <v>2828</v>
      </c>
      <c r="AB7">
        <f t="shared" si="3"/>
        <v>3397.0120510903221</v>
      </c>
      <c r="AC7">
        <f t="shared" si="4"/>
        <v>178</v>
      </c>
      <c r="AD7" s="2">
        <f t="shared" si="5"/>
        <v>2527.9699999999998</v>
      </c>
      <c r="AE7">
        <f t="shared" si="6"/>
        <v>4279.092885300427</v>
      </c>
      <c r="AF7">
        <f t="shared" si="7"/>
        <v>483</v>
      </c>
      <c r="AG7" s="2">
        <f t="shared" si="8"/>
        <v>78</v>
      </c>
      <c r="AH7">
        <f t="shared" si="9"/>
        <v>325.34342322950681</v>
      </c>
      <c r="AI7" s="2">
        <f t="shared" ca="1" si="10"/>
        <v>711</v>
      </c>
      <c r="AJ7">
        <f t="shared" si="11"/>
        <v>4618</v>
      </c>
    </row>
    <row r="8" spans="1:41" x14ac:dyDescent="0.25">
      <c r="B8" s="360">
        <v>43160</v>
      </c>
      <c r="C8" s="7">
        <v>100</v>
      </c>
      <c r="D8" s="43">
        <v>24</v>
      </c>
      <c r="E8" s="43">
        <v>0</v>
      </c>
      <c r="F8" s="43">
        <f t="shared" si="12"/>
        <v>2400</v>
      </c>
      <c r="G8" s="360">
        <v>43304</v>
      </c>
      <c r="H8" s="77">
        <v>100</v>
      </c>
      <c r="I8" s="43">
        <v>24.28</v>
      </c>
      <c r="J8" s="43">
        <v>0.03</v>
      </c>
      <c r="K8" s="43">
        <f t="shared" si="0"/>
        <v>2427.9699999999998</v>
      </c>
      <c r="L8" s="69">
        <v>43672</v>
      </c>
      <c r="M8" s="43">
        <v>52</v>
      </c>
      <c r="O8" s="11" t="s">
        <v>177</v>
      </c>
      <c r="P8" s="33"/>
      <c r="Q8" s="2">
        <f>K28+M28-F28+Q2*Q4</f>
        <v>-1246.9700000000012</v>
      </c>
      <c r="T8" s="1">
        <v>43121</v>
      </c>
      <c r="U8" t="s">
        <v>830</v>
      </c>
      <c r="W8" s="131"/>
      <c r="Z8">
        <f t="shared" si="1"/>
        <v>62</v>
      </c>
      <c r="AA8" s="2">
        <f t="shared" si="2"/>
        <v>2400</v>
      </c>
      <c r="AB8">
        <f t="shared" si="3"/>
        <v>2882.8956586339368</v>
      </c>
      <c r="AC8">
        <f t="shared" si="4"/>
        <v>206</v>
      </c>
      <c r="AD8" s="2">
        <f t="shared" si="5"/>
        <v>2427.9699999999998</v>
      </c>
      <c r="AE8">
        <f t="shared" si="6"/>
        <v>4464.5684610362905</v>
      </c>
      <c r="AF8">
        <f t="shared" si="7"/>
        <v>574</v>
      </c>
      <c r="AG8" s="2">
        <f t="shared" si="8"/>
        <v>52</v>
      </c>
      <c r="AH8">
        <f t="shared" si="9"/>
        <v>283.86312806054775</v>
      </c>
      <c r="AI8" s="2">
        <f t="shared" ca="1" si="10"/>
        <v>711</v>
      </c>
      <c r="AJ8">
        <f t="shared" si="11"/>
        <v>4618</v>
      </c>
    </row>
    <row r="9" spans="1:41" x14ac:dyDescent="0.25">
      <c r="B9" s="360">
        <v>43160</v>
      </c>
      <c r="C9" s="7">
        <v>100</v>
      </c>
      <c r="D9" s="43">
        <v>22.58</v>
      </c>
      <c r="E9" s="43">
        <v>0</v>
      </c>
      <c r="F9" s="43">
        <f t="shared" si="12"/>
        <v>2258</v>
      </c>
      <c r="G9" s="360">
        <v>43311</v>
      </c>
      <c r="H9" s="77">
        <v>100</v>
      </c>
      <c r="I9" s="43">
        <v>24.28</v>
      </c>
      <c r="J9" s="43">
        <v>0.03</v>
      </c>
      <c r="K9" s="43">
        <f t="shared" si="0"/>
        <v>2427.9699999999998</v>
      </c>
      <c r="L9" s="69">
        <v>43765</v>
      </c>
      <c r="M9" s="43">
        <v>104</v>
      </c>
      <c r="O9" s="11" t="s">
        <v>202</v>
      </c>
      <c r="Q9" s="131">
        <f>IF(Q2=0, 0, Q8/Q6)</f>
        <v>-0.21261319324736544</v>
      </c>
      <c r="W9" s="131"/>
      <c r="Z9">
        <f t="shared" si="1"/>
        <v>62</v>
      </c>
      <c r="AA9" s="2">
        <f t="shared" si="2"/>
        <v>2258</v>
      </c>
      <c r="AB9">
        <f t="shared" si="3"/>
        <v>2712.3243321647624</v>
      </c>
      <c r="AC9">
        <f t="shared" si="4"/>
        <v>213</v>
      </c>
      <c r="AD9" s="2">
        <f t="shared" si="5"/>
        <v>2427.9699999999998</v>
      </c>
      <c r="AE9">
        <f t="shared" si="6"/>
        <v>4557.9397505702782</v>
      </c>
      <c r="AF9">
        <f t="shared" si="7"/>
        <v>667</v>
      </c>
      <c r="AG9" s="2">
        <f t="shared" si="8"/>
        <v>104</v>
      </c>
      <c r="AH9">
        <f t="shared" si="9"/>
        <v>747.42135734121291</v>
      </c>
      <c r="AI9" s="2">
        <f t="shared" ca="1" si="10"/>
        <v>711</v>
      </c>
      <c r="AJ9">
        <f t="shared" si="11"/>
        <v>4618</v>
      </c>
    </row>
    <row r="10" spans="1:41" x14ac:dyDescent="0.25">
      <c r="B10" s="360">
        <v>43178</v>
      </c>
      <c r="C10" s="7">
        <v>100</v>
      </c>
      <c r="D10" s="43">
        <v>23.28</v>
      </c>
      <c r="E10" s="43">
        <v>0</v>
      </c>
      <c r="F10" s="43">
        <f t="shared" si="12"/>
        <v>2328</v>
      </c>
      <c r="G10" s="360">
        <v>43318</v>
      </c>
      <c r="H10" s="77">
        <v>100</v>
      </c>
      <c r="I10" s="43">
        <v>24.95</v>
      </c>
      <c r="J10" s="43">
        <v>0.03</v>
      </c>
      <c r="K10" s="43">
        <f t="shared" si="0"/>
        <v>2494.9699999999998</v>
      </c>
      <c r="O10" s="11" t="s">
        <v>201</v>
      </c>
      <c r="P10" s="33"/>
      <c r="Q10" s="2">
        <f>M105</f>
        <v>0</v>
      </c>
      <c r="T10" s="1">
        <v>43160</v>
      </c>
      <c r="U10" t="s">
        <v>902</v>
      </c>
      <c r="W10" s="131"/>
      <c r="Z10">
        <f t="shared" si="1"/>
        <v>80</v>
      </c>
      <c r="AA10" s="2">
        <f t="shared" si="2"/>
        <v>2328</v>
      </c>
      <c r="AB10">
        <f t="shared" si="3"/>
        <v>2949.2763579708198</v>
      </c>
      <c r="AC10">
        <f t="shared" si="4"/>
        <v>220</v>
      </c>
      <c r="AD10" s="2">
        <f t="shared" si="5"/>
        <v>2494.9699999999998</v>
      </c>
      <c r="AE10">
        <f t="shared" si="6"/>
        <v>4781.6709287615568</v>
      </c>
      <c r="AF10">
        <f t="shared" si="7"/>
        <v>-43098</v>
      </c>
      <c r="AG10" s="2">
        <f t="shared" si="8"/>
        <v>0</v>
      </c>
      <c r="AH10">
        <f t="shared" si="9"/>
        <v>0</v>
      </c>
      <c r="AI10" s="2">
        <f t="shared" ca="1" si="10"/>
        <v>711</v>
      </c>
      <c r="AJ10">
        <f t="shared" si="11"/>
        <v>4618</v>
      </c>
    </row>
    <row r="11" spans="1:41" x14ac:dyDescent="0.25">
      <c r="B11" s="360">
        <v>43181</v>
      </c>
      <c r="C11" s="7">
        <v>97</v>
      </c>
      <c r="D11" s="43">
        <v>22.1</v>
      </c>
      <c r="E11" s="43">
        <v>0</v>
      </c>
      <c r="F11" s="43">
        <f t="shared" si="12"/>
        <v>2143.7000000000003</v>
      </c>
      <c r="G11" s="360">
        <v>43332</v>
      </c>
      <c r="H11" s="77">
        <v>100</v>
      </c>
      <c r="I11" s="43">
        <v>23.98</v>
      </c>
      <c r="J11" s="43">
        <v>0.03</v>
      </c>
      <c r="K11" s="43">
        <f t="shared" si="0"/>
        <v>2397.9699999999998</v>
      </c>
      <c r="O11" s="11" t="s">
        <v>173</v>
      </c>
      <c r="P11" s="33"/>
      <c r="Q11" s="131">
        <f>R11*4/Q4</f>
        <v>4.5041143352100479E-2</v>
      </c>
      <c r="R11">
        <f>0.26</f>
        <v>0.26</v>
      </c>
      <c r="W11" s="131"/>
      <c r="Z11">
        <f t="shared" si="1"/>
        <v>83</v>
      </c>
      <c r="AA11" s="2">
        <f t="shared" si="2"/>
        <v>2143.7000000000003</v>
      </c>
      <c r="AB11">
        <f t="shared" si="3"/>
        <v>2739.9899502560088</v>
      </c>
      <c r="AC11">
        <f t="shared" si="4"/>
        <v>234</v>
      </c>
      <c r="AD11" s="2">
        <f t="shared" si="5"/>
        <v>2397.9699999999998</v>
      </c>
      <c r="AE11">
        <f t="shared" si="6"/>
        <v>4790.0085530455881</v>
      </c>
      <c r="AF11">
        <f t="shared" si="7"/>
        <v>-43098</v>
      </c>
      <c r="AG11" s="2">
        <f t="shared" si="8"/>
        <v>0</v>
      </c>
      <c r="AH11">
        <f t="shared" si="9"/>
        <v>0</v>
      </c>
      <c r="AI11" s="2">
        <f t="shared" ca="1" si="10"/>
        <v>711</v>
      </c>
      <c r="AJ11">
        <f t="shared" si="11"/>
        <v>4618</v>
      </c>
    </row>
    <row r="12" spans="1:41" x14ac:dyDescent="0.25">
      <c r="B12" s="360">
        <v>43182</v>
      </c>
      <c r="C12" s="7">
        <v>100</v>
      </c>
      <c r="D12" s="43">
        <v>22.1</v>
      </c>
      <c r="E12" s="43">
        <v>0</v>
      </c>
      <c r="F12" s="43">
        <f t="shared" si="12"/>
        <v>2210</v>
      </c>
      <c r="G12" s="360">
        <v>43339</v>
      </c>
      <c r="H12" s="77">
        <v>100</v>
      </c>
      <c r="I12" s="43">
        <v>23.84</v>
      </c>
      <c r="J12" s="43">
        <v>0.03</v>
      </c>
      <c r="K12" s="43">
        <f t="shared" si="0"/>
        <v>2383.9699999999998</v>
      </c>
      <c r="O12" s="11" t="s">
        <v>875</v>
      </c>
      <c r="Q12" s="19" t="s">
        <v>1345</v>
      </c>
      <c r="T12" s="1">
        <v>43223</v>
      </c>
      <c r="U12" t="s">
        <v>985</v>
      </c>
      <c r="W12" s="131"/>
      <c r="Z12">
        <f t="shared" si="1"/>
        <v>84</v>
      </c>
      <c r="AA12" s="2">
        <f t="shared" si="2"/>
        <v>2210</v>
      </c>
      <c r="AB12">
        <f t="shared" si="3"/>
        <v>2833.0966581975918</v>
      </c>
      <c r="AC12">
        <f t="shared" si="4"/>
        <v>241</v>
      </c>
      <c r="AD12" s="2">
        <f t="shared" si="5"/>
        <v>2383.9699999999998</v>
      </c>
      <c r="AE12">
        <f t="shared" si="6"/>
        <v>4861.635811975756</v>
      </c>
      <c r="AF12">
        <f t="shared" si="7"/>
        <v>-43098</v>
      </c>
      <c r="AG12" s="2">
        <f t="shared" si="8"/>
        <v>0</v>
      </c>
      <c r="AH12">
        <f t="shared" si="9"/>
        <v>0</v>
      </c>
      <c r="AI12" s="2">
        <f t="shared" ca="1" si="10"/>
        <v>711</v>
      </c>
      <c r="AJ12">
        <f t="shared" si="11"/>
        <v>4618</v>
      </c>
    </row>
    <row r="13" spans="1:41" x14ac:dyDescent="0.25">
      <c r="B13" s="360">
        <v>43220</v>
      </c>
      <c r="C13" s="7">
        <v>100</v>
      </c>
      <c r="D13" s="43">
        <v>23.27</v>
      </c>
      <c r="E13" s="43">
        <v>0</v>
      </c>
      <c r="F13" s="43">
        <f t="shared" si="12"/>
        <v>2327</v>
      </c>
      <c r="G13" s="360">
        <v>43348</v>
      </c>
      <c r="H13" s="77">
        <v>100</v>
      </c>
      <c r="I13" s="43">
        <v>24.28</v>
      </c>
      <c r="J13" s="43">
        <v>0.03</v>
      </c>
      <c r="K13" s="43">
        <f t="shared" si="0"/>
        <v>2427.9699999999998</v>
      </c>
      <c r="O13" s="11" t="s">
        <v>901</v>
      </c>
      <c r="Q13" s="2">
        <f>Q4/(1.65+1.75)*2</f>
        <v>13.58235294117647</v>
      </c>
      <c r="U13" t="s">
        <v>986</v>
      </c>
      <c r="W13" s="131"/>
      <c r="Z13">
        <f t="shared" si="1"/>
        <v>122</v>
      </c>
      <c r="AA13" s="2">
        <f t="shared" si="2"/>
        <v>2327</v>
      </c>
      <c r="AB13">
        <f t="shared" si="3"/>
        <v>3337.8240212501041</v>
      </c>
      <c r="AC13">
        <f t="shared" si="4"/>
        <v>250</v>
      </c>
      <c r="AD13" s="2">
        <f t="shared" si="5"/>
        <v>2427.9699999999998</v>
      </c>
      <c r="AE13">
        <f t="shared" si="6"/>
        <v>5084.8993195101566</v>
      </c>
      <c r="AF13">
        <f t="shared" si="7"/>
        <v>-43098</v>
      </c>
      <c r="AG13" s="2">
        <f t="shared" si="8"/>
        <v>0</v>
      </c>
      <c r="AH13">
        <f t="shared" si="9"/>
        <v>0</v>
      </c>
      <c r="AI13" s="2">
        <f t="shared" ca="1" si="10"/>
        <v>711</v>
      </c>
      <c r="AJ13">
        <f t="shared" si="11"/>
        <v>4618</v>
      </c>
    </row>
    <row r="14" spans="1:41" x14ac:dyDescent="0.25">
      <c r="B14" s="360">
        <v>43228</v>
      </c>
      <c r="C14" s="7">
        <v>100</v>
      </c>
      <c r="D14" s="43">
        <v>22.08</v>
      </c>
      <c r="E14" s="43">
        <v>0</v>
      </c>
      <c r="F14" s="43">
        <f t="shared" si="12"/>
        <v>2208</v>
      </c>
      <c r="G14" s="360">
        <v>43431</v>
      </c>
      <c r="H14" s="77">
        <v>100</v>
      </c>
      <c r="I14" s="43">
        <v>26.28</v>
      </c>
      <c r="J14" s="43">
        <v>0.03</v>
      </c>
      <c r="K14" s="43">
        <f t="shared" si="0"/>
        <v>2627.97</v>
      </c>
      <c r="O14" s="11" t="s">
        <v>988</v>
      </c>
      <c r="Q14" s="29">
        <v>43324</v>
      </c>
      <c r="U14" t="s">
        <v>987</v>
      </c>
      <c r="W14" s="131"/>
      <c r="Z14">
        <f t="shared" si="1"/>
        <v>130</v>
      </c>
      <c r="AA14" s="2">
        <f t="shared" si="2"/>
        <v>2208</v>
      </c>
      <c r="AB14">
        <f t="shared" si="3"/>
        <v>3242.9434153422349</v>
      </c>
      <c r="AC14">
        <f t="shared" si="4"/>
        <v>333</v>
      </c>
      <c r="AD14" s="2">
        <f t="shared" si="5"/>
        <v>2627.97</v>
      </c>
      <c r="AE14">
        <f t="shared" si="6"/>
        <v>7034.6809808873149</v>
      </c>
      <c r="AF14">
        <f t="shared" si="7"/>
        <v>-43098</v>
      </c>
      <c r="AG14" s="2">
        <f t="shared" si="8"/>
        <v>0</v>
      </c>
      <c r="AH14">
        <f t="shared" si="9"/>
        <v>0</v>
      </c>
      <c r="AI14" s="2">
        <f t="shared" ca="1" si="10"/>
        <v>711</v>
      </c>
      <c r="AJ14">
        <f t="shared" si="11"/>
        <v>4618</v>
      </c>
    </row>
    <row r="15" spans="1:41" x14ac:dyDescent="0.25">
      <c r="B15" s="360">
        <v>43276</v>
      </c>
      <c r="C15" s="7">
        <v>100</v>
      </c>
      <c r="D15" s="43">
        <v>23.58</v>
      </c>
      <c r="E15" s="43">
        <v>0</v>
      </c>
      <c r="F15" s="43">
        <f t="shared" si="12"/>
        <v>2358</v>
      </c>
      <c r="G15" s="360">
        <v>43641</v>
      </c>
      <c r="H15" s="77">
        <v>100</v>
      </c>
      <c r="I15" s="43">
        <v>24.28</v>
      </c>
      <c r="J15" s="43">
        <v>0.05</v>
      </c>
      <c r="K15" s="43">
        <f t="shared" si="0"/>
        <v>2427.9499999999998</v>
      </c>
      <c r="W15" s="131"/>
      <c r="Z15">
        <f t="shared" si="1"/>
        <v>178</v>
      </c>
      <c r="AA15" s="2">
        <f t="shared" si="2"/>
        <v>2358</v>
      </c>
      <c r="AB15">
        <f t="shared" si="3"/>
        <v>3991.3847963141998</v>
      </c>
      <c r="AC15">
        <f t="shared" si="4"/>
        <v>543</v>
      </c>
      <c r="AD15" s="2">
        <f t="shared" si="5"/>
        <v>2427.9499999999998</v>
      </c>
      <c r="AE15">
        <f t="shared" si="6"/>
        <v>12093.069204894953</v>
      </c>
      <c r="AF15">
        <f t="shared" si="7"/>
        <v>-43098</v>
      </c>
      <c r="AG15" s="2">
        <f t="shared" si="8"/>
        <v>0</v>
      </c>
      <c r="AH15">
        <f t="shared" si="9"/>
        <v>0</v>
      </c>
      <c r="AI15" s="2">
        <f t="shared" ca="1" si="10"/>
        <v>711</v>
      </c>
      <c r="AJ15">
        <f t="shared" si="11"/>
        <v>4618</v>
      </c>
    </row>
    <row r="16" spans="1:41" x14ac:dyDescent="0.25">
      <c r="B16" s="360">
        <v>43306</v>
      </c>
      <c r="C16" s="7">
        <v>100</v>
      </c>
      <c r="D16" s="43">
        <v>23.72</v>
      </c>
      <c r="E16" s="43">
        <v>0</v>
      </c>
      <c r="F16" s="43">
        <f t="shared" si="12"/>
        <v>2372</v>
      </c>
      <c r="G16" s="360">
        <v>43649</v>
      </c>
      <c r="H16" s="77">
        <v>100</v>
      </c>
      <c r="I16" s="43">
        <v>22.7</v>
      </c>
      <c r="J16" s="43">
        <v>0.05</v>
      </c>
      <c r="K16" s="43">
        <f t="shared" si="0"/>
        <v>2269.9499999999998</v>
      </c>
      <c r="T16" s="1">
        <v>43228</v>
      </c>
      <c r="U16" t="s">
        <v>999</v>
      </c>
      <c r="W16" s="131"/>
      <c r="Z16">
        <f>B26-$B$2</f>
        <v>-43098</v>
      </c>
      <c r="AA16" s="2">
        <f>F26</f>
        <v>0</v>
      </c>
      <c r="AB16">
        <f t="shared" si="3"/>
        <v>0</v>
      </c>
      <c r="AC16">
        <f>G26-$B$2</f>
        <v>-43098</v>
      </c>
      <c r="AD16" s="2">
        <f>K26</f>
        <v>0</v>
      </c>
      <c r="AE16">
        <f t="shared" si="6"/>
        <v>0</v>
      </c>
      <c r="AF16">
        <f>L26-$B$2</f>
        <v>-43098</v>
      </c>
      <c r="AG16" s="2">
        <f>M26</f>
        <v>0</v>
      </c>
      <c r="AH16">
        <f t="shared" si="9"/>
        <v>0</v>
      </c>
      <c r="AI16" s="2">
        <f t="shared" ca="1" si="10"/>
        <v>711</v>
      </c>
      <c r="AJ16">
        <f t="shared" si="11"/>
        <v>4618</v>
      </c>
    </row>
    <row r="17" spans="1:39" x14ac:dyDescent="0.25">
      <c r="B17" s="360">
        <v>43307</v>
      </c>
      <c r="C17" s="7">
        <v>100</v>
      </c>
      <c r="D17" s="43">
        <v>23.28</v>
      </c>
      <c r="E17" s="43">
        <v>0</v>
      </c>
      <c r="F17" s="43">
        <f t="shared" si="12"/>
        <v>2328</v>
      </c>
      <c r="G17" s="360">
        <v>43791</v>
      </c>
      <c r="H17" s="77">
        <v>6</v>
      </c>
      <c r="I17" s="43">
        <v>19.420000000000002</v>
      </c>
      <c r="J17" s="43">
        <v>0.01</v>
      </c>
      <c r="K17" s="43">
        <f t="shared" si="0"/>
        <v>116.51</v>
      </c>
      <c r="W17" s="131"/>
      <c r="Z17">
        <f>B27-$B$2</f>
        <v>-43098</v>
      </c>
      <c r="AA17" s="2">
        <f>F27</f>
        <v>0</v>
      </c>
      <c r="AB17">
        <f t="shared" si="3"/>
        <v>0</v>
      </c>
      <c r="AC17">
        <f>G27-$B$2</f>
        <v>-43098</v>
      </c>
      <c r="AD17" s="2">
        <f>K27</f>
        <v>0</v>
      </c>
      <c r="AE17">
        <f t="shared" si="6"/>
        <v>0</v>
      </c>
      <c r="AF17">
        <f>L27-$B$2</f>
        <v>-43098</v>
      </c>
      <c r="AG17" s="2">
        <f>M27</f>
        <v>0</v>
      </c>
      <c r="AH17">
        <f t="shared" si="9"/>
        <v>0</v>
      </c>
      <c r="AI17" s="2">
        <f t="shared" ca="1" si="10"/>
        <v>711</v>
      </c>
      <c r="AJ17">
        <f t="shared" si="11"/>
        <v>4618</v>
      </c>
      <c r="AM17" s="2"/>
    </row>
    <row r="18" spans="1:39" ht="20.25" thickBot="1" x14ac:dyDescent="0.35">
      <c r="B18" s="360">
        <v>43319</v>
      </c>
      <c r="C18" s="7">
        <v>100</v>
      </c>
      <c r="D18" s="43">
        <v>22.68</v>
      </c>
      <c r="E18" s="43">
        <v>0</v>
      </c>
      <c r="F18" s="43">
        <f t="shared" si="12"/>
        <v>2268</v>
      </c>
      <c r="G18" s="360">
        <v>43794</v>
      </c>
      <c r="H18" s="77">
        <v>94</v>
      </c>
      <c r="I18" s="43">
        <v>19.649999999999999</v>
      </c>
      <c r="J18" s="43">
        <v>0.04</v>
      </c>
      <c r="K18" s="43">
        <f t="shared" si="0"/>
        <v>1847.06</v>
      </c>
      <c r="O18" s="886" t="s">
        <v>78</v>
      </c>
      <c r="P18" s="886"/>
      <c r="T18" s="1">
        <v>43236</v>
      </c>
      <c r="U18" t="s">
        <v>1012</v>
      </c>
      <c r="W18" s="131"/>
    </row>
    <row r="19" spans="1:39" ht="15.75" thickTop="1" x14ac:dyDescent="0.25">
      <c r="B19" s="360">
        <v>43336</v>
      </c>
      <c r="C19" s="7">
        <v>200</v>
      </c>
      <c r="D19" s="43">
        <v>23.15</v>
      </c>
      <c r="E19" s="43">
        <v>0</v>
      </c>
      <c r="F19" s="43">
        <f t="shared" si="12"/>
        <v>4630</v>
      </c>
      <c r="G19" s="360">
        <v>43804</v>
      </c>
      <c r="H19" s="77">
        <v>100</v>
      </c>
      <c r="I19" s="43">
        <v>22.8</v>
      </c>
      <c r="J19" s="43">
        <v>0.05</v>
      </c>
      <c r="K19" s="43">
        <f t="shared" si="0"/>
        <v>2279.9499999999998</v>
      </c>
      <c r="O19" s="78">
        <v>1.1000000000000001</v>
      </c>
      <c r="P19" s="78">
        <f>O19*$Q$4</f>
        <v>25.399000000000001</v>
      </c>
      <c r="W19" s="131"/>
    </row>
    <row r="20" spans="1:39" x14ac:dyDescent="0.25">
      <c r="B20" s="360">
        <v>43440</v>
      </c>
      <c r="C20" s="7">
        <v>100</v>
      </c>
      <c r="D20" s="43">
        <v>23.38</v>
      </c>
      <c r="E20" s="43">
        <v>0</v>
      </c>
      <c r="F20" s="43">
        <f t="shared" si="12"/>
        <v>2338</v>
      </c>
      <c r="G20" s="4"/>
      <c r="H20" s="67"/>
      <c r="O20" s="78">
        <v>1.0900000000000001</v>
      </c>
      <c r="P20" s="78">
        <f t="shared" ref="P20:P39" si="13">O20*$Q$4</f>
        <v>25.168100000000003</v>
      </c>
      <c r="T20" s="1">
        <v>43244</v>
      </c>
      <c r="U20" t="s">
        <v>1026</v>
      </c>
      <c r="W20" s="131"/>
    </row>
    <row r="21" spans="1:39" x14ac:dyDescent="0.25">
      <c r="B21" s="360">
        <v>43647</v>
      </c>
      <c r="C21" s="7">
        <v>100</v>
      </c>
      <c r="D21" s="43">
        <v>22.215</v>
      </c>
      <c r="E21" s="43">
        <v>0</v>
      </c>
      <c r="F21" s="43">
        <f t="shared" si="12"/>
        <v>2221.5</v>
      </c>
      <c r="O21" s="78">
        <v>1.08</v>
      </c>
      <c r="P21" s="78">
        <f t="shared" si="13"/>
        <v>24.937200000000001</v>
      </c>
      <c r="W21" s="131"/>
    </row>
    <row r="22" spans="1:39" x14ac:dyDescent="0.25">
      <c r="B22" s="69">
        <v>43657</v>
      </c>
      <c r="C22" s="7">
        <v>100</v>
      </c>
      <c r="D22" s="43">
        <v>21.35</v>
      </c>
      <c r="E22" s="43">
        <v>0</v>
      </c>
      <c r="F22" s="43">
        <f t="shared" si="12"/>
        <v>2135</v>
      </c>
      <c r="H22" s="67"/>
      <c r="O22" s="78">
        <v>1.07</v>
      </c>
      <c r="P22" s="78">
        <f t="shared" si="13"/>
        <v>24.706300000000002</v>
      </c>
      <c r="T22" s="680">
        <v>43288</v>
      </c>
      <c r="U22" t="s">
        <v>1107</v>
      </c>
      <c r="W22" s="131"/>
    </row>
    <row r="23" spans="1:39" x14ac:dyDescent="0.25">
      <c r="B23" s="69">
        <v>43682</v>
      </c>
      <c r="C23" s="7">
        <v>100</v>
      </c>
      <c r="D23" s="43">
        <v>18.600000000000001</v>
      </c>
      <c r="E23" s="43">
        <v>0</v>
      </c>
      <c r="F23" s="43">
        <f t="shared" si="12"/>
        <v>1860.0000000000002</v>
      </c>
      <c r="O23" s="78">
        <v>1.06</v>
      </c>
      <c r="P23" s="78">
        <f t="shared" si="13"/>
        <v>24.4754</v>
      </c>
      <c r="T23" s="695"/>
      <c r="W23" s="131"/>
    </row>
    <row r="24" spans="1:39" x14ac:dyDescent="0.25">
      <c r="A24" t="s">
        <v>1359</v>
      </c>
      <c r="C24" s="4"/>
      <c r="D24" s="3"/>
      <c r="E24" s="3"/>
      <c r="F24" s="3"/>
      <c r="H24" s="67"/>
      <c r="O24" s="78">
        <v>1.05</v>
      </c>
      <c r="P24" s="78">
        <f t="shared" si="13"/>
        <v>24.244500000000002</v>
      </c>
      <c r="T24" s="695"/>
      <c r="W24" s="131"/>
    </row>
    <row r="25" spans="1:39" x14ac:dyDescent="0.25">
      <c r="O25" s="78">
        <v>1.04</v>
      </c>
      <c r="P25" s="78">
        <f t="shared" si="13"/>
        <v>24.0136</v>
      </c>
      <c r="T25" s="680">
        <v>43318</v>
      </c>
      <c r="U25" t="s">
        <v>1112</v>
      </c>
      <c r="W25" s="131"/>
    </row>
    <row r="26" spans="1:39" x14ac:dyDescent="0.25">
      <c r="C26" s="4"/>
      <c r="D26" s="3"/>
      <c r="E26" s="3"/>
      <c r="F26" s="3"/>
      <c r="H26" s="67"/>
      <c r="O26" s="78">
        <v>1.03</v>
      </c>
      <c r="P26" s="78">
        <f t="shared" si="13"/>
        <v>23.782700000000002</v>
      </c>
      <c r="T26" s="695"/>
      <c r="W26" s="131"/>
    </row>
    <row r="27" spans="1:39" x14ac:dyDescent="0.25">
      <c r="O27" s="78">
        <v>1.02</v>
      </c>
      <c r="P27" s="78">
        <f t="shared" si="13"/>
        <v>23.5518</v>
      </c>
      <c r="T27" s="1">
        <v>43342</v>
      </c>
      <c r="U27" t="s">
        <v>1210</v>
      </c>
      <c r="W27" s="131"/>
    </row>
    <row r="28" spans="1:39" x14ac:dyDescent="0.25">
      <c r="A28" s="31" t="s">
        <v>81</v>
      </c>
      <c r="B28" s="14"/>
      <c r="C28" s="14">
        <f>SUM(C2:C26)</f>
        <v>2097</v>
      </c>
      <c r="D28" s="18"/>
      <c r="E28" s="18"/>
      <c r="F28" s="18">
        <f>SUM(F2:F26)</f>
        <v>52028.2</v>
      </c>
      <c r="G28" s="14"/>
      <c r="H28" s="68">
        <f>SUM(H2:H19)</f>
        <v>1897</v>
      </c>
      <c r="I28" s="18"/>
      <c r="J28" s="18"/>
      <c r="K28" s="18">
        <f>SUM(K2:K19)</f>
        <v>45513.229999999996</v>
      </c>
      <c r="L28" s="14"/>
      <c r="M28" s="18">
        <f>SUM(M2:M10)</f>
        <v>650</v>
      </c>
      <c r="O28" s="78">
        <v>1.01</v>
      </c>
      <c r="P28" s="78">
        <f t="shared" si="13"/>
        <v>23.320900000000002</v>
      </c>
      <c r="U28" s="396" t="s">
        <v>1211</v>
      </c>
      <c r="W28" s="131"/>
    </row>
    <row r="29" spans="1:39" ht="15.75" thickBot="1" x14ac:dyDescent="0.3">
      <c r="A29" s="273" t="s">
        <v>189</v>
      </c>
      <c r="B29" s="274"/>
      <c r="C29" s="275">
        <f>SumByColor($A$29,C2:C27)</f>
        <v>1897</v>
      </c>
      <c r="D29" s="275"/>
      <c r="E29" s="275"/>
      <c r="F29" s="276">
        <f>SumByColor($A$29,F2:F27)</f>
        <v>44735</v>
      </c>
      <c r="G29" s="275"/>
      <c r="H29" s="275">
        <f>SumByColor($A$29,H2:H27)</f>
        <v>1897</v>
      </c>
      <c r="I29" s="275"/>
      <c r="J29" s="275"/>
      <c r="K29" s="276">
        <f>SumByColor($A$29,K2:K27)</f>
        <v>45514</v>
      </c>
      <c r="L29" s="275"/>
      <c r="M29" s="276">
        <f>SumByColor($A$29,M2:M27)</f>
        <v>650</v>
      </c>
      <c r="O29" s="78">
        <v>1</v>
      </c>
      <c r="P29" s="78">
        <f t="shared" si="13"/>
        <v>23.09</v>
      </c>
      <c r="U29" t="s">
        <v>1212</v>
      </c>
      <c r="W29" s="131"/>
    </row>
    <row r="30" spans="1:39" x14ac:dyDescent="0.25">
      <c r="O30" s="78">
        <v>0.99</v>
      </c>
      <c r="P30" s="78">
        <f t="shared" si="13"/>
        <v>22.859099999999998</v>
      </c>
      <c r="W30" s="131"/>
    </row>
    <row r="31" spans="1:39" x14ac:dyDescent="0.25">
      <c r="O31" s="78">
        <v>0.98</v>
      </c>
      <c r="P31" s="78">
        <f t="shared" si="13"/>
        <v>22.6282</v>
      </c>
      <c r="T31" s="1">
        <v>43432</v>
      </c>
      <c r="U31" t="s">
        <v>1272</v>
      </c>
      <c r="W31" s="131"/>
    </row>
    <row r="32" spans="1:39" x14ac:dyDescent="0.25">
      <c r="O32" s="78">
        <v>0.97</v>
      </c>
      <c r="P32" s="78">
        <f t="shared" si="13"/>
        <v>22.397299999999998</v>
      </c>
      <c r="U32" t="s">
        <v>1270</v>
      </c>
      <c r="W32" s="131"/>
    </row>
    <row r="33" spans="1:23" x14ac:dyDescent="0.25">
      <c r="O33" s="78">
        <v>0.96</v>
      </c>
      <c r="P33" s="78">
        <f t="shared" si="13"/>
        <v>22.166399999999999</v>
      </c>
      <c r="U33" t="s">
        <v>1271</v>
      </c>
      <c r="W33" s="131"/>
    </row>
    <row r="34" spans="1:23" x14ac:dyDescent="0.25">
      <c r="B34" s="159" t="s">
        <v>113</v>
      </c>
      <c r="C34" s="159" t="s">
        <v>143</v>
      </c>
      <c r="D34" s="160" t="s">
        <v>142</v>
      </c>
      <c r="E34" s="162" t="s">
        <v>144</v>
      </c>
      <c r="F34" s="162" t="s">
        <v>65</v>
      </c>
      <c r="G34" s="173" t="s">
        <v>148</v>
      </c>
      <c r="H34" s="173" t="s">
        <v>88</v>
      </c>
      <c r="I34" s="173" t="s">
        <v>151</v>
      </c>
      <c r="J34" s="173" t="s">
        <v>452</v>
      </c>
      <c r="K34" s="173"/>
      <c r="L34" s="173" t="s">
        <v>901</v>
      </c>
      <c r="O34" s="78">
        <v>0.95</v>
      </c>
      <c r="P34" s="78">
        <f t="shared" si="13"/>
        <v>21.935499999999998</v>
      </c>
      <c r="W34" s="131"/>
    </row>
    <row r="35" spans="1:23" x14ac:dyDescent="0.25">
      <c r="B35" s="161">
        <v>43098</v>
      </c>
      <c r="C35" s="10">
        <v>100</v>
      </c>
      <c r="D35" s="39">
        <v>36.25</v>
      </c>
      <c r="E35" s="39">
        <v>36.130000000000003</v>
      </c>
      <c r="F35" s="39">
        <f>C35*(E35-D35)</f>
        <v>-11.999999999999744</v>
      </c>
      <c r="G35" s="39">
        <f>D35*C35</f>
        <v>3625</v>
      </c>
      <c r="H35" s="175">
        <f>(E35-D35)/D35</f>
        <v>-3.3103448275861361E-3</v>
      </c>
      <c r="I35" s="39"/>
      <c r="J35" s="39"/>
      <c r="K35" s="39"/>
      <c r="L35" s="39"/>
      <c r="O35" s="78">
        <v>0.94</v>
      </c>
      <c r="P35" s="78">
        <f t="shared" si="13"/>
        <v>21.704599999999999</v>
      </c>
      <c r="T35" s="1">
        <v>43440</v>
      </c>
      <c r="U35" t="s">
        <v>82</v>
      </c>
      <c r="W35" s="131"/>
    </row>
    <row r="36" spans="1:23" x14ac:dyDescent="0.25">
      <c r="B36" s="161">
        <v>43105</v>
      </c>
      <c r="C36" s="10">
        <v>100</v>
      </c>
      <c r="D36" s="39">
        <v>36.25</v>
      </c>
      <c r="E36" s="39">
        <v>37.68</v>
      </c>
      <c r="F36" s="39">
        <f>C36*(E36-D36)</f>
        <v>142.99999999999997</v>
      </c>
      <c r="G36" s="39">
        <f>D36*C36</f>
        <v>3625</v>
      </c>
      <c r="H36" s="175">
        <f>(E36-D36)/D36</f>
        <v>3.9448275862068956E-2</v>
      </c>
      <c r="I36" s="39"/>
      <c r="J36" s="39"/>
      <c r="K36" s="39"/>
      <c r="L36" s="39"/>
      <c r="O36" s="78">
        <v>0.93</v>
      </c>
      <c r="P36" s="78">
        <f t="shared" si="13"/>
        <v>21.473700000000001</v>
      </c>
      <c r="W36" s="131"/>
    </row>
    <row r="37" spans="1:23" x14ac:dyDescent="0.25">
      <c r="B37" s="161">
        <v>43117</v>
      </c>
      <c r="C37" s="10">
        <v>100</v>
      </c>
      <c r="D37" s="39">
        <v>36.25</v>
      </c>
      <c r="E37" s="39">
        <v>36.85</v>
      </c>
      <c r="F37" s="39">
        <f>C37*(E37-D37)</f>
        <v>60.000000000000142</v>
      </c>
      <c r="G37" s="39">
        <f>D37*C37</f>
        <v>3625</v>
      </c>
      <c r="H37" s="175">
        <f>(E37-D37)/D37</f>
        <v>1.6551724137931073E-2</v>
      </c>
      <c r="I37" s="39"/>
      <c r="J37" s="39"/>
      <c r="K37" s="39"/>
      <c r="L37" s="152"/>
      <c r="O37" s="78">
        <v>0.92</v>
      </c>
      <c r="P37" s="78">
        <f t="shared" si="13"/>
        <v>21.242800000000003</v>
      </c>
      <c r="W37" s="131"/>
    </row>
    <row r="38" spans="1:23" x14ac:dyDescent="0.25">
      <c r="B38" s="161">
        <v>43129</v>
      </c>
      <c r="C38" s="10">
        <v>100</v>
      </c>
      <c r="D38" s="39">
        <v>35.99</v>
      </c>
      <c r="E38" s="39">
        <v>37.76</v>
      </c>
      <c r="F38" s="39">
        <f t="shared" ref="F38:F45" si="14">C38*(E38-D38)</f>
        <v>176.9999999999996</v>
      </c>
      <c r="G38" s="39">
        <f t="shared" ref="G38:G45" si="15">D38*C38</f>
        <v>3599</v>
      </c>
      <c r="H38" s="175">
        <f t="shared" ref="H38:H45" si="16">(E38-D38)/D38</f>
        <v>4.9180327868852347E-2</v>
      </c>
      <c r="I38" s="39"/>
      <c r="J38" s="39"/>
      <c r="K38" s="39"/>
      <c r="L38" s="152"/>
      <c r="O38" s="78">
        <v>0.91</v>
      </c>
      <c r="P38" s="78">
        <f t="shared" si="13"/>
        <v>21.011900000000001</v>
      </c>
      <c r="W38" s="131"/>
    </row>
    <row r="39" spans="1:23" x14ac:dyDescent="0.25">
      <c r="B39" s="161">
        <v>43130</v>
      </c>
      <c r="C39" s="181">
        <v>200</v>
      </c>
      <c r="D39" s="182">
        <v>36.335000000000001</v>
      </c>
      <c r="E39" s="39">
        <v>36.74</v>
      </c>
      <c r="F39" s="39">
        <f t="shared" si="14"/>
        <v>81.000000000000227</v>
      </c>
      <c r="G39" s="39">
        <f t="shared" si="15"/>
        <v>7267</v>
      </c>
      <c r="H39" s="175">
        <f t="shared" si="16"/>
        <v>1.1146277693683806E-2</v>
      </c>
      <c r="I39" s="39"/>
      <c r="J39" s="39"/>
      <c r="K39" s="39"/>
      <c r="L39" s="152"/>
      <c r="O39" s="78">
        <v>0.9</v>
      </c>
      <c r="P39" s="78">
        <f t="shared" si="13"/>
        <v>20.780999999999999</v>
      </c>
      <c r="T39" s="131"/>
    </row>
    <row r="40" spans="1:23" x14ac:dyDescent="0.25">
      <c r="A40">
        <v>100</v>
      </c>
      <c r="B40" s="161">
        <v>43132</v>
      </c>
      <c r="C40" s="10">
        <v>300</v>
      </c>
      <c r="D40" s="39">
        <v>35.963299999999997</v>
      </c>
      <c r="E40" s="39">
        <v>35.659999999999997</v>
      </c>
      <c r="F40" s="39">
        <f t="shared" si="14"/>
        <v>-90.990000000000038</v>
      </c>
      <c r="G40" s="39">
        <f t="shared" si="15"/>
        <v>10788.99</v>
      </c>
      <c r="H40" s="175">
        <f t="shared" si="16"/>
        <v>-8.4335975842039015E-3</v>
      </c>
      <c r="I40" s="39"/>
      <c r="J40" s="39"/>
      <c r="K40" s="39"/>
      <c r="L40" s="152"/>
      <c r="T40" s="131"/>
    </row>
    <row r="41" spans="1:23" x14ac:dyDescent="0.25">
      <c r="B41" s="161">
        <v>43137</v>
      </c>
      <c r="C41" s="7">
        <v>300</v>
      </c>
      <c r="D41" s="43">
        <v>35.963299999999997</v>
      </c>
      <c r="E41" s="39">
        <v>34.33</v>
      </c>
      <c r="F41" s="39">
        <f t="shared" si="14"/>
        <v>-489.98999999999955</v>
      </c>
      <c r="G41" s="39">
        <f t="shared" si="15"/>
        <v>10788.99</v>
      </c>
      <c r="H41" s="175">
        <f t="shared" si="16"/>
        <v>-4.5415743271612963E-2</v>
      </c>
      <c r="I41" s="39"/>
      <c r="J41" s="39"/>
      <c r="K41" s="39"/>
      <c r="L41" s="152"/>
      <c r="Q41" s="2"/>
      <c r="T41" s="131"/>
    </row>
    <row r="42" spans="1:23" x14ac:dyDescent="0.25">
      <c r="B42" s="161">
        <v>43160</v>
      </c>
      <c r="C42" s="10">
        <v>400</v>
      </c>
      <c r="D42" s="39">
        <v>34.04</v>
      </c>
      <c r="E42" s="39">
        <v>24.1</v>
      </c>
      <c r="F42" s="39">
        <f t="shared" si="14"/>
        <v>-3975.9999999999991</v>
      </c>
      <c r="G42" s="39">
        <f t="shared" si="15"/>
        <v>13616</v>
      </c>
      <c r="H42" s="175">
        <f t="shared" si="16"/>
        <v>-0.29200940070505282</v>
      </c>
      <c r="I42" s="39"/>
      <c r="J42" s="39"/>
      <c r="K42" s="39"/>
      <c r="L42" s="152"/>
      <c r="Q42" s="2"/>
      <c r="T42" s="131"/>
    </row>
    <row r="43" spans="1:23" x14ac:dyDescent="0.25">
      <c r="A43" s="29"/>
      <c r="B43" s="161">
        <v>43160</v>
      </c>
      <c r="C43" s="10">
        <v>500</v>
      </c>
      <c r="D43" s="39">
        <v>32.03</v>
      </c>
      <c r="E43" s="39">
        <v>24.1</v>
      </c>
      <c r="F43" s="39">
        <f t="shared" si="14"/>
        <v>-3965</v>
      </c>
      <c r="G43" s="39">
        <f t="shared" si="15"/>
        <v>16015</v>
      </c>
      <c r="H43" s="175">
        <f t="shared" si="16"/>
        <v>-0.2475803933812051</v>
      </c>
      <c r="I43" s="39"/>
      <c r="J43" s="39"/>
      <c r="K43" s="39"/>
      <c r="L43" s="152"/>
      <c r="Q43" s="2"/>
      <c r="T43" s="131"/>
    </row>
    <row r="44" spans="1:23" x14ac:dyDescent="0.25">
      <c r="B44" s="161">
        <v>43160</v>
      </c>
      <c r="C44" s="348">
        <v>600</v>
      </c>
      <c r="D44" s="740">
        <v>30.46</v>
      </c>
      <c r="E44" s="39">
        <v>24.1</v>
      </c>
      <c r="F44" s="39">
        <f t="shared" si="14"/>
        <v>-3815.9999999999995</v>
      </c>
      <c r="G44" s="39">
        <f t="shared" si="15"/>
        <v>18276</v>
      </c>
      <c r="H44" s="175">
        <f t="shared" si="16"/>
        <v>-0.20879842416283648</v>
      </c>
      <c r="I44" s="39"/>
      <c r="J44" s="39"/>
      <c r="K44" s="694" t="s">
        <v>872</v>
      </c>
      <c r="L44" s="152"/>
      <c r="Q44" s="2"/>
      <c r="T44" s="131"/>
    </row>
    <row r="45" spans="1:23" x14ac:dyDescent="0.25">
      <c r="B45" s="161">
        <v>43161</v>
      </c>
      <c r="C45" s="352">
        <v>400</v>
      </c>
      <c r="D45" s="353">
        <v>33.212800000000001</v>
      </c>
      <c r="E45" s="39">
        <v>24.95</v>
      </c>
      <c r="F45" s="39">
        <f t="shared" si="14"/>
        <v>-3305.1200000000008</v>
      </c>
      <c r="G45" s="39">
        <f t="shared" si="15"/>
        <v>13285.12</v>
      </c>
      <c r="H45" s="175">
        <f t="shared" si="16"/>
        <v>-0.24878360150303502</v>
      </c>
      <c r="I45" s="39"/>
      <c r="J45" s="39"/>
      <c r="K45" s="39"/>
      <c r="L45" s="152"/>
      <c r="Q45" s="2"/>
      <c r="T45" s="131"/>
    </row>
    <row r="46" spans="1:23" x14ac:dyDescent="0.25">
      <c r="A46">
        <v>100</v>
      </c>
      <c r="B46" s="161">
        <v>43177</v>
      </c>
      <c r="C46" s="10">
        <v>400</v>
      </c>
      <c r="D46" s="39">
        <v>33.212800000000001</v>
      </c>
      <c r="E46" s="39">
        <v>23.91</v>
      </c>
      <c r="F46" s="39">
        <f t="shared" ref="F46:F58" si="17">C46*(E46-D46)</f>
        <v>-3721.1200000000003</v>
      </c>
      <c r="G46" s="39">
        <f t="shared" ref="G46:G73" si="18">D46*C46</f>
        <v>13285.12</v>
      </c>
      <c r="H46" s="175">
        <f t="shared" ref="H46:H73" si="19">(E46-D46)/D46</f>
        <v>-0.28009683013777825</v>
      </c>
      <c r="I46" s="39"/>
      <c r="J46" s="39"/>
      <c r="K46" s="39"/>
      <c r="L46" s="39"/>
      <c r="Q46" s="2"/>
      <c r="T46" s="131"/>
    </row>
    <row r="47" spans="1:23" x14ac:dyDescent="0.25">
      <c r="A47">
        <v>100</v>
      </c>
      <c r="B47" s="161">
        <v>43178</v>
      </c>
      <c r="C47" s="10">
        <v>500</v>
      </c>
      <c r="D47" s="39">
        <v>31.225999999999999</v>
      </c>
      <c r="E47" s="39">
        <v>23.17</v>
      </c>
      <c r="F47" s="39">
        <f t="shared" si="17"/>
        <v>-4027.9999999999986</v>
      </c>
      <c r="G47" s="39">
        <f t="shared" si="18"/>
        <v>15613</v>
      </c>
      <c r="H47" s="175">
        <f t="shared" si="19"/>
        <v>-0.25799013642477414</v>
      </c>
      <c r="I47" s="39"/>
      <c r="J47" s="39"/>
      <c r="K47" s="39"/>
      <c r="L47" s="39"/>
      <c r="Q47" s="2"/>
      <c r="T47" s="131"/>
    </row>
    <row r="48" spans="1:23" x14ac:dyDescent="0.25">
      <c r="A48">
        <v>100</v>
      </c>
      <c r="B48" s="161">
        <v>43181</v>
      </c>
      <c r="C48" s="10">
        <v>597</v>
      </c>
      <c r="D48" s="39">
        <v>29.743400000000001</v>
      </c>
      <c r="E48" s="39">
        <v>22.1</v>
      </c>
      <c r="F48" s="39">
        <f t="shared" si="17"/>
        <v>-4563.1098000000002</v>
      </c>
      <c r="G48" s="39">
        <f t="shared" si="18"/>
        <v>17756.809799999999</v>
      </c>
      <c r="H48" s="175">
        <f t="shared" si="19"/>
        <v>-0.25697801865287762</v>
      </c>
      <c r="I48" s="39"/>
      <c r="J48" s="39"/>
      <c r="K48" s="39"/>
      <c r="L48" s="39"/>
      <c r="Q48" s="2"/>
      <c r="T48" s="131"/>
    </row>
    <row r="49" spans="1:23" x14ac:dyDescent="0.25">
      <c r="A49">
        <v>3</v>
      </c>
      <c r="B49" s="161">
        <v>43182</v>
      </c>
      <c r="C49" s="348">
        <v>600</v>
      </c>
      <c r="D49" s="740">
        <v>29.607500000000002</v>
      </c>
      <c r="E49" s="39">
        <v>21.86</v>
      </c>
      <c r="F49" s="39">
        <f t="shared" si="17"/>
        <v>-4648.5000000000018</v>
      </c>
      <c r="G49" s="39">
        <f t="shared" si="18"/>
        <v>17764.5</v>
      </c>
      <c r="H49" s="175">
        <f t="shared" si="19"/>
        <v>-0.26167356244194889</v>
      </c>
      <c r="I49" s="39">
        <v>29</v>
      </c>
      <c r="J49" s="39"/>
      <c r="K49" s="39"/>
      <c r="L49" s="39"/>
      <c r="Q49" s="2"/>
      <c r="T49" s="131"/>
    </row>
    <row r="50" spans="1:23" x14ac:dyDescent="0.25">
      <c r="A50">
        <v>203</v>
      </c>
      <c r="B50" s="161">
        <v>43196</v>
      </c>
      <c r="C50" s="10">
        <v>500</v>
      </c>
      <c r="D50" s="39">
        <v>30.933</v>
      </c>
      <c r="E50" s="39">
        <v>22.85</v>
      </c>
      <c r="F50" s="39">
        <f t="shared" si="17"/>
        <v>-4041.4999999999991</v>
      </c>
      <c r="G50" s="39">
        <f t="shared" si="18"/>
        <v>15466.5</v>
      </c>
      <c r="H50" s="175">
        <f t="shared" si="19"/>
        <v>-0.26130669511524901</v>
      </c>
      <c r="I50" s="39">
        <v>30</v>
      </c>
      <c r="J50" s="39">
        <v>38</v>
      </c>
      <c r="K50" s="39"/>
      <c r="L50" s="39">
        <v>13.44</v>
      </c>
      <c r="Q50" s="2"/>
      <c r="T50" s="131"/>
    </row>
    <row r="51" spans="1:23" x14ac:dyDescent="0.25">
      <c r="A51">
        <v>500</v>
      </c>
      <c r="B51" s="161">
        <v>43212</v>
      </c>
      <c r="C51" s="10">
        <v>500</v>
      </c>
      <c r="D51" s="39">
        <v>30.933</v>
      </c>
      <c r="E51" s="39">
        <v>22.33</v>
      </c>
      <c r="F51" s="39">
        <f t="shared" si="17"/>
        <v>-4301.5000000000009</v>
      </c>
      <c r="G51" s="39">
        <f t="shared" si="18"/>
        <v>15466.5</v>
      </c>
      <c r="H51" s="175">
        <f t="shared" si="19"/>
        <v>-0.27811722109074455</v>
      </c>
      <c r="I51" s="39">
        <v>30</v>
      </c>
      <c r="J51" s="39">
        <v>38.146000000000001</v>
      </c>
      <c r="K51" s="39"/>
      <c r="L51" s="39">
        <v>13.13</v>
      </c>
      <c r="Q51" s="2"/>
      <c r="T51" s="131"/>
    </row>
    <row r="52" spans="1:23" x14ac:dyDescent="0.25">
      <c r="A52">
        <v>500</v>
      </c>
      <c r="B52" s="161">
        <v>43216</v>
      </c>
      <c r="C52" s="10">
        <v>500</v>
      </c>
      <c r="D52" s="39">
        <v>30.9331</v>
      </c>
      <c r="E52" s="39">
        <v>23.38</v>
      </c>
      <c r="F52" s="39">
        <f t="shared" si="17"/>
        <v>-3776.55</v>
      </c>
      <c r="G52" s="39">
        <f t="shared" si="18"/>
        <v>15466.55</v>
      </c>
      <c r="H52" s="175">
        <f t="shared" si="19"/>
        <v>-0.24417533321910836</v>
      </c>
      <c r="I52" s="39"/>
      <c r="J52" s="39"/>
      <c r="K52" s="39"/>
      <c r="L52" s="39">
        <v>13.75</v>
      </c>
      <c r="Q52" s="2"/>
      <c r="T52" s="131"/>
    </row>
    <row r="53" spans="1:23" x14ac:dyDescent="0.25">
      <c r="A53">
        <v>400</v>
      </c>
      <c r="B53" s="161">
        <v>43217</v>
      </c>
      <c r="C53" s="352">
        <v>400</v>
      </c>
      <c r="D53" s="353">
        <v>32.694000000000003</v>
      </c>
      <c r="E53" s="39">
        <v>23.76</v>
      </c>
      <c r="F53" s="39">
        <f t="shared" si="17"/>
        <v>-3573.6000000000004</v>
      </c>
      <c r="G53" s="39">
        <f t="shared" si="18"/>
        <v>13077.6</v>
      </c>
      <c r="H53" s="175">
        <f t="shared" si="19"/>
        <v>-0.27326114883464858</v>
      </c>
      <c r="I53" s="39">
        <v>32.25</v>
      </c>
      <c r="J53" s="39"/>
      <c r="K53" s="39"/>
      <c r="L53" s="39">
        <v>13.98</v>
      </c>
      <c r="Q53" s="2"/>
      <c r="T53" s="131"/>
    </row>
    <row r="54" spans="1:23" x14ac:dyDescent="0.25">
      <c r="A54">
        <v>400</v>
      </c>
      <c r="B54" s="161">
        <v>43218</v>
      </c>
      <c r="C54" s="352">
        <v>400</v>
      </c>
      <c r="D54" s="353">
        <v>32.369</v>
      </c>
      <c r="E54" s="39">
        <v>23.76</v>
      </c>
      <c r="F54" s="39">
        <f t="shared" si="17"/>
        <v>-3443.5999999999995</v>
      </c>
      <c r="G54" s="39">
        <f t="shared" si="18"/>
        <v>12947.6</v>
      </c>
      <c r="H54" s="175">
        <f t="shared" si="19"/>
        <v>-0.26596434860514684</v>
      </c>
      <c r="I54" s="39"/>
      <c r="J54" s="39"/>
      <c r="K54" s="39" t="s">
        <v>182</v>
      </c>
      <c r="L54" s="39"/>
      <c r="T54" s="131"/>
    </row>
    <row r="55" spans="1:23" x14ac:dyDescent="0.25">
      <c r="A55">
        <v>400</v>
      </c>
      <c r="B55" s="161">
        <v>43220</v>
      </c>
      <c r="C55" s="10">
        <v>500</v>
      </c>
      <c r="D55" s="39">
        <v>30.55</v>
      </c>
      <c r="E55" s="39">
        <v>23.28</v>
      </c>
      <c r="F55" s="39">
        <f t="shared" si="17"/>
        <v>-3635</v>
      </c>
      <c r="G55" s="39">
        <f t="shared" si="18"/>
        <v>15275</v>
      </c>
      <c r="H55" s="175">
        <f t="shared" si="19"/>
        <v>-0.23797054009819965</v>
      </c>
      <c r="I55" s="39"/>
      <c r="J55" s="39"/>
      <c r="K55" s="39"/>
      <c r="L55" s="39"/>
      <c r="T55" s="131"/>
    </row>
    <row r="56" spans="1:23" x14ac:dyDescent="0.25">
      <c r="A56">
        <v>400</v>
      </c>
      <c r="B56" s="161">
        <v>43228</v>
      </c>
      <c r="C56" s="10">
        <v>600</v>
      </c>
      <c r="D56" s="39">
        <v>29.137699999999999</v>
      </c>
      <c r="E56" s="39">
        <v>22.09</v>
      </c>
      <c r="F56" s="39">
        <f t="shared" si="17"/>
        <v>-4228.619999999999</v>
      </c>
      <c r="G56" s="39">
        <f t="shared" si="18"/>
        <v>17482.62</v>
      </c>
      <c r="H56" s="175">
        <f t="shared" si="19"/>
        <v>-0.24187564564121394</v>
      </c>
      <c r="I56" s="39"/>
      <c r="J56" s="39"/>
      <c r="K56" s="39"/>
      <c r="L56" s="39"/>
      <c r="T56" s="131"/>
    </row>
    <row r="57" spans="1:23" x14ac:dyDescent="0.25">
      <c r="A57">
        <v>400</v>
      </c>
      <c r="B57" s="161">
        <v>43241</v>
      </c>
      <c r="C57" s="348">
        <v>600</v>
      </c>
      <c r="D57" s="740">
        <v>29.14</v>
      </c>
      <c r="E57" s="39">
        <v>22.1</v>
      </c>
      <c r="F57" s="39">
        <f t="shared" si="17"/>
        <v>-4223.9999999999991</v>
      </c>
      <c r="G57" s="39">
        <f t="shared" si="18"/>
        <v>17484</v>
      </c>
      <c r="H57" s="175">
        <f t="shared" si="19"/>
        <v>-0.24159231297185996</v>
      </c>
      <c r="I57" s="39">
        <v>28.5</v>
      </c>
      <c r="J57" s="39"/>
      <c r="K57" s="39"/>
      <c r="L57" s="39">
        <v>13</v>
      </c>
      <c r="T57" s="131"/>
    </row>
    <row r="58" spans="1:23" x14ac:dyDescent="0.25">
      <c r="A58">
        <v>400</v>
      </c>
      <c r="B58" s="161">
        <v>43250</v>
      </c>
      <c r="C58" s="10">
        <v>600</v>
      </c>
      <c r="D58" s="39">
        <v>29.14</v>
      </c>
      <c r="E58" s="39">
        <v>21.44</v>
      </c>
      <c r="F58" s="39">
        <f t="shared" si="17"/>
        <v>-4620</v>
      </c>
      <c r="G58" s="39">
        <f t="shared" si="18"/>
        <v>17484</v>
      </c>
      <c r="H58" s="175">
        <f t="shared" si="19"/>
        <v>-0.26424159231297184</v>
      </c>
      <c r="I58" s="39"/>
      <c r="J58" s="39"/>
      <c r="K58" s="39"/>
      <c r="L58" s="39">
        <v>12.61</v>
      </c>
      <c r="T58" s="131"/>
    </row>
    <row r="59" spans="1:23" x14ac:dyDescent="0.25">
      <c r="B59" s="161">
        <v>43263</v>
      </c>
      <c r="C59" s="10">
        <v>600</v>
      </c>
      <c r="D59" s="39">
        <v>29.14</v>
      </c>
      <c r="E59" s="39">
        <v>22.46</v>
      </c>
      <c r="F59" s="39">
        <f t="shared" ref="F59:F73" si="20">C59*(E59-D59)</f>
        <v>-4008</v>
      </c>
      <c r="G59" s="39">
        <f t="shared" si="18"/>
        <v>17484</v>
      </c>
      <c r="H59" s="175">
        <f t="shared" si="19"/>
        <v>-0.22923816060398078</v>
      </c>
      <c r="I59" s="39"/>
      <c r="J59" s="39"/>
      <c r="K59" s="39"/>
      <c r="L59" s="39"/>
      <c r="T59" s="131"/>
    </row>
    <row r="60" spans="1:23" x14ac:dyDescent="0.25">
      <c r="A60">
        <v>400</v>
      </c>
      <c r="B60" s="161">
        <v>43272</v>
      </c>
      <c r="C60" s="352">
        <v>400</v>
      </c>
      <c r="D60" s="353">
        <v>31.2666</v>
      </c>
      <c r="E60" s="39">
        <v>23.29</v>
      </c>
      <c r="F60" s="39">
        <f t="shared" si="20"/>
        <v>-3190.6400000000003</v>
      </c>
      <c r="G60" s="39">
        <f t="shared" si="18"/>
        <v>12506.64</v>
      </c>
      <c r="H60" s="175">
        <f t="shared" si="19"/>
        <v>-0.25511568254942979</v>
      </c>
      <c r="I60" s="170" t="s">
        <v>1059</v>
      </c>
      <c r="J60" s="39"/>
      <c r="K60" s="39"/>
      <c r="L60" s="39">
        <v>13.7</v>
      </c>
      <c r="W60" s="131"/>
    </row>
    <row r="61" spans="1:23" x14ac:dyDescent="0.25">
      <c r="A61">
        <v>300</v>
      </c>
      <c r="B61" s="161">
        <v>43276</v>
      </c>
      <c r="C61" s="7">
        <v>300</v>
      </c>
      <c r="D61" s="43">
        <v>33.262300000000003</v>
      </c>
      <c r="E61" s="39">
        <v>24.12</v>
      </c>
      <c r="F61" s="39">
        <f t="shared" si="20"/>
        <v>-2742.6900000000005</v>
      </c>
      <c r="G61" s="39">
        <f t="shared" si="18"/>
        <v>9978.69</v>
      </c>
      <c r="H61" s="175">
        <f t="shared" si="19"/>
        <v>-0.27485471539851425</v>
      </c>
      <c r="I61" s="39">
        <v>33</v>
      </c>
      <c r="J61" s="39"/>
      <c r="K61" s="39"/>
      <c r="L61" s="39">
        <v>14.19</v>
      </c>
      <c r="W61" s="131"/>
    </row>
    <row r="62" spans="1:23" x14ac:dyDescent="0.25">
      <c r="A62">
        <v>300</v>
      </c>
      <c r="B62" s="161">
        <v>43277</v>
      </c>
      <c r="C62" s="352">
        <v>400</v>
      </c>
      <c r="D62" s="353">
        <v>30.841999999999999</v>
      </c>
      <c r="E62" s="39">
        <v>23.75</v>
      </c>
      <c r="F62" s="39">
        <f t="shared" si="20"/>
        <v>-2836.7999999999993</v>
      </c>
      <c r="G62" s="39">
        <f t="shared" si="18"/>
        <v>12336.8</v>
      </c>
      <c r="H62" s="175">
        <f t="shared" si="19"/>
        <v>-0.22994617729070743</v>
      </c>
      <c r="I62" s="170" t="s">
        <v>704</v>
      </c>
      <c r="J62" s="39"/>
      <c r="K62" s="39"/>
      <c r="L62" s="39">
        <v>13.97</v>
      </c>
      <c r="W62" s="131"/>
    </row>
    <row r="63" spans="1:23" x14ac:dyDescent="0.25">
      <c r="A63">
        <v>300</v>
      </c>
      <c r="B63" s="161">
        <v>43283</v>
      </c>
      <c r="C63" s="10">
        <v>400</v>
      </c>
      <c r="D63" s="39">
        <v>30.84</v>
      </c>
      <c r="E63" s="39">
        <v>22.48</v>
      </c>
      <c r="F63" s="39">
        <f t="shared" si="20"/>
        <v>-3344</v>
      </c>
      <c r="G63" s="39">
        <f t="shared" si="18"/>
        <v>12336</v>
      </c>
      <c r="H63" s="175">
        <f t="shared" si="19"/>
        <v>-0.27107652399481191</v>
      </c>
      <c r="I63" s="39"/>
      <c r="J63" s="39"/>
      <c r="K63" s="39"/>
      <c r="L63" s="39">
        <v>13.22</v>
      </c>
      <c r="W63" s="131"/>
    </row>
    <row r="64" spans="1:23" x14ac:dyDescent="0.25">
      <c r="A64" s="4">
        <v>300</v>
      </c>
      <c r="B64" s="161">
        <v>43288</v>
      </c>
      <c r="C64" s="10">
        <v>400</v>
      </c>
      <c r="D64" s="39">
        <v>30.84</v>
      </c>
      <c r="E64" s="39">
        <v>23.08</v>
      </c>
      <c r="F64" s="39">
        <f t="shared" si="20"/>
        <v>-3104.0000000000005</v>
      </c>
      <c r="G64" s="39">
        <f t="shared" si="18"/>
        <v>12336</v>
      </c>
      <c r="H64" s="175">
        <f t="shared" si="19"/>
        <v>-0.25162127107652404</v>
      </c>
      <c r="I64" s="39"/>
      <c r="J64" s="39"/>
      <c r="K64" s="39"/>
      <c r="L64" s="39">
        <v>13.58</v>
      </c>
      <c r="W64" s="131"/>
    </row>
    <row r="65" spans="1:23" x14ac:dyDescent="0.25">
      <c r="A65" s="4">
        <v>300</v>
      </c>
      <c r="B65" s="161">
        <v>43303</v>
      </c>
      <c r="C65" s="10">
        <v>400</v>
      </c>
      <c r="D65" s="39">
        <v>30.84</v>
      </c>
      <c r="E65" s="39">
        <v>23.64</v>
      </c>
      <c r="F65" s="39">
        <f t="shared" si="20"/>
        <v>-2879.9999999999995</v>
      </c>
      <c r="G65" s="39">
        <f t="shared" si="18"/>
        <v>12336</v>
      </c>
      <c r="H65" s="175">
        <f t="shared" si="19"/>
        <v>-0.23346303501945523</v>
      </c>
      <c r="I65" s="39"/>
      <c r="J65" s="39"/>
      <c r="K65" s="39"/>
      <c r="L65" s="39">
        <v>13.91</v>
      </c>
      <c r="W65" s="131"/>
    </row>
    <row r="66" spans="1:23" x14ac:dyDescent="0.25">
      <c r="A66" s="4">
        <v>200</v>
      </c>
      <c r="B66" s="161">
        <v>43304</v>
      </c>
      <c r="C66" s="7">
        <v>300</v>
      </c>
      <c r="D66" s="43">
        <v>33.03</v>
      </c>
      <c r="E66" s="39">
        <v>24.27</v>
      </c>
      <c r="F66" s="39">
        <f t="shared" si="20"/>
        <v>-2628.0000000000005</v>
      </c>
      <c r="G66" s="39">
        <f t="shared" si="18"/>
        <v>9909</v>
      </c>
      <c r="H66" s="175">
        <f t="shared" si="19"/>
        <v>-0.26521344232515898</v>
      </c>
      <c r="I66" s="39"/>
      <c r="J66" s="39"/>
      <c r="K66" s="39"/>
      <c r="L66" s="39">
        <v>14.28</v>
      </c>
      <c r="W66" s="131"/>
    </row>
    <row r="67" spans="1:23" x14ac:dyDescent="0.25">
      <c r="A67" s="4">
        <v>200</v>
      </c>
      <c r="B67" s="161">
        <v>43306</v>
      </c>
      <c r="C67" s="352">
        <v>400</v>
      </c>
      <c r="D67" s="353">
        <v>30.701799999999999</v>
      </c>
      <c r="E67" s="39">
        <v>23.72</v>
      </c>
      <c r="F67" s="39">
        <f t="shared" si="20"/>
        <v>-2792.72</v>
      </c>
      <c r="G67" s="39">
        <f t="shared" si="18"/>
        <v>12280.72</v>
      </c>
      <c r="H67" s="175">
        <f t="shared" si="19"/>
        <v>-0.22740686213837624</v>
      </c>
      <c r="I67" s="39"/>
      <c r="J67" s="39"/>
      <c r="K67" s="39"/>
      <c r="L67" s="39">
        <v>13.95</v>
      </c>
      <c r="W67" s="131"/>
    </row>
    <row r="68" spans="1:23" x14ac:dyDescent="0.25">
      <c r="A68" s="4">
        <v>300</v>
      </c>
      <c r="B68" s="161">
        <v>43307</v>
      </c>
      <c r="C68" s="10">
        <v>500</v>
      </c>
      <c r="D68" s="39">
        <v>29.217400000000001</v>
      </c>
      <c r="E68" s="39">
        <v>23.28</v>
      </c>
      <c r="F68" s="39">
        <f t="shared" si="20"/>
        <v>-2968.7000000000003</v>
      </c>
      <c r="G68" s="39">
        <f t="shared" si="18"/>
        <v>14608.7</v>
      </c>
      <c r="H68" s="175">
        <f t="shared" si="19"/>
        <v>-0.20321452285282057</v>
      </c>
      <c r="I68" s="39"/>
      <c r="J68" s="39"/>
      <c r="K68" s="39"/>
      <c r="L68" s="39">
        <v>14.04</v>
      </c>
      <c r="W68" s="131"/>
    </row>
    <row r="69" spans="1:23" x14ac:dyDescent="0.25">
      <c r="A69" s="4">
        <v>300</v>
      </c>
      <c r="B69" s="161">
        <v>43308</v>
      </c>
      <c r="C69" s="10">
        <v>500</v>
      </c>
      <c r="D69" s="39">
        <v>29.009</v>
      </c>
      <c r="E69" s="39">
        <v>23.4</v>
      </c>
      <c r="F69" s="39">
        <f t="shared" si="20"/>
        <v>-2804.5000000000009</v>
      </c>
      <c r="G69" s="39">
        <f t="shared" si="18"/>
        <v>14504.5</v>
      </c>
      <c r="H69" s="175">
        <f t="shared" si="19"/>
        <v>-0.19335378675583445</v>
      </c>
      <c r="I69" s="39"/>
      <c r="J69" s="39"/>
      <c r="K69" s="39"/>
      <c r="L69" s="39">
        <v>13.76</v>
      </c>
      <c r="W69" s="131"/>
    </row>
    <row r="70" spans="1:23" x14ac:dyDescent="0.25">
      <c r="A70" s="4">
        <v>200</v>
      </c>
      <c r="B70" s="161">
        <v>43311</v>
      </c>
      <c r="C70" s="352">
        <v>400</v>
      </c>
      <c r="D70" s="353">
        <v>30.1919</v>
      </c>
      <c r="E70" s="39">
        <v>24.27</v>
      </c>
      <c r="F70" s="39">
        <f t="shared" si="20"/>
        <v>-2368.7600000000002</v>
      </c>
      <c r="G70" s="39">
        <f t="shared" si="18"/>
        <v>12076.76</v>
      </c>
      <c r="H70" s="175">
        <f t="shared" si="19"/>
        <v>-0.19614201159913755</v>
      </c>
      <c r="I70" s="39"/>
      <c r="J70" s="39"/>
      <c r="K70" s="39"/>
      <c r="L70" s="39">
        <v>14.28</v>
      </c>
    </row>
    <row r="71" spans="1:23" x14ac:dyDescent="0.25">
      <c r="A71" s="4">
        <v>100</v>
      </c>
      <c r="B71" s="161">
        <v>43318</v>
      </c>
      <c r="C71" s="7">
        <v>300</v>
      </c>
      <c r="D71" s="43">
        <v>31.9391</v>
      </c>
      <c r="E71" s="39">
        <v>24.95</v>
      </c>
      <c r="F71" s="39">
        <f t="shared" si="20"/>
        <v>-2096.73</v>
      </c>
      <c r="G71" s="39">
        <f t="shared" si="18"/>
        <v>9581.73</v>
      </c>
      <c r="H71" s="175">
        <f t="shared" si="19"/>
        <v>-0.21882582790372931</v>
      </c>
      <c r="I71" s="39"/>
      <c r="J71" s="39"/>
      <c r="K71" s="39"/>
      <c r="L71" s="39">
        <v>14.68</v>
      </c>
    </row>
    <row r="72" spans="1:23" x14ac:dyDescent="0.25">
      <c r="A72" s="4">
        <v>100</v>
      </c>
      <c r="B72" s="161">
        <v>43319</v>
      </c>
      <c r="C72" s="352">
        <v>400</v>
      </c>
      <c r="D72" s="353">
        <v>29.624400000000001</v>
      </c>
      <c r="E72" s="39">
        <v>22.68</v>
      </c>
      <c r="F72" s="39">
        <f t="shared" si="20"/>
        <v>-2777.7600000000007</v>
      </c>
      <c r="G72" s="39">
        <f t="shared" si="18"/>
        <v>11849.76</v>
      </c>
      <c r="H72" s="175">
        <f t="shared" si="19"/>
        <v>-0.2344148742253008</v>
      </c>
      <c r="I72" s="39"/>
      <c r="J72" s="39"/>
      <c r="K72" s="39"/>
      <c r="L72" s="39">
        <v>13.34</v>
      </c>
    </row>
    <row r="73" spans="1:23" x14ac:dyDescent="0.25">
      <c r="A73" s="4">
        <v>100</v>
      </c>
      <c r="B73" s="161">
        <v>43325</v>
      </c>
      <c r="C73" s="10">
        <v>400</v>
      </c>
      <c r="D73" s="39">
        <v>29.62</v>
      </c>
      <c r="E73" s="39">
        <v>22.9</v>
      </c>
      <c r="F73" s="39">
        <f t="shared" si="20"/>
        <v>-2688.0000000000009</v>
      </c>
      <c r="G73" s="39">
        <f t="shared" si="18"/>
        <v>11848</v>
      </c>
      <c r="H73" s="175">
        <f t="shared" si="19"/>
        <v>-0.22687373396353822</v>
      </c>
      <c r="I73" s="39"/>
      <c r="J73" s="39"/>
      <c r="K73" s="39"/>
      <c r="L73" s="39">
        <v>13.47</v>
      </c>
    </row>
    <row r="74" spans="1:23" x14ac:dyDescent="0.25">
      <c r="A74" s="4">
        <v>100</v>
      </c>
      <c r="B74" s="161">
        <v>43329</v>
      </c>
      <c r="C74" s="10">
        <v>400</v>
      </c>
      <c r="D74" s="39">
        <v>29.62</v>
      </c>
      <c r="E74" s="39">
        <v>23.53</v>
      </c>
      <c r="F74" s="39">
        <f t="shared" ref="F74:F83" si="21">C74*(E74-D74)</f>
        <v>-2436</v>
      </c>
      <c r="G74" s="39">
        <f t="shared" ref="G74:G83" si="22">D74*C74</f>
        <v>11848</v>
      </c>
      <c r="H74" s="175">
        <f t="shared" ref="H74:H83" si="23">(E74-D74)/D74</f>
        <v>-0.20560432140445645</v>
      </c>
      <c r="I74" s="39"/>
      <c r="J74" s="39"/>
      <c r="K74" s="39"/>
      <c r="L74" s="39">
        <v>13.84</v>
      </c>
    </row>
    <row r="75" spans="1:23" x14ac:dyDescent="0.25">
      <c r="A75" s="4">
        <v>0</v>
      </c>
      <c r="B75" s="161">
        <v>43332</v>
      </c>
      <c r="C75" s="7">
        <v>300</v>
      </c>
      <c r="D75" s="43">
        <v>31.506</v>
      </c>
      <c r="E75" s="39">
        <v>23.98</v>
      </c>
      <c r="F75" s="39">
        <f t="shared" si="21"/>
        <v>-2257.7999999999997</v>
      </c>
      <c r="G75" s="39">
        <f t="shared" si="22"/>
        <v>9451.7999999999993</v>
      </c>
      <c r="H75" s="175">
        <f t="shared" si="23"/>
        <v>-0.23887513489494064</v>
      </c>
      <c r="I75" s="39"/>
      <c r="J75" s="39"/>
      <c r="K75" s="39"/>
      <c r="L75" s="39">
        <v>14.11</v>
      </c>
    </row>
    <row r="76" spans="1:23" x14ac:dyDescent="0.25">
      <c r="A76" s="4">
        <v>0</v>
      </c>
      <c r="B76" s="161">
        <v>43336</v>
      </c>
      <c r="C76" s="10">
        <v>500</v>
      </c>
      <c r="D76" s="39">
        <v>28.163599999999999</v>
      </c>
      <c r="E76" s="39">
        <v>23.41</v>
      </c>
      <c r="F76" s="39">
        <f t="shared" si="21"/>
        <v>-2376.7999999999993</v>
      </c>
      <c r="G76" s="39">
        <f t="shared" si="22"/>
        <v>14081.8</v>
      </c>
      <c r="H76" s="175">
        <f t="shared" si="23"/>
        <v>-0.16878524052322852</v>
      </c>
      <c r="I76" s="39"/>
      <c r="J76" s="39"/>
      <c r="K76" s="39"/>
      <c r="L76" s="39">
        <v>13.77</v>
      </c>
    </row>
    <row r="77" spans="1:23" x14ac:dyDescent="0.25">
      <c r="A77" s="4">
        <v>100</v>
      </c>
      <c r="B77" s="161">
        <v>43339</v>
      </c>
      <c r="C77" s="352">
        <v>400</v>
      </c>
      <c r="D77" s="353">
        <v>29.244599999999998</v>
      </c>
      <c r="E77" s="39">
        <v>23.82</v>
      </c>
      <c r="F77" s="39">
        <f t="shared" si="21"/>
        <v>-2169.8399999999992</v>
      </c>
      <c r="G77" s="39">
        <f t="shared" si="22"/>
        <v>11697.84</v>
      </c>
      <c r="H77" s="175">
        <f t="shared" si="23"/>
        <v>-0.18549065468496742</v>
      </c>
      <c r="I77" s="39"/>
      <c r="J77" s="39"/>
      <c r="K77" s="39"/>
      <c r="L77" s="39">
        <v>14.01</v>
      </c>
    </row>
    <row r="78" spans="1:23" x14ac:dyDescent="0.25">
      <c r="A78" s="4"/>
      <c r="B78" s="161">
        <v>43342</v>
      </c>
      <c r="C78" s="10">
        <v>400</v>
      </c>
      <c r="D78" s="39">
        <v>29.24</v>
      </c>
      <c r="E78" s="39">
        <v>22.54</v>
      </c>
      <c r="F78" s="39">
        <f t="shared" si="21"/>
        <v>-2679.9999999999995</v>
      </c>
      <c r="G78" s="39">
        <f t="shared" si="22"/>
        <v>11696</v>
      </c>
      <c r="H78" s="175">
        <f t="shared" si="23"/>
        <v>-0.22913816689466482</v>
      </c>
      <c r="I78" s="39"/>
      <c r="J78" s="39"/>
      <c r="K78" s="39"/>
      <c r="L78" s="39"/>
    </row>
    <row r="79" spans="1:23" x14ac:dyDescent="0.25">
      <c r="A79" s="4">
        <v>0</v>
      </c>
      <c r="B79" s="161">
        <v>43348</v>
      </c>
      <c r="C79" s="7">
        <v>300</v>
      </c>
      <c r="D79" s="43">
        <v>30.8995</v>
      </c>
      <c r="E79" s="39">
        <v>23.72</v>
      </c>
      <c r="F79" s="39">
        <f t="shared" si="21"/>
        <v>-2153.8500000000004</v>
      </c>
      <c r="G79" s="39">
        <f t="shared" si="22"/>
        <v>9269.85</v>
      </c>
      <c r="H79" s="175">
        <f t="shared" si="23"/>
        <v>-0.23235003802650531</v>
      </c>
      <c r="I79" s="39"/>
      <c r="J79" s="39"/>
      <c r="K79" s="39"/>
      <c r="L79" s="39">
        <v>13.95</v>
      </c>
    </row>
    <row r="80" spans="1:23" x14ac:dyDescent="0.25">
      <c r="A80" s="4">
        <v>300</v>
      </c>
      <c r="B80" s="161">
        <v>43394</v>
      </c>
      <c r="C80" s="10">
        <v>300</v>
      </c>
      <c r="D80" s="39">
        <v>30.9</v>
      </c>
      <c r="E80" s="39">
        <v>23.4</v>
      </c>
      <c r="F80" s="39">
        <f t="shared" si="21"/>
        <v>-2250</v>
      </c>
      <c r="G80" s="39">
        <f t="shared" si="22"/>
        <v>9270</v>
      </c>
      <c r="H80" s="175">
        <f t="shared" si="23"/>
        <v>-0.24271844660194175</v>
      </c>
      <c r="I80" s="39"/>
      <c r="J80" s="39"/>
      <c r="K80" s="39"/>
      <c r="L80" s="39"/>
    </row>
    <row r="81" spans="1:12" x14ac:dyDescent="0.25">
      <c r="A81" s="4"/>
      <c r="B81" s="161">
        <v>43399</v>
      </c>
      <c r="C81" s="7">
        <v>300</v>
      </c>
      <c r="D81" s="43">
        <v>30.64</v>
      </c>
      <c r="E81" s="39">
        <v>22.78</v>
      </c>
      <c r="F81" s="39">
        <f t="shared" si="21"/>
        <v>-2358</v>
      </c>
      <c r="G81" s="39">
        <f t="shared" si="22"/>
        <v>9192</v>
      </c>
      <c r="H81" s="175">
        <f t="shared" si="23"/>
        <v>-0.25652741514360311</v>
      </c>
      <c r="I81" s="39"/>
      <c r="J81" s="39"/>
      <c r="K81" s="39"/>
      <c r="L81" s="39"/>
    </row>
    <row r="82" spans="1:12" x14ac:dyDescent="0.25">
      <c r="A82" s="4"/>
      <c r="B82" s="161">
        <v>43409</v>
      </c>
      <c r="C82" s="10">
        <v>300</v>
      </c>
      <c r="D82" s="39">
        <v>30.64</v>
      </c>
      <c r="E82" s="39">
        <v>23.33</v>
      </c>
      <c r="F82" s="39">
        <f t="shared" si="21"/>
        <v>-2193.0000000000009</v>
      </c>
      <c r="G82" s="39">
        <f t="shared" si="22"/>
        <v>9192</v>
      </c>
      <c r="H82" s="175">
        <f t="shared" si="23"/>
        <v>-0.23857702349869458</v>
      </c>
      <c r="I82" s="39"/>
      <c r="J82" s="39"/>
      <c r="K82" s="39"/>
      <c r="L82" s="39"/>
    </row>
    <row r="83" spans="1:12" x14ac:dyDescent="0.25">
      <c r="A83" s="4">
        <v>200</v>
      </c>
      <c r="B83" s="161">
        <v>43431</v>
      </c>
      <c r="C83" s="181">
        <v>200</v>
      </c>
      <c r="D83" s="182">
        <v>32.819499999999998</v>
      </c>
      <c r="E83" s="39">
        <v>26.16</v>
      </c>
      <c r="F83" s="39">
        <f t="shared" si="21"/>
        <v>-1331.8999999999996</v>
      </c>
      <c r="G83" s="39">
        <f t="shared" si="22"/>
        <v>6563.9</v>
      </c>
      <c r="H83" s="175">
        <f t="shared" si="23"/>
        <v>-0.20291290239034715</v>
      </c>
      <c r="I83" s="39"/>
      <c r="J83" s="39"/>
      <c r="K83" s="39"/>
      <c r="L83" s="39">
        <v>14.87</v>
      </c>
    </row>
    <row r="84" spans="1:12" x14ac:dyDescent="0.25">
      <c r="A84" s="4">
        <v>200</v>
      </c>
      <c r="B84" s="161">
        <v>43440</v>
      </c>
      <c r="C84" s="7">
        <v>300</v>
      </c>
      <c r="D84" s="43">
        <v>29.672999999999998</v>
      </c>
      <c r="E84" s="39">
        <v>23.09</v>
      </c>
      <c r="F84" s="39">
        <f t="shared" ref="F84:F92" si="24">C84*(E84-D84)</f>
        <v>-1974.8999999999996</v>
      </c>
      <c r="G84" s="39">
        <f t="shared" ref="G84:G92" si="25">D84*C84</f>
        <v>8901.9</v>
      </c>
      <c r="H84" s="175">
        <f t="shared" ref="H84:H92" si="26">(E84-D84)/D84</f>
        <v>-0.22185151484514537</v>
      </c>
      <c r="I84" s="39"/>
      <c r="J84" s="39"/>
      <c r="K84" s="39"/>
      <c r="L84" s="39">
        <v>13.58</v>
      </c>
    </row>
    <row r="85" spans="1:12" x14ac:dyDescent="0.25">
      <c r="A85" s="4">
        <v>300</v>
      </c>
      <c r="B85" s="161">
        <v>43490</v>
      </c>
      <c r="C85" s="7">
        <v>300</v>
      </c>
      <c r="D85" s="43">
        <v>29.413</v>
      </c>
      <c r="E85" s="39">
        <v>22.29</v>
      </c>
      <c r="F85" s="39">
        <f t="shared" si="24"/>
        <v>-2136.9000000000005</v>
      </c>
      <c r="G85" s="39">
        <f t="shared" si="25"/>
        <v>8823.9</v>
      </c>
      <c r="H85" s="175">
        <f t="shared" si="26"/>
        <v>-0.24217182878319113</v>
      </c>
      <c r="I85" s="39"/>
      <c r="J85" s="39"/>
      <c r="K85" s="39"/>
      <c r="L85" s="39">
        <v>12.91</v>
      </c>
    </row>
    <row r="86" spans="1:12" x14ac:dyDescent="0.25">
      <c r="A86" s="4">
        <v>300</v>
      </c>
      <c r="B86" s="161">
        <v>43535</v>
      </c>
      <c r="C86" s="10">
        <v>300</v>
      </c>
      <c r="D86" s="39">
        <v>29.41</v>
      </c>
      <c r="E86" s="39">
        <v>22.23</v>
      </c>
      <c r="F86" s="39">
        <f t="shared" si="24"/>
        <v>-2154</v>
      </c>
      <c r="G86" s="39">
        <f t="shared" si="25"/>
        <v>8823</v>
      </c>
      <c r="H86" s="175">
        <f t="shared" si="26"/>
        <v>-0.24413464807888471</v>
      </c>
      <c r="I86" s="39"/>
      <c r="J86" s="39"/>
      <c r="K86" s="39"/>
      <c r="L86" s="39">
        <v>13.08</v>
      </c>
    </row>
    <row r="87" spans="1:12" x14ac:dyDescent="0.25">
      <c r="A87" s="4">
        <v>300</v>
      </c>
      <c r="B87" s="161">
        <v>43583</v>
      </c>
      <c r="C87" s="7">
        <v>300</v>
      </c>
      <c r="D87" s="43">
        <v>29.152999999999999</v>
      </c>
      <c r="E87" s="39">
        <v>21.9</v>
      </c>
      <c r="F87" s="39">
        <f t="shared" si="24"/>
        <v>-2175.9</v>
      </c>
      <c r="G87" s="39">
        <f t="shared" si="25"/>
        <v>8745.9</v>
      </c>
      <c r="H87" s="175">
        <f t="shared" si="26"/>
        <v>-0.24879086200391043</v>
      </c>
      <c r="I87" s="39"/>
      <c r="J87" s="39"/>
      <c r="K87" s="39"/>
      <c r="L87" s="39"/>
    </row>
    <row r="88" spans="1:12" x14ac:dyDescent="0.25">
      <c r="A88" s="4">
        <v>300</v>
      </c>
      <c r="B88" s="161">
        <v>43614</v>
      </c>
      <c r="C88" s="10">
        <v>300</v>
      </c>
      <c r="D88" s="39">
        <v>29.15</v>
      </c>
      <c r="E88" s="39">
        <v>21.75</v>
      </c>
      <c r="F88" s="39">
        <f t="shared" si="24"/>
        <v>-2219.9999999999995</v>
      </c>
      <c r="G88" s="39">
        <f t="shared" si="25"/>
        <v>8745</v>
      </c>
      <c r="H88" s="175">
        <f t="shared" si="26"/>
        <v>-0.25385934819897082</v>
      </c>
      <c r="I88" s="39"/>
      <c r="J88" s="39"/>
      <c r="K88" s="39"/>
      <c r="L88" s="39">
        <v>12.79</v>
      </c>
    </row>
    <row r="89" spans="1:12" x14ac:dyDescent="0.25">
      <c r="A89" s="4">
        <v>200</v>
      </c>
      <c r="B89" s="161">
        <v>43641</v>
      </c>
      <c r="C89" s="181">
        <v>200</v>
      </c>
      <c r="D89" s="182">
        <v>31.59</v>
      </c>
      <c r="E89" s="39">
        <v>24.2</v>
      </c>
      <c r="F89" s="39">
        <f t="shared" si="24"/>
        <v>-1478</v>
      </c>
      <c r="G89" s="39">
        <f t="shared" si="25"/>
        <v>6318</v>
      </c>
      <c r="H89" s="175">
        <f t="shared" si="26"/>
        <v>-0.23393478949034507</v>
      </c>
      <c r="I89" s="39"/>
      <c r="J89" s="39"/>
      <c r="K89" s="39"/>
      <c r="L89" s="39"/>
    </row>
    <row r="90" spans="1:12" x14ac:dyDescent="0.25">
      <c r="A90" s="4">
        <v>200</v>
      </c>
      <c r="B90" s="161">
        <v>43647</v>
      </c>
      <c r="C90" s="7">
        <v>300</v>
      </c>
      <c r="D90" s="43">
        <v>28.4648</v>
      </c>
      <c r="E90" s="39">
        <v>22.25</v>
      </c>
      <c r="F90" s="39">
        <f t="shared" si="24"/>
        <v>-1864.44</v>
      </c>
      <c r="G90" s="39">
        <f t="shared" si="25"/>
        <v>8539.44</v>
      </c>
      <c r="H90" s="175">
        <f t="shared" si="26"/>
        <v>-0.21833281807706362</v>
      </c>
      <c r="I90" s="39"/>
      <c r="J90" s="39"/>
      <c r="K90" s="39"/>
      <c r="L90" s="39"/>
    </row>
    <row r="91" spans="1:12" x14ac:dyDescent="0.25">
      <c r="A91" s="4">
        <v>100</v>
      </c>
      <c r="B91" s="161">
        <v>43649</v>
      </c>
      <c r="C91" s="181">
        <v>200</v>
      </c>
      <c r="D91" s="182">
        <v>31.3475</v>
      </c>
      <c r="E91" s="39">
        <v>22.34</v>
      </c>
      <c r="F91" s="39">
        <f t="shared" si="24"/>
        <v>-1801.5</v>
      </c>
      <c r="G91" s="39">
        <f t="shared" si="25"/>
        <v>6269.5</v>
      </c>
      <c r="H91" s="175">
        <f t="shared" si="26"/>
        <v>-0.28734348831645268</v>
      </c>
      <c r="I91" s="39"/>
      <c r="J91" s="39"/>
      <c r="K91" s="39"/>
      <c r="L91" s="39"/>
    </row>
    <row r="92" spans="1:12" x14ac:dyDescent="0.25">
      <c r="A92" s="4">
        <v>100</v>
      </c>
      <c r="B92" s="161">
        <v>43657</v>
      </c>
      <c r="C92" s="7">
        <v>300</v>
      </c>
      <c r="D92" s="43">
        <v>28.015000000000001</v>
      </c>
      <c r="E92" s="39">
        <v>21.4</v>
      </c>
      <c r="F92" s="39">
        <f t="shared" si="24"/>
        <v>-1984.5000000000007</v>
      </c>
      <c r="G92" s="39">
        <f t="shared" si="25"/>
        <v>8404.5</v>
      </c>
      <c r="H92" s="175">
        <f t="shared" si="26"/>
        <v>-0.23612350526503664</v>
      </c>
      <c r="I92" s="39"/>
      <c r="J92" s="39"/>
      <c r="K92" s="39"/>
      <c r="L92" s="39"/>
    </row>
    <row r="93" spans="1:12" x14ac:dyDescent="0.25">
      <c r="A93" s="4">
        <v>100</v>
      </c>
      <c r="B93" s="161">
        <v>43671</v>
      </c>
      <c r="C93" s="10">
        <v>300</v>
      </c>
      <c r="D93" s="39">
        <v>28.02</v>
      </c>
      <c r="E93" s="39">
        <v>19.38</v>
      </c>
      <c r="F93" s="39">
        <f t="shared" ref="F93:F97" si="27">C93*(E93-D93)</f>
        <v>-2592</v>
      </c>
      <c r="G93" s="39">
        <f t="shared" ref="G93:G97" si="28">D93*C93</f>
        <v>8406</v>
      </c>
      <c r="H93" s="175">
        <f t="shared" ref="H93:H97" si="29">(E93-D93)/D93</f>
        <v>-0.30835117773019277</v>
      </c>
      <c r="I93" s="39"/>
      <c r="J93" s="39"/>
      <c r="K93" s="39"/>
      <c r="L93" s="39"/>
    </row>
    <row r="94" spans="1:12" x14ac:dyDescent="0.25">
      <c r="A94" s="4">
        <v>100</v>
      </c>
      <c r="B94" s="161">
        <v>43676</v>
      </c>
      <c r="C94" s="7">
        <v>300</v>
      </c>
      <c r="D94" s="43">
        <v>27.84</v>
      </c>
      <c r="E94" s="39">
        <v>20.05</v>
      </c>
      <c r="F94" s="39">
        <f t="shared" si="27"/>
        <v>-2336.9999999999995</v>
      </c>
      <c r="G94" s="39">
        <f t="shared" si="28"/>
        <v>8352</v>
      </c>
      <c r="H94" s="175">
        <f t="shared" si="29"/>
        <v>-0.27981321839080459</v>
      </c>
      <c r="I94" s="39"/>
      <c r="J94" s="39"/>
      <c r="K94" s="39"/>
      <c r="L94" s="39"/>
    </row>
    <row r="95" spans="1:12" x14ac:dyDescent="0.25">
      <c r="A95" s="4">
        <v>200</v>
      </c>
      <c r="B95" s="161">
        <v>43682</v>
      </c>
      <c r="C95" s="352">
        <v>400</v>
      </c>
      <c r="D95" s="353">
        <v>25.531199999999998</v>
      </c>
      <c r="E95" s="39">
        <v>18.53</v>
      </c>
      <c r="F95" s="39">
        <f t="shared" si="27"/>
        <v>-2800.4799999999987</v>
      </c>
      <c r="G95" s="39">
        <f t="shared" si="28"/>
        <v>10212.48</v>
      </c>
      <c r="H95" s="175">
        <f t="shared" si="29"/>
        <v>-0.27422134486432276</v>
      </c>
      <c r="I95" s="39"/>
      <c r="J95" s="39"/>
      <c r="K95" s="39"/>
      <c r="L95" s="39"/>
    </row>
    <row r="96" spans="1:12" x14ac:dyDescent="0.25">
      <c r="A96" s="4">
        <v>400</v>
      </c>
      <c r="B96" s="161">
        <v>43765</v>
      </c>
      <c r="C96" s="352">
        <v>400</v>
      </c>
      <c r="D96" s="353">
        <v>25.27</v>
      </c>
      <c r="E96" s="39">
        <v>17.11</v>
      </c>
      <c r="F96" s="39">
        <f t="shared" si="27"/>
        <v>-3264</v>
      </c>
      <c r="G96" s="39">
        <f t="shared" si="28"/>
        <v>10108</v>
      </c>
      <c r="H96" s="175">
        <f t="shared" si="29"/>
        <v>-0.32291254451919271</v>
      </c>
      <c r="I96" s="39"/>
      <c r="J96" s="39"/>
      <c r="K96" s="39"/>
      <c r="L96" s="39"/>
    </row>
    <row r="97" spans="1:13" x14ac:dyDescent="0.25">
      <c r="A97" s="4">
        <v>300</v>
      </c>
      <c r="B97" s="161">
        <v>43794</v>
      </c>
      <c r="C97" s="7">
        <v>300</v>
      </c>
      <c r="D97" s="43">
        <v>27.15</v>
      </c>
      <c r="E97" s="39">
        <v>19.7</v>
      </c>
      <c r="F97" s="39">
        <f t="shared" si="27"/>
        <v>-2235</v>
      </c>
      <c r="G97" s="39">
        <f t="shared" si="28"/>
        <v>8145</v>
      </c>
      <c r="H97" s="175">
        <f t="shared" si="29"/>
        <v>-0.27440147329650089</v>
      </c>
      <c r="I97" s="39"/>
      <c r="J97" s="39"/>
      <c r="K97" s="39"/>
      <c r="L97" s="39"/>
    </row>
    <row r="98" spans="1:13" x14ac:dyDescent="0.25">
      <c r="A98" s="4">
        <v>200</v>
      </c>
      <c r="B98" s="161">
        <v>43804</v>
      </c>
      <c r="C98" s="181">
        <v>200</v>
      </c>
      <c r="D98" s="182">
        <v>29.324999999999999</v>
      </c>
      <c r="E98" s="39">
        <v>23.1</v>
      </c>
      <c r="F98" s="39">
        <f t="shared" ref="F98" si="30">C98*(E98-D98)</f>
        <v>-1244.9999999999995</v>
      </c>
      <c r="G98" s="39">
        <f t="shared" ref="G98" si="31">D98*C98</f>
        <v>5865</v>
      </c>
      <c r="H98" s="175">
        <f t="shared" ref="H98" si="32">(E98-D98)/D98</f>
        <v>-0.21227621483375952</v>
      </c>
      <c r="I98" s="39"/>
      <c r="J98" s="39"/>
      <c r="K98" s="39"/>
      <c r="L98" s="39"/>
    </row>
    <row r="99" spans="1:13" x14ac:dyDescent="0.25">
      <c r="A99" s="4"/>
      <c r="B99" s="161"/>
      <c r="C99" s="10"/>
      <c r="D99" s="39"/>
      <c r="E99" s="39"/>
      <c r="F99" s="39"/>
      <c r="G99" s="39"/>
      <c r="H99" s="175"/>
      <c r="I99" s="39"/>
      <c r="J99" s="39"/>
      <c r="K99" s="39"/>
      <c r="L99" s="39"/>
    </row>
    <row r="100" spans="1:13" x14ac:dyDescent="0.25">
      <c r="A100" s="4"/>
      <c r="B100" s="161"/>
      <c r="C100" s="10"/>
      <c r="D100" s="39"/>
      <c r="E100" s="39"/>
      <c r="F100" s="39"/>
      <c r="G100" s="39"/>
      <c r="H100" s="175"/>
      <c r="I100" s="39"/>
      <c r="J100" s="39"/>
      <c r="K100" s="39"/>
      <c r="L100" s="39"/>
    </row>
    <row r="101" spans="1:13" x14ac:dyDescent="0.25">
      <c r="A101" s="4"/>
      <c r="B101" s="161"/>
      <c r="C101" s="10"/>
      <c r="D101" s="39"/>
      <c r="E101" s="39"/>
      <c r="F101" s="39"/>
      <c r="G101" s="39"/>
      <c r="H101" s="175"/>
      <c r="I101" s="39"/>
      <c r="J101" s="39"/>
      <c r="K101" s="39"/>
      <c r="L101" s="39"/>
    </row>
    <row r="102" spans="1:13" x14ac:dyDescent="0.25">
      <c r="A102" s="4"/>
      <c r="B102" s="161"/>
      <c r="C102" s="10"/>
      <c r="D102" s="39"/>
      <c r="E102" s="39"/>
      <c r="F102" s="39"/>
      <c r="G102" s="39"/>
      <c r="H102" s="175"/>
      <c r="I102" s="39"/>
      <c r="J102" s="39"/>
      <c r="K102" s="39"/>
      <c r="L102" s="39"/>
    </row>
    <row r="103" spans="1:13" x14ac:dyDescent="0.25">
      <c r="A103" s="4"/>
      <c r="B103" s="161"/>
      <c r="C103" s="10"/>
      <c r="D103" s="39"/>
      <c r="E103" s="39"/>
      <c r="F103" s="39"/>
      <c r="G103" s="39"/>
      <c r="H103" s="175"/>
      <c r="I103" s="39"/>
      <c r="J103" s="39"/>
      <c r="K103" s="39"/>
      <c r="L103" s="39"/>
    </row>
    <row r="104" spans="1:13" x14ac:dyDescent="0.25">
      <c r="A104" s="4"/>
      <c r="B104" s="4"/>
      <c r="C104" s="4"/>
      <c r="D104" s="3"/>
      <c r="E104" s="3"/>
      <c r="F104" s="3"/>
      <c r="G104" s="4"/>
      <c r="H104" s="4"/>
      <c r="I104" s="3"/>
      <c r="J104" s="3"/>
      <c r="K104" s="3"/>
      <c r="L104" s="4"/>
    </row>
    <row r="105" spans="1:13" x14ac:dyDescent="0.25">
      <c r="A105" s="4"/>
      <c r="B105" s="4"/>
      <c r="C105" s="4"/>
      <c r="D105" s="3"/>
      <c r="E105" s="3"/>
      <c r="F105" s="3"/>
      <c r="G105" s="4"/>
      <c r="H105" s="4"/>
      <c r="I105" s="3"/>
      <c r="J105" s="3"/>
      <c r="K105" s="3"/>
      <c r="L105" s="4" t="s">
        <v>65</v>
      </c>
      <c r="M105" s="2">
        <f>M123+K123-F123</f>
        <v>0</v>
      </c>
    </row>
    <row r="106" spans="1:13" x14ac:dyDescent="0.25">
      <c r="A106" s="431" t="s">
        <v>1</v>
      </c>
      <c r="B106" s="431" t="s">
        <v>2</v>
      </c>
      <c r="C106" s="431" t="s">
        <v>4</v>
      </c>
      <c r="D106" s="432" t="s">
        <v>5</v>
      </c>
      <c r="E106" s="432" t="s">
        <v>94</v>
      </c>
      <c r="F106" s="432" t="s">
        <v>60</v>
      </c>
      <c r="G106" s="431" t="s">
        <v>3</v>
      </c>
      <c r="H106" s="431" t="s">
        <v>6</v>
      </c>
      <c r="I106" s="432" t="s">
        <v>7</v>
      </c>
      <c r="J106" s="432" t="s">
        <v>95</v>
      </c>
      <c r="K106" s="432" t="s">
        <v>61</v>
      </c>
      <c r="L106" s="431" t="s">
        <v>37</v>
      </c>
      <c r="M106" s="431" t="s">
        <v>38</v>
      </c>
    </row>
    <row r="107" spans="1:13" x14ac:dyDescent="0.25">
      <c r="A107" s="433" t="s">
        <v>753</v>
      </c>
      <c r="B107" s="417"/>
      <c r="C107" s="418"/>
      <c r="D107" s="420"/>
      <c r="E107" s="420"/>
      <c r="F107" s="420"/>
      <c r="G107" s="417"/>
      <c r="H107" s="434"/>
      <c r="I107" s="420"/>
      <c r="J107" s="420"/>
      <c r="K107" s="420"/>
      <c r="L107" s="417"/>
      <c r="M107" s="420"/>
    </row>
    <row r="108" spans="1:13" x14ac:dyDescent="0.25">
      <c r="A108" s="435" t="s">
        <v>71</v>
      </c>
      <c r="B108" s="417"/>
      <c r="C108" s="418"/>
      <c r="D108" s="420"/>
      <c r="E108" s="420"/>
      <c r="F108" s="420"/>
      <c r="G108" s="417"/>
      <c r="H108" s="434"/>
      <c r="I108" s="420"/>
      <c r="J108" s="420"/>
      <c r="K108" s="420"/>
      <c r="L108" s="418"/>
      <c r="M108" s="418"/>
    </row>
    <row r="109" spans="1:13" x14ac:dyDescent="0.25">
      <c r="A109" s="418"/>
      <c r="B109" s="417"/>
      <c r="C109" s="418"/>
      <c r="D109" s="420"/>
      <c r="E109" s="420"/>
      <c r="F109" s="420"/>
      <c r="G109" s="417"/>
      <c r="H109" s="434"/>
      <c r="I109" s="420"/>
      <c r="J109" s="420"/>
      <c r="K109" s="420"/>
      <c r="L109" s="418"/>
      <c r="M109" s="418"/>
    </row>
    <row r="110" spans="1:13" x14ac:dyDescent="0.25">
      <c r="A110" s="418"/>
      <c r="B110" s="417"/>
      <c r="C110" s="418"/>
      <c r="D110" s="420"/>
      <c r="E110" s="420"/>
      <c r="F110" s="420"/>
      <c r="G110" s="418"/>
      <c r="H110" s="434"/>
      <c r="I110" s="420"/>
      <c r="J110" s="420"/>
      <c r="K110" s="420"/>
      <c r="L110" s="418"/>
      <c r="M110" s="418"/>
    </row>
    <row r="111" spans="1:13" x14ac:dyDescent="0.25">
      <c r="A111" s="418"/>
      <c r="B111" s="417"/>
      <c r="C111" s="418"/>
      <c r="D111" s="420"/>
      <c r="E111" s="420"/>
      <c r="F111" s="420"/>
      <c r="G111" s="418"/>
      <c r="H111" s="434"/>
      <c r="I111" s="420"/>
      <c r="J111" s="420"/>
      <c r="K111" s="420"/>
      <c r="L111" s="418"/>
      <c r="M111" s="418"/>
    </row>
    <row r="112" spans="1:13" x14ac:dyDescent="0.25">
      <c r="A112" s="418"/>
      <c r="B112" s="418"/>
      <c r="C112" s="418"/>
      <c r="D112" s="420"/>
      <c r="E112" s="420"/>
      <c r="F112" s="420"/>
      <c r="G112" s="418"/>
      <c r="H112" s="434"/>
      <c r="I112" s="420"/>
      <c r="J112" s="420"/>
      <c r="K112" s="420"/>
      <c r="L112" s="418"/>
      <c r="M112" s="418"/>
    </row>
    <row r="113" spans="1:13" x14ac:dyDescent="0.25">
      <c r="A113" s="418"/>
      <c r="B113" s="418"/>
      <c r="C113" s="418"/>
      <c r="D113" s="420"/>
      <c r="E113" s="420"/>
      <c r="F113" s="420"/>
      <c r="G113" s="418"/>
      <c r="H113" s="434"/>
      <c r="I113" s="420"/>
      <c r="J113" s="420"/>
      <c r="K113" s="420"/>
      <c r="L113" s="418"/>
      <c r="M113" s="418"/>
    </row>
    <row r="114" spans="1:13" x14ac:dyDescent="0.25">
      <c r="A114" s="418"/>
      <c r="B114" s="418"/>
      <c r="C114" s="418"/>
      <c r="D114" s="420"/>
      <c r="E114" s="420"/>
      <c r="F114" s="420"/>
      <c r="G114" s="418"/>
      <c r="H114" s="434"/>
      <c r="I114" s="420"/>
      <c r="J114" s="420"/>
      <c r="K114" s="420"/>
      <c r="L114" s="418"/>
      <c r="M114" s="418"/>
    </row>
    <row r="115" spans="1:13" x14ac:dyDescent="0.25">
      <c r="A115" s="418"/>
      <c r="B115" s="418"/>
      <c r="C115" s="418"/>
      <c r="D115" s="420"/>
      <c r="E115" s="420"/>
      <c r="F115" s="420"/>
      <c r="G115" s="418"/>
      <c r="H115" s="434"/>
      <c r="I115" s="420"/>
      <c r="J115" s="420"/>
      <c r="K115" s="420"/>
      <c r="L115" s="418"/>
      <c r="M115" s="418"/>
    </row>
    <row r="116" spans="1:13" x14ac:dyDescent="0.25">
      <c r="A116" s="418"/>
      <c r="B116" s="418"/>
      <c r="C116" s="418"/>
      <c r="D116" s="420"/>
      <c r="E116" s="420"/>
      <c r="F116" s="420"/>
      <c r="G116" s="418"/>
      <c r="H116" s="434"/>
      <c r="I116" s="420"/>
      <c r="J116" s="420"/>
      <c r="K116" s="420"/>
      <c r="L116" s="418"/>
      <c r="M116" s="418"/>
    </row>
    <row r="117" spans="1:13" x14ac:dyDescent="0.25">
      <c r="A117" s="418"/>
      <c r="B117" s="418"/>
      <c r="C117" s="418"/>
      <c r="D117" s="420"/>
      <c r="E117" s="420"/>
      <c r="F117" s="420"/>
      <c r="G117" s="418"/>
      <c r="H117" s="434"/>
      <c r="I117" s="420"/>
      <c r="J117" s="420"/>
      <c r="K117" s="420"/>
      <c r="L117" s="418"/>
      <c r="M117" s="418"/>
    </row>
    <row r="118" spans="1:13" x14ac:dyDescent="0.25">
      <c r="A118" s="418"/>
      <c r="B118" s="418"/>
      <c r="C118" s="418"/>
      <c r="D118" s="420"/>
      <c r="E118" s="420"/>
      <c r="F118" s="420"/>
      <c r="G118" s="418"/>
      <c r="H118" s="434"/>
      <c r="I118" s="420"/>
      <c r="J118" s="420"/>
      <c r="K118" s="420"/>
      <c r="L118" s="418"/>
      <c r="M118" s="418"/>
    </row>
    <row r="119" spans="1:13" x14ac:dyDescent="0.25">
      <c r="A119" s="418"/>
      <c r="B119" s="418"/>
      <c r="C119" s="418"/>
      <c r="D119" s="420"/>
      <c r="E119" s="420"/>
      <c r="F119" s="420"/>
      <c r="G119" s="418"/>
      <c r="H119" s="434"/>
      <c r="I119" s="420"/>
      <c r="J119" s="420"/>
      <c r="K119" s="420"/>
      <c r="L119" s="418"/>
      <c r="M119" s="418"/>
    </row>
    <row r="120" spans="1:13" x14ac:dyDescent="0.25">
      <c r="A120" s="418"/>
      <c r="B120" s="418"/>
      <c r="C120" s="418"/>
      <c r="D120" s="420"/>
      <c r="E120" s="420"/>
      <c r="F120" s="420"/>
      <c r="G120" s="418"/>
      <c r="H120" s="434"/>
      <c r="I120" s="420"/>
      <c r="J120" s="420"/>
      <c r="K120" s="420"/>
      <c r="L120" s="418"/>
      <c r="M120" s="418"/>
    </row>
    <row r="121" spans="1:13" x14ac:dyDescent="0.25">
      <c r="A121" s="418"/>
      <c r="B121" s="418"/>
      <c r="C121" s="418"/>
      <c r="D121" s="420"/>
      <c r="E121" s="420"/>
      <c r="F121" s="420"/>
      <c r="G121" s="418"/>
      <c r="H121" s="434"/>
      <c r="I121" s="420"/>
      <c r="J121" s="420"/>
      <c r="K121" s="420"/>
      <c r="L121" s="418"/>
      <c r="M121" s="418"/>
    </row>
    <row r="122" spans="1:13" x14ac:dyDescent="0.25">
      <c r="A122" s="418"/>
      <c r="B122" s="418"/>
      <c r="C122" s="418"/>
      <c r="D122" s="420"/>
      <c r="E122" s="420"/>
      <c r="F122" s="420"/>
      <c r="G122" s="418"/>
      <c r="H122" s="418"/>
      <c r="I122" s="420"/>
      <c r="J122" s="420"/>
      <c r="K122" s="420"/>
      <c r="L122" s="418"/>
      <c r="M122" s="418"/>
    </row>
    <row r="123" spans="1:13" x14ac:dyDescent="0.25">
      <c r="A123" s="436" t="s">
        <v>81</v>
      </c>
      <c r="B123" s="437"/>
      <c r="C123" s="437">
        <f>SUM(C107:C111)</f>
        <v>0</v>
      </c>
      <c r="D123" s="438"/>
      <c r="E123" s="438"/>
      <c r="F123" s="438">
        <f>SUM(F107:F111)</f>
        <v>0</v>
      </c>
      <c r="G123" s="437"/>
      <c r="H123" s="459">
        <f>SUM(H107:H110)</f>
        <v>0</v>
      </c>
      <c r="I123" s="438"/>
      <c r="J123" s="438"/>
      <c r="K123" s="438">
        <f>SUM(K107:K110)</f>
        <v>0</v>
      </c>
      <c r="L123" s="437"/>
      <c r="M123" s="438">
        <f>SUM(M107:M115)</f>
        <v>0</v>
      </c>
    </row>
    <row r="124" spans="1:13" ht="15.75" thickBot="1" x14ac:dyDescent="0.3">
      <c r="A124" s="439" t="s">
        <v>189</v>
      </c>
      <c r="B124" s="440"/>
      <c r="C124" s="441">
        <f>SumByColor($A$29,C107:C122)</f>
        <v>0</v>
      </c>
      <c r="D124" s="441"/>
      <c r="E124" s="441"/>
      <c r="F124" s="442">
        <f>SumByColor($A$29,F107:F122)</f>
        <v>0</v>
      </c>
      <c r="G124" s="441"/>
      <c r="H124" s="441">
        <f>SumByColor($A$29,H107:H122)</f>
        <v>0</v>
      </c>
      <c r="I124" s="441"/>
      <c r="J124" s="441"/>
      <c r="K124" s="442">
        <f>SumByColor($A$29,K108:K122)</f>
        <v>0</v>
      </c>
      <c r="L124" s="441"/>
      <c r="M124" s="442">
        <f>SumByColor($A$29,M107:M122)</f>
        <v>0</v>
      </c>
    </row>
    <row r="127" spans="1:13" x14ac:dyDescent="0.25">
      <c r="B127" s="159" t="s">
        <v>113</v>
      </c>
      <c r="C127" s="159" t="s">
        <v>143</v>
      </c>
      <c r="D127" s="160" t="s">
        <v>142</v>
      </c>
      <c r="E127" s="162" t="s">
        <v>144</v>
      </c>
      <c r="F127" s="162" t="s">
        <v>65</v>
      </c>
      <c r="G127" s="173" t="s">
        <v>148</v>
      </c>
      <c r="H127" s="173" t="s">
        <v>88</v>
      </c>
      <c r="I127" s="173" t="s">
        <v>151</v>
      </c>
    </row>
    <row r="128" spans="1:13" x14ac:dyDescent="0.25">
      <c r="B128" s="161"/>
      <c r="C128" s="10"/>
      <c r="D128" s="39"/>
      <c r="E128" s="39"/>
      <c r="F128" s="39"/>
      <c r="G128" s="39"/>
      <c r="H128" s="175"/>
      <c r="I128" s="39"/>
    </row>
    <row r="129" spans="2:9" x14ac:dyDescent="0.25">
      <c r="B129" s="161"/>
      <c r="C129" s="10"/>
      <c r="D129" s="39"/>
      <c r="E129" s="39"/>
      <c r="F129" s="39"/>
      <c r="G129" s="39"/>
      <c r="H129" s="175"/>
      <c r="I129" s="39"/>
    </row>
    <row r="130" spans="2:9" x14ac:dyDescent="0.25">
      <c r="B130" s="161"/>
      <c r="C130" s="10"/>
      <c r="D130" s="39"/>
      <c r="E130" s="39"/>
      <c r="F130" s="39"/>
      <c r="G130" s="39"/>
      <c r="H130" s="175"/>
      <c r="I130" s="39"/>
    </row>
    <row r="131" spans="2:9" x14ac:dyDescent="0.25">
      <c r="B131" s="161"/>
      <c r="C131" s="10"/>
      <c r="D131" s="39"/>
      <c r="E131" s="39"/>
      <c r="F131" s="39"/>
      <c r="G131" s="39"/>
      <c r="H131" s="175"/>
      <c r="I131" s="39"/>
    </row>
    <row r="132" spans="2:9" x14ac:dyDescent="0.25">
      <c r="B132" s="161"/>
      <c r="C132" s="10"/>
      <c r="D132" s="39"/>
      <c r="E132" s="39"/>
      <c r="F132" s="39"/>
      <c r="G132" s="39"/>
      <c r="H132" s="175"/>
      <c r="I132" s="39"/>
    </row>
    <row r="133" spans="2:9" x14ac:dyDescent="0.25">
      <c r="B133" s="161"/>
      <c r="C133" s="10"/>
      <c r="D133" s="39"/>
      <c r="E133" s="39"/>
      <c r="F133" s="39"/>
      <c r="G133" s="39"/>
      <c r="H133" s="175"/>
      <c r="I133" s="39"/>
    </row>
    <row r="134" spans="2:9" x14ac:dyDescent="0.25">
      <c r="B134" s="161"/>
      <c r="C134" s="10"/>
      <c r="D134" s="39"/>
      <c r="E134" s="39"/>
      <c r="F134" s="39"/>
      <c r="G134" s="39"/>
      <c r="H134" s="175"/>
      <c r="I134" s="39"/>
    </row>
    <row r="135" spans="2:9" x14ac:dyDescent="0.25">
      <c r="B135" s="161"/>
      <c r="C135" s="10"/>
      <c r="D135" s="39"/>
      <c r="E135" s="39"/>
      <c r="F135" s="39"/>
      <c r="G135" s="39"/>
      <c r="H135" s="175"/>
      <c r="I135" s="39"/>
    </row>
    <row r="136" spans="2:9" x14ac:dyDescent="0.25">
      <c r="B136" s="161"/>
      <c r="C136" s="10"/>
      <c r="D136" s="39"/>
      <c r="E136" s="39"/>
      <c r="F136" s="39"/>
      <c r="G136" s="39"/>
      <c r="H136" s="175"/>
      <c r="I136" s="39"/>
    </row>
    <row r="137" spans="2:9" x14ac:dyDescent="0.25">
      <c r="B137" s="161"/>
      <c r="C137" s="10"/>
      <c r="D137" s="39"/>
      <c r="E137" s="39"/>
      <c r="F137" s="39"/>
      <c r="G137" s="39"/>
      <c r="H137" s="175"/>
      <c r="I137" s="39"/>
    </row>
    <row r="138" spans="2:9" x14ac:dyDescent="0.25">
      <c r="B138" s="161"/>
      <c r="C138" s="10"/>
      <c r="D138" s="39"/>
      <c r="E138" s="39"/>
      <c r="F138" s="39"/>
      <c r="G138" s="39"/>
      <c r="H138" s="175"/>
      <c r="I138" s="39"/>
    </row>
    <row r="139" spans="2:9" x14ac:dyDescent="0.25">
      <c r="B139" s="161"/>
      <c r="C139" s="10"/>
      <c r="D139" s="39"/>
      <c r="E139" s="39"/>
      <c r="F139" s="39"/>
      <c r="G139" s="39"/>
      <c r="H139" s="175"/>
      <c r="I139" s="39"/>
    </row>
    <row r="140" spans="2:9" x14ac:dyDescent="0.25">
      <c r="B140" s="161"/>
      <c r="C140" s="10"/>
      <c r="D140" s="39"/>
      <c r="E140" s="39"/>
      <c r="F140" s="39"/>
      <c r="G140" s="39"/>
      <c r="H140" s="175"/>
      <c r="I140" s="39"/>
    </row>
    <row r="141" spans="2:9" x14ac:dyDescent="0.25">
      <c r="B141" s="161"/>
      <c r="C141" s="10"/>
      <c r="D141" s="39"/>
      <c r="E141" s="39"/>
      <c r="F141" s="39"/>
      <c r="G141" s="39"/>
      <c r="H141" s="175"/>
      <c r="I141" s="39"/>
    </row>
    <row r="142" spans="2:9" x14ac:dyDescent="0.25">
      <c r="B142" s="161"/>
      <c r="C142" s="10"/>
      <c r="D142" s="39"/>
      <c r="E142" s="39"/>
      <c r="F142" s="39"/>
      <c r="G142" s="39"/>
      <c r="H142" s="175"/>
      <c r="I142" s="39"/>
    </row>
    <row r="143" spans="2:9" x14ac:dyDescent="0.25">
      <c r="B143" s="161"/>
      <c r="C143" s="10"/>
      <c r="D143" s="39"/>
      <c r="E143" s="39"/>
      <c r="F143" s="39"/>
      <c r="G143" s="39"/>
      <c r="H143" s="175"/>
      <c r="I143" s="39"/>
    </row>
    <row r="144" spans="2:9" x14ac:dyDescent="0.25">
      <c r="B144" s="161"/>
      <c r="C144" s="10"/>
      <c r="D144" s="39"/>
      <c r="E144" s="39"/>
      <c r="F144" s="39"/>
      <c r="G144" s="39"/>
      <c r="H144" s="175"/>
      <c r="I144" s="39"/>
    </row>
    <row r="145" spans="2:9" x14ac:dyDescent="0.25">
      <c r="B145" s="161"/>
      <c r="C145" s="10"/>
      <c r="D145" s="39"/>
      <c r="E145" s="39"/>
      <c r="F145" s="39"/>
      <c r="G145" s="39"/>
      <c r="H145" s="175"/>
      <c r="I145" s="39"/>
    </row>
    <row r="146" spans="2:9" x14ac:dyDescent="0.25">
      <c r="B146" s="161"/>
      <c r="C146" s="10"/>
      <c r="D146" s="39"/>
      <c r="E146" s="39"/>
      <c r="F146" s="39"/>
      <c r="G146" s="39"/>
      <c r="H146" s="175"/>
      <c r="I146" s="39"/>
    </row>
    <row r="147" spans="2:9" x14ac:dyDescent="0.25">
      <c r="B147" s="161"/>
      <c r="C147" s="10"/>
      <c r="D147" s="39"/>
      <c r="E147" s="39"/>
      <c r="F147" s="39"/>
      <c r="G147" s="39"/>
      <c r="H147" s="175"/>
      <c r="I147" s="39"/>
    </row>
    <row r="148" spans="2:9" x14ac:dyDescent="0.25">
      <c r="B148" s="161"/>
      <c r="C148" s="10"/>
      <c r="D148" s="39"/>
      <c r="E148" s="39"/>
      <c r="F148" s="39"/>
      <c r="G148" s="39"/>
      <c r="H148" s="175"/>
      <c r="I148" s="39"/>
    </row>
    <row r="149" spans="2:9" x14ac:dyDescent="0.25">
      <c r="B149" s="161"/>
      <c r="C149" s="10"/>
      <c r="D149" s="39"/>
      <c r="E149" s="39"/>
      <c r="F149" s="39"/>
      <c r="G149" s="39"/>
      <c r="H149" s="175"/>
      <c r="I149" s="39"/>
    </row>
  </sheetData>
  <mergeCells count="1">
    <mergeCell ref="O18:P18"/>
  </mergeCells>
  <conditionalFormatting sqref="O19:O39">
    <cfRule type="colorScale" priority="47">
      <colorScale>
        <cfvo type="min"/>
        <cfvo type="percentile" val="50"/>
        <cfvo type="max"/>
        <color rgb="FFF8696B"/>
        <color rgb="FFFFEB84"/>
        <color rgb="FF63BE7B"/>
      </colorScale>
    </cfRule>
  </conditionalFormatting>
  <conditionalFormatting sqref="P19:P39">
    <cfRule type="colorScale" priority="46">
      <colorScale>
        <cfvo type="min"/>
        <cfvo type="percentile" val="50"/>
        <cfvo type="max"/>
        <color rgb="FFF8696B"/>
        <color rgb="FFFFEB84"/>
        <color rgb="FF63BE7B"/>
      </colorScale>
    </cfRule>
  </conditionalFormatting>
  <conditionalFormatting sqref="W1:W38 W60:W69 T39:T59">
    <cfRule type="iconSet" priority="45">
      <iconSet iconSet="3Arrows">
        <cfvo type="percent" val="0"/>
        <cfvo type="num" val="0"/>
        <cfvo type="num" val="0"/>
      </iconSet>
    </cfRule>
  </conditionalFormatting>
  <conditionalFormatting sqref="F35:F69 H35:H69 H81:H82 F81:F82 F102:F103 H102:H103">
    <cfRule type="expression" dxfId="997" priority="43">
      <formula>F35&gt;0</formula>
    </cfRule>
    <cfRule type="expression" dxfId="996" priority="44">
      <formula>F35&lt;0</formula>
    </cfRule>
  </conditionalFormatting>
  <conditionalFormatting sqref="Q7">
    <cfRule type="expression" dxfId="995" priority="41">
      <formula>Q7&gt;0</formula>
    </cfRule>
    <cfRule type="expression" dxfId="994" priority="42">
      <formula>Q7&lt;0</formula>
    </cfRule>
  </conditionalFormatting>
  <conditionalFormatting sqref="Q8">
    <cfRule type="expression" dxfId="993" priority="39">
      <formula>Q8&gt;0</formula>
    </cfRule>
    <cfRule type="expression" dxfId="992" priority="40">
      <formula>Q8&lt;0</formula>
    </cfRule>
  </conditionalFormatting>
  <conditionalFormatting sqref="F128:F149">
    <cfRule type="expression" dxfId="991" priority="33">
      <formula>F128&gt;0</formula>
    </cfRule>
    <cfRule type="expression" dxfId="990" priority="34">
      <formula>F128&lt;0</formula>
    </cfRule>
  </conditionalFormatting>
  <conditionalFormatting sqref="H128:H149">
    <cfRule type="expression" dxfId="989" priority="31">
      <formula>H128&gt;0</formula>
    </cfRule>
    <cfRule type="expression" dxfId="988" priority="32">
      <formula>H128&lt;0</formula>
    </cfRule>
  </conditionalFormatting>
  <conditionalFormatting sqref="Q10">
    <cfRule type="expression" dxfId="987" priority="29">
      <formula>Q10&gt;0</formula>
    </cfRule>
    <cfRule type="expression" dxfId="986" priority="30">
      <formula>Q10&lt;0</formula>
    </cfRule>
  </conditionalFormatting>
  <conditionalFormatting sqref="J35:J48">
    <cfRule type="expression" dxfId="985" priority="27">
      <formula>J35&gt;0</formula>
    </cfRule>
    <cfRule type="expression" dxfId="984" priority="28">
      <formula>J35&lt;0</formula>
    </cfRule>
  </conditionalFormatting>
  <conditionalFormatting sqref="K35:K48">
    <cfRule type="expression" dxfId="983" priority="25">
      <formula>K35&gt;0</formula>
    </cfRule>
    <cfRule type="expression" dxfId="982" priority="26">
      <formula>K35&lt;0</formula>
    </cfRule>
  </conditionalFormatting>
  <conditionalFormatting sqref="L35:L48">
    <cfRule type="expression" dxfId="981" priority="23">
      <formula>L35&gt;0</formula>
    </cfRule>
    <cfRule type="expression" dxfId="980" priority="24">
      <formula>L35&lt;0</formula>
    </cfRule>
  </conditionalFormatting>
  <conditionalFormatting sqref="H70:H76 F70:F76">
    <cfRule type="expression" dxfId="979" priority="21">
      <formula>F70&gt;0</formula>
    </cfRule>
    <cfRule type="expression" dxfId="978" priority="22">
      <formula>F70&lt;0</formula>
    </cfRule>
  </conditionalFormatting>
  <conditionalFormatting sqref="H77:H80 F77:F80">
    <cfRule type="expression" dxfId="977" priority="19">
      <formula>F77&gt;0</formula>
    </cfRule>
    <cfRule type="expression" dxfId="976" priority="20">
      <formula>F77&lt;0</formula>
    </cfRule>
  </conditionalFormatting>
  <conditionalFormatting sqref="F87:F89 H87:H89">
    <cfRule type="expression" dxfId="975" priority="17">
      <formula>F87&gt;0</formula>
    </cfRule>
    <cfRule type="expression" dxfId="974" priority="18">
      <formula>F87&lt;0</formula>
    </cfRule>
  </conditionalFormatting>
  <conditionalFormatting sqref="F86 H86">
    <cfRule type="expression" dxfId="973" priority="15">
      <formula>F86&gt;0</formula>
    </cfRule>
    <cfRule type="expression" dxfId="972" priority="16">
      <formula>F86&lt;0</formula>
    </cfRule>
  </conditionalFormatting>
  <conditionalFormatting sqref="F83:F85 H83:H85">
    <cfRule type="expression" dxfId="971" priority="13">
      <formula>F83&gt;0</formula>
    </cfRule>
    <cfRule type="expression" dxfId="970" priority="14">
      <formula>F83&lt;0</formula>
    </cfRule>
  </conditionalFormatting>
  <conditionalFormatting sqref="F91:F93 H91:H93">
    <cfRule type="expression" dxfId="969" priority="9">
      <formula>F91&gt;0</formula>
    </cfRule>
    <cfRule type="expression" dxfId="968" priority="10">
      <formula>F91&lt;0</formula>
    </cfRule>
  </conditionalFormatting>
  <conditionalFormatting sqref="F90 H90">
    <cfRule type="expression" dxfId="967" priority="7">
      <formula>F90&gt;0</formula>
    </cfRule>
    <cfRule type="expression" dxfId="966" priority="8">
      <formula>F90&lt;0</formula>
    </cfRule>
  </conditionalFormatting>
  <conditionalFormatting sqref="F99:F101 H99:H101">
    <cfRule type="expression" dxfId="965" priority="5">
      <formula>F99&gt;0</formula>
    </cfRule>
    <cfRule type="expression" dxfId="964" priority="6">
      <formula>F99&lt;0</formula>
    </cfRule>
  </conditionalFormatting>
  <conditionalFormatting sqref="F97:F98 H97:H98">
    <cfRule type="expression" dxfId="963" priority="3">
      <formula>F97&gt;0</formula>
    </cfRule>
    <cfRule type="expression" dxfId="962" priority="4">
      <formula>F97&lt;0</formula>
    </cfRule>
  </conditionalFormatting>
  <conditionalFormatting sqref="F94:F96 H94:H96">
    <cfRule type="expression" dxfId="961" priority="1">
      <formula>F94&gt;0</formula>
    </cfRule>
    <cfRule type="expression" dxfId="960" priority="2">
      <formula>F94&lt;0</formula>
    </cfRule>
  </conditionalFormatting>
  <hyperlinks>
    <hyperlink ref="A3" location="ACTIVE!A1" display="Back"/>
    <hyperlink ref="A108" location="ACTIVE!A1" display="Back"/>
  </hyperlinks>
  <pageMargins left="0.7" right="0.7" top="0.75" bottom="0.75" header="0.3" footer="0.3"/>
  <pageSetup orientation="portrait" r:id="rId1"/>
  <drawing r:id="rId2"/>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2"/>
  <dimension ref="A1:U110"/>
  <sheetViews>
    <sheetView workbookViewId="0">
      <pane ySplit="1" topLeftCell="A2" activePane="bottomLeft" state="frozen"/>
      <selection activeCell="M33" sqref="M33"/>
      <selection pane="bottomLeft" activeCell="A3" sqref="A3"/>
    </sheetView>
  </sheetViews>
  <sheetFormatPr defaultRowHeight="15" x14ac:dyDescent="0.25"/>
  <cols>
    <col min="1" max="1" width="9.7109375" bestFit="1" customWidth="1"/>
    <col min="2" max="2" width="10.7109375" bestFit="1" customWidth="1"/>
    <col min="4" max="4" width="11.5703125" style="2" bestFit="1" customWidth="1"/>
    <col min="5" max="6" width="9.140625" style="2"/>
    <col min="9" max="11" width="9.140625" style="2"/>
    <col min="17" max="17" width="14"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1137</v>
      </c>
      <c r="B2" s="360">
        <v>43301</v>
      </c>
      <c r="C2" s="7">
        <v>2</v>
      </c>
      <c r="D2" s="43">
        <v>2868</v>
      </c>
      <c r="E2" s="43">
        <v>0</v>
      </c>
      <c r="F2" s="43">
        <f>C2*D2+E2</f>
        <v>5736</v>
      </c>
      <c r="G2" s="360">
        <v>43474</v>
      </c>
      <c r="H2" s="7">
        <v>2</v>
      </c>
      <c r="I2" s="43">
        <v>2565</v>
      </c>
      <c r="J2" s="43">
        <v>7.0000000000000007E-2</v>
      </c>
      <c r="K2" s="43">
        <f>H2*I2-J2</f>
        <v>5129.93</v>
      </c>
      <c r="L2" s="69"/>
      <c r="M2" s="3"/>
      <c r="O2" s="11" t="s">
        <v>57</v>
      </c>
      <c r="Q2">
        <f>C18-H18</f>
        <v>0</v>
      </c>
      <c r="T2" s="1"/>
      <c r="U2" t="s">
        <v>1195</v>
      </c>
    </row>
    <row r="3" spans="1:21" x14ac:dyDescent="0.25">
      <c r="A3" s="22" t="s">
        <v>71</v>
      </c>
      <c r="B3" s="360">
        <v>43325</v>
      </c>
      <c r="C3" s="7">
        <v>2</v>
      </c>
      <c r="D3" s="43">
        <v>2626</v>
      </c>
      <c r="E3" s="43">
        <v>0</v>
      </c>
      <c r="F3" s="43">
        <f>C3*D3+E3</f>
        <v>5252</v>
      </c>
      <c r="G3" s="360">
        <v>43490</v>
      </c>
      <c r="H3" s="77">
        <v>2</v>
      </c>
      <c r="I3" s="43">
        <v>2628</v>
      </c>
      <c r="J3" s="43">
        <v>7.0000000000000007E-2</v>
      </c>
      <c r="K3" s="43">
        <f>H3*I3-J3</f>
        <v>5255.93</v>
      </c>
      <c r="L3" s="69"/>
      <c r="M3" s="3"/>
      <c r="O3" s="11" t="s">
        <v>58</v>
      </c>
      <c r="Q3" s="174">
        <f>IF(Q2=0, Q4, (F18-K18-M18)/Q2)</f>
        <v>3502.99</v>
      </c>
      <c r="T3" s="1"/>
      <c r="U3" t="s">
        <v>1218</v>
      </c>
    </row>
    <row r="4" spans="1:21" x14ac:dyDescent="0.25">
      <c r="B4" s="360">
        <v>43384</v>
      </c>
      <c r="C4" s="7">
        <v>2</v>
      </c>
      <c r="D4" s="43">
        <v>2287.9</v>
      </c>
      <c r="E4" s="43">
        <v>0</v>
      </c>
      <c r="F4" s="43">
        <f>C4*D4+E4</f>
        <v>4575.8</v>
      </c>
      <c r="G4" s="360">
        <v>43495</v>
      </c>
      <c r="H4" s="77">
        <v>4</v>
      </c>
      <c r="I4" s="43">
        <v>2668</v>
      </c>
      <c r="J4" s="43">
        <v>0.14000000000000001</v>
      </c>
      <c r="K4" s="43">
        <f>H4*I4-J4</f>
        <v>10671.86</v>
      </c>
      <c r="L4" s="4"/>
      <c r="M4" s="4"/>
      <c r="O4" s="11" t="s">
        <v>66</v>
      </c>
      <c r="Q4" s="53">
        <v>3502.99</v>
      </c>
      <c r="R4" s="416">
        <v>2.2100000000000002E-2</v>
      </c>
      <c r="T4" s="680"/>
      <c r="U4" t="s">
        <v>1292</v>
      </c>
    </row>
    <row r="5" spans="1:21" x14ac:dyDescent="0.25">
      <c r="B5" s="360">
        <v>43434</v>
      </c>
      <c r="C5" s="7">
        <v>2</v>
      </c>
      <c r="D5" s="43">
        <v>2440</v>
      </c>
      <c r="E5" s="43">
        <v>0</v>
      </c>
      <c r="F5" s="43">
        <f>C5*D5+E5</f>
        <v>4880</v>
      </c>
      <c r="G5" s="360">
        <v>43531</v>
      </c>
      <c r="H5" s="77">
        <v>2</v>
      </c>
      <c r="I5" s="43">
        <v>2758.05</v>
      </c>
      <c r="J5" s="43">
        <v>7.0000000000000007E-2</v>
      </c>
      <c r="K5" s="43">
        <f>H5*I5-J5</f>
        <v>5516.0300000000007</v>
      </c>
      <c r="L5" s="4"/>
      <c r="M5" s="4"/>
      <c r="O5" s="11" t="s">
        <v>67</v>
      </c>
      <c r="Q5" s="3">
        <f>Q4*Q2</f>
        <v>0</v>
      </c>
      <c r="U5" s="742" t="s">
        <v>1291</v>
      </c>
    </row>
    <row r="6" spans="1:21" x14ac:dyDescent="0.25">
      <c r="B6" s="360">
        <v>43483</v>
      </c>
      <c r="C6" s="7">
        <v>2</v>
      </c>
      <c r="D6" s="43">
        <v>2488</v>
      </c>
      <c r="E6" s="43">
        <v>0</v>
      </c>
      <c r="F6" s="43">
        <f>C6*D6+E6</f>
        <v>4976</v>
      </c>
      <c r="G6" s="4"/>
      <c r="H6" s="158"/>
      <c r="I6" s="3"/>
      <c r="J6" s="3"/>
      <c r="K6" s="3"/>
      <c r="L6" s="4"/>
      <c r="M6" s="4"/>
      <c r="O6" s="11" t="s">
        <v>64</v>
      </c>
      <c r="Q6" s="2">
        <f>Q3*Q2</f>
        <v>0</v>
      </c>
      <c r="T6" s="1"/>
    </row>
    <row r="7" spans="1:21" x14ac:dyDescent="0.25">
      <c r="B7" s="69"/>
      <c r="C7" s="4"/>
      <c r="D7" s="3"/>
      <c r="E7" s="3"/>
      <c r="F7" s="3"/>
      <c r="G7" s="4"/>
      <c r="H7" s="158"/>
      <c r="I7" s="3"/>
      <c r="J7" s="3"/>
      <c r="K7" s="3"/>
      <c r="L7" s="4"/>
      <c r="M7" s="4"/>
      <c r="O7" s="11" t="s">
        <v>175</v>
      </c>
      <c r="Q7" s="2">
        <f>Q10+Q8</f>
        <v>1153.9500000000007</v>
      </c>
      <c r="R7">
        <v>0</v>
      </c>
      <c r="T7" s="1">
        <v>43333</v>
      </c>
      <c r="U7" t="s">
        <v>1197</v>
      </c>
    </row>
    <row r="8" spans="1:21" x14ac:dyDescent="0.25">
      <c r="B8" s="69"/>
      <c r="C8" s="4"/>
      <c r="D8" s="3"/>
      <c r="E8" s="3"/>
      <c r="F8" s="3"/>
      <c r="G8" s="4"/>
      <c r="H8" s="158"/>
      <c r="I8" s="3"/>
      <c r="J8" s="3"/>
      <c r="K8" s="3"/>
      <c r="L8" s="4"/>
      <c r="M8" s="4"/>
      <c r="O8" s="11" t="s">
        <v>177</v>
      </c>
      <c r="P8" s="33"/>
      <c r="Q8" s="2">
        <f>K18+M18-F18+Q2*Q4</f>
        <v>1153.9500000000007</v>
      </c>
    </row>
    <row r="9" spans="1:21" x14ac:dyDescent="0.25">
      <c r="B9" s="4"/>
      <c r="C9" s="4"/>
      <c r="D9" s="3"/>
      <c r="E9" s="3"/>
      <c r="F9" s="3"/>
      <c r="G9" s="4"/>
      <c r="H9" s="158"/>
      <c r="I9" s="3"/>
      <c r="J9" s="3"/>
      <c r="K9" s="3"/>
      <c r="L9" s="4"/>
      <c r="M9" s="4"/>
      <c r="O9" s="11" t="s">
        <v>202</v>
      </c>
      <c r="Q9" s="131">
        <f>IF(Q2=0, 0, Q8/Q6)</f>
        <v>0</v>
      </c>
      <c r="T9" s="680"/>
    </row>
    <row r="10" spans="1:21" x14ac:dyDescent="0.25">
      <c r="B10" s="4"/>
      <c r="C10" s="4"/>
      <c r="D10" s="3"/>
      <c r="E10" s="3"/>
      <c r="F10" s="3"/>
      <c r="G10" s="4"/>
      <c r="H10" s="158"/>
      <c r="I10" s="3"/>
      <c r="J10" s="3"/>
      <c r="K10" s="3"/>
      <c r="L10" s="4"/>
      <c r="M10" s="4"/>
      <c r="O10" s="11" t="s">
        <v>201</v>
      </c>
      <c r="P10" s="33"/>
      <c r="Q10" s="2">
        <f>M66</f>
        <v>0</v>
      </c>
      <c r="T10" s="1">
        <v>43392</v>
      </c>
      <c r="U10" t="s">
        <v>82</v>
      </c>
    </row>
    <row r="11" spans="1:21" x14ac:dyDescent="0.25">
      <c r="B11" s="4"/>
      <c r="C11" s="4"/>
      <c r="D11" s="3"/>
      <c r="E11" s="3"/>
      <c r="F11" s="3"/>
      <c r="G11" s="4"/>
      <c r="H11" s="158"/>
      <c r="I11" s="3"/>
      <c r="J11" s="3"/>
      <c r="K11" s="3"/>
      <c r="L11" s="4"/>
      <c r="M11" s="4"/>
      <c r="O11" s="11" t="s">
        <v>173</v>
      </c>
      <c r="P11" s="33"/>
      <c r="Q11" s="131">
        <v>0</v>
      </c>
    </row>
    <row r="12" spans="1:21" x14ac:dyDescent="0.25">
      <c r="H12" s="67"/>
      <c r="O12" s="11" t="s">
        <v>82</v>
      </c>
      <c r="Q12" s="1" t="s">
        <v>1314</v>
      </c>
    </row>
    <row r="13" spans="1:21" x14ac:dyDescent="0.25">
      <c r="H13" s="67"/>
      <c r="O13" s="11" t="s">
        <v>901</v>
      </c>
      <c r="Q13" s="2">
        <f>Q4/194</f>
        <v>18.056649484536081</v>
      </c>
    </row>
    <row r="14" spans="1:21" x14ac:dyDescent="0.25">
      <c r="H14" s="67"/>
      <c r="O14" s="11" t="s">
        <v>988</v>
      </c>
      <c r="Q14" s="1">
        <v>43422</v>
      </c>
    </row>
    <row r="15" spans="1:21" x14ac:dyDescent="0.25">
      <c r="H15" s="67"/>
    </row>
    <row r="16" spans="1:21" x14ac:dyDescent="0.25">
      <c r="H16" s="67"/>
    </row>
    <row r="18" spans="1:17" x14ac:dyDescent="0.25">
      <c r="A18" s="31" t="s">
        <v>81</v>
      </c>
      <c r="B18" s="14"/>
      <c r="C18" s="14">
        <f>SUM(C2:C8)</f>
        <v>10</v>
      </c>
      <c r="D18" s="18"/>
      <c r="E18" s="18"/>
      <c r="F18" s="18">
        <f>SUM(F2:F8)</f>
        <v>25419.8</v>
      </c>
      <c r="G18" s="14"/>
      <c r="H18" s="68">
        <f>SUM(H2:H5)</f>
        <v>10</v>
      </c>
      <c r="I18" s="18"/>
      <c r="J18" s="18"/>
      <c r="K18" s="18">
        <f>SUM(K2:K5)</f>
        <v>26573.75</v>
      </c>
      <c r="L18" s="14"/>
      <c r="M18" s="18">
        <f>SUM(M2:M10)</f>
        <v>0</v>
      </c>
    </row>
    <row r="19" spans="1:17" ht="15.75" thickBot="1" x14ac:dyDescent="0.3">
      <c r="A19" s="273" t="s">
        <v>189</v>
      </c>
      <c r="B19" s="274"/>
      <c r="C19" s="275">
        <f>SumByColor($A$19,C2:C17)</f>
        <v>10</v>
      </c>
      <c r="D19" s="275"/>
      <c r="E19" s="275"/>
      <c r="F19" s="276">
        <f>SumByColor($A$19,F2:F17)</f>
        <v>25420</v>
      </c>
      <c r="G19" s="275"/>
      <c r="H19" s="275">
        <f>SumByColor($A$19,H2:H17)</f>
        <v>10</v>
      </c>
      <c r="I19" s="275"/>
      <c r="J19" s="275"/>
      <c r="K19" s="276">
        <f>SumByColor($A$19,K2:K17)</f>
        <v>26574</v>
      </c>
      <c r="L19" s="275"/>
      <c r="M19" s="276">
        <f>SumByColor($A$19,M2:M17)</f>
        <v>0</v>
      </c>
    </row>
    <row r="22" spans="1:17" ht="20.25" thickBot="1" x14ac:dyDescent="0.35">
      <c r="O22" s="748" t="s">
        <v>78</v>
      </c>
      <c r="P22" s="748"/>
    </row>
    <row r="23" spans="1:17" ht="15.75" thickTop="1" x14ac:dyDescent="0.25">
      <c r="O23" s="78">
        <v>1.1000000000000001</v>
      </c>
      <c r="P23" s="78">
        <f>O23*$Q$4</f>
        <v>3853.2890000000002</v>
      </c>
      <c r="Q23" s="2"/>
    </row>
    <row r="24" spans="1:17" x14ac:dyDescent="0.25">
      <c r="B24" s="159" t="s">
        <v>113</v>
      </c>
      <c r="C24" s="159" t="s">
        <v>143</v>
      </c>
      <c r="D24" s="160" t="s">
        <v>142</v>
      </c>
      <c r="E24" s="162" t="s">
        <v>144</v>
      </c>
      <c r="F24" s="162" t="s">
        <v>65</v>
      </c>
      <c r="G24" s="173" t="s">
        <v>148</v>
      </c>
      <c r="H24" s="173" t="s">
        <v>88</v>
      </c>
      <c r="I24" s="173" t="s">
        <v>151</v>
      </c>
      <c r="J24" s="173" t="s">
        <v>147</v>
      </c>
      <c r="K24" s="173" t="s">
        <v>901</v>
      </c>
      <c r="L24" s="173"/>
      <c r="O24" s="78">
        <v>1.0900000000000001</v>
      </c>
      <c r="P24" s="78">
        <f t="shared" ref="P24:P43" si="0">O24*$Q$4</f>
        <v>3818.2591000000002</v>
      </c>
      <c r="Q24" s="2"/>
    </row>
    <row r="25" spans="1:17" x14ac:dyDescent="0.25">
      <c r="B25" s="161">
        <v>43301</v>
      </c>
      <c r="C25" s="10">
        <v>2</v>
      </c>
      <c r="D25" s="39">
        <v>2868</v>
      </c>
      <c r="E25" s="39">
        <v>2910</v>
      </c>
      <c r="F25" s="39">
        <f t="shared" ref="F25:F44" si="1">C25*(E25-D25)</f>
        <v>84</v>
      </c>
      <c r="G25" s="39">
        <f t="shared" ref="G25:G44" si="2">D25*C25</f>
        <v>5736</v>
      </c>
      <c r="H25" s="175">
        <f t="shared" ref="H25:H44" si="3">(E25-D25)/D25</f>
        <v>1.4644351464435146E-2</v>
      </c>
      <c r="I25" s="39"/>
      <c r="J25" s="39"/>
      <c r="K25" s="39"/>
      <c r="L25" s="39"/>
      <c r="O25" s="78">
        <v>1.08</v>
      </c>
      <c r="P25" s="78">
        <f t="shared" si="0"/>
        <v>3783.2292000000002</v>
      </c>
      <c r="Q25" s="2"/>
    </row>
    <row r="26" spans="1:17" x14ac:dyDescent="0.25">
      <c r="B26" s="161">
        <v>43316</v>
      </c>
      <c r="C26" s="10">
        <v>2</v>
      </c>
      <c r="D26" s="39">
        <v>2868</v>
      </c>
      <c r="E26" s="39">
        <v>2690.61</v>
      </c>
      <c r="F26" s="39">
        <f t="shared" si="1"/>
        <v>-354.77999999999975</v>
      </c>
      <c r="G26" s="39">
        <f t="shared" si="2"/>
        <v>5736</v>
      </c>
      <c r="H26" s="175">
        <f t="shared" si="3"/>
        <v>-6.18514644351464E-2</v>
      </c>
      <c r="I26" s="39"/>
      <c r="J26" s="39"/>
      <c r="K26" s="39"/>
      <c r="L26" s="39"/>
      <c r="O26" s="78">
        <v>1.07</v>
      </c>
      <c r="P26" s="78">
        <f t="shared" si="0"/>
        <v>3748.1992999999998</v>
      </c>
      <c r="Q26" s="2"/>
    </row>
    <row r="27" spans="1:17" x14ac:dyDescent="0.25">
      <c r="B27" s="161">
        <v>43325</v>
      </c>
      <c r="C27" s="10">
        <v>4</v>
      </c>
      <c r="D27" s="39">
        <v>2747</v>
      </c>
      <c r="E27" s="39">
        <v>2665</v>
      </c>
      <c r="F27" s="39">
        <f t="shared" si="1"/>
        <v>-328</v>
      </c>
      <c r="G27" s="39">
        <f t="shared" si="2"/>
        <v>10988</v>
      </c>
      <c r="H27" s="175">
        <f t="shared" si="3"/>
        <v>-2.9850746268656716E-2</v>
      </c>
      <c r="I27" s="39"/>
      <c r="J27" s="39"/>
      <c r="K27" s="39"/>
      <c r="L27" s="152"/>
      <c r="O27" s="78">
        <v>1.06</v>
      </c>
      <c r="P27" s="78">
        <f t="shared" si="0"/>
        <v>3713.1693999999998</v>
      </c>
      <c r="Q27" s="2"/>
    </row>
    <row r="28" spans="1:17" x14ac:dyDescent="0.25">
      <c r="B28" s="161">
        <v>43328</v>
      </c>
      <c r="C28" s="10">
        <v>4</v>
      </c>
      <c r="D28" s="39">
        <v>2747</v>
      </c>
      <c r="E28" s="39">
        <v>2650</v>
      </c>
      <c r="F28" s="39">
        <f t="shared" si="1"/>
        <v>-388</v>
      </c>
      <c r="G28" s="39">
        <f t="shared" si="2"/>
        <v>10988</v>
      </c>
      <c r="H28" s="175">
        <f t="shared" si="3"/>
        <v>-3.5311248634874406E-2</v>
      </c>
      <c r="I28" s="39"/>
      <c r="J28" s="39"/>
      <c r="K28" s="39"/>
      <c r="L28" s="152"/>
      <c r="O28" s="78">
        <v>1.05</v>
      </c>
      <c r="P28" s="78">
        <f t="shared" si="0"/>
        <v>3678.1394999999998</v>
      </c>
      <c r="Q28" s="2"/>
    </row>
    <row r="29" spans="1:17" x14ac:dyDescent="0.25">
      <c r="A29">
        <v>2</v>
      </c>
      <c r="B29" s="161">
        <v>43329</v>
      </c>
      <c r="C29" s="10">
        <v>4</v>
      </c>
      <c r="D29" s="39">
        <v>2747</v>
      </c>
      <c r="E29" s="39">
        <v>2627.75</v>
      </c>
      <c r="F29" s="39">
        <f t="shared" si="1"/>
        <v>-477</v>
      </c>
      <c r="G29" s="39">
        <f t="shared" si="2"/>
        <v>10988</v>
      </c>
      <c r="H29" s="175">
        <f t="shared" si="3"/>
        <v>-4.3410993811430654E-2</v>
      </c>
      <c r="I29" s="39"/>
      <c r="J29" s="39"/>
      <c r="K29" s="39"/>
      <c r="L29" s="152"/>
      <c r="O29" s="78">
        <v>1.04</v>
      </c>
      <c r="P29" s="78">
        <f t="shared" si="0"/>
        <v>3643.1095999999998</v>
      </c>
      <c r="Q29" s="2"/>
    </row>
    <row r="30" spans="1:17" x14ac:dyDescent="0.25">
      <c r="A30">
        <v>2</v>
      </c>
      <c r="B30" s="161">
        <v>43334</v>
      </c>
      <c r="C30" s="10">
        <v>4</v>
      </c>
      <c r="D30" s="39">
        <v>2747</v>
      </c>
      <c r="E30" s="39">
        <v>2694.89</v>
      </c>
      <c r="F30" s="39">
        <f t="shared" si="1"/>
        <v>-208.44000000000051</v>
      </c>
      <c r="G30" s="39">
        <f t="shared" si="2"/>
        <v>10988</v>
      </c>
      <c r="H30" s="175">
        <f t="shared" si="3"/>
        <v>-1.8969785220240308E-2</v>
      </c>
      <c r="I30" s="39"/>
      <c r="J30" s="39"/>
      <c r="K30" s="39"/>
      <c r="L30" s="152"/>
      <c r="O30" s="78">
        <v>1.03</v>
      </c>
      <c r="P30" s="78">
        <f t="shared" si="0"/>
        <v>3608.0796999999998</v>
      </c>
      <c r="Q30" s="2"/>
    </row>
    <row r="31" spans="1:17" x14ac:dyDescent="0.25">
      <c r="A31">
        <v>2</v>
      </c>
      <c r="B31" s="161">
        <v>43348</v>
      </c>
      <c r="C31" s="10">
        <v>4</v>
      </c>
      <c r="D31" s="39">
        <v>2747</v>
      </c>
      <c r="E31" s="39">
        <v>2655.87</v>
      </c>
      <c r="F31" s="39">
        <f t="shared" si="1"/>
        <v>-364.52000000000044</v>
      </c>
      <c r="G31" s="39">
        <f t="shared" si="2"/>
        <v>10988</v>
      </c>
      <c r="H31" s="175">
        <f t="shared" si="3"/>
        <v>-3.3174372042227923E-2</v>
      </c>
      <c r="I31" s="39"/>
      <c r="J31" s="39"/>
      <c r="K31" s="39"/>
      <c r="L31" s="152"/>
      <c r="O31" s="78">
        <v>1.02</v>
      </c>
      <c r="P31" s="78">
        <f t="shared" si="0"/>
        <v>3573.0497999999998</v>
      </c>
      <c r="Q31" s="2"/>
    </row>
    <row r="32" spans="1:17" x14ac:dyDescent="0.25">
      <c r="B32" s="161">
        <v>43383</v>
      </c>
      <c r="C32" s="10">
        <v>4</v>
      </c>
      <c r="D32" s="39">
        <v>2747</v>
      </c>
      <c r="E32" s="39">
        <v>2349.29</v>
      </c>
      <c r="F32" s="39">
        <f t="shared" si="1"/>
        <v>-1590.8400000000001</v>
      </c>
      <c r="G32" s="39">
        <f t="shared" si="2"/>
        <v>10988</v>
      </c>
      <c r="H32" s="175">
        <f t="shared" si="3"/>
        <v>-0.14477975973789589</v>
      </c>
      <c r="I32" s="39"/>
      <c r="J32" s="39"/>
      <c r="K32" s="39"/>
      <c r="L32" s="152"/>
      <c r="O32" s="78">
        <v>1.01</v>
      </c>
      <c r="P32" s="78">
        <f t="shared" si="0"/>
        <v>3538.0198999999998</v>
      </c>
      <c r="Q32" s="2"/>
    </row>
    <row r="33" spans="1:17" x14ac:dyDescent="0.25">
      <c r="A33">
        <v>4</v>
      </c>
      <c r="B33" s="161">
        <v>43384</v>
      </c>
      <c r="C33" s="10">
        <v>6</v>
      </c>
      <c r="D33" s="39">
        <v>2593.9699999999998</v>
      </c>
      <c r="E33" s="39">
        <v>2272.88</v>
      </c>
      <c r="F33" s="39">
        <f t="shared" si="1"/>
        <v>-1926.5399999999981</v>
      </c>
      <c r="G33" s="39">
        <f t="shared" si="2"/>
        <v>15563.82</v>
      </c>
      <c r="H33" s="175">
        <f t="shared" si="3"/>
        <v>-0.12378323573518572</v>
      </c>
      <c r="I33" s="39"/>
      <c r="J33" s="39"/>
      <c r="K33" s="39">
        <v>11.72</v>
      </c>
      <c r="L33" s="152"/>
      <c r="O33" s="78">
        <v>1</v>
      </c>
      <c r="P33" s="78">
        <f t="shared" si="0"/>
        <v>3502.99</v>
      </c>
      <c r="Q33" s="2"/>
    </row>
    <row r="34" spans="1:17" x14ac:dyDescent="0.25">
      <c r="B34" s="161">
        <v>43420</v>
      </c>
      <c r="C34" s="7">
        <v>6</v>
      </c>
      <c r="D34" s="43">
        <v>2593.9699999999998</v>
      </c>
      <c r="E34" s="39">
        <v>2401.2800000000002</v>
      </c>
      <c r="F34" s="39">
        <f t="shared" si="1"/>
        <v>-1156.1399999999976</v>
      </c>
      <c r="G34" s="39">
        <f t="shared" si="2"/>
        <v>15563.82</v>
      </c>
      <c r="H34" s="175">
        <f t="shared" si="3"/>
        <v>-7.4283819782032801E-2</v>
      </c>
      <c r="I34" s="39"/>
      <c r="J34" s="39"/>
      <c r="K34" s="39">
        <v>12.38</v>
      </c>
      <c r="L34" s="152"/>
      <c r="O34" s="78">
        <v>0.99</v>
      </c>
      <c r="P34" s="78">
        <f t="shared" si="0"/>
        <v>3467.9600999999998</v>
      </c>
      <c r="Q34" s="2"/>
    </row>
    <row r="35" spans="1:17" x14ac:dyDescent="0.25">
      <c r="A35">
        <v>6</v>
      </c>
      <c r="B35" s="161">
        <v>43432</v>
      </c>
      <c r="C35" s="10">
        <v>6</v>
      </c>
      <c r="D35" s="39">
        <v>2593.9666999999999</v>
      </c>
      <c r="E35" s="39">
        <v>2562.71</v>
      </c>
      <c r="F35" s="39">
        <f t="shared" si="1"/>
        <v>-187.54019999999946</v>
      </c>
      <c r="G35" s="39">
        <f t="shared" si="2"/>
        <v>15563.8002</v>
      </c>
      <c r="H35" s="175">
        <f t="shared" si="3"/>
        <v>-1.2049769181693778E-2</v>
      </c>
      <c r="I35" s="39"/>
      <c r="J35" s="39"/>
      <c r="K35" s="39">
        <v>13.21</v>
      </c>
      <c r="L35" s="152"/>
      <c r="O35" s="78">
        <v>0.98</v>
      </c>
      <c r="P35" s="78">
        <f t="shared" si="0"/>
        <v>3432.9301999999998</v>
      </c>
      <c r="Q35" s="2"/>
    </row>
    <row r="36" spans="1:17" x14ac:dyDescent="0.25">
      <c r="A36">
        <v>6</v>
      </c>
      <c r="B36" s="161">
        <v>43433</v>
      </c>
      <c r="C36" s="10">
        <v>6</v>
      </c>
      <c r="D36" s="39">
        <v>2593.9699999999998</v>
      </c>
      <c r="E36" s="39">
        <v>2473.77</v>
      </c>
      <c r="F36" s="39">
        <f t="shared" si="1"/>
        <v>-721.19999999999891</v>
      </c>
      <c r="G36" s="39">
        <f t="shared" si="2"/>
        <v>15563.82</v>
      </c>
      <c r="H36" s="175">
        <f t="shared" si="3"/>
        <v>-4.6338238298823747E-2</v>
      </c>
      <c r="I36" s="39"/>
      <c r="J36" s="39"/>
      <c r="K36" s="39">
        <v>12.75</v>
      </c>
      <c r="L36" s="39"/>
      <c r="O36" s="78">
        <v>0.97</v>
      </c>
      <c r="P36" s="78">
        <f t="shared" si="0"/>
        <v>3397.9002999999998</v>
      </c>
    </row>
    <row r="37" spans="1:17" x14ac:dyDescent="0.25">
      <c r="A37" s="33">
        <v>6</v>
      </c>
      <c r="B37" s="161">
        <v>43434</v>
      </c>
      <c r="C37" s="10">
        <v>8</v>
      </c>
      <c r="D37" s="39">
        <v>2555.4749999999999</v>
      </c>
      <c r="E37" s="39">
        <v>2450</v>
      </c>
      <c r="F37" s="39">
        <f t="shared" si="1"/>
        <v>-843.79999999999927</v>
      </c>
      <c r="G37" s="39">
        <f t="shared" si="2"/>
        <v>20443.8</v>
      </c>
      <c r="H37" s="175">
        <f t="shared" si="3"/>
        <v>-4.1274127119224374E-2</v>
      </c>
      <c r="I37" s="39"/>
      <c r="J37" s="39"/>
      <c r="K37" s="39">
        <v>12.63</v>
      </c>
      <c r="L37" s="39"/>
      <c r="O37" s="78">
        <v>0.96</v>
      </c>
      <c r="P37" s="78">
        <f t="shared" si="0"/>
        <v>3362.8703999999998</v>
      </c>
    </row>
    <row r="38" spans="1:17" x14ac:dyDescent="0.25">
      <c r="A38">
        <v>6</v>
      </c>
      <c r="B38" s="161">
        <v>43442</v>
      </c>
      <c r="C38" s="10">
        <v>8</v>
      </c>
      <c r="D38" s="39">
        <v>2555.48</v>
      </c>
      <c r="E38" s="39">
        <v>2456.7399999999998</v>
      </c>
      <c r="F38" s="39">
        <f t="shared" si="1"/>
        <v>-789.92000000000189</v>
      </c>
      <c r="G38" s="39">
        <f t="shared" si="2"/>
        <v>20443.84</v>
      </c>
      <c r="H38" s="175">
        <f t="shared" si="3"/>
        <v>-3.8638533660995289E-2</v>
      </c>
      <c r="I38" s="39"/>
      <c r="J38" s="39"/>
      <c r="K38" s="39">
        <v>12.66</v>
      </c>
      <c r="L38" s="39"/>
      <c r="O38" s="78">
        <v>0.95</v>
      </c>
      <c r="P38" s="78">
        <f t="shared" si="0"/>
        <v>3327.8404999999998</v>
      </c>
    </row>
    <row r="39" spans="1:17" x14ac:dyDescent="0.25">
      <c r="B39" s="161">
        <v>43467</v>
      </c>
      <c r="C39" s="10">
        <v>8</v>
      </c>
      <c r="D39" s="39">
        <v>2555.48</v>
      </c>
      <c r="E39" s="39">
        <v>2420.8200000000002</v>
      </c>
      <c r="F39" s="39">
        <f t="shared" si="1"/>
        <v>-1077.2799999999988</v>
      </c>
      <c r="G39" s="39">
        <f t="shared" si="2"/>
        <v>20443.84</v>
      </c>
      <c r="H39" s="175">
        <f t="shared" si="3"/>
        <v>-5.2694601405606716E-2</v>
      </c>
      <c r="I39" s="39"/>
      <c r="J39" s="39"/>
      <c r="K39" s="39">
        <v>12.48</v>
      </c>
      <c r="L39" s="39"/>
      <c r="O39" s="78">
        <v>0.94</v>
      </c>
      <c r="P39" s="78">
        <f t="shared" si="0"/>
        <v>3292.8105999999998</v>
      </c>
    </row>
    <row r="40" spans="1:17" x14ac:dyDescent="0.25">
      <c r="A40">
        <v>6</v>
      </c>
      <c r="B40" s="161">
        <v>43474</v>
      </c>
      <c r="C40" s="7">
        <v>6</v>
      </c>
      <c r="D40" s="43">
        <v>2552.31</v>
      </c>
      <c r="E40" s="39">
        <v>2531.5300000000002</v>
      </c>
      <c r="F40" s="39">
        <f t="shared" si="1"/>
        <v>-124.67999999999847</v>
      </c>
      <c r="G40" s="39">
        <f t="shared" si="2"/>
        <v>15313.86</v>
      </c>
      <c r="H40" s="175">
        <f t="shared" si="3"/>
        <v>-8.1416442360057149E-3</v>
      </c>
      <c r="I40" s="39">
        <v>2500</v>
      </c>
      <c r="J40" s="39"/>
      <c r="K40" s="39">
        <v>13.05</v>
      </c>
      <c r="L40" s="39"/>
      <c r="O40" s="78">
        <v>0.93</v>
      </c>
      <c r="P40" s="78">
        <f t="shared" si="0"/>
        <v>3257.7806999999998</v>
      </c>
    </row>
    <row r="41" spans="1:17" x14ac:dyDescent="0.25">
      <c r="A41">
        <v>6</v>
      </c>
      <c r="B41" s="161">
        <v>43477</v>
      </c>
      <c r="C41" s="10">
        <v>6</v>
      </c>
      <c r="D41" s="39">
        <v>2552.31</v>
      </c>
      <c r="E41" s="39">
        <v>2586.1</v>
      </c>
      <c r="F41" s="760">
        <f t="shared" si="1"/>
        <v>202.73999999999978</v>
      </c>
      <c r="G41" s="39">
        <f t="shared" si="2"/>
        <v>15313.86</v>
      </c>
      <c r="H41" s="175">
        <f t="shared" si="3"/>
        <v>1.3238987427075851E-2</v>
      </c>
      <c r="I41" s="39"/>
      <c r="J41" s="39"/>
      <c r="K41" s="39">
        <v>13.33</v>
      </c>
      <c r="L41" s="39"/>
      <c r="O41" s="78">
        <v>0.92</v>
      </c>
      <c r="P41" s="78">
        <f t="shared" si="0"/>
        <v>3222.7507999999998</v>
      </c>
    </row>
    <row r="42" spans="1:17" x14ac:dyDescent="0.25">
      <c r="A42">
        <v>6</v>
      </c>
      <c r="B42" s="161">
        <v>43483</v>
      </c>
      <c r="C42" s="10">
        <v>8</v>
      </c>
      <c r="D42" s="39">
        <v>2536.23</v>
      </c>
      <c r="E42" s="39">
        <v>2488</v>
      </c>
      <c r="F42" s="39">
        <f t="shared" si="1"/>
        <v>-385.84000000000015</v>
      </c>
      <c r="G42" s="39">
        <f t="shared" si="2"/>
        <v>20289.84</v>
      </c>
      <c r="H42" s="175">
        <f t="shared" si="3"/>
        <v>-1.9016414126479073E-2</v>
      </c>
      <c r="I42" s="39"/>
      <c r="J42" s="39"/>
      <c r="K42" s="39">
        <v>13.03</v>
      </c>
      <c r="L42" s="39"/>
      <c r="O42" s="78">
        <v>0.91</v>
      </c>
      <c r="P42" s="78">
        <f t="shared" si="0"/>
        <v>3187.7208999999998</v>
      </c>
    </row>
    <row r="43" spans="1:17" x14ac:dyDescent="0.25">
      <c r="A43">
        <v>4</v>
      </c>
      <c r="B43" s="161">
        <v>43490</v>
      </c>
      <c r="C43" s="7">
        <v>6</v>
      </c>
      <c r="D43" s="43">
        <v>2505.66</v>
      </c>
      <c r="E43" s="39">
        <v>2517.06</v>
      </c>
      <c r="F43" s="39">
        <f t="shared" si="1"/>
        <v>68.400000000000546</v>
      </c>
      <c r="G43" s="39">
        <f t="shared" si="2"/>
        <v>15033.96</v>
      </c>
      <c r="H43" s="175">
        <f t="shared" si="3"/>
        <v>4.5496994803764642E-3</v>
      </c>
      <c r="I43" s="39"/>
      <c r="J43" s="39"/>
      <c r="K43" s="39">
        <v>13</v>
      </c>
      <c r="L43" s="39"/>
      <c r="O43" s="78">
        <v>0.9</v>
      </c>
      <c r="P43" s="78">
        <f t="shared" si="0"/>
        <v>3152.6909999999998</v>
      </c>
    </row>
    <row r="44" spans="1:17" x14ac:dyDescent="0.25">
      <c r="A44">
        <v>0</v>
      </c>
      <c r="B44" s="161">
        <v>43495</v>
      </c>
      <c r="C44" s="10">
        <v>2</v>
      </c>
      <c r="D44" s="39">
        <v>2181.04</v>
      </c>
      <c r="E44" s="39">
        <v>2649.77</v>
      </c>
      <c r="F44" s="760">
        <f t="shared" si="1"/>
        <v>937.46</v>
      </c>
      <c r="G44" s="39">
        <f t="shared" si="2"/>
        <v>4362.08</v>
      </c>
      <c r="H44" s="175">
        <f t="shared" si="3"/>
        <v>0.21491123500715256</v>
      </c>
      <c r="I44" s="39"/>
      <c r="J44" s="39"/>
      <c r="K44" s="39">
        <v>13.66</v>
      </c>
      <c r="L44" s="39"/>
    </row>
    <row r="45" spans="1:17" x14ac:dyDescent="0.25">
      <c r="B45" s="161">
        <v>43531</v>
      </c>
      <c r="C45" s="10">
        <v>0</v>
      </c>
      <c r="D45" s="39"/>
      <c r="E45" s="39"/>
      <c r="F45" s="39"/>
      <c r="G45" s="39"/>
      <c r="H45" s="175"/>
      <c r="I45" s="39"/>
      <c r="J45" s="760">
        <v>1153.95</v>
      </c>
      <c r="K45" s="39">
        <v>14.18</v>
      </c>
      <c r="L45" s="39"/>
    </row>
    <row r="46" spans="1:17" x14ac:dyDescent="0.25">
      <c r="B46" s="161"/>
      <c r="C46" s="10"/>
      <c r="D46" s="39"/>
      <c r="E46" s="39"/>
      <c r="F46" s="39"/>
      <c r="G46" s="39"/>
      <c r="H46" s="175"/>
      <c r="I46" s="39"/>
      <c r="J46" s="39"/>
      <c r="K46" s="39"/>
      <c r="L46" s="39"/>
    </row>
    <row r="47" spans="1:17" x14ac:dyDescent="0.25">
      <c r="B47" s="161"/>
      <c r="C47" s="10"/>
      <c r="D47" s="39"/>
      <c r="E47" s="39"/>
      <c r="F47" s="39"/>
      <c r="G47" s="39"/>
      <c r="H47" s="175"/>
      <c r="I47" s="39"/>
      <c r="J47" s="39"/>
      <c r="K47" s="39"/>
      <c r="L47" s="39"/>
    </row>
    <row r="48" spans="1:17" x14ac:dyDescent="0.25">
      <c r="B48" s="161"/>
      <c r="C48" s="10"/>
      <c r="D48" s="39"/>
      <c r="E48" s="39"/>
      <c r="F48" s="39"/>
      <c r="G48" s="39"/>
      <c r="H48" s="175"/>
      <c r="I48" s="39"/>
      <c r="J48" s="39"/>
      <c r="K48" s="39"/>
      <c r="L48" s="39"/>
    </row>
    <row r="49" spans="1:12" x14ac:dyDescent="0.25">
      <c r="B49" s="161"/>
      <c r="C49" s="10"/>
      <c r="D49" s="39"/>
      <c r="E49" s="39"/>
      <c r="F49" s="39"/>
      <c r="G49" s="39"/>
      <c r="H49" s="175"/>
      <c r="I49" s="39"/>
      <c r="J49" s="39"/>
      <c r="K49" s="39"/>
      <c r="L49" s="39"/>
    </row>
    <row r="50" spans="1:12" x14ac:dyDescent="0.25">
      <c r="B50" s="161"/>
      <c r="C50" s="10"/>
      <c r="D50" s="39"/>
      <c r="E50" s="39"/>
      <c r="F50" s="39"/>
      <c r="G50" s="39"/>
      <c r="H50" s="175"/>
      <c r="I50" s="39"/>
      <c r="J50" s="39"/>
      <c r="K50" s="39"/>
      <c r="L50" s="39"/>
    </row>
    <row r="51" spans="1:12" x14ac:dyDescent="0.25">
      <c r="B51" s="161"/>
      <c r="C51" s="10"/>
      <c r="D51" s="39"/>
      <c r="E51" s="39"/>
      <c r="F51" s="39"/>
      <c r="G51" s="39"/>
      <c r="H51" s="175"/>
      <c r="I51" s="39"/>
      <c r="J51" s="39"/>
      <c r="K51" s="39"/>
      <c r="L51" s="39"/>
    </row>
    <row r="52" spans="1:12" x14ac:dyDescent="0.25">
      <c r="B52" s="161"/>
      <c r="C52" s="10"/>
      <c r="D52" s="39"/>
      <c r="E52" s="39"/>
      <c r="F52" s="39"/>
      <c r="G52" s="39"/>
      <c r="H52" s="175"/>
      <c r="I52" s="39"/>
      <c r="J52" s="39"/>
      <c r="K52" s="39"/>
      <c r="L52" s="39"/>
    </row>
    <row r="53" spans="1:12" x14ac:dyDescent="0.25">
      <c r="B53" s="161"/>
      <c r="C53" s="10"/>
      <c r="D53" s="39"/>
      <c r="E53" s="39"/>
      <c r="F53" s="39"/>
      <c r="G53" s="39"/>
      <c r="H53" s="175"/>
      <c r="I53" s="39"/>
      <c r="J53" s="39"/>
      <c r="K53" s="39"/>
      <c r="L53" s="39"/>
    </row>
    <row r="54" spans="1:12" x14ac:dyDescent="0.25">
      <c r="A54" s="4"/>
      <c r="B54" s="69"/>
      <c r="C54" s="4"/>
      <c r="D54" s="3"/>
      <c r="E54" s="3"/>
      <c r="F54" s="3"/>
      <c r="G54" s="3"/>
      <c r="H54" s="212"/>
      <c r="I54" s="3"/>
      <c r="J54" s="3"/>
      <c r="K54" s="3"/>
      <c r="L54" s="4"/>
    </row>
    <row r="55" spans="1:12" x14ac:dyDescent="0.25">
      <c r="A55" s="4"/>
      <c r="B55" s="69"/>
      <c r="C55" s="4"/>
      <c r="D55" s="3"/>
      <c r="E55" s="3"/>
      <c r="F55" s="3"/>
      <c r="G55" s="3"/>
      <c r="H55" s="212"/>
      <c r="I55" s="3"/>
      <c r="J55" s="3"/>
      <c r="K55" s="3"/>
      <c r="L55" s="4"/>
    </row>
    <row r="56" spans="1:12" x14ac:dyDescent="0.25">
      <c r="A56" s="4"/>
      <c r="B56" s="69"/>
      <c r="C56" s="4"/>
      <c r="D56" s="3"/>
      <c r="E56" s="3"/>
      <c r="F56" s="3"/>
      <c r="G56" s="3"/>
      <c r="H56" s="212"/>
      <c r="I56" s="3"/>
      <c r="J56" s="3"/>
      <c r="K56" s="3"/>
      <c r="L56" s="4"/>
    </row>
    <row r="57" spans="1:12" x14ac:dyDescent="0.25">
      <c r="A57" s="4"/>
      <c r="B57" s="69"/>
      <c r="C57" s="4"/>
      <c r="D57" s="3"/>
      <c r="E57" s="3"/>
      <c r="F57" s="3"/>
      <c r="G57" s="3"/>
      <c r="H57" s="212"/>
      <c r="I57" s="3"/>
      <c r="J57" s="3"/>
      <c r="K57" s="3"/>
      <c r="L57" s="4"/>
    </row>
    <row r="58" spans="1:12" x14ac:dyDescent="0.25">
      <c r="A58" s="4"/>
      <c r="B58" s="69"/>
      <c r="C58" s="4"/>
      <c r="D58" s="3"/>
      <c r="E58" s="3"/>
      <c r="F58" s="3"/>
      <c r="G58" s="3"/>
      <c r="H58" s="212"/>
      <c r="I58" s="3"/>
      <c r="J58" s="3"/>
      <c r="K58" s="3"/>
      <c r="L58" s="4"/>
    </row>
    <row r="59" spans="1:12" x14ac:dyDescent="0.25">
      <c r="A59" s="4"/>
      <c r="B59" s="69"/>
      <c r="C59" s="4"/>
      <c r="D59" s="3"/>
      <c r="E59" s="3"/>
      <c r="F59" s="3"/>
      <c r="G59" s="3"/>
      <c r="H59" s="212"/>
      <c r="I59" s="3"/>
      <c r="J59" s="3"/>
      <c r="K59" s="3"/>
      <c r="L59" s="4"/>
    </row>
    <row r="60" spans="1:12" x14ac:dyDescent="0.25">
      <c r="A60" s="4"/>
      <c r="B60" s="69"/>
      <c r="C60" s="4"/>
      <c r="D60" s="3"/>
      <c r="E60" s="3"/>
      <c r="F60" s="3"/>
      <c r="G60" s="3"/>
      <c r="H60" s="212"/>
      <c r="I60" s="3"/>
      <c r="J60" s="3"/>
      <c r="K60" s="3"/>
      <c r="L60" s="4"/>
    </row>
    <row r="61" spans="1:12" x14ac:dyDescent="0.25">
      <c r="A61" s="4"/>
      <c r="B61" s="69"/>
      <c r="C61" s="4"/>
      <c r="D61" s="3"/>
      <c r="E61" s="3"/>
      <c r="F61" s="3"/>
      <c r="G61" s="3"/>
      <c r="H61" s="212"/>
      <c r="I61" s="3"/>
      <c r="J61" s="3"/>
      <c r="K61" s="3"/>
      <c r="L61" s="4"/>
    </row>
    <row r="62" spans="1:12" x14ac:dyDescent="0.25">
      <c r="A62" s="4"/>
      <c r="B62" s="69"/>
      <c r="C62" s="4"/>
      <c r="D62" s="3"/>
      <c r="E62" s="3"/>
      <c r="F62" s="3"/>
      <c r="G62" s="3"/>
      <c r="H62" s="212"/>
      <c r="I62" s="3"/>
      <c r="J62" s="3"/>
      <c r="K62" s="3"/>
      <c r="L62" s="4"/>
    </row>
    <row r="63" spans="1:12" x14ac:dyDescent="0.25">
      <c r="A63" s="4"/>
      <c r="B63" s="69"/>
      <c r="C63" s="4"/>
      <c r="D63" s="3"/>
      <c r="E63" s="3"/>
      <c r="F63" s="3"/>
      <c r="G63" s="3"/>
      <c r="H63" s="212"/>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1137</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23:O43">
    <cfRule type="colorScale" priority="36">
      <colorScale>
        <cfvo type="min"/>
        <cfvo type="percentile" val="50"/>
        <cfvo type="max"/>
        <color rgb="FFF8696B"/>
        <color rgb="FFFFEB84"/>
        <color rgb="FF63BE7B"/>
      </colorScale>
    </cfRule>
  </conditionalFormatting>
  <conditionalFormatting sqref="P23:P43">
    <cfRule type="colorScale" priority="35">
      <colorScale>
        <cfvo type="min"/>
        <cfvo type="percentile" val="50"/>
        <cfvo type="max"/>
        <color rgb="FFF8696B"/>
        <color rgb="FFFFEB84"/>
        <color rgb="FF63BE7B"/>
      </colorScale>
    </cfRule>
  </conditionalFormatting>
  <conditionalFormatting sqref="F54:F63 H54:H63">
    <cfRule type="expression" dxfId="959" priority="33">
      <formula>F54&gt;0</formula>
    </cfRule>
    <cfRule type="expression" dxfId="958" priority="34">
      <formula>F54&lt;0</formula>
    </cfRule>
  </conditionalFormatting>
  <conditionalFormatting sqref="Q7">
    <cfRule type="expression" dxfId="957" priority="31">
      <formula>Q7&gt;0</formula>
    </cfRule>
    <cfRule type="expression" dxfId="956" priority="32">
      <formula>Q7&lt;0</formula>
    </cfRule>
  </conditionalFormatting>
  <conditionalFormatting sqref="Q8">
    <cfRule type="expression" dxfId="955" priority="29">
      <formula>Q8&gt;0</formula>
    </cfRule>
    <cfRule type="expression" dxfId="954" priority="30">
      <formula>Q8&lt;0</formula>
    </cfRule>
  </conditionalFormatting>
  <conditionalFormatting sqref="F31:F53">
    <cfRule type="expression" dxfId="953" priority="27">
      <formula>F31&gt;0</formula>
    </cfRule>
    <cfRule type="expression" dxfId="952" priority="28">
      <formula>F31&lt;0</formula>
    </cfRule>
  </conditionalFormatting>
  <conditionalFormatting sqref="H31:H53">
    <cfRule type="expression" dxfId="951" priority="25">
      <formula>H31&gt;0</formula>
    </cfRule>
    <cfRule type="expression" dxfId="950" priority="26">
      <formula>H31&lt;0</formula>
    </cfRule>
  </conditionalFormatting>
  <conditionalFormatting sqref="Q10">
    <cfRule type="expression" dxfId="949" priority="23">
      <formula>Q10&gt;0</formula>
    </cfRule>
    <cfRule type="expression" dxfId="948" priority="24">
      <formula>Q10&lt;0</formula>
    </cfRule>
  </conditionalFormatting>
  <conditionalFormatting sqref="J25:J38">
    <cfRule type="expression" dxfId="947" priority="21">
      <formula>J25&gt;0</formula>
    </cfRule>
    <cfRule type="expression" dxfId="946" priority="22">
      <formula>J25&lt;0</formula>
    </cfRule>
  </conditionalFormatting>
  <conditionalFormatting sqref="L25:L38">
    <cfRule type="expression" dxfId="945" priority="17">
      <formula>L25&gt;0</formula>
    </cfRule>
    <cfRule type="expression" dxfId="944" priority="18">
      <formula>L25&lt;0</formula>
    </cfRule>
  </conditionalFormatting>
  <conditionalFormatting sqref="F89:F110">
    <cfRule type="expression" dxfId="943" priority="15">
      <formula>F89&gt;0</formula>
    </cfRule>
    <cfRule type="expression" dxfId="942" priority="16">
      <formula>F89&lt;0</formula>
    </cfRule>
  </conditionalFormatting>
  <conditionalFormatting sqref="H89:H110">
    <cfRule type="expression" dxfId="941" priority="13">
      <formula>H89&gt;0</formula>
    </cfRule>
    <cfRule type="expression" dxfId="940" priority="14">
      <formula>H89&lt;0</formula>
    </cfRule>
  </conditionalFormatting>
  <conditionalFormatting sqref="J89:J102">
    <cfRule type="expression" dxfId="939" priority="11">
      <formula>J89&gt;0</formula>
    </cfRule>
    <cfRule type="expression" dxfId="938" priority="12">
      <formula>J89&lt;0</formula>
    </cfRule>
  </conditionalFormatting>
  <conditionalFormatting sqref="K89:K102">
    <cfRule type="expression" dxfId="937" priority="9">
      <formula>K89&gt;0</formula>
    </cfRule>
    <cfRule type="expression" dxfId="936" priority="10">
      <formula>K89&lt;0</formula>
    </cfRule>
  </conditionalFormatting>
  <conditionalFormatting sqref="L89:L102">
    <cfRule type="expression" dxfId="935" priority="7">
      <formula>L89&gt;0</formula>
    </cfRule>
    <cfRule type="expression" dxfId="934" priority="8">
      <formula>L89&lt;0</formula>
    </cfRule>
  </conditionalFormatting>
  <conditionalFormatting sqref="F25:F30">
    <cfRule type="expression" dxfId="933" priority="5">
      <formula>F25&gt;0</formula>
    </cfRule>
    <cfRule type="expression" dxfId="932" priority="6">
      <formula>F25&lt;0</formula>
    </cfRule>
  </conditionalFormatting>
  <conditionalFormatting sqref="H25:H30">
    <cfRule type="expression" dxfId="931" priority="3">
      <formula>H25&gt;0</formula>
    </cfRule>
    <cfRule type="expression" dxfId="930" priority="4">
      <formula>H25&lt;0</formula>
    </cfRule>
  </conditionalFormatting>
  <conditionalFormatting sqref="J45">
    <cfRule type="expression" dxfId="929" priority="1">
      <formula>J45&gt;0</formula>
    </cfRule>
    <cfRule type="expression" dxfId="928" priority="2">
      <formula>J45&lt;0</formula>
    </cfRule>
  </conditionalFormatting>
  <hyperlinks>
    <hyperlink ref="A3" location="ACTIVE!A1" display="Back"/>
    <hyperlink ref="U5" r:id="rId1"/>
  </hyperlinks>
  <pageMargins left="0.7" right="0.7" top="0.75" bottom="0.75" header="0.3" footer="0.3"/>
  <pageSetup orientation="portrait" r:id="rId2"/>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7"/>
  <dimension ref="A1:U115"/>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5.140625" bestFit="1" customWidth="1"/>
    <col min="4" max="6" width="9.140625" style="2"/>
    <col min="7" max="7" width="10.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888</v>
      </c>
      <c r="B2" s="360">
        <v>43178</v>
      </c>
      <c r="C2" s="7">
        <v>25</v>
      </c>
      <c r="D2" s="43">
        <v>166.11</v>
      </c>
      <c r="E2" s="43">
        <v>0</v>
      </c>
      <c r="F2" s="43">
        <f t="shared" ref="F2:F17" si="0">C2*D2+E2</f>
        <v>4152.75</v>
      </c>
      <c r="G2" s="397">
        <v>43181</v>
      </c>
      <c r="H2" s="7">
        <v>25</v>
      </c>
      <c r="I2" s="43">
        <v>165.09</v>
      </c>
      <c r="J2" s="43">
        <v>0.22</v>
      </c>
      <c r="K2" s="43">
        <f t="shared" ref="K2:K14" si="1">H2*I2-J2</f>
        <v>4127.03</v>
      </c>
      <c r="L2" s="69">
        <v>43312</v>
      </c>
      <c r="M2" s="43">
        <v>15.13</v>
      </c>
      <c r="O2" s="11" t="s">
        <v>57</v>
      </c>
      <c r="Q2">
        <f>C21-H21</f>
        <v>0</v>
      </c>
      <c r="T2" s="1"/>
    </row>
    <row r="3" spans="1:21" x14ac:dyDescent="0.25">
      <c r="A3" s="22" t="s">
        <v>71</v>
      </c>
      <c r="B3" s="360" t="s">
        <v>924</v>
      </c>
      <c r="C3" s="7">
        <v>25</v>
      </c>
      <c r="D3" s="43">
        <v>163.47999999999999</v>
      </c>
      <c r="E3" s="43">
        <v>0</v>
      </c>
      <c r="F3" s="43">
        <f t="shared" si="0"/>
        <v>4086.9999999999995</v>
      </c>
      <c r="G3" s="397">
        <v>43200</v>
      </c>
      <c r="H3" s="77">
        <v>25</v>
      </c>
      <c r="I3" s="43">
        <v>161</v>
      </c>
      <c r="J3" s="43">
        <v>0.09</v>
      </c>
      <c r="K3" s="43">
        <f t="shared" si="1"/>
        <v>4024.91</v>
      </c>
      <c r="L3" s="69">
        <v>43465</v>
      </c>
      <c r="M3" s="43">
        <v>33.65</v>
      </c>
      <c r="O3" s="11" t="s">
        <v>58</v>
      </c>
      <c r="Q3" s="174">
        <f>IF(Q2=0, Q4, (F21-K21-M21)/Q2)</f>
        <v>190.5</v>
      </c>
      <c r="T3" s="1"/>
    </row>
    <row r="4" spans="1:21" x14ac:dyDescent="0.25">
      <c r="B4" s="397">
        <v>43181</v>
      </c>
      <c r="C4" s="7">
        <v>25</v>
      </c>
      <c r="D4" s="43">
        <v>162.97999999999999</v>
      </c>
      <c r="E4" s="43">
        <v>0</v>
      </c>
      <c r="F4" s="43">
        <f t="shared" si="0"/>
        <v>4074.4999999999995</v>
      </c>
      <c r="G4" s="397">
        <v>43216</v>
      </c>
      <c r="H4" s="77">
        <v>25</v>
      </c>
      <c r="I4" s="43">
        <v>164.11</v>
      </c>
      <c r="J4" s="43">
        <v>0.09</v>
      </c>
      <c r="K4" s="43">
        <f t="shared" si="1"/>
        <v>4102.66</v>
      </c>
      <c r="L4" s="4"/>
      <c r="M4" s="4"/>
      <c r="O4" s="11" t="s">
        <v>66</v>
      </c>
      <c r="Q4" s="53">
        <v>190.5</v>
      </c>
      <c r="R4" s="416">
        <v>4.1999999999999997E-3</v>
      </c>
      <c r="T4" s="680">
        <v>43256</v>
      </c>
      <c r="U4" s="742" t="s">
        <v>1043</v>
      </c>
    </row>
    <row r="5" spans="1:21" x14ac:dyDescent="0.25">
      <c r="B5" s="397">
        <v>43196</v>
      </c>
      <c r="C5" s="7">
        <v>25</v>
      </c>
      <c r="D5" s="43">
        <v>156.5</v>
      </c>
      <c r="E5" s="43">
        <v>0</v>
      </c>
      <c r="F5" s="43">
        <f t="shared" si="0"/>
        <v>3912.5</v>
      </c>
      <c r="G5" s="397">
        <v>43252</v>
      </c>
      <c r="H5" s="77">
        <v>25</v>
      </c>
      <c r="I5" s="43">
        <v>171.78</v>
      </c>
      <c r="J5" s="43">
        <v>0.06</v>
      </c>
      <c r="K5" s="43">
        <f t="shared" si="1"/>
        <v>4294.4399999999996</v>
      </c>
      <c r="L5" s="4"/>
      <c r="M5" s="4"/>
      <c r="O5" s="11" t="s">
        <v>67</v>
      </c>
      <c r="Q5" s="3">
        <f>Q4*Q2</f>
        <v>0</v>
      </c>
    </row>
    <row r="6" spans="1:21" x14ac:dyDescent="0.25">
      <c r="B6" s="397">
        <v>43214</v>
      </c>
      <c r="C6" s="7">
        <v>15</v>
      </c>
      <c r="D6" s="43">
        <v>158</v>
      </c>
      <c r="E6" s="43">
        <v>0</v>
      </c>
      <c r="F6" s="43">
        <f t="shared" si="0"/>
        <v>2370</v>
      </c>
      <c r="G6" s="397">
        <v>43271</v>
      </c>
      <c r="H6" s="77">
        <v>15</v>
      </c>
      <c r="I6" s="43">
        <v>177.53</v>
      </c>
      <c r="J6" s="43">
        <v>0.03</v>
      </c>
      <c r="K6" s="43">
        <f t="shared" si="1"/>
        <v>2662.9199999999996</v>
      </c>
      <c r="L6" s="4"/>
      <c r="M6" s="4"/>
      <c r="O6" s="11" t="s">
        <v>64</v>
      </c>
      <c r="Q6" s="2">
        <f>Q3*Q2</f>
        <v>0</v>
      </c>
    </row>
    <row r="7" spans="1:21" x14ac:dyDescent="0.25">
      <c r="B7" s="397">
        <v>43217</v>
      </c>
      <c r="C7" s="7">
        <v>25</v>
      </c>
      <c r="D7" s="43">
        <v>162.08000000000001</v>
      </c>
      <c r="E7" s="43">
        <v>0</v>
      </c>
      <c r="F7" s="43">
        <f t="shared" si="0"/>
        <v>4052.0000000000005</v>
      </c>
      <c r="G7" s="397">
        <v>43286</v>
      </c>
      <c r="H7" s="77">
        <v>25</v>
      </c>
      <c r="I7" s="43">
        <v>172.76</v>
      </c>
      <c r="J7" s="43">
        <v>0.06</v>
      </c>
      <c r="K7" s="43">
        <f t="shared" si="1"/>
        <v>4318.9399999999996</v>
      </c>
      <c r="L7" s="4"/>
      <c r="M7" s="4"/>
      <c r="O7" s="11" t="s">
        <v>175</v>
      </c>
      <c r="Q7" s="2">
        <f>Q10+Q8</f>
        <v>1372.8899999999921</v>
      </c>
      <c r="R7">
        <v>0</v>
      </c>
    </row>
    <row r="8" spans="1:21" x14ac:dyDescent="0.25">
      <c r="B8" s="397">
        <v>43276</v>
      </c>
      <c r="C8" s="7">
        <v>15</v>
      </c>
      <c r="D8" s="43">
        <v>171.05</v>
      </c>
      <c r="E8" s="43">
        <v>0</v>
      </c>
      <c r="F8" s="43">
        <f t="shared" si="0"/>
        <v>2565.75</v>
      </c>
      <c r="G8" s="397">
        <v>43314</v>
      </c>
      <c r="H8" s="77">
        <v>15</v>
      </c>
      <c r="I8" s="43">
        <v>179.38</v>
      </c>
      <c r="J8" s="43">
        <v>0.03</v>
      </c>
      <c r="K8" s="43">
        <f t="shared" si="1"/>
        <v>2690.6699999999996</v>
      </c>
      <c r="L8" s="4"/>
      <c r="M8" s="4"/>
      <c r="O8" s="11" t="s">
        <v>177</v>
      </c>
      <c r="P8" s="33"/>
      <c r="Q8" s="2">
        <f>K21+M21-F21+Q2*Q4</f>
        <v>1372.8899999999921</v>
      </c>
    </row>
    <row r="9" spans="1:21" x14ac:dyDescent="0.25">
      <c r="B9" s="397">
        <v>43327</v>
      </c>
      <c r="C9" s="7">
        <v>15</v>
      </c>
      <c r="D9" s="43">
        <v>178.28</v>
      </c>
      <c r="E9" s="43">
        <v>0</v>
      </c>
      <c r="F9" s="43">
        <f t="shared" si="0"/>
        <v>2674.2</v>
      </c>
      <c r="G9" s="397">
        <v>43363</v>
      </c>
      <c r="H9" s="77">
        <v>15</v>
      </c>
      <c r="I9" s="43">
        <v>184.58</v>
      </c>
      <c r="J9" s="43">
        <v>0.04</v>
      </c>
      <c r="K9" s="43">
        <f t="shared" si="1"/>
        <v>2768.6600000000003</v>
      </c>
      <c r="L9" s="4"/>
      <c r="M9" s="4"/>
      <c r="O9" s="11" t="s">
        <v>202</v>
      </c>
      <c r="Q9" s="131">
        <f>IF(Q2=0, 0, Q8/Q6)</f>
        <v>0</v>
      </c>
      <c r="T9" s="153"/>
    </row>
    <row r="10" spans="1:21" ht="15" customHeight="1" x14ac:dyDescent="0.25">
      <c r="A10" s="765" t="s">
        <v>712</v>
      </c>
      <c r="B10" s="397">
        <v>43378</v>
      </c>
      <c r="C10" s="7">
        <v>15</v>
      </c>
      <c r="D10" s="43">
        <v>178.68</v>
      </c>
      <c r="E10" s="43">
        <v>0</v>
      </c>
      <c r="F10" s="43">
        <f t="shared" si="0"/>
        <v>2680.2000000000003</v>
      </c>
      <c r="G10" s="397">
        <v>43389</v>
      </c>
      <c r="H10" s="77">
        <v>15</v>
      </c>
      <c r="I10" s="43">
        <v>178.45</v>
      </c>
      <c r="J10" s="43">
        <v>0.03</v>
      </c>
      <c r="K10" s="43">
        <f t="shared" si="1"/>
        <v>2676.72</v>
      </c>
      <c r="L10" s="4"/>
      <c r="M10" s="4"/>
      <c r="O10" s="11" t="s">
        <v>201</v>
      </c>
      <c r="P10" s="33"/>
      <c r="Q10" s="2">
        <f>M71</f>
        <v>0</v>
      </c>
    </row>
    <row r="11" spans="1:21" x14ac:dyDescent="0.25">
      <c r="A11" s="892" t="s">
        <v>1248</v>
      </c>
      <c r="B11" s="397">
        <v>43383</v>
      </c>
      <c r="C11" s="7">
        <v>15</v>
      </c>
      <c r="D11" s="43">
        <v>176</v>
      </c>
      <c r="E11" s="43">
        <v>0</v>
      </c>
      <c r="F11" s="43">
        <f t="shared" si="0"/>
        <v>2640</v>
      </c>
      <c r="G11" s="397">
        <v>43411</v>
      </c>
      <c r="H11" s="77">
        <v>15</v>
      </c>
      <c r="I11" s="43">
        <v>175.5</v>
      </c>
      <c r="J11" s="43">
        <v>0.03</v>
      </c>
      <c r="K11" s="43">
        <f t="shared" si="1"/>
        <v>2632.47</v>
      </c>
      <c r="L11" s="4"/>
      <c r="M11" s="4"/>
      <c r="N11" t="s">
        <v>712</v>
      </c>
      <c r="O11" s="11" t="s">
        <v>173</v>
      </c>
      <c r="P11" s="33"/>
      <c r="Q11" s="131">
        <f>R11*4/Q4</f>
        <v>6.7191601049868769E-3</v>
      </c>
      <c r="R11">
        <v>0.32</v>
      </c>
    </row>
    <row r="12" spans="1:21" x14ac:dyDescent="0.25">
      <c r="A12" s="892"/>
      <c r="B12" s="397">
        <v>43383</v>
      </c>
      <c r="C12" s="7">
        <v>10</v>
      </c>
      <c r="D12" s="43">
        <v>173.28</v>
      </c>
      <c r="E12" s="43">
        <v>0</v>
      </c>
      <c r="F12" s="43">
        <f t="shared" si="0"/>
        <v>1732.8</v>
      </c>
      <c r="G12" s="397">
        <v>43430</v>
      </c>
      <c r="H12" s="77">
        <v>20</v>
      </c>
      <c r="I12" s="43">
        <v>162.84</v>
      </c>
      <c r="J12" s="43">
        <v>0.04</v>
      </c>
      <c r="K12" s="43">
        <f t="shared" si="1"/>
        <v>3256.76</v>
      </c>
    </row>
    <row r="13" spans="1:21" x14ac:dyDescent="0.25">
      <c r="A13" s="892"/>
      <c r="B13" s="397">
        <v>43383</v>
      </c>
      <c r="C13" s="7">
        <v>10</v>
      </c>
      <c r="D13" s="43">
        <v>170.8</v>
      </c>
      <c r="E13" s="43">
        <v>0</v>
      </c>
      <c r="F13" s="43">
        <f t="shared" si="0"/>
        <v>1708</v>
      </c>
      <c r="G13" s="397">
        <v>43482</v>
      </c>
      <c r="H13" s="77">
        <v>20</v>
      </c>
      <c r="I13" s="43">
        <v>163.74</v>
      </c>
      <c r="J13" s="43">
        <v>0.04</v>
      </c>
      <c r="K13" s="43">
        <f t="shared" si="1"/>
        <v>3274.76</v>
      </c>
      <c r="O13" s="11" t="s">
        <v>901</v>
      </c>
      <c r="Q13">
        <v>19.68</v>
      </c>
    </row>
    <row r="14" spans="1:21" x14ac:dyDescent="0.25">
      <c r="A14" s="892"/>
      <c r="B14" s="397">
        <v>43391</v>
      </c>
      <c r="C14" s="7">
        <v>15</v>
      </c>
      <c r="D14" s="43">
        <v>173.2</v>
      </c>
      <c r="E14" s="43">
        <v>0</v>
      </c>
      <c r="F14" s="43">
        <f t="shared" si="0"/>
        <v>2598</v>
      </c>
      <c r="G14" s="397">
        <v>43511</v>
      </c>
      <c r="H14" s="77">
        <v>60</v>
      </c>
      <c r="I14" s="43">
        <v>172.52</v>
      </c>
      <c r="J14" s="43">
        <v>0.13</v>
      </c>
      <c r="K14" s="43">
        <f t="shared" si="1"/>
        <v>10351.070000000002</v>
      </c>
    </row>
    <row r="15" spans="1:21" x14ac:dyDescent="0.25">
      <c r="B15" s="397">
        <v>43416</v>
      </c>
      <c r="C15" s="7">
        <v>25</v>
      </c>
      <c r="D15" s="43">
        <v>167.88</v>
      </c>
      <c r="E15" s="43">
        <v>0</v>
      </c>
      <c r="F15" s="43">
        <f t="shared" si="0"/>
        <v>4197</v>
      </c>
      <c r="G15" s="29"/>
      <c r="H15" s="67"/>
    </row>
    <row r="16" spans="1:21" x14ac:dyDescent="0.25">
      <c r="B16" s="397">
        <v>43423</v>
      </c>
      <c r="C16" s="7">
        <v>20</v>
      </c>
      <c r="D16" s="43">
        <v>162.97999999999999</v>
      </c>
      <c r="E16" s="43">
        <v>0</v>
      </c>
      <c r="F16" s="43">
        <f t="shared" si="0"/>
        <v>3259.6</v>
      </c>
      <c r="G16" s="29"/>
      <c r="H16" s="67"/>
    </row>
    <row r="17" spans="1:17" x14ac:dyDescent="0.25">
      <c r="B17" s="397">
        <v>43424</v>
      </c>
      <c r="C17" s="7">
        <v>20</v>
      </c>
      <c r="D17" s="43">
        <v>157.68</v>
      </c>
      <c r="E17" s="43">
        <v>0</v>
      </c>
      <c r="F17" s="43">
        <f t="shared" si="0"/>
        <v>3153.6000000000004</v>
      </c>
      <c r="G17" s="29"/>
    </row>
    <row r="18" spans="1:17" x14ac:dyDescent="0.25">
      <c r="B18" s="29"/>
      <c r="C18" s="4"/>
      <c r="G18" s="29"/>
      <c r="H18" s="67"/>
    </row>
    <row r="19" spans="1:17" x14ac:dyDescent="0.25">
      <c r="B19" s="29"/>
      <c r="G19" s="29"/>
      <c r="H19" s="67"/>
    </row>
    <row r="20" spans="1:17" x14ac:dyDescent="0.25">
      <c r="B20" s="29"/>
      <c r="G20" s="29"/>
    </row>
    <row r="21" spans="1:17" x14ac:dyDescent="0.25">
      <c r="A21" s="31" t="s">
        <v>81</v>
      </c>
      <c r="B21" s="14"/>
      <c r="C21" s="14">
        <f>SUM(C2:C18)</f>
        <v>300</v>
      </c>
      <c r="D21" s="18"/>
      <c r="E21" s="18"/>
      <c r="F21" s="18">
        <f>SUM(F2:F18)</f>
        <v>49857.9</v>
      </c>
      <c r="G21" s="14"/>
      <c r="H21" s="68">
        <f>SUM(H2:H14)</f>
        <v>300</v>
      </c>
      <c r="I21" s="18"/>
      <c r="J21" s="18"/>
      <c r="K21" s="18">
        <f>SUM(K2:K14)</f>
        <v>51182.009999999995</v>
      </c>
      <c r="L21" s="14"/>
      <c r="M21" s="18">
        <f>SUM(M2:M10)</f>
        <v>48.78</v>
      </c>
    </row>
    <row r="22" spans="1:17" ht="20.25" thickBot="1" x14ac:dyDescent="0.35">
      <c r="A22" s="273" t="s">
        <v>189</v>
      </c>
      <c r="B22" s="274"/>
      <c r="C22" s="275">
        <f>SumByColor($A$22,C2:C20)</f>
        <v>300</v>
      </c>
      <c r="D22" s="275"/>
      <c r="E22" s="275"/>
      <c r="F22" s="276">
        <f>SumByColor($A$22,F2:F20)</f>
        <v>49858</v>
      </c>
      <c r="G22" s="275"/>
      <c r="H22" s="275">
        <f>SumByColor($A$22,H2:H20)</f>
        <v>300</v>
      </c>
      <c r="I22" s="275"/>
      <c r="J22" s="275"/>
      <c r="K22" s="276">
        <f>SumByColor($A$22,K2:K20)</f>
        <v>51183</v>
      </c>
      <c r="L22" s="275"/>
      <c r="M22" s="276">
        <f>SumByColor($A$22,M2:M20)</f>
        <v>49</v>
      </c>
      <c r="O22" s="704" t="s">
        <v>78</v>
      </c>
      <c r="P22" s="704"/>
    </row>
    <row r="23" spans="1:17" x14ac:dyDescent="0.25">
      <c r="O23" s="78">
        <v>1.1000000000000001</v>
      </c>
      <c r="P23" s="78">
        <f>O23*$Q$4</f>
        <v>209.55</v>
      </c>
      <c r="Q23" s="2"/>
    </row>
    <row r="24" spans="1:17" x14ac:dyDescent="0.25">
      <c r="O24" s="78">
        <v>1.0900000000000001</v>
      </c>
      <c r="P24" s="78">
        <f t="shared" ref="P24:P43" si="2">O24*$Q$4</f>
        <v>207.64500000000001</v>
      </c>
      <c r="Q24" s="2"/>
    </row>
    <row r="25" spans="1:17" x14ac:dyDescent="0.25">
      <c r="O25" s="78">
        <v>1.08</v>
      </c>
      <c r="P25" s="78">
        <f t="shared" si="2"/>
        <v>205.74</v>
      </c>
      <c r="Q25" s="2"/>
    </row>
    <row r="26" spans="1:17" x14ac:dyDescent="0.25">
      <c r="O26" s="78">
        <v>1.07</v>
      </c>
      <c r="P26" s="78">
        <f t="shared" si="2"/>
        <v>203.83500000000001</v>
      </c>
      <c r="Q26" s="2"/>
    </row>
    <row r="27" spans="1:17" x14ac:dyDescent="0.25">
      <c r="B27" s="159" t="s">
        <v>113</v>
      </c>
      <c r="C27" s="159" t="s">
        <v>143</v>
      </c>
      <c r="D27" s="160" t="s">
        <v>142</v>
      </c>
      <c r="E27" s="162" t="s">
        <v>144</v>
      </c>
      <c r="F27" s="162" t="s">
        <v>65</v>
      </c>
      <c r="G27" s="173" t="s">
        <v>148</v>
      </c>
      <c r="H27" s="173" t="s">
        <v>88</v>
      </c>
      <c r="I27" s="173" t="s">
        <v>151</v>
      </c>
      <c r="J27" s="173" t="s">
        <v>147</v>
      </c>
      <c r="K27" s="173"/>
      <c r="L27" s="173"/>
      <c r="O27" s="78">
        <v>1.06</v>
      </c>
      <c r="P27" s="78">
        <f t="shared" si="2"/>
        <v>201.93</v>
      </c>
      <c r="Q27" s="2"/>
    </row>
    <row r="28" spans="1:17" x14ac:dyDescent="0.25">
      <c r="B28" s="161">
        <v>43178</v>
      </c>
      <c r="C28" s="10">
        <v>25</v>
      </c>
      <c r="D28" s="39">
        <v>166.11</v>
      </c>
      <c r="E28" s="39">
        <v>166.3</v>
      </c>
      <c r="F28" s="39">
        <f t="shared" ref="F28:F35" si="3">C28*(E28-D28)</f>
        <v>4.7499999999999432</v>
      </c>
      <c r="G28" s="39">
        <f t="shared" ref="G28:G35" si="4">D28*C28</f>
        <v>4152.75</v>
      </c>
      <c r="H28" s="175">
        <f t="shared" ref="H28:H35" si="5">(E28-D28)/D28</f>
        <v>1.1438203600023943E-3</v>
      </c>
      <c r="I28" s="39"/>
      <c r="J28" s="39"/>
      <c r="K28" s="39"/>
      <c r="L28" s="39"/>
      <c r="O28" s="78">
        <v>1.05</v>
      </c>
      <c r="P28" s="78">
        <f t="shared" si="2"/>
        <v>200.02500000000001</v>
      </c>
      <c r="Q28" s="2"/>
    </row>
    <row r="29" spans="1:17" x14ac:dyDescent="0.25">
      <c r="B29" s="161">
        <v>43181</v>
      </c>
      <c r="C29" s="10">
        <v>50</v>
      </c>
      <c r="D29" s="39">
        <v>164.79499999999999</v>
      </c>
      <c r="E29" s="39">
        <v>163.47999999999999</v>
      </c>
      <c r="F29" s="39">
        <f t="shared" si="3"/>
        <v>-65.749999999999886</v>
      </c>
      <c r="G29" s="39">
        <f t="shared" si="4"/>
        <v>8239.75</v>
      </c>
      <c r="H29" s="175">
        <f t="shared" si="5"/>
        <v>-7.9796110318880904E-3</v>
      </c>
      <c r="I29" s="39"/>
      <c r="J29" s="39"/>
      <c r="K29" s="39"/>
      <c r="L29" s="39"/>
      <c r="O29" s="78">
        <v>1.04</v>
      </c>
      <c r="P29" s="78">
        <f t="shared" si="2"/>
        <v>198.12</v>
      </c>
      <c r="Q29" s="2"/>
    </row>
    <row r="30" spans="1:17" x14ac:dyDescent="0.25">
      <c r="B30" s="161">
        <v>43181</v>
      </c>
      <c r="C30" s="10">
        <v>25</v>
      </c>
      <c r="D30" s="39">
        <v>164.50880000000001</v>
      </c>
      <c r="E30" s="39">
        <v>165.09</v>
      </c>
      <c r="F30" s="39">
        <f t="shared" si="3"/>
        <v>14.529999999999887</v>
      </c>
      <c r="G30" s="39">
        <f t="shared" si="4"/>
        <v>4112.72</v>
      </c>
      <c r="H30" s="175">
        <f t="shared" si="5"/>
        <v>3.5329417028146545E-3</v>
      </c>
      <c r="I30" s="39"/>
      <c r="J30" s="39"/>
      <c r="K30" s="39"/>
      <c r="L30" s="152"/>
      <c r="O30" s="78">
        <v>1.03</v>
      </c>
      <c r="P30" s="78">
        <f t="shared" si="2"/>
        <v>196.215</v>
      </c>
      <c r="Q30" s="2"/>
    </row>
    <row r="31" spans="1:17" x14ac:dyDescent="0.25">
      <c r="B31" s="161">
        <v>43181</v>
      </c>
      <c r="C31" s="10">
        <v>50</v>
      </c>
      <c r="D31" s="39">
        <v>163.74440000000001</v>
      </c>
      <c r="E31" s="39">
        <v>162.80000000000001</v>
      </c>
      <c r="F31" s="39">
        <f t="shared" si="3"/>
        <v>-47.220000000000084</v>
      </c>
      <c r="G31" s="39">
        <f t="shared" si="4"/>
        <v>8187.22</v>
      </c>
      <c r="H31" s="175">
        <f t="shared" si="5"/>
        <v>-5.7675254848410179E-3</v>
      </c>
      <c r="I31" s="39"/>
      <c r="J31" s="39"/>
      <c r="K31" s="39"/>
      <c r="L31" s="152"/>
      <c r="O31" s="78">
        <v>1.02</v>
      </c>
      <c r="P31" s="78">
        <f t="shared" si="2"/>
        <v>194.31</v>
      </c>
      <c r="Q31" s="2"/>
    </row>
    <row r="32" spans="1:17" x14ac:dyDescent="0.25">
      <c r="B32" s="161">
        <v>43185</v>
      </c>
      <c r="C32" s="10">
        <v>50</v>
      </c>
      <c r="D32" s="39">
        <v>163.74440000000001</v>
      </c>
      <c r="E32" s="39">
        <v>164.4</v>
      </c>
      <c r="F32" s="39">
        <f t="shared" si="3"/>
        <v>32.779999999999632</v>
      </c>
      <c r="G32" s="39">
        <f t="shared" si="4"/>
        <v>8187.22</v>
      </c>
      <c r="H32" s="175">
        <f t="shared" si="5"/>
        <v>4.0038010460204596E-3</v>
      </c>
      <c r="I32" s="39"/>
      <c r="J32" s="39"/>
      <c r="K32" s="39"/>
      <c r="L32" s="152"/>
      <c r="O32" s="78">
        <v>1.01</v>
      </c>
      <c r="P32" s="78">
        <f t="shared" si="2"/>
        <v>192.405</v>
      </c>
      <c r="Q32" s="2"/>
    </row>
    <row r="33" spans="1:17" x14ac:dyDescent="0.25">
      <c r="B33" s="161">
        <v>43186</v>
      </c>
      <c r="C33" s="10">
        <v>50</v>
      </c>
      <c r="D33" s="39">
        <v>163.74440000000001</v>
      </c>
      <c r="E33" s="39">
        <v>159.08000000000001</v>
      </c>
      <c r="F33" s="39">
        <f t="shared" si="3"/>
        <v>-233.22000000000003</v>
      </c>
      <c r="G33" s="39">
        <f t="shared" si="4"/>
        <v>8187.22</v>
      </c>
      <c r="H33" s="175">
        <f t="shared" si="5"/>
        <v>-2.8485859669094029E-2</v>
      </c>
      <c r="I33" s="39"/>
      <c r="J33" s="39"/>
      <c r="K33" s="39"/>
      <c r="L33" s="152"/>
      <c r="O33" s="78">
        <v>1</v>
      </c>
      <c r="P33" s="78">
        <f t="shared" si="2"/>
        <v>190.5</v>
      </c>
      <c r="Q33" s="2"/>
    </row>
    <row r="34" spans="1:17" x14ac:dyDescent="0.25">
      <c r="B34" s="161">
        <v>43196</v>
      </c>
      <c r="C34" s="10">
        <v>75</v>
      </c>
      <c r="D34" s="39">
        <v>161.3296</v>
      </c>
      <c r="E34" s="39">
        <v>156.5</v>
      </c>
      <c r="F34" s="39">
        <f t="shared" si="3"/>
        <v>-362.21999999999991</v>
      </c>
      <c r="G34" s="39">
        <f t="shared" si="4"/>
        <v>12099.72</v>
      </c>
      <c r="H34" s="175">
        <f t="shared" si="5"/>
        <v>-2.9936229929287614E-2</v>
      </c>
      <c r="I34" s="39">
        <v>161</v>
      </c>
      <c r="J34" s="39"/>
      <c r="K34" s="39"/>
      <c r="L34" s="152"/>
      <c r="O34" s="78">
        <v>0.99</v>
      </c>
      <c r="P34" s="78">
        <f t="shared" si="2"/>
        <v>188.595</v>
      </c>
      <c r="Q34" s="2"/>
    </row>
    <row r="35" spans="1:17" x14ac:dyDescent="0.25">
      <c r="A35">
        <v>0</v>
      </c>
      <c r="B35" s="161">
        <v>43200</v>
      </c>
      <c r="C35" s="10">
        <v>50</v>
      </c>
      <c r="D35" s="39">
        <v>161.49619999999999</v>
      </c>
      <c r="E35" s="39">
        <v>161.21</v>
      </c>
      <c r="F35" s="39">
        <f t="shared" si="3"/>
        <v>-14.309999999998979</v>
      </c>
      <c r="G35" s="39">
        <f t="shared" si="4"/>
        <v>8074.8099999999995</v>
      </c>
      <c r="H35" s="175">
        <f t="shared" si="5"/>
        <v>-1.7721779212141191E-3</v>
      </c>
      <c r="I35" s="39">
        <v>161</v>
      </c>
      <c r="J35" s="39"/>
      <c r="K35" s="39"/>
      <c r="L35" s="152"/>
      <c r="O35" s="78">
        <v>0.98</v>
      </c>
      <c r="P35" s="78">
        <f t="shared" si="2"/>
        <v>186.69</v>
      </c>
      <c r="Q35" s="2"/>
    </row>
    <row r="36" spans="1:17" x14ac:dyDescent="0.25">
      <c r="B36" s="161">
        <v>43202</v>
      </c>
      <c r="C36" s="10">
        <v>50</v>
      </c>
      <c r="D36" s="39">
        <v>161.49600000000001</v>
      </c>
      <c r="E36" s="39">
        <v>162.21</v>
      </c>
      <c r="F36" s="39">
        <f t="shared" ref="F36:F45" si="6">C36*(E36-D36)</f>
        <v>35.699999999999932</v>
      </c>
      <c r="G36" s="39">
        <f t="shared" ref="G36:G46" si="7">D36*C36</f>
        <v>8074.8</v>
      </c>
      <c r="H36" s="175">
        <f t="shared" ref="H36:H46" si="8">(E36-D36)/D36</f>
        <v>4.421162134046655E-3</v>
      </c>
      <c r="I36" s="39"/>
      <c r="J36" s="39"/>
      <c r="K36" s="39"/>
      <c r="L36" s="152"/>
      <c r="O36" s="78">
        <v>0.97</v>
      </c>
      <c r="P36" s="78">
        <f t="shared" si="2"/>
        <v>184.785</v>
      </c>
    </row>
    <row r="37" spans="1:17" x14ac:dyDescent="0.25">
      <c r="A37">
        <v>25</v>
      </c>
      <c r="B37" s="161">
        <v>43214</v>
      </c>
      <c r="C37" s="10">
        <v>65</v>
      </c>
      <c r="D37" s="39">
        <v>160.68940000000001</v>
      </c>
      <c r="E37" s="39">
        <v>158.5</v>
      </c>
      <c r="F37" s="39">
        <f t="shared" si="6"/>
        <v>-142.3110000000004</v>
      </c>
      <c r="G37" s="39">
        <f t="shared" si="7"/>
        <v>10444.811</v>
      </c>
      <c r="H37" s="175">
        <f t="shared" si="8"/>
        <v>-1.3625043095562036E-2</v>
      </c>
      <c r="I37" s="39"/>
      <c r="J37" s="39"/>
      <c r="K37" s="39"/>
      <c r="L37" s="152"/>
      <c r="O37" s="78">
        <v>0.96</v>
      </c>
      <c r="P37" s="78">
        <f t="shared" si="2"/>
        <v>182.88</v>
      </c>
    </row>
    <row r="38" spans="1:17" x14ac:dyDescent="0.25">
      <c r="A38">
        <v>0</v>
      </c>
      <c r="B38" s="161">
        <v>43216</v>
      </c>
      <c r="C38" s="10">
        <v>40</v>
      </c>
      <c r="D38" s="39">
        <v>158.5515</v>
      </c>
      <c r="E38" s="39">
        <v>161.99</v>
      </c>
      <c r="F38" s="39">
        <f t="shared" si="6"/>
        <v>137.54000000000019</v>
      </c>
      <c r="G38" s="39">
        <f t="shared" si="7"/>
        <v>6342.06</v>
      </c>
      <c r="H38" s="175">
        <f t="shared" si="8"/>
        <v>2.1686959757555146E-2</v>
      </c>
      <c r="I38" s="39"/>
      <c r="J38" s="39"/>
      <c r="K38" s="39"/>
      <c r="L38" s="152"/>
      <c r="O38" s="78">
        <v>0.95</v>
      </c>
      <c r="P38" s="78">
        <f t="shared" si="2"/>
        <v>180.97499999999999</v>
      </c>
    </row>
    <row r="39" spans="1:17" x14ac:dyDescent="0.25">
      <c r="A39">
        <v>0</v>
      </c>
      <c r="B39" s="161">
        <v>43217</v>
      </c>
      <c r="C39" s="10">
        <v>65</v>
      </c>
      <c r="D39" s="39">
        <v>159.91</v>
      </c>
      <c r="E39" s="39">
        <v>162.08000000000001</v>
      </c>
      <c r="F39" s="39">
        <f t="shared" si="6"/>
        <v>141.05000000000103</v>
      </c>
      <c r="G39" s="39">
        <f t="shared" si="7"/>
        <v>10394.15</v>
      </c>
      <c r="H39" s="175">
        <f t="shared" si="8"/>
        <v>1.3570133199925057E-2</v>
      </c>
      <c r="I39" s="39"/>
      <c r="J39" s="39"/>
      <c r="K39" s="39"/>
      <c r="L39" s="39"/>
      <c r="O39" s="78">
        <v>0.94</v>
      </c>
      <c r="P39" s="78">
        <f t="shared" si="2"/>
        <v>179.07</v>
      </c>
    </row>
    <row r="40" spans="1:17" x14ac:dyDescent="0.25">
      <c r="B40" s="161">
        <v>43236</v>
      </c>
      <c r="C40" s="10">
        <v>65</v>
      </c>
      <c r="D40" s="39">
        <v>159.91</v>
      </c>
      <c r="E40" s="39">
        <v>168.98</v>
      </c>
      <c r="F40" s="39">
        <f t="shared" si="6"/>
        <v>589.5499999999995</v>
      </c>
      <c r="G40" s="39">
        <f t="shared" si="7"/>
        <v>10394.15</v>
      </c>
      <c r="H40" s="175">
        <f t="shared" si="8"/>
        <v>5.6719404665124089E-2</v>
      </c>
      <c r="I40" s="39"/>
      <c r="J40" s="39"/>
      <c r="K40" s="39"/>
      <c r="L40" s="39"/>
      <c r="O40" s="78">
        <v>0.93</v>
      </c>
      <c r="P40" s="78">
        <f t="shared" si="2"/>
        <v>177.16500000000002</v>
      </c>
    </row>
    <row r="41" spans="1:17" x14ac:dyDescent="0.25">
      <c r="A41">
        <v>40</v>
      </c>
      <c r="B41" s="161">
        <v>43252</v>
      </c>
      <c r="C41" s="10">
        <v>40</v>
      </c>
      <c r="D41" s="39">
        <v>152.49279999999999</v>
      </c>
      <c r="E41" s="39">
        <v>172.74</v>
      </c>
      <c r="F41" s="39">
        <f t="shared" si="6"/>
        <v>809.88800000000083</v>
      </c>
      <c r="G41" s="39">
        <f t="shared" si="7"/>
        <v>6099.7119999999995</v>
      </c>
      <c r="H41" s="175">
        <f t="shared" si="8"/>
        <v>0.13277479330171668</v>
      </c>
      <c r="I41" s="39"/>
      <c r="J41" s="39"/>
      <c r="K41" s="39"/>
      <c r="L41" s="39"/>
      <c r="O41" s="78">
        <v>0.92</v>
      </c>
      <c r="P41" s="78">
        <f t="shared" si="2"/>
        <v>175.26000000000002</v>
      </c>
    </row>
    <row r="42" spans="1:17" x14ac:dyDescent="0.25">
      <c r="A42">
        <v>25</v>
      </c>
      <c r="B42" s="161">
        <v>43271</v>
      </c>
      <c r="C42" s="10">
        <v>25</v>
      </c>
      <c r="D42" s="39">
        <v>137.4716</v>
      </c>
      <c r="E42" s="39">
        <v>177.25</v>
      </c>
      <c r="F42" s="39">
        <f t="shared" si="6"/>
        <v>994.46000000000015</v>
      </c>
      <c r="G42" s="39">
        <f t="shared" si="7"/>
        <v>3436.79</v>
      </c>
      <c r="H42" s="175">
        <f t="shared" si="8"/>
        <v>0.28935721996397806</v>
      </c>
      <c r="I42" s="39"/>
      <c r="J42" s="39"/>
      <c r="K42" s="39"/>
      <c r="L42" s="39"/>
      <c r="O42" s="78">
        <v>0.91</v>
      </c>
      <c r="P42" s="78">
        <f t="shared" si="2"/>
        <v>173.35500000000002</v>
      </c>
    </row>
    <row r="43" spans="1:17" x14ac:dyDescent="0.25">
      <c r="A43">
        <v>25</v>
      </c>
      <c r="B43" s="161">
        <v>43276</v>
      </c>
      <c r="C43" s="10">
        <v>40</v>
      </c>
      <c r="D43" s="39">
        <v>150.06</v>
      </c>
      <c r="E43" s="39">
        <v>171.37</v>
      </c>
      <c r="F43" s="39">
        <f t="shared" si="6"/>
        <v>852.40000000000009</v>
      </c>
      <c r="G43" s="39">
        <f t="shared" si="7"/>
        <v>6002.4</v>
      </c>
      <c r="H43" s="175">
        <f t="shared" si="8"/>
        <v>0.14200986272157806</v>
      </c>
      <c r="I43" s="39"/>
      <c r="J43" s="39"/>
      <c r="K43" s="39"/>
      <c r="L43" s="39"/>
      <c r="O43" s="78">
        <v>0.9</v>
      </c>
      <c r="P43" s="78">
        <f t="shared" si="2"/>
        <v>171.45000000000002</v>
      </c>
    </row>
    <row r="44" spans="1:17" x14ac:dyDescent="0.25">
      <c r="A44">
        <v>0</v>
      </c>
      <c r="B44" s="161">
        <v>43286</v>
      </c>
      <c r="C44" s="10">
        <v>15</v>
      </c>
      <c r="D44" s="39">
        <v>112.24</v>
      </c>
      <c r="E44" s="39">
        <v>172.92</v>
      </c>
      <c r="F44" s="39">
        <f t="shared" si="6"/>
        <v>910.19999999999993</v>
      </c>
      <c r="G44" s="39">
        <f t="shared" si="7"/>
        <v>1683.6</v>
      </c>
      <c r="H44" s="175">
        <f t="shared" si="8"/>
        <v>0.54062722736992153</v>
      </c>
      <c r="I44" s="39"/>
      <c r="J44" s="39"/>
      <c r="K44" s="39"/>
      <c r="L44" s="39"/>
    </row>
    <row r="45" spans="1:17" x14ac:dyDescent="0.25">
      <c r="B45" s="161">
        <v>43312</v>
      </c>
      <c r="C45" s="10">
        <v>15</v>
      </c>
      <c r="D45" s="39">
        <v>111.2313</v>
      </c>
      <c r="E45" s="39">
        <v>176.45</v>
      </c>
      <c r="F45" s="39">
        <f t="shared" si="6"/>
        <v>978.28049999999973</v>
      </c>
      <c r="G45" s="39">
        <f t="shared" si="7"/>
        <v>1668.4695000000002</v>
      </c>
      <c r="H45" s="175">
        <f t="shared" si="8"/>
        <v>0.58633406244465347</v>
      </c>
      <c r="I45" s="39"/>
      <c r="J45" s="39"/>
      <c r="K45" s="39"/>
      <c r="L45" s="39"/>
    </row>
    <row r="46" spans="1:17" x14ac:dyDescent="0.25">
      <c r="B46" s="161">
        <v>43314</v>
      </c>
      <c r="C46" s="10">
        <v>0</v>
      </c>
      <c r="D46" s="39">
        <v>111.23</v>
      </c>
      <c r="E46" s="39">
        <v>176.45</v>
      </c>
      <c r="F46" s="39">
        <v>1022.2</v>
      </c>
      <c r="G46" s="39">
        <f t="shared" si="7"/>
        <v>0</v>
      </c>
      <c r="H46" s="175">
        <f t="shared" si="8"/>
        <v>0.58635260271509471</v>
      </c>
      <c r="I46" s="39"/>
      <c r="J46" s="39"/>
      <c r="K46" s="39"/>
      <c r="L46" s="39"/>
    </row>
    <row r="47" spans="1:17" x14ac:dyDescent="0.25">
      <c r="B47" s="161">
        <v>43327</v>
      </c>
      <c r="C47" s="10">
        <v>15</v>
      </c>
      <c r="D47" s="39">
        <v>110.133</v>
      </c>
      <c r="E47" s="39">
        <v>179.23</v>
      </c>
      <c r="F47" s="39">
        <f t="shared" ref="F47:F58" si="9">C47*(E47-D47)</f>
        <v>1036.4549999999999</v>
      </c>
      <c r="G47" s="39">
        <f t="shared" ref="G47:G58" si="10">D47*C47</f>
        <v>1651.9949999999999</v>
      </c>
      <c r="H47" s="175">
        <f t="shared" ref="H47:H58" si="11">(E47-D47)/D47</f>
        <v>0.62739596669481446</v>
      </c>
      <c r="I47" s="39"/>
      <c r="J47" s="39"/>
      <c r="K47" s="39"/>
      <c r="L47" s="39"/>
    </row>
    <row r="48" spans="1:17" x14ac:dyDescent="0.25">
      <c r="B48" s="161">
        <v>43363</v>
      </c>
      <c r="C48" s="10">
        <v>0</v>
      </c>
      <c r="D48" s="39">
        <v>110.133</v>
      </c>
      <c r="E48" s="39">
        <v>184.72</v>
      </c>
      <c r="F48" s="39">
        <f t="shared" si="9"/>
        <v>0</v>
      </c>
      <c r="G48" s="39">
        <f t="shared" si="10"/>
        <v>0</v>
      </c>
      <c r="H48" s="175">
        <f t="shared" si="11"/>
        <v>0.67724478584983616</v>
      </c>
      <c r="I48" s="39"/>
      <c r="J48" s="760">
        <v>1116.6600000000001</v>
      </c>
      <c r="K48" s="39"/>
      <c r="L48" s="39"/>
    </row>
    <row r="49" spans="1:12" x14ac:dyDescent="0.25">
      <c r="A49">
        <v>0</v>
      </c>
      <c r="B49" s="161">
        <v>43378</v>
      </c>
      <c r="C49" s="10">
        <v>15</v>
      </c>
      <c r="D49" s="39">
        <v>104.236</v>
      </c>
      <c r="E49" s="39">
        <v>180.15</v>
      </c>
      <c r="F49" s="760">
        <f t="shared" si="9"/>
        <v>1138.71</v>
      </c>
      <c r="G49" s="39">
        <f t="shared" si="10"/>
        <v>1563.54</v>
      </c>
      <c r="H49" s="175">
        <f t="shared" si="11"/>
        <v>0.72828965040868798</v>
      </c>
      <c r="I49" s="39"/>
      <c r="J49" s="760">
        <f t="shared" ref="J49:J63" si="12">F49+$Q$10</f>
        <v>1138.71</v>
      </c>
      <c r="K49" s="39"/>
      <c r="L49" s="39"/>
    </row>
    <row r="50" spans="1:12" x14ac:dyDescent="0.25">
      <c r="A50">
        <v>0</v>
      </c>
      <c r="B50" s="161">
        <v>43383</v>
      </c>
      <c r="C50" s="181">
        <v>50</v>
      </c>
      <c r="D50" s="182">
        <v>152.88679999999999</v>
      </c>
      <c r="E50" s="39">
        <v>171.73</v>
      </c>
      <c r="F50" s="98">
        <f t="shared" si="9"/>
        <v>942.15999999999985</v>
      </c>
      <c r="G50" s="39">
        <f t="shared" si="10"/>
        <v>7644.34</v>
      </c>
      <c r="H50" s="175">
        <f t="shared" si="11"/>
        <v>0.12324935834879137</v>
      </c>
      <c r="I50" s="39"/>
      <c r="J50" s="98">
        <f t="shared" si="12"/>
        <v>942.15999999999985</v>
      </c>
      <c r="K50" s="39"/>
      <c r="L50" s="39"/>
    </row>
    <row r="51" spans="1:12" x14ac:dyDescent="0.25">
      <c r="A51">
        <v>0</v>
      </c>
      <c r="B51" s="161">
        <v>43389</v>
      </c>
      <c r="C51" s="10">
        <v>35</v>
      </c>
      <c r="D51" s="39">
        <v>141.93199999999999</v>
      </c>
      <c r="E51" s="39">
        <v>177.22</v>
      </c>
      <c r="F51" s="760">
        <f t="shared" si="9"/>
        <v>1235.0800000000004</v>
      </c>
      <c r="G51" s="39">
        <f t="shared" si="10"/>
        <v>4967.62</v>
      </c>
      <c r="H51" s="175">
        <f t="shared" si="11"/>
        <v>0.24862610264070129</v>
      </c>
      <c r="I51" s="39"/>
      <c r="J51" s="760">
        <f t="shared" si="12"/>
        <v>1235.0800000000004</v>
      </c>
      <c r="K51" s="39"/>
      <c r="L51" s="39"/>
    </row>
    <row r="52" spans="1:12" x14ac:dyDescent="0.25">
      <c r="A52">
        <v>0</v>
      </c>
      <c r="B52" s="161">
        <v>43391</v>
      </c>
      <c r="C52" s="10">
        <v>50</v>
      </c>
      <c r="D52" s="39">
        <v>151.3124</v>
      </c>
      <c r="E52" s="39">
        <v>173.18</v>
      </c>
      <c r="F52" s="98">
        <f t="shared" si="9"/>
        <v>1093.3800000000006</v>
      </c>
      <c r="G52" s="39">
        <f t="shared" si="10"/>
        <v>7565.62</v>
      </c>
      <c r="H52" s="175">
        <f t="shared" si="11"/>
        <v>0.14451955028140465</v>
      </c>
      <c r="I52" s="39"/>
      <c r="J52" s="98">
        <f t="shared" si="12"/>
        <v>1093.3800000000006</v>
      </c>
      <c r="K52" s="39"/>
      <c r="L52" s="39"/>
    </row>
    <row r="53" spans="1:12" x14ac:dyDescent="0.25">
      <c r="A53">
        <v>0</v>
      </c>
      <c r="B53" s="161">
        <v>43402</v>
      </c>
      <c r="C53" s="10">
        <v>50</v>
      </c>
      <c r="D53" s="39">
        <v>151.3124</v>
      </c>
      <c r="E53" s="39">
        <v>163.22999999999999</v>
      </c>
      <c r="F53" s="98">
        <f t="shared" si="9"/>
        <v>595.87999999999965</v>
      </c>
      <c r="G53" s="39">
        <f t="shared" si="10"/>
        <v>7565.62</v>
      </c>
      <c r="H53" s="175">
        <f t="shared" si="11"/>
        <v>7.8761555563192392E-2</v>
      </c>
      <c r="I53" s="39"/>
      <c r="J53" s="98">
        <f t="shared" si="12"/>
        <v>595.87999999999965</v>
      </c>
      <c r="K53" s="39"/>
      <c r="L53" s="39"/>
    </row>
    <row r="54" spans="1:12" x14ac:dyDescent="0.25">
      <c r="A54">
        <v>0</v>
      </c>
      <c r="B54" s="161">
        <v>43411</v>
      </c>
      <c r="C54" s="10">
        <v>35</v>
      </c>
      <c r="D54" s="39">
        <v>140.94710000000001</v>
      </c>
      <c r="E54" s="39">
        <v>175.58</v>
      </c>
      <c r="F54" s="39">
        <f t="shared" si="9"/>
        <v>1212.1515000000002</v>
      </c>
      <c r="G54" s="39">
        <f t="shared" si="10"/>
        <v>4933.1485000000002</v>
      </c>
      <c r="H54" s="175">
        <f t="shared" si="11"/>
        <v>0.24571559116860159</v>
      </c>
      <c r="I54" s="39"/>
      <c r="J54" s="98">
        <f t="shared" si="12"/>
        <v>1212.1515000000002</v>
      </c>
      <c r="K54" s="39"/>
      <c r="L54" s="39"/>
    </row>
    <row r="55" spans="1:12" x14ac:dyDescent="0.25">
      <c r="A55">
        <v>20</v>
      </c>
      <c r="B55" s="161">
        <v>43416</v>
      </c>
      <c r="C55" s="10">
        <v>60</v>
      </c>
      <c r="D55" s="39">
        <v>152.16919999999999</v>
      </c>
      <c r="E55" s="39">
        <v>166.33</v>
      </c>
      <c r="F55" s="39">
        <f t="shared" si="9"/>
        <v>849.64800000000139</v>
      </c>
      <c r="G55" s="39">
        <f t="shared" si="10"/>
        <v>9130.152</v>
      </c>
      <c r="H55" s="175">
        <f t="shared" si="11"/>
        <v>9.3059567902046045E-2</v>
      </c>
      <c r="I55" s="39"/>
      <c r="J55" s="98">
        <f t="shared" si="12"/>
        <v>849.64800000000139</v>
      </c>
      <c r="K55" s="39"/>
      <c r="L55" s="39"/>
    </row>
    <row r="56" spans="1:12" x14ac:dyDescent="0.25">
      <c r="A56">
        <v>35</v>
      </c>
      <c r="B56" s="161">
        <v>43423</v>
      </c>
      <c r="C56" s="10">
        <v>80</v>
      </c>
      <c r="D56" s="39">
        <v>154.87200000000001</v>
      </c>
      <c r="E56" s="39">
        <v>162.06</v>
      </c>
      <c r="F56" s="39">
        <f t="shared" si="9"/>
        <v>575.03999999999905</v>
      </c>
      <c r="G56" s="39">
        <f t="shared" si="10"/>
        <v>12389.760000000002</v>
      </c>
      <c r="H56" s="175">
        <f t="shared" si="11"/>
        <v>4.6412521307918717E-2</v>
      </c>
      <c r="I56" s="39"/>
      <c r="J56" s="98">
        <f t="shared" si="12"/>
        <v>575.03999999999905</v>
      </c>
      <c r="K56" s="39"/>
      <c r="L56" s="39"/>
    </row>
    <row r="57" spans="1:12" x14ac:dyDescent="0.25">
      <c r="A57" s="4">
        <v>35</v>
      </c>
      <c r="B57" s="161">
        <v>43424</v>
      </c>
      <c r="C57" s="7">
        <v>100</v>
      </c>
      <c r="D57" s="43">
        <v>155.43350000000001</v>
      </c>
      <c r="E57" s="39">
        <v>159.16</v>
      </c>
      <c r="F57" s="39">
        <f t="shared" si="9"/>
        <v>372.64999999999873</v>
      </c>
      <c r="G57" s="39">
        <f t="shared" si="10"/>
        <v>15543.35</v>
      </c>
      <c r="H57" s="175">
        <f t="shared" si="11"/>
        <v>2.3974883149385347E-2</v>
      </c>
      <c r="I57" s="39">
        <v>150</v>
      </c>
      <c r="J57" s="98">
        <f t="shared" si="12"/>
        <v>372.64999999999873</v>
      </c>
      <c r="K57" s="39"/>
      <c r="L57" s="39"/>
    </row>
    <row r="58" spans="1:12" x14ac:dyDescent="0.25">
      <c r="A58" s="4">
        <v>15</v>
      </c>
      <c r="B58" s="161">
        <v>43430</v>
      </c>
      <c r="C58" s="10">
        <v>80</v>
      </c>
      <c r="D58" s="39">
        <v>153.58240000000001</v>
      </c>
      <c r="E58" s="39">
        <v>162.88999999999999</v>
      </c>
      <c r="F58" s="39">
        <f t="shared" si="9"/>
        <v>744.60799999999836</v>
      </c>
      <c r="G58" s="39">
        <f t="shared" si="10"/>
        <v>12286.592000000001</v>
      </c>
      <c r="H58" s="175">
        <f t="shared" si="11"/>
        <v>6.0603298294596118E-2</v>
      </c>
      <c r="I58" s="39"/>
      <c r="J58" s="98">
        <f t="shared" si="12"/>
        <v>744.60799999999836</v>
      </c>
      <c r="K58" s="39"/>
      <c r="L58" s="39"/>
    </row>
    <row r="59" spans="1:12" x14ac:dyDescent="0.25">
      <c r="A59" s="4">
        <v>15</v>
      </c>
      <c r="B59" s="161">
        <v>43436</v>
      </c>
      <c r="C59" s="10">
        <v>80</v>
      </c>
      <c r="D59" s="39">
        <v>153.58240000000001</v>
      </c>
      <c r="E59" s="39">
        <v>169.37</v>
      </c>
      <c r="F59" s="760">
        <f t="shared" ref="F59:F64" si="13">C59*(E59-D59)</f>
        <v>1263.0079999999998</v>
      </c>
      <c r="G59" s="39">
        <f t="shared" ref="G59:G64" si="14">D59*C59</f>
        <v>12286.592000000001</v>
      </c>
      <c r="H59" s="175">
        <f t="shared" ref="H59:H64" si="15">(E59-D59)/D59</f>
        <v>0.10279563283292875</v>
      </c>
      <c r="I59" s="39"/>
      <c r="J59" s="98">
        <f t="shared" si="12"/>
        <v>1263.0079999999998</v>
      </c>
      <c r="K59" s="39"/>
      <c r="L59" s="39"/>
    </row>
    <row r="60" spans="1:12" x14ac:dyDescent="0.25">
      <c r="A60" s="4">
        <v>15</v>
      </c>
      <c r="B60" s="161">
        <v>43442</v>
      </c>
      <c r="C60" s="10">
        <v>80</v>
      </c>
      <c r="D60" s="39">
        <v>153.58000000000001</v>
      </c>
      <c r="E60" s="39">
        <v>161.38</v>
      </c>
      <c r="F60" s="39">
        <f t="shared" si="13"/>
        <v>623.99999999999864</v>
      </c>
      <c r="G60" s="39">
        <f t="shared" si="14"/>
        <v>12286.400000000001</v>
      </c>
      <c r="H60" s="175">
        <f t="shared" si="15"/>
        <v>5.0787863002995065E-2</v>
      </c>
      <c r="I60" s="39"/>
      <c r="J60" s="98">
        <f t="shared" si="12"/>
        <v>623.99999999999864</v>
      </c>
      <c r="K60" s="39"/>
      <c r="L60" s="39"/>
    </row>
    <row r="61" spans="1:12" x14ac:dyDescent="0.25">
      <c r="A61" s="4"/>
      <c r="B61" s="161">
        <v>43465</v>
      </c>
      <c r="C61" s="10">
        <v>80</v>
      </c>
      <c r="D61" s="39">
        <v>153.16200000000001</v>
      </c>
      <c r="E61" s="39">
        <v>154.26</v>
      </c>
      <c r="F61" s="39">
        <f t="shared" si="13"/>
        <v>87.839999999998781</v>
      </c>
      <c r="G61" s="39">
        <f t="shared" si="14"/>
        <v>12252.960000000001</v>
      </c>
      <c r="H61" s="175">
        <f t="shared" si="15"/>
        <v>7.1688800094017102E-3</v>
      </c>
      <c r="I61" s="39"/>
      <c r="J61" s="98">
        <f t="shared" si="12"/>
        <v>87.839999999998781</v>
      </c>
      <c r="K61" s="39"/>
      <c r="L61" s="39"/>
    </row>
    <row r="62" spans="1:12" x14ac:dyDescent="0.25">
      <c r="A62" s="4">
        <v>60</v>
      </c>
      <c r="B62" s="161">
        <v>43482</v>
      </c>
      <c r="C62" s="10">
        <v>60</v>
      </c>
      <c r="D62" s="39">
        <v>149.63630000000001</v>
      </c>
      <c r="E62" s="39">
        <v>163.63</v>
      </c>
      <c r="F62" s="39">
        <f t="shared" si="13"/>
        <v>839.62199999999939</v>
      </c>
      <c r="G62" s="39">
        <f t="shared" si="14"/>
        <v>8978.1779999999999</v>
      </c>
      <c r="H62" s="175">
        <f t="shared" si="15"/>
        <v>9.3518083513158171E-2</v>
      </c>
      <c r="I62" s="39"/>
      <c r="J62" s="98">
        <f t="shared" si="12"/>
        <v>839.62199999999939</v>
      </c>
      <c r="K62" s="39"/>
      <c r="L62" s="39"/>
    </row>
    <row r="63" spans="1:12" x14ac:dyDescent="0.25">
      <c r="A63" s="4"/>
      <c r="B63" s="161">
        <v>43502</v>
      </c>
      <c r="C63" s="10">
        <v>60</v>
      </c>
      <c r="D63" s="39">
        <v>149.63999999999999</v>
      </c>
      <c r="E63" s="39">
        <v>170.53</v>
      </c>
      <c r="F63" s="39">
        <f t="shared" si="13"/>
        <v>1253.400000000001</v>
      </c>
      <c r="G63" s="39">
        <f t="shared" si="14"/>
        <v>8978.4</v>
      </c>
      <c r="H63" s="175">
        <f t="shared" si="15"/>
        <v>0.13960171077252082</v>
      </c>
      <c r="I63" s="39"/>
      <c r="J63" s="98">
        <f t="shared" si="12"/>
        <v>1253.400000000001</v>
      </c>
      <c r="K63" s="39"/>
      <c r="L63" s="39"/>
    </row>
    <row r="64" spans="1:12" x14ac:dyDescent="0.25">
      <c r="A64" s="4">
        <v>0</v>
      </c>
      <c r="B64" s="161">
        <v>43511</v>
      </c>
      <c r="C64" s="10">
        <v>0</v>
      </c>
      <c r="D64" s="39">
        <v>149.63999999999999</v>
      </c>
      <c r="E64" s="39">
        <v>171.94</v>
      </c>
      <c r="F64" s="39">
        <f t="shared" si="13"/>
        <v>0</v>
      </c>
      <c r="G64" s="39">
        <f t="shared" si="14"/>
        <v>0</v>
      </c>
      <c r="H64" s="175">
        <f t="shared" si="15"/>
        <v>0.14902432504677904</v>
      </c>
      <c r="I64" s="39"/>
      <c r="J64" s="760">
        <v>1372.89</v>
      </c>
      <c r="K64" s="39"/>
      <c r="L64" s="39"/>
    </row>
    <row r="65" spans="1:13" x14ac:dyDescent="0.25">
      <c r="A65" s="4"/>
      <c r="B65" s="161"/>
      <c r="C65" s="10"/>
      <c r="D65" s="39"/>
      <c r="E65" s="39"/>
      <c r="F65" s="39"/>
      <c r="G65" s="39"/>
      <c r="H65" s="175"/>
      <c r="I65" s="39"/>
      <c r="J65" s="39"/>
      <c r="K65" s="39"/>
      <c r="L65" s="39"/>
    </row>
    <row r="66" spans="1:13" x14ac:dyDescent="0.25">
      <c r="A66" s="4"/>
      <c r="B66" s="161"/>
      <c r="C66" s="10"/>
      <c r="D66" s="39"/>
      <c r="E66" s="39"/>
      <c r="F66" s="39"/>
      <c r="G66" s="39"/>
      <c r="H66" s="175"/>
      <c r="I66" s="39"/>
      <c r="J66" s="39"/>
      <c r="K66" s="39"/>
      <c r="L66" s="39"/>
    </row>
    <row r="67" spans="1:13" x14ac:dyDescent="0.25">
      <c r="A67" s="4"/>
      <c r="B67" s="161"/>
      <c r="C67" s="10"/>
      <c r="D67" s="39"/>
      <c r="E67" s="39"/>
      <c r="F67" s="39"/>
      <c r="G67" s="39"/>
      <c r="H67" s="175"/>
      <c r="I67" s="39"/>
      <c r="J67" s="39"/>
      <c r="K67" s="39"/>
      <c r="L67" s="39"/>
    </row>
    <row r="68" spans="1:13" x14ac:dyDescent="0.25">
      <c r="A68" s="4"/>
      <c r="B68" s="69"/>
      <c r="C68" s="4"/>
      <c r="D68" s="3"/>
      <c r="E68" s="3"/>
      <c r="F68" s="3"/>
      <c r="G68" s="3"/>
      <c r="H68" s="212"/>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78"/>
      <c r="B71" s="478"/>
      <c r="C71" s="478"/>
      <c r="D71" s="479"/>
      <c r="E71" s="479"/>
      <c r="F71" s="479"/>
      <c r="G71" s="478"/>
      <c r="H71" s="478"/>
      <c r="I71" s="479"/>
      <c r="J71" s="479"/>
      <c r="K71" s="479"/>
      <c r="L71" s="478" t="s">
        <v>65</v>
      </c>
      <c r="M71" s="479">
        <f>M89+K89-F89</f>
        <v>0</v>
      </c>
    </row>
    <row r="72" spans="1:13" x14ac:dyDescent="0.25">
      <c r="A72" s="597" t="s">
        <v>1</v>
      </c>
      <c r="B72" s="597" t="s">
        <v>2</v>
      </c>
      <c r="C72" s="597" t="s">
        <v>4</v>
      </c>
      <c r="D72" s="598" t="s">
        <v>5</v>
      </c>
      <c r="E72" s="598" t="s">
        <v>94</v>
      </c>
      <c r="F72" s="598" t="s">
        <v>60</v>
      </c>
      <c r="G72" s="597" t="s">
        <v>3</v>
      </c>
      <c r="H72" s="597" t="s">
        <v>6</v>
      </c>
      <c r="I72" s="598" t="s">
        <v>7</v>
      </c>
      <c r="J72" s="598" t="s">
        <v>95</v>
      </c>
      <c r="K72" s="598" t="s">
        <v>61</v>
      </c>
      <c r="L72" s="597" t="s">
        <v>37</v>
      </c>
      <c r="M72" s="597" t="s">
        <v>38</v>
      </c>
    </row>
    <row r="73" spans="1:13" x14ac:dyDescent="0.25">
      <c r="A73" s="599" t="s">
        <v>888</v>
      </c>
      <c r="B73" s="481"/>
      <c r="C73" s="478"/>
      <c r="D73" s="479"/>
      <c r="E73" s="479"/>
      <c r="F73" s="479"/>
      <c r="G73" s="481"/>
      <c r="H73" s="478"/>
      <c r="I73" s="479"/>
      <c r="J73" s="479"/>
      <c r="K73" s="479"/>
      <c r="L73" s="481"/>
      <c r="M73" s="479"/>
    </row>
    <row r="74" spans="1:13" x14ac:dyDescent="0.25">
      <c r="A74" s="600"/>
      <c r="B74" s="481"/>
      <c r="C74" s="478"/>
      <c r="D74" s="479"/>
      <c r="E74" s="479"/>
      <c r="F74" s="479"/>
      <c r="G74" s="481"/>
      <c r="H74" s="480"/>
      <c r="I74" s="479"/>
      <c r="J74" s="479"/>
      <c r="K74" s="479"/>
      <c r="L74" s="478"/>
      <c r="M74" s="478"/>
    </row>
    <row r="75" spans="1:13" x14ac:dyDescent="0.25">
      <c r="A75" s="478"/>
      <c r="B75" s="481"/>
      <c r="C75" s="478"/>
      <c r="D75" s="479"/>
      <c r="E75" s="479"/>
      <c r="F75" s="479"/>
      <c r="G75" s="481"/>
      <c r="H75" s="480"/>
      <c r="I75" s="479"/>
      <c r="J75" s="479"/>
      <c r="K75" s="479"/>
      <c r="L75" s="478"/>
      <c r="M75" s="478"/>
    </row>
    <row r="76" spans="1:13" x14ac:dyDescent="0.25">
      <c r="A76" s="478"/>
      <c r="B76" s="481"/>
      <c r="C76" s="478"/>
      <c r="D76" s="479"/>
      <c r="E76" s="479"/>
      <c r="F76" s="479"/>
      <c r="G76" s="478"/>
      <c r="H76" s="480"/>
      <c r="I76" s="479"/>
      <c r="J76" s="479"/>
      <c r="K76" s="479"/>
      <c r="L76" s="478"/>
      <c r="M76" s="478"/>
    </row>
    <row r="77" spans="1:13" x14ac:dyDescent="0.25">
      <c r="A77" s="478"/>
      <c r="B77" s="481"/>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80"/>
      <c r="I83" s="479"/>
      <c r="J83" s="479"/>
      <c r="K83" s="479"/>
      <c r="L83" s="478"/>
      <c r="M83" s="478"/>
    </row>
    <row r="84" spans="1:13" x14ac:dyDescent="0.25">
      <c r="A84" s="478"/>
      <c r="B84" s="478"/>
      <c r="C84" s="478"/>
      <c r="D84" s="479"/>
      <c r="E84" s="479"/>
      <c r="F84" s="479"/>
      <c r="G84" s="478"/>
      <c r="H84" s="480"/>
      <c r="I84" s="479"/>
      <c r="J84" s="479"/>
      <c r="K84" s="479"/>
      <c r="L84" s="478"/>
      <c r="M84" s="478"/>
    </row>
    <row r="85" spans="1:13" x14ac:dyDescent="0.25">
      <c r="A85" s="478"/>
      <c r="B85" s="478"/>
      <c r="C85" s="478"/>
      <c r="D85" s="479"/>
      <c r="E85" s="479"/>
      <c r="F85" s="479"/>
      <c r="G85" s="478"/>
      <c r="H85" s="480"/>
      <c r="I85" s="479"/>
      <c r="J85" s="479"/>
      <c r="K85" s="479"/>
      <c r="L85" s="478"/>
      <c r="M85" s="478"/>
    </row>
    <row r="86" spans="1:13" x14ac:dyDescent="0.25">
      <c r="A86" s="478"/>
      <c r="B86" s="478"/>
      <c r="C86" s="478"/>
      <c r="D86" s="479"/>
      <c r="E86" s="479"/>
      <c r="F86" s="479"/>
      <c r="G86" s="478"/>
      <c r="H86" s="480"/>
      <c r="I86" s="479"/>
      <c r="J86" s="479"/>
      <c r="K86" s="479"/>
      <c r="L86" s="478"/>
      <c r="M86" s="478"/>
    </row>
    <row r="87" spans="1:13" x14ac:dyDescent="0.25">
      <c r="A87" s="478"/>
      <c r="B87" s="478"/>
      <c r="C87" s="478"/>
      <c r="D87" s="479"/>
      <c r="E87" s="479"/>
      <c r="F87" s="479"/>
      <c r="G87" s="478"/>
      <c r="H87" s="480"/>
      <c r="I87" s="479"/>
      <c r="J87" s="479"/>
      <c r="K87" s="479"/>
      <c r="L87" s="478"/>
      <c r="M87" s="478"/>
    </row>
    <row r="88" spans="1:13" x14ac:dyDescent="0.25">
      <c r="A88" s="478"/>
      <c r="B88" s="478"/>
      <c r="C88" s="478"/>
      <c r="D88" s="479"/>
      <c r="E88" s="479"/>
      <c r="F88" s="479"/>
      <c r="G88" s="478"/>
      <c r="H88" s="478"/>
      <c r="I88" s="479"/>
      <c r="J88" s="479"/>
      <c r="K88" s="479"/>
      <c r="L88" s="478"/>
      <c r="M88" s="478"/>
    </row>
    <row r="89" spans="1:13" x14ac:dyDescent="0.25">
      <c r="A89" s="601" t="s">
        <v>81</v>
      </c>
      <c r="B89" s="602"/>
      <c r="C89" s="602">
        <f>SUM(C73:C77)</f>
        <v>0</v>
      </c>
      <c r="D89" s="603"/>
      <c r="E89" s="603"/>
      <c r="F89" s="603">
        <f>SUM(F73:F77)</f>
        <v>0</v>
      </c>
      <c r="G89" s="602"/>
      <c r="H89" s="604">
        <f>SUM(H73:H76)</f>
        <v>0</v>
      </c>
      <c r="I89" s="603"/>
      <c r="J89" s="603"/>
      <c r="K89" s="603">
        <f>SUM(K73:K76)</f>
        <v>0</v>
      </c>
      <c r="L89" s="602"/>
      <c r="M89" s="603">
        <f>SUM(M73:M81)</f>
        <v>0</v>
      </c>
    </row>
    <row r="90" spans="1:13" ht="15.75" thickBot="1" x14ac:dyDescent="0.3">
      <c r="A90" s="605" t="s">
        <v>189</v>
      </c>
      <c r="B90" s="637"/>
      <c r="C90" s="606">
        <f>SumByColor($A$22,C73:C88)</f>
        <v>0</v>
      </c>
      <c r="D90" s="606"/>
      <c r="E90" s="606"/>
      <c r="F90" s="607">
        <f>SumByColor($A$22,F73:F88)</f>
        <v>0</v>
      </c>
      <c r="G90" s="606"/>
      <c r="H90" s="606">
        <f>SumByColor($A$22,H73:H88)</f>
        <v>0</v>
      </c>
      <c r="I90" s="606"/>
      <c r="J90" s="606"/>
      <c r="K90" s="607">
        <f>SumByColor($A$22,K74:K88)</f>
        <v>0</v>
      </c>
      <c r="L90" s="606"/>
      <c r="M90" s="607">
        <f>SumByColor($A$22,M73:M88)</f>
        <v>0</v>
      </c>
    </row>
    <row r="93" spans="1:13" x14ac:dyDescent="0.25">
      <c r="B93" s="159" t="s">
        <v>113</v>
      </c>
      <c r="C93" s="159" t="s">
        <v>143</v>
      </c>
      <c r="D93" s="160" t="s">
        <v>142</v>
      </c>
      <c r="E93" s="162" t="s">
        <v>144</v>
      </c>
      <c r="F93" s="162" t="s">
        <v>65</v>
      </c>
      <c r="G93" s="173" t="s">
        <v>148</v>
      </c>
      <c r="H93" s="173" t="s">
        <v>88</v>
      </c>
      <c r="I93" s="173" t="s">
        <v>151</v>
      </c>
      <c r="J93" s="173" t="s">
        <v>147</v>
      </c>
      <c r="K93" s="173" t="s">
        <v>601</v>
      </c>
      <c r="L93" s="173" t="s">
        <v>607</v>
      </c>
    </row>
    <row r="94" spans="1:13" x14ac:dyDescent="0.25">
      <c r="B94" s="161"/>
      <c r="C94" s="10"/>
      <c r="D94" s="39"/>
      <c r="E94" s="39"/>
      <c r="F94" s="39"/>
      <c r="G94" s="39"/>
      <c r="H94" s="175"/>
      <c r="I94" s="39"/>
      <c r="J94" s="39"/>
      <c r="K94" s="39"/>
      <c r="L94" s="39"/>
    </row>
    <row r="95" spans="1:13" x14ac:dyDescent="0.25">
      <c r="B95" s="161"/>
      <c r="C95" s="10"/>
      <c r="D95" s="39"/>
      <c r="E95" s="39"/>
      <c r="F95" s="39"/>
      <c r="G95" s="39"/>
      <c r="H95" s="175"/>
      <c r="I95" s="39"/>
      <c r="J95" s="39"/>
      <c r="K95" s="39"/>
      <c r="L95" s="39"/>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152"/>
    </row>
    <row r="101" spans="2:12" x14ac:dyDescent="0.25">
      <c r="B101" s="161"/>
      <c r="C101" s="10"/>
      <c r="D101" s="39"/>
      <c r="E101" s="39"/>
      <c r="F101" s="39"/>
      <c r="G101" s="39"/>
      <c r="H101" s="175"/>
      <c r="I101" s="39"/>
      <c r="J101" s="39"/>
      <c r="K101" s="39"/>
      <c r="L101" s="152"/>
    </row>
    <row r="102" spans="2:12" x14ac:dyDescent="0.25">
      <c r="B102" s="161"/>
      <c r="C102" s="10"/>
      <c r="D102" s="39"/>
      <c r="E102" s="39"/>
      <c r="F102" s="39"/>
      <c r="G102" s="39"/>
      <c r="H102" s="175"/>
      <c r="I102" s="39"/>
      <c r="J102" s="39"/>
      <c r="K102" s="39"/>
      <c r="L102" s="152"/>
    </row>
    <row r="103" spans="2:12" x14ac:dyDescent="0.25">
      <c r="B103" s="161"/>
      <c r="C103" s="10"/>
      <c r="D103" s="39"/>
      <c r="E103" s="39"/>
      <c r="F103" s="39"/>
      <c r="G103" s="39"/>
      <c r="H103" s="175"/>
      <c r="I103" s="39"/>
      <c r="J103" s="39"/>
      <c r="K103" s="39"/>
      <c r="L103" s="152"/>
    </row>
    <row r="104" spans="2:12" x14ac:dyDescent="0.25">
      <c r="B104" s="161"/>
      <c r="C104" s="10"/>
      <c r="D104" s="39"/>
      <c r="E104" s="39"/>
      <c r="F104" s="39"/>
      <c r="G104" s="39"/>
      <c r="H104" s="175"/>
      <c r="I104" s="39"/>
      <c r="J104" s="39"/>
      <c r="K104" s="39"/>
      <c r="L104" s="152"/>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row r="111" spans="2:12" x14ac:dyDescent="0.25">
      <c r="B111" s="161"/>
      <c r="C111" s="10"/>
      <c r="D111" s="39"/>
      <c r="E111" s="39"/>
      <c r="F111" s="39"/>
      <c r="G111" s="39"/>
      <c r="H111" s="175"/>
      <c r="I111" s="39"/>
      <c r="J111" s="39"/>
      <c r="K111" s="39"/>
      <c r="L111" s="39"/>
    </row>
    <row r="112" spans="2:12" x14ac:dyDescent="0.25">
      <c r="B112" s="161"/>
      <c r="C112" s="10"/>
      <c r="D112" s="39"/>
      <c r="E112" s="39"/>
      <c r="F112" s="39"/>
      <c r="G112" s="39"/>
      <c r="H112" s="175"/>
      <c r="I112" s="39"/>
      <c r="J112" s="39"/>
      <c r="K112" s="39"/>
      <c r="L112" s="39"/>
    </row>
    <row r="113" spans="2:12" x14ac:dyDescent="0.25">
      <c r="B113" s="161"/>
      <c r="C113" s="10"/>
      <c r="D113" s="39"/>
      <c r="E113" s="39"/>
      <c r="F113" s="39"/>
      <c r="G113" s="39"/>
      <c r="H113" s="175"/>
      <c r="I113" s="39"/>
      <c r="J113" s="39"/>
      <c r="K113" s="39"/>
      <c r="L113" s="39"/>
    </row>
    <row r="114" spans="2:12" x14ac:dyDescent="0.25">
      <c r="B114" s="161"/>
      <c r="C114" s="10"/>
      <c r="D114" s="39"/>
      <c r="E114" s="39"/>
      <c r="F114" s="39"/>
      <c r="G114" s="39"/>
      <c r="H114" s="175"/>
      <c r="I114" s="39"/>
      <c r="J114" s="39"/>
      <c r="K114" s="39"/>
      <c r="L114" s="39"/>
    </row>
    <row r="115" spans="2:12" x14ac:dyDescent="0.25">
      <c r="B115" s="161"/>
      <c r="C115" s="10"/>
      <c r="D115" s="39"/>
      <c r="E115" s="39"/>
      <c r="F115" s="39"/>
      <c r="G115" s="39"/>
      <c r="H115" s="175"/>
      <c r="I115" s="39"/>
      <c r="J115" s="39"/>
      <c r="K115" s="39"/>
      <c r="L115" s="39"/>
    </row>
  </sheetData>
  <mergeCells count="1">
    <mergeCell ref="A11:A14"/>
  </mergeCells>
  <conditionalFormatting sqref="O23:O43">
    <cfRule type="colorScale" priority="62">
      <colorScale>
        <cfvo type="min"/>
        <cfvo type="percentile" val="50"/>
        <cfvo type="max"/>
        <color rgb="FFF8696B"/>
        <color rgb="FFFFEB84"/>
        <color rgb="FF63BE7B"/>
      </colorScale>
    </cfRule>
  </conditionalFormatting>
  <conditionalFormatting sqref="P23:P43">
    <cfRule type="colorScale" priority="61">
      <colorScale>
        <cfvo type="min"/>
        <cfvo type="percentile" val="50"/>
        <cfvo type="max"/>
        <color rgb="FFF8696B"/>
        <color rgb="FFFFEB84"/>
        <color rgb="FF63BE7B"/>
      </colorScale>
    </cfRule>
  </conditionalFormatting>
  <conditionalFormatting sqref="F49:F63 H49:H63 H66:H68 F66:F68">
    <cfRule type="expression" dxfId="927" priority="59">
      <formula>F49&gt;0</formula>
    </cfRule>
    <cfRule type="expression" dxfId="926" priority="60">
      <formula>F49&lt;0</formula>
    </cfRule>
  </conditionalFormatting>
  <conditionalFormatting sqref="Q7">
    <cfRule type="expression" dxfId="925" priority="57">
      <formula>Q7&gt;0</formula>
    </cfRule>
    <cfRule type="expression" dxfId="924" priority="58">
      <formula>Q7&lt;0</formula>
    </cfRule>
  </conditionalFormatting>
  <conditionalFormatting sqref="Q8">
    <cfRule type="expression" dxfId="923" priority="55">
      <formula>Q8&gt;0</formula>
    </cfRule>
    <cfRule type="expression" dxfId="922" priority="56">
      <formula>Q8&lt;0</formula>
    </cfRule>
  </conditionalFormatting>
  <conditionalFormatting sqref="F34:F46">
    <cfRule type="expression" dxfId="921" priority="53">
      <formula>F34&gt;0</formula>
    </cfRule>
    <cfRule type="expression" dxfId="920" priority="54">
      <formula>F34&lt;0</formula>
    </cfRule>
  </conditionalFormatting>
  <conditionalFormatting sqref="H34:H46">
    <cfRule type="expression" dxfId="919" priority="51">
      <formula>H34&gt;0</formula>
    </cfRule>
    <cfRule type="expression" dxfId="918" priority="52">
      <formula>H34&lt;0</formula>
    </cfRule>
  </conditionalFormatting>
  <conditionalFormatting sqref="Q10">
    <cfRule type="expression" dxfId="917" priority="49">
      <formula>Q10&gt;0</formula>
    </cfRule>
    <cfRule type="expression" dxfId="916" priority="50">
      <formula>Q10&lt;0</formula>
    </cfRule>
  </conditionalFormatting>
  <conditionalFormatting sqref="J28:J41">
    <cfRule type="expression" dxfId="915" priority="47">
      <formula>J28&gt;0</formula>
    </cfRule>
    <cfRule type="expression" dxfId="914" priority="48">
      <formula>J28&lt;0</formula>
    </cfRule>
  </conditionalFormatting>
  <conditionalFormatting sqref="K28:K41">
    <cfRule type="expression" dxfId="913" priority="45">
      <formula>K28&gt;0</formula>
    </cfRule>
    <cfRule type="expression" dxfId="912" priority="46">
      <formula>K28&lt;0</formula>
    </cfRule>
  </conditionalFormatting>
  <conditionalFormatting sqref="L28:L41">
    <cfRule type="expression" dxfId="911" priority="43">
      <formula>L28&gt;0</formula>
    </cfRule>
    <cfRule type="expression" dxfId="910" priority="44">
      <formula>L28&lt;0</formula>
    </cfRule>
  </conditionalFormatting>
  <conditionalFormatting sqref="F94:F115">
    <cfRule type="expression" dxfId="909" priority="41">
      <formula>F94&gt;0</formula>
    </cfRule>
    <cfRule type="expression" dxfId="908" priority="42">
      <formula>F94&lt;0</formula>
    </cfRule>
  </conditionalFormatting>
  <conditionalFormatting sqref="H94:H115">
    <cfRule type="expression" dxfId="907" priority="39">
      <formula>H94&gt;0</formula>
    </cfRule>
    <cfRule type="expression" dxfId="906" priority="40">
      <formula>H94&lt;0</formula>
    </cfRule>
  </conditionalFormatting>
  <conditionalFormatting sqref="J94:J107">
    <cfRule type="expression" dxfId="905" priority="37">
      <formula>J94&gt;0</formula>
    </cfRule>
    <cfRule type="expression" dxfId="904" priority="38">
      <formula>J94&lt;0</formula>
    </cfRule>
  </conditionalFormatting>
  <conditionalFormatting sqref="K94:K107">
    <cfRule type="expression" dxfId="903" priority="35">
      <formula>K94&gt;0</formula>
    </cfRule>
    <cfRule type="expression" dxfId="902" priority="36">
      <formula>K94&lt;0</formula>
    </cfRule>
  </conditionalFormatting>
  <conditionalFormatting sqref="L94:L107">
    <cfRule type="expression" dxfId="901" priority="33">
      <formula>L94&gt;0</formula>
    </cfRule>
    <cfRule type="expression" dxfId="900" priority="34">
      <formula>L94&lt;0</formula>
    </cfRule>
  </conditionalFormatting>
  <conditionalFormatting sqref="F28:F31">
    <cfRule type="expression" dxfId="899" priority="31">
      <formula>F28&gt;0</formula>
    </cfRule>
    <cfRule type="expression" dxfId="898" priority="32">
      <formula>F28&lt;0</formula>
    </cfRule>
  </conditionalFormatting>
  <conditionalFormatting sqref="H28:H31">
    <cfRule type="expression" dxfId="897" priority="29">
      <formula>H28&gt;0</formula>
    </cfRule>
    <cfRule type="expression" dxfId="896" priority="30">
      <formula>H28&lt;0</formula>
    </cfRule>
  </conditionalFormatting>
  <conditionalFormatting sqref="F32:F33">
    <cfRule type="expression" dxfId="895" priority="25">
      <formula>F32&gt;0</formula>
    </cfRule>
    <cfRule type="expression" dxfId="894" priority="26">
      <formula>F32&lt;0</formula>
    </cfRule>
  </conditionalFormatting>
  <conditionalFormatting sqref="H32:H33">
    <cfRule type="expression" dxfId="893" priority="23">
      <formula>H32&gt;0</formula>
    </cfRule>
    <cfRule type="expression" dxfId="892" priority="24">
      <formula>H32&lt;0</formula>
    </cfRule>
  </conditionalFormatting>
  <conditionalFormatting sqref="J48">
    <cfRule type="expression" dxfId="891" priority="21">
      <formula>J48&gt;0</formula>
    </cfRule>
    <cfRule type="expression" dxfId="890" priority="22">
      <formula>J48&lt;0</formula>
    </cfRule>
  </conditionalFormatting>
  <conditionalFormatting sqref="F47:F48">
    <cfRule type="expression" dxfId="889" priority="19">
      <formula>F47&gt;0</formula>
    </cfRule>
    <cfRule type="expression" dxfId="888" priority="20">
      <formula>F47&lt;0</formula>
    </cfRule>
  </conditionalFormatting>
  <conditionalFormatting sqref="H47:H48">
    <cfRule type="expression" dxfId="887" priority="17">
      <formula>H47&gt;0</formula>
    </cfRule>
    <cfRule type="expression" dxfId="886" priority="18">
      <formula>H47&lt;0</formula>
    </cfRule>
  </conditionalFormatting>
  <conditionalFormatting sqref="J49:J53">
    <cfRule type="expression" dxfId="885" priority="15">
      <formula>J49&gt;0</formula>
    </cfRule>
    <cfRule type="expression" dxfId="884" priority="16">
      <formula>J49&lt;0</formula>
    </cfRule>
  </conditionalFormatting>
  <conditionalFormatting sqref="J54:J62">
    <cfRule type="expression" dxfId="883" priority="13">
      <formula>J54&gt;0</formula>
    </cfRule>
    <cfRule type="expression" dxfId="882" priority="14">
      <formula>J54&lt;0</formula>
    </cfRule>
  </conditionalFormatting>
  <conditionalFormatting sqref="J63">
    <cfRule type="expression" dxfId="881" priority="5">
      <formula>J63&gt;0</formula>
    </cfRule>
    <cfRule type="expression" dxfId="880" priority="6">
      <formula>J63&lt;0</formula>
    </cfRule>
  </conditionalFormatting>
  <conditionalFormatting sqref="H64:H65 F64:F65">
    <cfRule type="expression" dxfId="879" priority="3">
      <formula>F64&gt;0</formula>
    </cfRule>
    <cfRule type="expression" dxfId="878" priority="4">
      <formula>F64&lt;0</formula>
    </cfRule>
  </conditionalFormatting>
  <conditionalFormatting sqref="J64">
    <cfRule type="expression" dxfId="877" priority="1">
      <formula>J64&gt;0</formula>
    </cfRule>
    <cfRule type="expression" dxfId="876" priority="2">
      <formula>J64&lt;0</formula>
    </cfRule>
  </conditionalFormatting>
  <hyperlinks>
    <hyperlink ref="A3" location="ACTIVE!A1" display="Back"/>
    <hyperlink ref="U4" r:id="rId1"/>
  </hyperlinks>
  <pageMargins left="0.7" right="0.7" top="0.75" bottom="0.75" header="0.3" footer="0.3"/>
  <pageSetup orientation="portrait" r:id="rId2"/>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A1:AD84"/>
  <sheetViews>
    <sheetView workbookViewId="0">
      <pane ySplit="1" topLeftCell="A2" activePane="bottomLeft" state="frozen"/>
      <selection activeCell="A2" sqref="A2"/>
      <selection pane="bottomLeft" activeCell="A3" sqref="A3"/>
    </sheetView>
  </sheetViews>
  <sheetFormatPr defaultRowHeight="15" x14ac:dyDescent="0.25"/>
  <cols>
    <col min="2" max="2" width="9.7109375" bestFit="1" customWidth="1"/>
    <col min="3" max="3" width="9.28515625" bestFit="1" customWidth="1"/>
    <col min="4" max="5" width="9.140625" style="2"/>
    <col min="6" max="6" width="10.5703125" style="2" bestFit="1" customWidth="1"/>
    <col min="7" max="8" width="9.7109375" bestFit="1" customWidth="1"/>
    <col min="9" max="10" width="9.140625" style="2"/>
    <col min="11" max="11" width="10.5703125" style="2" bestFit="1" customWidth="1"/>
    <col min="12" max="12" width="9.5703125" bestFit="1" customWidth="1"/>
    <col min="13" max="13" width="9.28515625" bestFit="1" customWidth="1"/>
    <col min="15" max="15" width="13.28515625" bestFit="1" customWidth="1"/>
    <col min="16" max="16" width="10.140625" style="33" bestFit="1" customWidth="1"/>
    <col min="17" max="17" width="12.7109375" bestFit="1" customWidth="1"/>
    <col min="18" max="18" width="16" customWidth="1"/>
    <col min="20" max="20" width="17.85546875" style="81" customWidth="1"/>
    <col min="21" max="21" width="13.85546875" customWidth="1"/>
    <col min="24" max="24" width="31" bestFit="1" customWidth="1"/>
    <col min="25" max="25" width="8.7109375" bestFit="1" customWidth="1"/>
    <col min="26" max="26" width="12" bestFit="1" customWidth="1"/>
    <col min="27" max="27" width="12.5703125" bestFit="1" customWidth="1"/>
    <col min="30" max="30" width="8.85546875" bestFit="1" customWidth="1"/>
    <col min="31" max="31" width="9.7109375" bestFit="1" customWidth="1"/>
    <col min="32" max="32" width="13.28515625" bestFit="1" customWidth="1"/>
  </cols>
  <sheetData>
    <row r="1" spans="1:3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79"/>
    </row>
    <row r="2" spans="1:30" ht="14.25" customHeight="1" x14ac:dyDescent="0.25">
      <c r="A2" s="6" t="s">
        <v>172</v>
      </c>
      <c r="B2" s="397">
        <v>43133</v>
      </c>
      <c r="C2" s="7">
        <v>25</v>
      </c>
      <c r="D2" s="43">
        <v>278.18</v>
      </c>
      <c r="E2" s="43">
        <v>0</v>
      </c>
      <c r="F2" s="43">
        <f>C2*D2+E2</f>
        <v>6954.5</v>
      </c>
      <c r="G2" s="397">
        <v>43140</v>
      </c>
      <c r="H2" s="7">
        <v>25</v>
      </c>
      <c r="I2" s="43">
        <v>262.7</v>
      </c>
      <c r="J2" s="43">
        <v>0.15</v>
      </c>
      <c r="K2" s="43">
        <f t="shared" ref="K2:K11" si="0">H2*I2-J2</f>
        <v>6567.35</v>
      </c>
      <c r="L2" s="1">
        <v>43220</v>
      </c>
      <c r="M2" s="43">
        <v>54.84</v>
      </c>
      <c r="O2" s="11" t="s">
        <v>57</v>
      </c>
      <c r="Q2">
        <f>C18-H18</f>
        <v>0</v>
      </c>
      <c r="T2" s="80"/>
    </row>
    <row r="3" spans="1:30" x14ac:dyDescent="0.25">
      <c r="A3" s="22" t="s">
        <v>71</v>
      </c>
      <c r="B3" s="397">
        <v>43136</v>
      </c>
      <c r="C3" s="7">
        <v>15</v>
      </c>
      <c r="D3" s="43">
        <v>261.14999999999998</v>
      </c>
      <c r="E3" s="43">
        <v>0</v>
      </c>
      <c r="F3" s="43">
        <f>C3*D3+E3</f>
        <v>3917.2499999999995</v>
      </c>
      <c r="G3" s="397">
        <v>43194</v>
      </c>
      <c r="H3" s="77">
        <v>15</v>
      </c>
      <c r="I3" s="43">
        <v>264.18</v>
      </c>
      <c r="J3" s="43">
        <v>0.09</v>
      </c>
      <c r="K3" s="43">
        <f t="shared" si="0"/>
        <v>3962.61</v>
      </c>
      <c r="L3" s="1">
        <v>43312</v>
      </c>
      <c r="M3" s="43">
        <v>62.28</v>
      </c>
      <c r="O3" s="11" t="s">
        <v>58</v>
      </c>
      <c r="Q3" s="75">
        <f>IF(Q2=0, Q4, (F18-K18-M18)/Q2)</f>
        <v>298.20999999999998</v>
      </c>
      <c r="T3" s="115"/>
      <c r="AD3" s="178"/>
    </row>
    <row r="4" spans="1:30" x14ac:dyDescent="0.25">
      <c r="B4" s="397">
        <v>43136</v>
      </c>
      <c r="C4" s="7">
        <v>10</v>
      </c>
      <c r="D4" s="43">
        <v>261.14999999999998</v>
      </c>
      <c r="E4" s="43">
        <v>0</v>
      </c>
      <c r="F4" s="43">
        <f>C4*D4+E4</f>
        <v>2611.5</v>
      </c>
      <c r="G4" s="397">
        <v>43199</v>
      </c>
      <c r="H4" s="77">
        <v>15</v>
      </c>
      <c r="I4" s="43">
        <v>264.27999999999997</v>
      </c>
      <c r="J4" s="43">
        <v>0.09</v>
      </c>
      <c r="K4" s="43">
        <f t="shared" si="0"/>
        <v>3964.1099999999997</v>
      </c>
      <c r="L4" s="1">
        <v>43496</v>
      </c>
      <c r="M4" s="43">
        <v>28.71</v>
      </c>
      <c r="O4" s="11" t="s">
        <v>66</v>
      </c>
      <c r="Q4" s="53">
        <v>298.20999999999998</v>
      </c>
      <c r="R4" s="396">
        <v>8.8000000000000005E-3</v>
      </c>
      <c r="T4" s="115"/>
      <c r="AA4" s="178"/>
      <c r="AD4" s="178"/>
    </row>
    <row r="5" spans="1:30" x14ac:dyDescent="0.25">
      <c r="B5" s="397">
        <v>43140</v>
      </c>
      <c r="C5" s="7">
        <v>5</v>
      </c>
      <c r="D5" s="43">
        <v>253.6</v>
      </c>
      <c r="E5" s="43">
        <v>0</v>
      </c>
      <c r="F5" s="43">
        <f t="shared" ref="F5:F12" si="1">C5*D5+E5</f>
        <v>1268</v>
      </c>
      <c r="G5" s="397">
        <v>43200</v>
      </c>
      <c r="H5" s="77">
        <v>10</v>
      </c>
      <c r="I5" s="43">
        <v>265.68</v>
      </c>
      <c r="J5" s="43">
        <v>0.06</v>
      </c>
      <c r="K5" s="43">
        <f t="shared" si="0"/>
        <v>2656.7400000000002</v>
      </c>
      <c r="O5" s="11" t="s">
        <v>67</v>
      </c>
      <c r="Q5" s="3">
        <f>Q4*Q2</f>
        <v>0</v>
      </c>
      <c r="AA5" s="178"/>
      <c r="AD5" s="178"/>
    </row>
    <row r="6" spans="1:30" x14ac:dyDescent="0.25">
      <c r="B6" s="397">
        <v>43140</v>
      </c>
      <c r="C6" s="7">
        <v>20</v>
      </c>
      <c r="D6" s="43">
        <v>253.6</v>
      </c>
      <c r="E6" s="43">
        <v>0</v>
      </c>
      <c r="F6" s="43">
        <f t="shared" si="1"/>
        <v>5072</v>
      </c>
      <c r="G6" s="397">
        <v>43206</v>
      </c>
      <c r="H6" s="77">
        <v>10</v>
      </c>
      <c r="I6" s="43">
        <v>267.67</v>
      </c>
      <c r="J6" s="43">
        <v>0.06</v>
      </c>
      <c r="K6" s="43">
        <f t="shared" si="0"/>
        <v>2676.6400000000003</v>
      </c>
      <c r="O6" s="11" t="s">
        <v>64</v>
      </c>
      <c r="Q6" s="2">
        <f>Q3*Q2</f>
        <v>0</v>
      </c>
    </row>
    <row r="7" spans="1:30" x14ac:dyDescent="0.25">
      <c r="B7" s="397">
        <v>43181</v>
      </c>
      <c r="C7" s="7">
        <v>10</v>
      </c>
      <c r="D7" s="43">
        <v>262.58</v>
      </c>
      <c r="E7" s="43">
        <v>0</v>
      </c>
      <c r="F7" s="43">
        <f t="shared" si="1"/>
        <v>2625.7999999999997</v>
      </c>
      <c r="G7" s="397">
        <v>43227</v>
      </c>
      <c r="H7" s="77">
        <v>10</v>
      </c>
      <c r="I7" s="43">
        <v>268</v>
      </c>
      <c r="J7" s="43">
        <v>0.06</v>
      </c>
      <c r="K7" s="43">
        <f t="shared" si="0"/>
        <v>2679.94</v>
      </c>
      <c r="O7" s="11" t="s">
        <v>175</v>
      </c>
      <c r="P7"/>
      <c r="Q7" s="690">
        <f>Q10+Q8</f>
        <v>1261.0600000000031</v>
      </c>
      <c r="R7">
        <v>0</v>
      </c>
      <c r="T7" s="80"/>
      <c r="AA7" s="178"/>
      <c r="AD7" s="178"/>
    </row>
    <row r="8" spans="1:30" x14ac:dyDescent="0.25">
      <c r="B8" s="397">
        <v>43192</v>
      </c>
      <c r="C8" s="7">
        <v>15</v>
      </c>
      <c r="D8" s="43">
        <v>255.38</v>
      </c>
      <c r="E8" s="43">
        <v>0</v>
      </c>
      <c r="F8" s="43">
        <f t="shared" si="1"/>
        <v>3830.7</v>
      </c>
      <c r="G8" s="397">
        <v>43271</v>
      </c>
      <c r="H8" s="77">
        <v>15</v>
      </c>
      <c r="I8" s="43">
        <v>276.08</v>
      </c>
      <c r="J8" s="43">
        <v>0.05</v>
      </c>
      <c r="K8" s="43">
        <f t="shared" si="0"/>
        <v>4141.1499999999996</v>
      </c>
      <c r="O8" s="11" t="s">
        <v>177</v>
      </c>
      <c r="Q8" s="20">
        <f>K18+M18-F18+Q2*Q4</f>
        <v>1100.2300000000032</v>
      </c>
    </row>
    <row r="9" spans="1:30" x14ac:dyDescent="0.25">
      <c r="B9" s="397">
        <v>43196</v>
      </c>
      <c r="C9" s="7">
        <v>15</v>
      </c>
      <c r="D9" s="43">
        <v>259.58</v>
      </c>
      <c r="E9" s="43">
        <v>0</v>
      </c>
      <c r="F9" s="43">
        <f t="shared" si="1"/>
        <v>3893.7</v>
      </c>
      <c r="G9" s="397">
        <v>43286</v>
      </c>
      <c r="H9" s="77">
        <v>15</v>
      </c>
      <c r="I9" s="43">
        <v>273.18</v>
      </c>
      <c r="J9" s="43">
        <v>0.05</v>
      </c>
      <c r="K9" s="43">
        <f t="shared" si="0"/>
        <v>4097.6499999999996</v>
      </c>
      <c r="O9" s="11" t="s">
        <v>202</v>
      </c>
      <c r="P9"/>
      <c r="Q9" s="131">
        <f>IF(Q2=0, 0, Q8/Q6)</f>
        <v>0</v>
      </c>
      <c r="AA9" s="178"/>
      <c r="AD9" s="178"/>
    </row>
    <row r="10" spans="1:30" ht="12.75" customHeight="1" x14ac:dyDescent="0.25">
      <c r="B10" s="397">
        <v>43214</v>
      </c>
      <c r="C10" s="7">
        <v>10</v>
      </c>
      <c r="D10" s="43">
        <v>261.27999999999997</v>
      </c>
      <c r="E10" s="43">
        <v>0</v>
      </c>
      <c r="F10" s="43">
        <f t="shared" si="1"/>
        <v>2612.7999999999997</v>
      </c>
      <c r="G10" s="397">
        <v>43286</v>
      </c>
      <c r="H10" s="77">
        <v>20</v>
      </c>
      <c r="I10" s="43">
        <v>272.74</v>
      </c>
      <c r="J10" s="43">
        <v>7.0000000000000007E-2</v>
      </c>
      <c r="K10" s="43">
        <f t="shared" si="0"/>
        <v>5454.7300000000005</v>
      </c>
      <c r="O10" s="11" t="s">
        <v>201</v>
      </c>
      <c r="Q10" s="20">
        <f>M49</f>
        <v>160.82999999999993</v>
      </c>
    </row>
    <row r="11" spans="1:30" x14ac:dyDescent="0.25">
      <c r="B11" s="397">
        <v>43223</v>
      </c>
      <c r="C11" s="7">
        <v>10</v>
      </c>
      <c r="D11" s="43">
        <v>259.58</v>
      </c>
      <c r="E11" s="43">
        <v>0</v>
      </c>
      <c r="F11" s="43">
        <f t="shared" si="1"/>
        <v>2595.7999999999997</v>
      </c>
      <c r="G11" s="397">
        <v>43496</v>
      </c>
      <c r="H11" s="77">
        <v>20</v>
      </c>
      <c r="I11" s="43">
        <v>270.27999999999997</v>
      </c>
      <c r="J11" s="43">
        <v>7.0000000000000007E-2</v>
      </c>
      <c r="K11" s="43">
        <f t="shared" si="0"/>
        <v>5405.53</v>
      </c>
      <c r="O11" s="11" t="s">
        <v>173</v>
      </c>
      <c r="Q11" s="131">
        <v>1.84E-2</v>
      </c>
      <c r="AA11" s="178"/>
      <c r="AD11" s="178"/>
    </row>
    <row r="12" spans="1:30" x14ac:dyDescent="0.25">
      <c r="B12" s="397">
        <v>43441</v>
      </c>
      <c r="C12" s="7">
        <v>20</v>
      </c>
      <c r="D12" s="43">
        <v>263.5</v>
      </c>
      <c r="E12" s="43">
        <v>0</v>
      </c>
      <c r="F12" s="43">
        <f t="shared" si="1"/>
        <v>5270</v>
      </c>
      <c r="G12" s="29"/>
    </row>
    <row r="13" spans="1:30" x14ac:dyDescent="0.25">
      <c r="B13" s="29"/>
      <c r="G13" s="29"/>
      <c r="O13" s="11" t="s">
        <v>901</v>
      </c>
      <c r="Q13" s="2">
        <f>Q4/13</f>
        <v>22.939230769230768</v>
      </c>
      <c r="R13" s="22" t="s">
        <v>906</v>
      </c>
      <c r="AA13" s="178"/>
      <c r="AD13" s="178"/>
    </row>
    <row r="14" spans="1:30" x14ac:dyDescent="0.25">
      <c r="B14" s="29"/>
      <c r="G14" s="29"/>
      <c r="R14" s="33"/>
      <c r="T14" s="79"/>
      <c r="U14" s="11"/>
    </row>
    <row r="15" spans="1:30" x14ac:dyDescent="0.25">
      <c r="B15" s="29"/>
      <c r="G15" s="29"/>
      <c r="R15" s="33"/>
      <c r="AA15" s="178"/>
      <c r="AD15" s="178"/>
    </row>
    <row r="16" spans="1:30" x14ac:dyDescent="0.25">
      <c r="B16" s="29"/>
      <c r="G16" s="29"/>
      <c r="R16" s="33"/>
    </row>
    <row r="17" spans="1:30" ht="20.25" thickBot="1" x14ac:dyDescent="0.35">
      <c r="B17" s="29"/>
      <c r="G17" s="29"/>
      <c r="P17" s="886" t="s">
        <v>78</v>
      </c>
      <c r="Q17" s="886"/>
      <c r="R17" s="33"/>
      <c r="AA17" s="178"/>
      <c r="AD17" s="178"/>
    </row>
    <row r="18" spans="1:30" ht="15.75" thickTop="1" x14ac:dyDescent="0.25">
      <c r="A18" s="31" t="s">
        <v>81</v>
      </c>
      <c r="B18" s="14"/>
      <c r="C18" s="14">
        <f>SUM(C2:C12)</f>
        <v>155</v>
      </c>
      <c r="D18" s="14"/>
      <c r="E18" s="14"/>
      <c r="F18" s="18">
        <f>SUM(F2:F12)</f>
        <v>40652.050000000003</v>
      </c>
      <c r="G18" s="18"/>
      <c r="H18" s="68">
        <f>SUM(H2:H11)</f>
        <v>155</v>
      </c>
      <c r="I18" s="18"/>
      <c r="J18" s="18"/>
      <c r="K18" s="18">
        <f>SUM(K2:K11)</f>
        <v>41606.450000000004</v>
      </c>
      <c r="L18" s="18"/>
      <c r="M18" s="18">
        <f>SUM(M2:M6)</f>
        <v>145.83000000000001</v>
      </c>
      <c r="P18" s="78">
        <v>1.1000000000000001</v>
      </c>
      <c r="Q18" s="78">
        <f>P18*$Q$4</f>
        <v>328.03100000000001</v>
      </c>
      <c r="R18" s="78"/>
    </row>
    <row r="19" spans="1:30" ht="15.75" thickBot="1" x14ac:dyDescent="0.3">
      <c r="A19" s="273" t="s">
        <v>189</v>
      </c>
      <c r="B19" s="274"/>
      <c r="C19" s="276">
        <f>SumByColor($A$19,C2:C17)</f>
        <v>155</v>
      </c>
      <c r="D19" s="276"/>
      <c r="E19" s="276"/>
      <c r="F19" s="276">
        <f t="shared" ref="F19:M19" si="2">SumByColor($A$19,F2:F17)</f>
        <v>40652</v>
      </c>
      <c r="G19" s="276"/>
      <c r="H19" s="276">
        <f t="shared" si="2"/>
        <v>155</v>
      </c>
      <c r="I19" s="276"/>
      <c r="J19" s="276"/>
      <c r="K19" s="276">
        <f t="shared" si="2"/>
        <v>41608</v>
      </c>
      <c r="L19" s="276"/>
      <c r="M19" s="276">
        <f t="shared" si="2"/>
        <v>146</v>
      </c>
      <c r="P19" s="78">
        <v>1.0900000000000001</v>
      </c>
      <c r="Q19" s="78">
        <f t="shared" ref="Q19:Q38" si="3">P19*$Q$4</f>
        <v>325.0489</v>
      </c>
      <c r="R19" s="78"/>
      <c r="AA19" s="178"/>
      <c r="AD19" s="178"/>
    </row>
    <row r="20" spans="1:30" x14ac:dyDescent="0.25">
      <c r="P20" s="78">
        <v>1.08</v>
      </c>
      <c r="Q20" s="78">
        <f t="shared" si="3"/>
        <v>322.0668</v>
      </c>
      <c r="R20" s="78"/>
    </row>
    <row r="21" spans="1:30" x14ac:dyDescent="0.25">
      <c r="B21" s="159" t="s">
        <v>113</v>
      </c>
      <c r="C21" s="159" t="s">
        <v>143</v>
      </c>
      <c r="D21" s="160" t="s">
        <v>142</v>
      </c>
      <c r="E21" s="162" t="s">
        <v>144</v>
      </c>
      <c r="F21" s="162" t="s">
        <v>65</v>
      </c>
      <c r="G21" s="173" t="s">
        <v>148</v>
      </c>
      <c r="H21" s="173" t="s">
        <v>88</v>
      </c>
      <c r="I21" s="173" t="s">
        <v>151</v>
      </c>
      <c r="J21" s="173" t="s">
        <v>147</v>
      </c>
      <c r="K21" s="173"/>
      <c r="P21" s="78">
        <v>1.07</v>
      </c>
      <c r="Q21" s="78">
        <f t="shared" si="3"/>
        <v>319.0847</v>
      </c>
      <c r="R21" s="78"/>
      <c r="AA21" s="178"/>
      <c r="AD21" s="178"/>
    </row>
    <row r="22" spans="1:30" x14ac:dyDescent="0.25">
      <c r="B22" s="161">
        <v>43133</v>
      </c>
      <c r="C22" s="10">
        <v>25</v>
      </c>
      <c r="D22" s="39">
        <v>278.18</v>
      </c>
      <c r="E22" s="39">
        <v>275.45</v>
      </c>
      <c r="F22" s="39">
        <f t="shared" ref="F22:F27" si="4">C22*(E22-D22)</f>
        <v>-68.250000000000455</v>
      </c>
      <c r="G22" s="39">
        <f t="shared" ref="G22:G27" si="5">D22*C22</f>
        <v>6954.5</v>
      </c>
      <c r="H22" s="175">
        <f t="shared" ref="H22:H27" si="6">(E22-D22)/D22</f>
        <v>-9.8137896326120425E-3</v>
      </c>
      <c r="I22" s="39"/>
      <c r="J22" s="39"/>
      <c r="K22" s="39"/>
      <c r="P22" s="78">
        <v>1.06</v>
      </c>
      <c r="Q22" s="78">
        <f t="shared" si="3"/>
        <v>316.1026</v>
      </c>
      <c r="R22" s="78"/>
    </row>
    <row r="23" spans="1:30" x14ac:dyDescent="0.25">
      <c r="B23" s="161">
        <v>43136</v>
      </c>
      <c r="C23" s="10">
        <v>50</v>
      </c>
      <c r="D23" s="39">
        <v>269.66500000000002</v>
      </c>
      <c r="E23" s="39">
        <v>263.93</v>
      </c>
      <c r="F23" s="39">
        <f t="shared" si="4"/>
        <v>-286.75000000000068</v>
      </c>
      <c r="G23" s="39">
        <f t="shared" si="5"/>
        <v>13483.250000000002</v>
      </c>
      <c r="H23" s="175">
        <f t="shared" si="6"/>
        <v>-2.1267127732557109E-2</v>
      </c>
      <c r="I23" s="39"/>
      <c r="J23" s="39"/>
      <c r="K23" s="39"/>
      <c r="P23" s="78">
        <v>1.05</v>
      </c>
      <c r="Q23" s="78">
        <f t="shared" si="3"/>
        <v>313.12049999999999</v>
      </c>
      <c r="R23" s="78"/>
      <c r="AA23" s="178"/>
    </row>
    <row r="24" spans="1:30" x14ac:dyDescent="0.25">
      <c r="B24" s="161">
        <v>43140</v>
      </c>
      <c r="C24" s="7">
        <v>75</v>
      </c>
      <c r="D24" s="43">
        <v>264.31200000000001</v>
      </c>
      <c r="E24" s="39">
        <v>261.5</v>
      </c>
      <c r="F24" s="39">
        <f t="shared" si="4"/>
        <v>-210.90000000000089</v>
      </c>
      <c r="G24" s="39">
        <f t="shared" si="5"/>
        <v>19823.400000000001</v>
      </c>
      <c r="H24" s="175">
        <f t="shared" si="6"/>
        <v>-1.0638941856593767E-2</v>
      </c>
      <c r="I24" s="39"/>
      <c r="J24" s="39"/>
      <c r="K24" s="39"/>
      <c r="P24" s="78">
        <v>1.04</v>
      </c>
      <c r="Q24" s="78">
        <f t="shared" si="3"/>
        <v>310.13839999999999</v>
      </c>
      <c r="R24" s="78"/>
    </row>
    <row r="25" spans="1:30" x14ac:dyDescent="0.25">
      <c r="B25" s="161">
        <v>43140</v>
      </c>
      <c r="C25" s="10">
        <v>50</v>
      </c>
      <c r="D25" s="39">
        <v>265.11799999999999</v>
      </c>
      <c r="E25" s="39">
        <v>261.5</v>
      </c>
      <c r="F25" s="39">
        <f t="shared" si="4"/>
        <v>-180.89999999999975</v>
      </c>
      <c r="G25" s="39">
        <f t="shared" si="5"/>
        <v>13255.9</v>
      </c>
      <c r="H25" s="175">
        <f t="shared" si="6"/>
        <v>-1.3646753521073616E-2</v>
      </c>
      <c r="I25" s="39"/>
      <c r="J25" s="39"/>
      <c r="K25" s="39"/>
      <c r="P25" s="78">
        <v>1.03</v>
      </c>
      <c r="Q25" s="78">
        <f t="shared" si="3"/>
        <v>307.15629999999999</v>
      </c>
      <c r="R25" s="78"/>
    </row>
    <row r="26" spans="1:30" x14ac:dyDescent="0.25">
      <c r="B26" s="161">
        <v>43178</v>
      </c>
      <c r="C26" s="10">
        <v>50</v>
      </c>
      <c r="D26" s="39">
        <v>265.11799999999999</v>
      </c>
      <c r="E26" s="39">
        <v>270.49</v>
      </c>
      <c r="F26" s="39">
        <f t="shared" si="4"/>
        <v>268.6000000000007</v>
      </c>
      <c r="G26" s="39">
        <f t="shared" si="5"/>
        <v>13255.9</v>
      </c>
      <c r="H26" s="175">
        <f t="shared" si="6"/>
        <v>2.0262675487896009E-2</v>
      </c>
      <c r="I26" s="39"/>
      <c r="J26" s="39"/>
      <c r="K26" s="39"/>
      <c r="P26" s="78">
        <v>1.02</v>
      </c>
      <c r="Q26" s="78">
        <f t="shared" si="3"/>
        <v>304.17419999999998</v>
      </c>
      <c r="R26" s="78"/>
    </row>
    <row r="27" spans="1:30" x14ac:dyDescent="0.25">
      <c r="B27" s="161">
        <v>43181</v>
      </c>
      <c r="C27" s="10">
        <v>60</v>
      </c>
      <c r="D27" s="39">
        <v>264.69499999999999</v>
      </c>
      <c r="E27" s="39">
        <v>263.67</v>
      </c>
      <c r="F27" s="39">
        <f t="shared" si="4"/>
        <v>-61.499999999998636</v>
      </c>
      <c r="G27" s="39">
        <f t="shared" si="5"/>
        <v>15881.699999999999</v>
      </c>
      <c r="H27" s="175">
        <f t="shared" si="6"/>
        <v>-3.8723814201249637E-3</v>
      </c>
      <c r="I27" s="39"/>
      <c r="J27" s="39"/>
      <c r="K27" s="39"/>
      <c r="P27" s="78">
        <v>1.01</v>
      </c>
      <c r="Q27" s="78">
        <f t="shared" si="3"/>
        <v>301.19209999999998</v>
      </c>
      <c r="R27" s="78"/>
    </row>
    <row r="28" spans="1:30" x14ac:dyDescent="0.25">
      <c r="B28" s="161">
        <v>43186</v>
      </c>
      <c r="C28" s="10">
        <v>60</v>
      </c>
      <c r="D28" s="39">
        <v>264.69499999999999</v>
      </c>
      <c r="E28" s="39">
        <v>260.60000000000002</v>
      </c>
      <c r="F28" s="39">
        <f t="shared" ref="F28:F37" si="7">C28*(E28-D28)</f>
        <v>-245.69999999999823</v>
      </c>
      <c r="G28" s="39">
        <f t="shared" ref="G28:G37" si="8">D28*C28</f>
        <v>15881.699999999999</v>
      </c>
      <c r="H28" s="175">
        <f t="shared" ref="H28:H37" si="9">(E28-D28)/D28</f>
        <v>-1.5470636015036062E-2</v>
      </c>
      <c r="I28" s="39"/>
      <c r="J28" s="39">
        <v>-85</v>
      </c>
      <c r="K28" s="39"/>
      <c r="P28" s="78">
        <v>1</v>
      </c>
      <c r="Q28" s="78">
        <f t="shared" si="3"/>
        <v>298.20999999999998</v>
      </c>
      <c r="R28" s="78"/>
    </row>
    <row r="29" spans="1:30" x14ac:dyDescent="0.25">
      <c r="B29" s="161">
        <v>43192</v>
      </c>
      <c r="C29" s="7">
        <v>75</v>
      </c>
      <c r="D29" s="43">
        <v>262.83199999999999</v>
      </c>
      <c r="E29" s="39">
        <v>257.47000000000003</v>
      </c>
      <c r="F29" s="39">
        <f t="shared" si="7"/>
        <v>-402.14999999999748</v>
      </c>
      <c r="G29" s="39">
        <f t="shared" si="8"/>
        <v>19712.399999999998</v>
      </c>
      <c r="H29" s="175">
        <f t="shared" si="9"/>
        <v>-2.0400864430510618E-2</v>
      </c>
      <c r="I29" s="39">
        <v>260</v>
      </c>
      <c r="J29" s="39">
        <v>-241</v>
      </c>
      <c r="K29" s="39"/>
      <c r="P29" s="78">
        <v>0.99</v>
      </c>
      <c r="Q29" s="78">
        <f t="shared" si="3"/>
        <v>295.22789999999998</v>
      </c>
      <c r="R29" s="78"/>
    </row>
    <row r="30" spans="1:30" x14ac:dyDescent="0.25">
      <c r="A30">
        <v>35</v>
      </c>
      <c r="B30" s="161">
        <v>43194</v>
      </c>
      <c r="C30" s="10">
        <v>60</v>
      </c>
      <c r="D30" s="39">
        <v>262.49700000000001</v>
      </c>
      <c r="E30" s="39">
        <v>263.56</v>
      </c>
      <c r="F30" s="39">
        <f t="shared" si="7"/>
        <v>63.779999999999291</v>
      </c>
      <c r="G30" s="39">
        <f t="shared" si="8"/>
        <v>15749.820000000002</v>
      </c>
      <c r="H30" s="175">
        <f t="shared" si="9"/>
        <v>4.0495700903247969E-3</v>
      </c>
      <c r="I30" s="39"/>
      <c r="J30" s="39">
        <v>225</v>
      </c>
      <c r="K30" s="39"/>
      <c r="P30" s="78">
        <v>0.98</v>
      </c>
      <c r="Q30" s="78">
        <f t="shared" si="3"/>
        <v>292.24579999999997</v>
      </c>
      <c r="R30" s="78"/>
    </row>
    <row r="31" spans="1:30" x14ac:dyDescent="0.25">
      <c r="A31">
        <v>35</v>
      </c>
      <c r="B31" s="161">
        <v>43196</v>
      </c>
      <c r="C31" s="7">
        <v>75</v>
      </c>
      <c r="D31" s="43">
        <v>261.91300000000001</v>
      </c>
      <c r="E31" s="39">
        <v>259.58</v>
      </c>
      <c r="F31" s="39">
        <f t="shared" si="7"/>
        <v>-174.97500000000201</v>
      </c>
      <c r="G31" s="39">
        <f t="shared" si="8"/>
        <v>19643.475000000002</v>
      </c>
      <c r="H31" s="175">
        <f t="shared" si="9"/>
        <v>-8.9075379992593975E-3</v>
      </c>
      <c r="I31" s="39"/>
      <c r="J31" s="39"/>
      <c r="K31" s="39"/>
      <c r="P31" s="78">
        <v>0.97</v>
      </c>
      <c r="Q31" s="78">
        <f t="shared" si="3"/>
        <v>289.26369999999997</v>
      </c>
      <c r="R31" s="78"/>
    </row>
    <row r="32" spans="1:30" x14ac:dyDescent="0.25">
      <c r="A32">
        <v>20</v>
      </c>
      <c r="B32" s="161">
        <v>43199</v>
      </c>
      <c r="C32" s="10">
        <v>60</v>
      </c>
      <c r="D32" s="39">
        <v>261.32299999999998</v>
      </c>
      <c r="E32" s="39">
        <v>261</v>
      </c>
      <c r="F32" s="39">
        <f t="shared" si="7"/>
        <v>-19.379999999998745</v>
      </c>
      <c r="G32" s="39">
        <f t="shared" si="8"/>
        <v>15679.38</v>
      </c>
      <c r="H32" s="175">
        <f t="shared" si="9"/>
        <v>-1.2360182609260535E-3</v>
      </c>
      <c r="I32" s="39"/>
      <c r="J32" s="39">
        <v>141</v>
      </c>
      <c r="K32" s="39"/>
      <c r="P32" s="78">
        <v>0.96</v>
      </c>
      <c r="Q32" s="78">
        <f t="shared" si="3"/>
        <v>286.28159999999997</v>
      </c>
      <c r="R32" s="78"/>
    </row>
    <row r="33" spans="1:18" x14ac:dyDescent="0.25">
      <c r="A33">
        <v>10</v>
      </c>
      <c r="B33" s="161">
        <v>43200</v>
      </c>
      <c r="C33" s="10">
        <v>50</v>
      </c>
      <c r="D33" s="39">
        <v>260.45299999999997</v>
      </c>
      <c r="E33" s="39">
        <v>265.14999999999998</v>
      </c>
      <c r="F33" s="39">
        <f t="shared" si="7"/>
        <v>234.85000000000014</v>
      </c>
      <c r="G33" s="39">
        <f t="shared" si="8"/>
        <v>13022.649999999998</v>
      </c>
      <c r="H33" s="175">
        <f t="shared" si="9"/>
        <v>1.8033963901356496E-2</v>
      </c>
      <c r="I33" s="39"/>
      <c r="J33" s="39">
        <v>396</v>
      </c>
      <c r="K33" s="39"/>
      <c r="P33" s="78">
        <v>0.95</v>
      </c>
      <c r="Q33" s="78">
        <f t="shared" si="3"/>
        <v>283.29949999999997</v>
      </c>
      <c r="R33" s="78"/>
    </row>
    <row r="34" spans="1:18" x14ac:dyDescent="0.25">
      <c r="A34">
        <v>0</v>
      </c>
      <c r="B34" s="161">
        <v>43206</v>
      </c>
      <c r="C34" s="10">
        <v>40</v>
      </c>
      <c r="D34" s="39">
        <v>258.64999999999998</v>
      </c>
      <c r="E34" s="39">
        <v>267.33</v>
      </c>
      <c r="F34" s="39">
        <f t="shared" si="7"/>
        <v>347.20000000000027</v>
      </c>
      <c r="G34" s="39">
        <f t="shared" si="8"/>
        <v>10346</v>
      </c>
      <c r="H34" s="175">
        <f t="shared" si="9"/>
        <v>3.3558863328822762E-2</v>
      </c>
      <c r="I34" s="39"/>
      <c r="J34" s="39">
        <v>508</v>
      </c>
      <c r="K34" s="39"/>
      <c r="P34" s="78">
        <v>0.94</v>
      </c>
      <c r="Q34" s="78">
        <f t="shared" si="3"/>
        <v>280.31739999999996</v>
      </c>
      <c r="R34" s="78"/>
    </row>
    <row r="35" spans="1:18" x14ac:dyDescent="0.25">
      <c r="A35">
        <v>10</v>
      </c>
      <c r="B35" s="161">
        <v>43214</v>
      </c>
      <c r="C35" s="10">
        <v>50</v>
      </c>
      <c r="D35" s="39">
        <v>259.17599999999999</v>
      </c>
      <c r="E35" s="39">
        <v>262.98</v>
      </c>
      <c r="F35" s="39">
        <f t="shared" si="7"/>
        <v>190.20000000000152</v>
      </c>
      <c r="G35" s="39">
        <f t="shared" si="8"/>
        <v>12958.8</v>
      </c>
      <c r="H35" s="175">
        <f t="shared" si="9"/>
        <v>1.4677284933790283E-2</v>
      </c>
      <c r="I35" s="39"/>
      <c r="J35" s="39">
        <v>351</v>
      </c>
      <c r="K35" s="39"/>
      <c r="P35" s="78">
        <v>0.93</v>
      </c>
      <c r="Q35" s="78">
        <f t="shared" si="3"/>
        <v>277.33530000000002</v>
      </c>
      <c r="R35" s="78"/>
    </row>
    <row r="36" spans="1:18" x14ac:dyDescent="0.25">
      <c r="A36">
        <v>10</v>
      </c>
      <c r="B36" s="161">
        <v>43221</v>
      </c>
      <c r="C36" s="10">
        <v>50</v>
      </c>
      <c r="D36" s="39">
        <v>258.07900000000001</v>
      </c>
      <c r="E36" s="39">
        <v>264.98</v>
      </c>
      <c r="F36" s="39">
        <f t="shared" si="7"/>
        <v>345.05000000000052</v>
      </c>
      <c r="G36" s="39">
        <f t="shared" si="8"/>
        <v>12903.95</v>
      </c>
      <c r="H36" s="175">
        <f t="shared" si="9"/>
        <v>2.6739874224559187E-2</v>
      </c>
      <c r="I36" s="39"/>
      <c r="J36" s="39">
        <v>505.87</v>
      </c>
      <c r="K36" s="39"/>
      <c r="P36" s="78">
        <v>0.92</v>
      </c>
      <c r="Q36" s="78">
        <f t="shared" si="3"/>
        <v>274.35320000000002</v>
      </c>
    </row>
    <row r="37" spans="1:18" x14ac:dyDescent="0.25">
      <c r="A37">
        <v>25</v>
      </c>
      <c r="B37" s="161">
        <v>43223</v>
      </c>
      <c r="C37" s="10">
        <v>60</v>
      </c>
      <c r="D37" s="39">
        <v>258.32900000000001</v>
      </c>
      <c r="E37" s="39">
        <v>262.62</v>
      </c>
      <c r="F37" s="39">
        <f t="shared" si="7"/>
        <v>257.45999999999981</v>
      </c>
      <c r="G37" s="39">
        <f t="shared" si="8"/>
        <v>15499.74</v>
      </c>
      <c r="H37" s="175">
        <f t="shared" si="9"/>
        <v>1.6610601210084803E-2</v>
      </c>
      <c r="I37" s="39"/>
      <c r="J37" s="39">
        <v>418</v>
      </c>
      <c r="K37" s="39"/>
      <c r="P37" s="78">
        <v>0.91</v>
      </c>
      <c r="Q37" s="78">
        <f t="shared" si="3"/>
        <v>271.37110000000001</v>
      </c>
    </row>
    <row r="38" spans="1:18" x14ac:dyDescent="0.25">
      <c r="A38">
        <v>30</v>
      </c>
      <c r="B38" s="161">
        <v>43227</v>
      </c>
      <c r="C38" s="10">
        <v>50</v>
      </c>
      <c r="D38" s="39">
        <v>256.39999999999998</v>
      </c>
      <c r="E38" s="39">
        <v>266.92</v>
      </c>
      <c r="F38" s="39">
        <f>C38*(E38-D38)</f>
        <v>526.00000000000193</v>
      </c>
      <c r="G38" s="39">
        <f>D38*C38</f>
        <v>12819.999999999998</v>
      </c>
      <c r="H38" s="175">
        <f>(E38-D38)/D38</f>
        <v>4.1029641185647579E-2</v>
      </c>
      <c r="I38" s="39"/>
      <c r="J38" s="39">
        <v>687</v>
      </c>
      <c r="K38" s="39"/>
      <c r="P38" s="78">
        <v>0.9</v>
      </c>
      <c r="Q38" s="78">
        <f t="shared" si="3"/>
        <v>268.38900000000001</v>
      </c>
    </row>
    <row r="39" spans="1:18" x14ac:dyDescent="0.25">
      <c r="B39" s="161">
        <v>43236</v>
      </c>
      <c r="C39" s="10">
        <v>50</v>
      </c>
      <c r="D39" s="39">
        <v>256.39999999999998</v>
      </c>
      <c r="E39" s="39">
        <v>272.24</v>
      </c>
      <c r="F39" s="39">
        <f>C39*(E39-D39)</f>
        <v>792.00000000000159</v>
      </c>
      <c r="G39" s="39">
        <f>D39*C39</f>
        <v>12819.999999999998</v>
      </c>
      <c r="H39" s="175">
        <f>(E39-D39)/D39</f>
        <v>6.1778471138845686E-2</v>
      </c>
      <c r="I39" s="39"/>
      <c r="J39" s="39">
        <v>953</v>
      </c>
      <c r="K39" s="39"/>
      <c r="O39" s="11"/>
    </row>
    <row r="40" spans="1:18" x14ac:dyDescent="0.25">
      <c r="A40">
        <v>35</v>
      </c>
      <c r="B40" s="161">
        <v>43271</v>
      </c>
      <c r="C40" s="10">
        <v>35</v>
      </c>
      <c r="D40" s="39">
        <v>247.96199999999999</v>
      </c>
      <c r="E40" s="39">
        <v>275.97000000000003</v>
      </c>
      <c r="F40" s="39">
        <f>C40*(E40-D40)</f>
        <v>980.28000000000134</v>
      </c>
      <c r="G40" s="39">
        <f>D40*C40</f>
        <v>8678.67</v>
      </c>
      <c r="H40" s="175">
        <f>(E40-D40)/D40</f>
        <v>0.11295279115348335</v>
      </c>
      <c r="I40" s="39"/>
      <c r="J40" s="39">
        <v>1141</v>
      </c>
      <c r="K40" s="39"/>
      <c r="O40" s="2"/>
    </row>
    <row r="41" spans="1:18" x14ac:dyDescent="0.25">
      <c r="B41" s="161">
        <v>43286</v>
      </c>
      <c r="C41" s="10">
        <v>20</v>
      </c>
      <c r="D41" s="39">
        <v>229.05</v>
      </c>
      <c r="E41" s="39">
        <v>273.11</v>
      </c>
      <c r="F41" s="39">
        <f>C41*(E41-D41)</f>
        <v>881.2</v>
      </c>
      <c r="G41" s="39">
        <f>D41*C41</f>
        <v>4581</v>
      </c>
      <c r="H41" s="175">
        <f>(E41-D41)/D41</f>
        <v>0.192359746780179</v>
      </c>
      <c r="I41" s="39"/>
      <c r="J41" s="39">
        <v>1042</v>
      </c>
      <c r="K41" s="39"/>
      <c r="O41" s="2"/>
    </row>
    <row r="42" spans="1:18" x14ac:dyDescent="0.25">
      <c r="B42" s="161">
        <v>43286</v>
      </c>
      <c r="C42" s="10">
        <v>0</v>
      </c>
      <c r="D42" s="39"/>
      <c r="E42" s="39"/>
      <c r="F42" s="39">
        <v>873.71</v>
      </c>
      <c r="G42" s="39"/>
      <c r="H42" s="175"/>
      <c r="I42" s="39"/>
      <c r="J42" s="39">
        <v>1034.54</v>
      </c>
      <c r="K42" s="39"/>
      <c r="O42" s="2"/>
    </row>
    <row r="43" spans="1:18" x14ac:dyDescent="0.25">
      <c r="B43" s="161">
        <v>43312</v>
      </c>
      <c r="C43" s="10">
        <v>0</v>
      </c>
      <c r="D43" s="39"/>
      <c r="E43" s="39"/>
      <c r="F43" s="39">
        <v>935.99</v>
      </c>
      <c r="G43" s="39"/>
      <c r="H43" s="175"/>
      <c r="I43" s="39"/>
      <c r="J43" s="39">
        <v>1096.82</v>
      </c>
      <c r="K43" s="39" t="s">
        <v>182</v>
      </c>
      <c r="O43" s="2"/>
    </row>
    <row r="44" spans="1:18" x14ac:dyDescent="0.25">
      <c r="A44">
        <v>0</v>
      </c>
      <c r="B44" s="161">
        <v>43441</v>
      </c>
      <c r="C44" s="10">
        <v>20</v>
      </c>
      <c r="D44" s="39">
        <v>216.7</v>
      </c>
      <c r="E44" s="39">
        <v>263.57</v>
      </c>
      <c r="F44" s="39">
        <f>C44*(E44-D44)</f>
        <v>937.40000000000009</v>
      </c>
      <c r="G44" s="39">
        <f>D44*C44</f>
        <v>4334</v>
      </c>
      <c r="H44" s="175">
        <f>(E44-D44)/D44</f>
        <v>0.21628980156898941</v>
      </c>
      <c r="I44" s="39"/>
      <c r="J44" s="39">
        <v>1098.22</v>
      </c>
      <c r="K44" s="39"/>
      <c r="O44" s="2"/>
    </row>
    <row r="45" spans="1:18" x14ac:dyDescent="0.25">
      <c r="A45">
        <v>0</v>
      </c>
      <c r="B45" s="161">
        <v>43496</v>
      </c>
      <c r="C45" s="10">
        <v>0</v>
      </c>
      <c r="D45" s="39">
        <v>215.26900000000001</v>
      </c>
      <c r="E45" s="39">
        <v>270.27999999999997</v>
      </c>
      <c r="F45" s="39"/>
      <c r="G45" s="39"/>
      <c r="H45" s="175"/>
      <c r="I45" s="39"/>
      <c r="J45" s="760">
        <v>1261.06</v>
      </c>
      <c r="K45" s="39" t="s">
        <v>182</v>
      </c>
      <c r="O45" s="2"/>
    </row>
    <row r="46" spans="1:18" x14ac:dyDescent="0.25">
      <c r="B46" s="161"/>
      <c r="C46" s="10"/>
      <c r="D46" s="39"/>
      <c r="E46" s="39"/>
      <c r="F46" s="39"/>
      <c r="G46" s="39"/>
      <c r="H46" s="175"/>
      <c r="I46" s="39"/>
      <c r="J46" s="39"/>
      <c r="K46" s="39"/>
      <c r="O46" s="2"/>
    </row>
    <row r="47" spans="1:18" x14ac:dyDescent="0.25">
      <c r="B47" s="161"/>
      <c r="C47" s="10"/>
      <c r="D47" s="39"/>
      <c r="E47" s="39"/>
      <c r="F47" s="39"/>
      <c r="G47" s="39"/>
      <c r="H47" s="175"/>
      <c r="I47" s="39"/>
      <c r="J47" s="39"/>
      <c r="K47" s="39"/>
      <c r="O47" s="2"/>
    </row>
    <row r="48" spans="1:18" x14ac:dyDescent="0.25">
      <c r="O48" s="2"/>
    </row>
    <row r="49" spans="1:15" x14ac:dyDescent="0.25">
      <c r="L49" t="s">
        <v>201</v>
      </c>
      <c r="M49" s="2">
        <f>M67+K67-F67</f>
        <v>160.82999999999993</v>
      </c>
      <c r="O49" s="2"/>
    </row>
    <row r="50" spans="1:15" x14ac:dyDescent="0.25">
      <c r="A50" s="195" t="s">
        <v>1</v>
      </c>
      <c r="B50" s="195" t="s">
        <v>2</v>
      </c>
      <c r="C50" s="195" t="s">
        <v>4</v>
      </c>
      <c r="D50" s="196" t="s">
        <v>5</v>
      </c>
      <c r="E50" s="196" t="s">
        <v>90</v>
      </c>
      <c r="F50" s="196" t="s">
        <v>60</v>
      </c>
      <c r="G50" s="195" t="s">
        <v>3</v>
      </c>
      <c r="H50" s="195" t="s">
        <v>6</v>
      </c>
      <c r="I50" s="196" t="s">
        <v>7</v>
      </c>
      <c r="J50" s="196" t="s">
        <v>89</v>
      </c>
      <c r="K50" s="196" t="s">
        <v>61</v>
      </c>
      <c r="L50" s="195" t="s">
        <v>77</v>
      </c>
      <c r="M50" s="195" t="s">
        <v>38</v>
      </c>
      <c r="O50" s="2"/>
    </row>
    <row r="51" spans="1:15" x14ac:dyDescent="0.25">
      <c r="A51" s="197" t="s">
        <v>172</v>
      </c>
      <c r="B51" s="198">
        <v>42377</v>
      </c>
      <c r="C51" s="193">
        <v>20</v>
      </c>
      <c r="D51" s="194">
        <v>192.9</v>
      </c>
      <c r="E51" s="194">
        <v>0</v>
      </c>
      <c r="F51" s="194">
        <f>C51*D51+E51</f>
        <v>3858</v>
      </c>
      <c r="G51" s="198">
        <v>42398</v>
      </c>
      <c r="H51" s="199">
        <v>20</v>
      </c>
      <c r="I51" s="194">
        <v>192.22</v>
      </c>
      <c r="J51" s="194">
        <v>7.0000000000000007E-2</v>
      </c>
      <c r="K51" s="194">
        <f>H51*I51-J51</f>
        <v>3844.33</v>
      </c>
      <c r="L51" s="198"/>
      <c r="M51" s="194"/>
      <c r="O51" s="2"/>
    </row>
    <row r="52" spans="1:15" x14ac:dyDescent="0.25">
      <c r="A52" s="200" t="s">
        <v>71</v>
      </c>
      <c r="B52" s="198">
        <v>42384</v>
      </c>
      <c r="C52" s="193">
        <v>5</v>
      </c>
      <c r="D52" s="194">
        <v>186.79</v>
      </c>
      <c r="E52" s="194">
        <v>0</v>
      </c>
      <c r="F52" s="194">
        <f>C52*D52+E52</f>
        <v>933.94999999999993</v>
      </c>
      <c r="G52" s="198">
        <v>42416</v>
      </c>
      <c r="H52" s="199">
        <v>10</v>
      </c>
      <c r="I52" s="194">
        <v>189.25</v>
      </c>
      <c r="J52" s="194">
        <v>0.04</v>
      </c>
      <c r="K52" s="194">
        <f>H52*I52-J52</f>
        <v>1892.46</v>
      </c>
      <c r="L52" s="193"/>
      <c r="M52" s="193"/>
      <c r="O52" s="2"/>
    </row>
    <row r="53" spans="1:15" x14ac:dyDescent="0.25">
      <c r="A53" s="193"/>
      <c r="B53" s="198">
        <v>42405</v>
      </c>
      <c r="C53" s="193">
        <v>15</v>
      </c>
      <c r="D53" s="194">
        <v>187.8</v>
      </c>
      <c r="E53" s="194">
        <v>0</v>
      </c>
      <c r="F53" s="194">
        <f>C53*D53+E53</f>
        <v>2817</v>
      </c>
      <c r="G53" s="198">
        <v>42424</v>
      </c>
      <c r="H53" s="199">
        <v>10</v>
      </c>
      <c r="I53" s="194">
        <v>194.3</v>
      </c>
      <c r="J53" s="194">
        <v>0.04</v>
      </c>
      <c r="K53" s="194">
        <f>H53*I53-J53</f>
        <v>1942.96</v>
      </c>
      <c r="L53" s="193"/>
      <c r="M53" s="193"/>
      <c r="O53" s="2"/>
    </row>
    <row r="54" spans="1:15" x14ac:dyDescent="0.25">
      <c r="A54" s="193"/>
      <c r="B54" s="198">
        <v>42408</v>
      </c>
      <c r="C54" s="193">
        <v>5</v>
      </c>
      <c r="D54" s="194">
        <v>183.55</v>
      </c>
      <c r="E54" s="194">
        <v>0</v>
      </c>
      <c r="F54" s="194">
        <f>C54*D54+E54</f>
        <v>917.75</v>
      </c>
      <c r="G54" s="198">
        <v>42440</v>
      </c>
      <c r="H54" s="199">
        <v>5</v>
      </c>
      <c r="I54" s="194">
        <v>201.56</v>
      </c>
      <c r="J54" s="194">
        <v>0.02</v>
      </c>
      <c r="K54" s="194">
        <f>H54*I54-J54</f>
        <v>1007.78</v>
      </c>
      <c r="L54" s="193"/>
      <c r="M54" s="193"/>
      <c r="O54" s="2"/>
    </row>
    <row r="55" spans="1:15" x14ac:dyDescent="0.25">
      <c r="A55" s="193"/>
      <c r="B55" s="193"/>
      <c r="C55" s="193"/>
      <c r="D55" s="194"/>
      <c r="E55" s="194"/>
      <c r="F55" s="194"/>
      <c r="G55" s="193"/>
      <c r="H55" s="199"/>
      <c r="I55" s="194"/>
      <c r="J55" s="194"/>
      <c r="K55" s="194"/>
      <c r="L55" s="193"/>
      <c r="M55" s="193"/>
      <c r="O55" s="2"/>
    </row>
    <row r="56" spans="1:15" x14ac:dyDescent="0.25">
      <c r="A56" s="193"/>
      <c r="B56" s="193"/>
      <c r="C56" s="193"/>
      <c r="D56" s="194"/>
      <c r="E56" s="194"/>
      <c r="F56" s="194"/>
      <c r="G56" s="193"/>
      <c r="H56" s="193"/>
      <c r="I56" s="194"/>
      <c r="J56" s="194"/>
      <c r="K56" s="194"/>
      <c r="L56" s="193"/>
      <c r="M56" s="193"/>
      <c r="O56" s="2"/>
    </row>
    <row r="57" spans="1:15" x14ac:dyDescent="0.25">
      <c r="A57" s="193"/>
      <c r="B57" s="193"/>
      <c r="C57" s="193"/>
      <c r="D57" s="194"/>
      <c r="E57" s="194"/>
      <c r="F57" s="194"/>
      <c r="G57" s="193"/>
      <c r="H57" s="193"/>
      <c r="I57" s="194"/>
      <c r="J57" s="194"/>
      <c r="K57" s="194"/>
      <c r="L57" s="193"/>
      <c r="M57" s="193"/>
      <c r="O57" s="2"/>
    </row>
    <row r="58" spans="1:15" x14ac:dyDescent="0.25">
      <c r="A58" s="193"/>
      <c r="B58" s="193"/>
      <c r="C58" s="193"/>
      <c r="D58" s="194"/>
      <c r="E58" s="194"/>
      <c r="F58" s="194"/>
      <c r="G58" s="193"/>
      <c r="H58" s="193"/>
      <c r="I58" s="194"/>
      <c r="J58" s="194"/>
      <c r="K58" s="194"/>
      <c r="L58" s="193"/>
      <c r="M58" s="193"/>
      <c r="O58" s="2"/>
    </row>
    <row r="59" spans="1:15" x14ac:dyDescent="0.25">
      <c r="A59" s="193"/>
      <c r="B59" s="193"/>
      <c r="C59" s="193"/>
      <c r="D59" s="194"/>
      <c r="E59" s="194"/>
      <c r="F59" s="194"/>
      <c r="G59" s="193"/>
      <c r="H59" s="193"/>
      <c r="I59" s="194"/>
      <c r="J59" s="194"/>
      <c r="K59" s="194"/>
      <c r="L59" s="193"/>
      <c r="M59" s="193"/>
      <c r="O59" s="2"/>
    </row>
    <row r="60" spans="1:15" x14ac:dyDescent="0.25">
      <c r="A60" s="193"/>
      <c r="B60" s="193"/>
      <c r="C60" s="193"/>
      <c r="D60" s="194"/>
      <c r="E60" s="194"/>
      <c r="F60" s="194"/>
      <c r="G60" s="193"/>
      <c r="H60" s="193"/>
      <c r="I60" s="194"/>
      <c r="J60" s="194"/>
      <c r="K60" s="194"/>
      <c r="L60" s="193"/>
      <c r="M60" s="193"/>
      <c r="O60" s="2"/>
    </row>
    <row r="61" spans="1:15" x14ac:dyDescent="0.25">
      <c r="A61" s="193"/>
      <c r="B61" s="193"/>
      <c r="C61" s="193"/>
      <c r="D61" s="194"/>
      <c r="E61" s="194"/>
      <c r="F61" s="194"/>
      <c r="G61" s="193"/>
      <c r="H61" s="193"/>
      <c r="I61" s="194"/>
      <c r="J61" s="194"/>
      <c r="K61" s="194"/>
      <c r="L61" s="193"/>
      <c r="M61" s="193"/>
    </row>
    <row r="62" spans="1:15" x14ac:dyDescent="0.25">
      <c r="A62" s="193"/>
      <c r="B62" s="193"/>
      <c r="C62" s="193"/>
      <c r="D62" s="194"/>
      <c r="E62" s="194"/>
      <c r="F62" s="194"/>
      <c r="G62" s="193"/>
      <c r="H62" s="193"/>
      <c r="I62" s="194"/>
      <c r="J62" s="194"/>
      <c r="K62" s="194"/>
      <c r="L62" s="193"/>
      <c r="M62" s="193"/>
    </row>
    <row r="63" spans="1:15" x14ac:dyDescent="0.25">
      <c r="A63" s="193"/>
      <c r="B63" s="193"/>
      <c r="C63" s="193"/>
      <c r="D63" s="194"/>
      <c r="E63" s="194"/>
      <c r="F63" s="194"/>
      <c r="G63" s="193"/>
      <c r="H63" s="193"/>
      <c r="I63" s="194"/>
      <c r="J63" s="194"/>
      <c r="K63" s="194"/>
      <c r="L63" s="193"/>
      <c r="M63" s="193"/>
    </row>
    <row r="64" spans="1:15" x14ac:dyDescent="0.25">
      <c r="A64" s="193"/>
      <c r="B64" s="193"/>
      <c r="C64" s="193"/>
      <c r="D64" s="194"/>
      <c r="E64" s="194"/>
      <c r="F64" s="194"/>
      <c r="G64" s="193"/>
      <c r="H64" s="193"/>
      <c r="I64" s="194"/>
      <c r="J64" s="194"/>
      <c r="K64" s="194"/>
      <c r="L64" s="193"/>
      <c r="M64" s="193"/>
    </row>
    <row r="65" spans="1:13" x14ac:dyDescent="0.25">
      <c r="A65" s="193"/>
      <c r="B65" s="193"/>
      <c r="C65" s="193"/>
      <c r="D65" s="194"/>
      <c r="E65" s="194"/>
      <c r="F65" s="194"/>
      <c r="G65" s="193"/>
      <c r="H65" s="193"/>
      <c r="I65" s="194"/>
      <c r="J65" s="194"/>
      <c r="K65" s="194"/>
      <c r="L65" s="193"/>
      <c r="M65" s="193"/>
    </row>
    <row r="66" spans="1:13" x14ac:dyDescent="0.25">
      <c r="A66" s="193"/>
      <c r="B66" s="193"/>
      <c r="C66" s="193"/>
      <c r="D66" s="194"/>
      <c r="E66" s="194"/>
      <c r="F66" s="194"/>
      <c r="G66" s="193"/>
      <c r="H66" s="193"/>
      <c r="I66" s="194"/>
      <c r="J66" s="194"/>
      <c r="K66" s="194"/>
      <c r="L66" s="193"/>
      <c r="M66" s="193"/>
    </row>
    <row r="67" spans="1:13" x14ac:dyDescent="0.25">
      <c r="A67" s="31" t="s">
        <v>81</v>
      </c>
      <c r="B67" s="14"/>
      <c r="C67" s="14">
        <f>SUM(C51:C55)</f>
        <v>45</v>
      </c>
      <c r="D67" s="14"/>
      <c r="E67" s="14"/>
      <c r="F67" s="18">
        <f>SUM(F51:F55)</f>
        <v>8526.7000000000007</v>
      </c>
      <c r="G67" s="18"/>
      <c r="H67" s="68">
        <f>SUM(H51:H55)</f>
        <v>45</v>
      </c>
      <c r="I67" s="18"/>
      <c r="J67" s="18"/>
      <c r="K67" s="18">
        <f>SUM(K51:K55)</f>
        <v>8687.5300000000007</v>
      </c>
      <c r="L67" s="18"/>
      <c r="M67" s="18">
        <f>SUM(M51:M55)</f>
        <v>0</v>
      </c>
    </row>
    <row r="69" spans="1:13" x14ac:dyDescent="0.25">
      <c r="B69" s="683" t="s">
        <v>113</v>
      </c>
      <c r="C69" s="683" t="s">
        <v>143</v>
      </c>
      <c r="D69" s="684" t="s">
        <v>142</v>
      </c>
      <c r="E69" s="685" t="s">
        <v>144</v>
      </c>
      <c r="F69" s="685" t="s">
        <v>65</v>
      </c>
      <c r="G69" s="686" t="s">
        <v>148</v>
      </c>
      <c r="H69" s="686" t="s">
        <v>88</v>
      </c>
      <c r="I69" s="686" t="s">
        <v>151</v>
      </c>
    </row>
    <row r="70" spans="1:13" x14ac:dyDescent="0.25">
      <c r="B70" s="548">
        <v>42377</v>
      </c>
      <c r="C70" s="547">
        <v>20</v>
      </c>
      <c r="D70" s="549">
        <v>192.9</v>
      </c>
      <c r="E70" s="549">
        <v>191.92</v>
      </c>
      <c r="F70" s="549">
        <f>C70*(E70-D70)</f>
        <v>-19.600000000000364</v>
      </c>
      <c r="G70" s="549">
        <f>D70*C70</f>
        <v>3858</v>
      </c>
      <c r="H70" s="550">
        <f>(E70-D70)/D70</f>
        <v>-5.0803525142561852E-3</v>
      </c>
      <c r="I70" s="549"/>
    </row>
    <row r="71" spans="1:13" x14ac:dyDescent="0.25">
      <c r="B71" s="548">
        <v>42384</v>
      </c>
      <c r="C71" s="547">
        <v>25</v>
      </c>
      <c r="D71" s="549">
        <v>191.678</v>
      </c>
      <c r="E71" s="549">
        <v>187.81</v>
      </c>
      <c r="F71" s="549">
        <f t="shared" ref="F71:F77" si="10">C71*(E71-D71)</f>
        <v>-96.699999999999875</v>
      </c>
      <c r="G71" s="549">
        <f t="shared" ref="G71:G77" si="11">D71*C71</f>
        <v>4791.95</v>
      </c>
      <c r="H71" s="550">
        <f t="shared" ref="H71:H77" si="12">(E71-D71)/D71</f>
        <v>-2.0179676332182071E-2</v>
      </c>
      <c r="I71" s="549"/>
    </row>
    <row r="72" spans="1:13" x14ac:dyDescent="0.25">
      <c r="B72" s="548">
        <v>42398</v>
      </c>
      <c r="C72" s="547">
        <v>5</v>
      </c>
      <c r="D72" s="549">
        <v>189.52</v>
      </c>
      <c r="E72" s="549">
        <v>191.87</v>
      </c>
      <c r="F72" s="549">
        <f t="shared" si="10"/>
        <v>11.749999999999972</v>
      </c>
      <c r="G72" s="549">
        <f t="shared" si="11"/>
        <v>947.6</v>
      </c>
      <c r="H72" s="550">
        <f t="shared" si="12"/>
        <v>1.2399746728577429E-2</v>
      </c>
      <c r="I72" s="549"/>
    </row>
    <row r="73" spans="1:13" x14ac:dyDescent="0.25">
      <c r="B73" s="548">
        <v>42405</v>
      </c>
      <c r="C73" s="547">
        <v>20</v>
      </c>
      <c r="D73" s="549">
        <v>188.23099999999999</v>
      </c>
      <c r="E73" s="549">
        <v>187.8</v>
      </c>
      <c r="F73" s="549">
        <f t="shared" si="10"/>
        <v>-8.6199999999996635</v>
      </c>
      <c r="G73" s="549">
        <f t="shared" si="11"/>
        <v>3764.62</v>
      </c>
      <c r="H73" s="550">
        <f t="shared" si="12"/>
        <v>-2.2897397346876083E-3</v>
      </c>
      <c r="I73" s="549"/>
    </row>
    <row r="74" spans="1:13" x14ac:dyDescent="0.25">
      <c r="B74" s="548">
        <v>42408</v>
      </c>
      <c r="C74" s="547">
        <v>25</v>
      </c>
      <c r="D74" s="549">
        <v>187.29480000000001</v>
      </c>
      <c r="E74" s="549">
        <v>185.42</v>
      </c>
      <c r="F74" s="549">
        <f t="shared" si="10"/>
        <v>-46.870000000000545</v>
      </c>
      <c r="G74" s="549">
        <f t="shared" si="11"/>
        <v>4682.37</v>
      </c>
      <c r="H74" s="550">
        <f t="shared" si="12"/>
        <v>-1.0009888154930204E-2</v>
      </c>
      <c r="I74" s="549"/>
    </row>
    <row r="75" spans="1:13" x14ac:dyDescent="0.25">
      <c r="B75" s="548">
        <v>42416</v>
      </c>
      <c r="C75" s="547">
        <v>15</v>
      </c>
      <c r="D75" s="549">
        <v>185.994</v>
      </c>
      <c r="E75" s="549">
        <v>189.78</v>
      </c>
      <c r="F75" s="549">
        <f t="shared" si="10"/>
        <v>56.79000000000002</v>
      </c>
      <c r="G75" s="549">
        <f t="shared" si="11"/>
        <v>2789.91</v>
      </c>
      <c r="H75" s="550">
        <f t="shared" si="12"/>
        <v>2.0355495338559317E-2</v>
      </c>
      <c r="I75" s="549"/>
    </row>
    <row r="76" spans="1:13" x14ac:dyDescent="0.25">
      <c r="B76" s="548">
        <v>42424</v>
      </c>
      <c r="C76" s="547">
        <v>5</v>
      </c>
      <c r="D76" s="549">
        <v>169.39</v>
      </c>
      <c r="E76" s="549">
        <v>193.2</v>
      </c>
      <c r="F76" s="549">
        <f t="shared" si="10"/>
        <v>119.05000000000001</v>
      </c>
      <c r="G76" s="549">
        <f t="shared" si="11"/>
        <v>846.94999999999993</v>
      </c>
      <c r="H76" s="550">
        <f t="shared" si="12"/>
        <v>0.1405631973552158</v>
      </c>
      <c r="I76" s="549"/>
    </row>
    <row r="77" spans="1:13" x14ac:dyDescent="0.25">
      <c r="B77" s="548">
        <v>42431</v>
      </c>
      <c r="C77" s="547">
        <v>5</v>
      </c>
      <c r="D77" s="549">
        <v>169.39</v>
      </c>
      <c r="E77" s="549">
        <v>199</v>
      </c>
      <c r="F77" s="549">
        <f t="shared" si="10"/>
        <v>148.05000000000007</v>
      </c>
      <c r="G77" s="549">
        <f t="shared" si="11"/>
        <v>846.94999999999993</v>
      </c>
      <c r="H77" s="550">
        <f t="shared" si="12"/>
        <v>0.17480370742074511</v>
      </c>
      <c r="I77" s="549"/>
    </row>
    <row r="78" spans="1:13" x14ac:dyDescent="0.25">
      <c r="B78" s="548">
        <v>42440</v>
      </c>
      <c r="C78" s="547">
        <v>0</v>
      </c>
      <c r="D78" s="549"/>
      <c r="E78" s="549"/>
      <c r="F78" s="549">
        <v>160.83000000000001</v>
      </c>
      <c r="G78" s="549"/>
      <c r="H78" s="550"/>
      <c r="I78" s="549"/>
    </row>
    <row r="79" spans="1:13" x14ac:dyDescent="0.25">
      <c r="B79" s="548"/>
      <c r="C79" s="547"/>
      <c r="D79" s="549"/>
      <c r="E79" s="549"/>
      <c r="F79" s="549"/>
      <c r="G79" s="549"/>
      <c r="H79" s="550"/>
      <c r="I79" s="549"/>
    </row>
    <row r="80" spans="1:13" x14ac:dyDescent="0.25">
      <c r="B80" s="548"/>
      <c r="C80" s="547"/>
      <c r="D80" s="549"/>
      <c r="E80" s="549"/>
      <c r="F80" s="549"/>
      <c r="G80" s="549"/>
      <c r="H80" s="550"/>
      <c r="I80" s="549"/>
    </row>
    <row r="81" spans="2:9" x14ac:dyDescent="0.25">
      <c r="B81" s="548"/>
      <c r="C81" s="547"/>
      <c r="D81" s="549"/>
      <c r="E81" s="549"/>
      <c r="F81" s="549"/>
      <c r="G81" s="549"/>
      <c r="H81" s="550"/>
      <c r="I81" s="549"/>
    </row>
    <row r="82" spans="2:9" x14ac:dyDescent="0.25">
      <c r="B82" s="548"/>
      <c r="C82" s="547"/>
      <c r="D82" s="549"/>
      <c r="E82" s="549"/>
      <c r="F82" s="549"/>
      <c r="G82" s="549"/>
      <c r="H82" s="550"/>
      <c r="I82" s="549"/>
    </row>
    <row r="83" spans="2:9" x14ac:dyDescent="0.25">
      <c r="B83" s="548"/>
      <c r="C83" s="547"/>
      <c r="D83" s="549"/>
      <c r="E83" s="549"/>
      <c r="F83" s="549"/>
      <c r="G83" s="549"/>
      <c r="H83" s="550"/>
      <c r="I83" s="549"/>
    </row>
    <row r="84" spans="2:9" x14ac:dyDescent="0.25">
      <c r="B84" s="548"/>
      <c r="C84" s="547"/>
      <c r="D84" s="549"/>
      <c r="E84" s="549"/>
      <c r="F84" s="549"/>
      <c r="G84" s="549"/>
      <c r="H84" s="550"/>
      <c r="I84" s="549"/>
    </row>
  </sheetData>
  <mergeCells count="1">
    <mergeCell ref="P17:Q17"/>
  </mergeCells>
  <conditionalFormatting sqref="F26:F34 H26:H34 J28:J39 H46:H48 F46:F48 J42:J43 J46:J47">
    <cfRule type="expression" dxfId="875" priority="51">
      <formula>F26&gt;0</formula>
    </cfRule>
    <cfRule type="expression" dxfId="874" priority="52">
      <formula>F26&lt;0</formula>
    </cfRule>
  </conditionalFormatting>
  <conditionalFormatting sqref="P18:P38">
    <cfRule type="colorScale" priority="53">
      <colorScale>
        <cfvo type="min"/>
        <cfvo type="percentile" val="50"/>
        <cfvo type="max"/>
        <color rgb="FFF8696B"/>
        <color rgb="FFFFEB84"/>
        <color rgb="FF63BE7B"/>
      </colorScale>
    </cfRule>
  </conditionalFormatting>
  <conditionalFormatting sqref="Q18:Q38">
    <cfRule type="colorScale" priority="50">
      <colorScale>
        <cfvo type="min"/>
        <cfvo type="percentile" val="50"/>
        <cfvo type="max"/>
        <color rgb="FFF8696B"/>
        <color rgb="FFFFEB84"/>
        <color rgb="FF63BE7B"/>
      </colorScale>
    </cfRule>
  </conditionalFormatting>
  <conditionalFormatting sqref="R18:R35">
    <cfRule type="colorScale" priority="49">
      <colorScale>
        <cfvo type="min"/>
        <cfvo type="percentile" val="50"/>
        <cfvo type="max"/>
        <color rgb="FFF8696B"/>
        <color rgb="FFFFEB84"/>
        <color rgb="FF63BE7B"/>
      </colorScale>
    </cfRule>
  </conditionalFormatting>
  <conditionalFormatting sqref="F22:F25">
    <cfRule type="expression" dxfId="873" priority="39">
      <formula>F22&gt;0</formula>
    </cfRule>
    <cfRule type="expression" dxfId="872" priority="40">
      <formula>F22&lt;0</formula>
    </cfRule>
  </conditionalFormatting>
  <conditionalFormatting sqref="H22:H25">
    <cfRule type="expression" dxfId="871" priority="37">
      <formula>H22&gt;0</formula>
    </cfRule>
    <cfRule type="expression" dxfId="870" priority="38">
      <formula>H22&lt;0</formula>
    </cfRule>
  </conditionalFormatting>
  <conditionalFormatting sqref="Q8">
    <cfRule type="expression" dxfId="869" priority="33">
      <formula>Q8&gt;0</formula>
    </cfRule>
    <cfRule type="expression" dxfId="868" priority="34">
      <formula>Q8&lt;0</formula>
    </cfRule>
  </conditionalFormatting>
  <conditionalFormatting sqref="Q7">
    <cfRule type="expression" dxfId="867" priority="35">
      <formula>Q7&gt;0</formula>
    </cfRule>
    <cfRule type="expression" dxfId="866" priority="36">
      <formula>Q7&lt;0</formula>
    </cfRule>
  </conditionalFormatting>
  <conditionalFormatting sqref="F74:F76">
    <cfRule type="expression" dxfId="865" priority="31">
      <formula>F74&gt;0</formula>
    </cfRule>
    <cfRule type="expression" dxfId="864" priority="32">
      <formula>F74&lt;0</formula>
    </cfRule>
  </conditionalFormatting>
  <conditionalFormatting sqref="F77:F84">
    <cfRule type="expression" dxfId="863" priority="27">
      <formula>F77&gt;0</formula>
    </cfRule>
    <cfRule type="expression" dxfId="862" priority="28">
      <formula>F77&lt;0</formula>
    </cfRule>
  </conditionalFormatting>
  <conditionalFormatting sqref="F77:F84">
    <cfRule type="expression" dxfId="861" priority="29">
      <formula>F77&gt;0</formula>
    </cfRule>
    <cfRule type="expression" dxfId="860" priority="30">
      <formula>F77&lt;0</formula>
    </cfRule>
  </conditionalFormatting>
  <conditionalFormatting sqref="H74:H84">
    <cfRule type="expression" dxfId="859" priority="25">
      <formula>H74&gt;0</formula>
    </cfRule>
    <cfRule type="expression" dxfId="858" priority="26">
      <formula>H74&lt;0</formula>
    </cfRule>
  </conditionalFormatting>
  <conditionalFormatting sqref="F70:F73">
    <cfRule type="expression" dxfId="857" priority="23">
      <formula>F70&gt;0</formula>
    </cfRule>
    <cfRule type="expression" dxfId="856" priority="24">
      <formula>F70&lt;0</formula>
    </cfRule>
  </conditionalFormatting>
  <conditionalFormatting sqref="H70:H73">
    <cfRule type="expression" dxfId="855" priority="21">
      <formula>H70&gt;0</formula>
    </cfRule>
    <cfRule type="expression" dxfId="854" priority="22">
      <formula>H70&lt;0</formula>
    </cfRule>
  </conditionalFormatting>
  <conditionalFormatting sqref="Q10">
    <cfRule type="expression" dxfId="853" priority="19">
      <formula>Q10&gt;0</formula>
    </cfRule>
    <cfRule type="expression" dxfId="852" priority="20">
      <formula>Q10&lt;0</formula>
    </cfRule>
  </conditionalFormatting>
  <conditionalFormatting sqref="H43 F43">
    <cfRule type="expression" dxfId="851" priority="15">
      <formula>F43&gt;0</formula>
    </cfRule>
    <cfRule type="expression" dxfId="850" priority="16">
      <formula>F43&lt;0</formula>
    </cfRule>
  </conditionalFormatting>
  <conditionalFormatting sqref="H37:H39 F37:F39">
    <cfRule type="expression" dxfId="849" priority="13">
      <formula>F37&gt;0</formula>
    </cfRule>
    <cfRule type="expression" dxfId="848" priority="14">
      <formula>F37&lt;0</formula>
    </cfRule>
  </conditionalFormatting>
  <conditionalFormatting sqref="H35:H36 F35:F36">
    <cfRule type="expression" dxfId="847" priority="11">
      <formula>F35&gt;0</formula>
    </cfRule>
    <cfRule type="expression" dxfId="846" priority="12">
      <formula>F35&lt;0</formula>
    </cfRule>
  </conditionalFormatting>
  <conditionalFormatting sqref="H41:H42 F41:F42 J40:J41">
    <cfRule type="expression" dxfId="845" priority="9">
      <formula>F40&gt;0</formula>
    </cfRule>
    <cfRule type="expression" dxfId="844" priority="10">
      <formula>F40&lt;0</formula>
    </cfRule>
  </conditionalFormatting>
  <conditionalFormatting sqref="H40 F40">
    <cfRule type="expression" dxfId="843" priority="7">
      <formula>F40&gt;0</formula>
    </cfRule>
    <cfRule type="expression" dxfId="842" priority="8">
      <formula>F40&lt;0</formula>
    </cfRule>
  </conditionalFormatting>
  <conditionalFormatting sqref="H45 F45 J44:J45">
    <cfRule type="expression" dxfId="841" priority="3">
      <formula>F44&gt;0</formula>
    </cfRule>
    <cfRule type="expression" dxfId="840" priority="4">
      <formula>F44&lt;0</formula>
    </cfRule>
  </conditionalFormatting>
  <conditionalFormatting sqref="H44 F44">
    <cfRule type="expression" dxfId="839" priority="1">
      <formula>F44&gt;0</formula>
    </cfRule>
    <cfRule type="expression" dxfId="838" priority="2">
      <formula>F44&lt;0</formula>
    </cfRule>
  </conditionalFormatting>
  <hyperlinks>
    <hyperlink ref="A3" location="ACTIVE!A1" display="Back"/>
    <hyperlink ref="A52" location="ACTIVE!A1" display="Back"/>
    <hyperlink ref="R13" r:id="rId1"/>
  </hyperlinks>
  <pageMargins left="0.7" right="0.7" top="0.75" bottom="0.75" header="0.3" footer="0.3"/>
  <pageSetup orientation="portrait" horizontalDpi="1200" verticalDpi="1200" r:id="rId2"/>
  <drawing r:id="rId3"/>
</worksheet>
</file>

<file path=xl/worksheets/sheet8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AF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3" max="13" width="9.140625" style="2"/>
    <col min="18" max="18" width="21.28515625" customWidth="1"/>
    <col min="20" max="20" width="18.5703125" style="81" customWidth="1"/>
    <col min="21" max="21" width="34.7109375" customWidth="1"/>
    <col min="24" max="24" width="11.7109375" customWidth="1"/>
    <col min="25" max="25" width="7.7109375" customWidth="1"/>
    <col min="26" max="28" width="6" bestFit="1" customWidth="1"/>
    <col min="29" max="29" width="10.140625" bestFit="1" customWidth="1"/>
    <col min="30" max="30" width="10.28515625" bestFit="1" customWidth="1"/>
    <col min="32" max="32" width="14.140625" customWidth="1"/>
    <col min="36" max="36" width="22.7109375" bestFit="1" customWidth="1"/>
  </cols>
  <sheetData>
    <row r="1" spans="1:32" s="11" customFormat="1" x14ac:dyDescent="0.25">
      <c r="A1" s="11" t="s">
        <v>1</v>
      </c>
      <c r="B1" s="11" t="s">
        <v>2</v>
      </c>
      <c r="C1" s="11" t="s">
        <v>4</v>
      </c>
      <c r="D1" s="20" t="s">
        <v>5</v>
      </c>
      <c r="E1" s="20" t="s">
        <v>94</v>
      </c>
      <c r="F1" s="20" t="s">
        <v>60</v>
      </c>
      <c r="G1" s="11" t="s">
        <v>3</v>
      </c>
      <c r="H1" s="11" t="s">
        <v>6</v>
      </c>
      <c r="I1" s="20" t="s">
        <v>7</v>
      </c>
      <c r="J1" s="20" t="s">
        <v>95</v>
      </c>
      <c r="K1" s="20" t="s">
        <v>61</v>
      </c>
      <c r="L1" s="11" t="s">
        <v>77</v>
      </c>
      <c r="M1" s="20" t="s">
        <v>38</v>
      </c>
      <c r="T1" s="79" t="s">
        <v>93</v>
      </c>
      <c r="X1" s="103" t="s">
        <v>113</v>
      </c>
      <c r="Y1" s="103" t="s">
        <v>114</v>
      </c>
      <c r="Z1" s="103" t="s">
        <v>115</v>
      </c>
      <c r="AA1" s="103" t="s">
        <v>116</v>
      </c>
      <c r="AB1" s="103" t="s">
        <v>117</v>
      </c>
      <c r="AC1" s="103" t="s">
        <v>118</v>
      </c>
      <c r="AD1" s="103" t="s">
        <v>119</v>
      </c>
      <c r="AE1" s="11" t="s">
        <v>125</v>
      </c>
      <c r="AF1" s="11" t="s">
        <v>127</v>
      </c>
    </row>
    <row r="2" spans="1:32" x14ac:dyDescent="0.25">
      <c r="A2" s="6" t="s">
        <v>45</v>
      </c>
      <c r="B2" s="69"/>
      <c r="C2" s="4"/>
      <c r="D2" s="3"/>
      <c r="E2" s="3"/>
      <c r="F2" s="3"/>
      <c r="G2" s="69"/>
      <c r="H2" s="4"/>
      <c r="I2" s="3"/>
      <c r="J2" s="3"/>
      <c r="K2" s="3"/>
      <c r="L2" s="69"/>
      <c r="M2" s="3"/>
      <c r="O2" s="11" t="s">
        <v>57</v>
      </c>
      <c r="Q2">
        <f>C18-H18</f>
        <v>0</v>
      </c>
      <c r="T2" s="80"/>
      <c r="X2" s="105">
        <v>42830</v>
      </c>
      <c r="Y2" s="9">
        <v>81.81</v>
      </c>
      <c r="Z2" s="9">
        <v>82.17</v>
      </c>
      <c r="AA2" s="9">
        <v>81.290000000000006</v>
      </c>
      <c r="AB2" s="9">
        <v>81.42</v>
      </c>
      <c r="AC2" s="99">
        <v>1561200</v>
      </c>
      <c r="AD2" s="9">
        <v>81.42</v>
      </c>
      <c r="AE2" s="2">
        <f>Z2-AA2</f>
        <v>0.87999999999999545</v>
      </c>
      <c r="AF2" s="131">
        <f>AD2/AD3-1</f>
        <v>-2.5725836089671716E-3</v>
      </c>
    </row>
    <row r="3" spans="1:32" x14ac:dyDescent="0.25">
      <c r="A3" s="22" t="s">
        <v>71</v>
      </c>
      <c r="B3" s="69"/>
      <c r="C3" s="4"/>
      <c r="D3" s="3"/>
      <c r="E3" s="3"/>
      <c r="F3" s="3"/>
      <c r="G3" s="69"/>
      <c r="H3" s="4"/>
      <c r="I3" s="3"/>
      <c r="J3" s="3"/>
      <c r="K3" s="3"/>
      <c r="L3" s="69"/>
      <c r="M3" s="3"/>
      <c r="O3" s="11" t="s">
        <v>58</v>
      </c>
      <c r="Q3" s="2">
        <f>IF(Q2=0, Q4, (F18-K18-M18)/Q2)</f>
        <v>108.41</v>
      </c>
      <c r="T3" s="80"/>
      <c r="X3" s="105">
        <v>42829</v>
      </c>
      <c r="Y3" s="9">
        <v>81.47</v>
      </c>
      <c r="Z3" s="9">
        <v>81.8</v>
      </c>
      <c r="AA3" s="9">
        <v>81.400000000000006</v>
      </c>
      <c r="AB3" s="9">
        <v>81.63</v>
      </c>
      <c r="AC3" s="99">
        <v>1672300</v>
      </c>
      <c r="AD3" s="9">
        <v>81.63</v>
      </c>
      <c r="AE3" s="2">
        <f t="shared" ref="AE3:AE66" si="0">Z3-AA3</f>
        <v>0.39999999999999147</v>
      </c>
      <c r="AF3" s="131">
        <f t="shared" ref="AF3:AF66" si="1">AD3/AD4-1</f>
        <v>3.8121003443187806E-3</v>
      </c>
    </row>
    <row r="4" spans="1:32" x14ac:dyDescent="0.25">
      <c r="B4" s="69"/>
      <c r="C4" s="4"/>
      <c r="D4" s="3"/>
      <c r="E4" s="3"/>
      <c r="F4" s="3"/>
      <c r="G4" s="69"/>
      <c r="H4" s="158"/>
      <c r="I4" s="3"/>
      <c r="J4" s="3"/>
      <c r="K4" s="3"/>
      <c r="L4" s="4"/>
      <c r="M4" s="3"/>
      <c r="O4" s="11" t="s">
        <v>66</v>
      </c>
      <c r="Q4" s="53">
        <v>108.41</v>
      </c>
      <c r="R4" s="396">
        <v>7.4000000000000003E-3</v>
      </c>
      <c r="X4" s="105">
        <v>42828</v>
      </c>
      <c r="Y4" s="9">
        <v>81.540000000000006</v>
      </c>
      <c r="Z4" s="9">
        <v>81.75</v>
      </c>
      <c r="AA4" s="9">
        <v>81.08</v>
      </c>
      <c r="AB4" s="9">
        <v>81.319999999999993</v>
      </c>
      <c r="AC4" s="99">
        <v>1790100</v>
      </c>
      <c r="AD4" s="9">
        <v>81.319999999999993</v>
      </c>
      <c r="AE4" s="2">
        <f t="shared" si="0"/>
        <v>0.67000000000000171</v>
      </c>
      <c r="AF4" s="131">
        <f t="shared" si="1"/>
        <v>-2.0861455393299533E-3</v>
      </c>
    </row>
    <row r="5" spans="1:32" x14ac:dyDescent="0.25">
      <c r="B5" s="69"/>
      <c r="C5" s="4"/>
      <c r="D5" s="3"/>
      <c r="E5" s="3"/>
      <c r="F5" s="3"/>
      <c r="G5" s="69"/>
      <c r="H5" s="158"/>
      <c r="I5" s="3"/>
      <c r="J5" s="3"/>
      <c r="K5" s="3"/>
      <c r="L5" s="4"/>
      <c r="M5" s="3"/>
      <c r="O5" s="11" t="s">
        <v>67</v>
      </c>
      <c r="Q5" s="3">
        <f>Q4*Q2</f>
        <v>0</v>
      </c>
      <c r="T5" s="80"/>
      <c r="U5" s="64"/>
      <c r="X5" s="105">
        <v>42825</v>
      </c>
      <c r="Y5" s="9">
        <v>81.45</v>
      </c>
      <c r="Z5" s="9">
        <v>81.790000000000006</v>
      </c>
      <c r="AA5" s="9">
        <v>81.2</v>
      </c>
      <c r="AB5" s="9">
        <v>81.489999999999995</v>
      </c>
      <c r="AC5" s="99">
        <v>1547600</v>
      </c>
      <c r="AD5" s="9">
        <v>81.489999999999995</v>
      </c>
      <c r="AE5" s="2">
        <f t="shared" si="0"/>
        <v>0.59000000000000341</v>
      </c>
      <c r="AF5" s="131">
        <f t="shared" si="1"/>
        <v>-1.8373346398824486E-3</v>
      </c>
    </row>
    <row r="6" spans="1:32" x14ac:dyDescent="0.25">
      <c r="B6" s="69"/>
      <c r="C6" s="4"/>
      <c r="D6" s="3"/>
      <c r="E6" s="3"/>
      <c r="F6" s="3"/>
      <c r="G6" s="69"/>
      <c r="H6" s="158"/>
      <c r="I6" s="3"/>
      <c r="J6" s="3"/>
      <c r="K6" s="3"/>
      <c r="L6" s="4"/>
      <c r="M6" s="3"/>
      <c r="O6" s="11" t="s">
        <v>64</v>
      </c>
      <c r="Q6" s="2">
        <f>Q3*Q2</f>
        <v>0</v>
      </c>
      <c r="X6" s="105">
        <v>42824</v>
      </c>
      <c r="Y6" s="9">
        <v>81.3</v>
      </c>
      <c r="Z6" s="9">
        <v>81.83</v>
      </c>
      <c r="AA6" s="9">
        <v>81.16</v>
      </c>
      <c r="AB6" s="9">
        <v>81.64</v>
      </c>
      <c r="AC6" s="99">
        <v>1159100</v>
      </c>
      <c r="AD6" s="9">
        <v>81.64</v>
      </c>
      <c r="AE6" s="2">
        <f t="shared" si="0"/>
        <v>0.67000000000000171</v>
      </c>
      <c r="AF6" s="131">
        <f t="shared" si="1"/>
        <v>3.0716304214277734E-3</v>
      </c>
    </row>
    <row r="7" spans="1:32" x14ac:dyDescent="0.25">
      <c r="B7" s="69"/>
      <c r="C7" s="4"/>
      <c r="D7" s="3"/>
      <c r="E7" s="3"/>
      <c r="F7" s="3"/>
      <c r="G7" s="69"/>
      <c r="H7" s="158"/>
      <c r="I7" s="3"/>
      <c r="J7" s="3"/>
      <c r="K7" s="3"/>
      <c r="L7" s="4"/>
      <c r="M7" s="3"/>
      <c r="O7" s="11" t="s">
        <v>175</v>
      </c>
      <c r="Q7" s="2">
        <f>Q10+Q8</f>
        <v>523.61999999999898</v>
      </c>
      <c r="R7">
        <v>0</v>
      </c>
      <c r="T7" s="80"/>
      <c r="X7" s="105">
        <v>42823</v>
      </c>
      <c r="Y7" s="9">
        <v>81.94</v>
      </c>
      <c r="Z7" s="9">
        <v>82.08</v>
      </c>
      <c r="AA7" s="9">
        <v>81.290000000000006</v>
      </c>
      <c r="AB7" s="9">
        <v>81.39</v>
      </c>
      <c r="AC7" s="99">
        <v>1018400</v>
      </c>
      <c r="AD7" s="9">
        <v>81.39</v>
      </c>
      <c r="AE7" s="2">
        <f t="shared" si="0"/>
        <v>0.78999999999999204</v>
      </c>
      <c r="AF7" s="131">
        <f t="shared" si="1"/>
        <v>-6.10575161802418E-3</v>
      </c>
    </row>
    <row r="8" spans="1:32" x14ac:dyDescent="0.25">
      <c r="O8" s="11" t="s">
        <v>177</v>
      </c>
      <c r="P8" s="33"/>
      <c r="Q8" s="2">
        <f>K18+M18-F18+Q2*Q4</f>
        <v>0</v>
      </c>
      <c r="R8" s="155"/>
      <c r="T8" s="80"/>
      <c r="X8" s="105">
        <v>42822</v>
      </c>
      <c r="Y8" s="9">
        <v>80.81</v>
      </c>
      <c r="Z8" s="9">
        <v>82.1</v>
      </c>
      <c r="AA8" s="9">
        <v>80.73</v>
      </c>
      <c r="AB8" s="9">
        <v>81.89</v>
      </c>
      <c r="AC8" s="99">
        <v>1211400</v>
      </c>
      <c r="AD8" s="9">
        <v>81.89</v>
      </c>
      <c r="AE8" s="2">
        <f t="shared" si="0"/>
        <v>1.3699999999999903</v>
      </c>
      <c r="AF8" s="131">
        <f t="shared" si="1"/>
        <v>9.8655814527068841E-3</v>
      </c>
    </row>
    <row r="9" spans="1:32" x14ac:dyDescent="0.25">
      <c r="O9" s="11" t="s">
        <v>202</v>
      </c>
      <c r="Q9" s="131">
        <f>IF(Q2=0, 0, Q8/Q6)</f>
        <v>0</v>
      </c>
      <c r="X9" s="105">
        <v>42821</v>
      </c>
      <c r="Y9" s="9">
        <v>80.37</v>
      </c>
      <c r="Z9" s="9">
        <v>81.319999999999993</v>
      </c>
      <c r="AA9" s="9">
        <v>80.069999999999993</v>
      </c>
      <c r="AB9" s="9">
        <v>81.09</v>
      </c>
      <c r="AC9" s="99">
        <v>1428200</v>
      </c>
      <c r="AD9" s="9">
        <v>81.09</v>
      </c>
      <c r="AE9" s="2">
        <f t="shared" si="0"/>
        <v>1.25</v>
      </c>
      <c r="AF9" s="131">
        <f t="shared" si="1"/>
        <v>1.2347203358440417E-3</v>
      </c>
    </row>
    <row r="10" spans="1:32" x14ac:dyDescent="0.25">
      <c r="O10" s="11" t="s">
        <v>201</v>
      </c>
      <c r="P10" s="33"/>
      <c r="Q10" s="2">
        <f>M40</f>
        <v>523.61999999999898</v>
      </c>
      <c r="T10" s="115"/>
      <c r="U10" s="64"/>
      <c r="X10" s="105">
        <v>42818</v>
      </c>
      <c r="Y10" s="9">
        <v>81.27</v>
      </c>
      <c r="Z10" s="9">
        <v>81.510000000000005</v>
      </c>
      <c r="AA10" s="9">
        <v>80.63</v>
      </c>
      <c r="AB10" s="9">
        <v>80.989999999999995</v>
      </c>
      <c r="AC10" s="99">
        <v>1368900</v>
      </c>
      <c r="AD10" s="9">
        <v>80.989999999999995</v>
      </c>
      <c r="AE10" s="2">
        <f t="shared" si="0"/>
        <v>0.88000000000000966</v>
      </c>
      <c r="AF10" s="131">
        <f t="shared" si="1"/>
        <v>-3.3226679793257885E-3</v>
      </c>
    </row>
    <row r="11" spans="1:32" x14ac:dyDescent="0.25">
      <c r="O11" s="11" t="s">
        <v>173</v>
      </c>
      <c r="P11" s="33"/>
      <c r="Q11" s="131">
        <f>VALUE(TRIM(CLEAN(MID(U55, FIND("(", U55)+1, 5))))</f>
        <v>1.67E-2</v>
      </c>
      <c r="T11" s="115"/>
      <c r="U11" s="64"/>
      <c r="X11" s="105">
        <v>42817</v>
      </c>
      <c r="Y11" s="9">
        <v>81.5</v>
      </c>
      <c r="Z11" s="9">
        <v>81.92</v>
      </c>
      <c r="AA11" s="9">
        <v>81.16</v>
      </c>
      <c r="AB11" s="9">
        <v>81.260000000000005</v>
      </c>
      <c r="AC11" s="99">
        <v>1480700</v>
      </c>
      <c r="AD11" s="9">
        <v>81.260000000000005</v>
      </c>
      <c r="AE11" s="2">
        <f t="shared" si="0"/>
        <v>0.76000000000000512</v>
      </c>
      <c r="AF11" s="131">
        <f t="shared" si="1"/>
        <v>-1.4745637748831975E-3</v>
      </c>
    </row>
    <row r="12" spans="1:32" x14ac:dyDescent="0.25">
      <c r="X12" s="105">
        <v>42816</v>
      </c>
      <c r="Y12" s="9">
        <v>81.59</v>
      </c>
      <c r="Z12" s="9">
        <v>81.819999999999993</v>
      </c>
      <c r="AA12" s="9">
        <v>81.33</v>
      </c>
      <c r="AB12" s="9">
        <v>81.38</v>
      </c>
      <c r="AC12" s="99">
        <v>1669800</v>
      </c>
      <c r="AD12" s="9">
        <v>81.38</v>
      </c>
      <c r="AE12" s="2">
        <f t="shared" si="0"/>
        <v>0.48999999999999488</v>
      </c>
      <c r="AF12" s="131">
        <f t="shared" si="1"/>
        <v>-3.7948341290243714E-3</v>
      </c>
    </row>
    <row r="13" spans="1:32" x14ac:dyDescent="0.25">
      <c r="Q13" s="2"/>
      <c r="X13" s="105">
        <v>42815</v>
      </c>
      <c r="Y13" s="9">
        <v>82.46</v>
      </c>
      <c r="Z13" s="9">
        <v>82.7</v>
      </c>
      <c r="AA13" s="9">
        <v>81.59</v>
      </c>
      <c r="AB13" s="9">
        <v>81.69</v>
      </c>
      <c r="AC13" s="99">
        <v>2179300</v>
      </c>
      <c r="AD13" s="9">
        <v>81.69</v>
      </c>
      <c r="AE13" s="2">
        <f t="shared" si="0"/>
        <v>1.1099999999999994</v>
      </c>
      <c r="AF13" s="131">
        <f t="shared" si="1"/>
        <v>-8.255432803205176E-3</v>
      </c>
    </row>
    <row r="14" spans="1:32" x14ac:dyDescent="0.25">
      <c r="X14" s="105">
        <v>42814</v>
      </c>
      <c r="Y14" s="9">
        <v>82.85</v>
      </c>
      <c r="Z14" s="9">
        <v>83.06</v>
      </c>
      <c r="AA14" s="9">
        <v>82.3</v>
      </c>
      <c r="AB14" s="9">
        <v>82.37</v>
      </c>
      <c r="AC14" s="99">
        <v>1325000</v>
      </c>
      <c r="AD14" s="9">
        <v>82.37</v>
      </c>
      <c r="AE14" s="2">
        <f t="shared" si="0"/>
        <v>0.76000000000000512</v>
      </c>
      <c r="AF14" s="131">
        <f t="shared" si="1"/>
        <v>-5.7936028968013087E-3</v>
      </c>
    </row>
    <row r="15" spans="1:32" x14ac:dyDescent="0.25">
      <c r="X15" s="105">
        <v>42811</v>
      </c>
      <c r="Y15" s="9">
        <v>82.9</v>
      </c>
      <c r="Z15" s="9">
        <v>83.09</v>
      </c>
      <c r="AA15" s="9">
        <v>82.6</v>
      </c>
      <c r="AB15" s="9">
        <v>82.85</v>
      </c>
      <c r="AC15" s="99">
        <v>2316300</v>
      </c>
      <c r="AD15" s="9">
        <v>82.85</v>
      </c>
      <c r="AE15" s="2">
        <f t="shared" si="0"/>
        <v>0.49000000000000909</v>
      </c>
      <c r="AF15" s="131">
        <f t="shared" si="1"/>
        <v>-4.8256725781159471E-4</v>
      </c>
    </row>
    <row r="16" spans="1:32" x14ac:dyDescent="0.25">
      <c r="B16" s="69"/>
      <c r="C16" s="4"/>
      <c r="D16" s="3"/>
      <c r="E16" s="3"/>
      <c r="F16" s="3"/>
      <c r="G16" s="69"/>
      <c r="H16" s="158"/>
      <c r="I16" s="3"/>
      <c r="J16" s="3"/>
      <c r="K16" s="3"/>
      <c r="L16" s="4"/>
      <c r="M16" s="3"/>
      <c r="X16" s="105">
        <v>42810</v>
      </c>
      <c r="Y16" s="9">
        <v>82.56</v>
      </c>
      <c r="Z16" s="9">
        <v>83</v>
      </c>
      <c r="AA16" s="9">
        <v>82.46</v>
      </c>
      <c r="AB16" s="9">
        <v>82.89</v>
      </c>
      <c r="AC16" s="99">
        <v>1783600</v>
      </c>
      <c r="AD16" s="9">
        <v>82.89</v>
      </c>
      <c r="AE16" s="2">
        <f t="shared" si="0"/>
        <v>0.54000000000000625</v>
      </c>
      <c r="AF16" s="131">
        <f t="shared" si="1"/>
        <v>3.2679738562091387E-3</v>
      </c>
    </row>
    <row r="17" spans="1:32" x14ac:dyDescent="0.25">
      <c r="B17" s="69"/>
      <c r="C17" s="4"/>
      <c r="D17" s="3"/>
      <c r="E17" s="3"/>
      <c r="F17" s="3"/>
      <c r="G17" s="3"/>
      <c r="H17" s="158"/>
      <c r="I17" s="3"/>
      <c r="J17" s="3"/>
      <c r="K17" s="3"/>
      <c r="L17" s="4"/>
      <c r="M17" s="3"/>
      <c r="X17" s="105">
        <v>42809</v>
      </c>
      <c r="Y17" s="9">
        <v>82.04</v>
      </c>
      <c r="Z17" s="9">
        <v>82.75</v>
      </c>
      <c r="AA17" s="9">
        <v>82.04</v>
      </c>
      <c r="AB17" s="9">
        <v>82.62</v>
      </c>
      <c r="AC17" s="99">
        <v>1418800</v>
      </c>
      <c r="AD17" s="9">
        <v>82.62</v>
      </c>
      <c r="AE17" s="2">
        <f t="shared" si="0"/>
        <v>0.70999999999999375</v>
      </c>
      <c r="AF17" s="131">
        <f t="shared" si="1"/>
        <v>5.3541007544415375E-3</v>
      </c>
    </row>
    <row r="18" spans="1:32" x14ac:dyDescent="0.25">
      <c r="A18" s="31" t="s">
        <v>81</v>
      </c>
      <c r="B18" s="14"/>
      <c r="C18" s="14">
        <f>SUM(C2:C17)</f>
        <v>0</v>
      </c>
      <c r="D18" s="18"/>
      <c r="E18" s="18"/>
      <c r="F18" s="18">
        <f>SUM(F2:F17)</f>
        <v>0</v>
      </c>
      <c r="G18" s="14"/>
      <c r="H18" s="14">
        <f>SUM(H2:H17)</f>
        <v>0</v>
      </c>
      <c r="I18" s="18"/>
      <c r="J18" s="18"/>
      <c r="K18" s="18">
        <f>SUM(K2:K17)</f>
        <v>0</v>
      </c>
      <c r="L18" s="18"/>
      <c r="M18" s="18">
        <f>SUM(M2:M17)</f>
        <v>0</v>
      </c>
      <c r="X18" s="105">
        <v>42808</v>
      </c>
      <c r="Y18" s="9">
        <v>82.05</v>
      </c>
      <c r="Z18" s="9">
        <v>82.31</v>
      </c>
      <c r="AA18" s="9">
        <v>81.83</v>
      </c>
      <c r="AB18" s="9">
        <v>82.18</v>
      </c>
      <c r="AC18" s="99">
        <v>1437100</v>
      </c>
      <c r="AD18" s="9">
        <v>82.18</v>
      </c>
      <c r="AE18" s="2">
        <f t="shared" si="0"/>
        <v>0.48000000000000398</v>
      </c>
      <c r="AF18" s="131">
        <f t="shared" si="1"/>
        <v>9.7442143727177744E-4</v>
      </c>
    </row>
    <row r="19" spans="1:32" x14ac:dyDescent="0.25">
      <c r="B19" s="69"/>
      <c r="C19" s="4"/>
      <c r="D19" s="3"/>
      <c r="E19" s="3"/>
      <c r="F19" s="3"/>
      <c r="G19" s="4"/>
      <c r="H19" s="4"/>
      <c r="I19" s="3"/>
      <c r="J19" s="3"/>
      <c r="K19" s="3"/>
      <c r="L19" s="4"/>
      <c r="M19" s="3"/>
      <c r="X19" s="105">
        <v>42807</v>
      </c>
      <c r="Y19" s="9">
        <v>81.87</v>
      </c>
      <c r="Z19" s="9">
        <v>82.13</v>
      </c>
      <c r="AA19" s="9">
        <v>81.72</v>
      </c>
      <c r="AB19" s="9">
        <v>82.1</v>
      </c>
      <c r="AC19" s="99">
        <v>1256700</v>
      </c>
      <c r="AD19" s="9">
        <v>82.1</v>
      </c>
      <c r="AE19" s="2">
        <f t="shared" si="0"/>
        <v>0.40999999999999659</v>
      </c>
      <c r="AF19" s="131">
        <f t="shared" si="1"/>
        <v>6.0938452163306067E-4</v>
      </c>
    </row>
    <row r="20" spans="1:32" x14ac:dyDescent="0.25">
      <c r="X20" s="105">
        <v>42804</v>
      </c>
      <c r="Y20" s="9">
        <v>81.819999999999993</v>
      </c>
      <c r="Z20" s="9">
        <v>82.11</v>
      </c>
      <c r="AA20" s="9">
        <v>81.569999999999993</v>
      </c>
      <c r="AB20" s="9">
        <v>82.05</v>
      </c>
      <c r="AC20" s="99">
        <v>1560600</v>
      </c>
      <c r="AD20" s="9">
        <v>82.05</v>
      </c>
      <c r="AE20" s="2">
        <f t="shared" si="0"/>
        <v>0.54000000000000625</v>
      </c>
      <c r="AF20" s="131">
        <f t="shared" si="1"/>
        <v>5.8845163663112654E-3</v>
      </c>
    </row>
    <row r="21" spans="1:32" x14ac:dyDescent="0.25">
      <c r="X21" s="105">
        <v>42803</v>
      </c>
      <c r="Y21" s="9">
        <v>81.319999999999993</v>
      </c>
      <c r="Z21" s="9">
        <v>81.63</v>
      </c>
      <c r="AA21" s="9">
        <v>81.069999999999993</v>
      </c>
      <c r="AB21" s="9">
        <v>81.569999999999993</v>
      </c>
      <c r="AC21" s="99">
        <v>1708500</v>
      </c>
      <c r="AD21" s="9">
        <v>81.569999999999993</v>
      </c>
      <c r="AE21" s="2">
        <f t="shared" si="0"/>
        <v>0.56000000000000227</v>
      </c>
      <c r="AF21" s="131">
        <f t="shared" si="1"/>
        <v>5.4233945519537308E-3</v>
      </c>
    </row>
    <row r="22" spans="1:32" x14ac:dyDescent="0.25">
      <c r="X22" s="105">
        <v>42802</v>
      </c>
      <c r="Y22" s="9">
        <v>81.87</v>
      </c>
      <c r="Z22" s="9">
        <v>81.97</v>
      </c>
      <c r="AA22" s="9">
        <v>80.94</v>
      </c>
      <c r="AB22" s="9">
        <v>81.13</v>
      </c>
      <c r="AC22" s="99">
        <v>1661400</v>
      </c>
      <c r="AD22" s="9">
        <v>81.13</v>
      </c>
      <c r="AE22" s="2">
        <f t="shared" si="0"/>
        <v>1.0300000000000011</v>
      </c>
      <c r="AF22" s="131">
        <f t="shared" si="1"/>
        <v>-4.0510680088386986E-3</v>
      </c>
    </row>
    <row r="23" spans="1:32" x14ac:dyDescent="0.25">
      <c r="X23" s="105">
        <v>42801</v>
      </c>
      <c r="Y23" s="9">
        <v>81.319999999999993</v>
      </c>
      <c r="Z23" s="9">
        <v>81.7</v>
      </c>
      <c r="AA23" s="9">
        <v>81.14</v>
      </c>
      <c r="AB23" s="9">
        <v>81.459999999999994</v>
      </c>
      <c r="AC23" s="99">
        <v>1621800</v>
      </c>
      <c r="AD23" s="9">
        <v>81.459999999999994</v>
      </c>
      <c r="AE23" s="2">
        <f t="shared" si="0"/>
        <v>0.56000000000000227</v>
      </c>
      <c r="AF23" s="131">
        <f t="shared" si="1"/>
        <v>1.4752889107449985E-3</v>
      </c>
    </row>
    <row r="24" spans="1:32" x14ac:dyDescent="0.25">
      <c r="X24" s="105">
        <v>42800</v>
      </c>
      <c r="Y24" s="9">
        <v>81.489999999999995</v>
      </c>
      <c r="Z24" s="9">
        <v>81.75</v>
      </c>
      <c r="AA24" s="9">
        <v>81.14</v>
      </c>
      <c r="AB24" s="9">
        <v>81.34</v>
      </c>
      <c r="AC24" s="99">
        <v>1657000</v>
      </c>
      <c r="AD24" s="9">
        <v>81.34</v>
      </c>
      <c r="AE24" s="2">
        <f t="shared" si="0"/>
        <v>0.60999999999999943</v>
      </c>
      <c r="AF24" s="131">
        <f t="shared" si="1"/>
        <v>-6.3523088199364253E-3</v>
      </c>
    </row>
    <row r="25" spans="1:32" x14ac:dyDescent="0.25">
      <c r="X25" s="105">
        <v>42797</v>
      </c>
      <c r="Y25" s="9">
        <v>81.83</v>
      </c>
      <c r="Z25" s="9">
        <v>82</v>
      </c>
      <c r="AA25" s="9">
        <v>81.400000000000006</v>
      </c>
      <c r="AB25" s="9">
        <v>81.86</v>
      </c>
      <c r="AC25" s="99">
        <v>2331400</v>
      </c>
      <c r="AD25" s="9">
        <v>81.86</v>
      </c>
      <c r="AE25" s="2">
        <f t="shared" si="0"/>
        <v>0.59999999999999432</v>
      </c>
      <c r="AF25" s="131">
        <f t="shared" si="1"/>
        <v>1.345565749235389E-3</v>
      </c>
    </row>
    <row r="26" spans="1:32" x14ac:dyDescent="0.25">
      <c r="B26" s="159" t="s">
        <v>113</v>
      </c>
      <c r="C26" s="159" t="s">
        <v>143</v>
      </c>
      <c r="D26" s="160" t="s">
        <v>142</v>
      </c>
      <c r="E26" s="162" t="s">
        <v>144</v>
      </c>
      <c r="F26" s="163" t="s">
        <v>65</v>
      </c>
      <c r="G26" s="173" t="s">
        <v>148</v>
      </c>
      <c r="H26" s="173" t="s">
        <v>88</v>
      </c>
      <c r="X26" s="105">
        <v>42796</v>
      </c>
      <c r="Y26" s="9">
        <v>82.89</v>
      </c>
      <c r="Z26" s="9">
        <v>83.05</v>
      </c>
      <c r="AA26" s="9">
        <v>81.739999999999995</v>
      </c>
      <c r="AB26" s="9">
        <v>81.75</v>
      </c>
      <c r="AC26" s="99">
        <v>2625100</v>
      </c>
      <c r="AD26" s="9">
        <v>81.75</v>
      </c>
      <c r="AE26" s="2">
        <f t="shared" si="0"/>
        <v>1.3100000000000023</v>
      </c>
      <c r="AF26" s="131">
        <f t="shared" si="1"/>
        <v>-1.1367759100253894E-2</v>
      </c>
    </row>
    <row r="27" spans="1:32" x14ac:dyDescent="0.25">
      <c r="B27" s="161">
        <v>42304</v>
      </c>
      <c r="C27" s="10">
        <v>120</v>
      </c>
      <c r="D27" s="39">
        <v>60.82</v>
      </c>
      <c r="E27" s="39">
        <v>60.29</v>
      </c>
      <c r="F27" s="39">
        <v>-63.92</v>
      </c>
      <c r="G27" s="39">
        <f>D27*C27</f>
        <v>7298.4</v>
      </c>
      <c r="H27" s="175">
        <f>IF(C27=0, 0, (E27-D27)/D27)</f>
        <v>-8.714238737257499E-3</v>
      </c>
      <c r="X27" s="105">
        <v>42795</v>
      </c>
      <c r="Y27" s="9">
        <v>82.52</v>
      </c>
      <c r="Z27" s="9">
        <v>82.83</v>
      </c>
      <c r="AA27" s="9">
        <v>82.1</v>
      </c>
      <c r="AB27" s="9">
        <v>82.69</v>
      </c>
      <c r="AC27" s="99">
        <v>2721300</v>
      </c>
      <c r="AD27" s="9">
        <v>82.69</v>
      </c>
      <c r="AE27" s="2">
        <f t="shared" si="0"/>
        <v>0.73000000000000398</v>
      </c>
      <c r="AF27" s="131">
        <f t="shared" si="1"/>
        <v>6.4508276533592479E-3</v>
      </c>
    </row>
    <row r="28" spans="1:32" x14ac:dyDescent="0.25">
      <c r="A28" s="30"/>
      <c r="B28" s="161">
        <v>42310</v>
      </c>
      <c r="C28" s="10">
        <v>170</v>
      </c>
      <c r="D28" s="39">
        <v>61.17</v>
      </c>
      <c r="E28" s="39">
        <v>61.8</v>
      </c>
      <c r="F28" s="39">
        <v>107.28</v>
      </c>
      <c r="G28" s="39">
        <f t="shared" ref="G28:G33" si="2">D28*C28</f>
        <v>10398.9</v>
      </c>
      <c r="H28" s="175">
        <f>IF(C28=0, 0, (E28-D28)/D28)</f>
        <v>1.0299166257969517E-2</v>
      </c>
      <c r="X28" s="105">
        <v>42794</v>
      </c>
      <c r="Y28" s="9">
        <v>81.290000000000006</v>
      </c>
      <c r="Z28" s="9">
        <v>82.29</v>
      </c>
      <c r="AA28" s="9">
        <v>81</v>
      </c>
      <c r="AB28" s="9">
        <v>82.16</v>
      </c>
      <c r="AC28" s="99">
        <v>2550500</v>
      </c>
      <c r="AD28" s="9">
        <v>82.16</v>
      </c>
      <c r="AE28" s="2">
        <f t="shared" si="0"/>
        <v>1.2900000000000063</v>
      </c>
      <c r="AF28" s="131">
        <f t="shared" si="1"/>
        <v>1.0081140890090934E-2</v>
      </c>
    </row>
    <row r="29" spans="1:32" x14ac:dyDescent="0.25">
      <c r="A29" s="30"/>
      <c r="B29" s="161">
        <v>42311</v>
      </c>
      <c r="C29" s="10">
        <v>70</v>
      </c>
      <c r="D29" s="39">
        <v>58.41</v>
      </c>
      <c r="E29" s="39">
        <v>63.16</v>
      </c>
      <c r="F29" s="39">
        <v>332.36</v>
      </c>
      <c r="G29" s="39">
        <f t="shared" si="2"/>
        <v>4088.7</v>
      </c>
      <c r="H29" s="175">
        <f>IF(C29=0, 0, (E29-D29)/D29)</f>
        <v>8.1321691491183026E-2</v>
      </c>
      <c r="X29" s="105">
        <v>42793</v>
      </c>
      <c r="Y29" s="9">
        <v>80.94</v>
      </c>
      <c r="Z29" s="9">
        <v>81.510000000000005</v>
      </c>
      <c r="AA29" s="9">
        <v>80.84</v>
      </c>
      <c r="AB29" s="9">
        <v>81.34</v>
      </c>
      <c r="AC29" s="99">
        <v>2103000</v>
      </c>
      <c r="AD29" s="9">
        <v>81.34</v>
      </c>
      <c r="AE29" s="2">
        <f t="shared" si="0"/>
        <v>0.67000000000000171</v>
      </c>
      <c r="AF29" s="131">
        <f t="shared" si="1"/>
        <v>5.3145470275615114E-3</v>
      </c>
    </row>
    <row r="30" spans="1:32" x14ac:dyDescent="0.25">
      <c r="A30" s="30"/>
      <c r="B30" s="161">
        <v>42326</v>
      </c>
      <c r="C30" s="10">
        <v>20</v>
      </c>
      <c r="D30" s="39">
        <v>45.45</v>
      </c>
      <c r="E30" s="39">
        <v>63.5</v>
      </c>
      <c r="F30" s="39">
        <v>361.1</v>
      </c>
      <c r="G30" s="39">
        <f t="shared" si="2"/>
        <v>909</v>
      </c>
      <c r="H30" s="175">
        <f>IF(C30=0, 0, (E30-D30)/D30)</f>
        <v>0.39713971397139708</v>
      </c>
      <c r="X30" s="105">
        <v>42790</v>
      </c>
      <c r="Y30" s="9">
        <v>80.180000000000007</v>
      </c>
      <c r="Z30" s="9">
        <v>80.91</v>
      </c>
      <c r="AA30" s="9">
        <v>79.89</v>
      </c>
      <c r="AB30" s="9">
        <v>80.91</v>
      </c>
      <c r="AC30" s="99">
        <v>1973300</v>
      </c>
      <c r="AD30" s="9">
        <v>80.91</v>
      </c>
      <c r="AE30" s="2">
        <f t="shared" si="0"/>
        <v>1.019999999999996</v>
      </c>
      <c r="AF30" s="131" t="e">
        <f t="shared" si="1"/>
        <v>#DIV/0!</v>
      </c>
    </row>
    <row r="31" spans="1:32" x14ac:dyDescent="0.25">
      <c r="B31" s="161">
        <v>42342</v>
      </c>
      <c r="C31" s="10">
        <v>0</v>
      </c>
      <c r="D31" s="39">
        <v>0</v>
      </c>
      <c r="E31" s="39">
        <v>62.77</v>
      </c>
      <c r="F31" s="39">
        <v>364.08</v>
      </c>
      <c r="G31" s="39">
        <f t="shared" si="2"/>
        <v>0</v>
      </c>
      <c r="H31" s="175"/>
      <c r="I31" s="164"/>
      <c r="X31" s="105">
        <v>42790</v>
      </c>
      <c r="Y31" s="9" t="s">
        <v>413</v>
      </c>
      <c r="Z31" s="9"/>
      <c r="AA31" s="9"/>
      <c r="AB31" s="9"/>
      <c r="AC31" s="99"/>
      <c r="AD31" s="9"/>
      <c r="AE31" s="2">
        <f t="shared" si="0"/>
        <v>0</v>
      </c>
      <c r="AF31" s="131">
        <f t="shared" si="1"/>
        <v>-1</v>
      </c>
    </row>
    <row r="32" spans="1:32" x14ac:dyDescent="0.25">
      <c r="B32" s="161">
        <v>42373</v>
      </c>
      <c r="C32" s="10">
        <v>40</v>
      </c>
      <c r="D32" s="39">
        <v>50.76</v>
      </c>
      <c r="E32" s="39">
        <v>60.67</v>
      </c>
      <c r="F32" s="39">
        <v>396.48</v>
      </c>
      <c r="G32" s="39">
        <f t="shared" si="2"/>
        <v>2030.3999999999999</v>
      </c>
      <c r="H32" s="175">
        <f>IF(C32=0, 0, (E32-D32)/D32)</f>
        <v>0.19523246650906234</v>
      </c>
      <c r="X32" s="105">
        <v>42789</v>
      </c>
      <c r="Y32" s="9">
        <v>80.400000000000006</v>
      </c>
      <c r="Z32" s="9">
        <v>80.900000000000006</v>
      </c>
      <c r="AA32" s="9">
        <v>80.31</v>
      </c>
      <c r="AB32" s="9">
        <v>80.55</v>
      </c>
      <c r="AC32" s="99">
        <v>3190200</v>
      </c>
      <c r="AD32" s="9">
        <v>80.180000000000007</v>
      </c>
      <c r="AE32" s="2">
        <f t="shared" si="0"/>
        <v>0.59000000000000341</v>
      </c>
      <c r="AF32" s="131">
        <f t="shared" si="1"/>
        <v>-3.740182022190508E-4</v>
      </c>
    </row>
    <row r="33" spans="1:32" x14ac:dyDescent="0.25">
      <c r="B33" s="161">
        <v>42410</v>
      </c>
      <c r="C33" s="10">
        <v>0</v>
      </c>
      <c r="D33" s="39">
        <v>0</v>
      </c>
      <c r="E33" s="39">
        <v>0</v>
      </c>
      <c r="F33" s="39">
        <v>523.62</v>
      </c>
      <c r="G33" s="39">
        <f t="shared" si="2"/>
        <v>0</v>
      </c>
      <c r="H33" s="175"/>
      <c r="X33" s="105">
        <v>42788</v>
      </c>
      <c r="Y33" s="9">
        <v>80.13</v>
      </c>
      <c r="Z33" s="9">
        <v>80.78</v>
      </c>
      <c r="AA33" s="9">
        <v>80.06</v>
      </c>
      <c r="AB33" s="9">
        <v>80.58</v>
      </c>
      <c r="AC33" s="99">
        <v>2438500</v>
      </c>
      <c r="AD33" s="9">
        <v>80.209999999999994</v>
      </c>
      <c r="AE33" s="2">
        <f t="shared" si="0"/>
        <v>0.71999999999999886</v>
      </c>
      <c r="AF33" s="131">
        <f t="shared" si="1"/>
        <v>-4.984423676013261E-4</v>
      </c>
    </row>
    <row r="34" spans="1:32" x14ac:dyDescent="0.25">
      <c r="B34" s="10"/>
      <c r="C34" s="10"/>
      <c r="D34" s="39"/>
      <c r="E34" s="39"/>
      <c r="F34" s="39"/>
      <c r="G34" s="39"/>
      <c r="H34" s="175"/>
      <c r="X34" s="105">
        <v>42787</v>
      </c>
      <c r="Y34" s="9">
        <v>80.56</v>
      </c>
      <c r="Z34" s="9">
        <v>80.8</v>
      </c>
      <c r="AA34" s="9">
        <v>80.31</v>
      </c>
      <c r="AB34" s="9">
        <v>80.62</v>
      </c>
      <c r="AC34" s="99">
        <v>2436700</v>
      </c>
      <c r="AD34" s="9">
        <v>80.25</v>
      </c>
      <c r="AE34" s="2">
        <f t="shared" si="0"/>
        <v>0.48999999999999488</v>
      </c>
      <c r="AF34" s="131">
        <f t="shared" si="1"/>
        <v>2.2480329711502822E-3</v>
      </c>
    </row>
    <row r="35" spans="1:32" ht="20.25" thickBot="1" x14ac:dyDescent="0.35">
      <c r="B35" s="10"/>
      <c r="C35" s="10"/>
      <c r="D35" s="39"/>
      <c r="E35" s="39"/>
      <c r="F35" s="39"/>
      <c r="G35" s="39"/>
      <c r="H35" s="175"/>
      <c r="O35" s="886" t="s">
        <v>78</v>
      </c>
      <c r="P35" s="886"/>
      <c r="X35" s="105">
        <v>42783</v>
      </c>
      <c r="Y35" s="9">
        <v>80.47</v>
      </c>
      <c r="Z35" s="9">
        <v>80.48</v>
      </c>
      <c r="AA35" s="9">
        <v>80.08</v>
      </c>
      <c r="AB35" s="9">
        <v>80.44</v>
      </c>
      <c r="AC35" s="99">
        <v>1920300</v>
      </c>
      <c r="AD35" s="9">
        <v>80.069999999999993</v>
      </c>
      <c r="AE35" s="2">
        <f t="shared" si="0"/>
        <v>0.40000000000000568</v>
      </c>
      <c r="AF35" s="131">
        <f t="shared" si="1"/>
        <v>-4.4759418127565676E-3</v>
      </c>
    </row>
    <row r="36" spans="1:32" ht="15.75" thickTop="1" x14ac:dyDescent="0.25">
      <c r="B36" s="10"/>
      <c r="C36" s="10"/>
      <c r="D36" s="39"/>
      <c r="E36" s="39"/>
      <c r="F36" s="39"/>
      <c r="G36" s="39"/>
      <c r="H36" s="175"/>
      <c r="O36" s="78">
        <v>1.1000000000000001</v>
      </c>
      <c r="P36" s="78">
        <f>O36*$Q$4</f>
        <v>119.251</v>
      </c>
      <c r="Q36" s="2"/>
      <c r="X36" s="105">
        <v>42782</v>
      </c>
      <c r="Y36" s="9">
        <v>80.62</v>
      </c>
      <c r="Z36" s="9">
        <v>80.819999999999993</v>
      </c>
      <c r="AA36" s="9">
        <v>80.400000000000006</v>
      </c>
      <c r="AB36" s="9">
        <v>80.8</v>
      </c>
      <c r="AC36" s="99">
        <v>1779000</v>
      </c>
      <c r="AD36" s="9">
        <v>80.430000000000007</v>
      </c>
      <c r="AE36" s="2">
        <f t="shared" si="0"/>
        <v>0.41999999999998749</v>
      </c>
      <c r="AF36" s="131">
        <f t="shared" si="1"/>
        <v>1.1202389843167904E-3</v>
      </c>
    </row>
    <row r="37" spans="1:32" ht="15" customHeight="1" x14ac:dyDescent="0.25">
      <c r="B37" s="10"/>
      <c r="C37" s="10"/>
      <c r="D37" s="39"/>
      <c r="E37" s="39"/>
      <c r="F37" s="39"/>
      <c r="G37" s="39"/>
      <c r="H37" s="175"/>
      <c r="O37" s="78">
        <v>1.0900000000000001</v>
      </c>
      <c r="P37" s="78">
        <f t="shared" ref="P37:P56" si="3">O37*$Q$4</f>
        <v>118.1669</v>
      </c>
      <c r="Q37" s="2"/>
      <c r="X37" s="105">
        <v>42781</v>
      </c>
      <c r="Y37" s="9">
        <v>80</v>
      </c>
      <c r="Z37" s="9">
        <v>80.72</v>
      </c>
      <c r="AA37" s="9">
        <v>79.59</v>
      </c>
      <c r="AB37" s="9">
        <v>80.709999999999994</v>
      </c>
      <c r="AC37" s="99">
        <v>1820200</v>
      </c>
      <c r="AD37" s="9">
        <v>80.34</v>
      </c>
      <c r="AE37" s="2">
        <f t="shared" si="0"/>
        <v>1.1299999999999955</v>
      </c>
      <c r="AF37" s="131">
        <f t="shared" si="1"/>
        <v>1.1456628477904962E-2</v>
      </c>
    </row>
    <row r="38" spans="1:32" x14ac:dyDescent="0.25">
      <c r="B38" s="10"/>
      <c r="C38" s="10"/>
      <c r="D38" s="39"/>
      <c r="E38" s="39"/>
      <c r="F38" s="39"/>
      <c r="G38" s="39"/>
      <c r="H38" s="175"/>
      <c r="O38" s="78">
        <v>1.08</v>
      </c>
      <c r="P38" s="78">
        <f t="shared" si="3"/>
        <v>117.08280000000001</v>
      </c>
      <c r="Q38" s="2"/>
      <c r="X38" s="105">
        <v>42780</v>
      </c>
      <c r="Y38" s="9">
        <v>79.72</v>
      </c>
      <c r="Z38" s="9">
        <v>79.819999999999993</v>
      </c>
      <c r="AA38" s="9">
        <v>79.099999999999994</v>
      </c>
      <c r="AB38" s="9">
        <v>79.8</v>
      </c>
      <c r="AC38" s="99">
        <v>1798000</v>
      </c>
      <c r="AD38" s="9">
        <v>79.430000000000007</v>
      </c>
      <c r="AE38" s="2">
        <f t="shared" si="0"/>
        <v>0.71999999999999886</v>
      </c>
      <c r="AF38" s="131">
        <f t="shared" si="1"/>
        <v>2.3977788995457328E-3</v>
      </c>
    </row>
    <row r="39" spans="1:32" ht="20.25" thickBot="1" x14ac:dyDescent="0.35">
      <c r="O39" s="78">
        <v>1.07</v>
      </c>
      <c r="P39" s="78">
        <f t="shared" si="3"/>
        <v>115.9987</v>
      </c>
      <c r="Q39" s="2"/>
      <c r="T39" s="107" t="s">
        <v>92</v>
      </c>
      <c r="U39" s="2"/>
      <c r="X39" s="105">
        <v>42779</v>
      </c>
      <c r="Y39" s="9">
        <v>78.95</v>
      </c>
      <c r="Z39" s="9">
        <v>79.64</v>
      </c>
      <c r="AA39" s="9">
        <v>78.81</v>
      </c>
      <c r="AB39" s="9">
        <v>79.61</v>
      </c>
      <c r="AC39" s="99">
        <v>1427500</v>
      </c>
      <c r="AD39" s="9">
        <v>79.239999999999995</v>
      </c>
      <c r="AE39" s="2">
        <f t="shared" si="0"/>
        <v>0.82999999999999829</v>
      </c>
      <c r="AF39" s="131">
        <f t="shared" si="1"/>
        <v>9.1696383087112032E-3</v>
      </c>
    </row>
    <row r="40" spans="1:32" ht="15.75" thickTop="1" x14ac:dyDescent="0.25">
      <c r="L40" t="s">
        <v>201</v>
      </c>
      <c r="M40" s="2">
        <f>K56+M56-F56</f>
        <v>523.61999999999898</v>
      </c>
      <c r="O40" s="78">
        <v>1.06</v>
      </c>
      <c r="P40" s="78">
        <f t="shared" si="3"/>
        <v>114.91460000000001</v>
      </c>
      <c r="Q40" s="2"/>
      <c r="T40" s="108" t="s">
        <v>97</v>
      </c>
      <c r="U40" s="101">
        <v>81.63</v>
      </c>
      <c r="X40" s="105">
        <v>42776</v>
      </c>
      <c r="Y40" s="9">
        <v>78.55</v>
      </c>
      <c r="Z40" s="9">
        <v>79.31</v>
      </c>
      <c r="AA40" s="9">
        <v>78.13</v>
      </c>
      <c r="AB40" s="9">
        <v>78.88</v>
      </c>
      <c r="AC40" s="99">
        <v>1636700</v>
      </c>
      <c r="AD40" s="9">
        <v>78.52</v>
      </c>
      <c r="AE40" s="2">
        <f t="shared" si="0"/>
        <v>1.1800000000000068</v>
      </c>
      <c r="AF40" s="131">
        <f t="shared" si="1"/>
        <v>6.7957430439800071E-3</v>
      </c>
    </row>
    <row r="41" spans="1:32" x14ac:dyDescent="0.25">
      <c r="A41" s="11" t="s">
        <v>1</v>
      </c>
      <c r="B41" s="11" t="s">
        <v>2</v>
      </c>
      <c r="C41" s="11" t="s">
        <v>4</v>
      </c>
      <c r="D41" s="20" t="s">
        <v>5</v>
      </c>
      <c r="E41" s="20" t="s">
        <v>94</v>
      </c>
      <c r="F41" s="20" t="s">
        <v>60</v>
      </c>
      <c r="G41" s="11" t="s">
        <v>3</v>
      </c>
      <c r="H41" s="11" t="s">
        <v>6</v>
      </c>
      <c r="I41" s="20" t="s">
        <v>7</v>
      </c>
      <c r="J41" s="20" t="s">
        <v>95</v>
      </c>
      <c r="K41" s="20" t="s">
        <v>61</v>
      </c>
      <c r="L41" s="11" t="s">
        <v>77</v>
      </c>
      <c r="M41" s="20" t="s">
        <v>38</v>
      </c>
      <c r="O41" s="78">
        <v>1.05</v>
      </c>
      <c r="P41" s="78">
        <f t="shared" si="3"/>
        <v>113.8305</v>
      </c>
      <c r="Q41" s="2"/>
      <c r="T41" s="108" t="s">
        <v>98</v>
      </c>
      <c r="U41" s="101">
        <v>81.81</v>
      </c>
      <c r="X41" s="105">
        <v>42775</v>
      </c>
      <c r="Y41" s="9">
        <v>77.989999999999995</v>
      </c>
      <c r="Z41" s="9">
        <v>78.39</v>
      </c>
      <c r="AA41" s="9">
        <v>77.73</v>
      </c>
      <c r="AB41" s="9">
        <v>78.349999999999994</v>
      </c>
      <c r="AC41" s="99">
        <v>1912700</v>
      </c>
      <c r="AD41" s="9">
        <v>77.989999999999995</v>
      </c>
      <c r="AE41" s="2">
        <f t="shared" si="0"/>
        <v>0.65999999999999659</v>
      </c>
      <c r="AF41" s="131">
        <f t="shared" si="1"/>
        <v>4.6373824552363718E-3</v>
      </c>
    </row>
    <row r="42" spans="1:32" x14ac:dyDescent="0.25">
      <c r="A42" s="6" t="s">
        <v>45</v>
      </c>
      <c r="B42" s="1">
        <v>42185</v>
      </c>
      <c r="C42" s="7">
        <v>10</v>
      </c>
      <c r="D42" s="43">
        <v>65.45</v>
      </c>
      <c r="E42" s="43">
        <v>0</v>
      </c>
      <c r="F42" s="43">
        <f t="shared" ref="F42:F51" si="4">C42*D42</f>
        <v>654.5</v>
      </c>
      <c r="G42" s="1">
        <v>42226</v>
      </c>
      <c r="H42" s="7">
        <v>30</v>
      </c>
      <c r="I42" s="43">
        <v>62.9</v>
      </c>
      <c r="J42" s="43">
        <v>0.03</v>
      </c>
      <c r="K42" s="43">
        <f t="shared" ref="K42:K48" si="5">H42*I42-J42</f>
        <v>1886.97</v>
      </c>
      <c r="L42" s="1">
        <v>42278</v>
      </c>
      <c r="M42" s="2">
        <v>30</v>
      </c>
      <c r="O42" s="78">
        <v>1.04</v>
      </c>
      <c r="P42" s="78">
        <f t="shared" si="3"/>
        <v>112.74639999999999</v>
      </c>
      <c r="Q42" s="2"/>
      <c r="T42" s="108" t="s">
        <v>99</v>
      </c>
      <c r="U42" s="101" t="s">
        <v>128</v>
      </c>
      <c r="X42" s="105">
        <v>42774</v>
      </c>
      <c r="Y42" s="9">
        <v>78.099999999999994</v>
      </c>
      <c r="Z42" s="9">
        <v>78.19</v>
      </c>
      <c r="AA42" s="9">
        <v>77.8</v>
      </c>
      <c r="AB42" s="9">
        <v>77.989999999999995</v>
      </c>
      <c r="AC42" s="99">
        <v>1496600</v>
      </c>
      <c r="AD42" s="9">
        <v>77.63</v>
      </c>
      <c r="AE42" s="2">
        <f t="shared" si="0"/>
        <v>0.39000000000000057</v>
      </c>
      <c r="AF42" s="131">
        <f t="shared" si="1"/>
        <v>-1.6718106995885496E-3</v>
      </c>
    </row>
    <row r="43" spans="1:32" x14ac:dyDescent="0.25">
      <c r="A43" s="22" t="s">
        <v>71</v>
      </c>
      <c r="B43" s="1">
        <v>42223</v>
      </c>
      <c r="C43" s="7">
        <v>20</v>
      </c>
      <c r="D43" s="43">
        <v>63.52</v>
      </c>
      <c r="E43" s="43">
        <v>0</v>
      </c>
      <c r="F43" s="43">
        <f t="shared" si="4"/>
        <v>1270.4000000000001</v>
      </c>
      <c r="G43" s="1">
        <v>42235</v>
      </c>
      <c r="H43" s="7">
        <v>30</v>
      </c>
      <c r="I43" s="43">
        <v>63.59</v>
      </c>
      <c r="J43" s="43">
        <v>0.04</v>
      </c>
      <c r="K43" s="43">
        <f t="shared" si="5"/>
        <v>1907.66</v>
      </c>
      <c r="L43" s="1">
        <v>42373</v>
      </c>
      <c r="M43" s="2">
        <v>6</v>
      </c>
      <c r="O43" s="78">
        <v>1.03</v>
      </c>
      <c r="P43" s="78">
        <f t="shared" si="3"/>
        <v>111.6623</v>
      </c>
      <c r="Q43" s="2"/>
      <c r="T43" s="108" t="s">
        <v>100</v>
      </c>
      <c r="U43" s="101" t="s">
        <v>128</v>
      </c>
      <c r="X43" s="105">
        <v>42773</v>
      </c>
      <c r="Y43" s="9">
        <v>78.5</v>
      </c>
      <c r="Z43" s="9">
        <v>78.680000000000007</v>
      </c>
      <c r="AA43" s="9">
        <v>78.069999999999993</v>
      </c>
      <c r="AB43" s="9">
        <v>78.12</v>
      </c>
      <c r="AC43" s="99">
        <v>1764900</v>
      </c>
      <c r="AD43" s="9">
        <v>77.760000000000005</v>
      </c>
      <c r="AE43" s="2">
        <f t="shared" si="0"/>
        <v>0.61000000000001364</v>
      </c>
      <c r="AF43" s="131">
        <f t="shared" si="1"/>
        <v>5.146680391148184E-4</v>
      </c>
    </row>
    <row r="44" spans="1:32" x14ac:dyDescent="0.25">
      <c r="B44" s="1">
        <v>42223</v>
      </c>
      <c r="C44" s="7">
        <v>40</v>
      </c>
      <c r="D44" s="43">
        <v>62.45</v>
      </c>
      <c r="E44" s="43">
        <v>0</v>
      </c>
      <c r="F44" s="43">
        <f t="shared" si="4"/>
        <v>2498</v>
      </c>
      <c r="G44" s="1">
        <v>42284</v>
      </c>
      <c r="H44" s="77">
        <v>50</v>
      </c>
      <c r="I44" s="43">
        <v>59.05</v>
      </c>
      <c r="J44" s="43">
        <v>0.05</v>
      </c>
      <c r="K44" s="43">
        <f t="shared" si="5"/>
        <v>2952.45</v>
      </c>
      <c r="O44" s="78">
        <v>1.02</v>
      </c>
      <c r="P44" s="78">
        <f t="shared" si="3"/>
        <v>110.5782</v>
      </c>
      <c r="Q44" s="2"/>
      <c r="T44" s="108" t="s">
        <v>101</v>
      </c>
      <c r="U44" s="101">
        <v>85.4</v>
      </c>
      <c r="X44" s="105">
        <v>42772</v>
      </c>
      <c r="Y44" s="9">
        <v>77.430000000000007</v>
      </c>
      <c r="Z44" s="9">
        <v>78.22</v>
      </c>
      <c r="AA44" s="9">
        <v>76.97</v>
      </c>
      <c r="AB44" s="9">
        <v>78.08</v>
      </c>
      <c r="AC44" s="99">
        <v>2348300</v>
      </c>
      <c r="AD44" s="9">
        <v>77.72</v>
      </c>
      <c r="AE44" s="2">
        <f t="shared" si="0"/>
        <v>1.25</v>
      </c>
      <c r="AF44" s="131">
        <f t="shared" si="1"/>
        <v>7.7800829875518396E-3</v>
      </c>
    </row>
    <row r="45" spans="1:32" x14ac:dyDescent="0.25">
      <c r="B45" s="1">
        <v>42223</v>
      </c>
      <c r="C45" s="7">
        <v>30</v>
      </c>
      <c r="D45" s="43">
        <v>62</v>
      </c>
      <c r="E45" s="43">
        <v>0</v>
      </c>
      <c r="F45" s="43">
        <f t="shared" si="4"/>
        <v>1860</v>
      </c>
      <c r="G45" s="1">
        <v>42314</v>
      </c>
      <c r="H45" s="77">
        <v>100</v>
      </c>
      <c r="I45" s="43">
        <v>63.1</v>
      </c>
      <c r="J45" s="43">
        <v>0.12</v>
      </c>
      <c r="K45" s="43">
        <f t="shared" si="5"/>
        <v>6309.88</v>
      </c>
      <c r="O45" s="78">
        <v>1.01</v>
      </c>
      <c r="P45" s="78">
        <f t="shared" si="3"/>
        <v>109.4941</v>
      </c>
      <c r="Q45" s="2"/>
      <c r="T45" s="108" t="s">
        <v>102</v>
      </c>
      <c r="U45" s="101">
        <v>0.98780999999999997</v>
      </c>
      <c r="X45" s="105">
        <v>42769</v>
      </c>
      <c r="Y45" s="9">
        <v>77.92</v>
      </c>
      <c r="Z45" s="9">
        <v>78</v>
      </c>
      <c r="AA45" s="9">
        <v>77.290000000000006</v>
      </c>
      <c r="AB45" s="9">
        <v>77.48</v>
      </c>
      <c r="AC45" s="99">
        <v>2109700</v>
      </c>
      <c r="AD45" s="9">
        <v>77.12</v>
      </c>
      <c r="AE45" s="2">
        <f t="shared" si="0"/>
        <v>0.70999999999999375</v>
      </c>
      <c r="AF45" s="131">
        <f t="shared" si="1"/>
        <v>1.0384215991692258E-3</v>
      </c>
    </row>
    <row r="46" spans="1:32" x14ac:dyDescent="0.25">
      <c r="B46" s="1">
        <v>42223</v>
      </c>
      <c r="C46" s="7">
        <v>30</v>
      </c>
      <c r="D46" s="43">
        <v>62.98</v>
      </c>
      <c r="E46" s="43">
        <v>0</v>
      </c>
      <c r="F46" s="43">
        <f t="shared" si="4"/>
        <v>1889.3999999999999</v>
      </c>
      <c r="G46" s="1">
        <v>42331</v>
      </c>
      <c r="H46" s="77">
        <v>50</v>
      </c>
      <c r="I46" s="43">
        <v>63.6</v>
      </c>
      <c r="J46" s="43">
        <v>0.06</v>
      </c>
      <c r="K46" s="43">
        <f t="shared" si="5"/>
        <v>3179.94</v>
      </c>
      <c r="O46" s="78">
        <v>1</v>
      </c>
      <c r="P46" s="78">
        <f t="shared" si="3"/>
        <v>108.41</v>
      </c>
      <c r="Q46" s="2"/>
      <c r="T46" s="108" t="s">
        <v>103</v>
      </c>
      <c r="U46" s="101" t="s">
        <v>367</v>
      </c>
      <c r="X46" s="105">
        <v>42768</v>
      </c>
      <c r="Y46" s="9">
        <v>76.739999999999995</v>
      </c>
      <c r="Z46" s="9">
        <v>78.12</v>
      </c>
      <c r="AA46" s="9">
        <v>76.38</v>
      </c>
      <c r="AB46" s="9">
        <v>77.400000000000006</v>
      </c>
      <c r="AC46" s="99">
        <v>3883200</v>
      </c>
      <c r="AD46" s="9">
        <v>77.040000000000006</v>
      </c>
      <c r="AE46" s="2">
        <f t="shared" si="0"/>
        <v>1.7400000000000091</v>
      </c>
      <c r="AF46" s="131">
        <f t="shared" si="1"/>
        <v>2.8708772866871568E-2</v>
      </c>
    </row>
    <row r="47" spans="1:32" x14ac:dyDescent="0.25">
      <c r="B47" s="1">
        <v>42223</v>
      </c>
      <c r="C47" s="7">
        <v>30</v>
      </c>
      <c r="D47" s="43">
        <v>61.3</v>
      </c>
      <c r="E47" s="43">
        <v>0</v>
      </c>
      <c r="F47" s="43">
        <f t="shared" si="4"/>
        <v>1839</v>
      </c>
      <c r="G47" s="1">
        <v>42347</v>
      </c>
      <c r="H47" s="77">
        <v>20</v>
      </c>
      <c r="I47" s="43">
        <v>63.65</v>
      </c>
      <c r="J47" s="43">
        <v>0.02</v>
      </c>
      <c r="K47" s="43">
        <f t="shared" si="5"/>
        <v>1272.98</v>
      </c>
      <c r="O47" s="78">
        <v>0.99</v>
      </c>
      <c r="P47" s="78">
        <f t="shared" si="3"/>
        <v>107.32589999999999</v>
      </c>
      <c r="Q47" s="2"/>
      <c r="T47" s="108"/>
      <c r="U47" s="101"/>
      <c r="X47" s="105">
        <v>42767</v>
      </c>
      <c r="Y47" s="9">
        <v>75.569999999999993</v>
      </c>
      <c r="Z47" s="9">
        <v>75.97</v>
      </c>
      <c r="AA47" s="9">
        <v>75</v>
      </c>
      <c r="AB47" s="9">
        <v>75.239999999999995</v>
      </c>
      <c r="AC47" s="99">
        <v>2411700</v>
      </c>
      <c r="AD47" s="9">
        <v>74.89</v>
      </c>
      <c r="AE47" s="2">
        <f t="shared" si="0"/>
        <v>0.96999999999999886</v>
      </c>
      <c r="AF47" s="131">
        <f t="shared" si="1"/>
        <v>4.0074806305101518E-4</v>
      </c>
    </row>
    <row r="48" spans="1:32" x14ac:dyDescent="0.25">
      <c r="B48" s="1">
        <v>42270</v>
      </c>
      <c r="C48" s="7">
        <v>50</v>
      </c>
      <c r="D48" s="43">
        <v>58.15</v>
      </c>
      <c r="E48" s="43">
        <v>0</v>
      </c>
      <c r="F48" s="43">
        <f t="shared" si="4"/>
        <v>2907.5</v>
      </c>
      <c r="G48" s="1">
        <v>42410</v>
      </c>
      <c r="H48" s="77">
        <v>40</v>
      </c>
      <c r="I48" s="43">
        <v>63.85</v>
      </c>
      <c r="J48" s="43">
        <v>0.06</v>
      </c>
      <c r="K48" s="43">
        <f t="shared" si="5"/>
        <v>2553.94</v>
      </c>
      <c r="O48" s="78">
        <v>0.98</v>
      </c>
      <c r="P48" s="78">
        <f t="shared" si="3"/>
        <v>106.2418</v>
      </c>
      <c r="Q48" s="2"/>
      <c r="T48" s="108" t="s">
        <v>104</v>
      </c>
      <c r="U48" s="101" t="s">
        <v>572</v>
      </c>
      <c r="X48" s="105">
        <v>42766</v>
      </c>
      <c r="Y48" s="9">
        <v>75.27</v>
      </c>
      <c r="Z48" s="9">
        <v>75.58</v>
      </c>
      <c r="AA48" s="9">
        <v>74.739999999999995</v>
      </c>
      <c r="AB48" s="9">
        <v>75.209999999999994</v>
      </c>
      <c r="AC48" s="99">
        <v>2041900</v>
      </c>
      <c r="AD48" s="9">
        <v>74.86</v>
      </c>
      <c r="AE48" s="2">
        <f t="shared" si="0"/>
        <v>0.84000000000000341</v>
      </c>
      <c r="AF48" s="131">
        <f t="shared" si="1"/>
        <v>-5.3149083178315459E-3</v>
      </c>
    </row>
    <row r="49" spans="1:32" x14ac:dyDescent="0.25">
      <c r="B49" s="1">
        <v>42282</v>
      </c>
      <c r="C49" s="7">
        <v>20</v>
      </c>
      <c r="D49" s="43">
        <v>57.85</v>
      </c>
      <c r="E49" s="43">
        <v>0</v>
      </c>
      <c r="F49" s="43">
        <f t="shared" si="4"/>
        <v>1157</v>
      </c>
      <c r="G49" s="2"/>
      <c r="H49" s="67"/>
      <c r="O49" s="78">
        <v>0.97</v>
      </c>
      <c r="P49" s="78">
        <f t="shared" si="3"/>
        <v>105.15769999999999</v>
      </c>
      <c r="T49" s="108" t="s">
        <v>105</v>
      </c>
      <c r="U49" s="101" t="s">
        <v>463</v>
      </c>
      <c r="X49" s="105">
        <v>42765</v>
      </c>
      <c r="Y49" s="9">
        <v>75.489999999999995</v>
      </c>
      <c r="Z49" s="9">
        <v>75.67</v>
      </c>
      <c r="AA49" s="9">
        <v>75.13</v>
      </c>
      <c r="AB49" s="9">
        <v>75.61</v>
      </c>
      <c r="AC49" s="99">
        <v>1748100</v>
      </c>
      <c r="AD49" s="9">
        <v>75.260000000000005</v>
      </c>
      <c r="AE49" s="2">
        <f t="shared" si="0"/>
        <v>0.54000000000000625</v>
      </c>
      <c r="AF49" s="131">
        <f t="shared" si="1"/>
        <v>2.658160552899691E-4</v>
      </c>
    </row>
    <row r="50" spans="1:32" x14ac:dyDescent="0.25">
      <c r="B50" s="1">
        <v>42313</v>
      </c>
      <c r="C50" s="7">
        <v>50</v>
      </c>
      <c r="D50" s="43">
        <v>62</v>
      </c>
      <c r="E50" s="43">
        <v>0</v>
      </c>
      <c r="F50" s="43">
        <f t="shared" si="4"/>
        <v>3100</v>
      </c>
      <c r="H50" s="67"/>
      <c r="O50" s="78">
        <v>0.96</v>
      </c>
      <c r="P50" s="78">
        <f t="shared" si="3"/>
        <v>104.0736</v>
      </c>
      <c r="T50" s="108" t="s">
        <v>106</v>
      </c>
      <c r="U50" s="102">
        <v>1575151</v>
      </c>
      <c r="X50" s="105">
        <v>42762</v>
      </c>
      <c r="Y50" s="9">
        <v>75.290000000000006</v>
      </c>
      <c r="Z50" s="9">
        <v>75.81</v>
      </c>
      <c r="AA50" s="9">
        <v>75.22</v>
      </c>
      <c r="AB50" s="9">
        <v>75.59</v>
      </c>
      <c r="AC50" s="99">
        <v>1275500</v>
      </c>
      <c r="AD50" s="9">
        <v>75.239999999999995</v>
      </c>
      <c r="AE50" s="2">
        <f t="shared" si="0"/>
        <v>0.59000000000000341</v>
      </c>
      <c r="AF50" s="131">
        <f t="shared" si="1"/>
        <v>-2.9154518950437192E-3</v>
      </c>
    </row>
    <row r="51" spans="1:32" x14ac:dyDescent="0.25">
      <c r="B51" s="1">
        <v>42373</v>
      </c>
      <c r="C51" s="7">
        <v>40</v>
      </c>
      <c r="D51" s="43">
        <v>60.01</v>
      </c>
      <c r="E51" s="43">
        <v>0</v>
      </c>
      <c r="F51" s="43">
        <f t="shared" si="4"/>
        <v>2400.4</v>
      </c>
      <c r="O51" s="78">
        <v>0.95</v>
      </c>
      <c r="P51" s="78">
        <f t="shared" si="3"/>
        <v>102.98949999999999</v>
      </c>
      <c r="T51" s="108" t="s">
        <v>109</v>
      </c>
      <c r="U51" s="102">
        <v>1788130</v>
      </c>
      <c r="X51" s="105">
        <v>42761</v>
      </c>
      <c r="Y51" s="9">
        <v>75.42</v>
      </c>
      <c r="Z51" s="9">
        <v>75.849999999999994</v>
      </c>
      <c r="AA51" s="9">
        <v>75.209999999999994</v>
      </c>
      <c r="AB51" s="9">
        <v>75.81</v>
      </c>
      <c r="AC51" s="99">
        <v>1574900</v>
      </c>
      <c r="AD51" s="9">
        <v>75.459999999999994</v>
      </c>
      <c r="AE51" s="2">
        <f t="shared" si="0"/>
        <v>0.64000000000000057</v>
      </c>
      <c r="AF51" s="131">
        <f t="shared" si="1"/>
        <v>5.5970149253730117E-3</v>
      </c>
    </row>
    <row r="52" spans="1:32" x14ac:dyDescent="0.25">
      <c r="O52" s="78">
        <v>0.94</v>
      </c>
      <c r="P52" s="78">
        <f t="shared" si="3"/>
        <v>101.90539999999999</v>
      </c>
      <c r="T52" s="108" t="s">
        <v>107</v>
      </c>
      <c r="U52" s="101" t="s">
        <v>573</v>
      </c>
      <c r="X52" s="105">
        <v>42760</v>
      </c>
      <c r="Y52" s="9">
        <v>74.77</v>
      </c>
      <c r="Z52" s="9">
        <v>75.53</v>
      </c>
      <c r="AA52" s="9">
        <v>74.739999999999995</v>
      </c>
      <c r="AB52" s="9">
        <v>75.39</v>
      </c>
      <c r="AC52" s="99">
        <v>1769100</v>
      </c>
      <c r="AD52" s="9">
        <v>75.040000000000006</v>
      </c>
      <c r="AE52" s="2">
        <f t="shared" si="0"/>
        <v>0.79000000000000625</v>
      </c>
      <c r="AF52" s="131">
        <f t="shared" si="1"/>
        <v>1.2275731822474212E-2</v>
      </c>
    </row>
    <row r="53" spans="1:32" x14ac:dyDescent="0.25">
      <c r="O53" s="78">
        <v>0.93</v>
      </c>
      <c r="P53" s="78">
        <f t="shared" si="3"/>
        <v>100.82130000000001</v>
      </c>
      <c r="T53" s="108" t="s">
        <v>110</v>
      </c>
      <c r="U53" s="101">
        <v>17.43</v>
      </c>
      <c r="X53" s="105">
        <v>42759</v>
      </c>
      <c r="Y53" s="9">
        <v>74.239999999999995</v>
      </c>
      <c r="Z53" s="9">
        <v>74.66</v>
      </c>
      <c r="AA53" s="9">
        <v>73.97</v>
      </c>
      <c r="AB53" s="9">
        <v>74.47</v>
      </c>
      <c r="AC53" s="99">
        <v>1075500</v>
      </c>
      <c r="AD53" s="9">
        <v>74.13</v>
      </c>
      <c r="AE53" s="2">
        <f t="shared" si="0"/>
        <v>0.68999999999999773</v>
      </c>
      <c r="AF53" s="131">
        <f t="shared" si="1"/>
        <v>4.3354559002843907E-3</v>
      </c>
    </row>
    <row r="54" spans="1:32" x14ac:dyDescent="0.25">
      <c r="O54" s="78">
        <v>0.92</v>
      </c>
      <c r="P54" s="78">
        <f t="shared" si="3"/>
        <v>99.737200000000001</v>
      </c>
      <c r="T54" s="108" t="s">
        <v>111</v>
      </c>
      <c r="U54" s="101">
        <v>4.67</v>
      </c>
      <c r="X54" s="105">
        <v>42758</v>
      </c>
      <c r="Y54" s="9">
        <v>74.59</v>
      </c>
      <c r="Z54" s="9">
        <v>74.650000000000006</v>
      </c>
      <c r="AA54" s="9">
        <v>73.959999999999994</v>
      </c>
      <c r="AB54" s="9">
        <v>74.150000000000006</v>
      </c>
      <c r="AC54" s="99">
        <v>1232700</v>
      </c>
      <c r="AD54" s="9">
        <v>73.81</v>
      </c>
      <c r="AE54" s="2">
        <f t="shared" si="0"/>
        <v>0.69000000000001194</v>
      </c>
      <c r="AF54" s="131">
        <f t="shared" si="1"/>
        <v>-5.2560646900269292E-3</v>
      </c>
    </row>
    <row r="55" spans="1:32" x14ac:dyDescent="0.25">
      <c r="O55" s="78">
        <v>0.91</v>
      </c>
      <c r="P55" s="78">
        <f t="shared" si="3"/>
        <v>98.653099999999995</v>
      </c>
      <c r="T55" s="108" t="s">
        <v>108</v>
      </c>
      <c r="U55" s="101" t="s">
        <v>498</v>
      </c>
      <c r="X55" s="105">
        <v>42755</v>
      </c>
      <c r="Y55" s="9">
        <v>74.37</v>
      </c>
      <c r="Z55" s="9">
        <v>74.959999999999994</v>
      </c>
      <c r="AA55" s="9">
        <v>74.37</v>
      </c>
      <c r="AB55" s="9">
        <v>74.540000000000006</v>
      </c>
      <c r="AC55" s="99">
        <v>1528400</v>
      </c>
      <c r="AD55" s="9">
        <v>74.2</v>
      </c>
      <c r="AE55" s="2">
        <f t="shared" si="0"/>
        <v>0.5899999999999892</v>
      </c>
      <c r="AF55" s="131">
        <f t="shared" si="1"/>
        <v>4.3313481321061165E-3</v>
      </c>
    </row>
    <row r="56" spans="1:32" x14ac:dyDescent="0.25">
      <c r="A56" s="31" t="s">
        <v>81</v>
      </c>
      <c r="B56" s="14"/>
      <c r="C56" s="14">
        <f>SUM(C42:C51)</f>
        <v>320</v>
      </c>
      <c r="D56" s="18"/>
      <c r="E56" s="18"/>
      <c r="F56" s="18">
        <f>SUM(F42:F51)</f>
        <v>19576.2</v>
      </c>
      <c r="G56" s="14"/>
      <c r="H56" s="14">
        <f>SUM(H42:H51)</f>
        <v>320</v>
      </c>
      <c r="I56" s="18"/>
      <c r="J56" s="18"/>
      <c r="K56" s="18">
        <f>SUM(K42:K51)</f>
        <v>20063.82</v>
      </c>
      <c r="L56" s="18"/>
      <c r="M56" s="18">
        <f>SUM(M42:M51)</f>
        <v>36</v>
      </c>
      <c r="O56" s="78">
        <v>0.9</v>
      </c>
      <c r="P56" s="78">
        <f t="shared" si="3"/>
        <v>97.569000000000003</v>
      </c>
      <c r="X56" s="105">
        <v>42754</v>
      </c>
      <c r="Y56" s="9">
        <v>74.66</v>
      </c>
      <c r="Z56" s="9">
        <v>74.78</v>
      </c>
      <c r="AA56" s="9">
        <v>73.900000000000006</v>
      </c>
      <c r="AB56" s="9">
        <v>74.22</v>
      </c>
      <c r="AC56" s="99">
        <v>1282100</v>
      </c>
      <c r="AD56" s="9">
        <v>73.88</v>
      </c>
      <c r="AE56" s="2">
        <f t="shared" si="0"/>
        <v>0.87999999999999545</v>
      </c>
      <c r="AF56" s="131">
        <f t="shared" si="1"/>
        <v>-4.0442167700189824E-3</v>
      </c>
    </row>
    <row r="57" spans="1:32" x14ac:dyDescent="0.25">
      <c r="X57" s="105">
        <v>42753</v>
      </c>
      <c r="Y57" s="9">
        <v>74</v>
      </c>
      <c r="Z57" s="9">
        <v>74.83</v>
      </c>
      <c r="AA57" s="9">
        <v>73.92</v>
      </c>
      <c r="AB57" s="9">
        <v>74.52</v>
      </c>
      <c r="AC57" s="99">
        <v>1795800</v>
      </c>
      <c r="AD57" s="9">
        <v>74.180000000000007</v>
      </c>
      <c r="AE57" s="2">
        <f t="shared" si="0"/>
        <v>0.90999999999999659</v>
      </c>
      <c r="AF57" s="131">
        <f t="shared" si="1"/>
        <v>9.1144062032377793E-3</v>
      </c>
    </row>
    <row r="58" spans="1:32" x14ac:dyDescent="0.25">
      <c r="X58" s="105">
        <v>42752</v>
      </c>
      <c r="Y58" s="9">
        <v>73.61</v>
      </c>
      <c r="Z58" s="9">
        <v>73.89</v>
      </c>
      <c r="AA58" s="9">
        <v>73.39</v>
      </c>
      <c r="AB58" s="9">
        <v>73.849999999999994</v>
      </c>
      <c r="AC58" s="99">
        <v>1180000</v>
      </c>
      <c r="AD58" s="9">
        <v>73.510000000000005</v>
      </c>
      <c r="AE58" s="2">
        <f t="shared" si="0"/>
        <v>0.5</v>
      </c>
      <c r="AF58" s="131">
        <f t="shared" si="1"/>
        <v>-5.4384772263760262E-4</v>
      </c>
    </row>
    <row r="59" spans="1:32" x14ac:dyDescent="0.25">
      <c r="X59" s="105">
        <v>42748</v>
      </c>
      <c r="Y59" s="9">
        <v>73.91</v>
      </c>
      <c r="Z59" s="9">
        <v>74.349999999999994</v>
      </c>
      <c r="AA59" s="9">
        <v>73.8</v>
      </c>
      <c r="AB59" s="9">
        <v>73.89</v>
      </c>
      <c r="AC59" s="99">
        <v>1220200</v>
      </c>
      <c r="AD59" s="9">
        <v>73.55</v>
      </c>
      <c r="AE59" s="2">
        <f t="shared" si="0"/>
        <v>0.54999999999999716</v>
      </c>
      <c r="AF59" s="131">
        <f t="shared" si="1"/>
        <v>2.8633760567220445E-3</v>
      </c>
    </row>
    <row r="60" spans="1:32" x14ac:dyDescent="0.25">
      <c r="X60" s="105">
        <v>42747</v>
      </c>
      <c r="Y60" s="9">
        <v>73.56</v>
      </c>
      <c r="Z60" s="9">
        <v>73.790000000000006</v>
      </c>
      <c r="AA60" s="9">
        <v>73.13</v>
      </c>
      <c r="AB60" s="9">
        <v>73.680000000000007</v>
      </c>
      <c r="AC60" s="99">
        <v>1110500</v>
      </c>
      <c r="AD60" s="9">
        <v>73.34</v>
      </c>
      <c r="AE60" s="2">
        <f t="shared" si="0"/>
        <v>0.6600000000000108</v>
      </c>
      <c r="AF60" s="131">
        <f t="shared" si="1"/>
        <v>-3.5326086956520841E-3</v>
      </c>
    </row>
    <row r="61" spans="1:32" x14ac:dyDescent="0.25">
      <c r="X61" s="105">
        <v>42746</v>
      </c>
      <c r="Y61" s="9">
        <v>73.94</v>
      </c>
      <c r="Z61" s="9">
        <v>74.260000000000005</v>
      </c>
      <c r="AA61" s="9">
        <v>73.59</v>
      </c>
      <c r="AB61" s="9">
        <v>73.94</v>
      </c>
      <c r="AC61" s="99">
        <v>1738500</v>
      </c>
      <c r="AD61" s="9">
        <v>73.599999999999994</v>
      </c>
      <c r="AE61" s="2">
        <f t="shared" si="0"/>
        <v>0.67000000000000171</v>
      </c>
      <c r="AF61" s="131">
        <f t="shared" si="1"/>
        <v>2.5882032420649903E-3</v>
      </c>
    </row>
    <row r="62" spans="1:32" x14ac:dyDescent="0.25">
      <c r="X62" s="105">
        <v>42745</v>
      </c>
      <c r="Y62" s="9">
        <v>73.28</v>
      </c>
      <c r="Z62" s="9">
        <v>74.3</v>
      </c>
      <c r="AA62" s="9">
        <v>73.260000000000005</v>
      </c>
      <c r="AB62" s="9">
        <v>73.75</v>
      </c>
      <c r="AC62" s="99">
        <v>2350000</v>
      </c>
      <c r="AD62" s="9">
        <v>73.41</v>
      </c>
      <c r="AE62" s="2">
        <f t="shared" si="0"/>
        <v>1.039999999999992</v>
      </c>
      <c r="AF62" s="131">
        <f t="shared" si="1"/>
        <v>9.0721649484535316E-3</v>
      </c>
    </row>
    <row r="63" spans="1:32" x14ac:dyDescent="0.25">
      <c r="X63" s="105">
        <v>42744</v>
      </c>
      <c r="Y63" s="9">
        <v>73.95</v>
      </c>
      <c r="Z63" s="9">
        <v>74.05</v>
      </c>
      <c r="AA63" s="9">
        <v>73.040000000000006</v>
      </c>
      <c r="AB63" s="9">
        <v>73.09</v>
      </c>
      <c r="AC63" s="99">
        <v>1801900</v>
      </c>
      <c r="AD63" s="9">
        <v>72.75</v>
      </c>
      <c r="AE63" s="2">
        <f t="shared" si="0"/>
        <v>1.0099999999999909</v>
      </c>
      <c r="AF63" s="131">
        <f t="shared" si="1"/>
        <v>-1.436119766969246E-2</v>
      </c>
    </row>
    <row r="64" spans="1:32" x14ac:dyDescent="0.25">
      <c r="X64" s="105">
        <v>42741</v>
      </c>
      <c r="Y64" s="9">
        <v>73.680000000000007</v>
      </c>
      <c r="Z64" s="9">
        <v>74.459999999999994</v>
      </c>
      <c r="AA64" s="9">
        <v>73.48</v>
      </c>
      <c r="AB64" s="9">
        <v>74.150000000000006</v>
      </c>
      <c r="AC64" s="99">
        <v>1614700</v>
      </c>
      <c r="AD64" s="9">
        <v>73.81</v>
      </c>
      <c r="AE64" s="2">
        <f t="shared" si="0"/>
        <v>0.97999999999998977</v>
      </c>
      <c r="AF64" s="131">
        <f t="shared" si="1"/>
        <v>1.6284434794409108E-3</v>
      </c>
    </row>
    <row r="65" spans="24:32" x14ac:dyDescent="0.25">
      <c r="X65" s="105">
        <v>42740</v>
      </c>
      <c r="Y65" s="9">
        <v>74.180000000000007</v>
      </c>
      <c r="Z65" s="9">
        <v>74.44</v>
      </c>
      <c r="AA65" s="9">
        <v>73.8</v>
      </c>
      <c r="AB65" s="9">
        <v>74.03</v>
      </c>
      <c r="AC65" s="99">
        <v>1741800</v>
      </c>
      <c r="AD65" s="9">
        <v>73.69</v>
      </c>
      <c r="AE65" s="2">
        <f t="shared" si="0"/>
        <v>0.64000000000000057</v>
      </c>
      <c r="AF65" s="131">
        <f t="shared" si="1"/>
        <v>-4.5927326759421794E-3</v>
      </c>
    </row>
    <row r="66" spans="24:32" x14ac:dyDescent="0.25">
      <c r="X66" s="105">
        <v>42739</v>
      </c>
      <c r="Y66" s="9">
        <v>74.38</v>
      </c>
      <c r="Z66" s="9">
        <v>74.95</v>
      </c>
      <c r="AA66" s="9">
        <v>74.209999999999994</v>
      </c>
      <c r="AB66" s="9">
        <v>74.37</v>
      </c>
      <c r="AC66" s="99">
        <v>1948400</v>
      </c>
      <c r="AD66" s="9">
        <v>74.03</v>
      </c>
      <c r="AE66" s="2">
        <f t="shared" si="0"/>
        <v>0.74000000000000909</v>
      </c>
      <c r="AF66" s="131">
        <f t="shared" si="1"/>
        <v>2.7089259108763475E-3</v>
      </c>
    </row>
    <row r="67" spans="24:32" x14ac:dyDescent="0.25">
      <c r="X67" s="105">
        <v>42738</v>
      </c>
      <c r="Y67" s="9">
        <v>74</v>
      </c>
      <c r="Z67" s="9">
        <v>74.56</v>
      </c>
      <c r="AA67" s="9">
        <v>73.540000000000006</v>
      </c>
      <c r="AB67" s="9">
        <v>74.17</v>
      </c>
      <c r="AC67" s="99">
        <v>2019800</v>
      </c>
      <c r="AD67" s="9">
        <v>73.83</v>
      </c>
      <c r="AE67" s="2">
        <f>Z67-AA67</f>
        <v>1.019999999999996</v>
      </c>
      <c r="AF67" s="131" t="e">
        <f>AD67/#REF!-1</f>
        <v>#REF!</v>
      </c>
    </row>
    <row r="68" spans="24:32" x14ac:dyDescent="0.25">
      <c r="X68" s="105">
        <v>42734</v>
      </c>
      <c r="Y68" s="9">
        <v>74.540000000000006</v>
      </c>
      <c r="Z68" s="9">
        <v>74.56</v>
      </c>
      <c r="AA68" s="9">
        <v>73.930000000000007</v>
      </c>
      <c r="AB68" s="9">
        <v>74.12</v>
      </c>
      <c r="AC68" s="99">
        <v>1709600</v>
      </c>
      <c r="AD68" s="9">
        <v>73.78</v>
      </c>
      <c r="AE68" s="2" t="e">
        <f>#REF!-#REF!</f>
        <v>#REF!</v>
      </c>
      <c r="AF68" s="131" t="e">
        <f>#REF!/AD69-1</f>
        <v>#REF!</v>
      </c>
    </row>
    <row r="69" spans="24:32" x14ac:dyDescent="0.25">
      <c r="X69" s="105" t="s">
        <v>120</v>
      </c>
      <c r="Y69" s="9"/>
      <c r="Z69" s="9"/>
      <c r="AA69" s="9"/>
      <c r="AB69" s="9"/>
      <c r="AC69" s="99"/>
      <c r="AD69" s="9"/>
      <c r="AE69" s="2">
        <f>Z69-AA69</f>
        <v>0</v>
      </c>
      <c r="AF69" s="131" t="e">
        <f>AD69/AD70-1</f>
        <v>#DIV/0!</v>
      </c>
    </row>
  </sheetData>
  <mergeCells count="1">
    <mergeCell ref="O35:P35"/>
  </mergeCells>
  <conditionalFormatting sqref="O36:O56">
    <cfRule type="colorScale" priority="24">
      <colorScale>
        <cfvo type="min"/>
        <cfvo type="percentile" val="50"/>
        <cfvo type="max"/>
        <color rgb="FFF8696B"/>
        <color rgb="FFFFEB84"/>
        <color rgb="FF63BE7B"/>
      </colorScale>
    </cfRule>
  </conditionalFormatting>
  <conditionalFormatting sqref="P36:P56">
    <cfRule type="colorScale" priority="23">
      <colorScale>
        <cfvo type="min"/>
        <cfvo type="percentile" val="50"/>
        <cfvo type="max"/>
        <color rgb="FFF8696B"/>
        <color rgb="FFFFEB84"/>
        <color rgb="FF63BE7B"/>
      </colorScale>
    </cfRule>
  </conditionalFormatting>
  <conditionalFormatting sqref="AE1:AE69">
    <cfRule type="dataBar" priority="22">
      <dataBar>
        <cfvo type="min"/>
        <cfvo type="max"/>
        <color rgb="FFFF555A"/>
      </dataBar>
      <extLst>
        <ext xmlns:x14="http://schemas.microsoft.com/office/spreadsheetml/2009/9/main" uri="{B025F937-C7B1-47D3-B67F-A62EFF666E3E}">
          <x14:id>{17613B91-803D-4EFF-99C6-9AEBDE90044A}</x14:id>
        </ext>
      </extLst>
    </cfRule>
  </conditionalFormatting>
  <conditionalFormatting sqref="AF1:AF69">
    <cfRule type="iconSet" priority="21">
      <iconSet iconSet="3Arrows">
        <cfvo type="percent" val="0"/>
        <cfvo type="num" val="0"/>
        <cfvo type="num" val="0"/>
      </iconSet>
    </cfRule>
  </conditionalFormatting>
  <conditionalFormatting sqref="F27:F36">
    <cfRule type="expression" dxfId="837" priority="19">
      <formula>F27&gt;0</formula>
    </cfRule>
    <cfRule type="expression" dxfId="836" priority="20">
      <formula>F27&lt;0</formula>
    </cfRule>
  </conditionalFormatting>
  <conditionalFormatting sqref="F37:F38">
    <cfRule type="expression" dxfId="835" priority="17">
      <formula>F37&gt;0</formula>
    </cfRule>
    <cfRule type="expression" dxfId="834" priority="18">
      <formula>F37&lt;0</formula>
    </cfRule>
  </conditionalFormatting>
  <conditionalFormatting sqref="H27:H32">
    <cfRule type="expression" dxfId="833" priority="15">
      <formula>H27&gt;0</formula>
    </cfRule>
    <cfRule type="expression" dxfId="832" priority="16">
      <formula>H27&lt;0</formula>
    </cfRule>
  </conditionalFormatting>
  <conditionalFormatting sqref="Q7">
    <cfRule type="expression" dxfId="831" priority="3">
      <formula>Q7&gt;0</formula>
    </cfRule>
    <cfRule type="expression" dxfId="830" priority="4">
      <formula>Q7&lt;0</formula>
    </cfRule>
  </conditionalFormatting>
  <conditionalFormatting sqref="Q8">
    <cfRule type="expression" dxfId="829" priority="1">
      <formula>Q8&gt;0</formula>
    </cfRule>
    <cfRule type="expression" dxfId="828" priority="2">
      <formula>Q8&lt;0</formula>
    </cfRule>
  </conditionalFormatting>
  <hyperlinks>
    <hyperlink ref="A3" location="ACTIVE!A1" display="Back"/>
    <hyperlink ref="A43" location="ACTIVE!A1" display="Back"/>
  </hyperlinks>
  <pageMargins left="0.7" right="0.7" top="0.75" bottom="0.75" header="0.3" footer="0.3"/>
  <pageSetup paperSize="0" orientation="portrait" horizontalDpi="0" verticalDpi="0" copies="0"/>
  <ignoredErrors>
    <ignoredError sqref="AF55 AF68:AF69" evalError="1"/>
  </ignoredErrors>
  <drawing r:id="rId1"/>
  <legacyDrawing r:id="rId2"/>
  <extLst>
    <ext xmlns:x14="http://schemas.microsoft.com/office/spreadsheetml/2009/9/main" uri="{78C0D931-6437-407d-A8EE-F0AAD7539E65}">
      <x14:conditionalFormattings>
        <x14:conditionalFormatting xmlns:xm="http://schemas.microsoft.com/office/excel/2006/main">
          <x14:cfRule type="dataBar" id="{17613B91-803D-4EFF-99C6-9AEBDE90044A}">
            <x14:dataBar minLength="0" maxLength="100" border="1" negativeBarBorderColorSameAsPositive="0">
              <x14:cfvo type="autoMin"/>
              <x14:cfvo type="autoMax"/>
              <x14:borderColor rgb="FFFF555A"/>
              <x14:negativeFillColor rgb="FFFF0000"/>
              <x14:negativeBorderColor rgb="FFFF0000"/>
              <x14:axisColor rgb="FF000000"/>
            </x14:dataBar>
          </x14:cfRule>
          <xm:sqref>AE1:AE69</xm:sqref>
        </x14:conditionalFormatting>
      </x14:conditionalFormattings>
    </ext>
  </extLst>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C73"/>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15" max="15" width="13.28515625" bestFit="1" customWidth="1"/>
    <col min="20" max="20" width="18.5703125" bestFit="1" customWidth="1"/>
    <col min="21" max="21" width="35.5703125" bestFit="1" customWidth="1"/>
    <col min="23" max="23" width="11.85546875" style="29" customWidth="1"/>
    <col min="24" max="24" width="8" style="2" customWidth="1"/>
    <col min="25" max="27" width="6" style="2" bestFit="1" customWidth="1"/>
    <col min="29" max="29" width="10.28515625" style="2" bestFit="1" customWidth="1"/>
    <col min="30" max="30" width="13.5703125" customWidth="1"/>
    <col min="31" max="31" width="13.4257812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row>
    <row r="2" spans="1:29" x14ac:dyDescent="0.25">
      <c r="A2" s="6" t="s">
        <v>47</v>
      </c>
      <c r="B2" s="69"/>
      <c r="C2" s="4"/>
      <c r="D2" s="3"/>
      <c r="E2" s="3"/>
      <c r="F2" s="3"/>
      <c r="G2" s="69"/>
      <c r="H2" s="158"/>
      <c r="I2" s="3"/>
      <c r="J2" s="4"/>
      <c r="K2" s="4"/>
      <c r="L2" s="69"/>
      <c r="M2" s="3"/>
      <c r="O2" s="11" t="s">
        <v>57</v>
      </c>
      <c r="Q2">
        <f>C18-H18</f>
        <v>0</v>
      </c>
      <c r="T2" s="1"/>
      <c r="W2"/>
      <c r="X2"/>
      <c r="Y2"/>
      <c r="Z2"/>
      <c r="AA2"/>
      <c r="AC2"/>
    </row>
    <row r="3" spans="1:29" x14ac:dyDescent="0.25">
      <c r="A3" s="22" t="s">
        <v>71</v>
      </c>
      <c r="B3" s="69"/>
      <c r="C3" s="4"/>
      <c r="D3" s="3"/>
      <c r="E3" s="3"/>
      <c r="F3" s="3"/>
      <c r="G3" s="69"/>
      <c r="H3" s="158"/>
      <c r="I3" s="3"/>
      <c r="J3" s="3"/>
      <c r="K3" s="4"/>
      <c r="L3" s="4"/>
      <c r="M3" s="3"/>
      <c r="O3" s="11" t="s">
        <v>58</v>
      </c>
      <c r="Q3" s="2">
        <f>IF(Q2=0, Q4, (F18-K18-M18)/Q2)</f>
        <v>179.51</v>
      </c>
      <c r="W3"/>
      <c r="X3"/>
      <c r="Y3"/>
      <c r="Z3"/>
      <c r="AA3"/>
      <c r="AC3"/>
    </row>
    <row r="4" spans="1:29" x14ac:dyDescent="0.25">
      <c r="B4" s="69"/>
      <c r="C4" s="4"/>
      <c r="D4" s="3"/>
      <c r="E4" s="3"/>
      <c r="F4" s="3"/>
      <c r="G4" s="4"/>
      <c r="H4" s="158"/>
      <c r="I4" s="4"/>
      <c r="J4" s="4"/>
      <c r="K4" s="4"/>
      <c r="L4" s="4"/>
      <c r="M4" s="3"/>
      <c r="O4" s="11" t="s">
        <v>66</v>
      </c>
      <c r="Q4" s="53">
        <v>179.51</v>
      </c>
      <c r="R4" s="396">
        <v>1.04E-2</v>
      </c>
      <c r="W4"/>
      <c r="X4"/>
      <c r="Y4"/>
      <c r="Z4"/>
      <c r="AA4"/>
      <c r="AC4"/>
    </row>
    <row r="5" spans="1:29" x14ac:dyDescent="0.25">
      <c r="B5" s="69"/>
      <c r="C5" s="4"/>
      <c r="D5" s="3"/>
      <c r="E5" s="3"/>
      <c r="F5" s="3"/>
      <c r="G5" s="4"/>
      <c r="H5" s="158"/>
      <c r="I5" s="4"/>
      <c r="J5" s="4"/>
      <c r="K5" s="4"/>
      <c r="L5" s="4"/>
      <c r="M5" s="3"/>
      <c r="O5" s="11" t="s">
        <v>67</v>
      </c>
      <c r="Q5" s="3">
        <f>Q4*Q2</f>
        <v>0</v>
      </c>
      <c r="T5" s="1"/>
      <c r="W5"/>
      <c r="X5"/>
      <c r="Y5"/>
      <c r="Z5"/>
      <c r="AA5"/>
      <c r="AC5"/>
    </row>
    <row r="6" spans="1:29" x14ac:dyDescent="0.25">
      <c r="B6" s="69"/>
      <c r="C6" s="4"/>
      <c r="D6" s="3"/>
      <c r="E6" s="3"/>
      <c r="F6" s="3"/>
      <c r="G6" s="4"/>
      <c r="H6" s="158"/>
      <c r="I6" s="4"/>
      <c r="J6" s="4"/>
      <c r="K6" s="4"/>
      <c r="L6" s="4"/>
      <c r="M6" s="4"/>
      <c r="O6" s="11" t="s">
        <v>64</v>
      </c>
      <c r="Q6" s="2">
        <f>Q3*Q2</f>
        <v>0</v>
      </c>
      <c r="W6"/>
      <c r="X6"/>
      <c r="Y6"/>
      <c r="Z6"/>
      <c r="AA6"/>
      <c r="AC6"/>
    </row>
    <row r="7" spans="1:29" x14ac:dyDescent="0.25">
      <c r="B7" s="69"/>
      <c r="C7" s="4"/>
      <c r="D7" s="3"/>
      <c r="E7" s="3"/>
      <c r="F7" s="3"/>
      <c r="G7" s="4"/>
      <c r="H7" s="158"/>
      <c r="I7" s="4"/>
      <c r="J7" s="4"/>
      <c r="K7" s="4"/>
      <c r="L7" s="4"/>
      <c r="M7" s="4"/>
      <c r="O7" s="11" t="s">
        <v>175</v>
      </c>
      <c r="Q7" s="2">
        <f>Q10+Q8</f>
        <v>-168.6200000000008</v>
      </c>
      <c r="R7">
        <v>0</v>
      </c>
      <c r="W7"/>
      <c r="X7"/>
      <c r="Y7"/>
      <c r="Z7"/>
      <c r="AA7"/>
      <c r="AC7"/>
    </row>
    <row r="8" spans="1:29" x14ac:dyDescent="0.25">
      <c r="B8" s="4"/>
      <c r="C8" s="4"/>
      <c r="D8" s="3"/>
      <c r="E8" s="3"/>
      <c r="F8" s="3"/>
      <c r="G8" s="4"/>
      <c r="H8" s="158"/>
      <c r="I8" s="4"/>
      <c r="J8" s="4"/>
      <c r="K8" s="4"/>
      <c r="L8" s="4"/>
      <c r="M8" s="4"/>
      <c r="O8" s="11" t="s">
        <v>177</v>
      </c>
      <c r="P8" s="33"/>
      <c r="Q8" s="2">
        <f>K18+M18-F18+Q2*Q4</f>
        <v>0</v>
      </c>
      <c r="W8"/>
      <c r="X8"/>
      <c r="Y8"/>
      <c r="Z8"/>
      <c r="AA8"/>
      <c r="AC8"/>
    </row>
    <row r="9" spans="1:29" x14ac:dyDescent="0.25">
      <c r="B9" s="4"/>
      <c r="C9" s="4"/>
      <c r="D9" s="3"/>
      <c r="E9" s="3"/>
      <c r="F9" s="3"/>
      <c r="G9" s="4"/>
      <c r="H9" s="4"/>
      <c r="I9" s="4"/>
      <c r="J9" s="4"/>
      <c r="K9" s="4"/>
      <c r="L9" s="4"/>
      <c r="M9" s="4"/>
      <c r="O9" s="11" t="s">
        <v>202</v>
      </c>
      <c r="Q9" s="131">
        <f>IF(Q2=0, 0, Q8/Q6)</f>
        <v>0</v>
      </c>
      <c r="W9"/>
      <c r="X9"/>
      <c r="Y9"/>
      <c r="Z9"/>
      <c r="AA9"/>
      <c r="AC9"/>
    </row>
    <row r="10" spans="1:29" x14ac:dyDescent="0.25">
      <c r="B10" s="4"/>
      <c r="C10" s="4"/>
      <c r="D10" s="3"/>
      <c r="E10" s="3"/>
      <c r="F10" s="3"/>
      <c r="G10" s="4"/>
      <c r="H10" s="4"/>
      <c r="I10" s="4"/>
      <c r="J10" s="4"/>
      <c r="K10" s="4"/>
      <c r="L10" s="4"/>
      <c r="M10" s="4"/>
      <c r="O10" s="11" t="s">
        <v>201</v>
      </c>
      <c r="P10" s="33"/>
      <c r="Q10" s="2">
        <f>M33</f>
        <v>-168.6200000000008</v>
      </c>
      <c r="W10"/>
      <c r="X10"/>
      <c r="Y10"/>
      <c r="Z10"/>
      <c r="AA10"/>
      <c r="AC10"/>
    </row>
    <row r="11" spans="1:29" x14ac:dyDescent="0.25">
      <c r="B11" s="4"/>
      <c r="C11" s="4"/>
      <c r="D11" s="3"/>
      <c r="E11" s="3"/>
      <c r="F11" s="3"/>
      <c r="G11" s="4"/>
      <c r="H11" s="4"/>
      <c r="I11" s="4"/>
      <c r="J11" s="4"/>
      <c r="K11" s="4"/>
      <c r="L11" s="4"/>
      <c r="M11" s="4"/>
      <c r="O11" s="11" t="s">
        <v>173</v>
      </c>
      <c r="P11" s="33"/>
      <c r="Q11" s="131">
        <v>0</v>
      </c>
      <c r="W11"/>
      <c r="X11"/>
      <c r="Y11"/>
      <c r="Z11"/>
      <c r="AA11"/>
      <c r="AC11"/>
    </row>
    <row r="12" spans="1:29" x14ac:dyDescent="0.25">
      <c r="W12"/>
      <c r="X12"/>
      <c r="Y12"/>
      <c r="Z12"/>
      <c r="AA12"/>
      <c r="AC12"/>
    </row>
    <row r="13" spans="1:29" x14ac:dyDescent="0.25">
      <c r="W13"/>
      <c r="X13"/>
      <c r="Y13"/>
      <c r="Z13"/>
      <c r="AA13"/>
      <c r="AC13"/>
    </row>
    <row r="14" spans="1:29" ht="20.25" thickBot="1" x14ac:dyDescent="0.35">
      <c r="O14" s="146" t="s">
        <v>78</v>
      </c>
      <c r="P14" s="146"/>
      <c r="W14"/>
      <c r="X14"/>
      <c r="Y14"/>
      <c r="Z14"/>
      <c r="AA14"/>
      <c r="AC14"/>
    </row>
    <row r="15" spans="1:29" ht="15.75" thickTop="1" x14ac:dyDescent="0.25">
      <c r="O15" s="78">
        <v>1.1000000000000001</v>
      </c>
      <c r="P15" s="78">
        <f t="shared" ref="P15:P35" si="0">O15*$Q$4</f>
        <v>197.46100000000001</v>
      </c>
      <c r="W15"/>
      <c r="X15"/>
      <c r="Y15"/>
      <c r="Z15"/>
      <c r="AA15"/>
      <c r="AC15"/>
    </row>
    <row r="16" spans="1:29" x14ac:dyDescent="0.25">
      <c r="O16" s="78">
        <v>1.0900000000000001</v>
      </c>
      <c r="P16" s="78">
        <f t="shared" si="0"/>
        <v>195.66589999999999</v>
      </c>
      <c r="W16"/>
      <c r="X16"/>
      <c r="Y16"/>
      <c r="Z16"/>
      <c r="AA16"/>
      <c r="AC16"/>
    </row>
    <row r="17" spans="1:29" x14ac:dyDescent="0.25">
      <c r="O17" s="78">
        <v>1.08</v>
      </c>
      <c r="P17" s="78">
        <f t="shared" si="0"/>
        <v>193.8708</v>
      </c>
      <c r="W17"/>
      <c r="X17"/>
      <c r="Y17"/>
      <c r="Z17"/>
      <c r="AA17"/>
      <c r="AC17"/>
    </row>
    <row r="18" spans="1:29" x14ac:dyDescent="0.25">
      <c r="A18" s="21" t="s">
        <v>81</v>
      </c>
      <c r="B18" s="12"/>
      <c r="C18" s="12">
        <f>SUM(C2:C8)</f>
        <v>0</v>
      </c>
      <c r="D18" s="13"/>
      <c r="E18" s="13"/>
      <c r="F18" s="13">
        <f>SUM(F2:F8)</f>
        <v>0</v>
      </c>
      <c r="G18" s="13"/>
      <c r="H18" s="72">
        <f>SUM(H2:H8)</f>
        <v>0</v>
      </c>
      <c r="I18" s="13"/>
      <c r="J18" s="13"/>
      <c r="K18" s="13">
        <f>SUM(K2:K8)</f>
        <v>0</v>
      </c>
      <c r="L18" s="13"/>
      <c r="M18" s="13">
        <f>SUM(M2:M5)</f>
        <v>0</v>
      </c>
      <c r="O18" s="78">
        <v>1.07</v>
      </c>
      <c r="P18" s="78">
        <f t="shared" si="0"/>
        <v>192.07570000000001</v>
      </c>
      <c r="W18"/>
      <c r="X18"/>
      <c r="Y18"/>
      <c r="Z18"/>
      <c r="AA18"/>
      <c r="AC18"/>
    </row>
    <row r="19" spans="1:29" x14ac:dyDescent="0.25">
      <c r="O19" s="78">
        <v>1.06</v>
      </c>
      <c r="P19" s="78">
        <f t="shared" si="0"/>
        <v>190.28059999999999</v>
      </c>
      <c r="W19"/>
      <c r="X19"/>
      <c r="Y19"/>
      <c r="Z19"/>
      <c r="AA19"/>
      <c r="AC19"/>
    </row>
    <row r="20" spans="1:29" x14ac:dyDescent="0.25">
      <c r="B20" s="159" t="s">
        <v>113</v>
      </c>
      <c r="C20" s="159" t="s">
        <v>143</v>
      </c>
      <c r="D20" s="160" t="s">
        <v>142</v>
      </c>
      <c r="E20" s="162" t="s">
        <v>144</v>
      </c>
      <c r="F20" s="162" t="s">
        <v>65</v>
      </c>
      <c r="G20" s="173" t="s">
        <v>148</v>
      </c>
      <c r="H20" s="173" t="s">
        <v>88</v>
      </c>
      <c r="I20" s="173" t="s">
        <v>151</v>
      </c>
      <c r="O20" s="78">
        <v>1.05</v>
      </c>
      <c r="P20" s="78">
        <f t="shared" si="0"/>
        <v>188.4855</v>
      </c>
      <c r="W20"/>
      <c r="X20"/>
      <c r="Y20"/>
      <c r="Z20"/>
      <c r="AA20"/>
      <c r="AC20"/>
    </row>
    <row r="21" spans="1:29" x14ac:dyDescent="0.25">
      <c r="B21" s="161">
        <v>42304</v>
      </c>
      <c r="C21" s="10">
        <v>75</v>
      </c>
      <c r="D21" s="170">
        <v>82.82</v>
      </c>
      <c r="E21" s="39">
        <v>77.44</v>
      </c>
      <c r="F21" s="39">
        <v>-403.4</v>
      </c>
      <c r="G21" s="39"/>
      <c r="H21" s="175"/>
      <c r="I21" s="39"/>
      <c r="O21" s="78">
        <v>1.04</v>
      </c>
      <c r="P21" s="78">
        <f t="shared" si="0"/>
        <v>186.69040000000001</v>
      </c>
      <c r="W21"/>
      <c r="X21"/>
      <c r="Y21"/>
      <c r="Z21"/>
      <c r="AA21"/>
      <c r="AC21"/>
    </row>
    <row r="22" spans="1:29" x14ac:dyDescent="0.25">
      <c r="B22" s="161">
        <v>42305</v>
      </c>
      <c r="C22" s="10">
        <v>0</v>
      </c>
      <c r="D22" s="170" t="s">
        <v>128</v>
      </c>
      <c r="E22" s="39">
        <v>81.599999999999994</v>
      </c>
      <c r="F22" s="39">
        <v>-169.71000000000095</v>
      </c>
      <c r="G22" s="39"/>
      <c r="H22" s="175"/>
      <c r="I22" s="39"/>
      <c r="O22" s="78">
        <v>1.03</v>
      </c>
      <c r="P22" s="78">
        <f t="shared" si="0"/>
        <v>184.89529999999999</v>
      </c>
      <c r="W22"/>
      <c r="X22"/>
      <c r="Y22"/>
      <c r="Z22"/>
      <c r="AA22"/>
      <c r="AC22"/>
    </row>
    <row r="23" spans="1:29" x14ac:dyDescent="0.25">
      <c r="B23" s="161">
        <v>42331</v>
      </c>
      <c r="C23" s="10">
        <v>0</v>
      </c>
      <c r="D23" s="170" t="s">
        <v>128</v>
      </c>
      <c r="E23" s="39">
        <v>95.56</v>
      </c>
      <c r="F23" s="39">
        <v>-168.62</v>
      </c>
      <c r="G23" s="39"/>
      <c r="H23" s="175"/>
      <c r="I23" s="39" t="s">
        <v>182</v>
      </c>
      <c r="O23" s="78">
        <v>1.02</v>
      </c>
      <c r="P23" s="78">
        <f t="shared" si="0"/>
        <v>183.1002</v>
      </c>
      <c r="W23"/>
      <c r="X23"/>
      <c r="Y23"/>
      <c r="Z23"/>
      <c r="AA23"/>
      <c r="AC23"/>
    </row>
    <row r="24" spans="1:29" x14ac:dyDescent="0.25">
      <c r="B24" s="161"/>
      <c r="C24" s="10"/>
      <c r="D24" s="39"/>
      <c r="E24" s="39"/>
      <c r="F24" s="39"/>
      <c r="G24" s="39"/>
      <c r="H24" s="175"/>
      <c r="I24" s="39"/>
      <c r="O24" s="78">
        <v>1.01</v>
      </c>
      <c r="P24" s="78">
        <f t="shared" si="0"/>
        <v>181.30509999999998</v>
      </c>
      <c r="W24"/>
      <c r="X24"/>
      <c r="Y24"/>
      <c r="Z24"/>
      <c r="AA24"/>
      <c r="AC24"/>
    </row>
    <row r="25" spans="1:29" x14ac:dyDescent="0.25">
      <c r="B25" s="161"/>
      <c r="C25" s="10"/>
      <c r="D25" s="39"/>
      <c r="E25" s="39"/>
      <c r="F25" s="39"/>
      <c r="G25" s="39"/>
      <c r="H25" s="175"/>
      <c r="I25" s="39"/>
      <c r="O25" s="78">
        <v>1</v>
      </c>
      <c r="P25" s="78">
        <f t="shared" si="0"/>
        <v>179.51</v>
      </c>
      <c r="W25"/>
      <c r="X25"/>
      <c r="Y25"/>
      <c r="Z25"/>
      <c r="AA25"/>
      <c r="AC25"/>
    </row>
    <row r="26" spans="1:29" x14ac:dyDescent="0.25">
      <c r="B26" s="161"/>
      <c r="C26" s="10"/>
      <c r="D26" s="39"/>
      <c r="E26" s="39"/>
      <c r="F26" s="39"/>
      <c r="G26" s="39"/>
      <c r="H26" s="175"/>
      <c r="I26" s="39"/>
      <c r="O26" s="78">
        <v>0.99</v>
      </c>
      <c r="P26" s="78">
        <f t="shared" si="0"/>
        <v>177.7149</v>
      </c>
      <c r="W26"/>
      <c r="X26"/>
      <c r="Y26"/>
      <c r="Z26"/>
      <c r="AA26"/>
      <c r="AC26"/>
    </row>
    <row r="27" spans="1:29" x14ac:dyDescent="0.25">
      <c r="B27" s="161"/>
      <c r="C27" s="10"/>
      <c r="D27" s="39"/>
      <c r="E27" s="39"/>
      <c r="F27" s="39"/>
      <c r="G27" s="39"/>
      <c r="H27" s="175"/>
      <c r="I27" s="39"/>
      <c r="O27" s="78">
        <v>0.98</v>
      </c>
      <c r="P27" s="78">
        <f t="shared" si="0"/>
        <v>175.91979999999998</v>
      </c>
      <c r="W27"/>
      <c r="X27"/>
      <c r="Y27"/>
      <c r="Z27"/>
      <c r="AA27"/>
      <c r="AC27"/>
    </row>
    <row r="28" spans="1:29" x14ac:dyDescent="0.25">
      <c r="O28" s="78">
        <v>0.97</v>
      </c>
      <c r="P28" s="78">
        <f t="shared" si="0"/>
        <v>174.12469999999999</v>
      </c>
      <c r="W28"/>
      <c r="X28"/>
      <c r="Y28"/>
      <c r="Z28"/>
      <c r="AA28"/>
      <c r="AC28"/>
    </row>
    <row r="29" spans="1:29" x14ac:dyDescent="0.25">
      <c r="O29" s="78">
        <v>0.96</v>
      </c>
      <c r="P29" s="78">
        <f t="shared" si="0"/>
        <v>172.32959999999997</v>
      </c>
      <c r="W29"/>
      <c r="X29"/>
      <c r="Y29"/>
      <c r="Z29"/>
      <c r="AA29"/>
      <c r="AC29"/>
    </row>
    <row r="30" spans="1:29" x14ac:dyDescent="0.25">
      <c r="O30" s="78">
        <v>0.95</v>
      </c>
      <c r="P30" s="78">
        <f t="shared" si="0"/>
        <v>170.53449999999998</v>
      </c>
      <c r="W30"/>
      <c r="X30"/>
      <c r="Y30"/>
      <c r="Z30"/>
      <c r="AA30"/>
      <c r="AC30"/>
    </row>
    <row r="31" spans="1:29" x14ac:dyDescent="0.25">
      <c r="O31" s="78">
        <v>0.94</v>
      </c>
      <c r="P31" s="78">
        <f t="shared" si="0"/>
        <v>168.73939999999999</v>
      </c>
      <c r="W31"/>
      <c r="X31"/>
      <c r="Y31"/>
      <c r="Z31"/>
      <c r="AA31"/>
      <c r="AC31"/>
    </row>
    <row r="32" spans="1:29" x14ac:dyDescent="0.25">
      <c r="O32" s="78">
        <v>0.93</v>
      </c>
      <c r="P32" s="78">
        <f t="shared" si="0"/>
        <v>166.9443</v>
      </c>
      <c r="W32"/>
      <c r="X32"/>
      <c r="Y32"/>
      <c r="Z32"/>
      <c r="AA32"/>
      <c r="AC32"/>
    </row>
    <row r="33" spans="1:29" x14ac:dyDescent="0.25">
      <c r="L33" t="s">
        <v>65</v>
      </c>
      <c r="M33" s="2">
        <f>K51+M51-F51</f>
        <v>-168.6200000000008</v>
      </c>
      <c r="O33" s="78">
        <v>0.92</v>
      </c>
      <c r="P33" s="78">
        <f t="shared" si="0"/>
        <v>165.14920000000001</v>
      </c>
      <c r="W33"/>
      <c r="X33"/>
      <c r="Y33"/>
      <c r="Z33"/>
      <c r="AA33"/>
      <c r="AC33"/>
    </row>
    <row r="34" spans="1:29" x14ac:dyDescent="0.25">
      <c r="A34" s="297" t="s">
        <v>1</v>
      </c>
      <c r="B34" s="297" t="s">
        <v>2</v>
      </c>
      <c r="C34" s="297" t="s">
        <v>4</v>
      </c>
      <c r="D34" s="299" t="s">
        <v>5</v>
      </c>
      <c r="E34" s="299" t="s">
        <v>94</v>
      </c>
      <c r="F34" s="299" t="s">
        <v>60</v>
      </c>
      <c r="G34" s="297" t="s">
        <v>3</v>
      </c>
      <c r="H34" s="297" t="s">
        <v>6</v>
      </c>
      <c r="I34" s="297" t="s">
        <v>7</v>
      </c>
      <c r="J34" s="297" t="s">
        <v>95</v>
      </c>
      <c r="K34" s="297" t="s">
        <v>61</v>
      </c>
      <c r="L34" s="297" t="s">
        <v>77</v>
      </c>
      <c r="M34" s="297" t="s">
        <v>38</v>
      </c>
      <c r="O34" s="78">
        <v>0.91</v>
      </c>
      <c r="P34" s="78">
        <f t="shared" si="0"/>
        <v>163.35409999999999</v>
      </c>
      <c r="W34"/>
      <c r="X34"/>
      <c r="Y34"/>
      <c r="Z34"/>
      <c r="AA34"/>
      <c r="AC34"/>
    </row>
    <row r="35" spans="1:29" x14ac:dyDescent="0.25">
      <c r="A35" s="300" t="s">
        <v>47</v>
      </c>
      <c r="B35" s="290">
        <v>42185</v>
      </c>
      <c r="C35" s="291">
        <v>10</v>
      </c>
      <c r="D35" s="292">
        <v>88.85</v>
      </c>
      <c r="E35" s="292">
        <v>0</v>
      </c>
      <c r="F35" s="292">
        <f t="shared" ref="F35:F40" si="1">C35*D35</f>
        <v>888.5</v>
      </c>
      <c r="G35" s="290">
        <v>42310</v>
      </c>
      <c r="H35" s="295">
        <v>75</v>
      </c>
      <c r="I35" s="292">
        <v>80.650000000000006</v>
      </c>
      <c r="J35" s="291">
        <v>7.06</v>
      </c>
      <c r="K35" s="291">
        <f>H35*I35-J35</f>
        <v>6041.69</v>
      </c>
      <c r="L35" s="290">
        <v>42257</v>
      </c>
      <c r="M35" s="292">
        <v>35.4</v>
      </c>
      <c r="O35" s="78">
        <v>0.9</v>
      </c>
      <c r="P35" s="78">
        <f t="shared" si="0"/>
        <v>161.559</v>
      </c>
      <c r="W35"/>
      <c r="X35"/>
      <c r="Y35"/>
      <c r="Z35"/>
      <c r="AA35"/>
      <c r="AC35"/>
    </row>
    <row r="36" spans="1:29" x14ac:dyDescent="0.25">
      <c r="A36" s="301" t="s">
        <v>71</v>
      </c>
      <c r="B36" s="290">
        <v>42214</v>
      </c>
      <c r="C36" s="291">
        <v>10</v>
      </c>
      <c r="D36" s="292">
        <v>83</v>
      </c>
      <c r="E36" s="292">
        <v>0</v>
      </c>
      <c r="F36" s="292">
        <f t="shared" si="1"/>
        <v>830</v>
      </c>
      <c r="G36" s="290">
        <v>42335</v>
      </c>
      <c r="H36" s="295">
        <v>60</v>
      </c>
      <c r="I36" s="292">
        <v>95.71</v>
      </c>
      <c r="J36" s="292">
        <v>0.11</v>
      </c>
      <c r="K36" s="291">
        <f>H36*I36-J36</f>
        <v>5742.49</v>
      </c>
      <c r="L36" s="291"/>
      <c r="M36" s="292"/>
      <c r="W36"/>
      <c r="X36"/>
      <c r="Y36"/>
      <c r="Z36"/>
      <c r="AA36"/>
      <c r="AC36"/>
    </row>
    <row r="37" spans="1:29" x14ac:dyDescent="0.25">
      <c r="A37" s="291"/>
      <c r="B37" s="290">
        <v>42221</v>
      </c>
      <c r="C37" s="291">
        <v>30</v>
      </c>
      <c r="D37" s="292">
        <v>84.6</v>
      </c>
      <c r="E37" s="292">
        <v>0</v>
      </c>
      <c r="F37" s="292">
        <f t="shared" si="1"/>
        <v>2538</v>
      </c>
      <c r="G37" s="291"/>
      <c r="H37" s="295"/>
      <c r="I37" s="291"/>
      <c r="J37" s="291"/>
      <c r="K37" s="291"/>
      <c r="L37" s="291"/>
      <c r="M37" s="292"/>
      <c r="W37"/>
      <c r="X37"/>
      <c r="Y37"/>
      <c r="Z37"/>
      <c r="AA37"/>
      <c r="AC37"/>
    </row>
    <row r="38" spans="1:29" x14ac:dyDescent="0.25">
      <c r="A38" s="291"/>
      <c r="B38" s="290">
        <v>42222</v>
      </c>
      <c r="C38" s="291">
        <v>10</v>
      </c>
      <c r="D38" s="292">
        <v>83.08</v>
      </c>
      <c r="E38" s="292">
        <v>0</v>
      </c>
      <c r="F38" s="292">
        <f t="shared" si="1"/>
        <v>830.8</v>
      </c>
      <c r="G38" s="291"/>
      <c r="H38" s="295"/>
      <c r="I38" s="291"/>
      <c r="J38" s="291"/>
      <c r="K38" s="291"/>
      <c r="L38" s="291"/>
      <c r="M38" s="292"/>
      <c r="W38"/>
      <c r="X38"/>
      <c r="Y38"/>
      <c r="Z38"/>
      <c r="AA38"/>
      <c r="AC38"/>
    </row>
    <row r="39" spans="1:29" x14ac:dyDescent="0.25">
      <c r="A39" s="291"/>
      <c r="B39" s="290">
        <v>42272</v>
      </c>
      <c r="C39" s="291">
        <v>15</v>
      </c>
      <c r="D39" s="292">
        <v>77.3</v>
      </c>
      <c r="E39" s="292">
        <v>0</v>
      </c>
      <c r="F39" s="292">
        <f t="shared" si="1"/>
        <v>1159.5</v>
      </c>
      <c r="G39" s="291"/>
      <c r="H39" s="295"/>
      <c r="I39" s="291"/>
      <c r="J39" s="291"/>
      <c r="K39" s="291"/>
      <c r="L39" s="291"/>
      <c r="M39" s="291"/>
      <c r="W39"/>
      <c r="X39"/>
      <c r="Y39"/>
      <c r="Z39"/>
      <c r="AA39"/>
      <c r="AC39"/>
    </row>
    <row r="40" spans="1:29" x14ac:dyDescent="0.25">
      <c r="A40" s="291"/>
      <c r="B40" s="290">
        <v>42335</v>
      </c>
      <c r="C40" s="291">
        <v>60</v>
      </c>
      <c r="D40" s="292">
        <v>95.69</v>
      </c>
      <c r="E40" s="292">
        <v>0</v>
      </c>
      <c r="F40" s="292">
        <f t="shared" si="1"/>
        <v>5741.4</v>
      </c>
      <c r="G40" s="291"/>
      <c r="H40" s="295"/>
      <c r="I40" s="291"/>
      <c r="J40" s="291"/>
      <c r="K40" s="291"/>
      <c r="L40" s="291"/>
      <c r="M40" s="291"/>
      <c r="W40"/>
      <c r="X40"/>
      <c r="Y40"/>
      <c r="Z40"/>
      <c r="AA40"/>
      <c r="AC40"/>
    </row>
    <row r="41" spans="1:29" x14ac:dyDescent="0.25">
      <c r="A41" s="291"/>
      <c r="B41" s="291"/>
      <c r="C41" s="291"/>
      <c r="D41" s="292"/>
      <c r="E41" s="292"/>
      <c r="F41" s="292"/>
      <c r="G41" s="291"/>
      <c r="H41" s="295"/>
      <c r="I41" s="291"/>
      <c r="J41" s="291"/>
      <c r="K41" s="291"/>
      <c r="L41" s="291"/>
      <c r="M41" s="291"/>
      <c r="W41"/>
      <c r="X41"/>
      <c r="Y41"/>
      <c r="Z41"/>
      <c r="AA41"/>
      <c r="AC41"/>
    </row>
    <row r="42" spans="1:29" x14ac:dyDescent="0.25">
      <c r="A42" s="291"/>
      <c r="B42" s="291"/>
      <c r="C42" s="291"/>
      <c r="D42" s="292"/>
      <c r="E42" s="292"/>
      <c r="F42" s="292"/>
      <c r="G42" s="291"/>
      <c r="H42" s="291"/>
      <c r="I42" s="291"/>
      <c r="J42" s="291"/>
      <c r="K42" s="291"/>
      <c r="L42" s="291"/>
      <c r="M42" s="291"/>
      <c r="R42" s="33"/>
      <c r="W42"/>
      <c r="X42"/>
      <c r="Y42"/>
      <c r="Z42"/>
      <c r="AA42"/>
      <c r="AC42"/>
    </row>
    <row r="43" spans="1:29" x14ac:dyDescent="0.25">
      <c r="A43" s="291"/>
      <c r="B43" s="291"/>
      <c r="C43" s="291"/>
      <c r="D43" s="292"/>
      <c r="E43" s="292"/>
      <c r="F43" s="292"/>
      <c r="G43" s="291"/>
      <c r="H43" s="291"/>
      <c r="I43" s="291"/>
      <c r="J43" s="291"/>
      <c r="K43" s="291"/>
      <c r="L43" s="291"/>
      <c r="M43" s="291"/>
      <c r="Q43" s="2"/>
      <c r="R43" s="33"/>
      <c r="W43"/>
      <c r="X43"/>
      <c r="Y43"/>
      <c r="Z43"/>
      <c r="AA43"/>
      <c r="AC43"/>
    </row>
    <row r="44" spans="1:29" x14ac:dyDescent="0.25">
      <c r="A44" s="291"/>
      <c r="B44" s="291"/>
      <c r="C44" s="291"/>
      <c r="D44" s="292"/>
      <c r="E44" s="292"/>
      <c r="F44" s="292"/>
      <c r="G44" s="291"/>
      <c r="H44" s="291"/>
      <c r="I44" s="291"/>
      <c r="J44" s="291"/>
      <c r="K44" s="291"/>
      <c r="L44" s="291"/>
      <c r="M44" s="291"/>
      <c r="Q44" s="2"/>
      <c r="R44" s="33"/>
      <c r="W44"/>
      <c r="X44"/>
      <c r="Y44"/>
      <c r="Z44"/>
      <c r="AA44"/>
      <c r="AC44"/>
    </row>
    <row r="45" spans="1:29" x14ac:dyDescent="0.25">
      <c r="A45" s="291"/>
      <c r="B45" s="291"/>
      <c r="C45" s="291"/>
      <c r="D45" s="292"/>
      <c r="E45" s="292"/>
      <c r="F45" s="292"/>
      <c r="G45" s="291"/>
      <c r="H45" s="291"/>
      <c r="I45" s="291"/>
      <c r="J45" s="291"/>
      <c r="K45" s="291"/>
      <c r="L45" s="291"/>
      <c r="M45" s="291"/>
      <c r="Q45" s="2"/>
      <c r="R45" s="33"/>
      <c r="W45"/>
      <c r="X45"/>
      <c r="Y45"/>
      <c r="Z45"/>
      <c r="AA45"/>
      <c r="AC45"/>
    </row>
    <row r="46" spans="1:29" x14ac:dyDescent="0.25">
      <c r="A46" s="291"/>
      <c r="B46" s="291"/>
      <c r="C46" s="291"/>
      <c r="D46" s="292"/>
      <c r="E46" s="292"/>
      <c r="F46" s="292"/>
      <c r="G46" s="291"/>
      <c r="H46" s="291"/>
      <c r="I46" s="291"/>
      <c r="J46" s="291"/>
      <c r="K46" s="291"/>
      <c r="L46" s="291"/>
      <c r="M46" s="291"/>
      <c r="Q46" s="2"/>
      <c r="R46" s="33"/>
      <c r="W46"/>
      <c r="X46"/>
      <c r="Y46"/>
      <c r="Z46"/>
      <c r="AA46"/>
      <c r="AC46"/>
    </row>
    <row r="47" spans="1:29" x14ac:dyDescent="0.25">
      <c r="A47" s="291"/>
      <c r="B47" s="291"/>
      <c r="C47" s="291"/>
      <c r="D47" s="292"/>
      <c r="E47" s="292"/>
      <c r="F47" s="292"/>
      <c r="G47" s="291"/>
      <c r="H47" s="291"/>
      <c r="I47" s="291"/>
      <c r="J47" s="291"/>
      <c r="K47" s="291"/>
      <c r="L47" s="291"/>
      <c r="M47" s="291"/>
      <c r="Q47" s="2"/>
      <c r="R47" s="33"/>
      <c r="W47"/>
      <c r="X47"/>
      <c r="Y47"/>
      <c r="Z47"/>
      <c r="AA47"/>
      <c r="AC47"/>
    </row>
    <row r="48" spans="1:29" x14ac:dyDescent="0.25">
      <c r="A48" s="291"/>
      <c r="B48" s="291"/>
      <c r="C48" s="291"/>
      <c r="D48" s="292"/>
      <c r="E48" s="292"/>
      <c r="F48" s="292"/>
      <c r="G48" s="291"/>
      <c r="H48" s="291"/>
      <c r="I48" s="291"/>
      <c r="J48" s="291"/>
      <c r="K48" s="291"/>
      <c r="L48" s="291"/>
      <c r="M48" s="291"/>
      <c r="Q48" s="2"/>
      <c r="R48" s="33"/>
      <c r="W48"/>
      <c r="X48"/>
      <c r="Y48"/>
      <c r="Z48"/>
      <c r="AA48"/>
      <c r="AC48"/>
    </row>
    <row r="49" spans="1:29" x14ac:dyDescent="0.25">
      <c r="A49" s="291"/>
      <c r="B49" s="291"/>
      <c r="C49" s="291"/>
      <c r="D49" s="292"/>
      <c r="E49" s="292"/>
      <c r="F49" s="292"/>
      <c r="G49" s="291"/>
      <c r="H49" s="291"/>
      <c r="I49" s="291"/>
      <c r="J49" s="291"/>
      <c r="K49" s="291"/>
      <c r="L49" s="291"/>
      <c r="M49" s="291"/>
      <c r="Q49" s="2"/>
      <c r="R49" s="33"/>
      <c r="W49"/>
      <c r="X49"/>
      <c r="Y49"/>
      <c r="Z49"/>
      <c r="AA49"/>
      <c r="AC49"/>
    </row>
    <row r="50" spans="1:29" x14ac:dyDescent="0.25">
      <c r="A50" s="291"/>
      <c r="B50" s="291"/>
      <c r="C50" s="291"/>
      <c r="D50" s="292"/>
      <c r="E50" s="292"/>
      <c r="F50" s="292"/>
      <c r="G50" s="291"/>
      <c r="H50" s="291"/>
      <c r="I50" s="291"/>
      <c r="J50" s="291"/>
      <c r="K50" s="291"/>
      <c r="L50" s="291"/>
      <c r="M50" s="291"/>
      <c r="Q50" s="2"/>
      <c r="R50" s="33"/>
      <c r="W50"/>
      <c r="X50"/>
      <c r="Y50"/>
      <c r="Z50"/>
      <c r="AA50"/>
      <c r="AC50"/>
    </row>
    <row r="51" spans="1:29" x14ac:dyDescent="0.25">
      <c r="A51" s="21" t="s">
        <v>81</v>
      </c>
      <c r="B51" s="12"/>
      <c r="C51" s="12">
        <f>SUM(C35:C41)</f>
        <v>135</v>
      </c>
      <c r="D51" s="13"/>
      <c r="E51" s="13"/>
      <c r="F51" s="13">
        <f>SUM(F35:F41)</f>
        <v>11988.2</v>
      </c>
      <c r="G51" s="13"/>
      <c r="H51" s="72">
        <f>SUM(H35:H41)</f>
        <v>135</v>
      </c>
      <c r="I51" s="13"/>
      <c r="J51" s="13"/>
      <c r="K51" s="13">
        <f>SUM(K35:K41)</f>
        <v>11784.18</v>
      </c>
      <c r="L51" s="13"/>
      <c r="M51" s="13">
        <f>SUM(M35:M38)</f>
        <v>35.4</v>
      </c>
      <c r="Q51" s="2"/>
      <c r="R51" s="33"/>
      <c r="W51"/>
      <c r="X51"/>
      <c r="Y51"/>
      <c r="Z51"/>
      <c r="AA51"/>
      <c r="AC51"/>
    </row>
    <row r="52" spans="1:29" x14ac:dyDescent="0.25">
      <c r="Q52" s="2"/>
      <c r="R52" s="33"/>
      <c r="W52"/>
      <c r="X52"/>
      <c r="Y52"/>
      <c r="Z52"/>
      <c r="AA52"/>
      <c r="AC52"/>
    </row>
    <row r="53" spans="1:29" x14ac:dyDescent="0.25">
      <c r="Q53" s="2"/>
      <c r="R53" s="33"/>
      <c r="W53"/>
      <c r="X53"/>
      <c r="Y53"/>
      <c r="Z53"/>
      <c r="AA53"/>
      <c r="AC53"/>
    </row>
    <row r="54" spans="1:29" x14ac:dyDescent="0.25">
      <c r="Q54" s="2"/>
      <c r="R54" s="33"/>
      <c r="W54"/>
      <c r="X54"/>
      <c r="Y54"/>
      <c r="Z54"/>
      <c r="AA54"/>
      <c r="AC54"/>
    </row>
    <row r="55" spans="1:29" x14ac:dyDescent="0.25">
      <c r="Q55" s="2"/>
      <c r="R55" s="33"/>
      <c r="W55"/>
      <c r="X55"/>
      <c r="Y55"/>
      <c r="Z55"/>
      <c r="AA55"/>
      <c r="AC55"/>
    </row>
    <row r="56" spans="1:29" x14ac:dyDescent="0.25">
      <c r="W56"/>
      <c r="X56"/>
      <c r="Y56"/>
      <c r="Z56"/>
      <c r="AA56"/>
      <c r="AC56"/>
    </row>
    <row r="57" spans="1:29" x14ac:dyDescent="0.25">
      <c r="W57"/>
      <c r="X57"/>
      <c r="Y57"/>
      <c r="Z57"/>
      <c r="AA57"/>
      <c r="AC57"/>
    </row>
    <row r="58" spans="1:29" x14ac:dyDescent="0.25">
      <c r="W58"/>
      <c r="X58"/>
      <c r="Y58"/>
      <c r="Z58"/>
      <c r="AA58"/>
      <c r="AC58"/>
    </row>
    <row r="59" spans="1:29" x14ac:dyDescent="0.25">
      <c r="W59"/>
      <c r="X59"/>
      <c r="Y59"/>
      <c r="Z59"/>
      <c r="AA59"/>
      <c r="AC59"/>
    </row>
    <row r="60" spans="1:29" x14ac:dyDescent="0.25">
      <c r="W60"/>
      <c r="X60"/>
      <c r="Y60"/>
      <c r="Z60"/>
      <c r="AA60"/>
      <c r="AC60"/>
    </row>
    <row r="61" spans="1:29" x14ac:dyDescent="0.25">
      <c r="W61"/>
      <c r="X61"/>
      <c r="Y61"/>
      <c r="Z61"/>
      <c r="AA61"/>
      <c r="AC61"/>
    </row>
    <row r="62" spans="1:29" x14ac:dyDescent="0.25">
      <c r="W62"/>
      <c r="X62"/>
      <c r="Y62"/>
      <c r="Z62"/>
      <c r="AA62"/>
      <c r="AC62"/>
    </row>
    <row r="63" spans="1:29" x14ac:dyDescent="0.25">
      <c r="W63"/>
      <c r="X63"/>
      <c r="Y63"/>
      <c r="Z63"/>
      <c r="AA63"/>
      <c r="AC63"/>
    </row>
    <row r="64" spans="1:29" x14ac:dyDescent="0.25">
      <c r="W64"/>
      <c r="X64"/>
      <c r="Y64"/>
      <c r="Z64"/>
      <c r="AA64"/>
      <c r="AC64"/>
    </row>
    <row r="65" spans="23:29" x14ac:dyDescent="0.25">
      <c r="W65"/>
      <c r="X65"/>
      <c r="Y65"/>
      <c r="Z65"/>
      <c r="AA65"/>
      <c r="AC65"/>
    </row>
    <row r="66" spans="23:29" x14ac:dyDescent="0.25">
      <c r="W66"/>
      <c r="X66"/>
      <c r="Y66"/>
      <c r="Z66"/>
      <c r="AA66"/>
      <c r="AC66"/>
    </row>
    <row r="67" spans="23:29" x14ac:dyDescent="0.25">
      <c r="W67"/>
      <c r="X67"/>
      <c r="Y67"/>
      <c r="Z67"/>
      <c r="AA67"/>
      <c r="AC67"/>
    </row>
    <row r="68" spans="23:29" x14ac:dyDescent="0.25">
      <c r="W68"/>
      <c r="X68"/>
      <c r="Y68"/>
      <c r="Z68"/>
      <c r="AA68"/>
      <c r="AC68"/>
    </row>
    <row r="69" spans="23:29" x14ac:dyDescent="0.25">
      <c r="W69"/>
      <c r="X69"/>
      <c r="Y69"/>
      <c r="Z69"/>
      <c r="AA69"/>
      <c r="AC69"/>
    </row>
    <row r="70" spans="23:29" x14ac:dyDescent="0.25">
      <c r="W70"/>
      <c r="X70"/>
      <c r="Y70"/>
      <c r="Z70"/>
      <c r="AA70"/>
      <c r="AC70"/>
    </row>
    <row r="71" spans="23:29" x14ac:dyDescent="0.25">
      <c r="W71"/>
      <c r="X71"/>
      <c r="Y71"/>
      <c r="Z71"/>
      <c r="AA71"/>
      <c r="AC71"/>
    </row>
    <row r="72" spans="23:29" x14ac:dyDescent="0.25">
      <c r="W72"/>
      <c r="X72"/>
      <c r="Y72"/>
      <c r="Z72"/>
      <c r="AA72"/>
      <c r="AC72"/>
    </row>
    <row r="73" spans="23:29" x14ac:dyDescent="0.25">
      <c r="W73"/>
      <c r="X73"/>
      <c r="Y73"/>
      <c r="Z73"/>
      <c r="AA73"/>
      <c r="AC73"/>
    </row>
  </sheetData>
  <conditionalFormatting sqref="O15:O35">
    <cfRule type="colorScale" priority="34">
      <colorScale>
        <cfvo type="min"/>
        <cfvo type="percentile" val="50"/>
        <cfvo type="max"/>
        <color rgb="FFF8696B"/>
        <color rgb="FFFFEB84"/>
        <color rgb="FF63BE7B"/>
      </colorScale>
    </cfRule>
  </conditionalFormatting>
  <conditionalFormatting sqref="P15:P35">
    <cfRule type="colorScale" priority="33">
      <colorScale>
        <cfvo type="min"/>
        <cfvo type="percentile" val="50"/>
        <cfvo type="max"/>
        <color rgb="FFF8696B"/>
        <color rgb="FFFFEB84"/>
        <color rgb="FF63BE7B"/>
      </colorScale>
    </cfRule>
  </conditionalFormatting>
  <conditionalFormatting sqref="F24:F27">
    <cfRule type="expression" dxfId="827" priority="25">
      <formula>F24&gt;0</formula>
    </cfRule>
    <cfRule type="expression" dxfId="826" priority="26">
      <formula>F24&lt;0</formula>
    </cfRule>
  </conditionalFormatting>
  <conditionalFormatting sqref="H21:H27">
    <cfRule type="expression" dxfId="825" priority="19">
      <formula>H21&gt;0</formula>
    </cfRule>
    <cfRule type="expression" dxfId="824" priority="20">
      <formula>H21&lt;0</formula>
    </cfRule>
  </conditionalFormatting>
  <conditionalFormatting sqref="F21:F23">
    <cfRule type="expression" dxfId="823" priority="5">
      <formula>F21&gt;0</formula>
    </cfRule>
    <cfRule type="expression" dxfId="822" priority="6">
      <formula>F21&lt;0</formula>
    </cfRule>
  </conditionalFormatting>
  <conditionalFormatting sqref="Q8">
    <cfRule type="expression" dxfId="821" priority="1">
      <formula>Q8&gt;0</formula>
    </cfRule>
    <cfRule type="expression" dxfId="820" priority="2">
      <formula>Q8&lt;0</formula>
    </cfRule>
  </conditionalFormatting>
  <conditionalFormatting sqref="Q7">
    <cfRule type="expression" dxfId="819" priority="3">
      <formula>Q7&gt;0</formula>
    </cfRule>
    <cfRule type="expression" dxfId="818"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AE69"/>
  <sheetViews>
    <sheetView workbookViewId="0">
      <selection activeCell="A3" sqref="A3"/>
    </sheetView>
  </sheetViews>
  <sheetFormatPr defaultRowHeight="15" x14ac:dyDescent="0.25"/>
  <cols>
    <col min="1" max="1" width="9.7109375" bestFit="1" customWidth="1"/>
    <col min="4" max="6" width="9.140625" style="2"/>
    <col min="9" max="11" width="9.140625" style="2"/>
    <col min="20" max="20" width="19.7109375" style="41" customWidth="1"/>
    <col min="21" max="21" width="35.140625" customWidth="1"/>
    <col min="23" max="23" width="10.42578125" customWidth="1"/>
    <col min="24" max="24" width="7.5703125" customWidth="1"/>
    <col min="25" max="27" width="7" customWidth="1"/>
    <col min="29" max="29" width="10.28515625" bestFit="1" customWidth="1"/>
    <col min="30" max="30" width="10.7109375" customWidth="1"/>
    <col min="31" max="31" width="11.28515625" customWidth="1"/>
  </cols>
  <sheetData>
    <row r="1" spans="1:31" x14ac:dyDescent="0.25">
      <c r="A1" s="11" t="s">
        <v>1</v>
      </c>
      <c r="B1" s="11" t="s">
        <v>2</v>
      </c>
      <c r="C1" s="11" t="s">
        <v>4</v>
      </c>
      <c r="D1" s="20" t="s">
        <v>5</v>
      </c>
      <c r="E1" s="20" t="s">
        <v>94</v>
      </c>
      <c r="F1" s="20" t="s">
        <v>69</v>
      </c>
      <c r="G1" s="11" t="s">
        <v>3</v>
      </c>
      <c r="H1" s="11" t="s">
        <v>6</v>
      </c>
      <c r="I1" s="20" t="s">
        <v>7</v>
      </c>
      <c r="J1" s="20" t="s">
        <v>95</v>
      </c>
      <c r="K1" s="20" t="s">
        <v>61</v>
      </c>
      <c r="L1" s="11" t="s">
        <v>37</v>
      </c>
      <c r="M1" s="11" t="s">
        <v>38</v>
      </c>
      <c r="T1" s="42"/>
      <c r="W1" s="88" t="s">
        <v>113</v>
      </c>
      <c r="X1" s="88" t="s">
        <v>114</v>
      </c>
      <c r="Y1" s="88" t="s">
        <v>115</v>
      </c>
      <c r="Z1" s="88" t="s">
        <v>116</v>
      </c>
      <c r="AA1" s="88" t="s">
        <v>117</v>
      </c>
      <c r="AB1" s="88" t="s">
        <v>118</v>
      </c>
      <c r="AC1" s="88" t="s">
        <v>119</v>
      </c>
      <c r="AD1" s="11" t="s">
        <v>125</v>
      </c>
      <c r="AE1" s="11" t="s">
        <v>127</v>
      </c>
    </row>
    <row r="2" spans="1:31" x14ac:dyDescent="0.25">
      <c r="A2" s="6" t="s">
        <v>33</v>
      </c>
      <c r="B2" s="69"/>
      <c r="C2" s="4"/>
      <c r="D2" s="3"/>
      <c r="E2" s="3"/>
      <c r="F2" s="3"/>
      <c r="G2" s="69"/>
      <c r="H2" s="4"/>
      <c r="I2" s="3"/>
      <c r="J2" s="3"/>
      <c r="K2" s="3"/>
      <c r="L2" s="69"/>
      <c r="M2" s="3"/>
      <c r="O2" s="11" t="s">
        <v>57</v>
      </c>
      <c r="Q2">
        <f>C18-H18</f>
        <v>0</v>
      </c>
      <c r="T2" s="59"/>
      <c r="W2" s="127">
        <v>42830</v>
      </c>
      <c r="X2" s="10">
        <v>219.54</v>
      </c>
      <c r="Y2" s="10">
        <v>220.5</v>
      </c>
      <c r="Z2" s="10">
        <v>216.8</v>
      </c>
      <c r="AA2" s="10">
        <v>217.13</v>
      </c>
      <c r="AB2" s="90">
        <v>1566800</v>
      </c>
      <c r="AC2" s="10">
        <v>217.13</v>
      </c>
      <c r="AD2" s="2">
        <f>Y2-Z2</f>
        <v>3.6999999999999886</v>
      </c>
      <c r="AE2" s="131">
        <f>AC2/AC3-1</f>
        <v>-8.3576909024479784E-3</v>
      </c>
    </row>
    <row r="3" spans="1:31" x14ac:dyDescent="0.25">
      <c r="A3" s="22" t="s">
        <v>71</v>
      </c>
      <c r="B3" s="154"/>
      <c r="C3" s="4"/>
      <c r="D3" s="3"/>
      <c r="E3" s="3"/>
      <c r="F3" s="3"/>
      <c r="G3" s="69"/>
      <c r="H3" s="4"/>
      <c r="I3" s="3"/>
      <c r="J3" s="3"/>
      <c r="K3" s="3"/>
      <c r="L3" s="69"/>
      <c r="M3" s="3"/>
      <c r="O3" s="11" t="s">
        <v>58</v>
      </c>
      <c r="Q3" s="2">
        <f>IF(Q2=0, Q4, (F18-K18-M18)/Q2)</f>
        <v>285.45999999999998</v>
      </c>
      <c r="T3" s="59"/>
      <c r="W3" s="127">
        <v>42829</v>
      </c>
      <c r="X3" s="10">
        <v>218.17</v>
      </c>
      <c r="Y3" s="10">
        <v>220.41</v>
      </c>
      <c r="Z3" s="10">
        <v>217.88</v>
      </c>
      <c r="AA3" s="10">
        <v>218.96</v>
      </c>
      <c r="AB3" s="90">
        <v>1263400</v>
      </c>
      <c r="AC3" s="10">
        <v>218.96</v>
      </c>
      <c r="AD3" s="2">
        <f t="shared" ref="AD3:AD66" si="0">Y3-Z3</f>
        <v>2.5300000000000011</v>
      </c>
      <c r="AE3" s="131">
        <f t="shared" ref="AE3:AE66" si="1">AC3/AC4-1</f>
        <v>7.3126142595980603E-4</v>
      </c>
    </row>
    <row r="4" spans="1:31" x14ac:dyDescent="0.25">
      <c r="B4" s="154"/>
      <c r="C4" s="4"/>
      <c r="D4" s="3"/>
      <c r="E4" s="3"/>
      <c r="F4" s="3"/>
      <c r="G4" s="69"/>
      <c r="H4" s="158"/>
      <c r="I4" s="3"/>
      <c r="J4" s="3"/>
      <c r="K4" s="3"/>
      <c r="L4" s="4"/>
      <c r="M4" s="3"/>
      <c r="O4" s="11" t="s">
        <v>66</v>
      </c>
      <c r="Q4" s="53">
        <v>285.45999999999998</v>
      </c>
      <c r="R4" s="396">
        <v>2.7000000000000001E-3</v>
      </c>
      <c r="T4" s="59"/>
      <c r="W4" s="127">
        <v>42828</v>
      </c>
      <c r="X4" s="10">
        <v>219</v>
      </c>
      <c r="Y4" s="10">
        <v>219.99</v>
      </c>
      <c r="Z4" s="10">
        <v>216.66</v>
      </c>
      <c r="AA4" s="10">
        <v>218.8</v>
      </c>
      <c r="AB4" s="90">
        <v>1921000</v>
      </c>
      <c r="AC4" s="10">
        <v>218.8</v>
      </c>
      <c r="AD4" s="2">
        <f t="shared" si="0"/>
        <v>3.3300000000000125</v>
      </c>
      <c r="AE4" s="131">
        <f t="shared" si="1"/>
        <v>-7.3072707343802001E-4</v>
      </c>
    </row>
    <row r="5" spans="1:31" x14ac:dyDescent="0.25">
      <c r="B5" s="69"/>
      <c r="C5" s="4"/>
      <c r="D5" s="3"/>
      <c r="E5" s="3"/>
      <c r="F5" s="3"/>
      <c r="G5" s="69"/>
      <c r="H5" s="158"/>
      <c r="I5" s="3"/>
      <c r="J5" s="3"/>
      <c r="K5" s="3"/>
      <c r="L5" s="4"/>
      <c r="M5" s="3"/>
      <c r="O5" s="11" t="s">
        <v>67</v>
      </c>
      <c r="Q5" s="3">
        <f>Q4*Q2</f>
        <v>0</v>
      </c>
      <c r="T5" s="59"/>
      <c r="W5" s="127">
        <v>42825</v>
      </c>
      <c r="X5" s="10">
        <v>219.99</v>
      </c>
      <c r="Y5" s="10">
        <v>220.99</v>
      </c>
      <c r="Z5" s="10">
        <v>218.03</v>
      </c>
      <c r="AA5" s="10">
        <v>218.96</v>
      </c>
      <c r="AB5" s="90">
        <v>2589700</v>
      </c>
      <c r="AC5" s="10">
        <v>218.96</v>
      </c>
      <c r="AD5" s="2">
        <f t="shared" si="0"/>
        <v>2.960000000000008</v>
      </c>
      <c r="AE5" s="131">
        <f t="shared" si="1"/>
        <v>-4.9081985093618608E-3</v>
      </c>
    </row>
    <row r="6" spans="1:31" x14ac:dyDescent="0.25">
      <c r="B6" s="69"/>
      <c r="C6" s="4"/>
      <c r="D6" s="3"/>
      <c r="E6" s="3"/>
      <c r="F6" s="3"/>
      <c r="G6" s="69"/>
      <c r="H6" s="158"/>
      <c r="I6" s="3"/>
      <c r="J6" s="3"/>
      <c r="K6" s="3"/>
      <c r="L6" s="4"/>
      <c r="M6" s="3"/>
      <c r="O6" s="11" t="s">
        <v>64</v>
      </c>
      <c r="Q6" s="2">
        <f>Q3*Q2</f>
        <v>0</v>
      </c>
      <c r="T6" s="59"/>
      <c r="W6" s="127">
        <v>42824</v>
      </c>
      <c r="X6" s="10">
        <v>221.9</v>
      </c>
      <c r="Y6" s="10">
        <v>224.45</v>
      </c>
      <c r="Z6" s="10">
        <v>218.86</v>
      </c>
      <c r="AA6" s="10">
        <v>220.04</v>
      </c>
      <c r="AB6" s="90">
        <v>3416800</v>
      </c>
      <c r="AC6" s="10">
        <v>220.04</v>
      </c>
      <c r="AD6" s="2">
        <f t="shared" si="0"/>
        <v>5.589999999999975</v>
      </c>
      <c r="AE6" s="131">
        <f t="shared" si="1"/>
        <v>-5.7385567755637856E-3</v>
      </c>
    </row>
    <row r="7" spans="1:31" x14ac:dyDescent="0.25">
      <c r="B7" s="288"/>
      <c r="C7" s="4"/>
      <c r="D7" s="3"/>
      <c r="E7" s="3"/>
      <c r="F7" s="3"/>
      <c r="G7" s="4"/>
      <c r="H7" s="4"/>
      <c r="I7" s="3"/>
      <c r="J7" s="3"/>
      <c r="K7" s="3"/>
      <c r="L7" s="4"/>
      <c r="M7" s="3"/>
      <c r="O7" s="11" t="s">
        <v>175</v>
      </c>
      <c r="Q7" s="2">
        <f>Q10+Q8</f>
        <v>780.73999999999796</v>
      </c>
      <c r="R7">
        <v>0</v>
      </c>
      <c r="T7" s="59"/>
      <c r="W7" s="127">
        <v>42823</v>
      </c>
      <c r="X7" s="10">
        <v>220.8</v>
      </c>
      <c r="Y7" s="10">
        <v>221.35</v>
      </c>
      <c r="Z7" s="10">
        <v>219.68</v>
      </c>
      <c r="AA7" s="10">
        <v>221.31</v>
      </c>
      <c r="AB7" s="90">
        <v>1592700</v>
      </c>
      <c r="AC7" s="10">
        <v>221.31</v>
      </c>
      <c r="AD7" s="2">
        <f t="shared" si="0"/>
        <v>1.6699999999999875</v>
      </c>
      <c r="AE7" s="131">
        <f t="shared" si="1"/>
        <v>1.6293279022403517E-3</v>
      </c>
    </row>
    <row r="8" spans="1:31" x14ac:dyDescent="0.25">
      <c r="B8" s="288"/>
      <c r="C8" s="4"/>
      <c r="D8" s="3"/>
      <c r="E8" s="3"/>
      <c r="F8" s="3"/>
      <c r="G8" s="4"/>
      <c r="H8" s="4"/>
      <c r="I8" s="3"/>
      <c r="J8" s="3"/>
      <c r="K8" s="3"/>
      <c r="L8" s="4"/>
      <c r="M8" s="4"/>
      <c r="O8" s="11" t="s">
        <v>177</v>
      </c>
      <c r="P8" s="33"/>
      <c r="Q8" s="2">
        <f>K18+M18-F18+Q2*Q4</f>
        <v>0</v>
      </c>
      <c r="T8" s="59"/>
      <c r="W8" s="127">
        <v>42822</v>
      </c>
      <c r="X8" s="10">
        <v>218.51</v>
      </c>
      <c r="Y8" s="10">
        <v>221.78</v>
      </c>
      <c r="Z8" s="10">
        <v>218.35</v>
      </c>
      <c r="AA8" s="10">
        <v>220.95</v>
      </c>
      <c r="AB8" s="90">
        <v>1792900</v>
      </c>
      <c r="AC8" s="10">
        <v>220.95</v>
      </c>
      <c r="AD8" s="2">
        <f t="shared" si="0"/>
        <v>3.4300000000000068</v>
      </c>
      <c r="AE8" s="131">
        <f t="shared" si="1"/>
        <v>8.6738187628394581E-3</v>
      </c>
    </row>
    <row r="9" spans="1:31" x14ac:dyDescent="0.25">
      <c r="B9" s="289"/>
      <c r="C9" s="4"/>
      <c r="D9" s="3"/>
      <c r="E9" s="3"/>
      <c r="F9" s="3"/>
      <c r="G9" s="4"/>
      <c r="H9" s="4"/>
      <c r="I9" s="3"/>
      <c r="J9" s="3"/>
      <c r="K9" s="3"/>
      <c r="L9" s="4"/>
      <c r="M9" s="4"/>
      <c r="O9" s="11" t="s">
        <v>202</v>
      </c>
      <c r="Q9" s="131">
        <f>IF(Q2=0, 0, Q8/Q6)</f>
        <v>0</v>
      </c>
      <c r="T9" s="63"/>
      <c r="W9" s="127">
        <v>42821</v>
      </c>
      <c r="X9" s="10">
        <v>216.83</v>
      </c>
      <c r="Y9" s="10">
        <v>220.18</v>
      </c>
      <c r="Z9" s="10">
        <v>215.97</v>
      </c>
      <c r="AA9" s="10">
        <v>219.05</v>
      </c>
      <c r="AB9" s="90">
        <v>1535800</v>
      </c>
      <c r="AC9" s="10">
        <v>219.05</v>
      </c>
      <c r="AD9" s="2">
        <f t="shared" si="0"/>
        <v>4.210000000000008</v>
      </c>
      <c r="AE9" s="131">
        <f t="shared" si="1"/>
        <v>3.6534685116684784E-4</v>
      </c>
    </row>
    <row r="10" spans="1:31" x14ac:dyDescent="0.25">
      <c r="B10" s="289"/>
      <c r="C10" s="4"/>
      <c r="D10" s="3"/>
      <c r="E10" s="3"/>
      <c r="F10" s="3"/>
      <c r="G10" s="4"/>
      <c r="H10" s="4"/>
      <c r="I10" s="3"/>
      <c r="J10" s="3"/>
      <c r="K10" s="3"/>
      <c r="L10" s="4"/>
      <c r="M10" s="4"/>
      <c r="O10" s="11" t="s">
        <v>201</v>
      </c>
      <c r="P10" s="33"/>
      <c r="Q10" s="2">
        <f>M32</f>
        <v>780.73999999999796</v>
      </c>
      <c r="W10" s="127">
        <v>42818</v>
      </c>
      <c r="X10" s="10">
        <v>218.01</v>
      </c>
      <c r="Y10" s="10">
        <v>221.4</v>
      </c>
      <c r="Z10" s="10">
        <v>217.74</v>
      </c>
      <c r="AA10" s="10">
        <v>218.97</v>
      </c>
      <c r="AB10" s="90">
        <v>2379400</v>
      </c>
      <c r="AC10" s="10">
        <v>218.97</v>
      </c>
      <c r="AD10" s="2">
        <f t="shared" si="0"/>
        <v>3.6599999999999966</v>
      </c>
      <c r="AE10" s="131">
        <f t="shared" si="1"/>
        <v>9.7297795812967269E-3</v>
      </c>
    </row>
    <row r="11" spans="1:31" x14ac:dyDescent="0.25">
      <c r="B11" s="69"/>
      <c r="C11" s="4"/>
      <c r="D11" s="3"/>
      <c r="E11" s="3"/>
      <c r="F11" s="3"/>
      <c r="G11" s="4"/>
      <c r="H11" s="4"/>
      <c r="I11" s="3"/>
      <c r="J11" s="3"/>
      <c r="K11" s="3"/>
      <c r="L11" s="4"/>
      <c r="M11" s="4"/>
      <c r="O11" s="11" t="s">
        <v>173</v>
      </c>
      <c r="P11" s="33"/>
      <c r="Q11" s="131">
        <f>VALUE(TRIM(CLEAN(MID(U57, FIND("(", U57)+1, 5))))</f>
        <v>1.8599999999999998E-2</v>
      </c>
      <c r="W11" s="127">
        <v>42817</v>
      </c>
      <c r="X11" s="10">
        <v>217.26</v>
      </c>
      <c r="Y11" s="10">
        <v>218.46</v>
      </c>
      <c r="Z11" s="10">
        <v>216.43</v>
      </c>
      <c r="AA11" s="10">
        <v>216.86</v>
      </c>
      <c r="AB11" s="90">
        <v>1922300</v>
      </c>
      <c r="AC11" s="10">
        <v>216.86</v>
      </c>
      <c r="AD11" s="2">
        <f t="shared" si="0"/>
        <v>2.0300000000000011</v>
      </c>
      <c r="AE11" s="131">
        <f t="shared" si="1"/>
        <v>-2.5756600128782337E-3</v>
      </c>
    </row>
    <row r="12" spans="1:31" x14ac:dyDescent="0.25">
      <c r="B12" s="69"/>
      <c r="C12" s="4"/>
      <c r="D12" s="3"/>
      <c r="E12" s="3"/>
      <c r="F12" s="3"/>
      <c r="G12" s="3"/>
      <c r="H12" s="4"/>
      <c r="I12" s="3"/>
      <c r="J12" s="3"/>
      <c r="K12" s="3"/>
      <c r="L12" s="4"/>
      <c r="M12" s="4"/>
      <c r="W12" s="127">
        <v>42816</v>
      </c>
      <c r="X12" s="10">
        <v>216.02</v>
      </c>
      <c r="Y12" s="10">
        <v>218.37</v>
      </c>
      <c r="Z12" s="10">
        <v>215.39</v>
      </c>
      <c r="AA12" s="10">
        <v>217.42</v>
      </c>
      <c r="AB12" s="90">
        <v>1913100</v>
      </c>
      <c r="AC12" s="10">
        <v>217.42</v>
      </c>
      <c r="AD12" s="2">
        <f t="shared" si="0"/>
        <v>2.9800000000000182</v>
      </c>
      <c r="AE12" s="131">
        <f t="shared" si="1"/>
        <v>6.4808813998702419E-3</v>
      </c>
    </row>
    <row r="13" spans="1:31" x14ac:dyDescent="0.25">
      <c r="B13" s="4"/>
      <c r="C13" s="4"/>
      <c r="D13" s="3"/>
      <c r="E13" s="3"/>
      <c r="F13" s="3"/>
      <c r="G13" s="4"/>
      <c r="H13" s="4"/>
      <c r="I13" s="3"/>
      <c r="J13" s="3"/>
      <c r="K13" s="3"/>
      <c r="L13" s="4"/>
      <c r="M13" s="4"/>
      <c r="W13" s="127">
        <v>42815</v>
      </c>
      <c r="X13" s="10">
        <v>222.24</v>
      </c>
      <c r="Y13" s="10">
        <v>222.98</v>
      </c>
      <c r="Z13" s="10">
        <v>215.52</v>
      </c>
      <c r="AA13" s="10">
        <v>216.02</v>
      </c>
      <c r="AB13" s="90">
        <v>3055700</v>
      </c>
      <c r="AC13" s="10">
        <v>216.02</v>
      </c>
      <c r="AD13" s="2">
        <f t="shared" si="0"/>
        <v>7.4599999999999795</v>
      </c>
      <c r="AE13" s="131">
        <f t="shared" si="1"/>
        <v>-2.3594286747423587E-2</v>
      </c>
    </row>
    <row r="14" spans="1:31" x14ac:dyDescent="0.25">
      <c r="W14" s="127">
        <v>42814</v>
      </c>
      <c r="X14" s="10">
        <v>221.18</v>
      </c>
      <c r="Y14" s="10">
        <v>222.64</v>
      </c>
      <c r="Z14" s="10">
        <v>220.78</v>
      </c>
      <c r="AA14" s="10">
        <v>221.24</v>
      </c>
      <c r="AB14" s="90">
        <v>1721500</v>
      </c>
      <c r="AC14" s="10">
        <v>221.24</v>
      </c>
      <c r="AD14" s="2">
        <f t="shared" si="0"/>
        <v>1.8599999999999852</v>
      </c>
      <c r="AE14" s="131">
        <f t="shared" si="1"/>
        <v>2.7127226693202111E-4</v>
      </c>
    </row>
    <row r="15" spans="1:31" x14ac:dyDescent="0.25">
      <c r="W15" s="127">
        <v>42811</v>
      </c>
      <c r="X15" s="10">
        <v>223.52</v>
      </c>
      <c r="Y15" s="10">
        <v>223.71</v>
      </c>
      <c r="Z15" s="10">
        <v>220.85</v>
      </c>
      <c r="AA15" s="10">
        <v>221.18</v>
      </c>
      <c r="AB15" s="90">
        <v>5163500</v>
      </c>
      <c r="AC15" s="10">
        <v>221.18</v>
      </c>
      <c r="AD15" s="2">
        <f t="shared" si="0"/>
        <v>2.8600000000000136</v>
      </c>
      <c r="AE15" s="131">
        <f t="shared" si="1"/>
        <v>-5.3067098398993373E-3</v>
      </c>
    </row>
    <row r="16" spans="1:31" x14ac:dyDescent="0.25">
      <c r="W16" s="127">
        <v>42810</v>
      </c>
      <c r="X16" s="10">
        <v>225.48</v>
      </c>
      <c r="Y16" s="10">
        <v>225.82</v>
      </c>
      <c r="Z16" s="10">
        <v>221.57</v>
      </c>
      <c r="AA16" s="10">
        <v>222.36</v>
      </c>
      <c r="AB16" s="90">
        <v>2783500</v>
      </c>
      <c r="AC16" s="10">
        <v>222.36</v>
      </c>
      <c r="AD16" s="2">
        <f t="shared" si="0"/>
        <v>4.25</v>
      </c>
      <c r="AE16" s="131" t="e">
        <f t="shared" si="1"/>
        <v>#DIV/0!</v>
      </c>
    </row>
    <row r="17" spans="1:31" x14ac:dyDescent="0.25">
      <c r="W17" s="127">
        <v>42810</v>
      </c>
      <c r="X17" s="10" t="s">
        <v>303</v>
      </c>
      <c r="Y17" s="10"/>
      <c r="Z17" s="10"/>
      <c r="AA17" s="10"/>
      <c r="AB17" s="90"/>
      <c r="AC17" s="10"/>
      <c r="AD17" s="2">
        <f t="shared" si="0"/>
        <v>0</v>
      </c>
      <c r="AE17" s="131">
        <f t="shared" si="1"/>
        <v>-1</v>
      </c>
    </row>
    <row r="18" spans="1:31" x14ac:dyDescent="0.25">
      <c r="A18" s="60" t="s">
        <v>81</v>
      </c>
      <c r="B18" s="61"/>
      <c r="C18" s="61">
        <f>SUM(C2:C13)</f>
        <v>0</v>
      </c>
      <c r="D18" s="62"/>
      <c r="E18" s="62"/>
      <c r="F18" s="62">
        <f>SUM(F2:F13)</f>
        <v>0</v>
      </c>
      <c r="G18" s="61"/>
      <c r="H18" s="61">
        <f>SUM(H2:H13)</f>
        <v>0</v>
      </c>
      <c r="I18" s="62"/>
      <c r="J18" s="62"/>
      <c r="K18" s="62">
        <f>SUM(K2:K13)</f>
        <v>0</v>
      </c>
      <c r="L18" s="61"/>
      <c r="M18" s="62">
        <f>SUM(M2:M13)</f>
        <v>0</v>
      </c>
      <c r="W18" s="127">
        <v>42809</v>
      </c>
      <c r="X18" s="10">
        <v>224.33</v>
      </c>
      <c r="Y18" s="10">
        <v>226.65</v>
      </c>
      <c r="Z18" s="10">
        <v>223.24</v>
      </c>
      <c r="AA18" s="10">
        <v>225.93</v>
      </c>
      <c r="AB18" s="90">
        <v>2072700</v>
      </c>
      <c r="AC18" s="10">
        <v>224.91</v>
      </c>
      <c r="AD18" s="2">
        <f t="shared" si="0"/>
        <v>3.4099999999999966</v>
      </c>
      <c r="AE18" s="131">
        <f t="shared" si="1"/>
        <v>7.0296409062415854E-3</v>
      </c>
    </row>
    <row r="19" spans="1:31" x14ac:dyDescent="0.25">
      <c r="W19" s="127">
        <v>42808</v>
      </c>
      <c r="X19" s="10">
        <v>224.76</v>
      </c>
      <c r="Y19" s="10">
        <v>226.28</v>
      </c>
      <c r="Z19" s="10">
        <v>223.51</v>
      </c>
      <c r="AA19" s="10">
        <v>224.35</v>
      </c>
      <c r="AB19" s="90">
        <v>2216500</v>
      </c>
      <c r="AC19" s="10">
        <v>223.34</v>
      </c>
      <c r="AD19" s="2">
        <f t="shared" si="0"/>
        <v>2.7700000000000102</v>
      </c>
      <c r="AE19" s="131">
        <f t="shared" si="1"/>
        <v>-9.2711706516435122E-3</v>
      </c>
    </row>
    <row r="20" spans="1:31" x14ac:dyDescent="0.25">
      <c r="B20" s="159" t="s">
        <v>113</v>
      </c>
      <c r="C20" s="159" t="s">
        <v>143</v>
      </c>
      <c r="D20" s="160" t="s">
        <v>142</v>
      </c>
      <c r="E20" s="162" t="s">
        <v>144</v>
      </c>
      <c r="F20" s="163" t="s">
        <v>65</v>
      </c>
      <c r="G20" s="173" t="s">
        <v>148</v>
      </c>
      <c r="H20" s="163" t="s">
        <v>88</v>
      </c>
      <c r="W20" s="127">
        <v>42807</v>
      </c>
      <c r="X20" s="10">
        <v>225.86</v>
      </c>
      <c r="Y20" s="10">
        <v>227.75</v>
      </c>
      <c r="Z20" s="10">
        <v>225.36</v>
      </c>
      <c r="AA20" s="10">
        <v>226.45</v>
      </c>
      <c r="AB20" s="90">
        <v>2666900</v>
      </c>
      <c r="AC20" s="10">
        <v>225.43</v>
      </c>
      <c r="AD20" s="2">
        <f t="shared" si="0"/>
        <v>2.3899999999999864</v>
      </c>
      <c r="AE20" s="131">
        <f t="shared" si="1"/>
        <v>4.4379354724188858E-4</v>
      </c>
    </row>
    <row r="21" spans="1:31" x14ac:dyDescent="0.25">
      <c r="B21" s="161"/>
      <c r="C21" s="10"/>
      <c r="D21" s="39"/>
      <c r="E21" s="39"/>
      <c r="F21" s="39"/>
      <c r="G21" s="39"/>
      <c r="H21" s="176"/>
      <c r="W21" s="127">
        <v>42804</v>
      </c>
      <c r="X21" s="10">
        <v>222.73</v>
      </c>
      <c r="Y21" s="10">
        <v>226.41</v>
      </c>
      <c r="Z21" s="10">
        <v>222.73</v>
      </c>
      <c r="AA21" s="10">
        <v>226.35</v>
      </c>
      <c r="AB21" s="90">
        <v>3943000</v>
      </c>
      <c r="AC21" s="10">
        <v>225.33</v>
      </c>
      <c r="AD21" s="2">
        <f t="shared" si="0"/>
        <v>3.6800000000000068</v>
      </c>
      <c r="AE21" s="131">
        <f t="shared" si="1"/>
        <v>1.9546626849463955E-2</v>
      </c>
    </row>
    <row r="22" spans="1:31" x14ac:dyDescent="0.25">
      <c r="B22" s="161"/>
      <c r="C22" s="10"/>
      <c r="D22" s="170"/>
      <c r="E22" s="170"/>
      <c r="F22" s="39"/>
      <c r="G22" s="39"/>
      <c r="H22" s="176"/>
      <c r="W22" s="127">
        <v>42803</v>
      </c>
      <c r="X22" s="10">
        <v>218.78</v>
      </c>
      <c r="Y22" s="10">
        <v>222.86</v>
      </c>
      <c r="Z22" s="10">
        <v>218.12</v>
      </c>
      <c r="AA22" s="10">
        <v>222.01</v>
      </c>
      <c r="AB22" s="90">
        <v>2567500</v>
      </c>
      <c r="AC22" s="10">
        <v>221.01</v>
      </c>
      <c r="AD22" s="2">
        <f t="shared" si="0"/>
        <v>4.7400000000000091</v>
      </c>
      <c r="AE22" s="131">
        <f t="shared" si="1"/>
        <v>1.0839736553238222E-2</v>
      </c>
    </row>
    <row r="23" spans="1:31" x14ac:dyDescent="0.25">
      <c r="B23" s="10"/>
      <c r="C23" s="10"/>
      <c r="D23" s="39"/>
      <c r="E23" s="39"/>
      <c r="F23" s="39"/>
      <c r="G23" s="39"/>
      <c r="H23" s="176"/>
      <c r="W23" s="127">
        <v>42802</v>
      </c>
      <c r="X23" s="10">
        <v>219.22</v>
      </c>
      <c r="Y23" s="10">
        <v>221.24</v>
      </c>
      <c r="Z23" s="10">
        <v>218.55</v>
      </c>
      <c r="AA23" s="10">
        <v>219.63</v>
      </c>
      <c r="AB23" s="90">
        <v>2453200</v>
      </c>
      <c r="AC23" s="10">
        <v>218.64</v>
      </c>
      <c r="AD23" s="2">
        <f t="shared" si="0"/>
        <v>2.6899999999999977</v>
      </c>
      <c r="AE23" s="131">
        <f t="shared" si="1"/>
        <v>1.7410427929991368E-3</v>
      </c>
    </row>
    <row r="24" spans="1:31" x14ac:dyDescent="0.25">
      <c r="B24" s="10"/>
      <c r="C24" s="10"/>
      <c r="D24" s="39"/>
      <c r="E24" s="39"/>
      <c r="F24" s="39"/>
      <c r="G24" s="39"/>
      <c r="H24" s="176"/>
      <c r="W24" s="127">
        <v>42801</v>
      </c>
      <c r="X24" s="10">
        <v>217.34</v>
      </c>
      <c r="Y24" s="10">
        <v>221.37</v>
      </c>
      <c r="Z24" s="10">
        <v>217.09</v>
      </c>
      <c r="AA24" s="10">
        <v>219.25</v>
      </c>
      <c r="AB24" s="90">
        <v>2912900</v>
      </c>
      <c r="AC24" s="10">
        <v>218.26</v>
      </c>
      <c r="AD24" s="2">
        <f t="shared" si="0"/>
        <v>4.2800000000000011</v>
      </c>
      <c r="AE24" s="131">
        <f t="shared" si="1"/>
        <v>5.9918879056046759E-3</v>
      </c>
    </row>
    <row r="25" spans="1:31" x14ac:dyDescent="0.25">
      <c r="B25" s="10"/>
      <c r="C25" s="10"/>
      <c r="D25" s="39"/>
      <c r="E25" s="39"/>
      <c r="F25" s="39"/>
      <c r="G25" s="39"/>
      <c r="H25" s="176"/>
      <c r="W25" s="127">
        <v>42800</v>
      </c>
      <c r="X25" s="10">
        <v>216.37</v>
      </c>
      <c r="Y25" s="10">
        <v>218.53</v>
      </c>
      <c r="Z25" s="10">
        <v>215.17</v>
      </c>
      <c r="AA25" s="10">
        <v>217.94</v>
      </c>
      <c r="AB25" s="90">
        <v>2277100</v>
      </c>
      <c r="AC25" s="10">
        <v>216.96</v>
      </c>
      <c r="AD25" s="2">
        <f t="shared" si="0"/>
        <v>3.3600000000000136</v>
      </c>
      <c r="AE25" s="131">
        <f t="shared" si="1"/>
        <v>-1.702480099388004E-3</v>
      </c>
    </row>
    <row r="26" spans="1:31" x14ac:dyDescent="0.25">
      <c r="B26" s="10"/>
      <c r="C26" s="10"/>
      <c r="D26" s="39"/>
      <c r="E26" s="39"/>
      <c r="F26" s="39"/>
      <c r="G26" s="39"/>
      <c r="H26" s="176"/>
      <c r="W26" s="127">
        <v>42797</v>
      </c>
      <c r="X26" s="10">
        <v>218</v>
      </c>
      <c r="Y26" s="10">
        <v>220</v>
      </c>
      <c r="Z26" s="10">
        <v>217.7</v>
      </c>
      <c r="AA26" s="10">
        <v>218.32</v>
      </c>
      <c r="AB26" s="90">
        <v>3074700</v>
      </c>
      <c r="AC26" s="10">
        <v>217.33</v>
      </c>
      <c r="AD26" s="2">
        <f t="shared" si="0"/>
        <v>2.3000000000000114</v>
      </c>
      <c r="AE26" s="131">
        <f t="shared" si="1"/>
        <v>4.7154546715362233E-3</v>
      </c>
    </row>
    <row r="27" spans="1:31" x14ac:dyDescent="0.25">
      <c r="B27" s="10"/>
      <c r="C27" s="10"/>
      <c r="D27" s="39"/>
      <c r="E27" s="39"/>
      <c r="F27" s="39"/>
      <c r="G27" s="39"/>
      <c r="H27" s="176"/>
      <c r="W27" s="127">
        <v>42796</v>
      </c>
      <c r="X27" s="10">
        <v>224.11</v>
      </c>
      <c r="Y27" s="10">
        <v>224.98</v>
      </c>
      <c r="Z27" s="10">
        <v>216.02</v>
      </c>
      <c r="AA27" s="10">
        <v>217.29</v>
      </c>
      <c r="AB27" s="90">
        <v>7117100</v>
      </c>
      <c r="AC27" s="10">
        <v>216.31</v>
      </c>
      <c r="AD27" s="2">
        <f t="shared" si="0"/>
        <v>8.9599999999999795</v>
      </c>
      <c r="AE27" s="131">
        <f t="shared" si="1"/>
        <v>9.9920623803522179E-3</v>
      </c>
    </row>
    <row r="28" spans="1:31" x14ac:dyDescent="0.25">
      <c r="B28" s="10"/>
      <c r="C28" s="10"/>
      <c r="D28" s="39"/>
      <c r="E28" s="39"/>
      <c r="F28" s="39"/>
      <c r="G28" s="39"/>
      <c r="H28" s="176"/>
      <c r="W28" s="127">
        <v>42795</v>
      </c>
      <c r="X28" s="10">
        <v>213.07</v>
      </c>
      <c r="Y28" s="10">
        <v>215.39</v>
      </c>
      <c r="Z28" s="10">
        <v>210.56</v>
      </c>
      <c r="AA28" s="10">
        <v>215.14</v>
      </c>
      <c r="AB28" s="90">
        <v>5115500</v>
      </c>
      <c r="AC28" s="10">
        <v>214.17</v>
      </c>
      <c r="AD28" s="2">
        <f t="shared" si="0"/>
        <v>4.8299999999999841</v>
      </c>
      <c r="AE28" s="131">
        <f t="shared" si="1"/>
        <v>1.9954281360129444E-2</v>
      </c>
    </row>
    <row r="29" spans="1:31" x14ac:dyDescent="0.25">
      <c r="B29" s="10"/>
      <c r="C29" s="10"/>
      <c r="D29" s="39"/>
      <c r="E29" s="39"/>
      <c r="F29" s="39"/>
      <c r="G29" s="39"/>
      <c r="H29" s="176"/>
      <c r="W29" s="127">
        <v>42794</v>
      </c>
      <c r="X29" s="10">
        <v>214.14</v>
      </c>
      <c r="Y29" s="10">
        <v>214.34</v>
      </c>
      <c r="Z29" s="10">
        <v>210.3</v>
      </c>
      <c r="AA29" s="10">
        <v>210.93</v>
      </c>
      <c r="AB29" s="90">
        <v>2754800</v>
      </c>
      <c r="AC29" s="10">
        <v>209.98</v>
      </c>
      <c r="AD29" s="2">
        <f t="shared" si="0"/>
        <v>4.039999999999992</v>
      </c>
      <c r="AE29" s="131">
        <f t="shared" si="1"/>
        <v>-1.1021100226073832E-2</v>
      </c>
    </row>
    <row r="30" spans="1:31" x14ac:dyDescent="0.25">
      <c r="B30" s="10"/>
      <c r="C30" s="10"/>
      <c r="D30" s="39"/>
      <c r="E30" s="39"/>
      <c r="F30" s="39"/>
      <c r="G30" s="39"/>
      <c r="H30" s="176"/>
      <c r="W30" s="127">
        <v>42793</v>
      </c>
      <c r="X30" s="10">
        <v>210.67</v>
      </c>
      <c r="Y30" s="10">
        <v>213.45</v>
      </c>
      <c r="Z30" s="10">
        <v>210.19</v>
      </c>
      <c r="AA30" s="10">
        <v>213.28</v>
      </c>
      <c r="AB30" s="90">
        <v>2699100</v>
      </c>
      <c r="AC30" s="10">
        <v>212.32</v>
      </c>
      <c r="AD30" s="2">
        <f t="shared" si="0"/>
        <v>3.2599999999999909</v>
      </c>
      <c r="AE30" s="131">
        <f t="shared" si="1"/>
        <v>1.3847770031515605E-2</v>
      </c>
    </row>
    <row r="31" spans="1:31" x14ac:dyDescent="0.25">
      <c r="W31" s="127">
        <v>42790</v>
      </c>
      <c r="X31" s="10">
        <v>208.38</v>
      </c>
      <c r="Y31" s="10">
        <v>210.65</v>
      </c>
      <c r="Z31" s="10">
        <v>202.61</v>
      </c>
      <c r="AA31" s="10">
        <v>210.37</v>
      </c>
      <c r="AB31" s="90">
        <v>2765100</v>
      </c>
      <c r="AC31" s="10">
        <v>209.42</v>
      </c>
      <c r="AD31" s="2">
        <f t="shared" si="0"/>
        <v>8.039999999999992</v>
      </c>
      <c r="AE31" s="131">
        <f t="shared" si="1"/>
        <v>-1.0017650145495161E-3</v>
      </c>
    </row>
    <row r="32" spans="1:31" x14ac:dyDescent="0.25">
      <c r="L32" t="s">
        <v>201</v>
      </c>
      <c r="M32" s="2">
        <f>M50+K50-F50</f>
        <v>780.73999999999796</v>
      </c>
      <c r="W32" s="127">
        <v>42789</v>
      </c>
      <c r="X32" s="10">
        <v>215.08</v>
      </c>
      <c r="Y32" s="10">
        <v>215.96</v>
      </c>
      <c r="Z32" s="10">
        <v>209.64</v>
      </c>
      <c r="AA32" s="10">
        <v>210.58</v>
      </c>
      <c r="AB32" s="90">
        <v>2936400</v>
      </c>
      <c r="AC32" s="10">
        <v>209.63</v>
      </c>
      <c r="AD32" s="2">
        <f t="shared" si="0"/>
        <v>6.3200000000000216</v>
      </c>
      <c r="AE32" s="131">
        <f t="shared" si="1"/>
        <v>-1.669871945213186E-2</v>
      </c>
    </row>
    <row r="33" spans="1:31" x14ac:dyDescent="0.25">
      <c r="A33" s="11" t="s">
        <v>1</v>
      </c>
      <c r="B33" s="11" t="s">
        <v>2</v>
      </c>
      <c r="C33" s="11" t="s">
        <v>4</v>
      </c>
      <c r="D33" s="20" t="s">
        <v>5</v>
      </c>
      <c r="E33" s="20" t="s">
        <v>94</v>
      </c>
      <c r="F33" s="20" t="s">
        <v>69</v>
      </c>
      <c r="G33" s="11" t="s">
        <v>3</v>
      </c>
      <c r="H33" s="11" t="s">
        <v>6</v>
      </c>
      <c r="I33" s="20" t="s">
        <v>7</v>
      </c>
      <c r="J33" s="20" t="s">
        <v>95</v>
      </c>
      <c r="K33" s="20" t="s">
        <v>61</v>
      </c>
      <c r="L33" s="11" t="s">
        <v>37</v>
      </c>
      <c r="M33" s="11" t="s">
        <v>38</v>
      </c>
      <c r="W33" s="127">
        <v>42788</v>
      </c>
      <c r="X33" s="10">
        <v>213</v>
      </c>
      <c r="Y33" s="10">
        <v>214.93</v>
      </c>
      <c r="Z33" s="10">
        <v>211.5</v>
      </c>
      <c r="AA33" s="10">
        <v>214.16</v>
      </c>
      <c r="AB33" s="90">
        <v>2394900</v>
      </c>
      <c r="AC33" s="10">
        <v>213.19</v>
      </c>
      <c r="AD33" s="2">
        <f t="shared" si="0"/>
        <v>3.4300000000000068</v>
      </c>
      <c r="AE33" s="131">
        <f t="shared" si="1"/>
        <v>6.6103215449266894E-3</v>
      </c>
    </row>
    <row r="34" spans="1:31" x14ac:dyDescent="0.25">
      <c r="A34" s="6" t="s">
        <v>33</v>
      </c>
      <c r="B34" s="1">
        <v>42166</v>
      </c>
      <c r="C34" s="7">
        <v>10</v>
      </c>
      <c r="D34" s="43">
        <v>139.16</v>
      </c>
      <c r="E34" s="43">
        <v>0</v>
      </c>
      <c r="F34" s="43">
        <f t="shared" ref="F34:F44" si="2">D34*C34</f>
        <v>1391.6</v>
      </c>
      <c r="G34" s="69">
        <v>42213</v>
      </c>
      <c r="H34" s="7">
        <v>10</v>
      </c>
      <c r="I34" s="43">
        <f>129.5</f>
        <v>129.5</v>
      </c>
      <c r="J34" s="43">
        <v>0.02</v>
      </c>
      <c r="K34" s="43">
        <f>H34*I34-J34</f>
        <v>1294.98</v>
      </c>
      <c r="L34" s="1">
        <v>42185</v>
      </c>
      <c r="M34" s="2">
        <v>4</v>
      </c>
      <c r="W34" s="127">
        <v>42787</v>
      </c>
      <c r="X34" s="10">
        <v>211</v>
      </c>
      <c r="Y34" s="10">
        <v>213.62</v>
      </c>
      <c r="Z34" s="10">
        <v>210.91</v>
      </c>
      <c r="AA34" s="10">
        <v>212.75</v>
      </c>
      <c r="AB34" s="90">
        <v>3033300</v>
      </c>
      <c r="AC34" s="10">
        <v>211.79</v>
      </c>
      <c r="AD34" s="2">
        <f t="shared" si="0"/>
        <v>2.710000000000008</v>
      </c>
      <c r="AE34" s="131">
        <f t="shared" si="1"/>
        <v>1.112384226105223E-2</v>
      </c>
    </row>
    <row r="35" spans="1:31" x14ac:dyDescent="0.25">
      <c r="A35" s="22" t="s">
        <v>71</v>
      </c>
      <c r="B35" s="895">
        <v>42212</v>
      </c>
      <c r="C35" s="7">
        <v>10</v>
      </c>
      <c r="D35" s="43">
        <v>124.25</v>
      </c>
      <c r="E35" s="43">
        <v>0</v>
      </c>
      <c r="F35" s="43">
        <f t="shared" si="2"/>
        <v>1242.5</v>
      </c>
      <c r="G35" s="1">
        <v>42258</v>
      </c>
      <c r="H35" s="7">
        <v>45</v>
      </c>
      <c r="I35" s="43">
        <v>126.8</v>
      </c>
      <c r="J35" s="43">
        <v>0.1</v>
      </c>
      <c r="K35" s="43">
        <f>H35*I35-J35</f>
        <v>5705.9</v>
      </c>
      <c r="L35" s="1">
        <v>42277</v>
      </c>
      <c r="M35" s="2">
        <v>2.1</v>
      </c>
      <c r="W35" s="127">
        <v>42783</v>
      </c>
      <c r="X35" s="10">
        <v>209</v>
      </c>
      <c r="Y35" s="10">
        <v>210.41</v>
      </c>
      <c r="Z35" s="10">
        <v>206.82</v>
      </c>
      <c r="AA35" s="10">
        <v>210.41</v>
      </c>
      <c r="AB35" s="90">
        <v>3094500</v>
      </c>
      <c r="AC35" s="10">
        <v>209.46</v>
      </c>
      <c r="AD35" s="2">
        <f t="shared" si="0"/>
        <v>3.5900000000000034</v>
      </c>
      <c r="AE35" s="131">
        <f t="shared" si="1"/>
        <v>1.0712217718587214E-2</v>
      </c>
    </row>
    <row r="36" spans="1:31" x14ac:dyDescent="0.25">
      <c r="B36" s="895"/>
      <c r="C36" s="7">
        <v>10</v>
      </c>
      <c r="D36" s="43">
        <v>124.25</v>
      </c>
      <c r="E36" s="43">
        <v>0</v>
      </c>
      <c r="F36" s="43">
        <f t="shared" si="2"/>
        <v>1242.5</v>
      </c>
      <c r="G36" s="1">
        <v>42265</v>
      </c>
      <c r="H36" s="77">
        <v>10</v>
      </c>
      <c r="I36" s="43">
        <v>134.5</v>
      </c>
      <c r="J36" s="43">
        <v>0.02</v>
      </c>
      <c r="K36" s="43">
        <f>H36*I36-J36</f>
        <v>1344.98</v>
      </c>
      <c r="M36" s="2"/>
      <c r="W36" s="127">
        <v>42782</v>
      </c>
      <c r="X36" s="10">
        <v>206.46</v>
      </c>
      <c r="Y36" s="10">
        <v>208.22</v>
      </c>
      <c r="Z36" s="10">
        <v>205.18</v>
      </c>
      <c r="AA36" s="10">
        <v>208.18</v>
      </c>
      <c r="AB36" s="90">
        <v>1718800</v>
      </c>
      <c r="AC36" s="10">
        <v>207.24</v>
      </c>
      <c r="AD36" s="2">
        <f t="shared" si="0"/>
        <v>3.039999999999992</v>
      </c>
      <c r="AE36" s="131">
        <f t="shared" si="1"/>
        <v>1.0631034819077456E-2</v>
      </c>
    </row>
    <row r="37" spans="1:31" x14ac:dyDescent="0.25">
      <c r="B37" s="1">
        <v>42220</v>
      </c>
      <c r="C37" s="7">
        <v>5</v>
      </c>
      <c r="D37" s="43">
        <v>123.2</v>
      </c>
      <c r="E37" s="43">
        <v>0</v>
      </c>
      <c r="F37" s="43">
        <f t="shared" si="2"/>
        <v>616</v>
      </c>
      <c r="G37" s="1">
        <v>42290</v>
      </c>
      <c r="H37" s="77">
        <v>5</v>
      </c>
      <c r="I37" s="43">
        <v>119.15</v>
      </c>
      <c r="J37" s="43">
        <v>0.01</v>
      </c>
      <c r="K37" s="43">
        <f>H37*I37-J37</f>
        <v>595.74</v>
      </c>
      <c r="M37" s="2"/>
      <c r="W37" s="127">
        <v>42781</v>
      </c>
      <c r="X37" s="10">
        <v>205.82</v>
      </c>
      <c r="Y37" s="10">
        <v>206.94</v>
      </c>
      <c r="Z37" s="10">
        <v>204.8</v>
      </c>
      <c r="AA37" s="10">
        <v>205.99</v>
      </c>
      <c r="AB37" s="90">
        <v>1708800</v>
      </c>
      <c r="AC37" s="10">
        <v>205.06</v>
      </c>
      <c r="AD37" s="2">
        <f t="shared" si="0"/>
        <v>2.1399999999999864</v>
      </c>
      <c r="AE37" s="131">
        <f t="shared" si="1"/>
        <v>3.2289628180039998E-3</v>
      </c>
    </row>
    <row r="38" spans="1:31" x14ac:dyDescent="0.25">
      <c r="B38" s="1">
        <v>42220</v>
      </c>
      <c r="C38" s="7">
        <v>20</v>
      </c>
      <c r="D38" s="43">
        <v>122.2</v>
      </c>
      <c r="E38" s="43">
        <v>0</v>
      </c>
      <c r="F38" s="43">
        <f t="shared" si="2"/>
        <v>2444</v>
      </c>
      <c r="G38" s="1">
        <v>42311</v>
      </c>
      <c r="H38" s="77">
        <v>45</v>
      </c>
      <c r="I38" s="43">
        <v>127.75</v>
      </c>
      <c r="J38" s="43">
        <v>0.11</v>
      </c>
      <c r="K38" s="43">
        <f>H38*I38-J38</f>
        <v>5748.64</v>
      </c>
      <c r="M38" s="2"/>
      <c r="W38" s="127">
        <v>42780</v>
      </c>
      <c r="X38" s="10">
        <v>206.99</v>
      </c>
      <c r="Y38" s="10">
        <v>207</v>
      </c>
      <c r="Z38" s="10">
        <v>204.8</v>
      </c>
      <c r="AA38" s="10">
        <v>205.33</v>
      </c>
      <c r="AB38" s="90">
        <v>1735700</v>
      </c>
      <c r="AC38" s="10">
        <v>204.4</v>
      </c>
      <c r="AD38" s="2">
        <f t="shared" si="0"/>
        <v>2.1999999999999886</v>
      </c>
      <c r="AE38" s="131">
        <f t="shared" si="1"/>
        <v>-6.7061910778500877E-3</v>
      </c>
    </row>
    <row r="39" spans="1:31" x14ac:dyDescent="0.25">
      <c r="B39" s="895">
        <v>42240</v>
      </c>
      <c r="C39" s="7">
        <v>5</v>
      </c>
      <c r="D39" s="43">
        <v>120.5</v>
      </c>
      <c r="E39" s="43">
        <v>0</v>
      </c>
      <c r="F39" s="43">
        <f t="shared" si="2"/>
        <v>602.5</v>
      </c>
      <c r="M39" s="2"/>
      <c r="W39" s="127">
        <v>42779</v>
      </c>
      <c r="X39" s="10">
        <v>206.78</v>
      </c>
      <c r="Y39" s="10">
        <v>207.11</v>
      </c>
      <c r="Z39" s="10">
        <v>205.17</v>
      </c>
      <c r="AA39" s="10">
        <v>206.71</v>
      </c>
      <c r="AB39" s="90">
        <v>1246300</v>
      </c>
      <c r="AC39" s="10">
        <v>205.78</v>
      </c>
      <c r="AD39" s="2">
        <f t="shared" si="0"/>
        <v>1.9400000000000261</v>
      </c>
      <c r="AE39" s="131">
        <f t="shared" si="1"/>
        <v>5.8165110709222922E-3</v>
      </c>
    </row>
    <row r="40" spans="1:31" x14ac:dyDescent="0.25">
      <c r="B40" s="896"/>
      <c r="C40" s="7">
        <v>10</v>
      </c>
      <c r="D40" s="43">
        <v>120.5</v>
      </c>
      <c r="E40" s="43">
        <v>0</v>
      </c>
      <c r="F40" s="43">
        <f t="shared" si="2"/>
        <v>1205</v>
      </c>
      <c r="W40" s="127">
        <v>42776</v>
      </c>
      <c r="X40" s="10">
        <v>206</v>
      </c>
      <c r="Y40" s="10">
        <v>206.5</v>
      </c>
      <c r="Z40" s="10">
        <v>203.85</v>
      </c>
      <c r="AA40" s="10">
        <v>205.52</v>
      </c>
      <c r="AB40" s="90">
        <v>2384200</v>
      </c>
      <c r="AC40" s="10">
        <v>204.59</v>
      </c>
      <c r="AD40" s="2">
        <f t="shared" si="0"/>
        <v>2.6500000000000057</v>
      </c>
      <c r="AE40" s="131">
        <f t="shared" si="1"/>
        <v>8.8058314172489993E-4</v>
      </c>
    </row>
    <row r="41" spans="1:31" ht="20.25" thickBot="1" x14ac:dyDescent="0.35">
      <c r="B41" s="1">
        <v>42286</v>
      </c>
      <c r="C41" s="7">
        <v>15</v>
      </c>
      <c r="D41" s="43">
        <v>117.5</v>
      </c>
      <c r="E41" s="43">
        <v>0</v>
      </c>
      <c r="F41" s="43">
        <f t="shared" si="2"/>
        <v>1762.5</v>
      </c>
      <c r="O41" s="886" t="s">
        <v>78</v>
      </c>
      <c r="P41" s="886"/>
      <c r="T41" s="86" t="s">
        <v>112</v>
      </c>
      <c r="W41" s="127">
        <v>42775</v>
      </c>
      <c r="X41" s="10">
        <v>207.33</v>
      </c>
      <c r="Y41" s="10">
        <v>207.69</v>
      </c>
      <c r="Z41" s="10">
        <v>203.63</v>
      </c>
      <c r="AA41" s="10">
        <v>205.34</v>
      </c>
      <c r="AB41" s="90">
        <v>2751900</v>
      </c>
      <c r="AC41" s="10">
        <v>204.41</v>
      </c>
      <c r="AD41" s="2">
        <f t="shared" si="0"/>
        <v>4.0600000000000023</v>
      </c>
      <c r="AE41" s="131">
        <f t="shared" si="1"/>
        <v>-7.5257331520683923E-3</v>
      </c>
    </row>
    <row r="42" spans="1:31" ht="15.75" thickTop="1" x14ac:dyDescent="0.25">
      <c r="B42" s="1">
        <v>42286</v>
      </c>
      <c r="C42" s="7">
        <v>10</v>
      </c>
      <c r="D42" s="43">
        <v>115.6</v>
      </c>
      <c r="E42" s="43">
        <v>0</v>
      </c>
      <c r="F42" s="43">
        <f t="shared" si="2"/>
        <v>1156</v>
      </c>
      <c r="O42" s="78">
        <v>1.1000000000000001</v>
      </c>
      <c r="P42" s="78">
        <f>O42*$Q$4</f>
        <v>314.00600000000003</v>
      </c>
      <c r="Q42" s="2"/>
      <c r="T42" s="128" t="s">
        <v>97</v>
      </c>
      <c r="U42" s="93">
        <v>218.96</v>
      </c>
      <c r="W42" s="127">
        <v>42774</v>
      </c>
      <c r="X42" s="10">
        <v>205.97</v>
      </c>
      <c r="Y42" s="10">
        <v>208.75</v>
      </c>
      <c r="Z42" s="10">
        <v>205.16</v>
      </c>
      <c r="AA42" s="10">
        <v>206.89</v>
      </c>
      <c r="AB42" s="90">
        <v>2106900</v>
      </c>
      <c r="AC42" s="10">
        <v>205.96</v>
      </c>
      <c r="AD42" s="2">
        <f t="shared" si="0"/>
        <v>3.5900000000000034</v>
      </c>
      <c r="AE42" s="131">
        <f t="shared" si="1"/>
        <v>4.7809542394381399E-3</v>
      </c>
    </row>
    <row r="43" spans="1:31" x14ac:dyDescent="0.25">
      <c r="B43" s="1">
        <v>42286</v>
      </c>
      <c r="C43" s="7">
        <v>10</v>
      </c>
      <c r="D43" s="43">
        <v>113.5</v>
      </c>
      <c r="E43" s="43">
        <v>0</v>
      </c>
      <c r="F43" s="43">
        <f t="shared" si="2"/>
        <v>1135</v>
      </c>
      <c r="O43" s="78">
        <v>1.0900000000000001</v>
      </c>
      <c r="P43" s="78">
        <f t="shared" ref="P43:P62" si="3">O43*$Q$4</f>
        <v>311.15140000000002</v>
      </c>
      <c r="Q43" s="2"/>
      <c r="T43" s="129" t="s">
        <v>98</v>
      </c>
      <c r="U43" s="83">
        <v>219.54</v>
      </c>
      <c r="W43" s="127">
        <v>42773</v>
      </c>
      <c r="X43" s="10">
        <v>207.21</v>
      </c>
      <c r="Y43" s="10">
        <v>207.4</v>
      </c>
      <c r="Z43" s="10">
        <v>204.93</v>
      </c>
      <c r="AA43" s="10">
        <v>205.91</v>
      </c>
      <c r="AB43" s="90">
        <v>2284000</v>
      </c>
      <c r="AC43" s="10">
        <v>204.98</v>
      </c>
      <c r="AD43" s="2">
        <f t="shared" si="0"/>
        <v>2.4699999999999989</v>
      </c>
      <c r="AE43" s="131">
        <f t="shared" si="1"/>
        <v>-3.1610173612800496E-3</v>
      </c>
    </row>
    <row r="44" spans="1:31" x14ac:dyDescent="0.25">
      <c r="B44" s="1">
        <v>42286</v>
      </c>
      <c r="C44" s="7">
        <v>10</v>
      </c>
      <c r="D44" s="43">
        <v>111.8</v>
      </c>
      <c r="E44" s="43">
        <v>0</v>
      </c>
      <c r="F44" s="43">
        <f t="shared" si="2"/>
        <v>1118</v>
      </c>
      <c r="G44" s="2"/>
      <c r="O44" s="78">
        <v>1.08</v>
      </c>
      <c r="P44" s="78">
        <f t="shared" si="3"/>
        <v>308.29680000000002</v>
      </c>
      <c r="Q44" s="2"/>
      <c r="T44" s="129" t="s">
        <v>99</v>
      </c>
      <c r="U44" s="83" t="s">
        <v>574</v>
      </c>
      <c r="W44" s="127">
        <v>42772</v>
      </c>
      <c r="X44" s="10">
        <v>206.15</v>
      </c>
      <c r="Y44" s="10">
        <v>206.66</v>
      </c>
      <c r="Z44" s="10">
        <v>204.3</v>
      </c>
      <c r="AA44" s="10">
        <v>206.56</v>
      </c>
      <c r="AB44" s="90">
        <v>1871600</v>
      </c>
      <c r="AC44" s="10">
        <v>205.63</v>
      </c>
      <c r="AD44" s="2">
        <f t="shared" si="0"/>
        <v>2.3599999999999852</v>
      </c>
      <c r="AE44" s="131">
        <f t="shared" si="1"/>
        <v>1.9490327924767126E-3</v>
      </c>
    </row>
    <row r="45" spans="1:31" x14ac:dyDescent="0.25">
      <c r="O45" s="78">
        <v>1.07</v>
      </c>
      <c r="P45" s="78">
        <f t="shared" si="3"/>
        <v>305.44220000000001</v>
      </c>
      <c r="Q45" s="2"/>
      <c r="T45" s="129" t="s">
        <v>100</v>
      </c>
      <c r="U45" s="83" t="s">
        <v>575</v>
      </c>
      <c r="W45" s="127">
        <v>42769</v>
      </c>
      <c r="X45" s="10">
        <v>204.95</v>
      </c>
      <c r="Y45" s="10">
        <v>206.6</v>
      </c>
      <c r="Z45" s="10">
        <v>203.03</v>
      </c>
      <c r="AA45" s="10">
        <v>206.16</v>
      </c>
      <c r="AB45" s="90">
        <v>2436700</v>
      </c>
      <c r="AC45" s="10">
        <v>205.23</v>
      </c>
      <c r="AD45" s="2">
        <f t="shared" si="0"/>
        <v>3.5699999999999932</v>
      </c>
      <c r="AE45" s="131">
        <f t="shared" si="1"/>
        <v>1.03382070595186E-2</v>
      </c>
    </row>
    <row r="46" spans="1:31" x14ac:dyDescent="0.25">
      <c r="O46" s="78">
        <v>1.06</v>
      </c>
      <c r="P46" s="78">
        <f t="shared" si="3"/>
        <v>302.58760000000001</v>
      </c>
      <c r="Q46" s="2"/>
      <c r="T46" s="129" t="s">
        <v>101</v>
      </c>
      <c r="U46" s="83">
        <v>248.39</v>
      </c>
      <c r="W46" s="127">
        <v>42768</v>
      </c>
      <c r="X46" s="10">
        <v>201.97</v>
      </c>
      <c r="Y46" s="10">
        <v>205.03</v>
      </c>
      <c r="Z46" s="10">
        <v>201</v>
      </c>
      <c r="AA46" s="10">
        <v>204.05</v>
      </c>
      <c r="AB46" s="90">
        <v>2271200</v>
      </c>
      <c r="AC46" s="10">
        <v>203.13</v>
      </c>
      <c r="AD46" s="2">
        <f t="shared" si="0"/>
        <v>4.0300000000000011</v>
      </c>
      <c r="AE46" s="131">
        <f t="shared" si="1"/>
        <v>1.7754105636926809E-3</v>
      </c>
    </row>
    <row r="47" spans="1:31" x14ac:dyDescent="0.25">
      <c r="O47" s="78">
        <v>1.05</v>
      </c>
      <c r="P47" s="78">
        <f t="shared" si="3"/>
        <v>299.733</v>
      </c>
      <c r="Q47" s="2"/>
      <c r="T47" s="129" t="s">
        <v>102</v>
      </c>
      <c r="U47" s="83">
        <v>1.1192500000000001</v>
      </c>
      <c r="W47" s="127">
        <v>42767</v>
      </c>
      <c r="X47" s="10">
        <v>202.25</v>
      </c>
      <c r="Y47" s="10">
        <v>204.48</v>
      </c>
      <c r="Z47" s="10">
        <v>200.21</v>
      </c>
      <c r="AA47" s="10">
        <v>203.69</v>
      </c>
      <c r="AB47" s="90">
        <v>3118400</v>
      </c>
      <c r="AC47" s="10">
        <v>202.77</v>
      </c>
      <c r="AD47" s="2">
        <f t="shared" si="0"/>
        <v>4.2699999999999818</v>
      </c>
      <c r="AE47" s="131">
        <f t="shared" si="1"/>
        <v>2.0996978851963721E-2</v>
      </c>
    </row>
    <row r="48" spans="1:31" x14ac:dyDescent="0.25">
      <c r="O48" s="78">
        <v>1.04</v>
      </c>
      <c r="P48" s="78">
        <f t="shared" si="3"/>
        <v>296.8784</v>
      </c>
      <c r="Q48" s="2"/>
      <c r="T48" s="129" t="s">
        <v>103</v>
      </c>
      <c r="U48" s="83" t="s">
        <v>128</v>
      </c>
      <c r="W48" s="127">
        <v>42766</v>
      </c>
      <c r="X48" s="10">
        <v>202.47</v>
      </c>
      <c r="Y48" s="10">
        <v>202.47</v>
      </c>
      <c r="Z48" s="10">
        <v>198.86</v>
      </c>
      <c r="AA48" s="10">
        <v>199.5</v>
      </c>
      <c r="AB48" s="90">
        <v>2674900</v>
      </c>
      <c r="AC48" s="10">
        <v>198.6</v>
      </c>
      <c r="AD48" s="2">
        <f t="shared" si="0"/>
        <v>3.6099999999999852</v>
      </c>
      <c r="AE48" s="131">
        <f t="shared" si="1"/>
        <v>-1.8289668808700088E-2</v>
      </c>
    </row>
    <row r="49" spans="1:31" x14ac:dyDescent="0.25">
      <c r="O49" s="78">
        <v>1.03</v>
      </c>
      <c r="P49" s="78">
        <f t="shared" si="3"/>
        <v>294.02379999999999</v>
      </c>
      <c r="Q49" s="2"/>
      <c r="T49" s="129"/>
      <c r="U49" s="83"/>
      <c r="W49" s="127">
        <v>42765</v>
      </c>
      <c r="X49" s="10">
        <v>204.45</v>
      </c>
      <c r="Y49" s="10">
        <v>204.87</v>
      </c>
      <c r="Z49" s="10">
        <v>200.61</v>
      </c>
      <c r="AA49" s="10">
        <v>203.22</v>
      </c>
      <c r="AB49" s="90">
        <v>3323400</v>
      </c>
      <c r="AC49" s="10">
        <v>202.3</v>
      </c>
      <c r="AD49" s="2">
        <f t="shared" si="0"/>
        <v>4.2599999999999909</v>
      </c>
      <c r="AE49" s="131">
        <f t="shared" si="1"/>
        <v>-1.2110557671647593E-2</v>
      </c>
    </row>
    <row r="50" spans="1:31" x14ac:dyDescent="0.25">
      <c r="A50" s="60" t="s">
        <v>81</v>
      </c>
      <c r="B50" s="61"/>
      <c r="C50" s="61">
        <f>SUM(C34:C45)</f>
        <v>115</v>
      </c>
      <c r="D50" s="62"/>
      <c r="E50" s="62"/>
      <c r="F50" s="62">
        <f>SUM(F34:F45)</f>
        <v>13915.6</v>
      </c>
      <c r="G50" s="61"/>
      <c r="H50" s="61">
        <f>SUM(H34:H45)</f>
        <v>115</v>
      </c>
      <c r="I50" s="62"/>
      <c r="J50" s="62"/>
      <c r="K50" s="62">
        <f>SUM(K34:K45)</f>
        <v>14690.239999999998</v>
      </c>
      <c r="L50" s="61"/>
      <c r="M50" s="62">
        <f>SUM(M34:M45)</f>
        <v>6.1</v>
      </c>
      <c r="O50" s="78">
        <v>1.02</v>
      </c>
      <c r="P50" s="78">
        <f t="shared" si="3"/>
        <v>291.16919999999999</v>
      </c>
      <c r="Q50" s="2"/>
      <c r="T50" s="129" t="s">
        <v>104</v>
      </c>
      <c r="U50" s="83" t="s">
        <v>576</v>
      </c>
      <c r="W50" s="127">
        <v>42762</v>
      </c>
      <c r="X50" s="10">
        <v>205.38</v>
      </c>
      <c r="Y50" s="10">
        <v>205.79</v>
      </c>
      <c r="Z50" s="10">
        <v>203.54</v>
      </c>
      <c r="AA50" s="10">
        <v>205.71</v>
      </c>
      <c r="AB50" s="90">
        <v>2578000</v>
      </c>
      <c r="AC50" s="10">
        <v>204.78</v>
      </c>
      <c r="AD50" s="2">
        <f t="shared" si="0"/>
        <v>2.25</v>
      </c>
      <c r="AE50" s="131">
        <f t="shared" si="1"/>
        <v>7.5276752767527988E-3</v>
      </c>
    </row>
    <row r="51" spans="1:31" x14ac:dyDescent="0.25">
      <c r="O51" s="78">
        <v>1.01</v>
      </c>
      <c r="P51" s="78">
        <f t="shared" si="3"/>
        <v>288.31459999999998</v>
      </c>
      <c r="Q51" s="2"/>
      <c r="T51" s="129" t="s">
        <v>105</v>
      </c>
      <c r="U51" s="83" t="s">
        <v>451</v>
      </c>
      <c r="W51" s="127">
        <v>42761</v>
      </c>
      <c r="X51" s="10">
        <v>204.44</v>
      </c>
      <c r="Y51" s="10">
        <v>205.27</v>
      </c>
      <c r="Z51" s="10">
        <v>201.13</v>
      </c>
      <c r="AA51" s="10">
        <v>204.17</v>
      </c>
      <c r="AB51" s="90">
        <v>3882000</v>
      </c>
      <c r="AC51" s="10">
        <v>203.25</v>
      </c>
      <c r="AD51" s="2">
        <f t="shared" si="0"/>
        <v>4.1400000000000148</v>
      </c>
      <c r="AE51" s="131">
        <f t="shared" si="1"/>
        <v>8.3345735972615298E-3</v>
      </c>
    </row>
    <row r="52" spans="1:31" x14ac:dyDescent="0.25">
      <c r="O52" s="78">
        <v>1</v>
      </c>
      <c r="P52" s="78">
        <f t="shared" si="3"/>
        <v>285.45999999999998</v>
      </c>
      <c r="Q52" s="2"/>
      <c r="T52" s="129" t="s">
        <v>106</v>
      </c>
      <c r="U52" s="85">
        <v>1568971</v>
      </c>
      <c r="W52" s="127">
        <v>42760</v>
      </c>
      <c r="X52" s="10">
        <v>199.92</v>
      </c>
      <c r="Y52" s="10">
        <v>202.59</v>
      </c>
      <c r="Z52" s="10">
        <v>198.03</v>
      </c>
      <c r="AA52" s="10">
        <v>202.48</v>
      </c>
      <c r="AB52" s="90">
        <v>6088800</v>
      </c>
      <c r="AC52" s="10">
        <v>201.57</v>
      </c>
      <c r="AD52" s="2">
        <f t="shared" si="0"/>
        <v>4.5600000000000023</v>
      </c>
      <c r="AE52" s="131">
        <f t="shared" si="1"/>
        <v>2.3925632429137256E-2</v>
      </c>
    </row>
    <row r="53" spans="1:31" x14ac:dyDescent="0.25">
      <c r="O53" s="78">
        <v>0.99</v>
      </c>
      <c r="P53" s="78">
        <f t="shared" si="3"/>
        <v>282.60539999999997</v>
      </c>
      <c r="Q53" s="2"/>
      <c r="T53" s="129" t="s">
        <v>109</v>
      </c>
      <c r="U53" s="85">
        <v>2816230</v>
      </c>
      <c r="W53" s="127">
        <v>42759</v>
      </c>
      <c r="X53" s="10">
        <v>192.72</v>
      </c>
      <c r="Y53" s="10">
        <v>199.64</v>
      </c>
      <c r="Z53" s="10">
        <v>192.28</v>
      </c>
      <c r="AA53" s="10">
        <v>197.75</v>
      </c>
      <c r="AB53" s="90">
        <v>6200800</v>
      </c>
      <c r="AC53" s="10">
        <v>196.86</v>
      </c>
      <c r="AD53" s="2">
        <f t="shared" si="0"/>
        <v>7.3599999999999852</v>
      </c>
      <c r="AE53" s="131">
        <f t="shared" si="1"/>
        <v>3.53423792994636E-2</v>
      </c>
    </row>
    <row r="54" spans="1:31" x14ac:dyDescent="0.25">
      <c r="O54" s="78">
        <v>0.98</v>
      </c>
      <c r="P54" s="78">
        <f t="shared" si="3"/>
        <v>279.75079999999997</v>
      </c>
      <c r="Q54" s="2"/>
      <c r="T54" s="129" t="s">
        <v>107</v>
      </c>
      <c r="U54" s="83" t="s">
        <v>577</v>
      </c>
      <c r="W54" s="127">
        <v>42758</v>
      </c>
      <c r="X54" s="10">
        <v>191.01</v>
      </c>
      <c r="Y54" s="10">
        <v>191.53</v>
      </c>
      <c r="Z54" s="10">
        <v>188.42</v>
      </c>
      <c r="AA54" s="10">
        <v>191</v>
      </c>
      <c r="AB54" s="90">
        <v>3339400</v>
      </c>
      <c r="AC54" s="10">
        <v>190.14</v>
      </c>
      <c r="AD54" s="2">
        <f t="shared" si="0"/>
        <v>3.1100000000000136</v>
      </c>
      <c r="AE54" s="131">
        <f t="shared" si="1"/>
        <v>-4.2056566081383195E-4</v>
      </c>
    </row>
    <row r="55" spans="1:31" x14ac:dyDescent="0.25">
      <c r="O55" s="78">
        <v>0.97</v>
      </c>
      <c r="P55" s="78">
        <f t="shared" si="3"/>
        <v>276.89619999999996</v>
      </c>
      <c r="T55" s="129" t="s">
        <v>110</v>
      </c>
      <c r="U55" s="83" t="s">
        <v>128</v>
      </c>
      <c r="W55" s="127">
        <v>42755</v>
      </c>
      <c r="X55" s="10">
        <v>188.6</v>
      </c>
      <c r="Y55" s="10">
        <v>191.54</v>
      </c>
      <c r="Z55" s="10">
        <v>188.1</v>
      </c>
      <c r="AA55" s="10">
        <v>191.08</v>
      </c>
      <c r="AB55" s="90">
        <v>5762300</v>
      </c>
      <c r="AC55" s="10">
        <v>190.22</v>
      </c>
      <c r="AD55" s="2">
        <f t="shared" si="0"/>
        <v>3.4399999999999977</v>
      </c>
      <c r="AE55" s="131">
        <f t="shared" si="1"/>
        <v>2.9774794283239592E-2</v>
      </c>
    </row>
    <row r="56" spans="1:31" x14ac:dyDescent="0.25">
      <c r="O56" s="78">
        <v>0.96</v>
      </c>
      <c r="P56" s="78">
        <f t="shared" si="3"/>
        <v>274.04159999999996</v>
      </c>
      <c r="T56" s="129" t="s">
        <v>111</v>
      </c>
      <c r="U56" s="83">
        <v>-4.7300000000000004</v>
      </c>
      <c r="W56" s="127">
        <v>42754</v>
      </c>
      <c r="X56" s="10">
        <v>185.1</v>
      </c>
      <c r="Y56" s="10">
        <v>186.88</v>
      </c>
      <c r="Z56" s="10">
        <v>184.68</v>
      </c>
      <c r="AA56" s="10">
        <v>185.56</v>
      </c>
      <c r="AB56" s="90">
        <v>4571800</v>
      </c>
      <c r="AC56" s="10">
        <v>184.72</v>
      </c>
      <c r="AD56" s="2">
        <f t="shared" si="0"/>
        <v>2.1999999999999886</v>
      </c>
      <c r="AE56" s="131">
        <f t="shared" si="1"/>
        <v>2.9319144315342882E-3</v>
      </c>
    </row>
    <row r="57" spans="1:31" x14ac:dyDescent="0.25">
      <c r="O57" s="78">
        <v>0.95</v>
      </c>
      <c r="P57" s="78">
        <f t="shared" si="3"/>
        <v>271.18699999999995</v>
      </c>
      <c r="T57" s="129" t="s">
        <v>108</v>
      </c>
      <c r="U57" s="83" t="s">
        <v>499</v>
      </c>
      <c r="W57" s="127">
        <v>42753</v>
      </c>
      <c r="X57" s="10">
        <v>180.36</v>
      </c>
      <c r="Y57" s="10">
        <v>185.07</v>
      </c>
      <c r="Z57" s="10">
        <v>180</v>
      </c>
      <c r="AA57" s="10">
        <v>185.02</v>
      </c>
      <c r="AB57" s="90">
        <v>3564200</v>
      </c>
      <c r="AC57" s="10">
        <v>184.18</v>
      </c>
      <c r="AD57" s="2">
        <f t="shared" si="0"/>
        <v>5.0699999999999932</v>
      </c>
      <c r="AE57" s="131">
        <f t="shared" si="1"/>
        <v>3.2978126752664094E-2</v>
      </c>
    </row>
    <row r="58" spans="1:31" x14ac:dyDescent="0.25">
      <c r="O58" s="78">
        <v>0.94</v>
      </c>
      <c r="P58" s="78">
        <f t="shared" si="3"/>
        <v>268.33239999999995</v>
      </c>
      <c r="W58" s="127">
        <v>42752</v>
      </c>
      <c r="X58" s="10">
        <v>179.48</v>
      </c>
      <c r="Y58" s="10">
        <v>179.63</v>
      </c>
      <c r="Z58" s="10">
        <v>177.56</v>
      </c>
      <c r="AA58" s="10">
        <v>179.11</v>
      </c>
      <c r="AB58" s="90">
        <v>2631600</v>
      </c>
      <c r="AC58" s="10">
        <v>178.3</v>
      </c>
      <c r="AD58" s="2">
        <f t="shared" si="0"/>
        <v>2.0699999999999932</v>
      </c>
      <c r="AE58" s="131">
        <f t="shared" si="1"/>
        <v>-7.4593631707858821E-3</v>
      </c>
    </row>
    <row r="59" spans="1:31" x14ac:dyDescent="0.25">
      <c r="O59" s="78">
        <v>0.93</v>
      </c>
      <c r="P59" s="78">
        <f t="shared" si="3"/>
        <v>265.4778</v>
      </c>
      <c r="W59" s="127">
        <v>42748</v>
      </c>
      <c r="X59" s="10">
        <v>178.9</v>
      </c>
      <c r="Y59" s="10">
        <v>180.78</v>
      </c>
      <c r="Z59" s="10">
        <v>178.39</v>
      </c>
      <c r="AA59" s="10">
        <v>180.45</v>
      </c>
      <c r="AB59" s="90">
        <v>2090200</v>
      </c>
      <c r="AC59" s="10">
        <v>179.64</v>
      </c>
      <c r="AD59" s="2">
        <f t="shared" si="0"/>
        <v>2.3900000000000148</v>
      </c>
      <c r="AE59" s="131">
        <f t="shared" si="1"/>
        <v>8.9300758213983755E-3</v>
      </c>
    </row>
    <row r="60" spans="1:31" x14ac:dyDescent="0.25">
      <c r="O60" s="78">
        <v>0.92</v>
      </c>
      <c r="P60" s="78">
        <f t="shared" si="3"/>
        <v>262.6232</v>
      </c>
      <c r="W60" s="127">
        <v>42747</v>
      </c>
      <c r="X60" s="10">
        <v>178.09</v>
      </c>
      <c r="Y60" s="10">
        <v>179.1</v>
      </c>
      <c r="Z60" s="10">
        <v>175.4</v>
      </c>
      <c r="AA60" s="10">
        <v>178.86</v>
      </c>
      <c r="AB60" s="90">
        <v>2313700</v>
      </c>
      <c r="AC60" s="10">
        <v>178.05</v>
      </c>
      <c r="AD60" s="2">
        <f t="shared" si="0"/>
        <v>3.6999999999999886</v>
      </c>
      <c r="AE60" s="131">
        <f t="shared" si="1"/>
        <v>-3.1353227702816122E-3</v>
      </c>
    </row>
    <row r="61" spans="1:31" x14ac:dyDescent="0.25">
      <c r="O61" s="78">
        <v>0.91</v>
      </c>
      <c r="P61" s="78">
        <f t="shared" si="3"/>
        <v>259.76859999999999</v>
      </c>
      <c r="W61" s="127">
        <v>42746</v>
      </c>
      <c r="X61" s="10">
        <v>180.05</v>
      </c>
      <c r="Y61" s="10">
        <v>180.47</v>
      </c>
      <c r="Z61" s="10">
        <v>177.76</v>
      </c>
      <c r="AA61" s="10">
        <v>179.42</v>
      </c>
      <c r="AB61" s="90">
        <v>1878700</v>
      </c>
      <c r="AC61" s="10">
        <v>178.61</v>
      </c>
      <c r="AD61" s="2">
        <f t="shared" si="0"/>
        <v>2.710000000000008</v>
      </c>
      <c r="AE61" s="131">
        <f t="shared" si="1"/>
        <v>-6.3421418636995242E-3</v>
      </c>
    </row>
    <row r="62" spans="1:31" x14ac:dyDescent="0.25">
      <c r="O62" s="78">
        <v>0.9</v>
      </c>
      <c r="P62" s="78">
        <f t="shared" si="3"/>
        <v>256.91399999999999</v>
      </c>
      <c r="W62" s="127">
        <v>42745</v>
      </c>
      <c r="X62" s="10">
        <v>177.49</v>
      </c>
      <c r="Y62" s="10">
        <v>180.74</v>
      </c>
      <c r="Z62" s="10">
        <v>176.9</v>
      </c>
      <c r="AA62" s="10">
        <v>180.57</v>
      </c>
      <c r="AB62" s="90">
        <v>3018100</v>
      </c>
      <c r="AC62" s="10">
        <v>179.75</v>
      </c>
      <c r="AD62" s="2">
        <f t="shared" si="0"/>
        <v>3.8400000000000034</v>
      </c>
      <c r="AE62" s="131">
        <f t="shared" si="1"/>
        <v>2.0321280581256707E-2</v>
      </c>
    </row>
    <row r="63" spans="1:31" x14ac:dyDescent="0.25">
      <c r="W63" s="127">
        <v>42744</v>
      </c>
      <c r="X63" s="10">
        <v>176.65</v>
      </c>
      <c r="Y63" s="10">
        <v>178.3</v>
      </c>
      <c r="Z63" s="10">
        <v>176.64</v>
      </c>
      <c r="AA63" s="10">
        <v>176.97</v>
      </c>
      <c r="AB63" s="90">
        <v>2026500</v>
      </c>
      <c r="AC63" s="10">
        <v>176.17</v>
      </c>
      <c r="AD63" s="2">
        <f t="shared" si="0"/>
        <v>1.660000000000025</v>
      </c>
      <c r="AE63" s="131">
        <f t="shared" si="1"/>
        <v>2.1616701746400846E-3</v>
      </c>
    </row>
    <row r="64" spans="1:31" x14ac:dyDescent="0.25">
      <c r="W64" s="127">
        <v>42741</v>
      </c>
      <c r="X64" s="10">
        <v>174.21</v>
      </c>
      <c r="Y64" s="10">
        <v>176.9</v>
      </c>
      <c r="Z64" s="10">
        <v>173.31</v>
      </c>
      <c r="AA64" s="10">
        <v>176.59</v>
      </c>
      <c r="AB64" s="90">
        <v>2314200</v>
      </c>
      <c r="AC64" s="10">
        <v>175.79</v>
      </c>
      <c r="AD64" s="2">
        <f t="shared" si="0"/>
        <v>3.5900000000000034</v>
      </c>
      <c r="AE64" s="131">
        <f t="shared" si="1"/>
        <v>1.3257248256383525E-2</v>
      </c>
    </row>
    <row r="65" spans="23:31" x14ac:dyDescent="0.25">
      <c r="W65" s="127">
        <v>42740</v>
      </c>
      <c r="X65" s="10">
        <v>176.33</v>
      </c>
      <c r="Y65" s="10">
        <v>177</v>
      </c>
      <c r="Z65" s="10">
        <v>173.88</v>
      </c>
      <c r="AA65" s="10">
        <v>174.28</v>
      </c>
      <c r="AB65" s="90">
        <v>2486100</v>
      </c>
      <c r="AC65" s="10">
        <v>173.49</v>
      </c>
      <c r="AD65" s="2">
        <f t="shared" si="0"/>
        <v>3.1200000000000045</v>
      </c>
      <c r="AE65" s="131">
        <f t="shared" si="1"/>
        <v>-1.5771259998865417E-2</v>
      </c>
    </row>
    <row r="66" spans="23:31" x14ac:dyDescent="0.25">
      <c r="W66" s="127">
        <v>42739</v>
      </c>
      <c r="X66" s="10">
        <v>178.26</v>
      </c>
      <c r="Y66" s="10">
        <v>179</v>
      </c>
      <c r="Z66" s="10">
        <v>176.68</v>
      </c>
      <c r="AA66" s="10">
        <v>177.07</v>
      </c>
      <c r="AB66" s="90">
        <v>2396500</v>
      </c>
      <c r="AC66" s="10">
        <v>176.27</v>
      </c>
      <c r="AD66" s="2">
        <f t="shared" si="0"/>
        <v>2.3199999999999932</v>
      </c>
      <c r="AE66" s="131">
        <f t="shared" si="1"/>
        <v>-7.0973919900860771E-3</v>
      </c>
    </row>
    <row r="67" spans="23:31" x14ac:dyDescent="0.25">
      <c r="W67" s="127">
        <v>42738</v>
      </c>
      <c r="X67" s="10">
        <v>178.29</v>
      </c>
      <c r="Y67" s="10">
        <v>180.9</v>
      </c>
      <c r="Z67" s="10">
        <v>176.54</v>
      </c>
      <c r="AA67" s="10">
        <v>178.34</v>
      </c>
      <c r="AB67" s="90">
        <v>3209800</v>
      </c>
      <c r="AC67" s="10">
        <v>177.53</v>
      </c>
      <c r="AD67" s="2">
        <f>Y67-Z67</f>
        <v>4.3600000000000136</v>
      </c>
      <c r="AE67" s="131">
        <f>AC67/AC68-1</f>
        <v>8.8651474683185683E-3</v>
      </c>
    </row>
    <row r="68" spans="23:31" x14ac:dyDescent="0.25">
      <c r="W68" s="127">
        <v>42734</v>
      </c>
      <c r="X68" s="10">
        <v>180.37</v>
      </c>
      <c r="Y68" s="10">
        <v>180.9</v>
      </c>
      <c r="Z68" s="10">
        <v>176.02</v>
      </c>
      <c r="AA68" s="10">
        <v>176.77</v>
      </c>
      <c r="AB68" s="90">
        <v>2542100</v>
      </c>
      <c r="AC68" s="10">
        <v>175.97</v>
      </c>
      <c r="AD68" s="2">
        <f>Y68-Z68</f>
        <v>4.8799999999999955</v>
      </c>
      <c r="AE68" s="131" t="e">
        <f>AC68/AC69-1</f>
        <v>#DIV/0!</v>
      </c>
    </row>
    <row r="69" spans="23:31" x14ac:dyDescent="0.25">
      <c r="W69" s="127" t="s">
        <v>120</v>
      </c>
      <c r="X69" s="10"/>
      <c r="Y69" s="10"/>
      <c r="Z69" s="10"/>
      <c r="AA69" s="10"/>
      <c r="AB69" s="90"/>
      <c r="AC69" s="10"/>
      <c r="AD69" s="2">
        <f>Y69-Z69</f>
        <v>0</v>
      </c>
      <c r="AE69" s="131" t="e">
        <f>AC69/AC70-1</f>
        <v>#DIV/0!</v>
      </c>
    </row>
  </sheetData>
  <sortState ref="B35:K39">
    <sortCondition ref="B35"/>
  </sortState>
  <mergeCells count="3">
    <mergeCell ref="O41:P41"/>
    <mergeCell ref="B35:B36"/>
    <mergeCell ref="B39:B40"/>
  </mergeCells>
  <conditionalFormatting sqref="O42:O62">
    <cfRule type="colorScale" priority="16">
      <colorScale>
        <cfvo type="min"/>
        <cfvo type="percentile" val="50"/>
        <cfvo type="max"/>
        <color rgb="FFF8696B"/>
        <color rgb="FFFFEB84"/>
        <color rgb="FF63BE7B"/>
      </colorScale>
    </cfRule>
  </conditionalFormatting>
  <conditionalFormatting sqref="P42:P62">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{1D0E78A1-D1FD-4A58-B09B-BB5686296A89}</x14:id>
        </ext>
      </extLst>
    </cfRule>
  </conditionalFormatting>
  <conditionalFormatting sqref="AE1:AE69">
    <cfRule type="iconSet" priority="13">
      <iconSet iconSet="3Arrows">
        <cfvo type="percent" val="0"/>
        <cfvo type="num" val="0"/>
        <cfvo type="num" val="0"/>
      </iconSet>
    </cfRule>
  </conditionalFormatting>
  <conditionalFormatting sqref="F21:F30">
    <cfRule type="expression" dxfId="817" priority="11">
      <formula>F21&gt;0</formula>
    </cfRule>
    <cfRule type="expression" dxfId="816" priority="12">
      <formula>F21&lt;0</formula>
    </cfRule>
  </conditionalFormatting>
  <conditionalFormatting sqref="H21:H23">
    <cfRule type="expression" dxfId="815" priority="9">
      <formula>H21&gt;0</formula>
    </cfRule>
    <cfRule type="expression" dxfId="814" priority="10">
      <formula>H21&lt;0</formula>
    </cfRule>
  </conditionalFormatting>
  <conditionalFormatting sqref="Q8">
    <cfRule type="expression" dxfId="813" priority="1">
      <formula>Q8&gt;0</formula>
    </cfRule>
    <cfRule type="expression" dxfId="812" priority="2">
      <formula>Q8&lt;0</formula>
    </cfRule>
  </conditionalFormatting>
  <conditionalFormatting sqref="Q7">
    <cfRule type="expression" dxfId="811" priority="3">
      <formula>Q7&gt;0</formula>
    </cfRule>
    <cfRule type="expression" dxfId="810" priority="4">
      <formula>Q7&lt;0</formula>
    </cfRule>
  </conditionalFormatting>
  <hyperlinks>
    <hyperlink ref="A3" location="ACTIVE!A1" display="Back"/>
    <hyperlink ref="A35"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1D0E78A1-D1FD-4A58-B09B-BB5686296A89}">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AE9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12.42578125" customWidth="1"/>
    <col min="24" max="24" width="6" customWidth="1"/>
    <col min="25" max="27" width="6" bestFit="1" customWidth="1"/>
    <col min="28" max="28" width="10.140625" bestFit="1"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13</v>
      </c>
      <c r="B2" s="69"/>
      <c r="C2" s="4"/>
      <c r="D2" s="3"/>
      <c r="E2" s="3"/>
      <c r="F2" s="3"/>
      <c r="G2" s="4"/>
      <c r="H2" s="4"/>
      <c r="I2" s="3"/>
      <c r="J2" s="3"/>
      <c r="K2" s="3"/>
      <c r="L2" s="69"/>
      <c r="M2" s="4"/>
      <c r="O2" s="11" t="s">
        <v>57</v>
      </c>
      <c r="Q2">
        <f>C18-H18</f>
        <v>0</v>
      </c>
      <c r="T2" s="1">
        <v>42570</v>
      </c>
      <c r="U2" t="s">
        <v>235</v>
      </c>
      <c r="W2" s="127">
        <v>42830</v>
      </c>
      <c r="X2" s="10">
        <v>70.23</v>
      </c>
      <c r="Y2" s="10">
        <v>71.349999999999994</v>
      </c>
      <c r="Z2" s="10">
        <v>69.81</v>
      </c>
      <c r="AA2" s="10">
        <v>70.06</v>
      </c>
      <c r="AB2" s="90">
        <v>2635100</v>
      </c>
      <c r="AC2" s="10">
        <v>70.06</v>
      </c>
      <c r="AD2" s="2">
        <f>Y2-Z2</f>
        <v>1.539999999999992</v>
      </c>
      <c r="AE2" s="131">
        <f>AC2/AC3-1</f>
        <v>4.3004587155963669E-3</v>
      </c>
    </row>
    <row r="3" spans="1:31" x14ac:dyDescent="0.25">
      <c r="A3" s="22" t="s">
        <v>71</v>
      </c>
      <c r="B3" s="69"/>
      <c r="C3" s="4"/>
      <c r="D3" s="3"/>
      <c r="E3" s="3"/>
      <c r="F3" s="3"/>
      <c r="G3" s="4"/>
      <c r="H3" s="3"/>
      <c r="I3" s="3"/>
      <c r="J3" s="3"/>
      <c r="K3" s="3"/>
      <c r="O3" s="11" t="s">
        <v>58</v>
      </c>
      <c r="Q3" s="174">
        <f>IF(Q2=0, Q4, (F18-K18-M18)/Q2)</f>
        <v>88.21</v>
      </c>
      <c r="T3" s="1"/>
      <c r="W3" s="127">
        <v>42829</v>
      </c>
      <c r="X3" s="10">
        <v>70.760000000000005</v>
      </c>
      <c r="Y3" s="10">
        <v>71.08</v>
      </c>
      <c r="Z3" s="10">
        <v>69.58</v>
      </c>
      <c r="AA3" s="10">
        <v>69.760000000000005</v>
      </c>
      <c r="AB3" s="90">
        <v>2657100</v>
      </c>
      <c r="AC3" s="10">
        <v>69.760000000000005</v>
      </c>
      <c r="AD3" s="2">
        <f t="shared" ref="AD3:AD66" si="0">Y3-Z3</f>
        <v>1.5</v>
      </c>
      <c r="AE3" s="131">
        <f t="shared" ref="AE3:AE66" si="1">AC3/AC4-1</f>
        <v>-2.2284512964260483E-2</v>
      </c>
    </row>
    <row r="4" spans="1:31" x14ac:dyDescent="0.25">
      <c r="B4" s="69"/>
      <c r="C4" s="4"/>
      <c r="D4" s="3"/>
      <c r="E4" s="3"/>
      <c r="F4" s="3"/>
      <c r="G4" s="4"/>
      <c r="H4" s="4"/>
      <c r="I4" s="3"/>
      <c r="J4" s="3"/>
      <c r="K4" s="3"/>
      <c r="O4" s="11" t="s">
        <v>66</v>
      </c>
      <c r="Q4" s="53">
        <v>88.21</v>
      </c>
      <c r="R4" s="396">
        <v>6.7000000000000002E-3</v>
      </c>
      <c r="T4" s="153"/>
      <c r="W4" s="127">
        <v>42828</v>
      </c>
      <c r="X4" s="10">
        <v>70.69</v>
      </c>
      <c r="Y4" s="10">
        <v>71.42</v>
      </c>
      <c r="Z4" s="10">
        <v>69.42</v>
      </c>
      <c r="AA4" s="10">
        <v>71.349999999999994</v>
      </c>
      <c r="AB4" s="90">
        <v>2941300</v>
      </c>
      <c r="AC4" s="10">
        <v>71.349999999999994</v>
      </c>
      <c r="AD4" s="2">
        <f t="shared" si="0"/>
        <v>2</v>
      </c>
      <c r="AE4" s="131">
        <f t="shared" si="1"/>
        <v>1.0050962627406568E-2</v>
      </c>
    </row>
    <row r="5" spans="1:31" x14ac:dyDescent="0.25">
      <c r="B5" s="69"/>
      <c r="C5" s="4"/>
      <c r="D5" s="3"/>
      <c r="E5" s="3"/>
      <c r="F5" s="3"/>
      <c r="G5" s="69"/>
      <c r="H5" s="4"/>
      <c r="I5" s="3"/>
      <c r="J5" s="3"/>
      <c r="K5" s="3"/>
      <c r="O5" s="11" t="s">
        <v>67</v>
      </c>
      <c r="Q5" s="3">
        <f>Q4*Q2</f>
        <v>0</v>
      </c>
      <c r="W5" s="127">
        <v>42825</v>
      </c>
      <c r="X5" s="10">
        <v>70.680000000000007</v>
      </c>
      <c r="Y5" s="10">
        <v>71.19</v>
      </c>
      <c r="Z5" s="10">
        <v>70.45</v>
      </c>
      <c r="AA5" s="10">
        <v>70.64</v>
      </c>
      <c r="AB5" s="90">
        <v>2401600</v>
      </c>
      <c r="AC5" s="10">
        <v>70.64</v>
      </c>
      <c r="AD5" s="2">
        <f t="shared" si="0"/>
        <v>0.73999999999999488</v>
      </c>
      <c r="AE5" s="131">
        <f t="shared" si="1"/>
        <v>-1.9779598756710648E-3</v>
      </c>
    </row>
    <row r="6" spans="1:31" x14ac:dyDescent="0.25">
      <c r="B6" s="69"/>
      <c r="C6" s="4"/>
      <c r="D6" s="3"/>
      <c r="E6" s="3"/>
      <c r="F6" s="3"/>
      <c r="G6" s="69"/>
      <c r="H6" s="4"/>
      <c r="I6" s="3"/>
      <c r="J6" s="3"/>
      <c r="K6" s="3"/>
      <c r="O6" s="11" t="s">
        <v>64</v>
      </c>
      <c r="Q6" s="2">
        <f>Q3*Q2</f>
        <v>0</v>
      </c>
      <c r="W6" s="127">
        <v>42824</v>
      </c>
      <c r="X6" s="10">
        <v>69.66</v>
      </c>
      <c r="Y6" s="10">
        <v>70.959999999999994</v>
      </c>
      <c r="Z6" s="10">
        <v>69.66</v>
      </c>
      <c r="AA6" s="10">
        <v>70.78</v>
      </c>
      <c r="AB6" s="90">
        <v>2462400</v>
      </c>
      <c r="AC6" s="10">
        <v>70.78</v>
      </c>
      <c r="AD6" s="2">
        <f t="shared" si="0"/>
        <v>1.2999999999999972</v>
      </c>
      <c r="AE6" s="131">
        <f t="shared" si="1"/>
        <v>1.3314244810307851E-2</v>
      </c>
    </row>
    <row r="7" spans="1:31" x14ac:dyDescent="0.25">
      <c r="B7" s="69"/>
      <c r="C7" s="4"/>
      <c r="D7" s="3"/>
      <c r="E7" s="3"/>
      <c r="F7" s="3"/>
      <c r="G7" s="69"/>
      <c r="H7" s="4"/>
      <c r="I7" s="3"/>
      <c r="J7" s="3"/>
      <c r="K7" s="3"/>
      <c r="O7" s="11" t="s">
        <v>175</v>
      </c>
      <c r="Q7" s="2">
        <f>Q10+Q8</f>
        <v>1461.5600000000013</v>
      </c>
      <c r="R7">
        <v>0</v>
      </c>
      <c r="W7" s="127">
        <v>42823</v>
      </c>
      <c r="X7" s="10">
        <v>70.45</v>
      </c>
      <c r="Y7" s="10">
        <v>71</v>
      </c>
      <c r="Z7" s="10">
        <v>69.53</v>
      </c>
      <c r="AA7" s="10">
        <v>69.849999999999994</v>
      </c>
      <c r="AB7" s="90">
        <v>3364600</v>
      </c>
      <c r="AC7" s="10">
        <v>69.849999999999994</v>
      </c>
      <c r="AD7" s="2">
        <f t="shared" si="0"/>
        <v>1.4699999999999989</v>
      </c>
      <c r="AE7" s="131">
        <f t="shared" si="1"/>
        <v>-1.258128357364996E-2</v>
      </c>
    </row>
    <row r="8" spans="1:31" x14ac:dyDescent="0.25">
      <c r="B8" s="69"/>
      <c r="C8" s="4"/>
      <c r="D8" s="3"/>
      <c r="E8" s="3"/>
      <c r="F8" s="3"/>
      <c r="G8" s="69"/>
      <c r="H8" s="4"/>
      <c r="I8" s="3"/>
      <c r="J8" s="3"/>
      <c r="K8" s="3"/>
      <c r="O8" s="11" t="s">
        <v>177</v>
      </c>
      <c r="P8" s="33"/>
      <c r="Q8" s="2">
        <f>K18+M18-F18+Q2*Q4</f>
        <v>0</v>
      </c>
      <c r="W8" s="127">
        <v>42822</v>
      </c>
      <c r="X8" s="10">
        <v>68.41</v>
      </c>
      <c r="Y8" s="10">
        <v>71.09</v>
      </c>
      <c r="Z8" s="10">
        <v>68.180000000000007</v>
      </c>
      <c r="AA8" s="10">
        <v>70.739999999999995</v>
      </c>
      <c r="AB8" s="90">
        <v>4970300</v>
      </c>
      <c r="AC8" s="10">
        <v>70.739999999999995</v>
      </c>
      <c r="AD8" s="2">
        <f t="shared" si="0"/>
        <v>2.9099999999999966</v>
      </c>
      <c r="AE8" s="131">
        <f t="shared" si="1"/>
        <v>3.4664326458972994E-2</v>
      </c>
    </row>
    <row r="9" spans="1:31" x14ac:dyDescent="0.25">
      <c r="B9" s="69"/>
      <c r="C9" s="4"/>
      <c r="D9" s="3"/>
      <c r="E9" s="3"/>
      <c r="F9" s="3"/>
      <c r="G9" s="69"/>
      <c r="H9" s="4"/>
      <c r="I9" s="3"/>
      <c r="J9" s="3"/>
      <c r="K9" s="3"/>
      <c r="O9" s="11" t="s">
        <v>202</v>
      </c>
      <c r="Q9" s="131">
        <f>IF(Q2=0, 0, Q8/Q6)</f>
        <v>0</v>
      </c>
      <c r="W9" s="127">
        <v>42821</v>
      </c>
      <c r="X9" s="10">
        <v>66.72</v>
      </c>
      <c r="Y9" s="10">
        <v>68.739999999999995</v>
      </c>
      <c r="Z9" s="10">
        <v>66.260000000000005</v>
      </c>
      <c r="AA9" s="10">
        <v>68.37</v>
      </c>
      <c r="AB9" s="90">
        <v>2939800</v>
      </c>
      <c r="AC9" s="10">
        <v>68.37</v>
      </c>
      <c r="AD9" s="2">
        <f t="shared" si="0"/>
        <v>2.4799999999999898</v>
      </c>
      <c r="AE9" s="131">
        <f t="shared" si="1"/>
        <v>6.4772559988222067E-3</v>
      </c>
    </row>
    <row r="10" spans="1:31" x14ac:dyDescent="0.25">
      <c r="B10" s="69"/>
      <c r="C10" s="4"/>
      <c r="D10" s="3"/>
      <c r="E10" s="3"/>
      <c r="F10" s="3"/>
      <c r="G10" s="69"/>
      <c r="H10" s="4"/>
      <c r="I10" s="3"/>
      <c r="J10" s="3"/>
      <c r="K10" s="3"/>
      <c r="O10" s="11" t="s">
        <v>201</v>
      </c>
      <c r="P10" s="33"/>
      <c r="Q10" s="2">
        <f>M75</f>
        <v>1461.5600000000013</v>
      </c>
      <c r="W10" s="127">
        <v>42818</v>
      </c>
      <c r="X10" s="10">
        <v>67.55</v>
      </c>
      <c r="Y10" s="10">
        <v>68.510000000000005</v>
      </c>
      <c r="Z10" s="10">
        <v>67.53</v>
      </c>
      <c r="AA10" s="10">
        <v>67.930000000000007</v>
      </c>
      <c r="AB10" s="90">
        <v>2626900</v>
      </c>
      <c r="AC10" s="10">
        <v>67.930000000000007</v>
      </c>
      <c r="AD10" s="2">
        <f t="shared" si="0"/>
        <v>0.98000000000000398</v>
      </c>
      <c r="AE10" s="131">
        <f t="shared" si="1"/>
        <v>6.3703703703705816E-3</v>
      </c>
    </row>
    <row r="11" spans="1:31" x14ac:dyDescent="0.25">
      <c r="B11" s="69"/>
      <c r="C11" s="4"/>
      <c r="D11" s="3"/>
      <c r="E11" s="3"/>
      <c r="F11" s="3"/>
      <c r="G11" s="4"/>
      <c r="H11" s="4"/>
      <c r="I11" s="3"/>
      <c r="J11" s="3"/>
      <c r="K11" s="3"/>
      <c r="O11" s="11" t="s">
        <v>173</v>
      </c>
      <c r="P11" s="33"/>
      <c r="Q11" s="131">
        <f>IF(U58="N/A (N/A)", 0, VALUE(TRIM(CLEAN(MID(U58, FIND("(", U58)+1, 5)))))</f>
        <v>0</v>
      </c>
      <c r="W11" s="127">
        <v>42817</v>
      </c>
      <c r="X11" s="10">
        <v>67.02</v>
      </c>
      <c r="Y11" s="10">
        <v>68.56</v>
      </c>
      <c r="Z11" s="10">
        <v>66.900000000000006</v>
      </c>
      <c r="AA11" s="10">
        <v>67.5</v>
      </c>
      <c r="AB11" s="90">
        <v>4444400</v>
      </c>
      <c r="AC11" s="10">
        <v>67.5</v>
      </c>
      <c r="AD11" s="2">
        <f t="shared" si="0"/>
        <v>1.6599999999999966</v>
      </c>
      <c r="AE11" s="131">
        <f t="shared" si="1"/>
        <v>8.2150858849887598E-3</v>
      </c>
    </row>
    <row r="12" spans="1:31" x14ac:dyDescent="0.25">
      <c r="W12" s="127">
        <v>42816</v>
      </c>
      <c r="X12" s="10">
        <v>64.92</v>
      </c>
      <c r="Y12" s="10">
        <v>66.959999999999994</v>
      </c>
      <c r="Z12" s="10">
        <v>64.16</v>
      </c>
      <c r="AA12" s="10">
        <v>66.95</v>
      </c>
      <c r="AB12" s="90">
        <v>4928800</v>
      </c>
      <c r="AC12" s="10">
        <v>66.95</v>
      </c>
      <c r="AD12" s="2">
        <f t="shared" si="0"/>
        <v>2.7999999999999972</v>
      </c>
      <c r="AE12" s="131">
        <f t="shared" si="1"/>
        <v>2.5582107843137303E-2</v>
      </c>
    </row>
    <row r="13" spans="1:31" x14ac:dyDescent="0.25">
      <c r="W13" s="127">
        <v>42815</v>
      </c>
      <c r="X13" s="10">
        <v>67.760000000000005</v>
      </c>
      <c r="Y13" s="10">
        <v>67.87</v>
      </c>
      <c r="Z13" s="10">
        <v>65.150000000000006</v>
      </c>
      <c r="AA13" s="10">
        <v>65.28</v>
      </c>
      <c r="AB13" s="90">
        <v>4923300</v>
      </c>
      <c r="AC13" s="10">
        <v>65.28</v>
      </c>
      <c r="AD13" s="2">
        <f t="shared" si="0"/>
        <v>2.7199999999999989</v>
      </c>
      <c r="AE13" s="131">
        <f t="shared" si="1"/>
        <v>-3.2745591939546514E-2</v>
      </c>
    </row>
    <row r="14" spans="1:31" x14ac:dyDescent="0.25">
      <c r="W14" s="127">
        <v>42814</v>
      </c>
      <c r="X14" s="10">
        <v>67.150000000000006</v>
      </c>
      <c r="Y14" s="10">
        <v>68.05</v>
      </c>
      <c r="Z14" s="10">
        <v>66.599999999999994</v>
      </c>
      <c r="AA14" s="10">
        <v>67.489999999999995</v>
      </c>
      <c r="AB14" s="90">
        <v>4326000</v>
      </c>
      <c r="AC14" s="10">
        <v>67.489999999999995</v>
      </c>
      <c r="AD14" s="2">
        <f t="shared" si="0"/>
        <v>1.4500000000000028</v>
      </c>
      <c r="AE14" s="131">
        <f t="shared" si="1"/>
        <v>1.0480610869890494E-2</v>
      </c>
    </row>
    <row r="15" spans="1:31" x14ac:dyDescent="0.25">
      <c r="W15" s="127">
        <v>42811</v>
      </c>
      <c r="X15" s="10">
        <v>67.819999999999993</v>
      </c>
      <c r="Y15" s="10">
        <v>67.91</v>
      </c>
      <c r="Z15" s="10">
        <v>66.650000000000006</v>
      </c>
      <c r="AA15" s="10">
        <v>66.790000000000006</v>
      </c>
      <c r="AB15" s="90">
        <v>5837500</v>
      </c>
      <c r="AC15" s="10">
        <v>66.790000000000006</v>
      </c>
      <c r="AD15" s="2">
        <f t="shared" si="0"/>
        <v>1.2599999999999909</v>
      </c>
      <c r="AE15" s="131">
        <f t="shared" si="1"/>
        <v>-1.1397276494967357E-2</v>
      </c>
    </row>
    <row r="16" spans="1:31" x14ac:dyDescent="0.25">
      <c r="W16" s="127">
        <v>42810</v>
      </c>
      <c r="X16" s="10">
        <v>67.900000000000006</v>
      </c>
      <c r="Y16" s="10">
        <v>67.97</v>
      </c>
      <c r="Z16" s="10">
        <v>66.44</v>
      </c>
      <c r="AA16" s="10">
        <v>67.56</v>
      </c>
      <c r="AB16" s="90">
        <v>8794400</v>
      </c>
      <c r="AC16" s="10">
        <v>67.56</v>
      </c>
      <c r="AD16" s="2">
        <f t="shared" si="0"/>
        <v>1.5300000000000011</v>
      </c>
      <c r="AE16" s="131">
        <f t="shared" si="1"/>
        <v>-8.9482176910664624E-3</v>
      </c>
    </row>
    <row r="17" spans="1:31" x14ac:dyDescent="0.25">
      <c r="W17" s="127">
        <v>42809</v>
      </c>
      <c r="X17" s="10">
        <v>65</v>
      </c>
      <c r="Y17" s="10">
        <v>68.37</v>
      </c>
      <c r="Z17" s="10">
        <v>64.319999999999993</v>
      </c>
      <c r="AA17" s="10">
        <v>68.17</v>
      </c>
      <c r="AB17" s="90">
        <v>11321600</v>
      </c>
      <c r="AC17" s="10">
        <v>68.17</v>
      </c>
      <c r="AD17" s="2">
        <f t="shared" si="0"/>
        <v>4.0500000000000114</v>
      </c>
      <c r="AE17" s="131">
        <f t="shared" si="1"/>
        <v>2.4342599549211252E-2</v>
      </c>
    </row>
    <row r="18" spans="1:31" x14ac:dyDescent="0.25">
      <c r="A18" s="31" t="s">
        <v>81</v>
      </c>
      <c r="B18" s="14"/>
      <c r="C18" s="14">
        <f>SUM(C2:C11)</f>
        <v>0</v>
      </c>
      <c r="D18" s="18"/>
      <c r="E18" s="18"/>
      <c r="F18" s="18">
        <f>SUM(F2:F10)</f>
        <v>0</v>
      </c>
      <c r="G18" s="14"/>
      <c r="H18" s="14">
        <f>SUM(H2:H17)</f>
        <v>0</v>
      </c>
      <c r="I18" s="18"/>
      <c r="J18" s="18"/>
      <c r="K18" s="18">
        <f>SUM(K2:K17)</f>
        <v>0</v>
      </c>
      <c r="L18" s="14"/>
      <c r="M18" s="18">
        <f>SUM(M2:M17)</f>
        <v>0</v>
      </c>
      <c r="W18" s="127">
        <v>42808</v>
      </c>
      <c r="X18" s="10">
        <v>69.38</v>
      </c>
      <c r="Y18" s="10">
        <v>69.42</v>
      </c>
      <c r="Z18" s="10">
        <v>66.34</v>
      </c>
      <c r="AA18" s="10">
        <v>66.55</v>
      </c>
      <c r="AB18" s="90">
        <v>8262400</v>
      </c>
      <c r="AC18" s="10">
        <v>66.55</v>
      </c>
      <c r="AD18" s="2">
        <f t="shared" si="0"/>
        <v>3.0799999999999983</v>
      </c>
      <c r="AE18" s="131">
        <f t="shared" si="1"/>
        <v>-4.7244094488188892E-2</v>
      </c>
    </row>
    <row r="19" spans="1:31" ht="15.75" thickBot="1" x14ac:dyDescent="0.3">
      <c r="A19" s="273" t="s">
        <v>189</v>
      </c>
      <c r="B19" s="274"/>
      <c r="C19" s="275">
        <f>SumByColor($A$19,C2:C17)</f>
        <v>0</v>
      </c>
      <c r="D19" s="275"/>
      <c r="E19" s="275"/>
      <c r="F19" s="276">
        <f>SumByColor($A$19,F2:F17)</f>
        <v>0</v>
      </c>
      <c r="G19" s="275"/>
      <c r="H19" s="275">
        <f>SumByColor($A$19,H3:H17)</f>
        <v>0</v>
      </c>
      <c r="I19" s="275"/>
      <c r="J19" s="275"/>
      <c r="K19" s="276">
        <f>SumByColor($A$19,K3:K17)</f>
        <v>0</v>
      </c>
      <c r="L19" s="275"/>
      <c r="M19" s="276">
        <f>SumByColor($A$19,M2:M17)</f>
        <v>0</v>
      </c>
      <c r="W19" s="127">
        <v>42807</v>
      </c>
      <c r="X19" s="10">
        <v>72.19</v>
      </c>
      <c r="Y19" s="10">
        <v>72.7</v>
      </c>
      <c r="Z19" s="10">
        <v>69.66</v>
      </c>
      <c r="AA19" s="10">
        <v>69.849999999999994</v>
      </c>
      <c r="AB19" s="90">
        <v>6741900</v>
      </c>
      <c r="AC19" s="10">
        <v>69.849999999999994</v>
      </c>
      <c r="AD19" s="2">
        <f t="shared" si="0"/>
        <v>3.0400000000000063</v>
      </c>
      <c r="AE19" s="131">
        <f t="shared" si="1"/>
        <v>-3.4420790710533722E-2</v>
      </c>
    </row>
    <row r="20" spans="1:31" x14ac:dyDescent="0.25">
      <c r="W20" s="127">
        <v>42804</v>
      </c>
      <c r="X20" s="10">
        <v>72.33</v>
      </c>
      <c r="Y20" s="10">
        <v>73.2</v>
      </c>
      <c r="Z20" s="10">
        <v>71.64</v>
      </c>
      <c r="AA20" s="10">
        <v>72.34</v>
      </c>
      <c r="AB20" s="90">
        <v>4552700</v>
      </c>
      <c r="AC20" s="10">
        <v>72.34</v>
      </c>
      <c r="AD20" s="2">
        <f t="shared" si="0"/>
        <v>1.5600000000000023</v>
      </c>
      <c r="AE20" s="131">
        <f t="shared" si="1"/>
        <v>-2.7570995312931057E-3</v>
      </c>
    </row>
    <row r="21" spans="1:31" x14ac:dyDescent="0.25">
      <c r="W21" s="127">
        <v>42803</v>
      </c>
      <c r="X21" s="10">
        <v>73.209999999999994</v>
      </c>
      <c r="Y21" s="10">
        <v>74.599999999999994</v>
      </c>
      <c r="Z21" s="10">
        <v>72.430000000000007</v>
      </c>
      <c r="AA21" s="10">
        <v>72.540000000000006</v>
      </c>
      <c r="AB21" s="90">
        <v>3732200</v>
      </c>
      <c r="AC21" s="10">
        <v>72.540000000000006</v>
      </c>
      <c r="AD21" s="2">
        <f t="shared" si="0"/>
        <v>2.1699999999999875</v>
      </c>
      <c r="AE21" s="131">
        <f t="shared" si="1"/>
        <v>-1.2254901960784159E-2</v>
      </c>
    </row>
    <row r="22" spans="1:31" x14ac:dyDescent="0.25">
      <c r="W22" s="127">
        <v>42802</v>
      </c>
      <c r="X22" s="10">
        <v>72.97</v>
      </c>
      <c r="Y22" s="10">
        <v>73.650000000000006</v>
      </c>
      <c r="Z22" s="10">
        <v>72.31</v>
      </c>
      <c r="AA22" s="10">
        <v>73.44</v>
      </c>
      <c r="AB22" s="90">
        <v>3508400</v>
      </c>
      <c r="AC22" s="10">
        <v>73.44</v>
      </c>
      <c r="AD22" s="2">
        <f t="shared" si="0"/>
        <v>1.3400000000000034</v>
      </c>
      <c r="AE22" s="131">
        <f t="shared" si="1"/>
        <v>1.1013215859030812E-2</v>
      </c>
    </row>
    <row r="23" spans="1:31" x14ac:dyDescent="0.25">
      <c r="W23" s="127">
        <v>42801</v>
      </c>
      <c r="X23" s="10">
        <v>72.69</v>
      </c>
      <c r="Y23" s="10">
        <v>73.23</v>
      </c>
      <c r="Z23" s="10">
        <v>72.150000000000006</v>
      </c>
      <c r="AA23" s="10">
        <v>72.64</v>
      </c>
      <c r="AB23" s="90">
        <v>3764000</v>
      </c>
      <c r="AC23" s="10">
        <v>72.64</v>
      </c>
      <c r="AD23" s="2">
        <f t="shared" si="0"/>
        <v>1.0799999999999983</v>
      </c>
      <c r="AE23" s="131">
        <f t="shared" si="1"/>
        <v>-6.8362045392398318E-3</v>
      </c>
    </row>
    <row r="24" spans="1:31" x14ac:dyDescent="0.25">
      <c r="B24" s="159" t="s">
        <v>113</v>
      </c>
      <c r="C24" s="159" t="s">
        <v>143</v>
      </c>
      <c r="D24" s="160" t="s">
        <v>142</v>
      </c>
      <c r="E24" s="162" t="s">
        <v>144</v>
      </c>
      <c r="F24" s="162" t="s">
        <v>65</v>
      </c>
      <c r="G24" s="173" t="s">
        <v>148</v>
      </c>
      <c r="H24" s="173" t="s">
        <v>88</v>
      </c>
      <c r="I24" s="173" t="s">
        <v>151</v>
      </c>
      <c r="W24" s="127">
        <v>42800</v>
      </c>
      <c r="X24" s="10">
        <v>74.849999999999994</v>
      </c>
      <c r="Y24" s="10">
        <v>74.849999999999994</v>
      </c>
      <c r="Z24" s="10">
        <v>71.900000000000006</v>
      </c>
      <c r="AA24" s="10">
        <v>73.14</v>
      </c>
      <c r="AB24" s="90">
        <v>5898800</v>
      </c>
      <c r="AC24" s="10">
        <v>73.14</v>
      </c>
      <c r="AD24" s="2">
        <f t="shared" si="0"/>
        <v>2.9499999999999886</v>
      </c>
      <c r="AE24" s="131">
        <f t="shared" si="1"/>
        <v>-3.241169466860705E-2</v>
      </c>
    </row>
    <row r="25" spans="1:31" x14ac:dyDescent="0.25">
      <c r="B25" s="161">
        <v>42485</v>
      </c>
      <c r="C25" s="181">
        <v>80</v>
      </c>
      <c r="D25" s="182">
        <v>49.5</v>
      </c>
      <c r="E25" s="39">
        <v>49.37</v>
      </c>
      <c r="F25" s="39">
        <f t="shared" ref="F25:F39" si="2">C25*(E25-D25)</f>
        <v>-10.400000000000205</v>
      </c>
      <c r="G25" s="39">
        <f t="shared" ref="G25:G39" si="3">D25*C25</f>
        <v>3960</v>
      </c>
      <c r="H25" s="175">
        <f t="shared" ref="H25:H39" si="4">(E25-D25)/D25</f>
        <v>-2.6262626262626779E-3</v>
      </c>
      <c r="I25" s="39"/>
      <c r="W25" s="127">
        <v>42797</v>
      </c>
      <c r="X25" s="10">
        <v>73.7</v>
      </c>
      <c r="Y25" s="10">
        <v>75.989999999999995</v>
      </c>
      <c r="Z25" s="10">
        <v>73.44</v>
      </c>
      <c r="AA25" s="10">
        <v>75.59</v>
      </c>
      <c r="AB25" s="90">
        <v>4247200</v>
      </c>
      <c r="AC25" s="10">
        <v>75.59</v>
      </c>
      <c r="AD25" s="2">
        <f t="shared" si="0"/>
        <v>2.5499999999999972</v>
      </c>
      <c r="AE25" s="131">
        <f t="shared" si="1"/>
        <v>3.1522925764192244E-2</v>
      </c>
    </row>
    <row r="26" spans="1:31" x14ac:dyDescent="0.25">
      <c r="B26" s="161">
        <v>42488</v>
      </c>
      <c r="C26" s="10">
        <v>80</v>
      </c>
      <c r="D26" s="39">
        <v>49.5</v>
      </c>
      <c r="E26" s="39">
        <v>48.06</v>
      </c>
      <c r="F26" s="39">
        <f t="shared" si="2"/>
        <v>-115.19999999999982</v>
      </c>
      <c r="G26" s="39">
        <f t="shared" si="3"/>
        <v>3960</v>
      </c>
      <c r="H26" s="175">
        <f t="shared" si="4"/>
        <v>-2.9090909090909046E-2</v>
      </c>
      <c r="I26" s="39"/>
      <c r="W26" s="127">
        <v>42796</v>
      </c>
      <c r="X26" s="10">
        <v>74.349999999999994</v>
      </c>
      <c r="Y26" s="10">
        <v>74.739999999999995</v>
      </c>
      <c r="Z26" s="10">
        <v>73.209999999999994</v>
      </c>
      <c r="AA26" s="10">
        <v>73.28</v>
      </c>
      <c r="AB26" s="90">
        <v>2849300</v>
      </c>
      <c r="AC26" s="10">
        <v>73.28</v>
      </c>
      <c r="AD26" s="2">
        <f t="shared" si="0"/>
        <v>1.5300000000000011</v>
      </c>
      <c r="AE26" s="131">
        <f t="shared" si="1"/>
        <v>-2.7987796790025166E-2</v>
      </c>
    </row>
    <row r="27" spans="1:31" x14ac:dyDescent="0.25">
      <c r="B27" s="161">
        <v>42489</v>
      </c>
      <c r="C27" s="10">
        <v>100</v>
      </c>
      <c r="D27" s="39">
        <v>48.99</v>
      </c>
      <c r="E27" s="39">
        <v>45.81</v>
      </c>
      <c r="F27" s="39">
        <f t="shared" si="2"/>
        <v>-318</v>
      </c>
      <c r="G27" s="39">
        <f t="shared" si="3"/>
        <v>4899</v>
      </c>
      <c r="H27" s="175">
        <f t="shared" si="4"/>
        <v>-6.4911206368646654E-2</v>
      </c>
      <c r="I27" s="39"/>
      <c r="W27" s="127">
        <v>42795</v>
      </c>
      <c r="X27" s="10">
        <v>74.64</v>
      </c>
      <c r="Y27" s="10">
        <v>76.650000000000006</v>
      </c>
      <c r="Z27" s="10">
        <v>74.63</v>
      </c>
      <c r="AA27" s="10">
        <v>75.39</v>
      </c>
      <c r="AB27" s="90">
        <v>3694600</v>
      </c>
      <c r="AC27" s="10">
        <v>75.39</v>
      </c>
      <c r="AD27" s="2">
        <f t="shared" si="0"/>
        <v>2.0200000000000102</v>
      </c>
      <c r="AE27" s="131">
        <f t="shared" si="1"/>
        <v>1.7546227561074268E-2</v>
      </c>
    </row>
    <row r="28" spans="1:31" x14ac:dyDescent="0.25">
      <c r="B28" s="161">
        <v>42489</v>
      </c>
      <c r="C28" s="7">
        <v>150</v>
      </c>
      <c r="D28" s="43">
        <v>47.963299999999997</v>
      </c>
      <c r="E28" s="39">
        <v>45.81</v>
      </c>
      <c r="F28" s="39">
        <f t="shared" si="2"/>
        <v>-322.99499999999915</v>
      </c>
      <c r="G28" s="39">
        <f t="shared" si="3"/>
        <v>7194.4949999999999</v>
      </c>
      <c r="H28" s="175">
        <f t="shared" si="4"/>
        <v>-4.4894742438489316E-2</v>
      </c>
      <c r="I28" s="39">
        <v>43.25</v>
      </c>
      <c r="W28" s="127">
        <v>42794</v>
      </c>
      <c r="X28" s="10">
        <v>75.37</v>
      </c>
      <c r="Y28" s="10">
        <v>75.37</v>
      </c>
      <c r="Z28" s="10">
        <v>73.61</v>
      </c>
      <c r="AA28" s="10">
        <v>74.09</v>
      </c>
      <c r="AB28" s="90">
        <v>2993300</v>
      </c>
      <c r="AC28" s="10">
        <v>74.09</v>
      </c>
      <c r="AD28" s="2">
        <f t="shared" si="0"/>
        <v>1.7600000000000051</v>
      </c>
      <c r="AE28" s="131">
        <f t="shared" si="1"/>
        <v>-1.580765143464391E-2</v>
      </c>
    </row>
    <row r="29" spans="1:31" x14ac:dyDescent="0.25">
      <c r="B29" s="161">
        <v>42495</v>
      </c>
      <c r="C29" s="10">
        <v>175</v>
      </c>
      <c r="D29" s="39">
        <v>47.54</v>
      </c>
      <c r="E29" s="39">
        <v>44.99</v>
      </c>
      <c r="F29" s="39">
        <f t="shared" si="2"/>
        <v>-446.24999999999949</v>
      </c>
      <c r="G29" s="39">
        <f t="shared" si="3"/>
        <v>8319.5</v>
      </c>
      <c r="H29" s="175">
        <f t="shared" si="4"/>
        <v>-5.363904080774079E-2</v>
      </c>
      <c r="I29" s="39"/>
      <c r="W29" s="127">
        <v>42793</v>
      </c>
      <c r="X29" s="10">
        <v>74.91</v>
      </c>
      <c r="Y29" s="10">
        <v>75.52</v>
      </c>
      <c r="Z29" s="10">
        <v>74.349999999999994</v>
      </c>
      <c r="AA29" s="10">
        <v>75.28</v>
      </c>
      <c r="AB29" s="90">
        <v>1897400</v>
      </c>
      <c r="AC29" s="10">
        <v>75.28</v>
      </c>
      <c r="AD29" s="2">
        <f t="shared" si="0"/>
        <v>1.1700000000000017</v>
      </c>
      <c r="AE29" s="131">
        <f t="shared" si="1"/>
        <v>2.6638252530635231E-3</v>
      </c>
    </row>
    <row r="30" spans="1:31" x14ac:dyDescent="0.25">
      <c r="B30" s="161">
        <v>42502</v>
      </c>
      <c r="C30" s="10">
        <v>200</v>
      </c>
      <c r="D30" s="39">
        <v>47.108800000000002</v>
      </c>
      <c r="E30" s="39">
        <v>43.78</v>
      </c>
      <c r="F30" s="39">
        <f t="shared" si="2"/>
        <v>-665.76000000000022</v>
      </c>
      <c r="G30" s="39">
        <f t="shared" si="3"/>
        <v>9421.76</v>
      </c>
      <c r="H30" s="175">
        <f t="shared" si="4"/>
        <v>-7.066195700166425E-2</v>
      </c>
      <c r="I30" s="39"/>
      <c r="W30" s="127">
        <v>42790</v>
      </c>
      <c r="X30" s="10">
        <v>73.959999999999994</v>
      </c>
      <c r="Y30" s="10">
        <v>75.11</v>
      </c>
      <c r="Z30" s="10">
        <v>73.540000000000006</v>
      </c>
      <c r="AA30" s="10">
        <v>75.08</v>
      </c>
      <c r="AB30" s="90">
        <v>2047500</v>
      </c>
      <c r="AC30" s="10">
        <v>75.08</v>
      </c>
      <c r="AD30" s="2">
        <f t="shared" si="0"/>
        <v>1.5699999999999932</v>
      </c>
      <c r="AE30" s="131">
        <f t="shared" si="1"/>
        <v>6.9742489270385732E-3</v>
      </c>
    </row>
    <row r="31" spans="1:31" x14ac:dyDescent="0.25">
      <c r="B31" s="161">
        <v>42515</v>
      </c>
      <c r="C31" s="10">
        <v>200</v>
      </c>
      <c r="D31" s="39">
        <v>47.108800000000002</v>
      </c>
      <c r="E31" s="39">
        <v>45.13</v>
      </c>
      <c r="F31" s="39">
        <f t="shared" si="2"/>
        <v>-395.75999999999993</v>
      </c>
      <c r="G31" s="39">
        <f t="shared" si="3"/>
        <v>9421.76</v>
      </c>
      <c r="H31" s="175">
        <f t="shared" si="4"/>
        <v>-4.2004890805964056E-2</v>
      </c>
      <c r="I31" s="39"/>
      <c r="W31" s="127">
        <v>42789</v>
      </c>
      <c r="X31" s="10">
        <v>75.87</v>
      </c>
      <c r="Y31" s="10">
        <v>76.459999999999994</v>
      </c>
      <c r="Z31" s="10">
        <v>73.88</v>
      </c>
      <c r="AA31" s="10">
        <v>74.56</v>
      </c>
      <c r="AB31" s="90">
        <v>4963700</v>
      </c>
      <c r="AC31" s="10">
        <v>74.56</v>
      </c>
      <c r="AD31" s="2">
        <f t="shared" si="0"/>
        <v>2.5799999999999983</v>
      </c>
      <c r="AE31" s="131">
        <f t="shared" si="1"/>
        <v>-1.1533872464536743E-2</v>
      </c>
    </row>
    <row r="32" spans="1:31" x14ac:dyDescent="0.25">
      <c r="B32" s="161">
        <v>42527</v>
      </c>
      <c r="C32" s="10">
        <v>200</v>
      </c>
      <c r="D32" s="39">
        <v>47.108800000000002</v>
      </c>
      <c r="E32" s="39">
        <v>44.53</v>
      </c>
      <c r="F32" s="39">
        <f t="shared" si="2"/>
        <v>-515.76000000000022</v>
      </c>
      <c r="G32" s="39">
        <f t="shared" si="3"/>
        <v>9421.76</v>
      </c>
      <c r="H32" s="175">
        <f t="shared" si="4"/>
        <v>-5.4741364670719717E-2</v>
      </c>
      <c r="I32" s="39"/>
      <c r="W32" s="127">
        <v>42788</v>
      </c>
      <c r="X32" s="10">
        <v>75.209999999999994</v>
      </c>
      <c r="Y32" s="10">
        <v>75.569999999999993</v>
      </c>
      <c r="Z32" s="10">
        <v>74.349999999999994</v>
      </c>
      <c r="AA32" s="10">
        <v>75.430000000000007</v>
      </c>
      <c r="AB32" s="90">
        <v>1700700</v>
      </c>
      <c r="AC32" s="10">
        <v>75.430000000000007</v>
      </c>
      <c r="AD32" s="2">
        <f t="shared" si="0"/>
        <v>1.2199999999999989</v>
      </c>
      <c r="AE32" s="131">
        <f t="shared" si="1"/>
        <v>2.6521681474611647E-4</v>
      </c>
    </row>
    <row r="33" spans="2:31" x14ac:dyDescent="0.25">
      <c r="B33" s="161">
        <v>42528</v>
      </c>
      <c r="C33" s="10">
        <v>200</v>
      </c>
      <c r="D33" s="39">
        <v>47.108800000000002</v>
      </c>
      <c r="E33" s="39">
        <v>45.81</v>
      </c>
      <c r="F33" s="39">
        <f t="shared" si="2"/>
        <v>-259.76</v>
      </c>
      <c r="G33" s="39">
        <f t="shared" si="3"/>
        <v>9421.76</v>
      </c>
      <c r="H33" s="175">
        <f t="shared" si="4"/>
        <v>-2.7570220425907684E-2</v>
      </c>
      <c r="I33" s="39"/>
      <c r="W33" s="127">
        <v>42787</v>
      </c>
      <c r="X33" s="10">
        <v>75.900000000000006</v>
      </c>
      <c r="Y33" s="10">
        <v>76.23</v>
      </c>
      <c r="Z33" s="10">
        <v>74.42</v>
      </c>
      <c r="AA33" s="10">
        <v>75.41</v>
      </c>
      <c r="AB33" s="90">
        <v>2584300</v>
      </c>
      <c r="AC33" s="10">
        <v>75.41</v>
      </c>
      <c r="AD33" s="2">
        <f t="shared" si="0"/>
        <v>1.8100000000000023</v>
      </c>
      <c r="AE33" s="131">
        <f t="shared" si="1"/>
        <v>-7.240652975250117E-3</v>
      </c>
    </row>
    <row r="34" spans="2:31" x14ac:dyDescent="0.25">
      <c r="B34" s="161">
        <v>42535</v>
      </c>
      <c r="C34" s="10">
        <v>240</v>
      </c>
      <c r="D34" s="39">
        <v>46.455599999999997</v>
      </c>
      <c r="E34" s="39">
        <v>42.09</v>
      </c>
      <c r="F34" s="39">
        <f t="shared" si="2"/>
        <v>-1047.7439999999983</v>
      </c>
      <c r="G34" s="39">
        <f t="shared" si="3"/>
        <v>11149.343999999999</v>
      </c>
      <c r="H34" s="175">
        <f t="shared" si="4"/>
        <v>-9.3973600599281767E-2</v>
      </c>
      <c r="I34" s="39"/>
      <c r="W34" s="127">
        <v>42783</v>
      </c>
      <c r="X34" s="10">
        <v>75.489999999999995</v>
      </c>
      <c r="Y34" s="10">
        <v>75.97</v>
      </c>
      <c r="Z34" s="10">
        <v>74.599999999999994</v>
      </c>
      <c r="AA34" s="10">
        <v>75.959999999999994</v>
      </c>
      <c r="AB34" s="90">
        <v>1876100</v>
      </c>
      <c r="AC34" s="10">
        <v>75.959999999999994</v>
      </c>
      <c r="AD34" s="2">
        <f t="shared" si="0"/>
        <v>1.3700000000000045</v>
      </c>
      <c r="AE34" s="131">
        <f t="shared" si="1"/>
        <v>3.8324302894143791E-3</v>
      </c>
    </row>
    <row r="35" spans="2:31" x14ac:dyDescent="0.25">
      <c r="B35" s="161">
        <v>42541</v>
      </c>
      <c r="C35" s="10">
        <v>240</v>
      </c>
      <c r="D35" s="39">
        <v>46.455599999999997</v>
      </c>
      <c r="E35" s="39">
        <v>43.4</v>
      </c>
      <c r="F35" s="39">
        <f t="shared" si="2"/>
        <v>-733.3439999999996</v>
      </c>
      <c r="G35" s="39">
        <f t="shared" si="3"/>
        <v>11149.343999999999</v>
      </c>
      <c r="H35" s="175">
        <f t="shared" si="4"/>
        <v>-6.5774632121853957E-2</v>
      </c>
      <c r="I35" s="39"/>
      <c r="W35" s="127">
        <v>42782</v>
      </c>
      <c r="X35" s="10">
        <v>75.930000000000007</v>
      </c>
      <c r="Y35" s="10">
        <v>76.3</v>
      </c>
      <c r="Z35" s="10">
        <v>75.099999999999994</v>
      </c>
      <c r="AA35" s="10">
        <v>75.67</v>
      </c>
      <c r="AB35" s="90">
        <v>2195500</v>
      </c>
      <c r="AC35" s="10">
        <v>75.67</v>
      </c>
      <c r="AD35" s="2">
        <f t="shared" si="0"/>
        <v>1.2000000000000028</v>
      </c>
      <c r="AE35" s="131">
        <f t="shared" si="1"/>
        <v>-1.05610561056102E-3</v>
      </c>
    </row>
    <row r="36" spans="2:31" x14ac:dyDescent="0.25">
      <c r="B36" s="161">
        <v>42542</v>
      </c>
      <c r="C36" s="10">
        <v>240</v>
      </c>
      <c r="D36" s="39">
        <v>46.46</v>
      </c>
      <c r="E36" s="39">
        <v>44.86</v>
      </c>
      <c r="F36" s="39">
        <f t="shared" si="2"/>
        <v>-384.00000000000034</v>
      </c>
      <c r="G36" s="39">
        <f t="shared" si="3"/>
        <v>11150.4</v>
      </c>
      <c r="H36" s="175">
        <f t="shared" si="4"/>
        <v>-3.4438226431338814E-2</v>
      </c>
      <c r="I36" s="39"/>
      <c r="W36" s="127">
        <v>42781</v>
      </c>
      <c r="X36" s="10">
        <v>75.290000000000006</v>
      </c>
      <c r="Y36" s="10">
        <v>76.23</v>
      </c>
      <c r="Z36" s="10">
        <v>74.819999999999993</v>
      </c>
      <c r="AA36" s="10">
        <v>75.75</v>
      </c>
      <c r="AB36" s="90">
        <v>4982900</v>
      </c>
      <c r="AC36" s="10">
        <v>75.75</v>
      </c>
      <c r="AD36" s="2">
        <f t="shared" si="0"/>
        <v>1.4100000000000108</v>
      </c>
      <c r="AE36" s="131">
        <f t="shared" si="1"/>
        <v>2.7257933279088764E-2</v>
      </c>
    </row>
    <row r="37" spans="2:31" x14ac:dyDescent="0.25">
      <c r="B37" s="161">
        <v>42543</v>
      </c>
      <c r="C37" s="10">
        <v>240</v>
      </c>
      <c r="D37" s="39">
        <v>46.46</v>
      </c>
      <c r="E37" s="39">
        <v>45.09</v>
      </c>
      <c r="F37" s="39">
        <f t="shared" si="2"/>
        <v>-328.79999999999939</v>
      </c>
      <c r="G37" s="39">
        <f t="shared" si="3"/>
        <v>11150.4</v>
      </c>
      <c r="H37" s="175">
        <f t="shared" si="4"/>
        <v>-2.948773138183378E-2</v>
      </c>
      <c r="I37" s="39"/>
      <c r="W37" s="127">
        <v>42780</v>
      </c>
      <c r="X37" s="10">
        <v>73.44</v>
      </c>
      <c r="Y37" s="10">
        <v>73.88</v>
      </c>
      <c r="Z37" s="10">
        <v>72</v>
      </c>
      <c r="AA37" s="10">
        <v>73.739999999999995</v>
      </c>
      <c r="AB37" s="90">
        <v>2533800</v>
      </c>
      <c r="AC37" s="10">
        <v>73.739999999999995</v>
      </c>
      <c r="AD37" s="2">
        <f t="shared" si="0"/>
        <v>1.8799999999999955</v>
      </c>
      <c r="AE37" s="131">
        <f t="shared" si="1"/>
        <v>-1.3542795232936999E-3</v>
      </c>
    </row>
    <row r="38" spans="2:31" x14ac:dyDescent="0.25">
      <c r="B38" s="161">
        <v>42545</v>
      </c>
      <c r="C38" s="10">
        <v>340</v>
      </c>
      <c r="D38" s="39">
        <v>45.227499999999999</v>
      </c>
      <c r="E38" s="39">
        <v>42.28</v>
      </c>
      <c r="F38" s="39">
        <f t="shared" si="2"/>
        <v>-1002.1499999999993</v>
      </c>
      <c r="G38" s="39">
        <f t="shared" si="3"/>
        <v>15377.35</v>
      </c>
      <c r="H38" s="175">
        <f t="shared" si="4"/>
        <v>-6.5170526781272414E-2</v>
      </c>
      <c r="I38" s="39"/>
      <c r="W38" s="127">
        <v>42779</v>
      </c>
      <c r="X38" s="10">
        <v>72.849999999999994</v>
      </c>
      <c r="Y38" s="10">
        <v>74.16</v>
      </c>
      <c r="Z38" s="10">
        <v>72.84</v>
      </c>
      <c r="AA38" s="10">
        <v>73.84</v>
      </c>
      <c r="AB38" s="90">
        <v>3274500</v>
      </c>
      <c r="AC38" s="10">
        <v>73.84</v>
      </c>
      <c r="AD38" s="2">
        <f t="shared" si="0"/>
        <v>1.3199999999999932</v>
      </c>
      <c r="AE38" s="131">
        <f t="shared" si="1"/>
        <v>1.7079889807162685E-2</v>
      </c>
    </row>
    <row r="39" spans="2:31" x14ac:dyDescent="0.25">
      <c r="B39" s="161">
        <v>42548</v>
      </c>
      <c r="C39" s="10">
        <v>450</v>
      </c>
      <c r="D39" s="39">
        <v>44.223399999999998</v>
      </c>
      <c r="E39" s="39">
        <v>37.75</v>
      </c>
      <c r="F39" s="39">
        <f t="shared" si="2"/>
        <v>-2913.0299999999993</v>
      </c>
      <c r="G39" s="39">
        <f t="shared" si="3"/>
        <v>19900.53</v>
      </c>
      <c r="H39" s="175">
        <f t="shared" si="4"/>
        <v>-0.14637951853543596</v>
      </c>
      <c r="I39" s="39"/>
      <c r="W39" s="127">
        <v>42776</v>
      </c>
      <c r="X39" s="10">
        <v>73.37</v>
      </c>
      <c r="Y39" s="10">
        <v>73.37</v>
      </c>
      <c r="Z39" s="10">
        <v>72.2</v>
      </c>
      <c r="AA39" s="10">
        <v>72.599999999999994</v>
      </c>
      <c r="AB39" s="90">
        <v>1933800</v>
      </c>
      <c r="AC39" s="10">
        <v>72.599999999999994</v>
      </c>
      <c r="AD39" s="2">
        <f t="shared" si="0"/>
        <v>1.1700000000000017</v>
      </c>
      <c r="AE39" s="131">
        <f t="shared" si="1"/>
        <v>-5.206906001644418E-3</v>
      </c>
    </row>
    <row r="40" spans="2:31" ht="20.25" thickBot="1" x14ac:dyDescent="0.35">
      <c r="B40" s="161">
        <v>42549</v>
      </c>
      <c r="C40" s="352">
        <v>450</v>
      </c>
      <c r="D40" s="353">
        <v>44.223399999999998</v>
      </c>
      <c r="E40" s="39">
        <v>38.950000000000003</v>
      </c>
      <c r="F40" s="39">
        <f t="shared" ref="F40:F57" si="5">C40*(E40-D40)</f>
        <v>-2373.0299999999979</v>
      </c>
      <c r="G40" s="39">
        <f t="shared" ref="G40:G57" si="6">D40*C40</f>
        <v>19900.53</v>
      </c>
      <c r="H40" s="175">
        <f t="shared" ref="H40:H57" si="7">(E40-D40)/D40</f>
        <v>-0.11924456283325108</v>
      </c>
      <c r="I40" s="39"/>
      <c r="O40" s="886" t="s">
        <v>78</v>
      </c>
      <c r="P40" s="886"/>
      <c r="W40" s="127">
        <v>42775</v>
      </c>
      <c r="X40" s="10">
        <v>71.38</v>
      </c>
      <c r="Y40" s="10">
        <v>73.3</v>
      </c>
      <c r="Z40" s="10">
        <v>71.23</v>
      </c>
      <c r="AA40" s="10">
        <v>72.98</v>
      </c>
      <c r="AB40" s="90">
        <v>3743200</v>
      </c>
      <c r="AC40" s="10">
        <v>72.98</v>
      </c>
      <c r="AD40" s="2">
        <f t="shared" si="0"/>
        <v>2.0699999999999932</v>
      </c>
      <c r="AE40" s="131">
        <f t="shared" si="1"/>
        <v>1.7852161785216092E-2</v>
      </c>
    </row>
    <row r="41" spans="2:31" ht="15.75" thickTop="1" x14ac:dyDescent="0.25">
      <c r="B41" s="161">
        <v>42550</v>
      </c>
      <c r="C41" s="10">
        <v>450</v>
      </c>
      <c r="D41" s="39">
        <v>44.223399999999998</v>
      </c>
      <c r="E41" s="39">
        <v>40.57</v>
      </c>
      <c r="F41" s="39">
        <f t="shared" si="5"/>
        <v>-1644.0299999999991</v>
      </c>
      <c r="G41" s="39">
        <f t="shared" si="6"/>
        <v>19900.53</v>
      </c>
      <c r="H41" s="175">
        <f t="shared" si="7"/>
        <v>-8.261237263530162E-2</v>
      </c>
      <c r="I41" s="39"/>
      <c r="O41" s="78">
        <v>1.1000000000000001</v>
      </c>
      <c r="P41" s="78">
        <f>O41*$Q$4</f>
        <v>97.031000000000006</v>
      </c>
      <c r="Q41" s="2"/>
      <c r="W41" s="127">
        <v>42774</v>
      </c>
      <c r="X41" s="10">
        <v>71.5</v>
      </c>
      <c r="Y41" s="10">
        <v>71.77</v>
      </c>
      <c r="Z41" s="10">
        <v>70.73</v>
      </c>
      <c r="AA41" s="10">
        <v>71.7</v>
      </c>
      <c r="AB41" s="90">
        <v>2967500</v>
      </c>
      <c r="AC41" s="10">
        <v>71.7</v>
      </c>
      <c r="AD41" s="2">
        <f t="shared" si="0"/>
        <v>1.039999999999992</v>
      </c>
      <c r="AE41" s="131">
        <f t="shared" si="1"/>
        <v>5.7511572450552606E-3</v>
      </c>
    </row>
    <row r="42" spans="2:31" ht="20.25" thickBot="1" x14ac:dyDescent="0.35">
      <c r="B42" s="161">
        <v>42552</v>
      </c>
      <c r="C42" s="10">
        <v>450</v>
      </c>
      <c r="D42" s="39">
        <v>44.223399999999998</v>
      </c>
      <c r="E42" s="39">
        <v>41.37</v>
      </c>
      <c r="F42" s="39">
        <f t="shared" si="5"/>
        <v>-1284.0300000000002</v>
      </c>
      <c r="G42" s="39">
        <f t="shared" si="6"/>
        <v>19900.53</v>
      </c>
      <c r="H42" s="175">
        <f t="shared" si="7"/>
        <v>-6.4522402167178472E-2</v>
      </c>
      <c r="I42" s="39"/>
      <c r="O42" s="78">
        <v>1.0900000000000001</v>
      </c>
      <c r="P42" s="78">
        <f t="shared" ref="P42:P61" si="8">O42*$Q$4</f>
        <v>96.148899999999998</v>
      </c>
      <c r="Q42" s="2"/>
      <c r="T42" s="86" t="s">
        <v>112</v>
      </c>
      <c r="W42" s="127">
        <v>42773</v>
      </c>
      <c r="X42" s="10">
        <v>73.959999999999994</v>
      </c>
      <c r="Y42" s="10">
        <v>74</v>
      </c>
      <c r="Z42" s="10">
        <v>71.25</v>
      </c>
      <c r="AA42" s="10">
        <v>71.290000000000006</v>
      </c>
      <c r="AB42" s="90">
        <v>4969400</v>
      </c>
      <c r="AC42" s="10">
        <v>71.290000000000006</v>
      </c>
      <c r="AD42" s="2">
        <f t="shared" si="0"/>
        <v>2.75</v>
      </c>
      <c r="AE42" s="131">
        <f t="shared" si="1"/>
        <v>-3.0068027210884307E-2</v>
      </c>
    </row>
    <row r="43" spans="2:31" ht="15.75" thickTop="1" x14ac:dyDescent="0.25">
      <c r="B43" s="161">
        <v>42556</v>
      </c>
      <c r="C43" s="10">
        <v>450</v>
      </c>
      <c r="D43" s="39">
        <v>44.223399999999998</v>
      </c>
      <c r="E43" s="39">
        <v>40.29</v>
      </c>
      <c r="F43" s="39">
        <f t="shared" si="5"/>
        <v>-1770.0299999999995</v>
      </c>
      <c r="G43" s="39">
        <f t="shared" si="6"/>
        <v>19900.53</v>
      </c>
      <c r="H43" s="175">
        <f t="shared" si="7"/>
        <v>-8.8943862299144777E-2</v>
      </c>
      <c r="I43" s="39"/>
      <c r="O43" s="78">
        <v>1.08</v>
      </c>
      <c r="P43" s="78">
        <f t="shared" si="8"/>
        <v>95.266800000000003</v>
      </c>
      <c r="Q43" s="2"/>
      <c r="T43" s="122" t="s">
        <v>97</v>
      </c>
      <c r="U43" s="93">
        <v>69.760000000000005</v>
      </c>
      <c r="W43" s="127">
        <v>42772</v>
      </c>
      <c r="X43" s="10">
        <v>73.400000000000006</v>
      </c>
      <c r="Y43" s="10">
        <v>74.78</v>
      </c>
      <c r="Z43" s="10">
        <v>72.78</v>
      </c>
      <c r="AA43" s="10">
        <v>73.5</v>
      </c>
      <c r="AB43" s="90">
        <v>3922800</v>
      </c>
      <c r="AC43" s="10">
        <v>73.5</v>
      </c>
      <c r="AD43" s="2">
        <f t="shared" si="0"/>
        <v>2</v>
      </c>
      <c r="AE43" s="131">
        <f t="shared" si="1"/>
        <v>6.0224473035861426E-3</v>
      </c>
    </row>
    <row r="44" spans="2:31" x14ac:dyDescent="0.25">
      <c r="B44" s="161">
        <v>42557</v>
      </c>
      <c r="C44" s="352">
        <v>450</v>
      </c>
      <c r="D44" s="353">
        <v>43.823700000000002</v>
      </c>
      <c r="E44" s="39">
        <v>39.31</v>
      </c>
      <c r="F44" s="39">
        <f t="shared" si="5"/>
        <v>-2031.165</v>
      </c>
      <c r="G44" s="39">
        <f t="shared" si="6"/>
        <v>19720.665000000001</v>
      </c>
      <c r="H44" s="175">
        <f t="shared" si="7"/>
        <v>-0.10299678028098951</v>
      </c>
      <c r="I44" s="39"/>
      <c r="O44" s="78">
        <v>1.07</v>
      </c>
      <c r="P44" s="78">
        <f t="shared" si="8"/>
        <v>94.384699999999995</v>
      </c>
      <c r="Q44" s="2"/>
      <c r="T44" s="88" t="s">
        <v>98</v>
      </c>
      <c r="U44" s="83">
        <v>70.23</v>
      </c>
      <c r="W44" s="127">
        <v>42769</v>
      </c>
      <c r="X44" s="10">
        <v>72.53</v>
      </c>
      <c r="Y44" s="10">
        <v>73.25</v>
      </c>
      <c r="Z44" s="10">
        <v>72.05</v>
      </c>
      <c r="AA44" s="10">
        <v>73.06</v>
      </c>
      <c r="AB44" s="90">
        <v>2517900</v>
      </c>
      <c r="AC44" s="10">
        <v>73.06</v>
      </c>
      <c r="AD44" s="2">
        <f t="shared" si="0"/>
        <v>1.2000000000000028</v>
      </c>
      <c r="AE44" s="131">
        <f t="shared" si="1"/>
        <v>1.2752980316052209E-2</v>
      </c>
    </row>
    <row r="45" spans="2:31" x14ac:dyDescent="0.25">
      <c r="B45" s="161">
        <v>42558</v>
      </c>
      <c r="C45" s="10">
        <v>450</v>
      </c>
      <c r="D45" s="39">
        <v>43.823700000000002</v>
      </c>
      <c r="E45" s="39">
        <v>41.48</v>
      </c>
      <c r="F45" s="39">
        <f t="shared" si="5"/>
        <v>-1054.6650000000025</v>
      </c>
      <c r="G45" s="39">
        <f t="shared" si="6"/>
        <v>19720.665000000001</v>
      </c>
      <c r="H45" s="175">
        <f t="shared" si="7"/>
        <v>-5.3480194506625535E-2</v>
      </c>
      <c r="I45" s="39"/>
      <c r="O45" s="78">
        <v>1.06</v>
      </c>
      <c r="P45" s="78">
        <f t="shared" si="8"/>
        <v>93.502600000000001</v>
      </c>
      <c r="Q45" s="2"/>
      <c r="T45" s="88" t="s">
        <v>99</v>
      </c>
      <c r="U45" s="83" t="s">
        <v>128</v>
      </c>
      <c r="W45" s="127">
        <v>42768</v>
      </c>
      <c r="X45" s="10">
        <v>70.73</v>
      </c>
      <c r="Y45" s="10">
        <v>72.34</v>
      </c>
      <c r="Z45" s="10">
        <v>70.55</v>
      </c>
      <c r="AA45" s="10">
        <v>72.14</v>
      </c>
      <c r="AB45" s="90">
        <v>3101700</v>
      </c>
      <c r="AC45" s="10">
        <v>72.14</v>
      </c>
      <c r="AD45" s="2">
        <f t="shared" si="0"/>
        <v>1.7900000000000063</v>
      </c>
      <c r="AE45" s="131">
        <f t="shared" si="1"/>
        <v>9.2333519865697156E-3</v>
      </c>
    </row>
    <row r="46" spans="2:31" x14ac:dyDescent="0.25">
      <c r="B46" s="161">
        <v>42562</v>
      </c>
      <c r="C46" s="10">
        <v>400</v>
      </c>
      <c r="D46" s="39">
        <v>43.966799999999999</v>
      </c>
      <c r="E46" s="39">
        <v>42.41</v>
      </c>
      <c r="F46" s="39">
        <f t="shared" si="5"/>
        <v>-622.72000000000105</v>
      </c>
      <c r="G46" s="39">
        <f t="shared" si="6"/>
        <v>17586.72</v>
      </c>
      <c r="H46" s="175">
        <f t="shared" si="7"/>
        <v>-3.5408535531355541E-2</v>
      </c>
      <c r="I46" s="39"/>
      <c r="O46" s="78">
        <v>1.05</v>
      </c>
      <c r="P46" s="78">
        <f t="shared" si="8"/>
        <v>92.620499999999993</v>
      </c>
      <c r="Q46" s="2"/>
      <c r="T46" s="88" t="s">
        <v>100</v>
      </c>
      <c r="U46" s="83" t="s">
        <v>128</v>
      </c>
      <c r="W46" s="127">
        <v>42767</v>
      </c>
      <c r="X46" s="10">
        <v>70.95</v>
      </c>
      <c r="Y46" s="10">
        <v>71.86</v>
      </c>
      <c r="Z46" s="10">
        <v>70.69</v>
      </c>
      <c r="AA46" s="10">
        <v>71.48</v>
      </c>
      <c r="AB46" s="90">
        <v>3414200</v>
      </c>
      <c r="AC46" s="10">
        <v>71.48</v>
      </c>
      <c r="AD46" s="2">
        <f t="shared" si="0"/>
        <v>1.1700000000000017</v>
      </c>
      <c r="AE46" s="131">
        <f t="shared" si="1"/>
        <v>1.4332340002838118E-2</v>
      </c>
    </row>
    <row r="47" spans="2:31" x14ac:dyDescent="0.25">
      <c r="B47" s="161">
        <v>42563</v>
      </c>
      <c r="C47" s="10">
        <v>400</v>
      </c>
      <c r="D47" s="39">
        <v>43.966799999999999</v>
      </c>
      <c r="E47" s="39">
        <v>46.16</v>
      </c>
      <c r="F47" s="39">
        <f t="shared" si="5"/>
        <v>877.27999999999895</v>
      </c>
      <c r="G47" s="39">
        <f t="shared" si="6"/>
        <v>17586.72</v>
      </c>
      <c r="H47" s="175">
        <f t="shared" si="7"/>
        <v>4.9883093606994312E-2</v>
      </c>
      <c r="I47" s="39"/>
      <c r="O47" s="78">
        <v>1.04</v>
      </c>
      <c r="P47" s="78">
        <f t="shared" si="8"/>
        <v>91.738399999999999</v>
      </c>
      <c r="Q47" s="2"/>
      <c r="T47" s="88" t="s">
        <v>101</v>
      </c>
      <c r="U47" s="83">
        <v>83.81</v>
      </c>
      <c r="W47" s="127">
        <v>42766</v>
      </c>
      <c r="X47" s="10">
        <v>71.78</v>
      </c>
      <c r="Y47" s="10">
        <v>71.78</v>
      </c>
      <c r="Z47" s="10">
        <v>69.34</v>
      </c>
      <c r="AA47" s="10">
        <v>70.47</v>
      </c>
      <c r="AB47" s="90">
        <v>5445000</v>
      </c>
      <c r="AC47" s="10">
        <v>70.47</v>
      </c>
      <c r="AD47" s="2">
        <f t="shared" si="0"/>
        <v>2.4399999999999977</v>
      </c>
      <c r="AE47" s="131">
        <f t="shared" si="1"/>
        <v>-1.7428890128276642E-2</v>
      </c>
    </row>
    <row r="48" spans="2:31" x14ac:dyDescent="0.25">
      <c r="B48" s="161">
        <v>42569</v>
      </c>
      <c r="C48" s="10">
        <v>360</v>
      </c>
      <c r="D48" s="39">
        <v>43.573300000000003</v>
      </c>
      <c r="E48" s="39">
        <v>47.71</v>
      </c>
      <c r="F48" s="39">
        <f t="shared" si="5"/>
        <v>1489.2119999999991</v>
      </c>
      <c r="G48" s="39">
        <f t="shared" si="6"/>
        <v>15686.388000000001</v>
      </c>
      <c r="H48" s="175">
        <f t="shared" si="7"/>
        <v>9.4936578133857141E-2</v>
      </c>
      <c r="I48" s="39"/>
      <c r="O48" s="78">
        <v>1.03</v>
      </c>
      <c r="P48" s="78">
        <f t="shared" si="8"/>
        <v>90.85629999999999</v>
      </c>
      <c r="Q48" s="2"/>
      <c r="T48" s="88" t="s">
        <v>102</v>
      </c>
      <c r="U48" s="83">
        <v>0.99472499999999997</v>
      </c>
      <c r="W48" s="127">
        <v>42765</v>
      </c>
      <c r="X48" s="10">
        <v>72.989999999999995</v>
      </c>
      <c r="Y48" s="10">
        <v>72.989999999999995</v>
      </c>
      <c r="Z48" s="10">
        <v>70</v>
      </c>
      <c r="AA48" s="10">
        <v>71.72</v>
      </c>
      <c r="AB48" s="90">
        <v>3898300</v>
      </c>
      <c r="AC48" s="10">
        <v>71.72</v>
      </c>
      <c r="AD48" s="2">
        <f t="shared" si="0"/>
        <v>2.9899999999999949</v>
      </c>
      <c r="AE48" s="131">
        <f t="shared" si="1"/>
        <v>-3.628056973931737E-2</v>
      </c>
    </row>
    <row r="49" spans="2:31" x14ac:dyDescent="0.25">
      <c r="B49" s="161">
        <v>42570</v>
      </c>
      <c r="C49" s="10">
        <v>360</v>
      </c>
      <c r="D49" s="39">
        <v>43.573300000000003</v>
      </c>
      <c r="E49" s="39">
        <v>47.85</v>
      </c>
      <c r="F49" s="39">
        <f t="shared" si="5"/>
        <v>1539.6119999999994</v>
      </c>
      <c r="G49" s="39">
        <f t="shared" si="6"/>
        <v>15686.388000000001</v>
      </c>
      <c r="H49" s="175">
        <f t="shared" si="7"/>
        <v>9.8149554887970336E-2</v>
      </c>
      <c r="I49" s="39"/>
      <c r="O49" s="78">
        <v>1.02</v>
      </c>
      <c r="P49" s="78">
        <f t="shared" si="8"/>
        <v>89.974199999999996</v>
      </c>
      <c r="Q49" s="2"/>
      <c r="T49" s="88" t="s">
        <v>121</v>
      </c>
      <c r="U49" s="83" t="s">
        <v>322</v>
      </c>
      <c r="W49" s="127">
        <v>42762</v>
      </c>
      <c r="X49" s="10">
        <v>75.75</v>
      </c>
      <c r="Y49" s="10">
        <v>75.98</v>
      </c>
      <c r="Z49" s="10">
        <v>74.040000000000006</v>
      </c>
      <c r="AA49" s="10">
        <v>74.42</v>
      </c>
      <c r="AB49" s="90">
        <v>4377000</v>
      </c>
      <c r="AC49" s="10">
        <v>74.42</v>
      </c>
      <c r="AD49" s="2">
        <f t="shared" si="0"/>
        <v>1.9399999999999977</v>
      </c>
      <c r="AE49" s="131">
        <f t="shared" si="1"/>
        <v>-1.2735473600424485E-2</v>
      </c>
    </row>
    <row r="50" spans="2:31" x14ac:dyDescent="0.25">
      <c r="B50" s="161">
        <v>42571</v>
      </c>
      <c r="C50" s="10">
        <v>360</v>
      </c>
      <c r="D50" s="39">
        <v>43.573300000000003</v>
      </c>
      <c r="E50" s="39">
        <v>48.3</v>
      </c>
      <c r="F50" s="39">
        <f t="shared" si="5"/>
        <v>1701.6119999999978</v>
      </c>
      <c r="G50" s="39">
        <f t="shared" si="6"/>
        <v>15686.388000000001</v>
      </c>
      <c r="H50" s="175">
        <f t="shared" si="7"/>
        <v>0.10847698016904833</v>
      </c>
      <c r="I50" s="39"/>
      <c r="O50" s="78">
        <v>1.01</v>
      </c>
      <c r="P50" s="78">
        <f t="shared" si="8"/>
        <v>89.092099999999988</v>
      </c>
      <c r="Q50" s="2"/>
      <c r="T50" s="88"/>
      <c r="U50" s="83"/>
      <c r="W50" s="127">
        <v>42761</v>
      </c>
      <c r="X50" s="10">
        <v>74.47</v>
      </c>
      <c r="Y50" s="10">
        <v>76</v>
      </c>
      <c r="Z50" s="10">
        <v>74.12</v>
      </c>
      <c r="AA50" s="10">
        <v>75.38</v>
      </c>
      <c r="AB50" s="90">
        <v>5428600</v>
      </c>
      <c r="AC50" s="10">
        <v>75.38</v>
      </c>
      <c r="AD50" s="2">
        <f t="shared" si="0"/>
        <v>1.8799999999999955</v>
      </c>
      <c r="AE50" s="131">
        <f t="shared" si="1"/>
        <v>2.432395705938295E-2</v>
      </c>
    </row>
    <row r="51" spans="2:31" x14ac:dyDescent="0.25">
      <c r="B51" s="161">
        <v>42572</v>
      </c>
      <c r="C51" s="10">
        <v>360</v>
      </c>
      <c r="D51" s="39">
        <v>43.573300000000003</v>
      </c>
      <c r="E51" s="39">
        <v>46.66</v>
      </c>
      <c r="F51" s="39">
        <f t="shared" si="5"/>
        <v>1111.2119999999977</v>
      </c>
      <c r="G51" s="39">
        <f t="shared" si="6"/>
        <v>15686.388000000001</v>
      </c>
      <c r="H51" s="175">
        <f t="shared" si="7"/>
        <v>7.0839252478008166E-2</v>
      </c>
      <c r="I51" s="39"/>
      <c r="O51" s="78">
        <v>1</v>
      </c>
      <c r="P51" s="78">
        <f t="shared" si="8"/>
        <v>88.21</v>
      </c>
      <c r="Q51" s="2"/>
      <c r="T51" s="88" t="s">
        <v>104</v>
      </c>
      <c r="U51" s="83" t="s">
        <v>599</v>
      </c>
      <c r="W51" s="127">
        <v>42760</v>
      </c>
      <c r="X51" s="10">
        <v>73.58</v>
      </c>
      <c r="Y51" s="10">
        <v>74.599999999999994</v>
      </c>
      <c r="Z51" s="10">
        <v>73.040000000000006</v>
      </c>
      <c r="AA51" s="10">
        <v>73.59</v>
      </c>
      <c r="AB51" s="90">
        <v>2762500</v>
      </c>
      <c r="AC51" s="10">
        <v>73.59</v>
      </c>
      <c r="AD51" s="2">
        <f t="shared" si="0"/>
        <v>1.5599999999999881</v>
      </c>
      <c r="AE51" s="131">
        <f t="shared" si="1"/>
        <v>5.6026236676687269E-3</v>
      </c>
    </row>
    <row r="52" spans="2:31" x14ac:dyDescent="0.25">
      <c r="B52" s="161">
        <v>42575</v>
      </c>
      <c r="C52" s="10">
        <v>360</v>
      </c>
      <c r="D52" s="39">
        <v>43.573300000000003</v>
      </c>
      <c r="E52" s="39">
        <v>47.57</v>
      </c>
      <c r="F52" s="39">
        <f t="shared" si="5"/>
        <v>1438.811999999999</v>
      </c>
      <c r="G52" s="39">
        <f t="shared" si="6"/>
        <v>15686.388000000001</v>
      </c>
      <c r="H52" s="175">
        <f t="shared" si="7"/>
        <v>9.1723601379743946E-2</v>
      </c>
      <c r="I52" s="39"/>
      <c r="O52" s="78">
        <v>0.99</v>
      </c>
      <c r="P52" s="78">
        <f t="shared" si="8"/>
        <v>87.3279</v>
      </c>
      <c r="Q52" s="2"/>
      <c r="T52" s="88" t="s">
        <v>105</v>
      </c>
      <c r="U52" s="83" t="s">
        <v>304</v>
      </c>
      <c r="W52" s="127">
        <v>42759</v>
      </c>
      <c r="X52" s="10">
        <v>73.08</v>
      </c>
      <c r="Y52" s="10">
        <v>73.58</v>
      </c>
      <c r="Z52" s="10">
        <v>72.66</v>
      </c>
      <c r="AA52" s="10">
        <v>73.180000000000007</v>
      </c>
      <c r="AB52" s="90">
        <v>2654800</v>
      </c>
      <c r="AC52" s="10">
        <v>73.180000000000007</v>
      </c>
      <c r="AD52" s="2">
        <f t="shared" si="0"/>
        <v>0.92000000000000171</v>
      </c>
      <c r="AE52" s="131">
        <f t="shared" si="1"/>
        <v>5.9106529209622671E-3</v>
      </c>
    </row>
    <row r="53" spans="2:31" x14ac:dyDescent="0.25">
      <c r="B53" s="161">
        <v>42576</v>
      </c>
      <c r="C53" s="10">
        <v>360</v>
      </c>
      <c r="D53" s="39">
        <v>43.573300000000003</v>
      </c>
      <c r="E53" s="39">
        <v>46.89</v>
      </c>
      <c r="F53" s="39">
        <f t="shared" si="5"/>
        <v>1194.011999999999</v>
      </c>
      <c r="G53" s="39">
        <f t="shared" si="6"/>
        <v>15686.388000000001</v>
      </c>
      <c r="H53" s="175">
        <f t="shared" si="7"/>
        <v>7.6117714288337052E-2</v>
      </c>
      <c r="I53" s="39"/>
      <c r="O53" s="78">
        <v>0.98</v>
      </c>
      <c r="P53" s="78">
        <f t="shared" si="8"/>
        <v>86.445799999999991</v>
      </c>
      <c r="Q53" s="2"/>
      <c r="T53" s="88" t="s">
        <v>106</v>
      </c>
      <c r="U53" s="85">
        <v>2640252</v>
      </c>
      <c r="W53" s="127">
        <v>42758</v>
      </c>
      <c r="X53" s="10">
        <v>74.66</v>
      </c>
      <c r="Y53" s="10">
        <v>75.09</v>
      </c>
      <c r="Z53" s="10">
        <v>72.64</v>
      </c>
      <c r="AA53" s="10">
        <v>72.75</v>
      </c>
      <c r="AB53" s="90">
        <v>4157900</v>
      </c>
      <c r="AC53" s="10">
        <v>72.75</v>
      </c>
      <c r="AD53" s="2">
        <f t="shared" si="0"/>
        <v>2.4500000000000028</v>
      </c>
      <c r="AE53" s="131">
        <f t="shared" si="1"/>
        <v>-3.3094098883572509E-2</v>
      </c>
    </row>
    <row r="54" spans="2:31" x14ac:dyDescent="0.25">
      <c r="B54" s="161">
        <v>42577</v>
      </c>
      <c r="C54" s="10">
        <v>360</v>
      </c>
      <c r="D54" s="39">
        <v>43.573300000000003</v>
      </c>
      <c r="E54" s="39">
        <v>47.73</v>
      </c>
      <c r="F54" s="39">
        <f t="shared" si="5"/>
        <v>1496.4119999999978</v>
      </c>
      <c r="G54" s="39">
        <f t="shared" si="6"/>
        <v>15686.388000000001</v>
      </c>
      <c r="H54" s="175">
        <f t="shared" si="7"/>
        <v>9.5395574813016068E-2</v>
      </c>
      <c r="I54" s="39"/>
      <c r="O54" s="78">
        <v>0.97</v>
      </c>
      <c r="P54" s="78">
        <f t="shared" si="8"/>
        <v>85.563699999999997</v>
      </c>
      <c r="T54" s="88" t="s">
        <v>109</v>
      </c>
      <c r="U54" s="85">
        <v>3897750</v>
      </c>
      <c r="W54" s="127">
        <v>42755</v>
      </c>
      <c r="X54" s="10">
        <v>74.3</v>
      </c>
      <c r="Y54" s="10">
        <v>75.48</v>
      </c>
      <c r="Z54" s="10">
        <v>74.09</v>
      </c>
      <c r="AA54" s="10">
        <v>75.239999999999995</v>
      </c>
      <c r="AB54" s="90">
        <v>2883800</v>
      </c>
      <c r="AC54" s="10">
        <v>75.239999999999995</v>
      </c>
      <c r="AD54" s="2">
        <f t="shared" si="0"/>
        <v>1.3900000000000006</v>
      </c>
      <c r="AE54" s="131">
        <f t="shared" si="1"/>
        <v>1.6482031883274795E-2</v>
      </c>
    </row>
    <row r="55" spans="2:31" x14ac:dyDescent="0.25">
      <c r="B55" s="161">
        <v>42580</v>
      </c>
      <c r="C55" s="10">
        <v>360</v>
      </c>
      <c r="D55" s="39">
        <v>43.573300000000003</v>
      </c>
      <c r="E55" s="39">
        <v>46.89</v>
      </c>
      <c r="F55" s="39">
        <f t="shared" si="5"/>
        <v>1194.011999999999</v>
      </c>
      <c r="G55" s="39">
        <f t="shared" si="6"/>
        <v>15686.388000000001</v>
      </c>
      <c r="H55" s="175">
        <f t="shared" si="7"/>
        <v>7.6117714288337052E-2</v>
      </c>
      <c r="I55" s="39"/>
      <c r="O55" s="78">
        <v>0.96</v>
      </c>
      <c r="P55" s="78">
        <f t="shared" si="8"/>
        <v>84.681599999999989</v>
      </c>
      <c r="T55" s="88" t="s">
        <v>107</v>
      </c>
      <c r="U55" s="83" t="s">
        <v>600</v>
      </c>
      <c r="W55" s="127">
        <v>42754</v>
      </c>
      <c r="X55" s="10">
        <v>74.06</v>
      </c>
      <c r="Y55" s="10">
        <v>74.84</v>
      </c>
      <c r="Z55" s="10">
        <v>73.260000000000005</v>
      </c>
      <c r="AA55" s="10">
        <v>74.02</v>
      </c>
      <c r="AB55" s="90">
        <v>2763300</v>
      </c>
      <c r="AC55" s="10">
        <v>74.02</v>
      </c>
      <c r="AD55" s="2">
        <f t="shared" si="0"/>
        <v>1.5799999999999983</v>
      </c>
      <c r="AE55" s="131">
        <f t="shared" si="1"/>
        <v>2.7027027027015649E-4</v>
      </c>
    </row>
    <row r="56" spans="2:31" x14ac:dyDescent="0.25">
      <c r="B56" s="161">
        <v>42585</v>
      </c>
      <c r="C56" s="10">
        <v>360</v>
      </c>
      <c r="D56" s="39">
        <v>43.573300000000003</v>
      </c>
      <c r="E56" s="39">
        <v>44.4</v>
      </c>
      <c r="F56" s="39">
        <f t="shared" si="5"/>
        <v>297.61199999999832</v>
      </c>
      <c r="G56" s="39">
        <f t="shared" si="6"/>
        <v>15686.388000000001</v>
      </c>
      <c r="H56" s="175">
        <f t="shared" si="7"/>
        <v>1.8972627733038244E-2</v>
      </c>
      <c r="I56" s="39"/>
      <c r="O56" s="78">
        <v>0.95</v>
      </c>
      <c r="P56" s="78">
        <f t="shared" si="8"/>
        <v>83.799499999999995</v>
      </c>
      <c r="T56" s="88" t="s">
        <v>110</v>
      </c>
      <c r="U56" s="83">
        <v>10.23</v>
      </c>
      <c r="W56" s="127">
        <v>42753</v>
      </c>
      <c r="X56" s="10">
        <v>73</v>
      </c>
      <c r="Y56" s="10">
        <v>74.930000000000007</v>
      </c>
      <c r="Z56" s="10">
        <v>72.41</v>
      </c>
      <c r="AA56" s="10">
        <v>74</v>
      </c>
      <c r="AB56" s="90">
        <v>4568900</v>
      </c>
      <c r="AC56" s="10">
        <v>74</v>
      </c>
      <c r="AD56" s="2">
        <f t="shared" si="0"/>
        <v>2.5200000000000102</v>
      </c>
      <c r="AE56" s="131">
        <f t="shared" si="1"/>
        <v>3.5259018171955869E-3</v>
      </c>
    </row>
    <row r="57" spans="2:31" x14ac:dyDescent="0.25">
      <c r="B57" s="161">
        <v>42587</v>
      </c>
      <c r="C57" s="7">
        <v>150</v>
      </c>
      <c r="D57" s="43">
        <v>37.965299999999999</v>
      </c>
      <c r="E57" s="39">
        <v>47.24</v>
      </c>
      <c r="F57" s="39">
        <f t="shared" si="5"/>
        <v>1391.2050000000004</v>
      </c>
      <c r="G57" s="39">
        <f t="shared" si="6"/>
        <v>5694.7950000000001</v>
      </c>
      <c r="H57" s="175">
        <f t="shared" si="7"/>
        <v>0.24429413174662135</v>
      </c>
      <c r="I57" s="39"/>
      <c r="O57" s="78">
        <v>0.94</v>
      </c>
      <c r="P57" s="78">
        <f t="shared" si="8"/>
        <v>82.917399999999986</v>
      </c>
      <c r="T57" s="88" t="s">
        <v>111</v>
      </c>
      <c r="U57" s="83">
        <v>6.85</v>
      </c>
      <c r="W57" s="127">
        <v>42752</v>
      </c>
      <c r="X57" s="10">
        <v>73.94</v>
      </c>
      <c r="Y57" s="10">
        <v>75.09</v>
      </c>
      <c r="Z57" s="10">
        <v>73.55</v>
      </c>
      <c r="AA57" s="10">
        <v>73.739999999999995</v>
      </c>
      <c r="AB57" s="90">
        <v>3109800</v>
      </c>
      <c r="AC57" s="10">
        <v>73.739999999999995</v>
      </c>
      <c r="AD57" s="2">
        <f t="shared" si="0"/>
        <v>1.5400000000000063</v>
      </c>
      <c r="AE57" s="131">
        <f t="shared" si="1"/>
        <v>-7.8040904198062311E-3</v>
      </c>
    </row>
    <row r="58" spans="2:31" x14ac:dyDescent="0.25">
      <c r="B58" s="161">
        <v>42598</v>
      </c>
      <c r="C58" s="10">
        <v>0</v>
      </c>
      <c r="D58" s="39"/>
      <c r="E58" s="39"/>
      <c r="F58" s="39">
        <v>1461.56</v>
      </c>
      <c r="G58" s="39"/>
      <c r="H58" s="175"/>
      <c r="I58" s="39"/>
      <c r="O58" s="78">
        <v>0.93</v>
      </c>
      <c r="P58" s="78">
        <f t="shared" si="8"/>
        <v>82.035299999999992</v>
      </c>
      <c r="T58" s="88" t="s">
        <v>108</v>
      </c>
      <c r="U58" s="83" t="s">
        <v>122</v>
      </c>
      <c r="W58" s="127">
        <v>42748</v>
      </c>
      <c r="X58" s="10">
        <v>74.03</v>
      </c>
      <c r="Y58" s="10">
        <v>74.75</v>
      </c>
      <c r="Z58" s="10">
        <v>73.89</v>
      </c>
      <c r="AA58" s="10">
        <v>74.319999999999993</v>
      </c>
      <c r="AB58" s="90">
        <v>2149500</v>
      </c>
      <c r="AC58" s="10">
        <v>74.319999999999993</v>
      </c>
      <c r="AD58" s="2">
        <f t="shared" si="0"/>
        <v>0.85999999999999943</v>
      </c>
      <c r="AE58" s="131">
        <f t="shared" si="1"/>
        <v>4.3243243243242802E-3</v>
      </c>
    </row>
    <row r="59" spans="2:31" x14ac:dyDescent="0.25">
      <c r="B59" s="161"/>
      <c r="C59" s="10"/>
      <c r="D59" s="39"/>
      <c r="E59" s="39"/>
      <c r="F59" s="39"/>
      <c r="G59" s="39"/>
      <c r="H59" s="175"/>
      <c r="I59" s="39"/>
      <c r="O59" s="78">
        <v>0.92</v>
      </c>
      <c r="P59" s="78">
        <f t="shared" si="8"/>
        <v>81.153199999999998</v>
      </c>
      <c r="W59" s="127">
        <v>42747</v>
      </c>
      <c r="X59" s="10">
        <v>74.64</v>
      </c>
      <c r="Y59" s="10">
        <v>75.64</v>
      </c>
      <c r="Z59" s="10">
        <v>72.900000000000006</v>
      </c>
      <c r="AA59" s="10">
        <v>74</v>
      </c>
      <c r="AB59" s="90">
        <v>4127800</v>
      </c>
      <c r="AC59" s="10">
        <v>74</v>
      </c>
      <c r="AD59" s="2">
        <f t="shared" si="0"/>
        <v>2.7399999999999949</v>
      </c>
      <c r="AE59" s="131">
        <f t="shared" si="1"/>
        <v>-1.3859275053304976E-2</v>
      </c>
    </row>
    <row r="60" spans="2:31" x14ac:dyDescent="0.25">
      <c r="B60" s="161"/>
      <c r="C60" s="10"/>
      <c r="D60" s="39"/>
      <c r="E60" s="39"/>
      <c r="F60" s="39"/>
      <c r="G60" s="39"/>
      <c r="H60" s="175"/>
      <c r="I60" s="39"/>
      <c r="O60" s="78">
        <v>0.91</v>
      </c>
      <c r="P60" s="78">
        <f t="shared" si="8"/>
        <v>80.271100000000004</v>
      </c>
      <c r="W60" s="127">
        <v>42746</v>
      </c>
      <c r="X60" s="10">
        <v>75.510000000000005</v>
      </c>
      <c r="Y60" s="10">
        <v>76.75</v>
      </c>
      <c r="Z60" s="10">
        <v>74.94</v>
      </c>
      <c r="AA60" s="10">
        <v>75.040000000000006</v>
      </c>
      <c r="AB60" s="90">
        <v>5180000</v>
      </c>
      <c r="AC60" s="10">
        <v>75.040000000000006</v>
      </c>
      <c r="AD60" s="2">
        <f t="shared" si="0"/>
        <v>1.8100000000000023</v>
      </c>
      <c r="AE60" s="131">
        <f t="shared" si="1"/>
        <v>1.873472712462676E-2</v>
      </c>
    </row>
    <row r="61" spans="2:31" x14ac:dyDescent="0.25">
      <c r="B61" s="161"/>
      <c r="C61" s="10"/>
      <c r="D61" s="39"/>
      <c r="E61" s="39"/>
      <c r="F61" s="39"/>
      <c r="G61" s="39"/>
      <c r="H61" s="175"/>
      <c r="I61" s="39"/>
      <c r="O61" s="78">
        <v>0.9</v>
      </c>
      <c r="P61" s="78">
        <f t="shared" si="8"/>
        <v>79.388999999999996</v>
      </c>
      <c r="W61" s="127">
        <v>42745</v>
      </c>
      <c r="X61" s="10">
        <v>71.47</v>
      </c>
      <c r="Y61" s="10">
        <v>74.34</v>
      </c>
      <c r="Z61" s="10">
        <v>71.44</v>
      </c>
      <c r="AA61" s="10">
        <v>73.66</v>
      </c>
      <c r="AB61" s="90">
        <v>3356900</v>
      </c>
      <c r="AC61" s="10">
        <v>73.66</v>
      </c>
      <c r="AD61" s="2">
        <f t="shared" si="0"/>
        <v>2.9000000000000057</v>
      </c>
      <c r="AE61" s="131">
        <f t="shared" si="1"/>
        <v>3.338945005611671E-2</v>
      </c>
    </row>
    <row r="62" spans="2:31" x14ac:dyDescent="0.25">
      <c r="B62" s="161"/>
      <c r="C62" s="10"/>
      <c r="D62" s="39"/>
      <c r="E62" s="39"/>
      <c r="F62" s="39"/>
      <c r="G62" s="39"/>
      <c r="H62" s="175"/>
      <c r="I62" s="39"/>
      <c r="W62" s="127">
        <v>42744</v>
      </c>
      <c r="X62" s="10">
        <v>71.06</v>
      </c>
      <c r="Y62" s="10">
        <v>72</v>
      </c>
      <c r="Z62" s="10">
        <v>70.88</v>
      </c>
      <c r="AA62" s="10">
        <v>71.28</v>
      </c>
      <c r="AB62" s="90">
        <v>1930800</v>
      </c>
      <c r="AC62" s="10">
        <v>71.28</v>
      </c>
      <c r="AD62" s="2">
        <f t="shared" si="0"/>
        <v>1.1200000000000045</v>
      </c>
      <c r="AE62" s="131">
        <f t="shared" si="1"/>
        <v>-1.2610340479193294E-3</v>
      </c>
    </row>
    <row r="63" spans="2:31" x14ac:dyDescent="0.25">
      <c r="W63" s="127">
        <v>42741</v>
      </c>
      <c r="X63" s="10">
        <v>70.98</v>
      </c>
      <c r="Y63" s="10">
        <v>71.89</v>
      </c>
      <c r="Z63" s="10">
        <v>69.75</v>
      </c>
      <c r="AA63" s="10">
        <v>71.37</v>
      </c>
      <c r="AB63" s="90">
        <v>3648100</v>
      </c>
      <c r="AC63" s="10">
        <v>71.37</v>
      </c>
      <c r="AD63" s="2">
        <f t="shared" si="0"/>
        <v>2.1400000000000006</v>
      </c>
      <c r="AE63" s="131">
        <f t="shared" si="1"/>
        <v>6.2032990272098409E-3</v>
      </c>
    </row>
    <row r="64" spans="2:31" x14ac:dyDescent="0.25">
      <c r="W64" s="127">
        <v>42740</v>
      </c>
      <c r="X64" s="10">
        <v>71.989999999999995</v>
      </c>
      <c r="Y64" s="10">
        <v>73</v>
      </c>
      <c r="Z64" s="10">
        <v>70.31</v>
      </c>
      <c r="AA64" s="10">
        <v>70.930000000000007</v>
      </c>
      <c r="AB64" s="90">
        <v>3577600</v>
      </c>
      <c r="AC64" s="10">
        <v>70.930000000000007</v>
      </c>
      <c r="AD64" s="2">
        <f t="shared" si="0"/>
        <v>2.6899999999999977</v>
      </c>
      <c r="AE64" s="131">
        <f t="shared" si="1"/>
        <v>-2.8622295261572006E-2</v>
      </c>
    </row>
    <row r="65" spans="1:31" x14ac:dyDescent="0.25">
      <c r="W65" s="127">
        <v>42739</v>
      </c>
      <c r="X65" s="10">
        <v>72.45</v>
      </c>
      <c r="Y65" s="10">
        <v>73.790000000000006</v>
      </c>
      <c r="Z65" s="10">
        <v>72.45</v>
      </c>
      <c r="AA65" s="10">
        <v>73.02</v>
      </c>
      <c r="AB65" s="90">
        <v>2196800</v>
      </c>
      <c r="AC65" s="10">
        <v>73.02</v>
      </c>
      <c r="AD65" s="2">
        <f t="shared" si="0"/>
        <v>1.3400000000000034</v>
      </c>
      <c r="AE65" s="131">
        <f t="shared" si="1"/>
        <v>4.2635125842387378E-3</v>
      </c>
    </row>
    <row r="66" spans="1:31" x14ac:dyDescent="0.25">
      <c r="W66" s="127">
        <v>42738</v>
      </c>
      <c r="X66" s="10">
        <v>74.02</v>
      </c>
      <c r="Y66" s="10">
        <v>74.02</v>
      </c>
      <c r="Z66" s="10">
        <v>72.150000000000006</v>
      </c>
      <c r="AA66" s="10">
        <v>72.709999999999994</v>
      </c>
      <c r="AB66" s="90">
        <v>2516000</v>
      </c>
      <c r="AC66" s="10">
        <v>72.709999999999994</v>
      </c>
      <c r="AD66" s="2">
        <f t="shared" si="0"/>
        <v>1.8699999999999903</v>
      </c>
      <c r="AE66" s="131">
        <f t="shared" si="1"/>
        <v>-2.3326015367728381E-3</v>
      </c>
    </row>
    <row r="67" spans="1:31" x14ac:dyDescent="0.25">
      <c r="W67" s="127">
        <v>42734</v>
      </c>
      <c r="X67" s="10">
        <v>73.430000000000007</v>
      </c>
      <c r="Y67" s="10">
        <v>73.430000000000007</v>
      </c>
      <c r="Z67" s="10">
        <v>72.37</v>
      </c>
      <c r="AA67" s="10">
        <v>72.88</v>
      </c>
      <c r="AB67" s="90">
        <v>1704600</v>
      </c>
      <c r="AC67" s="10">
        <v>72.88</v>
      </c>
      <c r="AD67" s="2">
        <f>Y67-Z67</f>
        <v>1.0600000000000023</v>
      </c>
      <c r="AE67" s="131" t="e">
        <f>AC67/#REF!-1</f>
        <v>#REF!</v>
      </c>
    </row>
    <row r="68" spans="1:31" x14ac:dyDescent="0.25">
      <c r="W68" s="127" t="s">
        <v>120</v>
      </c>
      <c r="X68" s="10"/>
      <c r="Y68" s="10"/>
      <c r="Z68" s="10"/>
      <c r="AA68" s="10"/>
      <c r="AB68" s="90"/>
      <c r="AC68" s="10"/>
      <c r="AD68" s="2" t="e">
        <f>#REF!-#REF!</f>
        <v>#REF!</v>
      </c>
      <c r="AE68" s="131" t="e">
        <f>#REF!/AC69-1</f>
        <v>#REF!</v>
      </c>
    </row>
    <row r="69" spans="1:31" x14ac:dyDescent="0.25">
      <c r="W69" s="127"/>
      <c r="X69" s="10"/>
      <c r="Y69" s="10"/>
      <c r="Z69" s="10"/>
      <c r="AA69" s="10"/>
      <c r="AB69" s="90"/>
      <c r="AC69" s="10"/>
      <c r="AD69" s="2">
        <f>Y69-Z69</f>
        <v>0</v>
      </c>
      <c r="AE69" s="131" t="e">
        <f>AC69/AC70-1</f>
        <v>#DIV/0!</v>
      </c>
    </row>
    <row r="75" spans="1:31" x14ac:dyDescent="0.25">
      <c r="L75" t="s">
        <v>65</v>
      </c>
      <c r="M75" s="2">
        <f>K93+M93-F93</f>
        <v>1461.5600000000013</v>
      </c>
    </row>
    <row r="76" spans="1:31" x14ac:dyDescent="0.25">
      <c r="A76" s="297" t="s">
        <v>1</v>
      </c>
      <c r="B76" s="297" t="s">
        <v>2</v>
      </c>
      <c r="C76" s="297" t="s">
        <v>4</v>
      </c>
      <c r="D76" s="299" t="s">
        <v>5</v>
      </c>
      <c r="E76" s="299" t="s">
        <v>94</v>
      </c>
      <c r="F76" s="299" t="s">
        <v>60</v>
      </c>
      <c r="G76" s="297" t="s">
        <v>3</v>
      </c>
      <c r="H76" s="297" t="s">
        <v>6</v>
      </c>
      <c r="I76" s="299" t="s">
        <v>7</v>
      </c>
      <c r="J76" s="299" t="s">
        <v>95</v>
      </c>
      <c r="K76" s="299" t="s">
        <v>61</v>
      </c>
      <c r="L76" s="297" t="s">
        <v>37</v>
      </c>
      <c r="M76" s="297" t="s">
        <v>38</v>
      </c>
    </row>
    <row r="77" spans="1:31" x14ac:dyDescent="0.25">
      <c r="A77" s="300" t="s">
        <v>13</v>
      </c>
      <c r="B77" s="290">
        <v>42485</v>
      </c>
      <c r="C77" s="291">
        <v>80</v>
      </c>
      <c r="D77" s="292">
        <v>49.5</v>
      </c>
      <c r="E77" s="292">
        <v>0</v>
      </c>
      <c r="F77" s="292">
        <f t="shared" ref="F77:F85" si="9">D77*C77+E77</f>
        <v>3960</v>
      </c>
      <c r="G77" s="291"/>
      <c r="H77" s="291"/>
      <c r="I77" s="292"/>
      <c r="J77" s="292"/>
      <c r="K77" s="292"/>
      <c r="L77" s="290"/>
      <c r="M77" s="291"/>
    </row>
    <row r="78" spans="1:31" x14ac:dyDescent="0.25">
      <c r="A78" s="301" t="s">
        <v>71</v>
      </c>
      <c r="B78" s="290">
        <v>42489</v>
      </c>
      <c r="C78" s="291">
        <v>20</v>
      </c>
      <c r="D78" s="292">
        <v>46.95</v>
      </c>
      <c r="E78" s="292">
        <v>0</v>
      </c>
      <c r="F78" s="292">
        <f t="shared" si="9"/>
        <v>939</v>
      </c>
      <c r="G78" s="291"/>
      <c r="H78" s="292"/>
      <c r="I78" s="292"/>
      <c r="J78" s="292"/>
      <c r="K78" s="292"/>
      <c r="L78" s="291"/>
      <c r="M78" s="291"/>
    </row>
    <row r="79" spans="1:31" x14ac:dyDescent="0.25">
      <c r="A79" s="291"/>
      <c r="B79" s="290">
        <v>42489</v>
      </c>
      <c r="C79" s="291">
        <v>50</v>
      </c>
      <c r="D79" s="292">
        <v>45.91</v>
      </c>
      <c r="E79" s="292">
        <v>0</v>
      </c>
      <c r="F79" s="292">
        <f t="shared" si="9"/>
        <v>2295.5</v>
      </c>
      <c r="G79" s="291"/>
      <c r="H79" s="291"/>
      <c r="I79" s="292"/>
      <c r="J79" s="292"/>
      <c r="K79" s="292"/>
      <c r="L79" s="291"/>
      <c r="M79" s="291"/>
    </row>
    <row r="80" spans="1:31" x14ac:dyDescent="0.25">
      <c r="A80" s="291"/>
      <c r="B80" s="290">
        <v>42495</v>
      </c>
      <c r="C80" s="291">
        <v>25</v>
      </c>
      <c r="D80" s="292">
        <v>45</v>
      </c>
      <c r="E80" s="292">
        <v>0</v>
      </c>
      <c r="F80" s="292">
        <f t="shared" si="9"/>
        <v>1125</v>
      </c>
      <c r="G80" s="290">
        <v>42557</v>
      </c>
      <c r="H80" s="291">
        <v>150</v>
      </c>
      <c r="I80" s="292">
        <v>39.28</v>
      </c>
      <c r="J80" s="292">
        <v>0.13</v>
      </c>
      <c r="K80" s="292">
        <f t="shared" ref="K80:K85" si="10">I80*H80-J80</f>
        <v>5891.87</v>
      </c>
      <c r="L80" s="291"/>
      <c r="M80" s="291"/>
    </row>
    <row r="81" spans="1:13" x14ac:dyDescent="0.25">
      <c r="A81" s="291"/>
      <c r="B81" s="290">
        <v>42502</v>
      </c>
      <c r="C81" s="291">
        <v>25</v>
      </c>
      <c r="D81" s="292">
        <v>44.09</v>
      </c>
      <c r="E81" s="292">
        <v>0</v>
      </c>
      <c r="F81" s="292">
        <f t="shared" si="9"/>
        <v>1102.25</v>
      </c>
      <c r="G81" s="290">
        <v>42562</v>
      </c>
      <c r="H81" s="291">
        <v>50</v>
      </c>
      <c r="I81" s="292">
        <v>42.68</v>
      </c>
      <c r="J81" s="292">
        <v>0.05</v>
      </c>
      <c r="K81" s="292">
        <f t="shared" si="10"/>
        <v>2133.9499999999998</v>
      </c>
      <c r="L81" s="291"/>
      <c r="M81" s="291"/>
    </row>
    <row r="82" spans="1:13" x14ac:dyDescent="0.25">
      <c r="A82" s="291"/>
      <c r="B82" s="290">
        <v>42535</v>
      </c>
      <c r="C82" s="291">
        <v>40</v>
      </c>
      <c r="D82" s="292">
        <v>43.19</v>
      </c>
      <c r="E82" s="292">
        <v>0</v>
      </c>
      <c r="F82" s="292">
        <f t="shared" si="9"/>
        <v>1727.6</v>
      </c>
      <c r="G82" s="290">
        <v>42566</v>
      </c>
      <c r="H82" s="291">
        <v>40</v>
      </c>
      <c r="I82" s="292">
        <v>47.51</v>
      </c>
      <c r="J82" s="292">
        <v>0.04</v>
      </c>
      <c r="K82" s="292">
        <f t="shared" si="10"/>
        <v>1900.36</v>
      </c>
      <c r="L82" s="291"/>
      <c r="M82" s="291"/>
    </row>
    <row r="83" spans="1:13" x14ac:dyDescent="0.25">
      <c r="A83" s="291"/>
      <c r="B83" s="290">
        <v>42545</v>
      </c>
      <c r="C83" s="291">
        <v>100</v>
      </c>
      <c r="D83" s="292">
        <v>42.28</v>
      </c>
      <c r="E83" s="292">
        <v>0</v>
      </c>
      <c r="F83" s="292">
        <f t="shared" si="9"/>
        <v>4228</v>
      </c>
      <c r="G83" s="290">
        <v>42587</v>
      </c>
      <c r="H83" s="291">
        <v>210</v>
      </c>
      <c r="I83" s="292">
        <v>47.58</v>
      </c>
      <c r="J83" s="292">
        <v>0.22</v>
      </c>
      <c r="K83" s="292">
        <f t="shared" si="10"/>
        <v>9991.58</v>
      </c>
      <c r="L83" s="291"/>
      <c r="M83" s="291"/>
    </row>
    <row r="84" spans="1:13" x14ac:dyDescent="0.25">
      <c r="A84" s="291"/>
      <c r="B84" s="290">
        <v>42545</v>
      </c>
      <c r="C84" s="291">
        <v>110</v>
      </c>
      <c r="D84" s="292">
        <v>41.12</v>
      </c>
      <c r="E84" s="292">
        <v>0</v>
      </c>
      <c r="F84" s="292">
        <f t="shared" si="9"/>
        <v>4523.2</v>
      </c>
      <c r="G84" s="290">
        <v>42593</v>
      </c>
      <c r="H84" s="291">
        <v>50</v>
      </c>
      <c r="I84" s="292">
        <v>47.35</v>
      </c>
      <c r="J84" s="292">
        <v>0.05</v>
      </c>
      <c r="K84" s="292">
        <f t="shared" si="10"/>
        <v>2367.4499999999998</v>
      </c>
      <c r="L84" s="291"/>
      <c r="M84" s="291"/>
    </row>
    <row r="85" spans="1:13" x14ac:dyDescent="0.25">
      <c r="A85" s="291"/>
      <c r="B85" s="290">
        <v>42557</v>
      </c>
      <c r="C85" s="291">
        <v>150</v>
      </c>
      <c r="D85" s="292">
        <v>38.08</v>
      </c>
      <c r="E85" s="292">
        <v>0</v>
      </c>
      <c r="F85" s="292">
        <f t="shared" si="9"/>
        <v>5712</v>
      </c>
      <c r="G85" s="290">
        <v>42597</v>
      </c>
      <c r="H85" s="291">
        <v>100</v>
      </c>
      <c r="I85" s="292">
        <v>47.89</v>
      </c>
      <c r="J85" s="292">
        <v>0.1</v>
      </c>
      <c r="K85" s="292">
        <f t="shared" si="10"/>
        <v>4788.8999999999996</v>
      </c>
      <c r="L85" s="291"/>
      <c r="M85" s="291"/>
    </row>
    <row r="86" spans="1:13" x14ac:dyDescent="0.25">
      <c r="A86" s="291"/>
      <c r="B86" s="290"/>
      <c r="C86" s="291"/>
      <c r="D86" s="292"/>
      <c r="E86" s="292"/>
      <c r="F86" s="292"/>
      <c r="G86" s="291"/>
      <c r="H86" s="291"/>
      <c r="I86" s="292"/>
      <c r="J86" s="292"/>
      <c r="K86" s="292"/>
      <c r="L86" s="291"/>
      <c r="M86" s="291"/>
    </row>
    <row r="87" spans="1:13" x14ac:dyDescent="0.25">
      <c r="A87" s="291"/>
      <c r="B87" s="291"/>
      <c r="C87" s="291"/>
      <c r="D87" s="292"/>
      <c r="E87" s="292"/>
      <c r="F87" s="292"/>
      <c r="G87" s="291"/>
      <c r="H87" s="291"/>
      <c r="I87" s="292"/>
      <c r="J87" s="292"/>
      <c r="K87" s="292"/>
      <c r="L87" s="291"/>
      <c r="M87" s="291"/>
    </row>
    <row r="88" spans="1:13" x14ac:dyDescent="0.25">
      <c r="A88" s="291"/>
      <c r="B88" s="291"/>
      <c r="C88" s="291"/>
      <c r="D88" s="292"/>
      <c r="E88" s="292"/>
      <c r="F88" s="292"/>
      <c r="G88" s="291"/>
      <c r="H88" s="291"/>
      <c r="I88" s="292"/>
      <c r="J88" s="292"/>
      <c r="K88" s="292"/>
      <c r="L88" s="291"/>
      <c r="M88" s="291"/>
    </row>
    <row r="89" spans="1:13" x14ac:dyDescent="0.25">
      <c r="A89" s="291"/>
      <c r="B89" s="291"/>
      <c r="C89" s="291"/>
      <c r="D89" s="292"/>
      <c r="E89" s="292"/>
      <c r="F89" s="292"/>
      <c r="G89" s="291"/>
      <c r="H89" s="291"/>
      <c r="I89" s="292"/>
      <c r="J89" s="292"/>
      <c r="K89" s="292"/>
      <c r="L89" s="291"/>
      <c r="M89" s="291"/>
    </row>
    <row r="90" spans="1:13" x14ac:dyDescent="0.25">
      <c r="A90" s="291"/>
      <c r="B90" s="291"/>
      <c r="C90" s="291"/>
      <c r="D90" s="292"/>
      <c r="E90" s="292"/>
      <c r="F90" s="292"/>
      <c r="G90" s="291"/>
      <c r="H90" s="291"/>
      <c r="I90" s="292"/>
      <c r="J90" s="292"/>
      <c r="K90" s="292"/>
      <c r="L90" s="291"/>
      <c r="M90" s="291"/>
    </row>
    <row r="91" spans="1:13" x14ac:dyDescent="0.25">
      <c r="A91" s="291"/>
      <c r="B91" s="291"/>
      <c r="C91" s="291"/>
      <c r="D91" s="292"/>
      <c r="E91" s="292"/>
      <c r="F91" s="292"/>
      <c r="G91" s="291"/>
      <c r="H91" s="291"/>
      <c r="I91" s="292"/>
      <c r="J91" s="292"/>
      <c r="K91" s="292"/>
      <c r="L91" s="291"/>
      <c r="M91" s="291"/>
    </row>
    <row r="92" spans="1:13" x14ac:dyDescent="0.25">
      <c r="A92" s="291"/>
      <c r="B92" s="291"/>
      <c r="C92" s="291"/>
      <c r="D92" s="292"/>
      <c r="E92" s="292"/>
      <c r="F92" s="292"/>
      <c r="G92" s="291"/>
      <c r="H92" s="291"/>
      <c r="I92" s="292"/>
      <c r="J92" s="292"/>
      <c r="K92" s="292"/>
      <c r="L92" s="291"/>
      <c r="M92" s="291"/>
    </row>
    <row r="93" spans="1:13" x14ac:dyDescent="0.25">
      <c r="A93" s="21" t="s">
        <v>81</v>
      </c>
      <c r="B93" s="12"/>
      <c r="C93" s="12">
        <f>SUM(C77:C86)</f>
        <v>600</v>
      </c>
      <c r="D93" s="13"/>
      <c r="E93" s="13"/>
      <c r="F93" s="13">
        <f>SUM(F77:F85)</f>
        <v>25612.55</v>
      </c>
      <c r="G93" s="12"/>
      <c r="H93" s="12">
        <f>SUM(H77:H92)</f>
        <v>600</v>
      </c>
      <c r="I93" s="13"/>
      <c r="J93" s="13"/>
      <c r="K93" s="13">
        <f>SUM(K77:K92)</f>
        <v>27074.11</v>
      </c>
      <c r="L93" s="12"/>
      <c r="M93" s="13">
        <f>SUM(M77:M92)</f>
        <v>0</v>
      </c>
    </row>
    <row r="94" spans="1:13" ht="15.75" thickBot="1" x14ac:dyDescent="0.3">
      <c r="A94" s="370" t="s">
        <v>189</v>
      </c>
      <c r="B94" s="371"/>
      <c r="C94" s="372">
        <f>SumByColor($A$19,C77:C92)</f>
        <v>0</v>
      </c>
      <c r="D94" s="372"/>
      <c r="E94" s="372"/>
      <c r="F94" s="373">
        <f>SumByColor($A$19,F77:F92)</f>
        <v>0</v>
      </c>
      <c r="G94" s="372"/>
      <c r="H94" s="372">
        <f>SumByColor($A$19,H78:H92)</f>
        <v>0</v>
      </c>
      <c r="I94" s="372"/>
      <c r="J94" s="372"/>
      <c r="K94" s="373">
        <f>SumByColor($A$19,K78:K92)</f>
        <v>0</v>
      </c>
      <c r="L94" s="372"/>
      <c r="M94" s="373">
        <f>SumByColor($A$19,M77:M92)</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{E8628F4F-C9C3-419E-81A2-BCF94C0AE096}</x14:id>
        </ext>
      </extLst>
    </cfRule>
  </conditionalFormatting>
  <conditionalFormatting sqref="AE1:AE69">
    <cfRule type="iconSet" priority="17">
      <iconSet iconSet="3Arrows">
        <cfvo type="percent" val="0"/>
        <cfvo type="num" val="0"/>
        <cfvo type="num" val="0"/>
      </iconSet>
    </cfRule>
  </conditionalFormatting>
  <conditionalFormatting sqref="F29:F33">
    <cfRule type="expression" dxfId="809" priority="15">
      <formula>F29&gt;0</formula>
    </cfRule>
    <cfRule type="expression" dxfId="808" priority="16">
      <formula>F29&lt;0</formula>
    </cfRule>
  </conditionalFormatting>
  <conditionalFormatting sqref="F34:F62">
    <cfRule type="expression" dxfId="807" priority="11">
      <formula>F34&gt;0</formula>
    </cfRule>
    <cfRule type="expression" dxfId="806" priority="12">
      <formula>F34&lt;0</formula>
    </cfRule>
  </conditionalFormatting>
  <conditionalFormatting sqref="F34:F62">
    <cfRule type="expression" dxfId="805" priority="13">
      <formula>F34&gt;0</formula>
    </cfRule>
    <cfRule type="expression" dxfId="804" priority="14">
      <formula>F34&lt;0</formula>
    </cfRule>
  </conditionalFormatting>
  <conditionalFormatting sqref="H29:H62">
    <cfRule type="expression" dxfId="803" priority="9">
      <formula>H29&gt;0</formula>
    </cfRule>
    <cfRule type="expression" dxfId="802" priority="10">
      <formula>H29&lt;0</formula>
    </cfRule>
  </conditionalFormatting>
  <conditionalFormatting sqref="F25:F28">
    <cfRule type="expression" dxfId="801" priority="7">
      <formula>F25&gt;0</formula>
    </cfRule>
    <cfRule type="expression" dxfId="800" priority="8">
      <formula>F25&lt;0</formula>
    </cfRule>
  </conditionalFormatting>
  <conditionalFormatting sqref="H25:H28">
    <cfRule type="expression" dxfId="799" priority="5">
      <formula>H25&gt;0</formula>
    </cfRule>
    <cfRule type="expression" dxfId="798" priority="6">
      <formula>H25&lt;0</formula>
    </cfRule>
  </conditionalFormatting>
  <conditionalFormatting sqref="Q7">
    <cfRule type="expression" dxfId="797" priority="3">
      <formula>Q7&gt;0</formula>
    </cfRule>
    <cfRule type="expression" dxfId="796" priority="4">
      <formula>Q7&lt;0</formula>
    </cfRule>
  </conditionalFormatting>
  <conditionalFormatting sqref="Q8">
    <cfRule type="expression" dxfId="795" priority="1">
      <formula>Q8&gt;0</formula>
    </cfRule>
    <cfRule type="expression" dxfId="794" priority="2">
      <formula>Q8&lt;0</formula>
    </cfRule>
  </conditionalFormatting>
  <hyperlinks>
    <hyperlink ref="A3" location="ACTIVE!A1" display="Back"/>
    <hyperlink ref="A78"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E8628F4F-C9C3-419E-81A2-BCF94C0AE09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U134"/>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4.28515625" style="2" bestFit="1" customWidth="1"/>
    <col min="10" max="11" width="9.140625" style="2"/>
    <col min="12" max="12" width="13.5703125" bestFit="1" customWidth="1"/>
    <col min="17" max="17" width="12" bestFit="1" customWidth="1"/>
    <col min="18" max="18" width="10.7109375" bestFit="1" customWidth="1"/>
    <col min="20" max="20" width="12.7109375" style="741" bestFit="1" customWidth="1"/>
    <col min="21" max="21" width="72.710937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79" t="s">
        <v>70</v>
      </c>
    </row>
    <row r="2" spans="1:21" x14ac:dyDescent="0.25">
      <c r="A2" s="6" t="s">
        <v>52</v>
      </c>
      <c r="B2" s="360">
        <v>43298</v>
      </c>
      <c r="C2" s="7">
        <v>100</v>
      </c>
      <c r="D2" s="43">
        <v>50.1</v>
      </c>
      <c r="E2" s="43">
        <v>0</v>
      </c>
      <c r="F2" s="43">
        <f t="shared" ref="F2:F7" si="0">C2*D2+E2</f>
        <v>5010</v>
      </c>
      <c r="G2" s="360">
        <v>43311</v>
      </c>
      <c r="H2" s="7">
        <v>100</v>
      </c>
      <c r="I2" s="43">
        <v>50.09</v>
      </c>
      <c r="J2" s="43">
        <v>7.0000000000000007E-2</v>
      </c>
      <c r="K2" s="43">
        <f>H2*I2-J2</f>
        <v>5008.93</v>
      </c>
      <c r="L2" s="69">
        <v>43388</v>
      </c>
      <c r="M2" s="43">
        <v>71.45</v>
      </c>
      <c r="O2" s="11" t="s">
        <v>57</v>
      </c>
      <c r="Q2">
        <f>C18-H18</f>
        <v>0</v>
      </c>
      <c r="T2" s="80" t="s">
        <v>1066</v>
      </c>
      <c r="U2" s="741" t="s">
        <v>1180</v>
      </c>
    </row>
    <row r="3" spans="1:21" x14ac:dyDescent="0.25">
      <c r="A3" s="22" t="s">
        <v>71</v>
      </c>
      <c r="B3" s="360">
        <v>43298</v>
      </c>
      <c r="C3" s="7">
        <v>100</v>
      </c>
      <c r="D3" s="43">
        <v>50.1</v>
      </c>
      <c r="E3" s="43">
        <v>0</v>
      </c>
      <c r="F3" s="43">
        <f t="shared" si="0"/>
        <v>5010</v>
      </c>
      <c r="G3" s="360">
        <v>43326</v>
      </c>
      <c r="H3" s="77">
        <v>100</v>
      </c>
      <c r="I3" s="43">
        <v>50.05</v>
      </c>
      <c r="J3" s="43">
        <v>7.0000000000000007E-2</v>
      </c>
      <c r="K3" s="43">
        <f>H3*I3-J3</f>
        <v>5004.93</v>
      </c>
      <c r="L3" s="69">
        <v>43481</v>
      </c>
      <c r="M3" s="43">
        <v>47.63</v>
      </c>
      <c r="O3" s="11" t="s">
        <v>58</v>
      </c>
      <c r="Q3" s="174">
        <f>IF(Q2=0, Q4, (F18-K18-M18)/Q2)</f>
        <v>47.17</v>
      </c>
      <c r="T3" s="80" t="s">
        <v>1179</v>
      </c>
      <c r="U3" s="741">
        <v>16.27</v>
      </c>
    </row>
    <row r="4" spans="1:21" x14ac:dyDescent="0.25">
      <c r="B4" s="360">
        <v>43300</v>
      </c>
      <c r="C4" s="7">
        <v>50</v>
      </c>
      <c r="D4" s="43">
        <v>48.28</v>
      </c>
      <c r="E4" s="43">
        <v>0</v>
      </c>
      <c r="F4" s="43">
        <f t="shared" si="0"/>
        <v>2414</v>
      </c>
      <c r="G4" s="360">
        <v>43339</v>
      </c>
      <c r="H4" s="77">
        <v>50</v>
      </c>
      <c r="I4" s="43">
        <v>52.78</v>
      </c>
      <c r="J4" s="43">
        <v>0.03</v>
      </c>
      <c r="K4" s="43">
        <f>H4*I4-J4</f>
        <v>2638.97</v>
      </c>
      <c r="L4" s="4"/>
      <c r="M4" s="4"/>
      <c r="O4" s="11" t="s">
        <v>66</v>
      </c>
      <c r="Q4" s="53">
        <v>47.17</v>
      </c>
      <c r="R4" s="413">
        <v>2.3599999999999999E-2</v>
      </c>
      <c r="T4" s="115"/>
      <c r="U4" s="80"/>
    </row>
    <row r="5" spans="1:21" x14ac:dyDescent="0.25">
      <c r="B5" s="360">
        <v>43320</v>
      </c>
      <c r="C5" s="7">
        <v>100</v>
      </c>
      <c r="D5" s="43">
        <v>48.9</v>
      </c>
      <c r="E5" s="43">
        <v>0</v>
      </c>
      <c r="F5" s="43">
        <f t="shared" si="0"/>
        <v>4890</v>
      </c>
      <c r="G5" s="360">
        <v>43418</v>
      </c>
      <c r="H5" s="77">
        <v>150</v>
      </c>
      <c r="I5" s="43">
        <v>58.15</v>
      </c>
      <c r="J5" s="43">
        <v>0.11</v>
      </c>
      <c r="K5" s="43">
        <f>H5*I5-J5</f>
        <v>8722.39</v>
      </c>
      <c r="L5" s="4"/>
      <c r="M5" s="4"/>
      <c r="O5" s="11" t="s">
        <v>67</v>
      </c>
      <c r="Q5" s="3">
        <f>Q4*Q2</f>
        <v>0</v>
      </c>
      <c r="T5" s="80">
        <v>43307</v>
      </c>
      <c r="U5" s="741" t="s">
        <v>1138</v>
      </c>
    </row>
    <row r="6" spans="1:21" x14ac:dyDescent="0.25">
      <c r="B6" s="360">
        <v>43347</v>
      </c>
      <c r="C6" s="7">
        <v>50</v>
      </c>
      <c r="D6" s="43">
        <v>51.28</v>
      </c>
      <c r="E6" s="43">
        <v>0</v>
      </c>
      <c r="F6" s="43">
        <f t="shared" si="0"/>
        <v>2564</v>
      </c>
      <c r="G6" s="360">
        <v>43515</v>
      </c>
      <c r="H6" s="77">
        <v>100</v>
      </c>
      <c r="I6" s="43">
        <v>56.18</v>
      </c>
      <c r="J6" s="43">
        <v>7.0000000000000007E-2</v>
      </c>
      <c r="K6" s="43">
        <f>H6*I6-J6</f>
        <v>5617.93</v>
      </c>
      <c r="L6" s="4"/>
      <c r="M6" s="4"/>
      <c r="O6" s="11" t="s">
        <v>64</v>
      </c>
      <c r="Q6" s="2">
        <f>Q3*Q2</f>
        <v>0</v>
      </c>
      <c r="U6" s="741"/>
    </row>
    <row r="7" spans="1:21" x14ac:dyDescent="0.25">
      <c r="B7" s="360">
        <v>43424</v>
      </c>
      <c r="C7" s="7">
        <v>100</v>
      </c>
      <c r="D7" s="43">
        <v>54</v>
      </c>
      <c r="E7" s="43">
        <v>0</v>
      </c>
      <c r="F7" s="43">
        <f t="shared" si="0"/>
        <v>5400</v>
      </c>
      <c r="G7" s="4"/>
      <c r="H7" s="158"/>
      <c r="I7" s="3"/>
      <c r="J7" s="3"/>
      <c r="K7" s="3"/>
      <c r="L7" s="4"/>
      <c r="M7" s="4"/>
      <c r="O7" s="11" t="s">
        <v>175</v>
      </c>
      <c r="Q7" s="2">
        <f>Q10+Q8</f>
        <v>2880.9700000000012</v>
      </c>
      <c r="R7">
        <v>0</v>
      </c>
      <c r="U7" s="741"/>
    </row>
    <row r="8" spans="1:21" x14ac:dyDescent="0.25">
      <c r="B8" s="69"/>
      <c r="C8" s="4"/>
      <c r="D8" s="3"/>
      <c r="E8" s="3"/>
      <c r="F8" s="3"/>
      <c r="G8" s="4"/>
      <c r="H8" s="158"/>
      <c r="I8" s="3"/>
      <c r="J8" s="3"/>
      <c r="K8" s="3"/>
      <c r="L8" s="4"/>
      <c r="M8" s="4"/>
      <c r="O8" s="11" t="s">
        <v>177</v>
      </c>
      <c r="P8" s="33"/>
      <c r="Q8" s="2">
        <f>K18+M18-F18+Q2*Q4</f>
        <v>1824.2300000000032</v>
      </c>
      <c r="T8" s="80">
        <v>43314</v>
      </c>
      <c r="U8" s="741" t="s">
        <v>1139</v>
      </c>
    </row>
    <row r="9" spans="1:21" x14ac:dyDescent="0.25">
      <c r="G9" s="4"/>
      <c r="H9" s="158"/>
      <c r="I9" s="3"/>
      <c r="J9" s="3"/>
      <c r="K9" s="3"/>
      <c r="L9" s="4"/>
      <c r="M9" s="4"/>
      <c r="O9" s="11" t="s">
        <v>202</v>
      </c>
      <c r="Q9" s="131">
        <f>IF(Q2=0, 0, Q8/Q6)</f>
        <v>0</v>
      </c>
      <c r="U9" s="741"/>
    </row>
    <row r="10" spans="1:21" x14ac:dyDescent="0.25">
      <c r="H10" s="67"/>
      <c r="O10" s="11" t="s">
        <v>201</v>
      </c>
      <c r="P10" s="33"/>
      <c r="Q10" s="2">
        <f>M67</f>
        <v>1056.739999999998</v>
      </c>
      <c r="U10" s="741"/>
    </row>
    <row r="11" spans="1:21" x14ac:dyDescent="0.25">
      <c r="H11" s="67"/>
      <c r="O11" s="11" t="s">
        <v>173</v>
      </c>
      <c r="P11" s="33"/>
      <c r="Q11" s="131">
        <f>R11/Q4*4</f>
        <v>4.0364638541445834E-2</v>
      </c>
      <c r="R11">
        <v>0.47599999999999998</v>
      </c>
      <c r="T11" s="80">
        <v>43318</v>
      </c>
      <c r="U11" s="741" t="s">
        <v>1140</v>
      </c>
    </row>
    <row r="12" spans="1:21" x14ac:dyDescent="0.25">
      <c r="H12" s="67"/>
      <c r="O12" s="11" t="s">
        <v>875</v>
      </c>
      <c r="Q12" s="1" t="s">
        <v>1322</v>
      </c>
      <c r="U12" s="741" t="s">
        <v>1158</v>
      </c>
    </row>
    <row r="13" spans="1:21" x14ac:dyDescent="0.25">
      <c r="H13" s="67"/>
      <c r="O13" s="11" t="s">
        <v>901</v>
      </c>
      <c r="Q13" s="2">
        <f>Q4/(4.85+4.95)*2</f>
        <v>9.6265306122448973</v>
      </c>
      <c r="U13" s="741" t="s">
        <v>1159</v>
      </c>
    </row>
    <row r="14" spans="1:21" x14ac:dyDescent="0.25">
      <c r="H14" s="67"/>
      <c r="O14" s="11" t="s">
        <v>988</v>
      </c>
      <c r="Q14" s="1">
        <v>43323</v>
      </c>
      <c r="U14" s="741"/>
    </row>
    <row r="15" spans="1:21" x14ac:dyDescent="0.25">
      <c r="H15" s="67"/>
      <c r="U15" s="741"/>
    </row>
    <row r="16" spans="1:21" x14ac:dyDescent="0.25">
      <c r="H16" s="67"/>
      <c r="U16" s="741"/>
    </row>
    <row r="17" spans="1:21" x14ac:dyDescent="0.25">
      <c r="H17" s="67"/>
      <c r="U17" s="741"/>
    </row>
    <row r="18" spans="1:21" x14ac:dyDescent="0.25">
      <c r="A18" s="31" t="s">
        <v>81</v>
      </c>
      <c r="B18" s="14"/>
      <c r="C18" s="14">
        <f>SUM(C2:C8)</f>
        <v>500</v>
      </c>
      <c r="D18" s="18"/>
      <c r="E18" s="18"/>
      <c r="F18" s="18">
        <f>SUM(F2:F8)</f>
        <v>25288</v>
      </c>
      <c r="G18" s="14"/>
      <c r="H18" s="68">
        <f>SUM(H2:H17)</f>
        <v>500</v>
      </c>
      <c r="I18" s="18"/>
      <c r="J18" s="18"/>
      <c r="K18" s="18">
        <f>SUM(K2:K17)</f>
        <v>26993.15</v>
      </c>
      <c r="L18" s="14"/>
      <c r="M18" s="18">
        <f>SUM(M2:M10)</f>
        <v>119.08000000000001</v>
      </c>
    </row>
    <row r="19" spans="1:21" ht="15.75" thickBot="1" x14ac:dyDescent="0.3">
      <c r="A19" s="273" t="s">
        <v>189</v>
      </c>
      <c r="B19" s="274"/>
      <c r="C19" s="275">
        <f>SumByColor($A$19,C2:C17)</f>
        <v>500</v>
      </c>
      <c r="D19" s="275"/>
      <c r="E19" s="275"/>
      <c r="F19" s="276">
        <f>SumByColor($A$19,F2:F17)</f>
        <v>25288</v>
      </c>
      <c r="G19" s="275"/>
      <c r="H19" s="275">
        <f>SumByColor($A$19,H2:H17)</f>
        <v>500</v>
      </c>
      <c r="I19" s="275"/>
      <c r="J19" s="275"/>
      <c r="K19" s="276">
        <f>SumByColor($A$19,K2:K17)</f>
        <v>26993</v>
      </c>
      <c r="L19" s="275"/>
      <c r="M19" s="276">
        <f>SumByColor($A$19,M2:M17)</f>
        <v>119</v>
      </c>
    </row>
    <row r="24" spans="1:21" x14ac:dyDescent="0.25">
      <c r="B24" s="159" t="s">
        <v>113</v>
      </c>
      <c r="C24" s="159" t="s">
        <v>143</v>
      </c>
      <c r="D24" s="160" t="s">
        <v>142</v>
      </c>
      <c r="E24" s="162" t="s">
        <v>144</v>
      </c>
      <c r="F24" s="162" t="s">
        <v>65</v>
      </c>
      <c r="G24" s="173" t="s">
        <v>148</v>
      </c>
      <c r="H24" s="173" t="s">
        <v>88</v>
      </c>
      <c r="I24" s="173" t="s">
        <v>151</v>
      </c>
      <c r="J24" s="173" t="s">
        <v>147</v>
      </c>
      <c r="K24" s="173" t="s">
        <v>901</v>
      </c>
      <c r="L24" s="173" t="s">
        <v>452</v>
      </c>
    </row>
    <row r="25" spans="1:21" x14ac:dyDescent="0.25">
      <c r="A25" s="4"/>
      <c r="B25" s="161">
        <v>43298</v>
      </c>
      <c r="C25" s="10">
        <v>200</v>
      </c>
      <c r="D25" s="39">
        <v>50.1</v>
      </c>
      <c r="E25" s="39">
        <v>50.1</v>
      </c>
      <c r="F25" s="39">
        <f t="shared" ref="F25:F31" si="1">C25*(E25-D25)</f>
        <v>0</v>
      </c>
      <c r="G25" s="39">
        <f t="shared" ref="G25:G31" si="2">D25*C25</f>
        <v>10020</v>
      </c>
      <c r="H25" s="175">
        <f t="shared" ref="H25:H31" si="3">(E25-D25)/D25</f>
        <v>0</v>
      </c>
      <c r="I25" s="39"/>
      <c r="J25" s="39">
        <f t="shared" ref="J25:J34" si="4">F25+$Q$10</f>
        <v>1056.739999999998</v>
      </c>
      <c r="K25" s="39"/>
      <c r="L25" s="39"/>
    </row>
    <row r="26" spans="1:21" ht="20.25" thickBot="1" x14ac:dyDescent="0.35">
      <c r="A26" s="4"/>
      <c r="B26" s="161">
        <v>43300</v>
      </c>
      <c r="C26" s="10">
        <v>250</v>
      </c>
      <c r="D26" s="39">
        <v>49.735999999999997</v>
      </c>
      <c r="E26" s="39">
        <v>49</v>
      </c>
      <c r="F26" s="39">
        <f t="shared" si="1"/>
        <v>-183.99999999999926</v>
      </c>
      <c r="G26" s="39">
        <f t="shared" si="2"/>
        <v>12434</v>
      </c>
      <c r="H26" s="175">
        <f t="shared" si="3"/>
        <v>-1.4798134148302982E-2</v>
      </c>
      <c r="I26" s="39"/>
      <c r="J26" s="39">
        <f t="shared" si="4"/>
        <v>872.73999999999864</v>
      </c>
      <c r="K26" s="39">
        <v>10</v>
      </c>
      <c r="L26" s="39"/>
      <c r="O26" s="750" t="s">
        <v>78</v>
      </c>
      <c r="P26" s="750"/>
    </row>
    <row r="27" spans="1:21" ht="15.75" thickTop="1" x14ac:dyDescent="0.25">
      <c r="A27" s="4"/>
      <c r="B27" s="161">
        <v>43303</v>
      </c>
      <c r="C27" s="7">
        <v>250</v>
      </c>
      <c r="D27" s="43">
        <v>49.735999999999997</v>
      </c>
      <c r="E27" s="39">
        <v>48.8</v>
      </c>
      <c r="F27" s="39">
        <f t="shared" si="1"/>
        <v>-234</v>
      </c>
      <c r="G27" s="39">
        <f t="shared" si="2"/>
        <v>12434</v>
      </c>
      <c r="H27" s="175">
        <f t="shared" si="3"/>
        <v>-1.881936625382017E-2</v>
      </c>
      <c r="I27" s="39"/>
      <c r="J27" s="39">
        <f t="shared" si="4"/>
        <v>822.73999999999796</v>
      </c>
      <c r="K27" s="39">
        <v>9.9589999999999996</v>
      </c>
      <c r="L27" s="39"/>
      <c r="O27" s="78">
        <v>1.1000000000000001</v>
      </c>
      <c r="P27" s="78">
        <f>O27*$Q$4</f>
        <v>51.887000000000008</v>
      </c>
    </row>
    <row r="28" spans="1:21" x14ac:dyDescent="0.25">
      <c r="A28" s="4"/>
      <c r="B28" s="161">
        <v>43311</v>
      </c>
      <c r="C28" s="10">
        <v>150</v>
      </c>
      <c r="D28" s="39">
        <v>49.500500000000002</v>
      </c>
      <c r="E28" s="39">
        <v>50.16</v>
      </c>
      <c r="F28" s="39">
        <f t="shared" si="1"/>
        <v>98.92499999999913</v>
      </c>
      <c r="G28" s="39">
        <f t="shared" si="2"/>
        <v>7425.0750000000007</v>
      </c>
      <c r="H28" s="175">
        <f t="shared" si="3"/>
        <v>1.3323097746487291E-2</v>
      </c>
      <c r="I28" s="39"/>
      <c r="J28" s="39">
        <f t="shared" si="4"/>
        <v>1155.664999999997</v>
      </c>
      <c r="K28" s="39">
        <v>10.24</v>
      </c>
      <c r="L28" s="39"/>
      <c r="O28" s="78">
        <v>1.0900000000000001</v>
      </c>
      <c r="P28" s="78">
        <f t="shared" ref="P28:P47" si="5">O28*$Q$4</f>
        <v>51.415300000000009</v>
      </c>
    </row>
    <row r="29" spans="1:21" x14ac:dyDescent="0.25">
      <c r="A29" s="4"/>
      <c r="B29" s="161">
        <v>43320</v>
      </c>
      <c r="C29" s="7">
        <v>250</v>
      </c>
      <c r="D29" s="43">
        <v>49.260300000000001</v>
      </c>
      <c r="E29" s="39">
        <v>48.4</v>
      </c>
      <c r="F29" s="39">
        <f t="shared" si="1"/>
        <v>-215.07500000000056</v>
      </c>
      <c r="G29" s="39">
        <f t="shared" si="2"/>
        <v>12315.075000000001</v>
      </c>
      <c r="H29" s="175">
        <f t="shared" si="3"/>
        <v>-1.7464367858092668E-2</v>
      </c>
      <c r="I29" s="39">
        <v>48.5</v>
      </c>
      <c r="J29" s="39">
        <f t="shared" si="4"/>
        <v>841.66499999999746</v>
      </c>
      <c r="K29" s="39">
        <v>9.8699999999999992</v>
      </c>
      <c r="L29" s="39"/>
      <c r="O29" s="78">
        <v>1.08</v>
      </c>
      <c r="P29" s="78">
        <f t="shared" si="5"/>
        <v>50.943600000000004</v>
      </c>
    </row>
    <row r="30" spans="1:21" x14ac:dyDescent="0.25">
      <c r="A30" s="4"/>
      <c r="B30" s="161">
        <v>43325</v>
      </c>
      <c r="C30" s="10">
        <v>250</v>
      </c>
      <c r="D30" s="39">
        <v>49.260300000000001</v>
      </c>
      <c r="E30" s="39">
        <v>49.06</v>
      </c>
      <c r="F30" s="39">
        <f t="shared" si="1"/>
        <v>-50.074999999999648</v>
      </c>
      <c r="G30" s="39">
        <f t="shared" si="2"/>
        <v>12315.075000000001</v>
      </c>
      <c r="H30" s="175">
        <f t="shared" si="3"/>
        <v>-4.0661546925211296E-3</v>
      </c>
      <c r="I30" s="39"/>
      <c r="J30" s="39">
        <f t="shared" si="4"/>
        <v>1006.6649999999984</v>
      </c>
      <c r="K30" s="39">
        <v>10.01</v>
      </c>
      <c r="L30" s="39"/>
      <c r="O30" s="78">
        <v>1.07</v>
      </c>
      <c r="P30" s="78">
        <f t="shared" si="5"/>
        <v>50.471900000000005</v>
      </c>
    </row>
    <row r="31" spans="1:21" x14ac:dyDescent="0.25">
      <c r="A31" s="4"/>
      <c r="B31" s="161">
        <v>43326</v>
      </c>
      <c r="C31" s="10">
        <v>150</v>
      </c>
      <c r="D31" s="39">
        <v>48.734299999999998</v>
      </c>
      <c r="E31" s="39">
        <v>50.17</v>
      </c>
      <c r="F31" s="39">
        <f t="shared" si="1"/>
        <v>215.35500000000064</v>
      </c>
      <c r="G31" s="39">
        <f t="shared" si="2"/>
        <v>7310.1449999999995</v>
      </c>
      <c r="H31" s="175">
        <f t="shared" si="3"/>
        <v>2.9459743958567257E-2</v>
      </c>
      <c r="I31" s="39"/>
      <c r="J31" s="39">
        <f t="shared" si="4"/>
        <v>1272.0949999999987</v>
      </c>
      <c r="K31" s="39">
        <v>10.24</v>
      </c>
      <c r="L31" s="39"/>
      <c r="O31" s="78">
        <v>1.06</v>
      </c>
      <c r="P31" s="78">
        <f t="shared" si="5"/>
        <v>50.000200000000007</v>
      </c>
    </row>
    <row r="32" spans="1:21" x14ac:dyDescent="0.25">
      <c r="A32">
        <v>0</v>
      </c>
      <c r="B32" s="161">
        <v>43328</v>
      </c>
      <c r="C32" s="10">
        <v>150</v>
      </c>
      <c r="D32" s="39">
        <v>48.734299999999998</v>
      </c>
      <c r="E32" s="39">
        <v>50.45</v>
      </c>
      <c r="F32" s="39">
        <f t="shared" ref="F32:F43" si="6">C32*(E32-D32)</f>
        <v>257.35500000000081</v>
      </c>
      <c r="G32" s="39">
        <f t="shared" ref="G32:G43" si="7">D32*C32</f>
        <v>7310.1449999999995</v>
      </c>
      <c r="H32" s="175">
        <f t="shared" ref="H32:H43" si="8">(E32-D32)/D32</f>
        <v>3.5205184028497497E-2</v>
      </c>
      <c r="I32" s="39"/>
      <c r="J32" s="39">
        <f t="shared" si="4"/>
        <v>1314.0949999999989</v>
      </c>
      <c r="K32" s="39">
        <v>10.3</v>
      </c>
      <c r="L32" s="39"/>
      <c r="O32" s="78">
        <v>1.05</v>
      </c>
      <c r="P32" s="78">
        <f t="shared" si="5"/>
        <v>49.528500000000001</v>
      </c>
    </row>
    <row r="33" spans="1:17" x14ac:dyDescent="0.25">
      <c r="A33">
        <v>0</v>
      </c>
      <c r="B33" s="161">
        <v>43329</v>
      </c>
      <c r="C33" s="181">
        <v>150</v>
      </c>
      <c r="D33" s="182">
        <v>48.734299999999998</v>
      </c>
      <c r="E33" s="39">
        <v>51.9</v>
      </c>
      <c r="F33" s="39">
        <f t="shared" si="6"/>
        <v>474.85500000000013</v>
      </c>
      <c r="G33" s="39">
        <f t="shared" si="7"/>
        <v>7310.1449999999995</v>
      </c>
      <c r="H33" s="175">
        <f t="shared" si="8"/>
        <v>6.4958355819207447E-2</v>
      </c>
      <c r="I33" s="39">
        <v>48</v>
      </c>
      <c r="J33" s="39">
        <f t="shared" si="4"/>
        <v>1531.594999999998</v>
      </c>
      <c r="K33" s="39">
        <v>10.59</v>
      </c>
      <c r="L33" s="39"/>
      <c r="O33" s="78">
        <v>1.04</v>
      </c>
      <c r="P33" s="78">
        <f t="shared" si="5"/>
        <v>49.056800000000003</v>
      </c>
    </row>
    <row r="34" spans="1:17" x14ac:dyDescent="0.25">
      <c r="B34" s="161">
        <v>43334</v>
      </c>
      <c r="C34" s="10">
        <v>150</v>
      </c>
      <c r="D34" s="39">
        <v>48.734299999999998</v>
      </c>
      <c r="E34" s="39">
        <v>51.26</v>
      </c>
      <c r="F34" s="39">
        <f t="shared" si="6"/>
        <v>378.85500000000008</v>
      </c>
      <c r="G34" s="39">
        <f t="shared" si="7"/>
        <v>7310.1449999999995</v>
      </c>
      <c r="H34" s="175">
        <f t="shared" si="8"/>
        <v>5.1825921373652654E-2</v>
      </c>
      <c r="I34" s="39"/>
      <c r="J34" s="39">
        <f t="shared" si="4"/>
        <v>1435.594999999998</v>
      </c>
      <c r="K34" s="39">
        <v>10.46</v>
      </c>
      <c r="L34" s="39"/>
      <c r="O34" s="78">
        <v>1.03</v>
      </c>
      <c r="P34" s="78">
        <f t="shared" si="5"/>
        <v>48.585100000000004</v>
      </c>
    </row>
    <row r="35" spans="1:17" x14ac:dyDescent="0.25">
      <c r="A35">
        <v>0</v>
      </c>
      <c r="B35" s="161">
        <v>43339</v>
      </c>
      <c r="C35" s="10">
        <v>100</v>
      </c>
      <c r="D35" s="39">
        <v>46.7117</v>
      </c>
      <c r="E35" s="39">
        <v>52.78</v>
      </c>
      <c r="F35" s="39">
        <f t="shared" si="6"/>
        <v>606.83000000000004</v>
      </c>
      <c r="G35" s="39">
        <f t="shared" si="7"/>
        <v>4671.17</v>
      </c>
      <c r="H35" s="175">
        <f t="shared" si="8"/>
        <v>0.1299096372001019</v>
      </c>
      <c r="I35" s="39"/>
      <c r="J35" s="760">
        <f>F35+$Q$10</f>
        <v>1663.5699999999979</v>
      </c>
      <c r="K35" s="39">
        <v>10.77</v>
      </c>
      <c r="L35" s="39"/>
      <c r="O35" s="78">
        <v>1.02</v>
      </c>
      <c r="P35" s="78">
        <f t="shared" si="5"/>
        <v>48.113400000000006</v>
      </c>
    </row>
    <row r="36" spans="1:17" x14ac:dyDescent="0.25">
      <c r="A36">
        <v>0</v>
      </c>
      <c r="B36" s="161">
        <v>43347</v>
      </c>
      <c r="C36" s="181">
        <v>150</v>
      </c>
      <c r="D36" s="182">
        <v>48.234499999999997</v>
      </c>
      <c r="E36" s="39">
        <v>51.23</v>
      </c>
      <c r="F36" s="39">
        <f t="shared" si="6"/>
        <v>449.32499999999999</v>
      </c>
      <c r="G36" s="39">
        <f t="shared" si="7"/>
        <v>7235.1749999999993</v>
      </c>
      <c r="H36" s="175">
        <f t="shared" si="8"/>
        <v>6.2102851693290072E-2</v>
      </c>
      <c r="I36" s="39"/>
      <c r="J36" s="39">
        <f>F36+$Q$10</f>
        <v>1506.064999999998</v>
      </c>
      <c r="K36" s="39">
        <v>10.46</v>
      </c>
      <c r="L36" s="39"/>
      <c r="O36" s="78">
        <v>1.01</v>
      </c>
      <c r="P36" s="78">
        <f t="shared" si="5"/>
        <v>47.6417</v>
      </c>
    </row>
    <row r="37" spans="1:17" x14ac:dyDescent="0.25">
      <c r="A37">
        <v>100</v>
      </c>
      <c r="B37" s="161">
        <v>43364</v>
      </c>
      <c r="C37" s="10">
        <v>150</v>
      </c>
      <c r="D37" s="39">
        <v>48.234499999999997</v>
      </c>
      <c r="E37" s="39">
        <v>54.94</v>
      </c>
      <c r="F37" s="39">
        <f t="shared" si="6"/>
        <v>1005.825</v>
      </c>
      <c r="G37" s="39">
        <f t="shared" si="7"/>
        <v>7235.1749999999993</v>
      </c>
      <c r="H37" s="175">
        <f t="shared" si="8"/>
        <v>0.13901875213799253</v>
      </c>
      <c r="I37" s="39"/>
      <c r="J37" s="760">
        <f>F37+$Q$10</f>
        <v>2062.5649999999978</v>
      </c>
      <c r="K37" s="39">
        <v>11.21</v>
      </c>
      <c r="L37" s="39"/>
      <c r="O37" s="78">
        <v>1</v>
      </c>
      <c r="P37" s="78">
        <f t="shared" si="5"/>
        <v>47.17</v>
      </c>
    </row>
    <row r="38" spans="1:17" x14ac:dyDescent="0.25">
      <c r="A38">
        <v>150</v>
      </c>
      <c r="B38" s="161">
        <v>43387</v>
      </c>
      <c r="C38" s="181">
        <v>150</v>
      </c>
      <c r="D38" s="182">
        <v>47.758099999999999</v>
      </c>
      <c r="E38" s="39">
        <v>51.63</v>
      </c>
      <c r="F38" s="39">
        <f t="shared" si="6"/>
        <v>580.78500000000054</v>
      </c>
      <c r="G38" s="39">
        <f t="shared" si="7"/>
        <v>7163.7150000000001</v>
      </c>
      <c r="H38" s="175">
        <f t="shared" si="8"/>
        <v>8.1073158270534296E-2</v>
      </c>
      <c r="I38" s="429" t="s">
        <v>1237</v>
      </c>
      <c r="J38" s="39">
        <f>F38+$Q$10</f>
        <v>1637.5249999999985</v>
      </c>
      <c r="K38" s="39">
        <v>10.54</v>
      </c>
      <c r="L38" s="39"/>
      <c r="O38" s="78">
        <v>0.99</v>
      </c>
      <c r="P38" s="78">
        <f t="shared" si="5"/>
        <v>46.698300000000003</v>
      </c>
    </row>
    <row r="39" spans="1:17" x14ac:dyDescent="0.25">
      <c r="A39">
        <v>0</v>
      </c>
      <c r="B39" s="161">
        <v>43418</v>
      </c>
      <c r="C39" s="10">
        <v>0</v>
      </c>
      <c r="D39" s="39">
        <v>47.76</v>
      </c>
      <c r="E39" s="39">
        <v>57.31</v>
      </c>
      <c r="F39" s="39">
        <f t="shared" si="6"/>
        <v>0</v>
      </c>
      <c r="G39" s="39">
        <f t="shared" si="7"/>
        <v>0</v>
      </c>
      <c r="H39" s="175">
        <f t="shared" si="8"/>
        <v>0.19995812395309892</v>
      </c>
      <c r="I39" s="39"/>
      <c r="J39" s="760">
        <v>2615.41</v>
      </c>
      <c r="K39" s="39">
        <v>11.7</v>
      </c>
      <c r="L39" s="39"/>
      <c r="O39" s="78">
        <v>0.98</v>
      </c>
      <c r="P39" s="78">
        <f t="shared" si="5"/>
        <v>46.226599999999998</v>
      </c>
    </row>
    <row r="40" spans="1:17" x14ac:dyDescent="0.25">
      <c r="B40" s="161">
        <v>43424</v>
      </c>
      <c r="C40" s="10">
        <v>100</v>
      </c>
      <c r="D40" s="39">
        <v>38.4133</v>
      </c>
      <c r="E40" s="39">
        <v>55.46</v>
      </c>
      <c r="F40" s="39">
        <f t="shared" si="6"/>
        <v>1704.67</v>
      </c>
      <c r="G40" s="39">
        <f t="shared" si="7"/>
        <v>3841.33</v>
      </c>
      <c r="H40" s="175">
        <f t="shared" si="8"/>
        <v>0.44377077730890085</v>
      </c>
      <c r="I40" s="39"/>
      <c r="J40" s="760">
        <v>2761.41</v>
      </c>
      <c r="K40" s="39">
        <v>11.32</v>
      </c>
      <c r="L40" s="39"/>
      <c r="O40" s="78">
        <v>0.97</v>
      </c>
      <c r="P40" s="78">
        <f t="shared" si="5"/>
        <v>45.754899999999999</v>
      </c>
    </row>
    <row r="41" spans="1:17" x14ac:dyDescent="0.25">
      <c r="A41">
        <v>100</v>
      </c>
      <c r="B41" s="161">
        <v>43492</v>
      </c>
      <c r="C41" s="10">
        <v>100</v>
      </c>
      <c r="D41" s="39">
        <v>37.94</v>
      </c>
      <c r="E41" s="39">
        <v>49.35</v>
      </c>
      <c r="F41" s="39">
        <f t="shared" si="6"/>
        <v>1141.0000000000005</v>
      </c>
      <c r="G41" s="39">
        <f t="shared" si="7"/>
        <v>3794</v>
      </c>
      <c r="H41" s="175">
        <f t="shared" si="8"/>
        <v>0.30073800738007389</v>
      </c>
      <c r="I41" s="39"/>
      <c r="J41" s="39">
        <v>2198</v>
      </c>
      <c r="K41" s="39"/>
      <c r="L41" s="39"/>
      <c r="O41" s="78">
        <v>0.96</v>
      </c>
      <c r="P41" s="78">
        <f t="shared" si="5"/>
        <v>45.283200000000001</v>
      </c>
      <c r="Q41" s="2"/>
    </row>
    <row r="42" spans="1:17" x14ac:dyDescent="0.25">
      <c r="A42">
        <v>100</v>
      </c>
      <c r="B42" s="161">
        <v>43509</v>
      </c>
      <c r="C42" s="10">
        <v>100</v>
      </c>
      <c r="D42" s="39">
        <v>37.94</v>
      </c>
      <c r="E42" s="39">
        <v>55.05</v>
      </c>
      <c r="F42" s="39">
        <f t="shared" si="6"/>
        <v>1711</v>
      </c>
      <c r="G42" s="39">
        <f t="shared" si="7"/>
        <v>3794</v>
      </c>
      <c r="H42" s="175">
        <f t="shared" si="8"/>
        <v>0.4509752240379547</v>
      </c>
      <c r="I42" s="39"/>
      <c r="J42" s="760">
        <v>2768.03</v>
      </c>
      <c r="K42" s="39">
        <v>11.23</v>
      </c>
      <c r="L42" s="39"/>
      <c r="O42" s="78">
        <v>0.95</v>
      </c>
      <c r="P42" s="78">
        <f t="shared" si="5"/>
        <v>44.811500000000002</v>
      </c>
      <c r="Q42" s="2"/>
    </row>
    <row r="43" spans="1:17" x14ac:dyDescent="0.25">
      <c r="A43">
        <v>100</v>
      </c>
      <c r="B43" s="161">
        <v>43513</v>
      </c>
      <c r="C43" s="10">
        <v>100</v>
      </c>
      <c r="D43" s="39">
        <v>37.94</v>
      </c>
      <c r="E43" s="39">
        <v>55.48</v>
      </c>
      <c r="F43" s="39">
        <f t="shared" si="6"/>
        <v>1754</v>
      </c>
      <c r="G43" s="39">
        <f t="shared" si="7"/>
        <v>3794</v>
      </c>
      <c r="H43" s="175">
        <f t="shared" si="8"/>
        <v>0.46230890880337377</v>
      </c>
      <c r="I43" s="39"/>
      <c r="J43" s="760">
        <v>2811.04</v>
      </c>
      <c r="K43" s="39">
        <v>11.32</v>
      </c>
      <c r="L43" s="39"/>
      <c r="O43" s="78">
        <v>0.94</v>
      </c>
      <c r="P43" s="78">
        <f t="shared" si="5"/>
        <v>44.339799999999997</v>
      </c>
      <c r="Q43" s="2"/>
    </row>
    <row r="44" spans="1:17" x14ac:dyDescent="0.25">
      <c r="B44" s="161">
        <v>43515</v>
      </c>
      <c r="C44" s="10">
        <v>0</v>
      </c>
      <c r="D44" s="39"/>
      <c r="E44" s="39">
        <v>56.79</v>
      </c>
      <c r="F44" s="39"/>
      <c r="G44" s="39"/>
      <c r="H44" s="175"/>
      <c r="I44" s="39"/>
      <c r="J44" s="760">
        <v>2880.97</v>
      </c>
      <c r="K44" s="39">
        <v>11.59</v>
      </c>
      <c r="L44" s="39"/>
      <c r="O44" s="78">
        <v>0.93</v>
      </c>
      <c r="P44" s="78">
        <f t="shared" si="5"/>
        <v>43.868100000000005</v>
      </c>
      <c r="Q44" s="2"/>
    </row>
    <row r="45" spans="1:17" x14ac:dyDescent="0.25">
      <c r="B45" s="161"/>
      <c r="C45" s="10"/>
      <c r="D45" s="39"/>
      <c r="E45" s="39"/>
      <c r="F45" s="39"/>
      <c r="G45" s="39"/>
      <c r="H45" s="175"/>
      <c r="I45" s="39"/>
      <c r="J45" s="39"/>
      <c r="K45" s="39"/>
      <c r="L45" s="39"/>
      <c r="O45" s="78">
        <v>0.92</v>
      </c>
      <c r="P45" s="78">
        <f t="shared" si="5"/>
        <v>43.396400000000007</v>
      </c>
      <c r="Q45" s="2"/>
    </row>
    <row r="46" spans="1:17" x14ac:dyDescent="0.25">
      <c r="B46" s="161"/>
      <c r="C46" s="10"/>
      <c r="D46" s="39"/>
      <c r="E46" s="39"/>
      <c r="F46" s="39"/>
      <c r="G46" s="39"/>
      <c r="H46" s="175"/>
      <c r="I46" s="39"/>
      <c r="J46" s="39"/>
      <c r="K46" s="39"/>
      <c r="L46" s="39"/>
      <c r="O46" s="78">
        <v>0.91</v>
      </c>
      <c r="P46" s="78">
        <f t="shared" si="5"/>
        <v>42.924700000000001</v>
      </c>
      <c r="Q46" s="2"/>
    </row>
    <row r="47" spans="1:17" x14ac:dyDescent="0.25">
      <c r="B47" s="161"/>
      <c r="C47" s="10"/>
      <c r="D47" s="39"/>
      <c r="E47" s="39"/>
      <c r="F47" s="39"/>
      <c r="G47" s="39"/>
      <c r="H47" s="175"/>
      <c r="I47" s="39"/>
      <c r="J47" s="39"/>
      <c r="K47" s="39"/>
      <c r="L47" s="39"/>
      <c r="O47" s="78">
        <v>0.9</v>
      </c>
      <c r="P47" s="78">
        <f t="shared" si="5"/>
        <v>42.453000000000003</v>
      </c>
      <c r="Q47" s="2"/>
    </row>
    <row r="48" spans="1:17" x14ac:dyDescent="0.25">
      <c r="B48" s="161"/>
      <c r="C48" s="10"/>
      <c r="D48" s="39"/>
      <c r="E48" s="39"/>
      <c r="F48" s="39"/>
      <c r="G48" s="39"/>
      <c r="H48" s="175"/>
      <c r="I48" s="39"/>
      <c r="J48" s="39"/>
      <c r="K48" s="39"/>
      <c r="L48" s="39"/>
      <c r="Q48" s="2"/>
    </row>
    <row r="49" spans="2:17" x14ac:dyDescent="0.25">
      <c r="B49" s="161"/>
      <c r="C49" s="10"/>
      <c r="D49" s="39"/>
      <c r="E49" s="39"/>
      <c r="F49" s="39"/>
      <c r="G49" s="39"/>
      <c r="H49" s="175"/>
      <c r="I49" s="39"/>
      <c r="J49" s="39"/>
      <c r="K49" s="39"/>
      <c r="L49" s="39"/>
      <c r="Q49" s="2"/>
    </row>
    <row r="50" spans="2:17" x14ac:dyDescent="0.25">
      <c r="B50" s="161"/>
      <c r="C50" s="10"/>
      <c r="D50" s="39"/>
      <c r="E50" s="39"/>
      <c r="F50" s="39"/>
      <c r="G50" s="39"/>
      <c r="H50" s="175"/>
      <c r="I50" s="39"/>
      <c r="J50" s="39"/>
      <c r="K50" s="39"/>
      <c r="L50" s="39"/>
      <c r="Q50" s="2"/>
    </row>
    <row r="51" spans="2:17" x14ac:dyDescent="0.25">
      <c r="B51" s="161"/>
      <c r="C51" s="10"/>
      <c r="D51" s="39"/>
      <c r="E51" s="39"/>
      <c r="F51" s="39"/>
      <c r="G51" s="39"/>
      <c r="H51" s="175"/>
      <c r="I51" s="39"/>
      <c r="J51" s="39"/>
      <c r="K51" s="39"/>
      <c r="L51" s="39"/>
      <c r="Q51" s="2"/>
    </row>
    <row r="52" spans="2:17" x14ac:dyDescent="0.25">
      <c r="B52" s="161"/>
      <c r="C52" s="10"/>
      <c r="D52" s="39"/>
      <c r="E52" s="39"/>
      <c r="F52" s="39"/>
      <c r="G52" s="39"/>
      <c r="H52" s="175"/>
      <c r="I52" s="39"/>
      <c r="J52" s="39"/>
      <c r="K52" s="39"/>
      <c r="L52" s="39"/>
      <c r="Q52" s="2"/>
    </row>
    <row r="53" spans="2:17" x14ac:dyDescent="0.25">
      <c r="B53" s="161"/>
      <c r="C53" s="10"/>
      <c r="D53" s="39"/>
      <c r="E53" s="39"/>
      <c r="F53" s="39"/>
      <c r="G53" s="39"/>
      <c r="H53" s="175"/>
      <c r="I53" s="39"/>
      <c r="J53" s="39"/>
      <c r="K53" s="39"/>
      <c r="L53" s="39"/>
      <c r="Q53" s="2"/>
    </row>
    <row r="54" spans="2:17" x14ac:dyDescent="0.25">
      <c r="B54" s="161"/>
      <c r="C54" s="10"/>
      <c r="D54" s="39"/>
      <c r="E54" s="39"/>
      <c r="F54" s="39"/>
      <c r="G54" s="39"/>
      <c r="H54" s="175"/>
      <c r="I54" s="39"/>
      <c r="J54" s="39"/>
      <c r="K54" s="39"/>
      <c r="L54" s="39"/>
    </row>
    <row r="55" spans="2:17" x14ac:dyDescent="0.25">
      <c r="B55" s="161"/>
      <c r="C55" s="10"/>
      <c r="D55" s="39"/>
      <c r="E55" s="39"/>
      <c r="F55" s="39"/>
      <c r="G55" s="39"/>
      <c r="H55" s="175"/>
      <c r="I55" s="39"/>
      <c r="J55" s="39"/>
      <c r="K55" s="39"/>
      <c r="L55" s="39"/>
    </row>
    <row r="56" spans="2:17" x14ac:dyDescent="0.25">
      <c r="B56" s="161"/>
      <c r="C56" s="10"/>
      <c r="D56" s="39"/>
      <c r="E56" s="39"/>
      <c r="F56" s="39"/>
      <c r="G56" s="39"/>
      <c r="H56" s="175"/>
      <c r="I56" s="39"/>
      <c r="J56" s="39"/>
      <c r="K56" s="39"/>
      <c r="L56" s="39"/>
    </row>
    <row r="57" spans="2:17" x14ac:dyDescent="0.25">
      <c r="B57" s="161"/>
      <c r="C57" s="10"/>
      <c r="D57" s="39"/>
      <c r="E57" s="39"/>
      <c r="F57" s="39"/>
      <c r="G57" s="39"/>
      <c r="H57" s="175"/>
      <c r="I57" s="39"/>
      <c r="J57" s="39"/>
      <c r="K57" s="39"/>
      <c r="L57" s="39"/>
    </row>
    <row r="58" spans="2:17" x14ac:dyDescent="0.25">
      <c r="B58" s="161"/>
      <c r="C58" s="10"/>
      <c r="D58" s="39"/>
      <c r="E58" s="39"/>
      <c r="F58" s="39"/>
      <c r="G58" s="39"/>
      <c r="H58" s="175"/>
      <c r="I58" s="39"/>
      <c r="J58" s="39"/>
      <c r="K58" s="39"/>
      <c r="L58" s="39"/>
    </row>
    <row r="59" spans="2:17" x14ac:dyDescent="0.25">
      <c r="B59" s="161"/>
      <c r="C59" s="10"/>
      <c r="D59" s="39"/>
      <c r="E59" s="39"/>
      <c r="F59" s="39"/>
      <c r="G59" s="39"/>
      <c r="H59" s="175"/>
      <c r="I59" s="39"/>
      <c r="J59" s="39"/>
      <c r="K59" s="39"/>
      <c r="L59" s="39"/>
    </row>
    <row r="60" spans="2:17" x14ac:dyDescent="0.25">
      <c r="B60" s="161"/>
      <c r="C60" s="10"/>
      <c r="D60" s="39"/>
      <c r="E60" s="39"/>
      <c r="F60" s="39"/>
      <c r="G60" s="39"/>
      <c r="H60" s="175"/>
      <c r="I60" s="39"/>
      <c r="J60" s="39"/>
      <c r="K60" s="39"/>
      <c r="L60" s="39"/>
    </row>
    <row r="61" spans="2:17" x14ac:dyDescent="0.25">
      <c r="B61" s="161"/>
      <c r="C61" s="10"/>
      <c r="D61" s="39"/>
      <c r="E61" s="39"/>
      <c r="F61" s="39"/>
      <c r="G61" s="39"/>
      <c r="H61" s="175"/>
      <c r="I61" s="39"/>
      <c r="J61" s="39"/>
      <c r="K61" s="39"/>
      <c r="L61" s="39"/>
    </row>
    <row r="62" spans="2:17" x14ac:dyDescent="0.25">
      <c r="B62" s="161"/>
      <c r="C62" s="10"/>
      <c r="D62" s="39"/>
      <c r="E62" s="39"/>
      <c r="F62" s="39"/>
      <c r="G62" s="39"/>
      <c r="H62" s="175"/>
      <c r="I62" s="39"/>
      <c r="J62" s="39"/>
      <c r="K62" s="39"/>
      <c r="L62" s="39"/>
    </row>
    <row r="63" spans="2:17" x14ac:dyDescent="0.25">
      <c r="B63" s="161"/>
      <c r="C63" s="10"/>
      <c r="D63" s="39"/>
      <c r="E63" s="39"/>
      <c r="F63" s="39"/>
      <c r="G63" s="39"/>
      <c r="H63" s="175"/>
      <c r="I63" s="39"/>
      <c r="J63" s="39"/>
      <c r="K63" s="39"/>
      <c r="L63" s="39"/>
    </row>
    <row r="64" spans="2:17" x14ac:dyDescent="0.25">
      <c r="B64" s="161"/>
      <c r="C64" s="10"/>
      <c r="D64" s="39"/>
      <c r="E64" s="39"/>
      <c r="F64" s="39"/>
      <c r="G64" s="39"/>
      <c r="H64" s="175"/>
      <c r="I64" s="39"/>
      <c r="J64" s="39"/>
      <c r="K64" s="39"/>
      <c r="L64" s="39"/>
    </row>
    <row r="65" spans="1:13" x14ac:dyDescent="0.25">
      <c r="B65" s="161"/>
      <c r="C65" s="10"/>
      <c r="D65" s="39"/>
      <c r="E65" s="39"/>
      <c r="F65" s="39"/>
      <c r="G65" s="39"/>
      <c r="H65" s="175"/>
      <c r="I65" s="39"/>
      <c r="J65" s="39"/>
      <c r="K65" s="39"/>
      <c r="L65" s="39"/>
    </row>
    <row r="66" spans="1:13" x14ac:dyDescent="0.25">
      <c r="B66" s="161"/>
      <c r="C66" s="10"/>
      <c r="D66" s="39"/>
      <c r="E66" s="39"/>
      <c r="F66" s="39"/>
      <c r="G66" s="39"/>
      <c r="H66" s="175"/>
      <c r="I66" s="39"/>
      <c r="J66" s="39"/>
      <c r="K66" s="39"/>
      <c r="L66" s="39"/>
    </row>
    <row r="67" spans="1:13" x14ac:dyDescent="0.25">
      <c r="L67" t="s">
        <v>65</v>
      </c>
      <c r="M67" s="2">
        <f>M85+K85-F85</f>
        <v>1056.739999999998</v>
      </c>
    </row>
    <row r="68" spans="1:13" x14ac:dyDescent="0.25">
      <c r="A68" s="297" t="s">
        <v>1</v>
      </c>
      <c r="B68" s="297" t="s">
        <v>2</v>
      </c>
      <c r="C68" s="297" t="s">
        <v>4</v>
      </c>
      <c r="D68" s="299" t="s">
        <v>5</v>
      </c>
      <c r="E68" s="299" t="s">
        <v>94</v>
      </c>
      <c r="F68" s="299" t="s">
        <v>60</v>
      </c>
      <c r="G68" s="297" t="s">
        <v>3</v>
      </c>
      <c r="H68" s="297" t="s">
        <v>6</v>
      </c>
      <c r="I68" s="299" t="s">
        <v>7</v>
      </c>
      <c r="J68" s="299" t="s">
        <v>95</v>
      </c>
      <c r="K68" s="299" t="s">
        <v>61</v>
      </c>
      <c r="L68" s="297" t="s">
        <v>37</v>
      </c>
      <c r="M68" s="297" t="s">
        <v>38</v>
      </c>
    </row>
    <row r="69" spans="1:13" x14ac:dyDescent="0.25">
      <c r="A69" s="300" t="s">
        <v>52</v>
      </c>
      <c r="B69" s="290">
        <v>42488</v>
      </c>
      <c r="C69" s="291">
        <v>30</v>
      </c>
      <c r="D69" s="292">
        <v>79.349999999999994</v>
      </c>
      <c r="E69" s="292">
        <v>0</v>
      </c>
      <c r="F69" s="292">
        <f>D69*C69+E69</f>
        <v>2380.5</v>
      </c>
      <c r="G69" s="290">
        <v>42521</v>
      </c>
      <c r="H69" s="295">
        <v>25</v>
      </c>
      <c r="I69" s="292">
        <v>79.05</v>
      </c>
      <c r="J69" s="292">
        <v>0.04</v>
      </c>
      <c r="K69" s="292">
        <f>I69*H69-J69</f>
        <v>1976.21</v>
      </c>
      <c r="L69" s="290">
        <v>42566</v>
      </c>
      <c r="M69" s="292">
        <v>33.67</v>
      </c>
    </row>
    <row r="70" spans="1:13" x14ac:dyDescent="0.25">
      <c r="A70" s="301" t="s">
        <v>71</v>
      </c>
      <c r="B70" s="290">
        <v>42495</v>
      </c>
      <c r="C70" s="291">
        <v>20</v>
      </c>
      <c r="D70" s="292">
        <v>76.25</v>
      </c>
      <c r="E70" s="292">
        <v>0</v>
      </c>
      <c r="F70" s="292">
        <f>D70*C70+E70</f>
        <v>1525</v>
      </c>
      <c r="G70" s="290">
        <v>42552</v>
      </c>
      <c r="H70" s="295">
        <v>25</v>
      </c>
      <c r="I70" s="292">
        <v>78.28</v>
      </c>
      <c r="J70" s="292">
        <v>0.04</v>
      </c>
      <c r="K70" s="292">
        <f>I70*H70-J70</f>
        <v>1956.96</v>
      </c>
      <c r="L70" s="291"/>
      <c r="M70" s="291"/>
    </row>
    <row r="71" spans="1:13" x14ac:dyDescent="0.25">
      <c r="A71" s="291"/>
      <c r="B71" s="290">
        <v>42537</v>
      </c>
      <c r="C71" s="291">
        <v>25</v>
      </c>
      <c r="D71" s="292">
        <v>75.88</v>
      </c>
      <c r="E71" s="292">
        <v>0</v>
      </c>
      <c r="F71" s="292">
        <f>D71*C71+E71</f>
        <v>1897</v>
      </c>
      <c r="G71" s="290">
        <v>42577</v>
      </c>
      <c r="H71" s="295">
        <v>10</v>
      </c>
      <c r="I71" s="292">
        <v>83.3</v>
      </c>
      <c r="J71" s="292">
        <v>0.02</v>
      </c>
      <c r="K71" s="292">
        <f>I71*H71-J71</f>
        <v>832.98</v>
      </c>
      <c r="L71" s="291"/>
      <c r="M71" s="291"/>
    </row>
    <row r="72" spans="1:13" x14ac:dyDescent="0.25">
      <c r="A72" s="291"/>
      <c r="B72" s="290">
        <v>42548</v>
      </c>
      <c r="C72" s="291">
        <v>25</v>
      </c>
      <c r="D72" s="292">
        <v>73.58</v>
      </c>
      <c r="E72" s="292">
        <v>0</v>
      </c>
      <c r="F72" s="292">
        <f>D72*C72+E72</f>
        <v>1839.5</v>
      </c>
      <c r="G72" s="290">
        <v>42580</v>
      </c>
      <c r="H72" s="295">
        <v>40</v>
      </c>
      <c r="I72" s="292">
        <v>83.33</v>
      </c>
      <c r="J72" s="292">
        <v>7.0000000000000007E-2</v>
      </c>
      <c r="K72" s="292">
        <f>I72*H72-J72</f>
        <v>3333.1299999999997</v>
      </c>
      <c r="L72" s="291"/>
      <c r="M72" s="291"/>
    </row>
    <row r="73" spans="1:13" x14ac:dyDescent="0.25">
      <c r="A73" s="291"/>
      <c r="B73" s="290">
        <v>42608</v>
      </c>
      <c r="C73" s="291">
        <v>25</v>
      </c>
      <c r="D73" s="292">
        <v>79.02</v>
      </c>
      <c r="E73" s="292">
        <v>0</v>
      </c>
      <c r="F73" s="292">
        <f t="shared" ref="F73:F79" si="9">C73*D73+E73</f>
        <v>1975.5</v>
      </c>
      <c r="G73" s="290">
        <v>42674</v>
      </c>
      <c r="H73" s="295">
        <v>25</v>
      </c>
      <c r="I73" s="292">
        <v>70.900000000000006</v>
      </c>
      <c r="J73" s="292">
        <v>0.04</v>
      </c>
      <c r="K73" s="292">
        <f>H73*I73-J73</f>
        <v>1772.4600000000003</v>
      </c>
      <c r="L73" s="290">
        <v>42660</v>
      </c>
      <c r="M73" s="292">
        <v>22.45</v>
      </c>
    </row>
    <row r="74" spans="1:13" x14ac:dyDescent="0.25">
      <c r="A74" s="291"/>
      <c r="B74" s="290">
        <v>42627</v>
      </c>
      <c r="C74" s="291">
        <v>25</v>
      </c>
      <c r="D74" s="292">
        <v>76.3</v>
      </c>
      <c r="E74" s="292">
        <v>0</v>
      </c>
      <c r="F74" s="292">
        <f t="shared" si="9"/>
        <v>1907.5</v>
      </c>
      <c r="G74" s="290">
        <v>42711</v>
      </c>
      <c r="H74" s="295">
        <v>25</v>
      </c>
      <c r="I74" s="292">
        <v>69.680000000000007</v>
      </c>
      <c r="J74" s="292">
        <v>0.04</v>
      </c>
      <c r="K74" s="292">
        <f>H74*I74-J74</f>
        <v>1741.9600000000003</v>
      </c>
      <c r="L74" s="290">
        <v>42753</v>
      </c>
      <c r="M74" s="292">
        <v>22.45</v>
      </c>
    </row>
    <row r="75" spans="1:13" x14ac:dyDescent="0.25">
      <c r="A75" s="291"/>
      <c r="B75" s="290">
        <v>42668</v>
      </c>
      <c r="C75" s="291">
        <v>25</v>
      </c>
      <c r="D75" s="292">
        <v>74.38</v>
      </c>
      <c r="E75" s="292">
        <v>0</v>
      </c>
      <c r="F75" s="292">
        <f t="shared" si="9"/>
        <v>1859.5</v>
      </c>
      <c r="G75" s="290">
        <v>42713</v>
      </c>
      <c r="H75" s="295">
        <v>50</v>
      </c>
      <c r="I75" s="292">
        <v>72.58</v>
      </c>
      <c r="J75" s="292">
        <v>0.08</v>
      </c>
      <c r="K75" s="292">
        <f>H75*I75-J75</f>
        <v>3628.92</v>
      </c>
      <c r="L75" s="291"/>
      <c r="M75" s="291"/>
    </row>
    <row r="76" spans="1:13" x14ac:dyDescent="0.25">
      <c r="A76" s="291"/>
      <c r="B76" s="290">
        <v>42671</v>
      </c>
      <c r="C76" s="291">
        <v>25</v>
      </c>
      <c r="D76" s="292">
        <v>64.7</v>
      </c>
      <c r="E76" s="292">
        <v>0</v>
      </c>
      <c r="F76" s="292">
        <f t="shared" si="9"/>
        <v>1617.5</v>
      </c>
      <c r="G76" s="290">
        <v>42713</v>
      </c>
      <c r="H76" s="295">
        <v>25</v>
      </c>
      <c r="I76" s="292">
        <v>73.25</v>
      </c>
      <c r="J76" s="292">
        <v>0.04</v>
      </c>
      <c r="K76" s="292">
        <f>H76*I76-J76</f>
        <v>1831.21</v>
      </c>
      <c r="L76" s="291"/>
      <c r="M76" s="291"/>
    </row>
    <row r="77" spans="1:13" x14ac:dyDescent="0.25">
      <c r="A77" s="291"/>
      <c r="B77" s="290">
        <v>42674</v>
      </c>
      <c r="C77" s="291">
        <v>25</v>
      </c>
      <c r="D77" s="292">
        <v>69.680000000000007</v>
      </c>
      <c r="E77" s="292">
        <v>0</v>
      </c>
      <c r="F77" s="292">
        <f t="shared" si="9"/>
        <v>1742.0000000000002</v>
      </c>
      <c r="G77" s="290">
        <v>42752</v>
      </c>
      <c r="H77" s="295">
        <v>50</v>
      </c>
      <c r="I77" s="292">
        <v>75.69</v>
      </c>
      <c r="J77" s="292">
        <v>0.33</v>
      </c>
      <c r="K77" s="292">
        <f>H77*I77-J77</f>
        <v>3784.17</v>
      </c>
      <c r="L77" s="291"/>
      <c r="M77" s="291"/>
    </row>
    <row r="78" spans="1:13" x14ac:dyDescent="0.25">
      <c r="A78" s="291"/>
      <c r="B78" s="290">
        <v>42711</v>
      </c>
      <c r="C78" s="291">
        <v>25</v>
      </c>
      <c r="D78" s="292">
        <v>68.8</v>
      </c>
      <c r="E78" s="292">
        <v>0</v>
      </c>
      <c r="F78" s="292">
        <f t="shared" si="9"/>
        <v>1720</v>
      </c>
      <c r="G78" s="291"/>
      <c r="H78" s="295"/>
      <c r="I78" s="292"/>
      <c r="J78" s="292"/>
      <c r="K78" s="292"/>
      <c r="L78" s="291"/>
      <c r="M78" s="291"/>
    </row>
    <row r="79" spans="1:13" x14ac:dyDescent="0.25">
      <c r="A79" s="291"/>
      <c r="B79" s="290">
        <v>42718</v>
      </c>
      <c r="C79" s="291">
        <v>25</v>
      </c>
      <c r="D79" s="292">
        <v>72.48</v>
      </c>
      <c r="E79" s="292">
        <v>0</v>
      </c>
      <c r="F79" s="292">
        <f t="shared" si="9"/>
        <v>1812</v>
      </c>
      <c r="G79" s="291"/>
      <c r="H79" s="295"/>
      <c r="I79" s="292"/>
      <c r="J79" s="292"/>
      <c r="K79" s="292"/>
      <c r="L79" s="291"/>
      <c r="M79" s="291"/>
    </row>
    <row r="80" spans="1:13" x14ac:dyDescent="0.25">
      <c r="A80" s="291"/>
      <c r="B80" s="360">
        <v>42734</v>
      </c>
      <c r="C80" s="7">
        <v>25</v>
      </c>
      <c r="D80" s="43">
        <v>71.73</v>
      </c>
      <c r="E80" s="43">
        <v>0</v>
      </c>
      <c r="F80" s="43">
        <f>C80*D80+E80</f>
        <v>1793.25</v>
      </c>
      <c r="G80" s="360">
        <v>42773</v>
      </c>
      <c r="H80" s="77">
        <v>25</v>
      </c>
      <c r="I80" s="43">
        <v>77.78</v>
      </c>
      <c r="J80" s="43">
        <v>0.04</v>
      </c>
      <c r="K80" s="43">
        <f>I80*H80-J80</f>
        <v>1944.46</v>
      </c>
      <c r="L80" s="291"/>
      <c r="M80" s="291"/>
    </row>
    <row r="81" spans="1:13" x14ac:dyDescent="0.25">
      <c r="A81" s="291"/>
      <c r="B81" s="69">
        <v>42761</v>
      </c>
      <c r="C81" s="4">
        <v>25</v>
      </c>
      <c r="D81" s="3">
        <v>72.58</v>
      </c>
      <c r="E81" s="3">
        <v>0</v>
      </c>
      <c r="F81" s="3">
        <f>C81*D81+E81</f>
        <v>1814.5</v>
      </c>
      <c r="G81" s="69">
        <v>42796</v>
      </c>
      <c r="H81" s="4">
        <v>25</v>
      </c>
      <c r="I81" s="3">
        <v>82.38</v>
      </c>
      <c r="J81" s="3">
        <v>0.04</v>
      </c>
      <c r="K81" s="3">
        <f>H81*I81-J81</f>
        <v>2059.46</v>
      </c>
      <c r="L81" s="69"/>
      <c r="M81" s="291"/>
    </row>
    <row r="82" spans="1:13" x14ac:dyDescent="0.25">
      <c r="A82" s="291"/>
      <c r="B82" s="291"/>
      <c r="C82" s="291"/>
      <c r="D82" s="292"/>
      <c r="E82" s="292"/>
      <c r="F82" s="292"/>
      <c r="G82" s="291"/>
      <c r="H82" s="295"/>
      <c r="I82" s="292"/>
      <c r="J82" s="292"/>
      <c r="K82" s="292"/>
      <c r="L82" s="291"/>
      <c r="M82" s="291"/>
    </row>
    <row r="83" spans="1:13" x14ac:dyDescent="0.25">
      <c r="A83" s="291"/>
      <c r="B83" s="291"/>
      <c r="C83" s="291"/>
      <c r="D83" s="292"/>
      <c r="E83" s="292"/>
      <c r="F83" s="292"/>
      <c r="G83" s="291"/>
      <c r="H83" s="295"/>
      <c r="I83" s="292"/>
      <c r="J83" s="292"/>
      <c r="K83" s="292"/>
      <c r="L83" s="291"/>
      <c r="M83" s="291"/>
    </row>
    <row r="84" spans="1:13" x14ac:dyDescent="0.25">
      <c r="A84" s="291"/>
      <c r="B84" s="291"/>
      <c r="C84" s="291"/>
      <c r="D84" s="292"/>
      <c r="E84" s="292"/>
      <c r="F84" s="292"/>
      <c r="G84" s="291"/>
      <c r="H84" s="295"/>
      <c r="I84" s="292"/>
      <c r="J84" s="292"/>
      <c r="K84" s="292"/>
      <c r="L84" s="291"/>
      <c r="M84" s="291"/>
    </row>
    <row r="85" spans="1:13" x14ac:dyDescent="0.25">
      <c r="A85" s="21" t="s">
        <v>81</v>
      </c>
      <c r="B85" s="12"/>
      <c r="C85" s="12">
        <f>SUM(C69:C84)</f>
        <v>325</v>
      </c>
      <c r="D85" s="13"/>
      <c r="E85" s="13"/>
      <c r="F85" s="13">
        <f>SUM(F69:F84)</f>
        <v>23883.75</v>
      </c>
      <c r="G85" s="12"/>
      <c r="H85" s="72">
        <f>SUM(H69:H84)</f>
        <v>325</v>
      </c>
      <c r="I85" s="13"/>
      <c r="J85" s="13"/>
      <c r="K85" s="13">
        <f>SUM(K69:K84)</f>
        <v>24861.919999999998</v>
      </c>
      <c r="L85" s="12"/>
      <c r="M85" s="13">
        <f>SUM(M69:M77)</f>
        <v>78.570000000000007</v>
      </c>
    </row>
    <row r="86" spans="1:13" ht="15.75" thickBot="1" x14ac:dyDescent="0.3">
      <c r="A86" s="370" t="s">
        <v>189</v>
      </c>
      <c r="B86" s="371"/>
      <c r="C86" s="372">
        <f>SumByColor($A$19,C69:C84)</f>
        <v>25</v>
      </c>
      <c r="D86" s="372"/>
      <c r="E86" s="372"/>
      <c r="F86" s="373">
        <f>SumByColor($A$19,F69:F84)</f>
        <v>1793</v>
      </c>
      <c r="G86" s="372"/>
      <c r="H86" s="372">
        <f>SumByColor($A$19,H69:H84)</f>
        <v>25</v>
      </c>
      <c r="I86" s="372"/>
      <c r="J86" s="372"/>
      <c r="K86" s="373">
        <f>SumByColor($A$19,K69:K84)</f>
        <v>1944</v>
      </c>
      <c r="L86" s="372"/>
      <c r="M86" s="373">
        <f>SumByColor($A$19,M69:M84)</f>
        <v>0</v>
      </c>
    </row>
    <row r="92" spans="1:13" x14ac:dyDescent="0.25">
      <c r="B92" s="290" t="s">
        <v>113</v>
      </c>
      <c r="C92" s="291" t="s">
        <v>143</v>
      </c>
      <c r="D92" s="292" t="s">
        <v>142</v>
      </c>
      <c r="E92" s="292" t="s">
        <v>144</v>
      </c>
      <c r="F92" s="292" t="s">
        <v>65</v>
      </c>
      <c r="G92" s="292" t="s">
        <v>148</v>
      </c>
      <c r="H92" s="293" t="s">
        <v>88</v>
      </c>
      <c r="I92" s="292" t="s">
        <v>151</v>
      </c>
    </row>
    <row r="93" spans="1:13" x14ac:dyDescent="0.25">
      <c r="A93" s="418" t="s">
        <v>314</v>
      </c>
      <c r="B93" s="417">
        <v>42754</v>
      </c>
      <c r="C93" s="418">
        <v>25</v>
      </c>
      <c r="D93" s="419">
        <v>71.73</v>
      </c>
      <c r="E93" s="420">
        <v>75.55</v>
      </c>
      <c r="F93" s="420">
        <f>C93*(E93-D93)</f>
        <v>95.499999999999829</v>
      </c>
      <c r="G93" s="420">
        <f>D93*C93</f>
        <v>1793.25</v>
      </c>
      <c r="H93" s="460">
        <f>(E93-D93)/D93</f>
        <v>5.3255262791021787E-2</v>
      </c>
      <c r="I93" s="420">
        <v>70</v>
      </c>
    </row>
    <row r="94" spans="1:13" x14ac:dyDescent="0.25">
      <c r="A94" s="418" t="s">
        <v>340</v>
      </c>
      <c r="B94" s="417">
        <v>42761</v>
      </c>
      <c r="C94" s="418">
        <v>50</v>
      </c>
      <c r="D94" s="419">
        <v>72.155000000000001</v>
      </c>
      <c r="E94" s="420">
        <v>73.09</v>
      </c>
      <c r="F94" s="420">
        <f>C94*(E94-D94)</f>
        <v>46.750000000000114</v>
      </c>
      <c r="G94" s="420">
        <f>D94*C94</f>
        <v>3607.75</v>
      </c>
      <c r="H94" s="460">
        <f>(E94-D94)/D94</f>
        <v>1.2958214953918679E-2</v>
      </c>
      <c r="I94" s="420">
        <v>71</v>
      </c>
    </row>
    <row r="95" spans="1:13" x14ac:dyDescent="0.25">
      <c r="A95" s="418" t="s">
        <v>369</v>
      </c>
      <c r="B95" s="417">
        <v>42771</v>
      </c>
      <c r="C95" s="418">
        <v>50</v>
      </c>
      <c r="D95" s="419">
        <v>72.155000000000001</v>
      </c>
      <c r="E95" s="420">
        <v>74.87</v>
      </c>
      <c r="F95" s="420">
        <f>C95*(E95-D95)</f>
        <v>135.75000000000017</v>
      </c>
      <c r="G95" s="420">
        <f>D95*C95</f>
        <v>3607.75</v>
      </c>
      <c r="H95" s="460">
        <f>(E95-D95)/D95</f>
        <v>3.7627330053357402E-2</v>
      </c>
      <c r="I95" s="420"/>
    </row>
    <row r="96" spans="1:13" x14ac:dyDescent="0.25">
      <c r="A96" s="418" t="s">
        <v>372</v>
      </c>
      <c r="B96" s="417">
        <v>42773</v>
      </c>
      <c r="C96" s="418">
        <v>25</v>
      </c>
      <c r="D96" s="419">
        <v>66.531599999999997</v>
      </c>
      <c r="E96" s="420">
        <v>75.87</v>
      </c>
      <c r="F96" s="420">
        <f>C96*(E96-D96)</f>
        <v>233.46000000000018</v>
      </c>
      <c r="G96" s="420">
        <f>D96*C96</f>
        <v>1663.29</v>
      </c>
      <c r="H96" s="460">
        <f>(E96-D96)/D96</f>
        <v>0.14036037010984265</v>
      </c>
      <c r="I96" s="420"/>
    </row>
    <row r="97" spans="1:9" x14ac:dyDescent="0.25">
      <c r="A97" s="547"/>
      <c r="B97" s="548"/>
      <c r="C97" s="547"/>
      <c r="D97" s="549"/>
      <c r="E97" s="549"/>
      <c r="F97" s="549"/>
      <c r="G97" s="549"/>
      <c r="H97" s="550"/>
      <c r="I97" s="549"/>
    </row>
    <row r="98" spans="1:9" x14ac:dyDescent="0.25">
      <c r="A98" s="547" t="s">
        <v>401</v>
      </c>
      <c r="B98" s="548">
        <v>42787</v>
      </c>
      <c r="C98" s="547">
        <v>25</v>
      </c>
      <c r="D98" s="549">
        <v>72.58</v>
      </c>
      <c r="E98" s="549">
        <v>81.34</v>
      </c>
      <c r="F98" s="549">
        <f>C98*(E98-D98)</f>
        <v>219.00000000000011</v>
      </c>
      <c r="G98" s="549">
        <f>D98*C98</f>
        <v>1814.5</v>
      </c>
      <c r="H98" s="550">
        <f>(E98-D98)/D98</f>
        <v>0.12069440617249938</v>
      </c>
      <c r="I98" s="549"/>
    </row>
    <row r="99" spans="1:9" x14ac:dyDescent="0.25">
      <c r="A99" s="547"/>
      <c r="B99" s="548">
        <v>42796</v>
      </c>
      <c r="C99" s="547">
        <v>0</v>
      </c>
      <c r="D99" s="549"/>
      <c r="E99" s="549"/>
      <c r="F99" s="549">
        <v>244.96</v>
      </c>
      <c r="G99" s="549"/>
      <c r="H99" s="550"/>
      <c r="I99" s="549"/>
    </row>
    <row r="100" spans="1:9" x14ac:dyDescent="0.25">
      <c r="B100" s="161"/>
      <c r="C100" s="10"/>
      <c r="D100" s="39"/>
      <c r="E100" s="39"/>
      <c r="F100" s="39"/>
      <c r="G100" s="39"/>
      <c r="H100" s="175"/>
      <c r="I100" s="39"/>
    </row>
    <row r="101" spans="1:9" x14ac:dyDescent="0.25">
      <c r="B101" s="161"/>
      <c r="C101" s="10"/>
      <c r="D101" s="39"/>
      <c r="E101" s="39"/>
      <c r="F101" s="39"/>
      <c r="G101" s="39"/>
      <c r="H101" s="175"/>
      <c r="I101" s="39"/>
    </row>
    <row r="102" spans="1:9" x14ac:dyDescent="0.25">
      <c r="B102" s="161"/>
      <c r="C102" s="10"/>
      <c r="D102" s="39"/>
      <c r="E102" s="39"/>
      <c r="F102" s="39"/>
      <c r="G102" s="39"/>
      <c r="H102" s="175"/>
      <c r="I102" s="39"/>
    </row>
    <row r="103" spans="1:9" x14ac:dyDescent="0.25">
      <c r="B103" s="161"/>
      <c r="C103" s="10"/>
      <c r="D103" s="39"/>
      <c r="E103" s="39"/>
      <c r="F103" s="39"/>
      <c r="G103" s="39"/>
      <c r="H103" s="175"/>
      <c r="I103" s="39"/>
    </row>
    <row r="104" spans="1:9" x14ac:dyDescent="0.25">
      <c r="B104" s="161"/>
      <c r="C104" s="10"/>
      <c r="D104" s="39"/>
      <c r="E104" s="39"/>
      <c r="F104" s="39"/>
      <c r="G104" s="39"/>
      <c r="H104" s="175"/>
      <c r="I104" s="39"/>
    </row>
    <row r="105" spans="1:9" x14ac:dyDescent="0.25">
      <c r="B105" s="161"/>
      <c r="C105" s="10"/>
      <c r="D105" s="39"/>
      <c r="E105" s="39"/>
      <c r="F105" s="39"/>
      <c r="G105" s="39"/>
      <c r="H105" s="175"/>
      <c r="I105" s="39"/>
    </row>
    <row r="106" spans="1:9" x14ac:dyDescent="0.25">
      <c r="B106" s="161"/>
      <c r="C106" s="10"/>
      <c r="D106" s="39"/>
      <c r="E106" s="39"/>
      <c r="F106" s="39"/>
      <c r="G106" s="39"/>
      <c r="H106" s="175"/>
      <c r="I106" s="39"/>
    </row>
    <row r="107" spans="1:9" x14ac:dyDescent="0.25">
      <c r="B107" s="161"/>
      <c r="C107" s="10"/>
      <c r="D107" s="39"/>
      <c r="E107" s="39"/>
      <c r="F107" s="39"/>
      <c r="G107" s="39"/>
      <c r="H107" s="175"/>
      <c r="I107" s="39"/>
    </row>
    <row r="108" spans="1:9" x14ac:dyDescent="0.25">
      <c r="B108" s="161"/>
      <c r="C108" s="10"/>
      <c r="D108" s="39"/>
      <c r="E108" s="39"/>
      <c r="F108" s="39"/>
      <c r="G108" s="39"/>
      <c r="H108" s="175"/>
      <c r="I108" s="39"/>
    </row>
    <row r="109" spans="1:9" x14ac:dyDescent="0.25">
      <c r="B109" s="161"/>
      <c r="C109" s="10"/>
      <c r="D109" s="39"/>
      <c r="E109" s="39"/>
      <c r="F109" s="39"/>
      <c r="G109" s="39"/>
      <c r="H109" s="175"/>
      <c r="I109" s="39"/>
    </row>
    <row r="110" spans="1:9" x14ac:dyDescent="0.25">
      <c r="B110" s="161"/>
      <c r="C110" s="10"/>
      <c r="D110" s="39"/>
      <c r="E110" s="39"/>
      <c r="F110" s="39"/>
      <c r="G110" s="39"/>
      <c r="H110" s="175"/>
      <c r="I110" s="39"/>
    </row>
    <row r="111" spans="1:9" x14ac:dyDescent="0.25">
      <c r="B111" s="161"/>
      <c r="C111" s="10"/>
      <c r="D111" s="39"/>
      <c r="E111" s="39"/>
      <c r="F111" s="39"/>
      <c r="G111" s="39"/>
      <c r="H111" s="175"/>
      <c r="I111" s="39"/>
    </row>
    <row r="112" spans="1:9" x14ac:dyDescent="0.25">
      <c r="B112" s="161"/>
      <c r="C112" s="10"/>
      <c r="D112" s="39"/>
      <c r="E112" s="39"/>
      <c r="F112" s="39"/>
      <c r="G112" s="39"/>
      <c r="H112" s="175"/>
      <c r="I112" s="39"/>
    </row>
    <row r="113" spans="2:9" x14ac:dyDescent="0.25">
      <c r="B113" s="161"/>
      <c r="C113" s="10"/>
      <c r="D113" s="39"/>
      <c r="E113" s="39"/>
      <c r="F113" s="39"/>
      <c r="G113" s="39"/>
      <c r="H113" s="175"/>
      <c r="I113" s="39"/>
    </row>
    <row r="114" spans="2:9" x14ac:dyDescent="0.25">
      <c r="B114" s="161"/>
      <c r="C114" s="10"/>
      <c r="D114" s="39"/>
      <c r="E114" s="39"/>
      <c r="F114" s="39"/>
      <c r="G114" s="39"/>
      <c r="H114" s="175"/>
      <c r="I114" s="39"/>
    </row>
    <row r="115" spans="2:9" x14ac:dyDescent="0.25">
      <c r="B115" s="161"/>
      <c r="C115" s="10"/>
      <c r="D115" s="39"/>
      <c r="E115" s="39"/>
      <c r="F115" s="39"/>
      <c r="G115" s="39"/>
      <c r="H115" s="175"/>
      <c r="I115" s="39"/>
    </row>
    <row r="116" spans="2:9" x14ac:dyDescent="0.25">
      <c r="B116" s="161"/>
      <c r="C116" s="10"/>
      <c r="D116" s="39"/>
      <c r="E116" s="39"/>
      <c r="F116" s="39"/>
      <c r="G116" s="39"/>
      <c r="H116" s="175"/>
      <c r="I116" s="39"/>
    </row>
    <row r="117" spans="2:9" x14ac:dyDescent="0.25">
      <c r="B117" s="161"/>
      <c r="C117" s="10"/>
      <c r="D117" s="39"/>
      <c r="E117" s="39"/>
      <c r="F117" s="39"/>
      <c r="G117" s="39"/>
      <c r="H117" s="175"/>
      <c r="I117" s="39"/>
    </row>
    <row r="118" spans="2:9" x14ac:dyDescent="0.25">
      <c r="B118" s="161"/>
      <c r="C118" s="10"/>
      <c r="D118" s="39"/>
      <c r="E118" s="39"/>
      <c r="F118" s="39"/>
      <c r="G118" s="39"/>
      <c r="H118" s="175"/>
      <c r="I118" s="39"/>
    </row>
    <row r="119" spans="2:9" x14ac:dyDescent="0.25">
      <c r="B119" s="161"/>
      <c r="C119" s="10"/>
      <c r="D119" s="39"/>
      <c r="E119" s="39"/>
      <c r="F119" s="39"/>
      <c r="G119" s="39"/>
      <c r="H119" s="175"/>
      <c r="I119" s="39"/>
    </row>
    <row r="120" spans="2:9" x14ac:dyDescent="0.25">
      <c r="B120" s="161"/>
      <c r="C120" s="10"/>
      <c r="D120" s="39"/>
      <c r="E120" s="39"/>
      <c r="F120" s="39"/>
      <c r="G120" s="39"/>
      <c r="H120" s="175"/>
      <c r="I120" s="39"/>
    </row>
    <row r="121" spans="2:9" x14ac:dyDescent="0.25">
      <c r="B121" s="161"/>
      <c r="C121" s="10"/>
      <c r="D121" s="39"/>
      <c r="E121" s="39"/>
      <c r="F121" s="39"/>
      <c r="G121" s="39"/>
      <c r="H121" s="175"/>
      <c r="I121" s="39"/>
    </row>
    <row r="122" spans="2:9" x14ac:dyDescent="0.25">
      <c r="B122" s="161"/>
      <c r="C122" s="10"/>
      <c r="D122" s="39"/>
      <c r="E122" s="39"/>
      <c r="F122" s="39"/>
      <c r="G122" s="39"/>
      <c r="H122" s="175"/>
      <c r="I122" s="39"/>
    </row>
    <row r="123" spans="2:9" x14ac:dyDescent="0.25">
      <c r="B123" s="161"/>
      <c r="C123" s="10"/>
      <c r="D123" s="39"/>
      <c r="E123" s="39"/>
      <c r="F123" s="39"/>
      <c r="G123" s="39"/>
      <c r="H123" s="175"/>
      <c r="I123" s="39"/>
    </row>
    <row r="124" spans="2:9" x14ac:dyDescent="0.25">
      <c r="B124" s="161"/>
      <c r="C124" s="10"/>
      <c r="D124" s="39"/>
      <c r="E124" s="39"/>
      <c r="F124" s="39"/>
      <c r="G124" s="39"/>
      <c r="H124" s="175"/>
      <c r="I124" s="39"/>
    </row>
    <row r="125" spans="2:9" x14ac:dyDescent="0.25">
      <c r="B125" s="161"/>
      <c r="C125" s="10"/>
      <c r="D125" s="39"/>
      <c r="E125" s="39"/>
      <c r="F125" s="39"/>
      <c r="G125" s="39"/>
      <c r="H125" s="175"/>
      <c r="I125" s="39"/>
    </row>
    <row r="126" spans="2:9" x14ac:dyDescent="0.25">
      <c r="B126" s="161"/>
      <c r="C126" s="10"/>
      <c r="D126" s="39"/>
      <c r="E126" s="39"/>
      <c r="F126" s="39"/>
      <c r="G126" s="39"/>
      <c r="H126" s="175"/>
      <c r="I126" s="39"/>
    </row>
    <row r="127" spans="2:9" x14ac:dyDescent="0.25">
      <c r="B127" s="161"/>
      <c r="C127" s="10"/>
      <c r="D127" s="39"/>
      <c r="E127" s="39"/>
      <c r="F127" s="39"/>
      <c r="G127" s="39"/>
      <c r="H127" s="175"/>
      <c r="I127" s="39"/>
    </row>
    <row r="128" spans="2:9" x14ac:dyDescent="0.25">
      <c r="B128" s="161"/>
      <c r="C128" s="10"/>
      <c r="D128" s="39"/>
      <c r="E128" s="39"/>
      <c r="F128" s="39"/>
      <c r="G128" s="39"/>
      <c r="H128" s="175"/>
      <c r="I128" s="39"/>
    </row>
    <row r="129" spans="2:9" x14ac:dyDescent="0.25">
      <c r="B129" s="161"/>
      <c r="C129" s="10"/>
      <c r="D129" s="39"/>
      <c r="E129" s="39"/>
      <c r="F129" s="39"/>
      <c r="G129" s="39"/>
      <c r="H129" s="175"/>
      <c r="I129" s="39"/>
    </row>
    <row r="130" spans="2:9" x14ac:dyDescent="0.25">
      <c r="B130" s="161"/>
      <c r="C130" s="10"/>
      <c r="D130" s="39"/>
      <c r="E130" s="39"/>
      <c r="F130" s="39"/>
      <c r="G130" s="39"/>
      <c r="H130" s="175"/>
      <c r="I130" s="39"/>
    </row>
    <row r="131" spans="2:9" x14ac:dyDescent="0.25">
      <c r="B131" s="161"/>
      <c r="C131" s="10"/>
      <c r="D131" s="39"/>
      <c r="E131" s="39"/>
      <c r="F131" s="39"/>
      <c r="G131" s="39"/>
      <c r="H131" s="175"/>
      <c r="I131" s="39"/>
    </row>
    <row r="132" spans="2:9" x14ac:dyDescent="0.25">
      <c r="B132" s="161"/>
      <c r="C132" s="10"/>
      <c r="D132" s="39"/>
      <c r="E132" s="39"/>
      <c r="F132" s="39"/>
      <c r="G132" s="39"/>
      <c r="H132" s="175"/>
      <c r="I132" s="39"/>
    </row>
    <row r="133" spans="2:9" x14ac:dyDescent="0.25">
      <c r="B133" s="161"/>
      <c r="C133" s="10"/>
      <c r="D133" s="39"/>
      <c r="E133" s="39"/>
      <c r="F133" s="39"/>
      <c r="G133" s="39"/>
      <c r="H133" s="175"/>
      <c r="I133" s="39"/>
    </row>
    <row r="134" spans="2:9" x14ac:dyDescent="0.25">
      <c r="B134" s="161"/>
      <c r="C134" s="10"/>
      <c r="D134" s="39"/>
      <c r="E134" s="39"/>
      <c r="F134" s="39"/>
      <c r="G134" s="39"/>
      <c r="H134" s="175"/>
      <c r="I134" s="39"/>
    </row>
  </sheetData>
  <conditionalFormatting sqref="O27:O47">
    <cfRule type="colorScale" priority="92">
      <colorScale>
        <cfvo type="min"/>
        <cfvo type="percentile" val="50"/>
        <cfvo type="max"/>
        <color rgb="FFF8696B"/>
        <color rgb="FFFFEB84"/>
        <color rgb="FF63BE7B"/>
      </colorScale>
    </cfRule>
  </conditionalFormatting>
  <conditionalFormatting sqref="P27:P47">
    <cfRule type="colorScale" priority="91">
      <colorScale>
        <cfvo type="min"/>
        <cfvo type="percentile" val="50"/>
        <cfvo type="max"/>
        <color rgb="FFF8696B"/>
        <color rgb="FFFFEB84"/>
        <color rgb="FF63BE7B"/>
      </colorScale>
    </cfRule>
  </conditionalFormatting>
  <conditionalFormatting sqref="H29:H56 F29:F56">
    <cfRule type="expression" dxfId="793" priority="87">
      <formula>F29&gt;0</formula>
    </cfRule>
    <cfRule type="expression" dxfId="792" priority="88">
      <formula>F29&lt;0</formula>
    </cfRule>
  </conditionalFormatting>
  <conditionalFormatting sqref="F57:F64 F66">
    <cfRule type="expression" dxfId="791" priority="83">
      <formula>F57&gt;0</formula>
    </cfRule>
    <cfRule type="expression" dxfId="790" priority="84">
      <formula>F57&lt;0</formula>
    </cfRule>
  </conditionalFormatting>
  <conditionalFormatting sqref="F57:F64 F66">
    <cfRule type="expression" dxfId="789" priority="85">
      <formula>F57&gt;0</formula>
    </cfRule>
    <cfRule type="expression" dxfId="788" priority="86">
      <formula>F57&lt;0</formula>
    </cfRule>
  </conditionalFormatting>
  <conditionalFormatting sqref="H57:H64 H66">
    <cfRule type="expression" dxfId="787" priority="81">
      <formula>H57&gt;0</formula>
    </cfRule>
    <cfRule type="expression" dxfId="786" priority="82">
      <formula>H57&lt;0</formula>
    </cfRule>
  </conditionalFormatting>
  <conditionalFormatting sqref="Q7">
    <cfRule type="expression" dxfId="785" priority="63">
      <formula>Q7&gt;0</formula>
    </cfRule>
    <cfRule type="expression" dxfId="784" priority="64">
      <formula>Q7&lt;0</formula>
    </cfRule>
  </conditionalFormatting>
  <conditionalFormatting sqref="Q8">
    <cfRule type="expression" dxfId="783" priority="61">
      <formula>Q8&gt;0</formula>
    </cfRule>
    <cfRule type="expression" dxfId="782" priority="62">
      <formula>Q8&lt;0</formula>
    </cfRule>
  </conditionalFormatting>
  <conditionalFormatting sqref="F93:F97 H93:H97 H99:H124 F99:F124">
    <cfRule type="expression" dxfId="781" priority="33">
      <formula>F93&gt;0</formula>
    </cfRule>
    <cfRule type="expression" dxfId="780" priority="34">
      <formula>F93&lt;0</formula>
    </cfRule>
  </conditionalFormatting>
  <conditionalFormatting sqref="F125:F132 F134">
    <cfRule type="expression" dxfId="779" priority="31">
      <formula>F125&gt;0</formula>
    </cfRule>
    <cfRule type="expression" dxfId="778" priority="32">
      <formula>F125&lt;0</formula>
    </cfRule>
  </conditionalFormatting>
  <conditionalFormatting sqref="M67">
    <cfRule type="expression" dxfId="777" priority="43">
      <formula>M67&gt;0</formula>
    </cfRule>
    <cfRule type="expression" dxfId="776" priority="44">
      <formula>M67&lt;0</formula>
    </cfRule>
  </conditionalFormatting>
  <conditionalFormatting sqref="F65">
    <cfRule type="expression" dxfId="775" priority="39">
      <formula>F65&gt;0</formula>
    </cfRule>
    <cfRule type="expression" dxfId="774" priority="40">
      <formula>F65&lt;0</formula>
    </cfRule>
  </conditionalFormatting>
  <conditionalFormatting sqref="F65">
    <cfRule type="expression" dxfId="773" priority="41">
      <formula>F65&gt;0</formula>
    </cfRule>
    <cfRule type="expression" dxfId="772" priority="42">
      <formula>F65&lt;0</formula>
    </cfRule>
  </conditionalFormatting>
  <conditionalFormatting sqref="H65">
    <cfRule type="expression" dxfId="771" priority="37">
      <formula>H65&gt;0</formula>
    </cfRule>
    <cfRule type="expression" dxfId="770" priority="38">
      <formula>H65&lt;0</formula>
    </cfRule>
  </conditionalFormatting>
  <conditionalFormatting sqref="F125:F132 F134">
    <cfRule type="expression" dxfId="769" priority="29">
      <formula>F125&gt;0</formula>
    </cfRule>
    <cfRule type="expression" dxfId="768" priority="30">
      <formula>F125&lt;0</formula>
    </cfRule>
  </conditionalFormatting>
  <conditionalFormatting sqref="H125:H132 H134">
    <cfRule type="expression" dxfId="767" priority="27">
      <formula>H125&gt;0</formula>
    </cfRule>
    <cfRule type="expression" dxfId="766" priority="28">
      <formula>H125&lt;0</formula>
    </cfRule>
  </conditionalFormatting>
  <conditionalFormatting sqref="F92">
    <cfRule type="expression" dxfId="765" priority="25">
      <formula>F92&gt;0</formula>
    </cfRule>
    <cfRule type="expression" dxfId="764" priority="26">
      <formula>F92&lt;0</formula>
    </cfRule>
  </conditionalFormatting>
  <conditionalFormatting sqref="H92">
    <cfRule type="expression" dxfId="763" priority="23">
      <formula>H92&gt;0</formula>
    </cfRule>
    <cfRule type="expression" dxfId="762" priority="24">
      <formula>H92&lt;0</formula>
    </cfRule>
  </conditionalFormatting>
  <conditionalFormatting sqref="F133">
    <cfRule type="expression" dxfId="761" priority="19">
      <formula>F133&gt;0</formula>
    </cfRule>
    <cfRule type="expression" dxfId="760" priority="20">
      <formula>F133&lt;0</formula>
    </cfRule>
  </conditionalFormatting>
  <conditionalFormatting sqref="F133">
    <cfRule type="expression" dxfId="759" priority="21">
      <formula>F133&gt;0</formula>
    </cfRule>
    <cfRule type="expression" dxfId="758" priority="22">
      <formula>F133&lt;0</formula>
    </cfRule>
  </conditionalFormatting>
  <conditionalFormatting sqref="H133">
    <cfRule type="expression" dxfId="757" priority="17">
      <formula>H133&gt;0</formula>
    </cfRule>
    <cfRule type="expression" dxfId="756" priority="18">
      <formula>H133&lt;0</formula>
    </cfRule>
  </conditionalFormatting>
  <conditionalFormatting sqref="F98 H98">
    <cfRule type="expression" dxfId="755" priority="15">
      <formula>F98&gt;0</formula>
    </cfRule>
    <cfRule type="expression" dxfId="754" priority="16">
      <formula>F98&lt;0</formula>
    </cfRule>
  </conditionalFormatting>
  <conditionalFormatting sqref="J25:J66">
    <cfRule type="expression" dxfId="753" priority="13">
      <formula>J25&gt;0</formula>
    </cfRule>
    <cfRule type="expression" dxfId="752" priority="14">
      <formula>J25&lt;0</formula>
    </cfRule>
  </conditionalFormatting>
  <conditionalFormatting sqref="K41 K45:K66">
    <cfRule type="expression" dxfId="751" priority="11">
      <formula>K41&gt;0</formula>
    </cfRule>
    <cfRule type="expression" dxfId="750" priority="12">
      <formula>K41&lt;0</formula>
    </cfRule>
  </conditionalFormatting>
  <conditionalFormatting sqref="L25">
    <cfRule type="expression" dxfId="749" priority="9">
      <formula>L25&gt;0</formula>
    </cfRule>
    <cfRule type="expression" dxfId="748" priority="10">
      <formula>L25&lt;0</formula>
    </cfRule>
  </conditionalFormatting>
  <conditionalFormatting sqref="F25:F28">
    <cfRule type="expression" dxfId="747" priority="7">
      <formula>F25&gt;0</formula>
    </cfRule>
    <cfRule type="expression" dxfId="746" priority="8">
      <formula>F25&lt;0</formula>
    </cfRule>
  </conditionalFormatting>
  <conditionalFormatting sqref="H25:H28">
    <cfRule type="expression" dxfId="745" priority="5">
      <formula>H25&gt;0</formula>
    </cfRule>
    <cfRule type="expression" dxfId="744" priority="6">
      <formula>H25&lt;0</formula>
    </cfRule>
  </conditionalFormatting>
  <hyperlinks>
    <hyperlink ref="A3" location="ACTIVE!A1" display="Back"/>
    <hyperlink ref="A70" location="ACTIVE!A1" display="Back"/>
  </hyperlinks>
  <pageMargins left="0.7" right="0.7" top="0.75" bottom="0.75" header="0.3" footer="0.3"/>
  <pageSetup orientation="portrait" r:id="rId1"/>
  <drawing r:id="rId2"/>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U22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3.140625" style="2" bestFit="1" customWidth="1"/>
    <col min="7" max="7" width="12" bestFit="1" customWidth="1"/>
    <col min="8" max="8" width="12.85546875" customWidth="1"/>
    <col min="9" max="11" width="9.140625" style="2"/>
    <col min="17" max="17" width="13.140625" bestFit="1" customWidth="1"/>
    <col min="18" max="18" width="18.5703125" bestFit="1" customWidth="1"/>
    <col min="20" max="20" width="23.140625" customWidth="1"/>
    <col min="21" max="21" width="108" customWidth="1"/>
    <col min="23" max="23" width="11.7109375" customWidth="1"/>
    <col min="24" max="24" width="8.85546875" customWidth="1"/>
    <col min="25" max="27" width="6" bestFit="1" customWidth="1"/>
    <col min="28" max="28" width="10.140625" bestFit="1" customWidth="1"/>
    <col min="29" max="29" width="7.42578125"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32</v>
      </c>
      <c r="B2" s="360">
        <v>43140</v>
      </c>
      <c r="C2" s="7">
        <v>100</v>
      </c>
      <c r="D2" s="43">
        <v>49.58</v>
      </c>
      <c r="E2" s="43">
        <v>0</v>
      </c>
      <c r="F2" s="43">
        <f t="shared" ref="F2:F8" si="0">C2*D2+E2</f>
        <v>4958</v>
      </c>
      <c r="G2" s="360">
        <v>43140</v>
      </c>
      <c r="H2" s="7">
        <v>100</v>
      </c>
      <c r="I2" s="43">
        <v>55.78</v>
      </c>
      <c r="J2" s="43">
        <v>0.13</v>
      </c>
      <c r="K2" s="43">
        <f t="shared" ref="K2:K7" si="1">H2*I2-J2</f>
        <v>5577.87</v>
      </c>
      <c r="L2" s="69">
        <v>43176</v>
      </c>
      <c r="M2" s="43">
        <v>30.5</v>
      </c>
      <c r="O2" s="11" t="s">
        <v>57</v>
      </c>
      <c r="Q2">
        <f>C29-H29</f>
        <v>0</v>
      </c>
      <c r="T2" s="1" t="s">
        <v>194</v>
      </c>
    </row>
    <row r="3" spans="1:21" x14ac:dyDescent="0.25">
      <c r="A3" s="22" t="s">
        <v>71</v>
      </c>
      <c r="B3" s="360">
        <v>43229</v>
      </c>
      <c r="C3" s="7">
        <v>50</v>
      </c>
      <c r="D3" s="43">
        <v>51.55</v>
      </c>
      <c r="E3" s="43">
        <v>0</v>
      </c>
      <c r="F3" s="43">
        <f t="shared" si="0"/>
        <v>2577.5</v>
      </c>
      <c r="G3" s="360">
        <v>43291</v>
      </c>
      <c r="H3" s="7">
        <v>50</v>
      </c>
      <c r="I3" s="43">
        <v>50.62</v>
      </c>
      <c r="J3" s="43">
        <v>0.03</v>
      </c>
      <c r="K3" s="43">
        <f t="shared" si="1"/>
        <v>2530.9699999999998</v>
      </c>
      <c r="L3" s="69">
        <v>43252</v>
      </c>
      <c r="M3" s="43">
        <v>30.5</v>
      </c>
      <c r="O3" s="11" t="s">
        <v>58</v>
      </c>
      <c r="Q3" s="174">
        <f>IF(Q2=0, Q4, (F29-K29-M29)/Q2)</f>
        <v>58.02</v>
      </c>
      <c r="T3" s="29">
        <v>42565</v>
      </c>
      <c r="U3" t="s">
        <v>225</v>
      </c>
    </row>
    <row r="4" spans="1:21" x14ac:dyDescent="0.25">
      <c r="B4" s="360">
        <v>43229</v>
      </c>
      <c r="C4" s="7">
        <v>50</v>
      </c>
      <c r="D4" s="43">
        <v>51.55</v>
      </c>
      <c r="E4" s="43">
        <v>0</v>
      </c>
      <c r="F4" s="43">
        <f t="shared" si="0"/>
        <v>2577.5</v>
      </c>
      <c r="G4" s="360">
        <v>43298</v>
      </c>
      <c r="H4" s="77">
        <v>50</v>
      </c>
      <c r="I4" s="43">
        <v>51.75</v>
      </c>
      <c r="J4" s="43">
        <v>0.03</v>
      </c>
      <c r="K4" s="43">
        <f t="shared" si="1"/>
        <v>2587.4699999999998</v>
      </c>
      <c r="L4" s="69">
        <v>43328</v>
      </c>
      <c r="M4" s="43">
        <v>35</v>
      </c>
      <c r="O4" s="11" t="s">
        <v>66</v>
      </c>
      <c r="Q4" s="169">
        <v>58.02</v>
      </c>
      <c r="R4" s="415">
        <v>-5.5999999999999999E-3</v>
      </c>
      <c r="T4" s="29">
        <v>42568</v>
      </c>
      <c r="U4" t="s">
        <v>234</v>
      </c>
    </row>
    <row r="5" spans="1:21" x14ac:dyDescent="0.25">
      <c r="A5" t="s">
        <v>1130</v>
      </c>
      <c r="B5" s="360">
        <v>43278</v>
      </c>
      <c r="C5" s="7">
        <v>50</v>
      </c>
      <c r="D5" s="43">
        <v>49.88</v>
      </c>
      <c r="E5" s="43">
        <v>0</v>
      </c>
      <c r="F5" s="43">
        <f t="shared" si="0"/>
        <v>2494</v>
      </c>
      <c r="G5" s="360">
        <v>43299</v>
      </c>
      <c r="H5" s="77">
        <v>50</v>
      </c>
      <c r="I5" s="43">
        <v>52.5</v>
      </c>
      <c r="J5" s="43">
        <v>0.03</v>
      </c>
      <c r="K5" s="43">
        <f t="shared" si="1"/>
        <v>2624.97</v>
      </c>
      <c r="L5" s="69">
        <v>43432</v>
      </c>
      <c r="M5" s="43">
        <v>35</v>
      </c>
      <c r="O5" s="11" t="s">
        <v>67</v>
      </c>
      <c r="Q5" s="3">
        <f>Q4*Q2</f>
        <v>0</v>
      </c>
      <c r="T5" s="29">
        <v>42592</v>
      </c>
      <c r="U5" t="s">
        <v>252</v>
      </c>
    </row>
    <row r="6" spans="1:21" x14ac:dyDescent="0.25">
      <c r="B6" s="360">
        <v>43279</v>
      </c>
      <c r="C6" s="7">
        <v>50</v>
      </c>
      <c r="D6" s="43">
        <v>49.08</v>
      </c>
      <c r="E6" s="43">
        <v>0</v>
      </c>
      <c r="F6" s="43">
        <f t="shared" si="0"/>
        <v>2454</v>
      </c>
      <c r="G6" s="360">
        <v>43327</v>
      </c>
      <c r="H6" s="77">
        <v>100</v>
      </c>
      <c r="I6" s="43">
        <v>55.48</v>
      </c>
      <c r="J6" s="43">
        <v>7.0000000000000007E-2</v>
      </c>
      <c r="K6" s="43">
        <f t="shared" si="1"/>
        <v>5547.93</v>
      </c>
      <c r="L6" s="4"/>
      <c r="M6" s="4"/>
      <c r="O6" s="11" t="s">
        <v>64</v>
      </c>
      <c r="Q6" s="2">
        <f>Q3*Q2</f>
        <v>0</v>
      </c>
      <c r="T6" s="29">
        <v>42647</v>
      </c>
      <c r="U6" t="s">
        <v>256</v>
      </c>
    </row>
    <row r="7" spans="1:21" x14ac:dyDescent="0.25">
      <c r="B7" s="360">
        <v>43292</v>
      </c>
      <c r="C7" s="7">
        <v>50</v>
      </c>
      <c r="D7" s="43">
        <v>49.02</v>
      </c>
      <c r="E7" s="43">
        <v>0</v>
      </c>
      <c r="F7" s="43">
        <f t="shared" si="0"/>
        <v>2451</v>
      </c>
      <c r="G7" s="360">
        <v>43427</v>
      </c>
      <c r="H7" s="77">
        <v>100</v>
      </c>
      <c r="I7" s="43">
        <v>57.29</v>
      </c>
      <c r="J7" s="43">
        <v>7.0000000000000007E-2</v>
      </c>
      <c r="K7" s="43">
        <f t="shared" si="1"/>
        <v>5728.93</v>
      </c>
      <c r="L7" s="4"/>
      <c r="M7" s="4"/>
      <c r="O7" s="11" t="s">
        <v>175</v>
      </c>
      <c r="Q7" s="2">
        <f>Q10+Q8</f>
        <v>3427.6099999999965</v>
      </c>
      <c r="R7">
        <v>0</v>
      </c>
    </row>
    <row r="8" spans="1:21" x14ac:dyDescent="0.25">
      <c r="B8" s="360">
        <v>43383</v>
      </c>
      <c r="C8" s="7">
        <v>100</v>
      </c>
      <c r="D8" s="43">
        <v>49.88</v>
      </c>
      <c r="E8" s="43">
        <v>0</v>
      </c>
      <c r="F8" s="43">
        <f t="shared" si="0"/>
        <v>4988</v>
      </c>
      <c r="G8" s="69"/>
      <c r="H8" s="158"/>
      <c r="I8" s="3"/>
      <c r="J8" s="3"/>
      <c r="K8" s="3"/>
      <c r="L8" s="4"/>
      <c r="M8" s="4"/>
      <c r="O8" s="11" t="s">
        <v>177</v>
      </c>
      <c r="P8" s="33"/>
      <c r="Q8" s="2">
        <f>K29+M29-F29+Q2*Q4</f>
        <v>2229.1399999999994</v>
      </c>
      <c r="R8" s="338"/>
      <c r="T8" s="29">
        <v>43202</v>
      </c>
      <c r="U8" t="s">
        <v>926</v>
      </c>
    </row>
    <row r="9" spans="1:21" x14ac:dyDescent="0.25">
      <c r="B9" s="69"/>
      <c r="C9" s="4"/>
      <c r="D9" s="3"/>
      <c r="E9" s="3"/>
      <c r="F9" s="3"/>
      <c r="G9" s="209"/>
      <c r="H9" s="4"/>
      <c r="I9" s="3"/>
      <c r="J9" s="3"/>
      <c r="K9" s="3"/>
      <c r="L9" s="4"/>
      <c r="M9" s="4"/>
      <c r="O9" s="11" t="s">
        <v>202</v>
      </c>
      <c r="Q9" s="131">
        <f>IF(Q2=0, 0, Q8/Q6)</f>
        <v>0</v>
      </c>
      <c r="T9" s="29"/>
      <c r="U9" s="396" t="s">
        <v>927</v>
      </c>
    </row>
    <row r="10" spans="1:21" x14ac:dyDescent="0.25">
      <c r="B10" s="69"/>
      <c r="C10" s="4"/>
      <c r="D10" s="3"/>
      <c r="E10" s="3"/>
      <c r="F10" s="3"/>
      <c r="G10" s="69"/>
      <c r="H10" s="303"/>
      <c r="I10" s="70"/>
      <c r="J10" s="70"/>
      <c r="K10" s="70"/>
      <c r="L10" s="4"/>
      <c r="M10" s="4"/>
      <c r="O10" s="11" t="s">
        <v>201</v>
      </c>
      <c r="P10" s="33"/>
      <c r="Q10" s="2">
        <f>M104 + M126</f>
        <v>1198.4699999999971</v>
      </c>
      <c r="T10" s="29"/>
    </row>
    <row r="11" spans="1:21" x14ac:dyDescent="0.25">
      <c r="B11" s="69"/>
      <c r="C11" s="4"/>
      <c r="D11" s="3"/>
      <c r="E11" s="3"/>
      <c r="F11" s="3"/>
      <c r="G11" s="69"/>
      <c r="H11" s="158"/>
      <c r="I11" s="3"/>
      <c r="J11" s="3"/>
      <c r="K11" s="70"/>
      <c r="L11" s="4"/>
      <c r="M11" s="4"/>
      <c r="O11" s="11" t="s">
        <v>173</v>
      </c>
      <c r="P11" s="33"/>
      <c r="Q11" s="131">
        <f>R11*4/Q4</f>
        <v>2.102723198896932E-2</v>
      </c>
      <c r="R11">
        <f>0.305</f>
        <v>0.30499999999999999</v>
      </c>
      <c r="T11" s="29">
        <v>43257</v>
      </c>
      <c r="U11" t="s">
        <v>1045</v>
      </c>
    </row>
    <row r="12" spans="1:21" x14ac:dyDescent="0.25">
      <c r="B12" s="69"/>
      <c r="C12" s="4"/>
      <c r="D12" s="3"/>
      <c r="E12" s="3"/>
      <c r="F12" s="3"/>
      <c r="G12" s="69"/>
      <c r="H12" s="158"/>
      <c r="I12" s="3"/>
      <c r="J12" s="3"/>
      <c r="K12" s="3"/>
      <c r="L12" s="4"/>
      <c r="M12" s="4"/>
      <c r="O12" s="11" t="s">
        <v>923</v>
      </c>
      <c r="Q12" s="1"/>
      <c r="T12" s="29"/>
    </row>
    <row r="13" spans="1:21" x14ac:dyDescent="0.25">
      <c r="B13" s="69"/>
      <c r="C13" s="4"/>
      <c r="D13" s="3"/>
      <c r="E13" s="3"/>
      <c r="F13" s="3"/>
      <c r="G13" s="69"/>
      <c r="H13" s="158"/>
      <c r="I13" s="3"/>
      <c r="J13" s="3"/>
      <c r="K13" s="3"/>
      <c r="L13" s="4"/>
      <c r="M13" s="4"/>
      <c r="O13" s="11" t="s">
        <v>901</v>
      </c>
      <c r="Q13" s="2">
        <f>Q4/(5.35+5.7)*2</f>
        <v>10.501357466063348</v>
      </c>
      <c r="T13" s="29">
        <v>43288</v>
      </c>
      <c r="U13" t="s">
        <v>1094</v>
      </c>
    </row>
    <row r="14" spans="1:21" x14ac:dyDescent="0.25">
      <c r="B14" s="69"/>
      <c r="C14" s="4"/>
      <c r="D14" s="3"/>
      <c r="E14" s="3"/>
      <c r="F14" s="3"/>
      <c r="G14" s="69"/>
      <c r="H14" s="158"/>
      <c r="I14" s="3"/>
      <c r="J14" s="3"/>
      <c r="K14" s="3"/>
      <c r="L14" s="4"/>
      <c r="M14" s="4"/>
      <c r="T14" s="29"/>
      <c r="U14" t="s">
        <v>1096</v>
      </c>
    </row>
    <row r="15" spans="1:21" x14ac:dyDescent="0.25">
      <c r="B15" s="69"/>
      <c r="C15" s="4"/>
      <c r="D15" s="3"/>
      <c r="E15" s="3"/>
      <c r="F15" s="3"/>
      <c r="G15" s="69"/>
      <c r="H15" s="158"/>
      <c r="I15" s="3"/>
      <c r="J15" s="3"/>
      <c r="K15" s="3"/>
      <c r="L15" s="4"/>
      <c r="M15" s="4"/>
      <c r="T15" s="29"/>
      <c r="U15" t="s">
        <v>1095</v>
      </c>
    </row>
    <row r="16" spans="1:21" x14ac:dyDescent="0.25">
      <c r="B16" s="69"/>
      <c r="C16" s="4"/>
      <c r="D16" s="3"/>
      <c r="E16" s="3"/>
      <c r="F16" s="3"/>
      <c r="G16" s="69"/>
      <c r="H16" s="158"/>
      <c r="I16" s="3"/>
      <c r="J16" s="3"/>
      <c r="K16" s="3"/>
      <c r="L16" s="4"/>
      <c r="M16" s="4"/>
      <c r="T16" s="29"/>
      <c r="U16" t="s">
        <v>1097</v>
      </c>
    </row>
    <row r="17" spans="1:21" x14ac:dyDescent="0.25">
      <c r="B17" s="69"/>
      <c r="C17" s="4"/>
      <c r="D17" s="3"/>
      <c r="E17" s="3"/>
      <c r="F17" s="3"/>
      <c r="G17" s="4"/>
      <c r="H17" s="4"/>
      <c r="I17" s="3"/>
      <c r="J17" s="3"/>
      <c r="K17" s="3"/>
      <c r="L17" s="4"/>
      <c r="M17" s="4"/>
      <c r="T17" s="29"/>
      <c r="U17" t="s">
        <v>1098</v>
      </c>
    </row>
    <row r="18" spans="1:21" x14ac:dyDescent="0.25">
      <c r="B18" s="69"/>
      <c r="C18" s="4"/>
      <c r="D18" s="3"/>
      <c r="E18" s="3"/>
      <c r="F18" s="3"/>
      <c r="G18" s="4"/>
      <c r="H18" s="4"/>
      <c r="I18" s="3"/>
      <c r="J18" s="3"/>
      <c r="K18" s="3"/>
      <c r="L18" s="4"/>
      <c r="M18" s="4"/>
      <c r="T18" s="29"/>
    </row>
    <row r="19" spans="1:21" x14ac:dyDescent="0.25">
      <c r="B19" s="4"/>
      <c r="C19" s="4"/>
      <c r="D19" s="3"/>
      <c r="E19" s="3"/>
      <c r="F19" s="3"/>
      <c r="G19" s="4"/>
      <c r="H19" s="4"/>
      <c r="I19" s="3"/>
      <c r="J19" s="3"/>
      <c r="K19" s="3"/>
      <c r="L19" s="4"/>
      <c r="M19" s="4"/>
      <c r="T19" s="29"/>
    </row>
    <row r="20" spans="1:21" x14ac:dyDescent="0.25">
      <c r="B20" s="4"/>
      <c r="C20" s="4"/>
      <c r="D20" s="3"/>
      <c r="E20" s="3"/>
      <c r="F20" s="3"/>
      <c r="G20" s="4"/>
      <c r="H20" s="4"/>
      <c r="I20" s="3"/>
      <c r="J20" s="3"/>
      <c r="K20" s="3"/>
      <c r="L20" s="4"/>
      <c r="M20" s="4"/>
      <c r="T20" s="29">
        <v>43293</v>
      </c>
      <c r="U20" t="s">
        <v>1099</v>
      </c>
    </row>
    <row r="21" spans="1:21" x14ac:dyDescent="0.25">
      <c r="B21" s="4"/>
      <c r="C21" s="4"/>
      <c r="D21" s="3"/>
      <c r="E21" s="3"/>
      <c r="F21" s="3"/>
      <c r="G21" s="4"/>
      <c r="H21" s="4"/>
      <c r="I21" s="3"/>
      <c r="J21" s="3"/>
      <c r="K21" s="3"/>
      <c r="L21" s="4"/>
      <c r="M21" s="4"/>
      <c r="U21" t="s">
        <v>1118</v>
      </c>
    </row>
    <row r="23" spans="1:21" x14ac:dyDescent="0.25">
      <c r="T23" s="680">
        <v>43298</v>
      </c>
      <c r="U23" t="s">
        <v>1129</v>
      </c>
    </row>
    <row r="24" spans="1:21" x14ac:dyDescent="0.25">
      <c r="T24" s="695"/>
    </row>
    <row r="25" spans="1:21" x14ac:dyDescent="0.25">
      <c r="T25" s="680">
        <v>43307</v>
      </c>
      <c r="U25" t="s">
        <v>1125</v>
      </c>
    </row>
    <row r="26" spans="1:21" x14ac:dyDescent="0.25">
      <c r="T26" s="64"/>
    </row>
    <row r="28" spans="1:21" x14ac:dyDescent="0.25">
      <c r="H28" s="67"/>
    </row>
    <row r="29" spans="1:21" x14ac:dyDescent="0.25">
      <c r="A29" s="31" t="s">
        <v>81</v>
      </c>
      <c r="B29" s="14"/>
      <c r="C29" s="14">
        <f>SUM(C2:C19)</f>
        <v>450</v>
      </c>
      <c r="D29" s="18"/>
      <c r="E29" s="18"/>
      <c r="F29" s="18">
        <f>SUM(F2:F19)</f>
        <v>22500</v>
      </c>
      <c r="G29" s="14"/>
      <c r="H29" s="68">
        <f>SUM(H2:H28)</f>
        <v>450</v>
      </c>
      <c r="I29" s="18"/>
      <c r="J29" s="18"/>
      <c r="K29" s="18">
        <f>SUM(K2:K28)</f>
        <v>24598.14</v>
      </c>
      <c r="L29" s="14"/>
      <c r="M29" s="18">
        <f>SUM(M2:M28)</f>
        <v>131</v>
      </c>
    </row>
    <row r="30" spans="1:21" ht="15.75" thickBot="1" x14ac:dyDescent="0.3">
      <c r="A30" s="273" t="s">
        <v>189</v>
      </c>
      <c r="B30" s="274"/>
      <c r="C30" s="275">
        <f>SumByColor($A$30,C2:C28)</f>
        <v>450</v>
      </c>
      <c r="D30" s="275"/>
      <c r="E30" s="275"/>
      <c r="F30" s="276">
        <f>SumByColor($A$30,F2:F28)</f>
        <v>22501</v>
      </c>
      <c r="G30" s="275"/>
      <c r="H30" s="275">
        <f>SumByColor($A$30,H2:H28)</f>
        <v>450</v>
      </c>
      <c r="I30" s="275"/>
      <c r="J30" s="275"/>
      <c r="K30" s="276">
        <f>SumByColor($A$30,K2:K28)</f>
        <v>24598</v>
      </c>
      <c r="L30" s="275"/>
      <c r="M30" s="276">
        <f>SumByColor($A$30,M2:M28)</f>
        <v>130</v>
      </c>
    </row>
    <row r="35" spans="1:17" x14ac:dyDescent="0.25">
      <c r="B35" s="159" t="s">
        <v>113</v>
      </c>
      <c r="C35" s="159" t="s">
        <v>143</v>
      </c>
      <c r="D35" s="160" t="s">
        <v>142</v>
      </c>
      <c r="E35" s="162" t="s">
        <v>144</v>
      </c>
      <c r="F35" s="162" t="s">
        <v>65</v>
      </c>
      <c r="G35" s="173" t="s">
        <v>148</v>
      </c>
      <c r="H35" s="173" t="s">
        <v>88</v>
      </c>
      <c r="I35" s="173" t="s">
        <v>151</v>
      </c>
      <c r="J35" s="173" t="s">
        <v>147</v>
      </c>
    </row>
    <row r="36" spans="1:17" x14ac:dyDescent="0.25">
      <c r="B36" s="161">
        <v>43140</v>
      </c>
      <c r="C36" s="10">
        <v>100</v>
      </c>
      <c r="D36" s="168">
        <v>49.58</v>
      </c>
      <c r="E36" s="39">
        <v>50.46</v>
      </c>
      <c r="F36" s="39">
        <f>C36*(E36-D36)</f>
        <v>88.000000000000256</v>
      </c>
      <c r="G36" s="39">
        <f>D36*C36</f>
        <v>4958</v>
      </c>
      <c r="H36" s="175">
        <f>(E36-D36)/D36</f>
        <v>1.7749092375958099E-2</v>
      </c>
      <c r="I36" s="39"/>
      <c r="J36" s="39"/>
    </row>
    <row r="37" spans="1:17" x14ac:dyDescent="0.25">
      <c r="B37" s="161">
        <v>43172</v>
      </c>
      <c r="C37" s="10">
        <v>100</v>
      </c>
      <c r="D37" s="168">
        <v>49.58</v>
      </c>
      <c r="E37" s="39">
        <v>56.59</v>
      </c>
      <c r="F37" s="39">
        <f>C37*(E37-D37)</f>
        <v>701.00000000000045</v>
      </c>
      <c r="G37" s="39">
        <f>D37*C37</f>
        <v>4958</v>
      </c>
      <c r="H37" s="175">
        <f>(E37-D37)/D37</f>
        <v>0.14138765631302955</v>
      </c>
      <c r="I37" s="39"/>
      <c r="J37" s="39"/>
    </row>
    <row r="38" spans="1:17" x14ac:dyDescent="0.25">
      <c r="B38" s="161">
        <v>43184</v>
      </c>
      <c r="C38" s="10">
        <v>100</v>
      </c>
      <c r="D38" s="168">
        <v>49.58</v>
      </c>
      <c r="E38" s="39">
        <v>53.9</v>
      </c>
      <c r="F38" s="39">
        <f>C38*(E38-D38)</f>
        <v>432</v>
      </c>
      <c r="G38" s="39">
        <f>D38*C38</f>
        <v>4958</v>
      </c>
      <c r="H38" s="175">
        <f>(E38-D38)/D38</f>
        <v>8.7131908027430427E-2</v>
      </c>
      <c r="I38" s="39"/>
      <c r="J38" s="39">
        <v>1661</v>
      </c>
    </row>
    <row r="39" spans="1:17" x14ac:dyDescent="0.25">
      <c r="B39" s="161">
        <v>43185</v>
      </c>
      <c r="C39" s="10">
        <v>100</v>
      </c>
      <c r="D39" s="168">
        <v>49.58</v>
      </c>
      <c r="E39" s="39">
        <v>55.06</v>
      </c>
      <c r="F39" s="39">
        <f t="shared" ref="F39:F51" si="2">C39*(E39-D39)</f>
        <v>548.00000000000045</v>
      </c>
      <c r="G39" s="39">
        <f>D39*C39</f>
        <v>4958</v>
      </c>
      <c r="H39" s="175">
        <f>(E39-D39)/D39</f>
        <v>0.11052843888664793</v>
      </c>
      <c r="I39" s="39"/>
      <c r="J39" s="39">
        <v>1777</v>
      </c>
    </row>
    <row r="40" spans="1:17" x14ac:dyDescent="0.25">
      <c r="B40" s="161"/>
      <c r="C40" s="10"/>
      <c r="D40" s="39"/>
      <c r="E40" s="39"/>
      <c r="F40" s="39"/>
      <c r="G40" s="39"/>
      <c r="H40" s="175"/>
      <c r="I40" s="39"/>
      <c r="J40" s="39"/>
    </row>
    <row r="41" spans="1:17" x14ac:dyDescent="0.25">
      <c r="A41">
        <v>0</v>
      </c>
      <c r="B41" s="161">
        <v>43229</v>
      </c>
      <c r="C41" s="181">
        <v>100</v>
      </c>
      <c r="D41" s="182">
        <v>45.046300000000002</v>
      </c>
      <c r="E41" s="39">
        <v>51.62</v>
      </c>
      <c r="F41" s="39">
        <f t="shared" si="2"/>
        <v>657.36999999999955</v>
      </c>
      <c r="G41" s="39">
        <f>D41*C41</f>
        <v>4504.63</v>
      </c>
      <c r="H41" s="175">
        <f>(E41-D41)/D41</f>
        <v>0.14593207433240898</v>
      </c>
      <c r="I41" s="39"/>
      <c r="J41" s="39">
        <v>1856</v>
      </c>
      <c r="Q41" s="2"/>
    </row>
    <row r="42" spans="1:17" ht="20.25" thickBot="1" x14ac:dyDescent="0.35">
      <c r="B42" s="161">
        <v>43252</v>
      </c>
      <c r="C42" s="10">
        <v>100</v>
      </c>
      <c r="D42" s="39">
        <v>44.741</v>
      </c>
      <c r="E42" s="39">
        <v>54.42</v>
      </c>
      <c r="F42" s="39">
        <f t="shared" si="2"/>
        <v>967.9000000000002</v>
      </c>
      <c r="G42" s="39">
        <f t="shared" ref="G42:G51" si="3">D42*C42</f>
        <v>4474.1000000000004</v>
      </c>
      <c r="H42" s="175">
        <f t="shared" ref="H42:H51" si="4">(E42-D42)/D42</f>
        <v>0.21633401130953717</v>
      </c>
      <c r="I42" s="39"/>
      <c r="J42" s="39">
        <v>2166</v>
      </c>
      <c r="O42" s="886" t="s">
        <v>78</v>
      </c>
      <c r="P42" s="886"/>
      <c r="Q42" s="2"/>
    </row>
    <row r="43" spans="1:17" ht="15.75" thickTop="1" x14ac:dyDescent="0.25">
      <c r="A43">
        <v>100</v>
      </c>
      <c r="B43" s="161">
        <v>43276</v>
      </c>
      <c r="C43" s="10">
        <v>100</v>
      </c>
      <c r="D43" s="39">
        <v>44.74</v>
      </c>
      <c r="E43" s="39">
        <v>51.3</v>
      </c>
      <c r="F43" s="39">
        <f t="shared" si="2"/>
        <v>655.99999999999955</v>
      </c>
      <c r="G43" s="39">
        <f t="shared" si="3"/>
        <v>4474</v>
      </c>
      <c r="H43" s="175">
        <f t="shared" si="4"/>
        <v>0.1466249441215913</v>
      </c>
      <c r="I43" s="39"/>
      <c r="J43" s="39">
        <v>1855</v>
      </c>
      <c r="O43" s="78">
        <v>1.1000000000000001</v>
      </c>
      <c r="P43" s="78">
        <f>O43*$Q$4</f>
        <v>63.82200000000001</v>
      </c>
      <c r="Q43" s="2"/>
    </row>
    <row r="44" spans="1:17" x14ac:dyDescent="0.25">
      <c r="A44">
        <v>100</v>
      </c>
      <c r="B44" s="161">
        <v>43278</v>
      </c>
      <c r="C44" s="10">
        <v>150</v>
      </c>
      <c r="D44" s="39">
        <v>46.4542</v>
      </c>
      <c r="E44" s="39">
        <v>49.89</v>
      </c>
      <c r="F44" s="39">
        <f t="shared" si="2"/>
        <v>515.37000000000012</v>
      </c>
      <c r="G44" s="39">
        <f t="shared" si="3"/>
        <v>6968.13</v>
      </c>
      <c r="H44" s="175">
        <f t="shared" si="4"/>
        <v>7.3961019670987782E-2</v>
      </c>
      <c r="I44" s="39"/>
      <c r="J44" s="39">
        <v>1714</v>
      </c>
      <c r="O44" s="78">
        <v>1.0900000000000001</v>
      </c>
      <c r="P44" s="78">
        <f t="shared" ref="P44:P63" si="5">O44*$Q$4</f>
        <v>63.241800000000005</v>
      </c>
      <c r="Q44" s="2"/>
    </row>
    <row r="45" spans="1:17" x14ac:dyDescent="0.25">
      <c r="A45">
        <v>100</v>
      </c>
      <c r="B45" s="161">
        <v>43279</v>
      </c>
      <c r="C45" s="10">
        <v>200</v>
      </c>
      <c r="D45" s="39">
        <v>47.110700000000001</v>
      </c>
      <c r="E45" s="39">
        <v>49.8</v>
      </c>
      <c r="F45" s="39">
        <f t="shared" si="2"/>
        <v>537.85999999999922</v>
      </c>
      <c r="G45" s="39">
        <f t="shared" si="3"/>
        <v>9422.14</v>
      </c>
      <c r="H45" s="175">
        <f t="shared" si="4"/>
        <v>5.7084696257962537E-2</v>
      </c>
      <c r="I45" s="39"/>
      <c r="J45" s="39">
        <v>1736</v>
      </c>
      <c r="O45" s="78">
        <v>1.08</v>
      </c>
      <c r="P45" s="78">
        <f t="shared" si="5"/>
        <v>62.661600000000007</v>
      </c>
      <c r="Q45" s="2"/>
    </row>
    <row r="46" spans="1:17" x14ac:dyDescent="0.25">
      <c r="A46">
        <v>100</v>
      </c>
      <c r="B46" s="161">
        <v>43283</v>
      </c>
      <c r="C46" s="7">
        <v>200</v>
      </c>
      <c r="D46" s="43">
        <v>47.110700000000001</v>
      </c>
      <c r="E46" s="39">
        <v>49.92</v>
      </c>
      <c r="F46" s="39">
        <f t="shared" si="2"/>
        <v>561.86000000000013</v>
      </c>
      <c r="G46" s="39">
        <f t="shared" si="3"/>
        <v>9422.14</v>
      </c>
      <c r="H46" s="175">
        <f t="shared" si="4"/>
        <v>5.9631888297138447E-2</v>
      </c>
      <c r="I46" s="39"/>
      <c r="J46" s="39">
        <v>1760</v>
      </c>
      <c r="O46" s="78">
        <v>1.07</v>
      </c>
      <c r="P46" s="78">
        <f t="shared" si="5"/>
        <v>62.081400000000009</v>
      </c>
      <c r="Q46" s="2"/>
    </row>
    <row r="47" spans="1:17" x14ac:dyDescent="0.25">
      <c r="A47">
        <v>50</v>
      </c>
      <c r="B47" s="161">
        <v>43291</v>
      </c>
      <c r="C47" s="10">
        <v>150</v>
      </c>
      <c r="D47" s="39">
        <v>45.941099999999999</v>
      </c>
      <c r="E47" s="39">
        <v>50.62</v>
      </c>
      <c r="F47" s="39">
        <f t="shared" si="2"/>
        <v>701.83499999999981</v>
      </c>
      <c r="G47" s="39">
        <f t="shared" si="3"/>
        <v>6891.165</v>
      </c>
      <c r="H47" s="175">
        <f t="shared" si="4"/>
        <v>0.10184562407082109</v>
      </c>
      <c r="I47" s="39"/>
      <c r="J47" s="39">
        <v>1900</v>
      </c>
      <c r="O47" s="78">
        <v>1.06</v>
      </c>
      <c r="P47" s="78">
        <f t="shared" si="5"/>
        <v>61.501200000000004</v>
      </c>
      <c r="Q47" s="2"/>
    </row>
    <row r="48" spans="1:17" x14ac:dyDescent="0.25">
      <c r="A48">
        <v>50</v>
      </c>
      <c r="B48" s="161">
        <v>43292</v>
      </c>
      <c r="C48" s="7">
        <v>200</v>
      </c>
      <c r="D48" s="43">
        <v>46.71</v>
      </c>
      <c r="E48" s="39">
        <v>49.36</v>
      </c>
      <c r="F48" s="39">
        <f t="shared" si="2"/>
        <v>529.99999999999977</v>
      </c>
      <c r="G48" s="39">
        <f t="shared" si="3"/>
        <v>9342</v>
      </c>
      <c r="H48" s="175">
        <f t="shared" si="4"/>
        <v>5.6733033611646298E-2</v>
      </c>
      <c r="I48" s="39"/>
      <c r="J48" s="39">
        <v>1728</v>
      </c>
      <c r="O48" s="78">
        <v>1.05</v>
      </c>
      <c r="P48" s="78">
        <f t="shared" si="5"/>
        <v>60.921000000000006</v>
      </c>
      <c r="Q48" s="2"/>
    </row>
    <row r="49" spans="1:17" x14ac:dyDescent="0.25">
      <c r="A49">
        <v>50</v>
      </c>
      <c r="B49" s="161">
        <v>43295</v>
      </c>
      <c r="C49" s="214">
        <v>200</v>
      </c>
      <c r="D49" s="269">
        <v>46.71</v>
      </c>
      <c r="E49" s="39">
        <v>50.77</v>
      </c>
      <c r="F49" s="39">
        <f t="shared" si="2"/>
        <v>812.00000000000045</v>
      </c>
      <c r="G49" s="39">
        <f t="shared" si="3"/>
        <v>9342</v>
      </c>
      <c r="H49" s="175">
        <f t="shared" si="4"/>
        <v>8.6919289231428012E-2</v>
      </c>
      <c r="I49" s="39"/>
      <c r="J49" s="39">
        <v>2010</v>
      </c>
      <c r="O49" s="78">
        <v>1.04</v>
      </c>
      <c r="P49" s="78">
        <f t="shared" si="5"/>
        <v>60.340800000000009</v>
      </c>
      <c r="Q49" s="2"/>
    </row>
    <row r="50" spans="1:17" x14ac:dyDescent="0.25">
      <c r="A50">
        <v>0</v>
      </c>
      <c r="B50" s="161">
        <v>43298</v>
      </c>
      <c r="C50" s="214">
        <v>150</v>
      </c>
      <c r="D50" s="269">
        <v>45.031300000000002</v>
      </c>
      <c r="E50" s="39">
        <v>51.14</v>
      </c>
      <c r="F50" s="39">
        <f t="shared" si="2"/>
        <v>916.30499999999984</v>
      </c>
      <c r="G50" s="39">
        <f t="shared" si="3"/>
        <v>6754.6950000000006</v>
      </c>
      <c r="H50" s="175">
        <f t="shared" si="4"/>
        <v>0.13565453362439012</v>
      </c>
      <c r="I50" s="39"/>
      <c r="J50" s="39">
        <v>2114.7800000000002</v>
      </c>
      <c r="O50" s="78">
        <v>1.03</v>
      </c>
      <c r="P50" s="78">
        <f t="shared" si="5"/>
        <v>59.760600000000004</v>
      </c>
      <c r="Q50" s="2"/>
    </row>
    <row r="51" spans="1:17" x14ac:dyDescent="0.25">
      <c r="A51" t="s">
        <v>1131</v>
      </c>
      <c r="B51" s="161">
        <v>43299</v>
      </c>
      <c r="C51" s="10">
        <v>100</v>
      </c>
      <c r="D51" s="39">
        <v>41.297199999999997</v>
      </c>
      <c r="E51" s="39">
        <v>52.5</v>
      </c>
      <c r="F51" s="39">
        <f t="shared" si="2"/>
        <v>1120.2800000000004</v>
      </c>
      <c r="G51" s="39">
        <f t="shared" si="3"/>
        <v>4129.7199999999993</v>
      </c>
      <c r="H51" s="175">
        <f t="shared" si="4"/>
        <v>0.27127262865279012</v>
      </c>
      <c r="I51" s="39"/>
      <c r="J51" s="39">
        <v>2319</v>
      </c>
      <c r="O51" s="78">
        <v>1.02</v>
      </c>
      <c r="P51" s="78">
        <f>O51*$Q$4</f>
        <v>59.180400000000006</v>
      </c>
      <c r="Q51" s="2"/>
    </row>
    <row r="52" spans="1:17" x14ac:dyDescent="0.25">
      <c r="A52">
        <v>50</v>
      </c>
      <c r="B52" s="161">
        <v>43316</v>
      </c>
      <c r="C52" s="10">
        <v>100</v>
      </c>
      <c r="D52" s="39">
        <v>41.297199999999997</v>
      </c>
      <c r="E52" s="39">
        <v>54.26</v>
      </c>
      <c r="F52" s="39">
        <f>C52*(E52-D52)</f>
        <v>1296.2800000000002</v>
      </c>
      <c r="G52" s="39">
        <f>D52*C52</f>
        <v>4129.7199999999993</v>
      </c>
      <c r="H52" s="175">
        <f>(E52-D52)/D52</f>
        <v>0.31389053010857887</v>
      </c>
      <c r="I52" s="39"/>
      <c r="J52" s="39">
        <v>2495</v>
      </c>
      <c r="O52" s="78">
        <v>1.01</v>
      </c>
      <c r="P52" s="78">
        <f t="shared" si="5"/>
        <v>58.600200000000001</v>
      </c>
      <c r="Q52" s="2"/>
    </row>
    <row r="53" spans="1:17" x14ac:dyDescent="0.25">
      <c r="A53">
        <v>0</v>
      </c>
      <c r="B53" s="161">
        <v>43327</v>
      </c>
      <c r="C53" s="10">
        <v>0</v>
      </c>
      <c r="D53" s="39">
        <v>41.3</v>
      </c>
      <c r="E53" s="39">
        <v>55.23</v>
      </c>
      <c r="F53" s="39">
        <f>C53*(E53-D53)</f>
        <v>0</v>
      </c>
      <c r="G53" s="39">
        <f>D53*C53</f>
        <v>0</v>
      </c>
      <c r="H53" s="175">
        <f>(E53-D53)/D53</f>
        <v>0.33728813559322035</v>
      </c>
      <c r="I53" s="39"/>
      <c r="J53" s="39"/>
      <c r="O53" s="78">
        <v>1</v>
      </c>
      <c r="P53" s="78">
        <f t="shared" si="5"/>
        <v>58.02</v>
      </c>
      <c r="Q53" s="2"/>
    </row>
    <row r="54" spans="1:17" x14ac:dyDescent="0.25">
      <c r="A54">
        <v>0</v>
      </c>
      <c r="B54" s="161">
        <v>43383</v>
      </c>
      <c r="C54" s="181">
        <v>100</v>
      </c>
      <c r="D54" s="182">
        <v>35.347900000000003</v>
      </c>
      <c r="E54" s="39">
        <v>49.71</v>
      </c>
      <c r="F54" s="39">
        <f>C54*(E54-D54)</f>
        <v>1436.2099999999998</v>
      </c>
      <c r="G54" s="39">
        <f>D54*C54</f>
        <v>3534.7900000000004</v>
      </c>
      <c r="H54" s="175">
        <f>(E54-D54)/D54</f>
        <v>0.40630702248224071</v>
      </c>
      <c r="I54" s="39"/>
      <c r="J54" s="760">
        <f>F54+$Q$10</f>
        <v>2634.6799999999967</v>
      </c>
      <c r="O54" s="78">
        <v>0.99</v>
      </c>
      <c r="P54" s="78">
        <f t="shared" si="5"/>
        <v>57.439800000000005</v>
      </c>
    </row>
    <row r="55" spans="1:17" x14ac:dyDescent="0.25">
      <c r="A55">
        <v>0</v>
      </c>
      <c r="B55" s="161">
        <v>43427</v>
      </c>
      <c r="C55" s="214">
        <v>0</v>
      </c>
      <c r="D55" s="269">
        <v>35.35</v>
      </c>
      <c r="E55" s="269">
        <v>57.29</v>
      </c>
      <c r="F55" s="39">
        <f>C55*(E55-D55)</f>
        <v>0</v>
      </c>
      <c r="G55" s="39">
        <f>D55*C55</f>
        <v>0</v>
      </c>
      <c r="H55" s="175">
        <f>(E55-D55)/D55</f>
        <v>0.62065063649222052</v>
      </c>
      <c r="I55" s="39"/>
      <c r="J55" s="760">
        <v>3392.61</v>
      </c>
      <c r="O55" s="78">
        <v>0.98</v>
      </c>
      <c r="P55" s="78">
        <f t="shared" si="5"/>
        <v>56.8596</v>
      </c>
    </row>
    <row r="56" spans="1:17" x14ac:dyDescent="0.25">
      <c r="B56" s="161">
        <v>43432</v>
      </c>
      <c r="C56" s="10"/>
      <c r="D56" s="39"/>
      <c r="E56" s="39"/>
      <c r="F56" s="39"/>
      <c r="G56" s="39"/>
      <c r="H56" s="175"/>
      <c r="I56" s="39" t="s">
        <v>182</v>
      </c>
      <c r="J56" s="760">
        <v>3427.61</v>
      </c>
      <c r="O56" s="78">
        <v>0.97</v>
      </c>
      <c r="P56" s="78">
        <f t="shared" si="5"/>
        <v>56.279400000000003</v>
      </c>
    </row>
    <row r="57" spans="1:17" x14ac:dyDescent="0.25">
      <c r="B57" s="161"/>
      <c r="C57" s="10"/>
      <c r="D57" s="39"/>
      <c r="E57" s="39"/>
      <c r="F57" s="39"/>
      <c r="G57" s="39"/>
      <c r="H57" s="175"/>
      <c r="I57" s="39"/>
      <c r="J57" s="39"/>
      <c r="O57" s="78">
        <v>0.96</v>
      </c>
      <c r="P57" s="78">
        <f t="shared" si="5"/>
        <v>55.699199999999998</v>
      </c>
    </row>
    <row r="58" spans="1:17" x14ac:dyDescent="0.25">
      <c r="B58" s="161"/>
      <c r="C58" s="10"/>
      <c r="D58" s="39"/>
      <c r="E58" s="39"/>
      <c r="F58" s="39"/>
      <c r="G58" s="39"/>
      <c r="H58" s="175"/>
      <c r="I58" s="39"/>
      <c r="J58" s="39"/>
      <c r="O58" s="78">
        <v>0.95</v>
      </c>
      <c r="P58" s="78">
        <f t="shared" si="5"/>
        <v>55.119</v>
      </c>
    </row>
    <row r="59" spans="1:17" x14ac:dyDescent="0.25">
      <c r="B59" s="161"/>
      <c r="C59" s="10"/>
      <c r="D59" s="39"/>
      <c r="E59" s="39"/>
      <c r="F59" s="39"/>
      <c r="G59" s="39"/>
      <c r="H59" s="175"/>
      <c r="I59" s="39"/>
      <c r="J59" s="39"/>
      <c r="O59" s="78">
        <v>0.94</v>
      </c>
      <c r="P59" s="78">
        <f t="shared" si="5"/>
        <v>54.538800000000002</v>
      </c>
    </row>
    <row r="60" spans="1:17" x14ac:dyDescent="0.25">
      <c r="B60" s="161"/>
      <c r="C60" s="10"/>
      <c r="D60" s="39"/>
      <c r="E60" s="39"/>
      <c r="F60" s="39"/>
      <c r="G60" s="39"/>
      <c r="H60" s="175"/>
      <c r="I60" s="39"/>
      <c r="J60" s="39"/>
      <c r="O60" s="78">
        <v>0.93</v>
      </c>
      <c r="P60" s="78">
        <f t="shared" si="5"/>
        <v>53.958600000000004</v>
      </c>
    </row>
    <row r="61" spans="1:17" x14ac:dyDescent="0.25">
      <c r="B61" s="161"/>
      <c r="C61" s="10"/>
      <c r="D61" s="39"/>
      <c r="E61" s="39"/>
      <c r="F61" s="39"/>
      <c r="G61" s="39"/>
      <c r="H61" s="175"/>
      <c r="I61" s="39"/>
      <c r="J61" s="39"/>
      <c r="O61" s="78">
        <v>0.92</v>
      </c>
      <c r="P61" s="78">
        <f t="shared" si="5"/>
        <v>53.378400000000006</v>
      </c>
    </row>
    <row r="62" spans="1:17" x14ac:dyDescent="0.25">
      <c r="B62" s="161"/>
      <c r="C62" s="10"/>
      <c r="D62" s="39"/>
      <c r="E62" s="39"/>
      <c r="F62" s="39"/>
      <c r="G62" s="39"/>
      <c r="H62" s="175"/>
      <c r="I62" s="39"/>
      <c r="J62" s="39"/>
      <c r="O62" s="78">
        <v>0.91</v>
      </c>
      <c r="P62" s="78">
        <f t="shared" si="5"/>
        <v>52.798200000000001</v>
      </c>
    </row>
    <row r="63" spans="1:17" x14ac:dyDescent="0.25">
      <c r="B63" s="161"/>
      <c r="C63" s="10"/>
      <c r="D63" s="39"/>
      <c r="E63" s="39"/>
      <c r="F63" s="39"/>
      <c r="G63" s="39"/>
      <c r="H63" s="175"/>
      <c r="I63" s="39"/>
      <c r="J63" s="39"/>
      <c r="O63" s="78">
        <v>0.9</v>
      </c>
      <c r="P63" s="78">
        <f t="shared" si="5"/>
        <v>52.218000000000004</v>
      </c>
    </row>
    <row r="64" spans="1:17" x14ac:dyDescent="0.25">
      <c r="B64" s="161"/>
      <c r="C64" s="10"/>
      <c r="D64" s="39"/>
      <c r="E64" s="39"/>
      <c r="F64" s="39"/>
      <c r="G64" s="39"/>
      <c r="H64" s="175"/>
      <c r="I64" s="39"/>
      <c r="J64" s="39"/>
    </row>
    <row r="65" spans="2:10" x14ac:dyDescent="0.25">
      <c r="B65" s="161"/>
      <c r="C65" s="10"/>
      <c r="D65" s="39"/>
      <c r="E65" s="39"/>
      <c r="F65" s="39"/>
      <c r="G65" s="39"/>
      <c r="H65" s="175"/>
      <c r="I65" s="39"/>
      <c r="J65" s="39"/>
    </row>
    <row r="66" spans="2:10" x14ac:dyDescent="0.25">
      <c r="B66" s="161"/>
      <c r="C66" s="10"/>
      <c r="D66" s="39"/>
      <c r="E66" s="39"/>
      <c r="F66" s="39"/>
      <c r="G66" s="39"/>
      <c r="H66" s="175"/>
      <c r="I66" s="39"/>
      <c r="J66" s="39"/>
    </row>
    <row r="67" spans="2:10" x14ac:dyDescent="0.25">
      <c r="B67" s="161"/>
      <c r="C67" s="10"/>
      <c r="D67" s="39"/>
      <c r="E67" s="39"/>
      <c r="F67" s="39"/>
      <c r="G67" s="39"/>
      <c r="H67" s="175"/>
      <c r="I67" s="39"/>
      <c r="J67" s="39"/>
    </row>
    <row r="68" spans="2:10" x14ac:dyDescent="0.25">
      <c r="B68" s="161"/>
      <c r="C68" s="10"/>
      <c r="D68" s="39"/>
      <c r="E68" s="39"/>
      <c r="F68" s="39"/>
      <c r="G68" s="39"/>
      <c r="H68" s="175"/>
      <c r="I68" s="39"/>
      <c r="J68" s="39"/>
    </row>
    <row r="69" spans="2:10" x14ac:dyDescent="0.25">
      <c r="B69" s="161"/>
      <c r="C69" s="10"/>
      <c r="D69" s="39"/>
      <c r="E69" s="39"/>
      <c r="F69" s="39"/>
      <c r="G69" s="39"/>
      <c r="H69" s="175"/>
      <c r="I69" s="39"/>
      <c r="J69" s="39"/>
    </row>
    <row r="70" spans="2:10" x14ac:dyDescent="0.25">
      <c r="B70" s="161"/>
      <c r="C70" s="10"/>
      <c r="D70" s="39"/>
      <c r="E70" s="39"/>
      <c r="F70" s="39"/>
      <c r="G70" s="39"/>
      <c r="H70" s="175"/>
      <c r="I70" s="39"/>
      <c r="J70" s="39"/>
    </row>
    <row r="71" spans="2:10" x14ac:dyDescent="0.25">
      <c r="B71" s="161"/>
      <c r="C71" s="10"/>
      <c r="D71" s="39"/>
      <c r="E71" s="39"/>
      <c r="F71" s="39"/>
      <c r="G71" s="39"/>
      <c r="H71" s="175"/>
      <c r="I71" s="39"/>
      <c r="J71" s="39"/>
    </row>
    <row r="72" spans="2:10" x14ac:dyDescent="0.25">
      <c r="B72" s="161"/>
      <c r="C72" s="10"/>
      <c r="D72" s="39"/>
      <c r="E72" s="39"/>
      <c r="F72" s="39"/>
      <c r="G72" s="39"/>
      <c r="H72" s="175"/>
      <c r="I72" s="39"/>
      <c r="J72" s="39"/>
    </row>
    <row r="73" spans="2:10" x14ac:dyDescent="0.25">
      <c r="B73" s="161"/>
      <c r="C73" s="10"/>
      <c r="D73" s="39"/>
      <c r="E73" s="39"/>
      <c r="F73" s="39"/>
      <c r="G73" s="39"/>
      <c r="H73" s="175"/>
      <c r="I73" s="39"/>
      <c r="J73" s="39"/>
    </row>
    <row r="74" spans="2:10" x14ac:dyDescent="0.25">
      <c r="B74" s="161"/>
      <c r="C74" s="10"/>
      <c r="D74" s="39"/>
      <c r="E74" s="39"/>
      <c r="F74" s="39"/>
      <c r="G74" s="39"/>
      <c r="H74" s="175"/>
      <c r="I74" s="39"/>
      <c r="J74" s="39"/>
    </row>
    <row r="75" spans="2:10" x14ac:dyDescent="0.25">
      <c r="B75" s="161"/>
      <c r="C75" s="10"/>
      <c r="D75" s="39"/>
      <c r="E75" s="39"/>
      <c r="F75" s="39"/>
      <c r="G75" s="39"/>
      <c r="H75" s="175"/>
      <c r="I75" s="39"/>
      <c r="J75" s="39"/>
    </row>
    <row r="76" spans="2:10" x14ac:dyDescent="0.25">
      <c r="B76" s="161"/>
      <c r="C76" s="10"/>
      <c r="D76" s="39"/>
      <c r="E76" s="39"/>
      <c r="F76" s="39"/>
      <c r="G76" s="39"/>
      <c r="H76" s="175"/>
      <c r="I76" s="39"/>
      <c r="J76" s="39"/>
    </row>
    <row r="77" spans="2:10" x14ac:dyDescent="0.25">
      <c r="B77" s="161"/>
      <c r="C77" s="10"/>
      <c r="D77" s="39"/>
      <c r="E77" s="39"/>
      <c r="F77" s="39"/>
      <c r="G77" s="39"/>
      <c r="H77" s="175"/>
      <c r="I77" s="39"/>
      <c r="J77" s="39"/>
    </row>
    <row r="78" spans="2:10" x14ac:dyDescent="0.25">
      <c r="B78" s="161"/>
      <c r="C78" s="10"/>
      <c r="D78" s="39"/>
      <c r="E78" s="39"/>
      <c r="F78" s="39"/>
      <c r="G78" s="39"/>
      <c r="H78" s="175"/>
      <c r="I78" s="39"/>
      <c r="J78" s="39"/>
    </row>
    <row r="79" spans="2:10" x14ac:dyDescent="0.25">
      <c r="B79" s="161"/>
      <c r="C79" s="10"/>
      <c r="D79" s="39"/>
      <c r="E79" s="39"/>
      <c r="F79" s="39"/>
      <c r="G79" s="39"/>
      <c r="H79" s="175"/>
      <c r="I79" s="39"/>
      <c r="J79" s="39"/>
    </row>
    <row r="80" spans="2:10" x14ac:dyDescent="0.25">
      <c r="B80" s="161"/>
      <c r="C80" s="10"/>
      <c r="D80" s="39"/>
      <c r="E80" s="39"/>
      <c r="F80" s="39"/>
      <c r="G80" s="39"/>
      <c r="H80" s="175"/>
      <c r="I80" s="39"/>
      <c r="J80" s="39"/>
    </row>
    <row r="81" spans="2:10" x14ac:dyDescent="0.25">
      <c r="B81" s="161"/>
      <c r="C81" s="10"/>
      <c r="D81" s="39"/>
      <c r="E81" s="39"/>
      <c r="F81" s="39"/>
      <c r="G81" s="39"/>
      <c r="H81" s="175"/>
      <c r="I81" s="39"/>
      <c r="J81" s="39"/>
    </row>
    <row r="82" spans="2:10" x14ac:dyDescent="0.25">
      <c r="B82" s="161"/>
      <c r="C82" s="10"/>
      <c r="D82" s="39"/>
      <c r="E82" s="39"/>
      <c r="F82" s="39"/>
      <c r="G82" s="39"/>
      <c r="H82" s="175"/>
      <c r="I82" s="39"/>
      <c r="J82" s="39"/>
    </row>
    <row r="83" spans="2:10" x14ac:dyDescent="0.25">
      <c r="B83" s="161"/>
      <c r="C83" s="10"/>
      <c r="D83" s="39"/>
      <c r="E83" s="39"/>
      <c r="F83" s="39"/>
      <c r="G83" s="39"/>
      <c r="H83" s="175"/>
      <c r="I83" s="39"/>
      <c r="J83" s="39"/>
    </row>
    <row r="84" spans="2:10" x14ac:dyDescent="0.25">
      <c r="B84" s="161"/>
      <c r="C84" s="10"/>
      <c r="D84" s="39"/>
      <c r="E84" s="39"/>
      <c r="F84" s="39"/>
      <c r="G84" s="39"/>
      <c r="H84" s="175"/>
      <c r="I84" s="39"/>
      <c r="J84" s="39"/>
    </row>
    <row r="85" spans="2:10" x14ac:dyDescent="0.25">
      <c r="B85" s="161"/>
      <c r="C85" s="10"/>
      <c r="D85" s="39"/>
      <c r="E85" s="39"/>
      <c r="F85" s="39"/>
      <c r="G85" s="39"/>
      <c r="H85" s="175"/>
      <c r="I85" s="39"/>
      <c r="J85" s="39"/>
    </row>
    <row r="86" spans="2:10" x14ac:dyDescent="0.25">
      <c r="B86" s="161"/>
      <c r="C86" s="10"/>
      <c r="D86" s="39"/>
      <c r="E86" s="39"/>
      <c r="F86" s="39"/>
      <c r="G86" s="39"/>
      <c r="H86" s="175"/>
      <c r="I86" s="39"/>
      <c r="J86" s="39"/>
    </row>
    <row r="87" spans="2:10" x14ac:dyDescent="0.25">
      <c r="B87" s="161"/>
      <c r="C87" s="10"/>
      <c r="D87" s="39"/>
      <c r="E87" s="39"/>
      <c r="F87" s="39"/>
      <c r="G87" s="39"/>
      <c r="H87" s="175"/>
      <c r="I87" s="39"/>
      <c r="J87" s="39"/>
    </row>
    <row r="88" spans="2:10" x14ac:dyDescent="0.25">
      <c r="B88" s="161"/>
      <c r="C88" s="10"/>
      <c r="D88" s="39"/>
      <c r="E88" s="39"/>
      <c r="F88" s="39"/>
      <c r="G88" s="39"/>
      <c r="H88" s="175"/>
      <c r="I88" s="39"/>
      <c r="J88" s="39"/>
    </row>
    <row r="89" spans="2:10" x14ac:dyDescent="0.25">
      <c r="B89" s="161"/>
      <c r="C89" s="10"/>
      <c r="D89" s="39"/>
      <c r="E89" s="39"/>
      <c r="F89" s="39"/>
      <c r="G89" s="39"/>
      <c r="H89" s="175"/>
      <c r="I89" s="39"/>
      <c r="J89" s="39"/>
    </row>
    <row r="90" spans="2:10" x14ac:dyDescent="0.25">
      <c r="B90" s="161"/>
      <c r="C90" s="10"/>
      <c r="D90" s="39"/>
      <c r="E90" s="39"/>
      <c r="F90" s="39"/>
      <c r="G90" s="39"/>
      <c r="H90" s="175"/>
      <c r="I90" s="39"/>
      <c r="J90" s="39"/>
    </row>
    <row r="91" spans="2:10" x14ac:dyDescent="0.25">
      <c r="B91" s="161"/>
      <c r="C91" s="10"/>
      <c r="D91" s="39"/>
      <c r="E91" s="39"/>
      <c r="F91" s="39"/>
      <c r="G91" s="39"/>
      <c r="H91" s="175"/>
      <c r="I91" s="39"/>
      <c r="J91" s="39"/>
    </row>
    <row r="92" spans="2:10" x14ac:dyDescent="0.25">
      <c r="B92" s="424"/>
      <c r="C92" s="159"/>
      <c r="D92" s="160"/>
      <c r="E92" s="160"/>
      <c r="F92" s="160"/>
      <c r="G92" s="160"/>
      <c r="H92" s="425"/>
      <c r="I92" s="160"/>
      <c r="J92" s="160"/>
    </row>
    <row r="93" spans="2:10" x14ac:dyDescent="0.25">
      <c r="B93" s="161"/>
      <c r="C93" s="10"/>
      <c r="D93" s="39"/>
      <c r="E93" s="39"/>
      <c r="F93" s="39"/>
      <c r="G93" s="39"/>
      <c r="H93" s="175"/>
      <c r="I93" s="39"/>
      <c r="J93" s="39"/>
    </row>
    <row r="94" spans="2:10" x14ac:dyDescent="0.25">
      <c r="B94" s="161"/>
      <c r="C94" s="10"/>
      <c r="D94" s="39"/>
      <c r="E94" s="39"/>
      <c r="F94" s="39"/>
      <c r="G94" s="39"/>
      <c r="H94" s="175"/>
      <c r="I94" s="39"/>
      <c r="J94" s="39"/>
    </row>
    <row r="95" spans="2:10" x14ac:dyDescent="0.25">
      <c r="B95" s="161"/>
      <c r="C95" s="10"/>
      <c r="D95" s="39"/>
      <c r="E95" s="39"/>
      <c r="F95" s="39"/>
      <c r="G95" s="39"/>
      <c r="H95" s="175"/>
      <c r="I95" s="39"/>
      <c r="J95" s="39"/>
    </row>
    <row r="96" spans="2:10" x14ac:dyDescent="0.25">
      <c r="B96" s="161"/>
      <c r="C96" s="10"/>
      <c r="D96" s="39"/>
      <c r="E96" s="39"/>
      <c r="F96" s="39"/>
      <c r="G96" s="39"/>
      <c r="H96" s="175"/>
      <c r="I96" s="39"/>
      <c r="J96" s="39"/>
    </row>
    <row r="97" spans="1:13" x14ac:dyDescent="0.25">
      <c r="B97" s="161"/>
      <c r="C97" s="10"/>
      <c r="D97" s="39"/>
      <c r="E97" s="39"/>
      <c r="F97" s="39"/>
      <c r="G97" s="39"/>
      <c r="H97" s="175"/>
      <c r="I97" s="39"/>
      <c r="J97" s="39"/>
    </row>
    <row r="98" spans="1:13" x14ac:dyDescent="0.25">
      <c r="B98" s="161"/>
      <c r="C98" s="10"/>
      <c r="D98" s="39"/>
      <c r="E98" s="39"/>
      <c r="F98" s="39"/>
      <c r="G98" s="39"/>
      <c r="H98" s="175"/>
      <c r="I98" s="39"/>
      <c r="J98" s="39"/>
    </row>
    <row r="99" spans="1:13" x14ac:dyDescent="0.25">
      <c r="B99" s="161"/>
      <c r="C99" s="10"/>
      <c r="D99" s="39"/>
      <c r="E99" s="39"/>
      <c r="F99" s="39"/>
      <c r="G99" s="39"/>
      <c r="H99" s="175"/>
      <c r="I99" s="39"/>
      <c r="J99" s="39"/>
    </row>
    <row r="100" spans="1:13" x14ac:dyDescent="0.25">
      <c r="B100" s="161"/>
      <c r="C100" s="10"/>
      <c r="D100" s="39"/>
      <c r="E100" s="39"/>
      <c r="F100" s="39"/>
      <c r="G100" s="39"/>
      <c r="H100" s="175"/>
      <c r="I100" s="39"/>
      <c r="J100" s="39"/>
    </row>
    <row r="101" spans="1:13" x14ac:dyDescent="0.25">
      <c r="B101" s="161"/>
      <c r="C101" s="10"/>
      <c r="D101" s="39"/>
      <c r="E101" s="39"/>
      <c r="F101" s="39"/>
      <c r="G101" s="39"/>
      <c r="H101" s="175"/>
      <c r="I101" s="39"/>
      <c r="J101" s="39"/>
    </row>
    <row r="102" spans="1:13" x14ac:dyDescent="0.25">
      <c r="B102" s="161"/>
      <c r="C102" s="10"/>
      <c r="D102" s="39"/>
      <c r="E102" s="39"/>
      <c r="F102" s="39"/>
      <c r="G102" s="39"/>
      <c r="H102" s="175"/>
      <c r="I102" s="39"/>
      <c r="J102" s="39"/>
    </row>
    <row r="104" spans="1:13" x14ac:dyDescent="0.25">
      <c r="L104" t="s">
        <v>201</v>
      </c>
      <c r="M104" s="358">
        <f>M122+K122-F122</f>
        <v>205.01999999999998</v>
      </c>
    </row>
    <row r="105" spans="1:13" x14ac:dyDescent="0.25">
      <c r="A105" s="195" t="s">
        <v>1</v>
      </c>
      <c r="B105" s="195" t="s">
        <v>2</v>
      </c>
      <c r="C105" s="195" t="s">
        <v>4</v>
      </c>
      <c r="D105" s="196" t="s">
        <v>5</v>
      </c>
      <c r="E105" s="196" t="s">
        <v>94</v>
      </c>
      <c r="F105" s="196" t="s">
        <v>60</v>
      </c>
      <c r="G105" s="195" t="s">
        <v>3</v>
      </c>
      <c r="H105" s="195" t="s">
        <v>6</v>
      </c>
      <c r="I105" s="196" t="s">
        <v>7</v>
      </c>
      <c r="J105" s="196" t="s">
        <v>95</v>
      </c>
      <c r="K105" s="196" t="s">
        <v>61</v>
      </c>
      <c r="L105" s="195" t="s">
        <v>37</v>
      </c>
      <c r="M105" s="195" t="s">
        <v>38</v>
      </c>
    </row>
    <row r="106" spans="1:13" x14ac:dyDescent="0.25">
      <c r="A106" s="197" t="s">
        <v>32</v>
      </c>
      <c r="B106" s="198">
        <v>42405</v>
      </c>
      <c r="C106" s="193">
        <v>30</v>
      </c>
      <c r="D106" s="194">
        <v>41.95</v>
      </c>
      <c r="E106" s="194">
        <v>0</v>
      </c>
      <c r="F106" s="194">
        <f>D106*C106+E106</f>
        <v>1258.5</v>
      </c>
      <c r="G106" s="198">
        <v>42445</v>
      </c>
      <c r="H106" s="199">
        <v>30</v>
      </c>
      <c r="I106" s="194">
        <v>48.65</v>
      </c>
      <c r="J106" s="194">
        <v>0.03</v>
      </c>
      <c r="K106" s="194">
        <f>H106*I106-J106</f>
        <v>1459.47</v>
      </c>
      <c r="L106" s="198">
        <v>42438</v>
      </c>
      <c r="M106" s="193">
        <v>4.05</v>
      </c>
    </row>
    <row r="107" spans="1:13" x14ac:dyDescent="0.25">
      <c r="A107" s="200" t="s">
        <v>71</v>
      </c>
      <c r="B107" s="198"/>
      <c r="C107" s="193"/>
      <c r="D107" s="194"/>
      <c r="E107" s="194"/>
      <c r="F107" s="194"/>
      <c r="G107" s="198"/>
      <c r="H107" s="199"/>
      <c r="I107" s="194"/>
      <c r="J107" s="194"/>
      <c r="K107" s="194"/>
      <c r="L107" s="198"/>
      <c r="M107" s="194"/>
    </row>
    <row r="108" spans="1:13" x14ac:dyDescent="0.25">
      <c r="A108" s="193"/>
      <c r="B108" s="198"/>
      <c r="C108" s="193"/>
      <c r="D108" s="194"/>
      <c r="E108" s="194"/>
      <c r="F108" s="194"/>
      <c r="G108" s="198"/>
      <c r="H108" s="199"/>
      <c r="I108" s="194"/>
      <c r="J108" s="194"/>
      <c r="K108" s="194"/>
      <c r="L108" s="193"/>
      <c r="M108" s="193"/>
    </row>
    <row r="109" spans="1:13" x14ac:dyDescent="0.25">
      <c r="A109" s="193"/>
      <c r="B109" s="198"/>
      <c r="C109" s="193"/>
      <c r="D109" s="194"/>
      <c r="E109" s="194"/>
      <c r="F109" s="194"/>
      <c r="G109" s="198"/>
      <c r="H109" s="199"/>
      <c r="I109" s="194"/>
      <c r="J109" s="194"/>
      <c r="K109" s="194"/>
      <c r="L109" s="193"/>
      <c r="M109" s="193"/>
    </row>
    <row r="110" spans="1:13" x14ac:dyDescent="0.25">
      <c r="A110" s="193"/>
      <c r="B110" s="198"/>
      <c r="C110" s="193"/>
      <c r="D110" s="194"/>
      <c r="E110" s="194"/>
      <c r="F110" s="194"/>
      <c r="G110" s="193"/>
      <c r="H110" s="199"/>
      <c r="I110" s="194"/>
      <c r="J110" s="194"/>
      <c r="K110" s="194"/>
      <c r="L110" s="193"/>
      <c r="M110" s="193"/>
    </row>
    <row r="111" spans="1:13" x14ac:dyDescent="0.25">
      <c r="A111" s="193"/>
      <c r="B111" s="198"/>
      <c r="C111" s="193"/>
      <c r="D111" s="194"/>
      <c r="E111" s="194"/>
      <c r="F111" s="194"/>
      <c r="G111" s="193"/>
      <c r="H111" s="199"/>
      <c r="I111" s="194"/>
      <c r="J111" s="194"/>
      <c r="K111" s="194"/>
      <c r="L111" s="193"/>
      <c r="M111" s="193"/>
    </row>
    <row r="112" spans="1:13" x14ac:dyDescent="0.25">
      <c r="A112" s="193"/>
      <c r="B112" s="198"/>
      <c r="C112" s="193"/>
      <c r="D112" s="194"/>
      <c r="E112" s="194"/>
      <c r="F112" s="194"/>
      <c r="G112" s="193"/>
      <c r="H112" s="199"/>
      <c r="I112" s="194"/>
      <c r="J112" s="194"/>
      <c r="K112" s="194"/>
      <c r="L112" s="193"/>
      <c r="M112" s="193"/>
    </row>
    <row r="113" spans="1:13" x14ac:dyDescent="0.25">
      <c r="A113" s="193"/>
      <c r="B113" s="198"/>
      <c r="C113" s="193"/>
      <c r="D113" s="194"/>
      <c r="E113" s="194"/>
      <c r="F113" s="194"/>
      <c r="G113" s="193"/>
      <c r="H113" s="199"/>
      <c r="I113" s="194"/>
      <c r="J113" s="194"/>
      <c r="K113" s="194"/>
      <c r="L113" s="193"/>
      <c r="M113" s="193"/>
    </row>
    <row r="114" spans="1:13" x14ac:dyDescent="0.25">
      <c r="A114" s="193"/>
      <c r="B114" s="193"/>
      <c r="C114" s="193"/>
      <c r="D114" s="194"/>
      <c r="E114" s="194"/>
      <c r="F114" s="194"/>
      <c r="G114" s="193"/>
      <c r="H114" s="193"/>
      <c r="I114" s="194"/>
      <c r="J114" s="194"/>
      <c r="K114" s="194"/>
      <c r="L114" s="193"/>
      <c r="M114" s="193"/>
    </row>
    <row r="115" spans="1:13" x14ac:dyDescent="0.25">
      <c r="A115" s="193"/>
      <c r="B115" s="193"/>
      <c r="C115" s="193"/>
      <c r="D115" s="194"/>
      <c r="E115" s="194"/>
      <c r="F115" s="194"/>
      <c r="G115" s="193"/>
      <c r="H115" s="193"/>
      <c r="I115" s="194"/>
      <c r="J115" s="194"/>
      <c r="K115" s="194"/>
      <c r="L115" s="193"/>
      <c r="M115" s="193"/>
    </row>
    <row r="116" spans="1:13" x14ac:dyDescent="0.25">
      <c r="A116" s="193"/>
      <c r="B116" s="193"/>
      <c r="C116" s="193"/>
      <c r="D116" s="194"/>
      <c r="E116" s="194"/>
      <c r="F116" s="194"/>
      <c r="G116" s="193"/>
      <c r="H116" s="193"/>
      <c r="I116" s="194"/>
      <c r="J116" s="194"/>
      <c r="K116" s="194"/>
      <c r="L116" s="193"/>
      <c r="M116" s="193"/>
    </row>
    <row r="117" spans="1:13" x14ac:dyDescent="0.25">
      <c r="A117" s="193"/>
      <c r="B117" s="193"/>
      <c r="C117" s="193"/>
      <c r="D117" s="194"/>
      <c r="E117" s="194"/>
      <c r="F117" s="194"/>
      <c r="G117" s="193"/>
      <c r="H117" s="193"/>
      <c r="I117" s="194"/>
      <c r="J117" s="194"/>
      <c r="K117" s="194"/>
      <c r="L117" s="193"/>
      <c r="M117" s="193"/>
    </row>
    <row r="118" spans="1:13" x14ac:dyDescent="0.25">
      <c r="A118" s="193"/>
      <c r="B118" s="193"/>
      <c r="C118" s="193"/>
      <c r="D118" s="194"/>
      <c r="E118" s="194"/>
      <c r="F118" s="194"/>
      <c r="G118" s="193"/>
      <c r="H118" s="193"/>
      <c r="I118" s="194"/>
      <c r="J118" s="194"/>
      <c r="K118" s="194"/>
      <c r="L118" s="193"/>
      <c r="M118" s="193"/>
    </row>
    <row r="119" spans="1:13" x14ac:dyDescent="0.25">
      <c r="A119" s="193"/>
      <c r="B119" s="193"/>
      <c r="C119" s="193"/>
      <c r="D119" s="194"/>
      <c r="E119" s="194"/>
      <c r="F119" s="194"/>
      <c r="G119" s="193"/>
      <c r="H119" s="193"/>
      <c r="I119" s="194"/>
      <c r="J119" s="194"/>
      <c r="K119" s="194"/>
      <c r="L119" s="193"/>
      <c r="M119" s="193"/>
    </row>
    <row r="120" spans="1:13" x14ac:dyDescent="0.25">
      <c r="A120" s="193"/>
      <c r="B120" s="193"/>
      <c r="C120" s="193"/>
      <c r="D120" s="194"/>
      <c r="E120" s="194"/>
      <c r="F120" s="194"/>
      <c r="G120" s="193"/>
      <c r="H120" s="193"/>
      <c r="I120" s="194"/>
      <c r="J120" s="194"/>
      <c r="K120" s="194"/>
      <c r="L120" s="193"/>
      <c r="M120" s="193"/>
    </row>
    <row r="121" spans="1:13" x14ac:dyDescent="0.25">
      <c r="A121" s="193"/>
      <c r="B121" s="193"/>
      <c r="C121" s="193"/>
      <c r="D121" s="194"/>
      <c r="E121" s="194"/>
      <c r="F121" s="194"/>
      <c r="G121" s="193"/>
      <c r="H121" s="199"/>
      <c r="I121" s="194"/>
      <c r="J121" s="194"/>
      <c r="K121" s="194"/>
      <c r="L121" s="193"/>
      <c r="M121" s="193"/>
    </row>
    <row r="122" spans="1:13" x14ac:dyDescent="0.25">
      <c r="A122" s="31" t="s">
        <v>81</v>
      </c>
      <c r="B122" s="14"/>
      <c r="C122" s="14">
        <f>SUM(C106:C114)</f>
        <v>30</v>
      </c>
      <c r="D122" s="18"/>
      <c r="E122" s="18"/>
      <c r="F122" s="18">
        <f>SUM(F106:F114)</f>
        <v>1258.5</v>
      </c>
      <c r="G122" s="14"/>
      <c r="H122" s="68">
        <f>SUM(H106:H110)</f>
        <v>30</v>
      </c>
      <c r="I122" s="18"/>
      <c r="J122" s="18"/>
      <c r="K122" s="18">
        <f>SUM(K106:K110)</f>
        <v>1459.47</v>
      </c>
      <c r="L122" s="14"/>
      <c r="M122" s="18">
        <f>SUM(M106:M121)</f>
        <v>4.05</v>
      </c>
    </row>
    <row r="126" spans="1:13" x14ac:dyDescent="0.25">
      <c r="L126" t="s">
        <v>65</v>
      </c>
      <c r="M126" s="358">
        <f>M155+K155-F155</f>
        <v>993.44999999999709</v>
      </c>
    </row>
    <row r="127" spans="1:13" x14ac:dyDescent="0.25">
      <c r="A127" s="195" t="s">
        <v>1</v>
      </c>
      <c r="B127" s="195" t="s">
        <v>2</v>
      </c>
      <c r="C127" s="195" t="s">
        <v>4</v>
      </c>
      <c r="D127" s="196" t="s">
        <v>5</v>
      </c>
      <c r="E127" s="196" t="s">
        <v>94</v>
      </c>
      <c r="F127" s="196" t="s">
        <v>60</v>
      </c>
      <c r="G127" s="195" t="s">
        <v>3</v>
      </c>
      <c r="H127" s="195" t="s">
        <v>6</v>
      </c>
      <c r="I127" s="196" t="s">
        <v>7</v>
      </c>
      <c r="J127" s="196" t="s">
        <v>95</v>
      </c>
      <c r="K127" s="196" t="s">
        <v>61</v>
      </c>
      <c r="L127" s="195" t="s">
        <v>37</v>
      </c>
      <c r="M127" s="195" t="s">
        <v>38</v>
      </c>
    </row>
    <row r="128" spans="1:13" x14ac:dyDescent="0.25">
      <c r="A128" s="197" t="s">
        <v>32</v>
      </c>
      <c r="B128" s="198">
        <v>42467</v>
      </c>
      <c r="C128" s="193">
        <v>50</v>
      </c>
      <c r="D128" s="194">
        <v>45.5</v>
      </c>
      <c r="E128" s="194">
        <v>0</v>
      </c>
      <c r="F128" s="194">
        <f t="shared" ref="F128:F139" si="6">D128*C128+E128</f>
        <v>2275</v>
      </c>
      <c r="G128" s="193"/>
      <c r="H128" s="193"/>
      <c r="I128" s="194"/>
      <c r="J128" s="194"/>
      <c r="K128" s="194"/>
      <c r="L128" s="198">
        <v>42522</v>
      </c>
      <c r="M128" s="194">
        <v>33.75</v>
      </c>
    </row>
    <row r="129" spans="1:13" x14ac:dyDescent="0.25">
      <c r="A129" s="200" t="s">
        <v>71</v>
      </c>
      <c r="B129" s="198">
        <v>42482</v>
      </c>
      <c r="C129" s="193">
        <v>50</v>
      </c>
      <c r="D129" s="194">
        <v>43.65</v>
      </c>
      <c r="E129" s="194">
        <v>0</v>
      </c>
      <c r="F129" s="194">
        <f t="shared" si="6"/>
        <v>2182.5</v>
      </c>
      <c r="G129" s="198">
        <v>42507</v>
      </c>
      <c r="H129" s="199">
        <v>100</v>
      </c>
      <c r="I129" s="194">
        <v>43.59</v>
      </c>
      <c r="J129" s="194">
        <v>0.1</v>
      </c>
      <c r="K129" s="194">
        <f>H129*I129-J129</f>
        <v>4358.8999999999996</v>
      </c>
      <c r="L129" s="198">
        <v>42615</v>
      </c>
      <c r="M129" s="194">
        <v>81</v>
      </c>
    </row>
    <row r="130" spans="1:13" x14ac:dyDescent="0.25">
      <c r="A130" s="193"/>
      <c r="B130" s="198">
        <v>42486</v>
      </c>
      <c r="C130" s="193">
        <v>50</v>
      </c>
      <c r="D130" s="194">
        <v>43.25</v>
      </c>
      <c r="E130" s="194">
        <v>0</v>
      </c>
      <c r="F130" s="194">
        <f t="shared" si="6"/>
        <v>2162.5</v>
      </c>
      <c r="G130" s="198">
        <v>42509</v>
      </c>
      <c r="H130" s="199">
        <v>50</v>
      </c>
      <c r="I130" s="194">
        <v>43.12</v>
      </c>
      <c r="J130" s="194">
        <v>0.05</v>
      </c>
      <c r="K130" s="194">
        <f>H130*I130-J130</f>
        <v>2155.9499999999998</v>
      </c>
      <c r="L130" s="193"/>
      <c r="M130" s="193"/>
    </row>
    <row r="131" spans="1:13" x14ac:dyDescent="0.25">
      <c r="A131" s="193"/>
      <c r="B131" s="198">
        <v>42489</v>
      </c>
      <c r="C131" s="193">
        <v>50</v>
      </c>
      <c r="D131" s="194">
        <v>41.95</v>
      </c>
      <c r="E131" s="194">
        <v>0</v>
      </c>
      <c r="F131" s="194">
        <f t="shared" si="6"/>
        <v>2097.5</v>
      </c>
      <c r="G131" s="198">
        <v>42515</v>
      </c>
      <c r="H131" s="199">
        <v>50</v>
      </c>
      <c r="I131" s="194">
        <v>43.96</v>
      </c>
      <c r="J131" s="194">
        <v>0.05</v>
      </c>
      <c r="K131" s="194">
        <f>H131*I131-J131</f>
        <v>2197.9499999999998</v>
      </c>
      <c r="L131" s="193"/>
      <c r="M131" s="193"/>
    </row>
    <row r="132" spans="1:13" x14ac:dyDescent="0.25">
      <c r="A132" s="193"/>
      <c r="B132" s="198">
        <v>42489</v>
      </c>
      <c r="C132" s="193">
        <v>50</v>
      </c>
      <c r="D132" s="194">
        <v>41.39</v>
      </c>
      <c r="E132" s="194">
        <v>0</v>
      </c>
      <c r="F132" s="194">
        <f t="shared" si="6"/>
        <v>2069.5</v>
      </c>
      <c r="G132" s="193"/>
      <c r="H132" s="193"/>
      <c r="I132" s="194"/>
      <c r="J132" s="194"/>
      <c r="K132" s="194"/>
      <c r="L132" s="193"/>
      <c r="M132" s="193"/>
    </row>
    <row r="133" spans="1:13" x14ac:dyDescent="0.25">
      <c r="A133" s="193"/>
      <c r="B133" s="198">
        <v>42509</v>
      </c>
      <c r="C133" s="193">
        <v>50</v>
      </c>
      <c r="D133" s="194">
        <v>42.59</v>
      </c>
      <c r="E133" s="194">
        <v>0</v>
      </c>
      <c r="F133" s="194">
        <f t="shared" si="6"/>
        <v>2129.5</v>
      </c>
      <c r="G133" s="198">
        <v>42545</v>
      </c>
      <c r="H133" s="199">
        <v>100</v>
      </c>
      <c r="I133" s="194">
        <v>37.01</v>
      </c>
      <c r="J133" s="194">
        <v>0.57999999999999996</v>
      </c>
      <c r="K133" s="194">
        <f>H133*I133-J133</f>
        <v>3700.42</v>
      </c>
      <c r="L133" s="193"/>
      <c r="M133" s="193"/>
    </row>
    <row r="134" spans="1:13" x14ac:dyDescent="0.25">
      <c r="A134" s="193"/>
      <c r="B134" s="198">
        <v>42509</v>
      </c>
      <c r="C134" s="193">
        <v>50</v>
      </c>
      <c r="D134" s="194">
        <v>42.59</v>
      </c>
      <c r="E134" s="194">
        <v>0</v>
      </c>
      <c r="F134" s="194">
        <f t="shared" si="6"/>
        <v>2129.5</v>
      </c>
      <c r="G134" s="198">
        <v>42563</v>
      </c>
      <c r="H134" s="199">
        <v>100</v>
      </c>
      <c r="I134" s="194">
        <v>39.340000000000003</v>
      </c>
      <c r="J134" s="194">
        <v>0.09</v>
      </c>
      <c r="K134" s="194">
        <f>H134*I134-J134</f>
        <v>3933.9100000000003</v>
      </c>
      <c r="L134" s="193"/>
      <c r="M134" s="193"/>
    </row>
    <row r="135" spans="1:13" x14ac:dyDescent="0.25">
      <c r="A135" s="193"/>
      <c r="B135" s="198">
        <v>42515</v>
      </c>
      <c r="C135" s="193">
        <v>50</v>
      </c>
      <c r="D135" s="194">
        <v>43.45</v>
      </c>
      <c r="E135" s="194">
        <v>0</v>
      </c>
      <c r="F135" s="194">
        <f t="shared" si="6"/>
        <v>2172.5</v>
      </c>
      <c r="G135" s="422"/>
      <c r="H135" s="193"/>
      <c r="I135" s="194"/>
      <c r="J135" s="194"/>
      <c r="K135" s="194"/>
      <c r="L135" s="193"/>
      <c r="M135" s="193"/>
    </row>
    <row r="136" spans="1:13" x14ac:dyDescent="0.25">
      <c r="A136" s="193"/>
      <c r="B136" s="198">
        <v>42535</v>
      </c>
      <c r="C136" s="193">
        <v>100</v>
      </c>
      <c r="D136" s="194">
        <v>39.85</v>
      </c>
      <c r="E136" s="194">
        <v>0</v>
      </c>
      <c r="F136" s="194">
        <f t="shared" si="6"/>
        <v>3985</v>
      </c>
      <c r="G136" s="198">
        <v>42566</v>
      </c>
      <c r="H136" s="321">
        <v>100</v>
      </c>
      <c r="I136" s="285">
        <v>40.479999999999997</v>
      </c>
      <c r="J136" s="285">
        <v>0.09</v>
      </c>
      <c r="K136" s="285">
        <f t="shared" ref="K136:K142" si="7">H136*I136-J136</f>
        <v>4047.9099999999994</v>
      </c>
      <c r="L136" s="193"/>
      <c r="M136" s="193"/>
    </row>
    <row r="137" spans="1:13" x14ac:dyDescent="0.25">
      <c r="A137" s="193"/>
      <c r="B137" s="198">
        <v>42537</v>
      </c>
      <c r="C137" s="193">
        <v>100</v>
      </c>
      <c r="D137" s="194">
        <v>37.85</v>
      </c>
      <c r="E137" s="194">
        <v>0</v>
      </c>
      <c r="F137" s="194">
        <f t="shared" si="6"/>
        <v>3785</v>
      </c>
      <c r="G137" s="198">
        <v>42571</v>
      </c>
      <c r="H137" s="199">
        <v>100</v>
      </c>
      <c r="I137" s="194">
        <v>41.08</v>
      </c>
      <c r="J137" s="194">
        <v>0.09</v>
      </c>
      <c r="K137" s="285">
        <f t="shared" si="7"/>
        <v>4107.91</v>
      </c>
      <c r="L137" s="193"/>
      <c r="M137" s="193"/>
    </row>
    <row r="138" spans="1:13" x14ac:dyDescent="0.25">
      <c r="A138" s="193"/>
      <c r="B138" s="198">
        <v>42545</v>
      </c>
      <c r="C138" s="193">
        <v>50</v>
      </c>
      <c r="D138" s="194">
        <v>36.01</v>
      </c>
      <c r="E138" s="194">
        <v>0</v>
      </c>
      <c r="F138" s="194">
        <f t="shared" si="6"/>
        <v>1800.5</v>
      </c>
      <c r="G138" s="198">
        <v>42580</v>
      </c>
      <c r="H138" s="199">
        <v>50</v>
      </c>
      <c r="I138" s="194">
        <v>39.78</v>
      </c>
      <c r="J138" s="194">
        <v>0.04</v>
      </c>
      <c r="K138" s="194">
        <f t="shared" si="7"/>
        <v>1988.96</v>
      </c>
      <c r="L138" s="193"/>
      <c r="M138" s="193"/>
    </row>
    <row r="139" spans="1:13" x14ac:dyDescent="0.25">
      <c r="A139" s="193"/>
      <c r="B139" s="198">
        <v>42545</v>
      </c>
      <c r="C139" s="193">
        <v>50</v>
      </c>
      <c r="D139" s="194">
        <v>36.01</v>
      </c>
      <c r="E139" s="194">
        <v>0</v>
      </c>
      <c r="F139" s="194">
        <f t="shared" si="6"/>
        <v>1800.5</v>
      </c>
      <c r="G139" s="198">
        <v>42620</v>
      </c>
      <c r="H139" s="199">
        <v>50</v>
      </c>
      <c r="I139" s="194">
        <v>38.18</v>
      </c>
      <c r="J139" s="194">
        <v>0.04</v>
      </c>
      <c r="K139" s="194">
        <f t="shared" si="7"/>
        <v>1908.96</v>
      </c>
      <c r="L139" s="193"/>
      <c r="M139" s="193"/>
    </row>
    <row r="140" spans="1:13" x14ac:dyDescent="0.25">
      <c r="A140" s="193"/>
      <c r="B140" s="198">
        <v>42545</v>
      </c>
      <c r="C140" s="193">
        <v>100</v>
      </c>
      <c r="D140" s="194">
        <v>36.01</v>
      </c>
      <c r="E140" s="194">
        <v>0</v>
      </c>
      <c r="F140" s="194">
        <f>D140*C140+E140</f>
        <v>3601</v>
      </c>
      <c r="G140" s="198">
        <v>42620</v>
      </c>
      <c r="H140" s="199">
        <v>50</v>
      </c>
      <c r="I140" s="194">
        <v>38.880000000000003</v>
      </c>
      <c r="J140" s="194">
        <v>0.04</v>
      </c>
      <c r="K140" s="194">
        <f t="shared" si="7"/>
        <v>1943.9600000000003</v>
      </c>
      <c r="L140" s="193"/>
      <c r="M140" s="193"/>
    </row>
    <row r="141" spans="1:13" x14ac:dyDescent="0.25">
      <c r="A141" s="193"/>
      <c r="B141" s="198">
        <v>42548</v>
      </c>
      <c r="C141" s="193">
        <v>100</v>
      </c>
      <c r="D141" s="194">
        <v>33.880000000000003</v>
      </c>
      <c r="E141" s="194">
        <v>0</v>
      </c>
      <c r="F141" s="194">
        <f>D141*C141+E141</f>
        <v>3388.0000000000005</v>
      </c>
      <c r="G141" s="198">
        <v>42620</v>
      </c>
      <c r="H141" s="199">
        <v>50</v>
      </c>
      <c r="I141" s="194">
        <v>39.090000000000003</v>
      </c>
      <c r="J141" s="194">
        <v>-0.09</v>
      </c>
      <c r="K141" s="194">
        <f t="shared" si="7"/>
        <v>1954.5900000000001</v>
      </c>
      <c r="L141" s="193"/>
      <c r="M141" s="193"/>
    </row>
    <row r="142" spans="1:13" x14ac:dyDescent="0.25">
      <c r="A142" s="193"/>
      <c r="B142" s="198">
        <v>42572</v>
      </c>
      <c r="C142" s="193">
        <v>50</v>
      </c>
      <c r="D142" s="194">
        <v>38.58</v>
      </c>
      <c r="E142" s="194">
        <v>0</v>
      </c>
      <c r="F142" s="194">
        <f>D142*C142+E142</f>
        <v>1929</v>
      </c>
      <c r="G142" s="198">
        <v>42641</v>
      </c>
      <c r="H142" s="199">
        <v>250</v>
      </c>
      <c r="I142" s="194">
        <v>39.68</v>
      </c>
      <c r="J142" s="194">
        <v>0.22</v>
      </c>
      <c r="K142" s="194">
        <f t="shared" si="7"/>
        <v>9919.7800000000007</v>
      </c>
      <c r="L142" s="193"/>
      <c r="M142" s="193"/>
    </row>
    <row r="143" spans="1:13" x14ac:dyDescent="0.25">
      <c r="A143" s="193"/>
      <c r="B143" s="198">
        <v>42580</v>
      </c>
      <c r="C143" s="193">
        <v>50</v>
      </c>
      <c r="D143" s="194">
        <v>38.979999999999997</v>
      </c>
      <c r="E143" s="194">
        <v>0</v>
      </c>
      <c r="F143" s="194">
        <f>D143*C143+E143</f>
        <v>1948.9999999999998</v>
      </c>
      <c r="G143" s="193"/>
      <c r="H143" s="193"/>
      <c r="I143" s="194"/>
      <c r="J143" s="194"/>
      <c r="K143" s="194"/>
      <c r="L143" s="193"/>
      <c r="M143" s="193"/>
    </row>
    <row r="144" spans="1:13" x14ac:dyDescent="0.25">
      <c r="A144" s="193"/>
      <c r="B144" s="198">
        <v>42584</v>
      </c>
      <c r="C144" s="193">
        <v>50</v>
      </c>
      <c r="D144" s="194">
        <v>37.68</v>
      </c>
      <c r="E144" s="194">
        <v>0</v>
      </c>
      <c r="F144" s="194">
        <f>D144*C144+E144</f>
        <v>1884</v>
      </c>
      <c r="G144" s="193"/>
      <c r="H144" s="193"/>
      <c r="I144" s="194"/>
      <c r="J144" s="194"/>
      <c r="K144" s="194"/>
      <c r="L144" s="193"/>
      <c r="M144" s="193"/>
    </row>
    <row r="145" spans="1:13" x14ac:dyDescent="0.25">
      <c r="A145" s="193"/>
      <c r="B145" s="193"/>
      <c r="C145" s="193"/>
      <c r="D145" s="194"/>
      <c r="E145" s="194"/>
      <c r="F145" s="194"/>
      <c r="G145" s="193"/>
      <c r="H145" s="193"/>
      <c r="I145" s="194"/>
      <c r="J145" s="194"/>
      <c r="K145" s="194"/>
      <c r="L145" s="193"/>
      <c r="M145" s="193"/>
    </row>
    <row r="146" spans="1:13" x14ac:dyDescent="0.25">
      <c r="A146" s="193"/>
      <c r="B146" s="193"/>
      <c r="C146" s="193"/>
      <c r="D146" s="194"/>
      <c r="E146" s="194"/>
      <c r="F146" s="194"/>
      <c r="G146" s="193"/>
      <c r="H146" s="193"/>
      <c r="I146" s="194"/>
      <c r="J146" s="194"/>
      <c r="K146" s="194"/>
      <c r="L146" s="193"/>
      <c r="M146" s="193"/>
    </row>
    <row r="147" spans="1:13" x14ac:dyDescent="0.25">
      <c r="A147" s="193"/>
      <c r="B147" s="193"/>
      <c r="C147" s="193"/>
      <c r="D147" s="194"/>
      <c r="E147" s="194"/>
      <c r="F147" s="194"/>
      <c r="G147" s="193"/>
      <c r="H147" s="193"/>
      <c r="I147" s="194"/>
      <c r="J147" s="194"/>
      <c r="K147" s="194"/>
      <c r="L147" s="193"/>
      <c r="M147" s="193"/>
    </row>
    <row r="148" spans="1:13" x14ac:dyDescent="0.25">
      <c r="A148" s="193"/>
      <c r="B148" s="193"/>
      <c r="C148" s="193"/>
      <c r="D148" s="194"/>
      <c r="E148" s="194"/>
      <c r="F148" s="194"/>
      <c r="G148" s="193"/>
      <c r="H148" s="193"/>
      <c r="I148" s="194"/>
      <c r="J148" s="194"/>
      <c r="K148" s="194"/>
      <c r="L148" s="193"/>
      <c r="M148" s="193"/>
    </row>
    <row r="149" spans="1:13" x14ac:dyDescent="0.25">
      <c r="A149" s="193"/>
      <c r="B149" s="193"/>
      <c r="C149" s="193"/>
      <c r="D149" s="194"/>
      <c r="E149" s="194"/>
      <c r="F149" s="194"/>
      <c r="G149" s="193"/>
      <c r="H149" s="193"/>
      <c r="I149" s="194"/>
      <c r="J149" s="194"/>
      <c r="K149" s="194"/>
      <c r="L149" s="193"/>
      <c r="M149" s="193"/>
    </row>
    <row r="150" spans="1:13" x14ac:dyDescent="0.25">
      <c r="A150" s="193"/>
      <c r="B150" s="193"/>
      <c r="C150" s="193"/>
      <c r="D150" s="194"/>
      <c r="E150" s="194"/>
      <c r="F150" s="194"/>
      <c r="G150" s="193"/>
      <c r="H150" s="193"/>
      <c r="I150" s="194"/>
      <c r="J150" s="194"/>
      <c r="K150" s="194"/>
      <c r="L150" s="193"/>
      <c r="M150" s="193"/>
    </row>
    <row r="151" spans="1:13" x14ac:dyDescent="0.25">
      <c r="A151" s="193"/>
      <c r="B151" s="193"/>
      <c r="C151" s="193"/>
      <c r="D151" s="194"/>
      <c r="E151" s="194"/>
      <c r="F151" s="194"/>
      <c r="G151" s="193"/>
      <c r="H151" s="193"/>
      <c r="I151" s="194"/>
      <c r="J151" s="194"/>
      <c r="K151" s="194"/>
      <c r="L151" s="193"/>
      <c r="M151" s="193"/>
    </row>
    <row r="152" spans="1:13" x14ac:dyDescent="0.25">
      <c r="A152" s="193"/>
      <c r="B152" s="193"/>
      <c r="C152" s="193"/>
      <c r="D152" s="194"/>
      <c r="E152" s="194"/>
      <c r="F152" s="194"/>
      <c r="G152" s="193"/>
      <c r="H152" s="193"/>
      <c r="I152" s="194"/>
      <c r="J152" s="194"/>
      <c r="K152" s="194"/>
      <c r="L152" s="193"/>
      <c r="M152" s="193"/>
    </row>
    <row r="153" spans="1:13" x14ac:dyDescent="0.25">
      <c r="A153" s="193"/>
      <c r="B153" s="193"/>
      <c r="C153" s="193"/>
      <c r="D153" s="194"/>
      <c r="E153" s="194"/>
      <c r="F153" s="194"/>
      <c r="G153" s="193"/>
      <c r="H153" s="193"/>
      <c r="I153" s="194"/>
      <c r="J153" s="194"/>
      <c r="K153" s="194"/>
      <c r="L153" s="193"/>
      <c r="M153" s="193"/>
    </row>
    <row r="154" spans="1:13" x14ac:dyDescent="0.25">
      <c r="A154" s="193"/>
      <c r="B154" s="193"/>
      <c r="C154" s="193"/>
      <c r="D154" s="194"/>
      <c r="E154" s="194"/>
      <c r="F154" s="194"/>
      <c r="G154" s="193"/>
      <c r="H154" s="199"/>
      <c r="I154" s="194"/>
      <c r="J154" s="194"/>
      <c r="K154" s="194"/>
      <c r="L154" s="193"/>
      <c r="M154" s="193"/>
    </row>
    <row r="155" spans="1:13" x14ac:dyDescent="0.25">
      <c r="A155" s="31" t="s">
        <v>81</v>
      </c>
      <c r="B155" s="14"/>
      <c r="C155" s="14">
        <f>SUM(C128:C145)</f>
        <v>1050</v>
      </c>
      <c r="D155" s="18"/>
      <c r="E155" s="18"/>
      <c r="F155" s="18">
        <f>SUM(F128:F145)</f>
        <v>41340.5</v>
      </c>
      <c r="G155" s="14"/>
      <c r="H155" s="68">
        <f>SUM(H128:H154)</f>
        <v>1050</v>
      </c>
      <c r="I155" s="18"/>
      <c r="J155" s="18"/>
      <c r="K155" s="18">
        <f>SUM(K128:K154)</f>
        <v>42219.199999999997</v>
      </c>
      <c r="L155" s="14"/>
      <c r="M155" s="18">
        <f>SUM(M128:M154)</f>
        <v>114.75</v>
      </c>
    </row>
    <row r="156" spans="1:13" ht="15.75" thickBot="1" x14ac:dyDescent="0.3">
      <c r="A156" s="365" t="s">
        <v>189</v>
      </c>
      <c r="B156" s="366"/>
      <c r="C156" s="367">
        <f>SumByColor($A$30,C128:C154)</f>
        <v>0</v>
      </c>
      <c r="D156" s="367"/>
      <c r="E156" s="367"/>
      <c r="F156" s="368">
        <f>SumByColor($A$30,F128:F154)</f>
        <v>0</v>
      </c>
      <c r="G156" s="367"/>
      <c r="H156" s="367">
        <f>SumByColor($A$30,H129:H154)</f>
        <v>0</v>
      </c>
      <c r="I156" s="367"/>
      <c r="J156" s="367"/>
      <c r="K156" s="368">
        <f>SumByColor($A$30,K129:K154)</f>
        <v>0</v>
      </c>
      <c r="L156" s="367"/>
      <c r="M156" s="368">
        <f>SumByColor($A$30,M128:M154)</f>
        <v>0</v>
      </c>
    </row>
    <row r="159" spans="1:13" x14ac:dyDescent="0.25">
      <c r="B159" s="201" t="s">
        <v>113</v>
      </c>
      <c r="C159" s="201" t="s">
        <v>143</v>
      </c>
      <c r="D159" s="202" t="s">
        <v>142</v>
      </c>
      <c r="E159" s="203" t="s">
        <v>144</v>
      </c>
      <c r="F159" s="203" t="s">
        <v>65</v>
      </c>
      <c r="G159" s="205" t="s">
        <v>148</v>
      </c>
      <c r="H159" s="205" t="s">
        <v>88</v>
      </c>
      <c r="I159" s="205" t="s">
        <v>151</v>
      </c>
    </row>
    <row r="160" spans="1:13" x14ac:dyDescent="0.25">
      <c r="B160" s="198">
        <v>42524</v>
      </c>
      <c r="C160" s="193">
        <v>200</v>
      </c>
      <c r="D160" s="423">
        <v>42.3598</v>
      </c>
      <c r="E160" s="194">
        <v>41.755000000000003</v>
      </c>
      <c r="F160" s="194">
        <f t="shared" ref="F160:F212" si="8">C160*(E160-D160)</f>
        <v>-120.95999999999947</v>
      </c>
      <c r="G160" s="194">
        <f>D160*C160</f>
        <v>8471.9599999999991</v>
      </c>
      <c r="H160" s="208">
        <f>(E160-D160)/D160</f>
        <v>-1.4277687807779955E-2</v>
      </c>
      <c r="I160" s="194"/>
    </row>
    <row r="161" spans="2:9" x14ac:dyDescent="0.25">
      <c r="B161" s="198">
        <v>42527</v>
      </c>
      <c r="C161" s="193">
        <v>200</v>
      </c>
      <c r="D161" s="194">
        <v>42.3598</v>
      </c>
      <c r="E161" s="194">
        <v>41.28</v>
      </c>
      <c r="F161" s="194">
        <f t="shared" si="8"/>
        <v>-215.95999999999975</v>
      </c>
      <c r="G161" s="194">
        <f>D161*C161</f>
        <v>8471.9599999999991</v>
      </c>
      <c r="H161" s="208">
        <f>(E161-D161)/D161</f>
        <v>-2.5491149627713039E-2</v>
      </c>
      <c r="I161" s="194"/>
    </row>
    <row r="162" spans="2:9" x14ac:dyDescent="0.25">
      <c r="B162" s="198">
        <v>42533</v>
      </c>
      <c r="C162" s="193">
        <v>200</v>
      </c>
      <c r="D162" s="194">
        <v>42.36</v>
      </c>
      <c r="E162" s="194">
        <v>42.04</v>
      </c>
      <c r="F162" s="194">
        <f t="shared" si="8"/>
        <v>-64.000000000000057</v>
      </c>
      <c r="G162" s="194">
        <f>D162*C162</f>
        <v>8472</v>
      </c>
      <c r="H162" s="208">
        <f>(E162-D162)/D162</f>
        <v>-7.5542965061378723E-3</v>
      </c>
      <c r="I162" s="194"/>
    </row>
    <row r="163" spans="2:9" x14ac:dyDescent="0.25">
      <c r="B163" s="198">
        <v>42534</v>
      </c>
      <c r="C163" s="193">
        <v>200</v>
      </c>
      <c r="D163" s="194">
        <v>42.3598</v>
      </c>
      <c r="E163" s="194">
        <v>40.57</v>
      </c>
      <c r="F163" s="194">
        <f t="shared" si="8"/>
        <v>-357.95999999999992</v>
      </c>
      <c r="G163" s="194">
        <f t="shared" ref="G163:G212" si="9">D163*C163</f>
        <v>8471.9599999999991</v>
      </c>
      <c r="H163" s="208">
        <f t="shared" ref="H163:H212" si="10">(E163-D163)/D163</f>
        <v>-4.2252324137507721E-2</v>
      </c>
      <c r="I163" s="194"/>
    </row>
    <row r="164" spans="2:9" x14ac:dyDescent="0.25">
      <c r="B164" s="198">
        <v>42535</v>
      </c>
      <c r="C164" s="193">
        <v>300</v>
      </c>
      <c r="D164" s="194">
        <v>41.523200000000003</v>
      </c>
      <c r="E164" s="194">
        <v>39.11</v>
      </c>
      <c r="F164" s="194">
        <f t="shared" si="8"/>
        <v>-723.96000000000095</v>
      </c>
      <c r="G164" s="194">
        <f t="shared" si="9"/>
        <v>12456.960000000001</v>
      </c>
      <c r="H164" s="208">
        <f t="shared" si="10"/>
        <v>-5.8116908138101185E-2</v>
      </c>
      <c r="I164" s="194"/>
    </row>
    <row r="165" spans="2:9" x14ac:dyDescent="0.25">
      <c r="B165" s="198">
        <v>42537</v>
      </c>
      <c r="C165" s="193">
        <v>400</v>
      </c>
      <c r="D165" s="194">
        <v>40.604900000000001</v>
      </c>
      <c r="E165" s="194">
        <v>38.020000000000003</v>
      </c>
      <c r="F165" s="194">
        <f t="shared" si="8"/>
        <v>-1033.9599999999991</v>
      </c>
      <c r="G165" s="194">
        <f t="shared" si="9"/>
        <v>16241.960000000001</v>
      </c>
      <c r="H165" s="208">
        <f t="shared" si="10"/>
        <v>-6.3659804604862896E-2</v>
      </c>
      <c r="I165" s="194"/>
    </row>
    <row r="166" spans="2:9" x14ac:dyDescent="0.25">
      <c r="B166" s="198">
        <v>42542</v>
      </c>
      <c r="C166" s="193">
        <v>400</v>
      </c>
      <c r="D166" s="194">
        <v>40.604900000000001</v>
      </c>
      <c r="E166" s="194">
        <v>38.67</v>
      </c>
      <c r="F166" s="194">
        <f t="shared" si="8"/>
        <v>-773.95999999999958</v>
      </c>
      <c r="G166" s="194">
        <f t="shared" si="9"/>
        <v>16241.960000000001</v>
      </c>
      <c r="H166" s="208">
        <f t="shared" si="10"/>
        <v>-4.7651884378486317E-2</v>
      </c>
      <c r="I166" s="194"/>
    </row>
    <row r="167" spans="2:9" x14ac:dyDescent="0.25">
      <c r="B167" s="198">
        <v>42545</v>
      </c>
      <c r="C167" s="193">
        <v>500</v>
      </c>
      <c r="D167" s="194">
        <v>39.685899999999997</v>
      </c>
      <c r="E167" s="194">
        <v>38.31</v>
      </c>
      <c r="F167" s="194">
        <f t="shared" si="8"/>
        <v>-687.9499999999972</v>
      </c>
      <c r="G167" s="194">
        <f t="shared" si="9"/>
        <v>19842.949999999997</v>
      </c>
      <c r="H167" s="208">
        <f t="shared" si="10"/>
        <v>-3.466974416606388E-2</v>
      </c>
      <c r="I167" s="194"/>
    </row>
    <row r="168" spans="2:9" x14ac:dyDescent="0.25">
      <c r="B168" s="198">
        <v>42545</v>
      </c>
      <c r="C168" s="193">
        <v>500</v>
      </c>
      <c r="D168" s="194">
        <v>39.487099999999998</v>
      </c>
      <c r="E168" s="194">
        <v>35.18</v>
      </c>
      <c r="F168" s="194">
        <f t="shared" si="8"/>
        <v>-2153.5499999999993</v>
      </c>
      <c r="G168" s="194">
        <f t="shared" si="9"/>
        <v>19743.55</v>
      </c>
      <c r="H168" s="208">
        <f t="shared" si="10"/>
        <v>-0.10907612865973948</v>
      </c>
      <c r="I168" s="194"/>
    </row>
    <row r="169" spans="2:9" x14ac:dyDescent="0.25">
      <c r="B169" s="198">
        <v>42548</v>
      </c>
      <c r="C169" s="193">
        <v>600</v>
      </c>
      <c r="D169" s="194">
        <v>38.552599999999998</v>
      </c>
      <c r="E169" s="194">
        <v>33.36</v>
      </c>
      <c r="F169" s="194">
        <f t="shared" si="8"/>
        <v>-3115.5599999999995</v>
      </c>
      <c r="G169" s="194">
        <f t="shared" si="9"/>
        <v>23131.559999999998</v>
      </c>
      <c r="H169" s="208">
        <f t="shared" si="10"/>
        <v>-0.13468871100781787</v>
      </c>
      <c r="I169" s="194"/>
    </row>
    <row r="170" spans="2:9" x14ac:dyDescent="0.25">
      <c r="B170" s="198">
        <v>42549</v>
      </c>
      <c r="C170" s="193">
        <v>600</v>
      </c>
      <c r="D170" s="194">
        <v>38.552599999999998</v>
      </c>
      <c r="E170" s="194">
        <v>34.67</v>
      </c>
      <c r="F170" s="194">
        <f t="shared" si="8"/>
        <v>-2329.5599999999977</v>
      </c>
      <c r="G170" s="194">
        <f t="shared" si="9"/>
        <v>23131.559999999998</v>
      </c>
      <c r="H170" s="208">
        <f t="shared" si="10"/>
        <v>-0.10070916099043895</v>
      </c>
      <c r="I170" s="194"/>
    </row>
    <row r="171" spans="2:9" x14ac:dyDescent="0.25">
      <c r="B171" s="198">
        <v>42552</v>
      </c>
      <c r="C171" s="193">
        <v>600</v>
      </c>
      <c r="D171" s="194">
        <v>38.552599999999998</v>
      </c>
      <c r="E171" s="194">
        <v>36.770000000000003</v>
      </c>
      <c r="F171" s="194">
        <f t="shared" si="8"/>
        <v>-1069.559999999997</v>
      </c>
      <c r="G171" s="194">
        <f t="shared" si="9"/>
        <v>23131.559999999998</v>
      </c>
      <c r="H171" s="208">
        <f t="shared" si="10"/>
        <v>-4.6238126611434643E-2</v>
      </c>
      <c r="I171" s="194"/>
    </row>
    <row r="172" spans="2:9" x14ac:dyDescent="0.25">
      <c r="B172" s="198">
        <v>42556</v>
      </c>
      <c r="C172" s="207">
        <v>600</v>
      </c>
      <c r="D172" s="285">
        <v>38.552599999999998</v>
      </c>
      <c r="E172" s="194">
        <v>35.619999999999997</v>
      </c>
      <c r="F172" s="194">
        <f t="shared" si="8"/>
        <v>-1759.5600000000004</v>
      </c>
      <c r="G172" s="194">
        <f t="shared" si="9"/>
        <v>23131.559999999998</v>
      </c>
      <c r="H172" s="208">
        <f t="shared" si="10"/>
        <v>-7.6067502580889512E-2</v>
      </c>
      <c r="I172" s="194"/>
    </row>
    <row r="173" spans="2:9" x14ac:dyDescent="0.25">
      <c r="B173" s="198">
        <v>42559</v>
      </c>
      <c r="C173" s="207">
        <v>600</v>
      </c>
      <c r="D173" s="285">
        <v>38.552599999999998</v>
      </c>
      <c r="E173" s="194">
        <v>37.369999999999997</v>
      </c>
      <c r="F173" s="194">
        <f t="shared" si="8"/>
        <v>-709.5600000000004</v>
      </c>
      <c r="G173" s="194">
        <f t="shared" si="9"/>
        <v>23131.559999999998</v>
      </c>
      <c r="H173" s="208">
        <f t="shared" si="10"/>
        <v>-3.0674973931719283E-2</v>
      </c>
      <c r="I173" s="194"/>
    </row>
    <row r="174" spans="2:9" x14ac:dyDescent="0.25">
      <c r="B174" s="198">
        <v>42562</v>
      </c>
      <c r="C174" s="207">
        <v>600</v>
      </c>
      <c r="D174" s="285">
        <v>38.552599999999998</v>
      </c>
      <c r="E174" s="194">
        <v>38.119999999999997</v>
      </c>
      <c r="F174" s="194">
        <f t="shared" si="8"/>
        <v>-259.56000000000046</v>
      </c>
      <c r="G174" s="194">
        <f t="shared" si="9"/>
        <v>23131.559999999998</v>
      </c>
      <c r="H174" s="208">
        <f t="shared" si="10"/>
        <v>-1.1221033082074899E-2</v>
      </c>
      <c r="I174" s="194"/>
    </row>
    <row r="175" spans="2:9" x14ac:dyDescent="0.25">
      <c r="B175" s="198">
        <v>42563</v>
      </c>
      <c r="C175" s="193">
        <v>500</v>
      </c>
      <c r="D175" s="194">
        <v>38.395200000000003</v>
      </c>
      <c r="E175" s="194">
        <v>40.21</v>
      </c>
      <c r="F175" s="194">
        <f t="shared" si="8"/>
        <v>907.39999999999907</v>
      </c>
      <c r="G175" s="194">
        <f t="shared" si="9"/>
        <v>19197.600000000002</v>
      </c>
      <c r="H175" s="208">
        <f t="shared" si="10"/>
        <v>4.7266324957286276E-2</v>
      </c>
      <c r="I175" s="194"/>
    </row>
    <row r="176" spans="2:9" x14ac:dyDescent="0.25">
      <c r="B176" s="198">
        <v>42566</v>
      </c>
      <c r="C176" s="193">
        <v>400</v>
      </c>
      <c r="D176" s="194">
        <v>37.874299999999998</v>
      </c>
      <c r="E176" s="194">
        <v>39.979999999999997</v>
      </c>
      <c r="F176" s="194">
        <f t="shared" si="8"/>
        <v>842.27999999999952</v>
      </c>
      <c r="G176" s="194">
        <f t="shared" si="9"/>
        <v>15149.72</v>
      </c>
      <c r="H176" s="208">
        <f t="shared" si="10"/>
        <v>5.559706714051478E-2</v>
      </c>
      <c r="I176" s="194"/>
    </row>
    <row r="177" spans="2:9" x14ac:dyDescent="0.25">
      <c r="B177" s="198">
        <v>42569</v>
      </c>
      <c r="C177" s="193">
        <v>400</v>
      </c>
      <c r="D177" s="194">
        <v>37.874299999999998</v>
      </c>
      <c r="E177" s="194">
        <v>40.1</v>
      </c>
      <c r="F177" s="194">
        <f t="shared" si="8"/>
        <v>890.28000000000134</v>
      </c>
      <c r="G177" s="194">
        <f t="shared" si="9"/>
        <v>15149.72</v>
      </c>
      <c r="H177" s="208">
        <f t="shared" si="10"/>
        <v>5.8765442529631E-2</v>
      </c>
      <c r="I177" s="194"/>
    </row>
    <row r="178" spans="2:9" x14ac:dyDescent="0.25">
      <c r="B178" s="198">
        <v>42570</v>
      </c>
      <c r="C178" s="193">
        <v>400</v>
      </c>
      <c r="D178" s="194">
        <v>37.874299999999998</v>
      </c>
      <c r="E178" s="194">
        <v>40.53</v>
      </c>
      <c r="F178" s="194">
        <f t="shared" si="8"/>
        <v>1062.2800000000011</v>
      </c>
      <c r="G178" s="194">
        <f t="shared" si="9"/>
        <v>15149.72</v>
      </c>
      <c r="H178" s="208">
        <f t="shared" si="10"/>
        <v>7.0118787673963692E-2</v>
      </c>
      <c r="I178" s="194"/>
    </row>
    <row r="179" spans="2:9" x14ac:dyDescent="0.25">
      <c r="B179" s="198">
        <v>42571</v>
      </c>
      <c r="C179" s="207">
        <v>300</v>
      </c>
      <c r="D179" s="285">
        <v>36.805999999999997</v>
      </c>
      <c r="E179" s="285">
        <v>40.21</v>
      </c>
      <c r="F179" s="194">
        <f t="shared" si="8"/>
        <v>1021.2000000000011</v>
      </c>
      <c r="G179" s="194">
        <f t="shared" si="9"/>
        <v>11041.8</v>
      </c>
      <c r="H179" s="208">
        <f t="shared" si="10"/>
        <v>9.2484920936803883E-2</v>
      </c>
      <c r="I179" s="194"/>
    </row>
    <row r="180" spans="2:9" x14ac:dyDescent="0.25">
      <c r="B180" s="198">
        <v>42572</v>
      </c>
      <c r="C180" s="193">
        <v>350</v>
      </c>
      <c r="D180" s="194">
        <v>37.059399999999997</v>
      </c>
      <c r="E180" s="194">
        <v>38.520000000000003</v>
      </c>
      <c r="F180" s="194">
        <f t="shared" si="8"/>
        <v>511.21000000000231</v>
      </c>
      <c r="G180" s="194">
        <f t="shared" si="9"/>
        <v>12970.789999999999</v>
      </c>
      <c r="H180" s="208">
        <f t="shared" si="10"/>
        <v>3.9412402791194859E-2</v>
      </c>
      <c r="I180" s="194"/>
    </row>
    <row r="181" spans="2:9" x14ac:dyDescent="0.25">
      <c r="B181" s="198">
        <v>42575</v>
      </c>
      <c r="C181" s="193">
        <v>350</v>
      </c>
      <c r="D181" s="194">
        <v>37.059399999999997</v>
      </c>
      <c r="E181" s="194">
        <v>38.96</v>
      </c>
      <c r="F181" s="194">
        <f t="shared" si="8"/>
        <v>665.21000000000151</v>
      </c>
      <c r="G181" s="194">
        <f t="shared" si="9"/>
        <v>12970.789999999999</v>
      </c>
      <c r="H181" s="208">
        <f t="shared" si="10"/>
        <v>5.1285233975725576E-2</v>
      </c>
      <c r="I181" s="194"/>
    </row>
    <row r="182" spans="2:9" x14ac:dyDescent="0.25">
      <c r="B182" s="198">
        <v>42577</v>
      </c>
      <c r="C182" s="193">
        <v>350</v>
      </c>
      <c r="D182" s="194">
        <v>37.059399999999997</v>
      </c>
      <c r="E182" s="194">
        <v>39.03</v>
      </c>
      <c r="F182" s="194">
        <f t="shared" si="8"/>
        <v>689.71000000000163</v>
      </c>
      <c r="G182" s="194">
        <f t="shared" si="9"/>
        <v>12970.789999999999</v>
      </c>
      <c r="H182" s="208">
        <f t="shared" si="10"/>
        <v>5.3174093482355481E-2</v>
      </c>
      <c r="I182" s="194"/>
    </row>
    <row r="183" spans="2:9" x14ac:dyDescent="0.25">
      <c r="B183" s="198">
        <v>42580</v>
      </c>
      <c r="C183" s="193">
        <v>300</v>
      </c>
      <c r="D183" s="194">
        <v>36.606099999999998</v>
      </c>
      <c r="E183" s="194">
        <v>39.659999999999997</v>
      </c>
      <c r="F183" s="194">
        <f t="shared" si="8"/>
        <v>916.16999999999962</v>
      </c>
      <c r="G183" s="194">
        <f t="shared" si="9"/>
        <v>10981.83</v>
      </c>
      <c r="H183" s="208">
        <f t="shared" si="10"/>
        <v>8.3425986379319264E-2</v>
      </c>
      <c r="I183" s="194">
        <v>36</v>
      </c>
    </row>
    <row r="184" spans="2:9" x14ac:dyDescent="0.25">
      <c r="B184" s="198">
        <v>42580</v>
      </c>
      <c r="C184" s="193">
        <v>350</v>
      </c>
      <c r="D184" s="194">
        <v>36.945300000000003</v>
      </c>
      <c r="E184" s="194">
        <v>38.75</v>
      </c>
      <c r="F184" s="194">
        <f t="shared" si="8"/>
        <v>631.64499999999884</v>
      </c>
      <c r="G184" s="194">
        <f t="shared" si="9"/>
        <v>12930.855000000001</v>
      </c>
      <c r="H184" s="208">
        <f t="shared" si="10"/>
        <v>4.8847891342065075E-2</v>
      </c>
      <c r="I184" s="194"/>
    </row>
    <row r="185" spans="2:9" x14ac:dyDescent="0.25">
      <c r="B185" s="198">
        <v>42584</v>
      </c>
      <c r="C185" s="193">
        <v>400</v>
      </c>
      <c r="D185" s="194">
        <v>37.037100000000002</v>
      </c>
      <c r="E185" s="194">
        <v>36.39</v>
      </c>
      <c r="F185" s="194">
        <f t="shared" si="8"/>
        <v>-258.84000000000071</v>
      </c>
      <c r="G185" s="194">
        <f t="shared" si="9"/>
        <v>14814.84</v>
      </c>
      <c r="H185" s="208">
        <f t="shared" si="10"/>
        <v>-1.747167029816054E-2</v>
      </c>
      <c r="I185" s="194">
        <v>36.5</v>
      </c>
    </row>
    <row r="186" spans="2:9" x14ac:dyDescent="0.25">
      <c r="B186" s="198">
        <v>42597</v>
      </c>
      <c r="C186" s="193">
        <v>400</v>
      </c>
      <c r="D186" s="194">
        <v>37.037100000000002</v>
      </c>
      <c r="E186" s="194">
        <v>36.92</v>
      </c>
      <c r="F186" s="194">
        <f t="shared" si="8"/>
        <v>-46.840000000000259</v>
      </c>
      <c r="G186" s="194">
        <f t="shared" si="9"/>
        <v>14814.84</v>
      </c>
      <c r="H186" s="208">
        <f t="shared" si="10"/>
        <v>-3.1616946251191544E-3</v>
      </c>
      <c r="I186" s="194"/>
    </row>
    <row r="187" spans="2:9" x14ac:dyDescent="0.25">
      <c r="B187" s="198">
        <v>42599</v>
      </c>
      <c r="C187" s="193">
        <v>400</v>
      </c>
      <c r="D187" s="194">
        <v>37.037100000000002</v>
      </c>
      <c r="E187" s="194">
        <v>37.51</v>
      </c>
      <c r="F187" s="194">
        <f t="shared" si="8"/>
        <v>189.15999999999826</v>
      </c>
      <c r="G187" s="194">
        <f t="shared" si="9"/>
        <v>14814.84</v>
      </c>
      <c r="H187" s="208">
        <f t="shared" si="10"/>
        <v>1.2768278293926781E-2</v>
      </c>
      <c r="I187" s="194"/>
    </row>
    <row r="188" spans="2:9" x14ac:dyDescent="0.25">
      <c r="B188" s="198">
        <v>42600</v>
      </c>
      <c r="C188" s="193">
        <v>400</v>
      </c>
      <c r="D188" s="194">
        <v>37.037100000000002</v>
      </c>
      <c r="E188" s="194">
        <v>37.07</v>
      </c>
      <c r="F188" s="194">
        <f t="shared" si="8"/>
        <v>13.159999999999172</v>
      </c>
      <c r="G188" s="194">
        <f t="shared" si="9"/>
        <v>14814.84</v>
      </c>
      <c r="H188" s="208">
        <f t="shared" si="10"/>
        <v>8.8829848989251125E-4</v>
      </c>
      <c r="I188" s="194"/>
    </row>
    <row r="189" spans="2:9" x14ac:dyDescent="0.25">
      <c r="B189" s="198">
        <v>42601</v>
      </c>
      <c r="C189" s="193">
        <v>400</v>
      </c>
      <c r="D189" s="194">
        <v>37.037100000000002</v>
      </c>
      <c r="E189" s="194">
        <v>36.770000000000003</v>
      </c>
      <c r="F189" s="194">
        <f t="shared" si="8"/>
        <v>-106.83999999999969</v>
      </c>
      <c r="G189" s="194">
        <f t="shared" si="9"/>
        <v>14814.84</v>
      </c>
      <c r="H189" s="208">
        <f t="shared" si="10"/>
        <v>-7.2116877401308208E-3</v>
      </c>
      <c r="I189" s="194"/>
    </row>
    <row r="190" spans="2:9" x14ac:dyDescent="0.25">
      <c r="B190" s="198">
        <v>42604</v>
      </c>
      <c r="C190" s="193">
        <v>400</v>
      </c>
      <c r="D190" s="194">
        <v>37.037100000000002</v>
      </c>
      <c r="E190" s="194">
        <v>36.61</v>
      </c>
      <c r="F190" s="194">
        <f t="shared" si="8"/>
        <v>-170.84000000000117</v>
      </c>
      <c r="G190" s="194">
        <f t="shared" si="9"/>
        <v>14814.84</v>
      </c>
      <c r="H190" s="208">
        <f t="shared" si="10"/>
        <v>-1.1531680396143405E-2</v>
      </c>
      <c r="I190" s="194"/>
    </row>
    <row r="191" spans="2:9" x14ac:dyDescent="0.25">
      <c r="B191" s="198">
        <v>42605</v>
      </c>
      <c r="C191" s="193">
        <v>400</v>
      </c>
      <c r="D191" s="194">
        <v>37.037100000000002</v>
      </c>
      <c r="E191" s="194">
        <v>36.69</v>
      </c>
      <c r="F191" s="194">
        <f t="shared" si="8"/>
        <v>-138.84000000000185</v>
      </c>
      <c r="G191" s="194">
        <f t="shared" si="9"/>
        <v>14814.84</v>
      </c>
      <c r="H191" s="208">
        <f t="shared" si="10"/>
        <v>-9.3716840681372093E-3</v>
      </c>
      <c r="I191" s="194"/>
    </row>
    <row r="192" spans="2:9" x14ac:dyDescent="0.25">
      <c r="B192" s="198">
        <v>42606</v>
      </c>
      <c r="C192" s="193">
        <v>400</v>
      </c>
      <c r="D192" s="194">
        <v>37.037100000000002</v>
      </c>
      <c r="E192" s="194">
        <v>36.770000000000003</v>
      </c>
      <c r="F192" s="194">
        <f t="shared" si="8"/>
        <v>-106.83999999999969</v>
      </c>
      <c r="G192" s="194">
        <f t="shared" si="9"/>
        <v>14814.84</v>
      </c>
      <c r="H192" s="208">
        <f t="shared" si="10"/>
        <v>-7.2116877401308208E-3</v>
      </c>
      <c r="I192" s="194"/>
    </row>
    <row r="193" spans="2:9" x14ac:dyDescent="0.25">
      <c r="B193" s="198">
        <v>42607</v>
      </c>
      <c r="C193" s="193">
        <v>400</v>
      </c>
      <c r="D193" s="194">
        <v>37.037100000000002</v>
      </c>
      <c r="E193" s="194">
        <v>36.47</v>
      </c>
      <c r="F193" s="194">
        <f t="shared" si="8"/>
        <v>-226.8400000000014</v>
      </c>
      <c r="G193" s="194">
        <f t="shared" si="9"/>
        <v>14814.84</v>
      </c>
      <c r="H193" s="208">
        <f t="shared" si="10"/>
        <v>-1.5311673970154344E-2</v>
      </c>
      <c r="I193" s="194"/>
    </row>
    <row r="194" spans="2:9" x14ac:dyDescent="0.25">
      <c r="B194" s="198">
        <v>42611</v>
      </c>
      <c r="C194" s="193">
        <v>400</v>
      </c>
      <c r="D194" s="194">
        <v>37.037100000000002</v>
      </c>
      <c r="E194" s="194">
        <v>36.549999999999997</v>
      </c>
      <c r="F194" s="194">
        <f t="shared" si="8"/>
        <v>-194.84000000000208</v>
      </c>
      <c r="G194" s="194">
        <f t="shared" si="9"/>
        <v>14814.84</v>
      </c>
      <c r="H194" s="208">
        <f t="shared" si="10"/>
        <v>-1.3151677642148148E-2</v>
      </c>
      <c r="I194" s="194"/>
    </row>
    <row r="195" spans="2:9" x14ac:dyDescent="0.25">
      <c r="B195" s="198">
        <v>42612</v>
      </c>
      <c r="C195" s="193">
        <v>400</v>
      </c>
      <c r="D195" s="194">
        <v>37.037100000000002</v>
      </c>
      <c r="E195" s="194">
        <v>37.159999999999997</v>
      </c>
      <c r="F195" s="194">
        <f t="shared" si="8"/>
        <v>49.159999999997694</v>
      </c>
      <c r="G195" s="194">
        <f t="shared" si="9"/>
        <v>14814.84</v>
      </c>
      <c r="H195" s="208">
        <f t="shared" si="10"/>
        <v>3.3182943588994339E-3</v>
      </c>
      <c r="I195" s="194"/>
    </row>
    <row r="196" spans="2:9" x14ac:dyDescent="0.25">
      <c r="B196" s="198">
        <v>42614</v>
      </c>
      <c r="C196" s="193">
        <v>400</v>
      </c>
      <c r="D196" s="194">
        <v>37.037100000000002</v>
      </c>
      <c r="E196" s="194">
        <v>36.82</v>
      </c>
      <c r="F196" s="194">
        <f t="shared" si="8"/>
        <v>-86.840000000000828</v>
      </c>
      <c r="G196" s="194">
        <f t="shared" si="9"/>
        <v>14814.84</v>
      </c>
      <c r="H196" s="208">
        <f t="shared" si="10"/>
        <v>-5.8616900351269961E-3</v>
      </c>
      <c r="I196" s="194"/>
    </row>
    <row r="197" spans="2:9" x14ac:dyDescent="0.25">
      <c r="B197" s="198">
        <v>42615</v>
      </c>
      <c r="C197" s="193">
        <v>400</v>
      </c>
      <c r="D197" s="194">
        <v>37.037100000000002</v>
      </c>
      <c r="E197" s="194">
        <v>37.17</v>
      </c>
      <c r="F197" s="194">
        <f t="shared" si="8"/>
        <v>53.159999999999741</v>
      </c>
      <c r="G197" s="194">
        <f t="shared" si="9"/>
        <v>14814.84</v>
      </c>
      <c r="H197" s="208">
        <f t="shared" si="10"/>
        <v>3.5882938999003524E-3</v>
      </c>
      <c r="I197" s="194"/>
    </row>
    <row r="198" spans="2:9" x14ac:dyDescent="0.25">
      <c r="B198" s="198">
        <v>42615</v>
      </c>
      <c r="C198" s="193">
        <v>400</v>
      </c>
      <c r="D198" s="194">
        <v>36.834600000000002</v>
      </c>
      <c r="E198" s="194">
        <v>37.17</v>
      </c>
      <c r="F198" s="194">
        <f t="shared" si="8"/>
        <v>134.15999999999997</v>
      </c>
      <c r="G198" s="194">
        <f t="shared" si="9"/>
        <v>14733.84</v>
      </c>
      <c r="H198" s="208">
        <f t="shared" si="10"/>
        <v>9.1055692202440079E-3</v>
      </c>
      <c r="I198" s="194" t="s">
        <v>253</v>
      </c>
    </row>
    <row r="199" spans="2:9" x14ac:dyDescent="0.25">
      <c r="B199" s="198">
        <v>42619</v>
      </c>
      <c r="C199" s="193">
        <v>400</v>
      </c>
      <c r="D199" s="194">
        <v>36.834600000000002</v>
      </c>
      <c r="E199" s="194">
        <v>36.82</v>
      </c>
      <c r="F199" s="194">
        <f t="shared" si="8"/>
        <v>-5.8400000000006003</v>
      </c>
      <c r="G199" s="194">
        <f t="shared" si="9"/>
        <v>14733.84</v>
      </c>
      <c r="H199" s="208">
        <f t="shared" si="10"/>
        <v>-3.9636645979599343E-4</v>
      </c>
      <c r="I199" s="194"/>
    </row>
    <row r="200" spans="2:9" x14ac:dyDescent="0.25">
      <c r="B200" s="198">
        <v>42620</v>
      </c>
      <c r="C200" s="193">
        <v>350</v>
      </c>
      <c r="D200" s="194">
        <v>36.642400000000002</v>
      </c>
      <c r="E200" s="194">
        <v>38.9</v>
      </c>
      <c r="F200" s="194">
        <f t="shared" si="8"/>
        <v>790.15999999999872</v>
      </c>
      <c r="G200" s="194">
        <f t="shared" si="9"/>
        <v>12824.84</v>
      </c>
      <c r="H200" s="208">
        <f t="shared" si="10"/>
        <v>6.1611684824138056E-2</v>
      </c>
      <c r="I200" s="194"/>
    </row>
    <row r="201" spans="2:9" x14ac:dyDescent="0.25">
      <c r="B201" s="198">
        <v>42620</v>
      </c>
      <c r="C201" s="193">
        <v>300</v>
      </c>
      <c r="D201" s="194">
        <v>36.269399999999997</v>
      </c>
      <c r="E201" s="194">
        <v>38.9</v>
      </c>
      <c r="F201" s="194">
        <f t="shared" si="8"/>
        <v>789.18000000000029</v>
      </c>
      <c r="G201" s="194">
        <f t="shared" si="9"/>
        <v>10880.82</v>
      </c>
      <c r="H201" s="208">
        <f t="shared" si="10"/>
        <v>7.2529460095838397E-2</v>
      </c>
      <c r="I201" s="194">
        <v>36</v>
      </c>
    </row>
    <row r="202" spans="2:9" x14ac:dyDescent="0.25">
      <c r="B202" s="198">
        <v>42620</v>
      </c>
      <c r="C202" s="193">
        <v>250</v>
      </c>
      <c r="D202" s="194">
        <v>35.705300000000001</v>
      </c>
      <c r="E202" s="194">
        <v>38.9</v>
      </c>
      <c r="F202" s="194">
        <f t="shared" si="8"/>
        <v>798.67499999999939</v>
      </c>
      <c r="G202" s="194">
        <f t="shared" si="9"/>
        <v>8926.3250000000007</v>
      </c>
      <c r="H202" s="208">
        <f t="shared" si="10"/>
        <v>8.9474111686500254E-2</v>
      </c>
      <c r="I202" s="194"/>
    </row>
    <row r="203" spans="2:9" x14ac:dyDescent="0.25">
      <c r="B203" s="198">
        <v>42622</v>
      </c>
      <c r="C203" s="193">
        <v>250</v>
      </c>
      <c r="D203" s="194">
        <v>35.705300000000001</v>
      </c>
      <c r="E203" s="194">
        <v>37.75</v>
      </c>
      <c r="F203" s="194">
        <f t="shared" si="8"/>
        <v>511.17499999999973</v>
      </c>
      <c r="G203" s="194">
        <f t="shared" si="9"/>
        <v>8926.3250000000007</v>
      </c>
      <c r="H203" s="208">
        <f t="shared" si="10"/>
        <v>5.7266008127644881E-2</v>
      </c>
      <c r="I203" s="194"/>
    </row>
    <row r="204" spans="2:9" x14ac:dyDescent="0.25">
      <c r="B204" s="198">
        <v>42625</v>
      </c>
      <c r="C204" s="193">
        <v>250</v>
      </c>
      <c r="D204" s="194">
        <v>35.705300000000001</v>
      </c>
      <c r="E204" s="194">
        <v>38.44</v>
      </c>
      <c r="F204" s="194">
        <f t="shared" si="8"/>
        <v>683.67499999999916</v>
      </c>
      <c r="G204" s="194">
        <f t="shared" si="9"/>
        <v>8926.3250000000007</v>
      </c>
      <c r="H204" s="208">
        <f t="shared" si="10"/>
        <v>7.6590870262958063E-2</v>
      </c>
      <c r="I204" s="194"/>
    </row>
    <row r="205" spans="2:9" x14ac:dyDescent="0.25">
      <c r="B205" s="198">
        <v>42627</v>
      </c>
      <c r="C205" s="193">
        <v>250</v>
      </c>
      <c r="D205" s="194">
        <v>35.705300000000001</v>
      </c>
      <c r="E205" s="194">
        <v>37.119999999999997</v>
      </c>
      <c r="F205" s="194">
        <f t="shared" si="8"/>
        <v>353.67499999999905</v>
      </c>
      <c r="G205" s="194">
        <f t="shared" si="9"/>
        <v>8926.3250000000007</v>
      </c>
      <c r="H205" s="208">
        <f t="shared" si="10"/>
        <v>3.9621568786706633E-2</v>
      </c>
      <c r="I205" s="194"/>
    </row>
    <row r="206" spans="2:9" x14ac:dyDescent="0.25">
      <c r="B206" s="198">
        <v>42629</v>
      </c>
      <c r="C206" s="193">
        <v>250</v>
      </c>
      <c r="D206" s="194">
        <v>35.705300000000001</v>
      </c>
      <c r="E206" s="194">
        <v>36.770000000000003</v>
      </c>
      <c r="F206" s="194">
        <f t="shared" si="8"/>
        <v>266.17500000000052</v>
      </c>
      <c r="G206" s="194">
        <f t="shared" si="9"/>
        <v>8926.3250000000007</v>
      </c>
      <c r="H206" s="208">
        <f t="shared" si="10"/>
        <v>2.9819102486185578E-2</v>
      </c>
      <c r="I206" s="194"/>
    </row>
    <row r="207" spans="2:9" x14ac:dyDescent="0.25">
      <c r="B207" s="198">
        <v>42632</v>
      </c>
      <c r="C207" s="193">
        <v>250</v>
      </c>
      <c r="D207" s="194">
        <v>35.705300000000001</v>
      </c>
      <c r="E207" s="194">
        <v>37.57</v>
      </c>
      <c r="F207" s="194">
        <f t="shared" si="8"/>
        <v>466.17499999999978</v>
      </c>
      <c r="G207" s="194">
        <f t="shared" si="9"/>
        <v>8926.3250000000007</v>
      </c>
      <c r="H207" s="208">
        <f t="shared" si="10"/>
        <v>5.2224739744519695E-2</v>
      </c>
      <c r="I207" s="194"/>
    </row>
    <row r="208" spans="2:9" x14ac:dyDescent="0.25">
      <c r="B208" s="198">
        <v>42633</v>
      </c>
      <c r="C208" s="193">
        <v>250</v>
      </c>
      <c r="D208" s="194">
        <v>35.705300000000001</v>
      </c>
      <c r="E208" s="194">
        <v>38.049999999999997</v>
      </c>
      <c r="F208" s="194">
        <f t="shared" si="8"/>
        <v>586.17499999999905</v>
      </c>
      <c r="G208" s="194">
        <f t="shared" si="9"/>
        <v>8926.3250000000007</v>
      </c>
      <c r="H208" s="208">
        <f t="shared" si="10"/>
        <v>6.5668122099520124E-2</v>
      </c>
      <c r="I208" s="194"/>
    </row>
    <row r="209" spans="2:9" x14ac:dyDescent="0.25">
      <c r="B209" s="198">
        <v>42635</v>
      </c>
      <c r="C209" s="193">
        <v>250</v>
      </c>
      <c r="D209" s="194">
        <v>35.705300000000001</v>
      </c>
      <c r="E209" s="194">
        <v>38.5</v>
      </c>
      <c r="F209" s="194">
        <f t="shared" si="8"/>
        <v>698.67499999999973</v>
      </c>
      <c r="G209" s="194">
        <f t="shared" si="9"/>
        <v>8926.3250000000007</v>
      </c>
      <c r="H209" s="208">
        <f t="shared" si="10"/>
        <v>7.8271293057333186E-2</v>
      </c>
      <c r="I209" s="194"/>
    </row>
    <row r="210" spans="2:9" x14ac:dyDescent="0.25">
      <c r="B210" s="198">
        <v>42636</v>
      </c>
      <c r="C210" s="193">
        <v>250</v>
      </c>
      <c r="D210" s="194">
        <v>35.705300000000001</v>
      </c>
      <c r="E210" s="194">
        <v>38.78</v>
      </c>
      <c r="F210" s="194">
        <f t="shared" si="8"/>
        <v>768.67499999999995</v>
      </c>
      <c r="G210" s="194">
        <f t="shared" si="9"/>
        <v>8926.3250000000007</v>
      </c>
      <c r="H210" s="208">
        <f t="shared" si="10"/>
        <v>8.6113266097750191E-2</v>
      </c>
      <c r="I210" s="194"/>
    </row>
    <row r="211" spans="2:9" x14ac:dyDescent="0.25">
      <c r="B211" s="198">
        <v>42639</v>
      </c>
      <c r="C211" s="193">
        <v>250</v>
      </c>
      <c r="D211" s="194">
        <v>35.705300000000001</v>
      </c>
      <c r="E211" s="194">
        <v>38.04</v>
      </c>
      <c r="F211" s="194">
        <f t="shared" si="8"/>
        <v>583.6749999999995</v>
      </c>
      <c r="G211" s="194">
        <f t="shared" si="9"/>
        <v>8926.3250000000007</v>
      </c>
      <c r="H211" s="208">
        <f t="shared" si="10"/>
        <v>6.5388051633791008E-2</v>
      </c>
      <c r="I211" s="194"/>
    </row>
    <row r="212" spans="2:9" x14ac:dyDescent="0.25">
      <c r="B212" s="198">
        <v>42640</v>
      </c>
      <c r="C212" s="193">
        <v>250</v>
      </c>
      <c r="D212" s="194">
        <v>35.705300000000001</v>
      </c>
      <c r="E212" s="194">
        <v>39.21</v>
      </c>
      <c r="F212" s="194">
        <f t="shared" si="8"/>
        <v>876.17499999999995</v>
      </c>
      <c r="G212" s="194">
        <f t="shared" si="9"/>
        <v>8926.3250000000007</v>
      </c>
      <c r="H212" s="208">
        <f t="shared" si="10"/>
        <v>9.8156296124104814E-2</v>
      </c>
      <c r="I212" s="194"/>
    </row>
    <row r="213" spans="2:9" x14ac:dyDescent="0.25">
      <c r="B213" s="198">
        <v>42641</v>
      </c>
      <c r="C213" s="193">
        <v>0</v>
      </c>
      <c r="D213" s="194"/>
      <c r="E213" s="194"/>
      <c r="F213" s="194">
        <v>993.45</v>
      </c>
      <c r="G213" s="194"/>
      <c r="H213" s="208"/>
      <c r="I213" s="194"/>
    </row>
    <row r="214" spans="2:9" x14ac:dyDescent="0.25">
      <c r="B214" s="161"/>
      <c r="C214" s="10"/>
      <c r="D214" s="39"/>
      <c r="E214" s="39"/>
      <c r="F214" s="39"/>
      <c r="G214" s="39"/>
      <c r="H214" s="175"/>
      <c r="I214" s="39"/>
    </row>
    <row r="215" spans="2:9" x14ac:dyDescent="0.25">
      <c r="B215" s="161"/>
      <c r="C215" s="10"/>
      <c r="D215" s="39"/>
      <c r="E215" s="39"/>
      <c r="F215" s="39"/>
      <c r="G215" s="39"/>
      <c r="H215" s="175"/>
      <c r="I215" s="39"/>
    </row>
    <row r="216" spans="2:9" x14ac:dyDescent="0.25">
      <c r="B216" s="424"/>
      <c r="C216" s="159"/>
      <c r="D216" s="160"/>
      <c r="E216" s="160"/>
      <c r="F216" s="160"/>
      <c r="G216" s="160"/>
      <c r="H216" s="425"/>
      <c r="I216" s="160"/>
    </row>
    <row r="217" spans="2:9" x14ac:dyDescent="0.25">
      <c r="B217" s="161"/>
      <c r="C217" s="10"/>
      <c r="D217" s="39"/>
      <c r="E217" s="39"/>
      <c r="F217" s="39"/>
      <c r="G217" s="39"/>
      <c r="H217" s="175"/>
      <c r="I217" s="39"/>
    </row>
    <row r="218" spans="2:9" x14ac:dyDescent="0.25">
      <c r="B218" s="161"/>
      <c r="C218" s="10"/>
      <c r="D218" s="39"/>
      <c r="E218" s="39"/>
      <c r="F218" s="39"/>
      <c r="G218" s="39"/>
      <c r="H218" s="175"/>
      <c r="I218" s="39"/>
    </row>
    <row r="219" spans="2:9" x14ac:dyDescent="0.25">
      <c r="B219" s="161"/>
      <c r="C219" s="10"/>
      <c r="D219" s="39"/>
      <c r="E219" s="39"/>
      <c r="F219" s="39"/>
      <c r="G219" s="39"/>
      <c r="H219" s="175"/>
      <c r="I219" s="39"/>
    </row>
    <row r="220" spans="2:9" x14ac:dyDescent="0.25">
      <c r="B220" s="161"/>
      <c r="C220" s="10"/>
      <c r="D220" s="39"/>
      <c r="E220" s="39"/>
      <c r="F220" s="39"/>
      <c r="G220" s="39"/>
      <c r="H220" s="175"/>
      <c r="I220" s="39"/>
    </row>
    <row r="221" spans="2:9" x14ac:dyDescent="0.25">
      <c r="B221" s="161"/>
      <c r="C221" s="10"/>
      <c r="D221" s="39"/>
      <c r="E221" s="39"/>
      <c r="F221" s="39"/>
      <c r="G221" s="39"/>
      <c r="H221" s="175"/>
      <c r="I221" s="39"/>
    </row>
    <row r="222" spans="2:9" x14ac:dyDescent="0.25">
      <c r="B222" s="161"/>
      <c r="C222" s="10"/>
      <c r="D222" s="39"/>
      <c r="E222" s="39"/>
      <c r="F222" s="39"/>
      <c r="G222" s="39"/>
      <c r="H222" s="175"/>
      <c r="I222" s="39"/>
    </row>
    <row r="223" spans="2:9" x14ac:dyDescent="0.25">
      <c r="B223" s="161"/>
      <c r="C223" s="10"/>
      <c r="D223" s="39"/>
      <c r="E223" s="39"/>
      <c r="F223" s="39"/>
      <c r="G223" s="39"/>
      <c r="H223" s="175"/>
      <c r="I223" s="39"/>
    </row>
    <row r="224" spans="2:9" x14ac:dyDescent="0.25">
      <c r="B224" s="161"/>
      <c r="C224" s="10"/>
      <c r="D224" s="39"/>
      <c r="E224" s="39"/>
      <c r="F224" s="39"/>
      <c r="G224" s="39"/>
      <c r="H224" s="175"/>
      <c r="I224" s="39"/>
    </row>
    <row r="225" spans="2:9" x14ac:dyDescent="0.25">
      <c r="B225" s="161"/>
      <c r="C225" s="10"/>
      <c r="D225" s="39"/>
      <c r="E225" s="39"/>
      <c r="F225" s="39"/>
      <c r="G225" s="39"/>
      <c r="H225" s="175"/>
      <c r="I225" s="39"/>
    </row>
    <row r="226" spans="2:9" x14ac:dyDescent="0.25">
      <c r="B226" s="161"/>
      <c r="C226" s="10"/>
      <c r="D226" s="39"/>
      <c r="E226" s="39"/>
      <c r="F226" s="39"/>
      <c r="G226" s="39"/>
      <c r="H226" s="175"/>
      <c r="I226" s="39"/>
    </row>
  </sheetData>
  <mergeCells count="1">
    <mergeCell ref="O42:P42"/>
  </mergeCells>
  <conditionalFormatting sqref="F61:F91 F93:F102 F45:F59">
    <cfRule type="expression" dxfId="743" priority="65">
      <formula>F45&gt;0</formula>
    </cfRule>
    <cfRule type="expression" dxfId="742" priority="66">
      <formula>F45&lt;0</formula>
    </cfRule>
  </conditionalFormatting>
  <conditionalFormatting sqref="O43:O63">
    <cfRule type="colorScale" priority="72">
      <colorScale>
        <cfvo type="min"/>
        <cfvo type="percentile" val="50"/>
        <cfvo type="max"/>
        <color rgb="FFF8696B"/>
        <color rgb="FFFFEB84"/>
        <color rgb="FF63BE7B"/>
      </colorScale>
    </cfRule>
  </conditionalFormatting>
  <conditionalFormatting sqref="P43:P63">
    <cfRule type="colorScale" priority="71">
      <colorScale>
        <cfvo type="min"/>
        <cfvo type="percentile" val="50"/>
        <cfvo type="max"/>
        <color rgb="FFF8696B"/>
        <color rgb="FFFFEB84"/>
        <color rgb="FF63BE7B"/>
      </colorScale>
    </cfRule>
  </conditionalFormatting>
  <conditionalFormatting sqref="F44">
    <cfRule type="expression" dxfId="741" priority="67">
      <formula>F44&gt;0</formula>
    </cfRule>
    <cfRule type="expression" dxfId="740" priority="68">
      <formula>F44&lt;0</formula>
    </cfRule>
  </conditionalFormatting>
  <conditionalFormatting sqref="F61:F91 F93:F102 F45:F59">
    <cfRule type="expression" dxfId="739" priority="63">
      <formula>F45&gt;0</formula>
    </cfRule>
    <cfRule type="expression" dxfId="738" priority="64">
      <formula>F45&lt;0</formula>
    </cfRule>
  </conditionalFormatting>
  <conditionalFormatting sqref="H61:H91 H93:H102 H43:H59">
    <cfRule type="expression" dxfId="737" priority="61">
      <formula>H43&gt;0</formula>
    </cfRule>
    <cfRule type="expression" dxfId="736" priority="62">
      <formula>H43&lt;0</formula>
    </cfRule>
  </conditionalFormatting>
  <conditionalFormatting sqref="F36:F43">
    <cfRule type="expression" dxfId="735" priority="59">
      <formula>F36&gt;0</formula>
    </cfRule>
    <cfRule type="expression" dxfId="734" priority="60">
      <formula>F36&lt;0</formula>
    </cfRule>
  </conditionalFormatting>
  <conditionalFormatting sqref="H36:H42">
    <cfRule type="expression" dxfId="733" priority="57">
      <formula>H36&gt;0</formula>
    </cfRule>
    <cfRule type="expression" dxfId="732" priority="58">
      <formula>H36&lt;0</formula>
    </cfRule>
  </conditionalFormatting>
  <conditionalFormatting sqref="Q7">
    <cfRule type="expression" dxfId="731" priority="51">
      <formula>Q7&gt;0</formula>
    </cfRule>
    <cfRule type="expression" dxfId="730" priority="52">
      <formula>Q7&lt;0</formula>
    </cfRule>
  </conditionalFormatting>
  <conditionalFormatting sqref="Q8">
    <cfRule type="expression" dxfId="729" priority="49">
      <formula>Q8&gt;0</formula>
    </cfRule>
    <cfRule type="expression" dxfId="728" priority="50">
      <formula>Q8&lt;0</formula>
    </cfRule>
  </conditionalFormatting>
  <conditionalFormatting sqref="Q10">
    <cfRule type="expression" dxfId="727" priority="47">
      <formula>Q10&gt;0</formula>
    </cfRule>
    <cfRule type="expression" dxfId="726" priority="48">
      <formula>Q10&lt;0</formula>
    </cfRule>
  </conditionalFormatting>
  <conditionalFormatting sqref="F60">
    <cfRule type="expression" dxfId="725" priority="45">
      <formula>F60&gt;0</formula>
    </cfRule>
    <cfRule type="expression" dxfId="724" priority="46">
      <formula>F60&lt;0</formula>
    </cfRule>
  </conditionalFormatting>
  <conditionalFormatting sqref="F60">
    <cfRule type="expression" dxfId="723" priority="43">
      <formula>F60&gt;0</formula>
    </cfRule>
    <cfRule type="expression" dxfId="722" priority="44">
      <formula>F60&lt;0</formula>
    </cfRule>
  </conditionalFormatting>
  <conditionalFormatting sqref="H60">
    <cfRule type="expression" dxfId="721" priority="41">
      <formula>H60&gt;0</formula>
    </cfRule>
    <cfRule type="expression" dxfId="720" priority="42">
      <formula>H60&lt;0</formula>
    </cfRule>
  </conditionalFormatting>
  <conditionalFormatting sqref="F92">
    <cfRule type="expression" dxfId="719" priority="39">
      <formula>F92&gt;0</formula>
    </cfRule>
    <cfRule type="expression" dxfId="718" priority="40">
      <formula>F92&lt;0</formula>
    </cfRule>
  </conditionalFormatting>
  <conditionalFormatting sqref="F92">
    <cfRule type="expression" dxfId="717" priority="37">
      <formula>F92&gt;0</formula>
    </cfRule>
    <cfRule type="expression" dxfId="716" priority="38">
      <formula>F92&lt;0</formula>
    </cfRule>
  </conditionalFormatting>
  <conditionalFormatting sqref="H92">
    <cfRule type="expression" dxfId="715" priority="35">
      <formula>H92&gt;0</formula>
    </cfRule>
    <cfRule type="expression" dxfId="714" priority="36">
      <formula>H92&lt;0</formula>
    </cfRule>
  </conditionalFormatting>
  <conditionalFormatting sqref="F169:F183 F185:F215 F217:F226">
    <cfRule type="expression" dxfId="713" priority="31">
      <formula>F169&gt;0</formula>
    </cfRule>
    <cfRule type="expression" dxfId="712" priority="32">
      <formula>F169&lt;0</formula>
    </cfRule>
  </conditionalFormatting>
  <conditionalFormatting sqref="F164:F168">
    <cfRule type="expression" dxfId="711" priority="33">
      <formula>F164&gt;0</formula>
    </cfRule>
    <cfRule type="expression" dxfId="710" priority="34">
      <formula>F164&lt;0</formula>
    </cfRule>
  </conditionalFormatting>
  <conditionalFormatting sqref="F169:F183 F185:F215 F217:F226">
    <cfRule type="expression" dxfId="709" priority="29">
      <formula>F169&gt;0</formula>
    </cfRule>
    <cfRule type="expression" dxfId="708" priority="30">
      <formula>F169&lt;0</formula>
    </cfRule>
  </conditionalFormatting>
  <conditionalFormatting sqref="H164:H183 H185:H215 H217:H226">
    <cfRule type="expression" dxfId="707" priority="27">
      <formula>H164&gt;0</formula>
    </cfRule>
    <cfRule type="expression" dxfId="706" priority="28">
      <formula>H164&lt;0</formula>
    </cfRule>
  </conditionalFormatting>
  <conditionalFormatting sqref="F160:F163">
    <cfRule type="expression" dxfId="705" priority="25">
      <formula>F160&gt;0</formula>
    </cfRule>
    <cfRule type="expression" dxfId="704" priority="26">
      <formula>F160&lt;0</formula>
    </cfRule>
  </conditionalFormatting>
  <conditionalFormatting sqref="H160:H163">
    <cfRule type="expression" dxfId="703" priority="23">
      <formula>H160&gt;0</formula>
    </cfRule>
    <cfRule type="expression" dxfId="702" priority="24">
      <formula>H160&lt;0</formula>
    </cfRule>
  </conditionalFormatting>
  <conditionalFormatting sqref="F184">
    <cfRule type="expression" dxfId="701" priority="21">
      <formula>F184&gt;0</formula>
    </cfRule>
    <cfRule type="expression" dxfId="700" priority="22">
      <formula>F184&lt;0</formula>
    </cfRule>
  </conditionalFormatting>
  <conditionalFormatting sqref="F184">
    <cfRule type="expression" dxfId="699" priority="19">
      <formula>F184&gt;0</formula>
    </cfRule>
    <cfRule type="expression" dxfId="698" priority="20">
      <formula>F184&lt;0</formula>
    </cfRule>
  </conditionalFormatting>
  <conditionalFormatting sqref="H184">
    <cfRule type="expression" dxfId="697" priority="17">
      <formula>H184&gt;0</formula>
    </cfRule>
    <cfRule type="expression" dxfId="696" priority="18">
      <formula>H184&lt;0</formula>
    </cfRule>
  </conditionalFormatting>
  <conditionalFormatting sqref="F216">
    <cfRule type="expression" dxfId="695" priority="15">
      <formula>F216&gt;0</formula>
    </cfRule>
    <cfRule type="expression" dxfId="694" priority="16">
      <formula>F216&lt;0</formula>
    </cfRule>
  </conditionalFormatting>
  <conditionalFormatting sqref="F216">
    <cfRule type="expression" dxfId="693" priority="13">
      <formula>F216&gt;0</formula>
    </cfRule>
    <cfRule type="expression" dxfId="692" priority="14">
      <formula>F216&lt;0</formula>
    </cfRule>
  </conditionalFormatting>
  <conditionalFormatting sqref="H216">
    <cfRule type="expression" dxfId="691" priority="11">
      <formula>H216&gt;0</formula>
    </cfRule>
    <cfRule type="expression" dxfId="690" priority="12">
      <formula>H216&lt;0</formula>
    </cfRule>
  </conditionalFormatting>
  <conditionalFormatting sqref="J38:J39">
    <cfRule type="expression" dxfId="689" priority="9">
      <formula>J38&gt;0</formula>
    </cfRule>
    <cfRule type="expression" dxfId="688" priority="10">
      <formula>J38&lt;0</formula>
    </cfRule>
  </conditionalFormatting>
  <conditionalFormatting sqref="J41:J54">
    <cfRule type="expression" dxfId="687" priority="7">
      <formula>J41&gt;0</formula>
    </cfRule>
    <cfRule type="expression" dxfId="686" priority="8">
      <formula>J41&lt;0</formula>
    </cfRule>
  </conditionalFormatting>
  <conditionalFormatting sqref="J55">
    <cfRule type="expression" dxfId="685" priority="3">
      <formula>J55&gt;0</formula>
    </cfRule>
    <cfRule type="expression" dxfId="684" priority="4">
      <formula>J55&lt;0</formula>
    </cfRule>
  </conditionalFormatting>
  <conditionalFormatting sqref="J56">
    <cfRule type="expression" dxfId="683" priority="1">
      <formula>J56&gt;0</formula>
    </cfRule>
    <cfRule type="expression" dxfId="682" priority="2">
      <formula>J56&lt;0</formula>
    </cfRule>
  </conditionalFormatting>
  <hyperlinks>
    <hyperlink ref="A3" location="ACTIVE!A1" display="Back"/>
    <hyperlink ref="A107" location="ACTIVE!A1" display="Back"/>
    <hyperlink ref="A129" location="ACTIVE!A1" display="Back"/>
  </hyperlinks>
  <pageMargins left="0.7" right="0.7" top="0.75" bottom="0.75" header="0.3" footer="0.3"/>
  <pageSetup orientation="portrait" r:id="rId1"/>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9"/>
  <dimension ref="A1:U138"/>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7109375" bestFit="1" customWidth="1"/>
    <col min="18" max="18" width="10.7109375" bestFit="1" customWidth="1"/>
    <col min="19" max="19" width="34.5703125" customWidth="1"/>
    <col min="20" max="20" width="13.7109375" customWidth="1"/>
    <col min="21" max="21" width="81.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849</v>
      </c>
      <c r="B2" s="360">
        <v>43136</v>
      </c>
      <c r="C2" s="7">
        <v>100</v>
      </c>
      <c r="D2" s="43">
        <v>36.58</v>
      </c>
      <c r="E2" s="43">
        <v>0</v>
      </c>
      <c r="F2" s="43">
        <f t="shared" ref="F2:F18" si="0">C2*D2+E2</f>
        <v>3658</v>
      </c>
      <c r="G2" s="360">
        <v>43217</v>
      </c>
      <c r="H2" s="7">
        <v>100</v>
      </c>
      <c r="I2" s="43">
        <v>33.49</v>
      </c>
      <c r="J2" s="43">
        <v>0.08</v>
      </c>
      <c r="K2" s="43">
        <f t="shared" ref="K2:K14" si="1">H2*I2-J2</f>
        <v>3348.92</v>
      </c>
      <c r="L2" s="69">
        <v>43222</v>
      </c>
      <c r="M2" s="43">
        <v>50</v>
      </c>
      <c r="O2" s="11" t="s">
        <v>57</v>
      </c>
      <c r="Q2">
        <f>C25-H25</f>
        <v>0</v>
      </c>
      <c r="T2" s="1"/>
      <c r="U2" t="s">
        <v>1016</v>
      </c>
    </row>
    <row r="3" spans="1:21" x14ac:dyDescent="0.25">
      <c r="A3" s="22" t="s">
        <v>71</v>
      </c>
      <c r="B3" s="360">
        <v>43216</v>
      </c>
      <c r="C3" s="7">
        <v>100</v>
      </c>
      <c r="D3" s="43">
        <v>32.68</v>
      </c>
      <c r="E3" s="43">
        <v>0</v>
      </c>
      <c r="F3" s="43">
        <f t="shared" si="0"/>
        <v>3268</v>
      </c>
      <c r="G3" s="360">
        <v>43263</v>
      </c>
      <c r="H3" s="77">
        <v>100</v>
      </c>
      <c r="I3" s="43">
        <v>34.5</v>
      </c>
      <c r="J3" s="43">
        <v>0.04</v>
      </c>
      <c r="K3" s="43">
        <f t="shared" si="1"/>
        <v>3449.96</v>
      </c>
      <c r="L3" s="69">
        <v>43313</v>
      </c>
      <c r="M3" s="43">
        <v>50</v>
      </c>
      <c r="O3" s="11" t="s">
        <v>58</v>
      </c>
      <c r="Q3" s="174">
        <f>IF(Q2=0, Q4, (F25-K25-M25)/Q2)</f>
        <v>37.6</v>
      </c>
      <c r="T3" t="s">
        <v>1066</v>
      </c>
      <c r="U3" t="s">
        <v>1181</v>
      </c>
    </row>
    <row r="4" spans="1:21" x14ac:dyDescent="0.25">
      <c r="B4" s="360">
        <v>43222</v>
      </c>
      <c r="C4" s="7">
        <v>100</v>
      </c>
      <c r="D4" s="43">
        <v>32.08</v>
      </c>
      <c r="E4" s="43">
        <v>0</v>
      </c>
      <c r="F4" s="43">
        <f t="shared" si="0"/>
        <v>3208</v>
      </c>
      <c r="G4" s="360">
        <v>43265</v>
      </c>
      <c r="H4" s="77">
        <v>100</v>
      </c>
      <c r="I4" s="43">
        <v>32.89</v>
      </c>
      <c r="J4" s="43">
        <v>0.04</v>
      </c>
      <c r="K4" s="43">
        <f t="shared" si="1"/>
        <v>3288.96</v>
      </c>
      <c r="L4" s="69">
        <v>43405</v>
      </c>
      <c r="M4" s="43">
        <v>300</v>
      </c>
      <c r="O4" s="11" t="s">
        <v>66</v>
      </c>
      <c r="Q4" s="53">
        <v>37.6</v>
      </c>
      <c r="R4" s="416">
        <v>2.9999999999999997E-4</v>
      </c>
    </row>
    <row r="5" spans="1:21" x14ac:dyDescent="0.25">
      <c r="B5" s="360">
        <v>43264</v>
      </c>
      <c r="C5" s="7">
        <v>100</v>
      </c>
      <c r="D5" s="43">
        <v>32.25</v>
      </c>
      <c r="E5" s="43">
        <v>0</v>
      </c>
      <c r="F5" s="43">
        <f t="shared" si="0"/>
        <v>3225</v>
      </c>
      <c r="G5" s="360">
        <v>43311</v>
      </c>
      <c r="H5" s="77">
        <v>100</v>
      </c>
      <c r="I5" s="43">
        <v>32.08</v>
      </c>
      <c r="J5" s="43">
        <v>0.04</v>
      </c>
      <c r="K5" s="43">
        <f t="shared" si="1"/>
        <v>3207.96</v>
      </c>
      <c r="L5" s="69">
        <v>43497</v>
      </c>
      <c r="M5" s="43">
        <v>408</v>
      </c>
      <c r="O5" s="11" t="s">
        <v>67</v>
      </c>
      <c r="Q5" s="3">
        <f>Q4*Q2</f>
        <v>0</v>
      </c>
    </row>
    <row r="6" spans="1:21" x14ac:dyDescent="0.25">
      <c r="B6" s="360">
        <v>43292</v>
      </c>
      <c r="C6" s="7">
        <v>100</v>
      </c>
      <c r="D6" s="43">
        <v>32.090000000000003</v>
      </c>
      <c r="E6" s="43">
        <v>0</v>
      </c>
      <c r="F6" s="43">
        <f t="shared" si="0"/>
        <v>3209.0000000000005</v>
      </c>
      <c r="G6" s="360">
        <v>43328</v>
      </c>
      <c r="H6" s="77">
        <v>200</v>
      </c>
      <c r="I6" s="43">
        <v>32.950000000000003</v>
      </c>
      <c r="J6" s="43">
        <v>0.09</v>
      </c>
      <c r="K6" s="43">
        <f t="shared" si="1"/>
        <v>6589.9100000000008</v>
      </c>
      <c r="L6" s="4"/>
      <c r="M6" s="4"/>
      <c r="O6" s="11" t="s">
        <v>64</v>
      </c>
      <c r="Q6" s="2">
        <f>Q3*Q2</f>
        <v>0</v>
      </c>
    </row>
    <row r="7" spans="1:21" x14ac:dyDescent="0.25">
      <c r="B7" s="360">
        <v>43294</v>
      </c>
      <c r="C7" s="7">
        <v>100</v>
      </c>
      <c r="D7" s="43">
        <v>31.55</v>
      </c>
      <c r="E7" s="43">
        <v>0</v>
      </c>
      <c r="F7" s="43">
        <f t="shared" si="0"/>
        <v>3155</v>
      </c>
      <c r="G7" s="360">
        <v>43355</v>
      </c>
      <c r="H7" s="77">
        <v>600</v>
      </c>
      <c r="I7" s="43">
        <v>33.18</v>
      </c>
      <c r="J7" s="43">
        <v>0.26</v>
      </c>
      <c r="K7" s="43">
        <f t="shared" si="1"/>
        <v>19907.740000000002</v>
      </c>
      <c r="L7" s="4"/>
      <c r="M7" s="4"/>
      <c r="O7" s="11" t="s">
        <v>175</v>
      </c>
      <c r="Q7" s="2">
        <f>Q10+Q8</f>
        <v>3232.7200000000012</v>
      </c>
      <c r="R7">
        <v>0</v>
      </c>
      <c r="T7" s="1">
        <v>43215</v>
      </c>
      <c r="U7" t="s">
        <v>956</v>
      </c>
    </row>
    <row r="8" spans="1:21" x14ac:dyDescent="0.25">
      <c r="B8" s="360">
        <v>43306</v>
      </c>
      <c r="C8" s="7">
        <v>300</v>
      </c>
      <c r="D8" s="43">
        <v>30.89</v>
      </c>
      <c r="E8" s="43">
        <v>0</v>
      </c>
      <c r="F8" s="43">
        <f t="shared" si="0"/>
        <v>9267</v>
      </c>
      <c r="G8" s="360">
        <v>43355</v>
      </c>
      <c r="H8" s="77">
        <v>200</v>
      </c>
      <c r="I8" s="43">
        <v>33.619999999999997</v>
      </c>
      <c r="J8" s="43">
        <v>0.09</v>
      </c>
      <c r="K8" s="43">
        <f t="shared" si="1"/>
        <v>6723.9099999999989</v>
      </c>
      <c r="L8" s="4"/>
      <c r="M8" s="4"/>
      <c r="O8" s="11" t="s">
        <v>177</v>
      </c>
      <c r="P8" s="33"/>
      <c r="Q8" s="2">
        <f>K25+M25-F25+Q2*Q4</f>
        <v>3232.7200000000012</v>
      </c>
      <c r="T8" s="680"/>
      <c r="U8" s="30" t="s">
        <v>957</v>
      </c>
    </row>
    <row r="9" spans="1:21" x14ac:dyDescent="0.25">
      <c r="B9" s="360">
        <v>43306</v>
      </c>
      <c r="C9" s="7">
        <v>600</v>
      </c>
      <c r="D9" s="43">
        <v>30.48</v>
      </c>
      <c r="E9" s="43">
        <v>0</v>
      </c>
      <c r="F9" s="43">
        <f t="shared" si="0"/>
        <v>18288</v>
      </c>
      <c r="G9" s="360">
        <v>43430</v>
      </c>
      <c r="H9" s="77">
        <v>200</v>
      </c>
      <c r="I9" s="43">
        <v>29.98</v>
      </c>
      <c r="J9" s="43">
        <v>0.08</v>
      </c>
      <c r="K9" s="43">
        <f t="shared" si="1"/>
        <v>5995.92</v>
      </c>
      <c r="L9" s="4"/>
      <c r="M9" s="4"/>
      <c r="O9" s="11" t="s">
        <v>202</v>
      </c>
      <c r="Q9" s="175">
        <f>IF(Q2=0, 0, Q8/Q6)</f>
        <v>0</v>
      </c>
    </row>
    <row r="10" spans="1:21" x14ac:dyDescent="0.25">
      <c r="B10" s="360">
        <v>43306</v>
      </c>
      <c r="C10" s="7">
        <v>300</v>
      </c>
      <c r="D10" s="43">
        <v>30.25</v>
      </c>
      <c r="E10" s="43">
        <v>0</v>
      </c>
      <c r="F10" s="43">
        <f t="shared" si="0"/>
        <v>9075</v>
      </c>
      <c r="G10" s="360">
        <v>43472</v>
      </c>
      <c r="H10" s="77">
        <v>200</v>
      </c>
      <c r="I10" s="43">
        <v>30.99</v>
      </c>
      <c r="J10" s="43">
        <v>0.08</v>
      </c>
      <c r="K10" s="43">
        <f t="shared" si="1"/>
        <v>6197.92</v>
      </c>
      <c r="L10" s="4"/>
      <c r="M10" s="4"/>
      <c r="O10" s="11" t="s">
        <v>201</v>
      </c>
      <c r="P10" s="33"/>
      <c r="Q10" s="2">
        <f>M94</f>
        <v>0</v>
      </c>
      <c r="T10" s="1">
        <v>43216</v>
      </c>
      <c r="U10" t="s">
        <v>958</v>
      </c>
    </row>
    <row r="11" spans="1:21" x14ac:dyDescent="0.25">
      <c r="B11" s="360">
        <v>43341</v>
      </c>
      <c r="C11" s="7">
        <v>200</v>
      </c>
      <c r="D11" s="43">
        <v>32.25</v>
      </c>
      <c r="E11" s="43">
        <v>0</v>
      </c>
      <c r="F11" s="43">
        <f t="shared" si="0"/>
        <v>6450</v>
      </c>
      <c r="G11" s="360">
        <v>43476</v>
      </c>
      <c r="H11" s="77">
        <v>200</v>
      </c>
      <c r="I11" s="43">
        <v>30.85</v>
      </c>
      <c r="J11" s="43">
        <v>0.08</v>
      </c>
      <c r="K11" s="43">
        <f t="shared" si="1"/>
        <v>6169.92</v>
      </c>
      <c r="L11" s="4"/>
      <c r="M11" s="4"/>
      <c r="O11" s="11" t="s">
        <v>173</v>
      </c>
      <c r="P11" s="33"/>
      <c r="Q11" s="131">
        <f>R11*4/Q4</f>
        <v>5.3191489361702128E-2</v>
      </c>
      <c r="R11">
        <v>0.5</v>
      </c>
    </row>
    <row r="12" spans="1:21" x14ac:dyDescent="0.25">
      <c r="A12" s="897" t="s">
        <v>1241</v>
      </c>
      <c r="B12" s="360">
        <v>43383</v>
      </c>
      <c r="C12" s="7">
        <v>100</v>
      </c>
      <c r="D12" s="43">
        <v>32.799999999999997</v>
      </c>
      <c r="E12" s="43">
        <v>0</v>
      </c>
      <c r="F12" s="43">
        <f t="shared" si="0"/>
        <v>3279.9999999999995</v>
      </c>
      <c r="G12" s="360">
        <v>43511</v>
      </c>
      <c r="H12" s="77">
        <v>400</v>
      </c>
      <c r="I12" s="43">
        <v>30.35</v>
      </c>
      <c r="J12" s="43">
        <v>0.16</v>
      </c>
      <c r="K12" s="43">
        <f t="shared" si="1"/>
        <v>12139.84</v>
      </c>
      <c r="O12" s="11" t="s">
        <v>875</v>
      </c>
      <c r="Q12" s="1" t="s">
        <v>1317</v>
      </c>
      <c r="T12" s="1">
        <v>43294</v>
      </c>
      <c r="U12" t="s">
        <v>1121</v>
      </c>
    </row>
    <row r="13" spans="1:21" x14ac:dyDescent="0.25">
      <c r="A13" s="897"/>
      <c r="B13" s="360">
        <v>43384</v>
      </c>
      <c r="C13" s="7">
        <v>100</v>
      </c>
      <c r="D13" s="43">
        <v>32.18</v>
      </c>
      <c r="E13" s="43">
        <v>0</v>
      </c>
      <c r="F13" s="43">
        <f t="shared" si="0"/>
        <v>3218</v>
      </c>
      <c r="G13" s="360">
        <v>43516</v>
      </c>
      <c r="H13" s="77">
        <v>300</v>
      </c>
      <c r="I13" s="43">
        <v>30.87</v>
      </c>
      <c r="J13" s="43">
        <v>0.12</v>
      </c>
      <c r="K13" s="43">
        <f t="shared" si="1"/>
        <v>9260.8799999999992</v>
      </c>
      <c r="O13" s="11" t="s">
        <v>901</v>
      </c>
      <c r="Q13" s="2">
        <f>Q4/3.5</f>
        <v>10.742857142857144</v>
      </c>
      <c r="T13" s="680"/>
    </row>
    <row r="14" spans="1:21" x14ac:dyDescent="0.25">
      <c r="A14" s="897"/>
      <c r="B14" s="360">
        <v>43397</v>
      </c>
      <c r="C14" s="7">
        <v>200</v>
      </c>
      <c r="D14" s="43">
        <v>30.8</v>
      </c>
      <c r="E14" s="43">
        <v>0</v>
      </c>
      <c r="F14" s="43">
        <f t="shared" si="0"/>
        <v>6160</v>
      </c>
      <c r="G14" s="360">
        <v>43546</v>
      </c>
      <c r="H14" s="77">
        <v>300</v>
      </c>
      <c r="I14" s="43">
        <v>31.16</v>
      </c>
      <c r="J14" s="43">
        <v>0.12</v>
      </c>
      <c r="K14" s="43">
        <f t="shared" si="1"/>
        <v>9347.8799999999992</v>
      </c>
      <c r="O14" s="11" t="s">
        <v>1148</v>
      </c>
      <c r="Q14" s="29">
        <v>43429</v>
      </c>
    </row>
    <row r="15" spans="1:21" x14ac:dyDescent="0.25">
      <c r="B15" s="360">
        <v>43424</v>
      </c>
      <c r="C15" s="7">
        <v>100</v>
      </c>
      <c r="D15" s="43">
        <v>29.68</v>
      </c>
      <c r="E15" s="43">
        <v>0</v>
      </c>
      <c r="F15" s="43">
        <f t="shared" si="0"/>
        <v>2968</v>
      </c>
      <c r="H15" s="67"/>
    </row>
    <row r="16" spans="1:21" x14ac:dyDescent="0.25">
      <c r="B16" s="360">
        <v>43427</v>
      </c>
      <c r="C16" s="7">
        <v>100</v>
      </c>
      <c r="D16" s="43">
        <v>29.36</v>
      </c>
      <c r="E16" s="43">
        <v>0</v>
      </c>
      <c r="F16" s="43">
        <f t="shared" si="0"/>
        <v>2936</v>
      </c>
      <c r="H16" s="67"/>
      <c r="T16" s="1">
        <v>43305</v>
      </c>
      <c r="U16" t="s">
        <v>806</v>
      </c>
    </row>
    <row r="17" spans="1:21" ht="20.25" thickBot="1" x14ac:dyDescent="0.35">
      <c r="B17" s="360">
        <v>43474</v>
      </c>
      <c r="C17" s="7">
        <v>200</v>
      </c>
      <c r="D17" s="43">
        <v>30.2</v>
      </c>
      <c r="E17" s="43">
        <v>0</v>
      </c>
      <c r="F17" s="43">
        <f t="shared" si="0"/>
        <v>6040</v>
      </c>
      <c r="O17" s="886" t="s">
        <v>78</v>
      </c>
      <c r="P17" s="886"/>
    </row>
    <row r="18" spans="1:21" ht="15.75" thickTop="1" x14ac:dyDescent="0.25">
      <c r="B18" s="360">
        <v>43503</v>
      </c>
      <c r="C18" s="7">
        <v>200</v>
      </c>
      <c r="D18" s="43">
        <v>29</v>
      </c>
      <c r="E18" s="43">
        <v>0</v>
      </c>
      <c r="F18" s="43">
        <f t="shared" si="0"/>
        <v>5800</v>
      </c>
      <c r="O18" s="78">
        <v>1.1000000000000001</v>
      </c>
      <c r="P18" s="78">
        <f>O18*$Q$4</f>
        <v>41.360000000000007</v>
      </c>
      <c r="T18" s="1">
        <v>43308</v>
      </c>
      <c r="U18" t="s">
        <v>1146</v>
      </c>
    </row>
    <row r="19" spans="1:21" x14ac:dyDescent="0.25">
      <c r="O19" s="78">
        <v>1.0900000000000001</v>
      </c>
      <c r="P19" s="78">
        <f t="shared" ref="P19:P38" si="2">O19*$Q$4</f>
        <v>40.984000000000002</v>
      </c>
    </row>
    <row r="20" spans="1:21" x14ac:dyDescent="0.25">
      <c r="O20" s="78">
        <v>1.08</v>
      </c>
      <c r="P20" s="78">
        <f t="shared" si="2"/>
        <v>40.608000000000004</v>
      </c>
      <c r="T20" s="1">
        <v>43320</v>
      </c>
      <c r="U20" t="s">
        <v>1178</v>
      </c>
    </row>
    <row r="21" spans="1:21" x14ac:dyDescent="0.25">
      <c r="O21" s="78">
        <v>1.07</v>
      </c>
      <c r="P21" s="78">
        <f t="shared" si="2"/>
        <v>40.232000000000006</v>
      </c>
    </row>
    <row r="22" spans="1:21" x14ac:dyDescent="0.25">
      <c r="O22" s="78">
        <v>1.06</v>
      </c>
      <c r="P22" s="78">
        <f t="shared" si="2"/>
        <v>39.856000000000002</v>
      </c>
      <c r="T22" s="1">
        <v>43353</v>
      </c>
      <c r="U22" t="s">
        <v>1214</v>
      </c>
    </row>
    <row r="23" spans="1:21" x14ac:dyDescent="0.25">
      <c r="O23" s="78">
        <v>1.05</v>
      </c>
      <c r="P23" s="78">
        <f t="shared" si="2"/>
        <v>39.480000000000004</v>
      </c>
    </row>
    <row r="24" spans="1:21" x14ac:dyDescent="0.25">
      <c r="O24" s="78">
        <v>1.04</v>
      </c>
      <c r="P24" s="78">
        <f t="shared" si="2"/>
        <v>39.104000000000006</v>
      </c>
      <c r="T24" s="1">
        <v>43383</v>
      </c>
      <c r="U24" t="s">
        <v>1232</v>
      </c>
    </row>
    <row r="25" spans="1:21" x14ac:dyDescent="0.25">
      <c r="A25" s="31" t="s">
        <v>81</v>
      </c>
      <c r="B25" s="14"/>
      <c r="C25" s="14">
        <f>SUM(C2:C18)</f>
        <v>3000</v>
      </c>
      <c r="D25" s="18"/>
      <c r="E25" s="18"/>
      <c r="F25" s="18">
        <f>SUM(F2:F18)</f>
        <v>93205</v>
      </c>
      <c r="G25" s="14"/>
      <c r="H25" s="68">
        <f>SUM(H2:H24)</f>
        <v>3000</v>
      </c>
      <c r="I25" s="18"/>
      <c r="J25" s="18"/>
      <c r="K25" s="18">
        <f>SUM(K2:K24)</f>
        <v>95629.72</v>
      </c>
      <c r="L25" s="14"/>
      <c r="M25" s="18">
        <f>SUM(M2:M10)</f>
        <v>808</v>
      </c>
      <c r="O25" s="78">
        <v>1.03</v>
      </c>
      <c r="P25" s="78">
        <f t="shared" si="2"/>
        <v>38.728000000000002</v>
      </c>
    </row>
    <row r="26" spans="1:21" ht="15.75" thickBot="1" x14ac:dyDescent="0.3">
      <c r="A26" s="273" t="s">
        <v>189</v>
      </c>
      <c r="B26" s="274"/>
      <c r="C26" s="275">
        <f>SumByColor($A$26,C2:C24)</f>
        <v>3000</v>
      </c>
      <c r="D26" s="275"/>
      <c r="E26" s="275"/>
      <c r="F26" s="276">
        <f>SumByColor($A$26,F2:F24)</f>
        <v>93205</v>
      </c>
      <c r="G26" s="275"/>
      <c r="H26" s="275">
        <f>SumByColor($A$26,H2:H24)</f>
        <v>3000</v>
      </c>
      <c r="I26" s="275"/>
      <c r="J26" s="275"/>
      <c r="K26" s="276">
        <f>SumByColor($A$26,K2:K24)</f>
        <v>95631</v>
      </c>
      <c r="L26" s="275"/>
      <c r="M26" s="276">
        <f>SumByColor($A$26,M2:M24)</f>
        <v>808</v>
      </c>
      <c r="O26" s="78">
        <v>1.02</v>
      </c>
      <c r="P26" s="78">
        <f t="shared" si="2"/>
        <v>38.352000000000004</v>
      </c>
    </row>
    <row r="27" spans="1:21" x14ac:dyDescent="0.25">
      <c r="O27" s="78">
        <v>1.01</v>
      </c>
      <c r="P27" s="78">
        <f t="shared" si="2"/>
        <v>37.975999999999999</v>
      </c>
      <c r="T27" s="1">
        <v>43397</v>
      </c>
      <c r="U27" t="s">
        <v>1244</v>
      </c>
    </row>
    <row r="28" spans="1:21" x14ac:dyDescent="0.25">
      <c r="O28" s="78">
        <v>1</v>
      </c>
      <c r="P28" s="78">
        <f t="shared" si="2"/>
        <v>37.6</v>
      </c>
      <c r="T28" s="1">
        <v>43399</v>
      </c>
      <c r="U28" t="s">
        <v>1243</v>
      </c>
    </row>
    <row r="29" spans="1:21" x14ac:dyDescent="0.25">
      <c r="O29" s="78">
        <v>0.99</v>
      </c>
      <c r="P29" s="78">
        <f t="shared" si="2"/>
        <v>37.224000000000004</v>
      </c>
    </row>
    <row r="30" spans="1:21" x14ac:dyDescent="0.25">
      <c r="O30" s="78">
        <v>0.98</v>
      </c>
      <c r="P30" s="78">
        <f t="shared" si="2"/>
        <v>36.847999999999999</v>
      </c>
    </row>
    <row r="31" spans="1:21" x14ac:dyDescent="0.25">
      <c r="B31" s="159" t="s">
        <v>113</v>
      </c>
      <c r="C31" s="159" t="s">
        <v>143</v>
      </c>
      <c r="D31" s="160" t="s">
        <v>142</v>
      </c>
      <c r="E31" s="162" t="s">
        <v>144</v>
      </c>
      <c r="F31" s="162" t="s">
        <v>65</v>
      </c>
      <c r="G31" s="173" t="s">
        <v>148</v>
      </c>
      <c r="H31" s="173" t="s">
        <v>88</v>
      </c>
      <c r="I31" s="173" t="s">
        <v>151</v>
      </c>
      <c r="J31" s="173" t="s">
        <v>147</v>
      </c>
      <c r="K31" s="173" t="s">
        <v>452</v>
      </c>
      <c r="L31" s="173" t="s">
        <v>901</v>
      </c>
      <c r="O31" s="78">
        <v>0.97</v>
      </c>
      <c r="P31" s="78">
        <f t="shared" si="2"/>
        <v>36.472000000000001</v>
      </c>
    </row>
    <row r="32" spans="1:21" x14ac:dyDescent="0.25">
      <c r="B32" s="161">
        <v>43185</v>
      </c>
      <c r="C32" s="10">
        <v>100</v>
      </c>
      <c r="D32" s="39">
        <v>36.58</v>
      </c>
      <c r="E32" s="39">
        <v>34.69</v>
      </c>
      <c r="F32" s="39">
        <f t="shared" ref="F32:F54" si="3">C32*(E32-D32)</f>
        <v>-189.00000000000006</v>
      </c>
      <c r="G32" s="39">
        <f t="shared" ref="G32:G54" si="4">D32*C32</f>
        <v>3658</v>
      </c>
      <c r="H32" s="175">
        <f t="shared" ref="H32:H54" si="5">(E32-D32)/D32</f>
        <v>-5.166757791142703E-2</v>
      </c>
      <c r="I32" s="39"/>
      <c r="J32" s="39">
        <v>-189.00000000000006</v>
      </c>
      <c r="K32" s="39"/>
      <c r="L32" s="39"/>
      <c r="O32" s="78">
        <v>0.96</v>
      </c>
      <c r="P32" s="78">
        <f t="shared" si="2"/>
        <v>36.095999999999997</v>
      </c>
    </row>
    <row r="33" spans="1:21" x14ac:dyDescent="0.25">
      <c r="A33">
        <v>100</v>
      </c>
      <c r="B33" s="161">
        <v>43216</v>
      </c>
      <c r="C33" s="10">
        <v>200</v>
      </c>
      <c r="D33" s="39">
        <v>34.630000000000003</v>
      </c>
      <c r="E33" s="39">
        <v>33.1</v>
      </c>
      <c r="F33" s="39">
        <f t="shared" si="3"/>
        <v>-306.00000000000023</v>
      </c>
      <c r="G33" s="39">
        <f t="shared" si="4"/>
        <v>6926.0000000000009</v>
      </c>
      <c r="H33" s="175">
        <f t="shared" si="5"/>
        <v>-4.4181345654057208E-2</v>
      </c>
      <c r="I33" s="39">
        <v>34</v>
      </c>
      <c r="J33" s="39">
        <v>-306.00000000000023</v>
      </c>
      <c r="K33" s="39"/>
      <c r="L33" s="39"/>
      <c r="O33" s="78">
        <v>0.95</v>
      </c>
      <c r="P33" s="78">
        <f t="shared" si="2"/>
        <v>35.72</v>
      </c>
    </row>
    <row r="34" spans="1:21" x14ac:dyDescent="0.25">
      <c r="A34">
        <v>0</v>
      </c>
      <c r="B34" s="161">
        <v>43217</v>
      </c>
      <c r="C34" s="10">
        <v>100</v>
      </c>
      <c r="D34" s="39">
        <v>35.770000000000003</v>
      </c>
      <c r="E34" s="39">
        <v>33.49</v>
      </c>
      <c r="F34" s="39">
        <f t="shared" si="3"/>
        <v>-228.00000000000011</v>
      </c>
      <c r="G34" s="39">
        <f t="shared" si="4"/>
        <v>3577.0000000000005</v>
      </c>
      <c r="H34" s="175">
        <f t="shared" si="5"/>
        <v>-6.3740564719038328E-2</v>
      </c>
      <c r="I34" s="39">
        <v>35.25</v>
      </c>
      <c r="J34" s="39">
        <v>-228.00000000000011</v>
      </c>
      <c r="K34" s="39"/>
      <c r="L34" s="152"/>
      <c r="O34" s="78">
        <v>0.94</v>
      </c>
      <c r="P34" s="78">
        <f t="shared" si="2"/>
        <v>35.344000000000001</v>
      </c>
    </row>
    <row r="35" spans="1:21" x14ac:dyDescent="0.25">
      <c r="A35">
        <v>0</v>
      </c>
      <c r="B35" s="161">
        <v>43222</v>
      </c>
      <c r="C35" s="10">
        <v>100</v>
      </c>
      <c r="D35" s="39">
        <v>35.270800000000001</v>
      </c>
      <c r="E35" s="39">
        <v>32.06</v>
      </c>
      <c r="F35" s="39">
        <f t="shared" si="3"/>
        <v>-321.07999999999993</v>
      </c>
      <c r="G35" s="39">
        <f t="shared" si="4"/>
        <v>3527.08</v>
      </c>
      <c r="H35" s="175">
        <f t="shared" si="5"/>
        <v>-9.1032809009152019E-2</v>
      </c>
      <c r="I35" s="39"/>
      <c r="J35" s="39">
        <v>-321.07999999999993</v>
      </c>
      <c r="K35" s="39"/>
      <c r="L35" s="152"/>
      <c r="O35" s="78">
        <v>0.93</v>
      </c>
      <c r="P35" s="78">
        <f t="shared" si="2"/>
        <v>34.968000000000004</v>
      </c>
    </row>
    <row r="36" spans="1:21" x14ac:dyDescent="0.25">
      <c r="A36">
        <v>0</v>
      </c>
      <c r="B36" s="161">
        <v>43222</v>
      </c>
      <c r="C36" s="10">
        <v>200</v>
      </c>
      <c r="D36" s="39">
        <v>33.675400000000003</v>
      </c>
      <c r="E36" s="39">
        <v>34.18</v>
      </c>
      <c r="F36" s="39">
        <f t="shared" si="3"/>
        <v>100.91999999999928</v>
      </c>
      <c r="G36" s="39">
        <f t="shared" si="4"/>
        <v>6735.0800000000008</v>
      </c>
      <c r="H36" s="175">
        <f t="shared" si="5"/>
        <v>1.4984231813133514E-2</v>
      </c>
      <c r="I36" s="39">
        <v>33.5</v>
      </c>
      <c r="J36" s="39">
        <v>100.91999999999928</v>
      </c>
      <c r="K36" s="39"/>
      <c r="L36" s="152"/>
      <c r="O36" s="78">
        <v>0.92</v>
      </c>
      <c r="P36" s="78">
        <f t="shared" si="2"/>
        <v>34.592000000000006</v>
      </c>
      <c r="T36" s="153">
        <v>43440</v>
      </c>
      <c r="U36" t="s">
        <v>1239</v>
      </c>
    </row>
    <row r="37" spans="1:21" x14ac:dyDescent="0.25">
      <c r="A37">
        <v>200</v>
      </c>
      <c r="B37" s="161">
        <v>43263</v>
      </c>
      <c r="C37" s="10">
        <v>100</v>
      </c>
      <c r="D37" s="39">
        <v>32.851199999999999</v>
      </c>
      <c r="E37" s="39">
        <v>34.35</v>
      </c>
      <c r="F37" s="39">
        <f t="shared" si="3"/>
        <v>149.88000000000028</v>
      </c>
      <c r="G37" s="39">
        <f t="shared" si="4"/>
        <v>3285.12</v>
      </c>
      <c r="H37" s="175">
        <f t="shared" si="5"/>
        <v>4.5623904149620191E-2</v>
      </c>
      <c r="I37" s="170" t="s">
        <v>1049</v>
      </c>
      <c r="J37" s="39">
        <v>149.88000000000028</v>
      </c>
      <c r="K37" s="39"/>
      <c r="L37" s="152"/>
      <c r="O37" s="78">
        <v>0.91</v>
      </c>
      <c r="P37" s="78">
        <f t="shared" si="2"/>
        <v>34.216000000000001</v>
      </c>
    </row>
    <row r="38" spans="1:21" x14ac:dyDescent="0.25">
      <c r="B38" s="161">
        <v>43264</v>
      </c>
      <c r="C38" s="10">
        <v>200</v>
      </c>
      <c r="D38" s="39">
        <v>32.550600000000003</v>
      </c>
      <c r="E38" s="39">
        <v>32.22</v>
      </c>
      <c r="F38" s="39">
        <f t="shared" si="3"/>
        <v>-66.1200000000008</v>
      </c>
      <c r="G38" s="39">
        <f t="shared" si="4"/>
        <v>6510.1200000000008</v>
      </c>
      <c r="H38" s="175">
        <f t="shared" si="5"/>
        <v>-1.0156494811155678E-2</v>
      </c>
      <c r="I38" s="170" t="s">
        <v>1051</v>
      </c>
      <c r="J38" s="39">
        <v>-66.1200000000008</v>
      </c>
      <c r="K38" s="39"/>
      <c r="L38" s="152"/>
      <c r="O38" s="78">
        <v>0.9</v>
      </c>
      <c r="P38" s="78">
        <f t="shared" si="2"/>
        <v>33.840000000000003</v>
      </c>
    </row>
    <row r="39" spans="1:21" x14ac:dyDescent="0.25">
      <c r="B39" s="161">
        <v>43265</v>
      </c>
      <c r="C39" s="10">
        <v>100</v>
      </c>
      <c r="D39" s="39">
        <v>32.211599999999997</v>
      </c>
      <c r="E39" s="39">
        <v>32.520000000000003</v>
      </c>
      <c r="F39" s="39">
        <f t="shared" si="3"/>
        <v>30.8400000000006</v>
      </c>
      <c r="G39" s="39">
        <f t="shared" si="4"/>
        <v>3221.16</v>
      </c>
      <c r="H39" s="175">
        <f t="shared" si="5"/>
        <v>9.5741906642329479E-3</v>
      </c>
      <c r="I39" s="39">
        <v>32</v>
      </c>
      <c r="J39" s="39">
        <v>30.8400000000006</v>
      </c>
      <c r="K39" s="39"/>
      <c r="L39" s="152"/>
    </row>
    <row r="40" spans="1:21" x14ac:dyDescent="0.25">
      <c r="B40" s="161">
        <v>43292</v>
      </c>
      <c r="C40" s="10">
        <v>200</v>
      </c>
      <c r="D40" s="39">
        <v>32.150799999999997</v>
      </c>
      <c r="E40" s="39">
        <v>32.090000000000003</v>
      </c>
      <c r="F40" s="39">
        <f t="shared" si="3"/>
        <v>-12.159999999998661</v>
      </c>
      <c r="G40" s="39">
        <f t="shared" si="4"/>
        <v>6430.1599999999989</v>
      </c>
      <c r="H40" s="175">
        <f t="shared" si="5"/>
        <v>-1.8910882466375116E-3</v>
      </c>
      <c r="I40" s="39">
        <v>32</v>
      </c>
      <c r="J40" s="39">
        <v>-12.159999999998661</v>
      </c>
      <c r="K40" s="39"/>
      <c r="L40" s="152"/>
    </row>
    <row r="41" spans="1:21" x14ac:dyDescent="0.25">
      <c r="B41" s="161">
        <v>43294</v>
      </c>
      <c r="C41" s="10">
        <v>300</v>
      </c>
      <c r="D41" s="39">
        <v>31.950500000000002</v>
      </c>
      <c r="E41" s="39">
        <v>31.67</v>
      </c>
      <c r="F41" s="39">
        <f t="shared" si="3"/>
        <v>-84.149999999999991</v>
      </c>
      <c r="G41" s="39">
        <f t="shared" si="4"/>
        <v>9585.15</v>
      </c>
      <c r="H41" s="175">
        <f t="shared" si="5"/>
        <v>-8.7792053332498704E-3</v>
      </c>
      <c r="I41" s="39">
        <v>31.5</v>
      </c>
      <c r="J41" s="39">
        <v>-84.149999999999991</v>
      </c>
      <c r="K41" s="39"/>
      <c r="L41" s="39"/>
      <c r="Q41" s="2"/>
    </row>
    <row r="42" spans="1:21" x14ac:dyDescent="0.25">
      <c r="B42" s="161">
        <v>43297</v>
      </c>
      <c r="C42" s="10">
        <v>300</v>
      </c>
      <c r="D42" s="39">
        <v>31.950500000000002</v>
      </c>
      <c r="E42" s="39">
        <v>31.9</v>
      </c>
      <c r="F42" s="39">
        <f t="shared" si="3"/>
        <v>-15.150000000000929</v>
      </c>
      <c r="G42" s="39">
        <f t="shared" si="4"/>
        <v>9585.15</v>
      </c>
      <c r="H42" s="175">
        <f t="shared" si="5"/>
        <v>-1.5805699441324265E-3</v>
      </c>
      <c r="I42" s="39"/>
      <c r="J42" s="39">
        <v>-15.150000000000929</v>
      </c>
      <c r="K42" s="39"/>
      <c r="L42" s="39"/>
      <c r="Q42" s="2"/>
    </row>
    <row r="43" spans="1:21" x14ac:dyDescent="0.25">
      <c r="A43">
        <v>100</v>
      </c>
      <c r="B43" s="161">
        <v>43303</v>
      </c>
      <c r="C43" s="181">
        <v>300</v>
      </c>
      <c r="D43" s="182">
        <v>31.95</v>
      </c>
      <c r="E43" s="39">
        <v>31.1</v>
      </c>
      <c r="F43" s="39">
        <f t="shared" si="3"/>
        <v>-254.99999999999937</v>
      </c>
      <c r="G43" s="39">
        <f t="shared" si="4"/>
        <v>9585</v>
      </c>
      <c r="H43" s="175">
        <f t="shared" si="5"/>
        <v>-2.6604068857589917E-2</v>
      </c>
      <c r="I43" s="39"/>
      <c r="J43" s="39">
        <v>-254.99999999999937</v>
      </c>
      <c r="K43" s="39"/>
      <c r="L43" s="39">
        <v>8.9600000000000009</v>
      </c>
      <c r="Q43" s="2"/>
    </row>
    <row r="44" spans="1:21" x14ac:dyDescent="0.25">
      <c r="B44" s="161">
        <v>43306</v>
      </c>
      <c r="C44" s="7">
        <v>600</v>
      </c>
      <c r="D44" s="43">
        <v>31.420300000000001</v>
      </c>
      <c r="E44" s="39">
        <v>30.89</v>
      </c>
      <c r="F44" s="39">
        <f t="shared" si="3"/>
        <v>-318.18000000000029</v>
      </c>
      <c r="G44" s="39">
        <f t="shared" si="4"/>
        <v>18852.18</v>
      </c>
      <c r="H44" s="175">
        <f t="shared" si="5"/>
        <v>-1.6877623701874279E-2</v>
      </c>
      <c r="I44" s="39"/>
      <c r="J44" s="39">
        <v>-318.18000000000029</v>
      </c>
      <c r="K44" s="39"/>
      <c r="L44" s="39"/>
      <c r="Q44" s="2"/>
    </row>
    <row r="45" spans="1:21" x14ac:dyDescent="0.25">
      <c r="B45" s="161">
        <v>43306</v>
      </c>
      <c r="C45" s="753">
        <v>1200</v>
      </c>
      <c r="D45" s="754">
        <v>30.95</v>
      </c>
      <c r="E45" s="39">
        <v>30.48</v>
      </c>
      <c r="F45" s="39">
        <f t="shared" si="3"/>
        <v>-563.99999999999864</v>
      </c>
      <c r="G45" s="39">
        <f t="shared" si="4"/>
        <v>37140</v>
      </c>
      <c r="H45" s="175">
        <f t="shared" si="5"/>
        <v>-1.5185783521809333E-2</v>
      </c>
      <c r="I45" s="39">
        <v>30.25</v>
      </c>
      <c r="J45" s="39">
        <v>-563.99999999999864</v>
      </c>
      <c r="K45" s="39"/>
      <c r="L45" s="39"/>
      <c r="Q45" s="2"/>
    </row>
    <row r="46" spans="1:21" x14ac:dyDescent="0.25">
      <c r="B46" s="161">
        <v>43306</v>
      </c>
      <c r="C46" s="10">
        <v>1500</v>
      </c>
      <c r="D46" s="39">
        <v>30.81</v>
      </c>
      <c r="E46" s="39">
        <v>30.25</v>
      </c>
      <c r="F46" s="39">
        <f t="shared" si="3"/>
        <v>-839.99999999999807</v>
      </c>
      <c r="G46" s="39">
        <f t="shared" si="4"/>
        <v>46215</v>
      </c>
      <c r="H46" s="175">
        <f t="shared" si="5"/>
        <v>-1.8175916910094084E-2</v>
      </c>
      <c r="I46" s="39"/>
      <c r="J46" s="39">
        <v>-839.99999999999807</v>
      </c>
      <c r="K46" s="39"/>
      <c r="L46" s="39"/>
      <c r="Q46" s="2"/>
    </row>
    <row r="47" spans="1:21" x14ac:dyDescent="0.25">
      <c r="A47">
        <v>100</v>
      </c>
      <c r="B47" s="161">
        <v>43308</v>
      </c>
      <c r="C47" s="10">
        <v>1500</v>
      </c>
      <c r="D47" s="39">
        <v>30.81</v>
      </c>
      <c r="E47" s="39">
        <v>31.08</v>
      </c>
      <c r="F47" s="39">
        <f t="shared" si="3"/>
        <v>404.99999999999937</v>
      </c>
      <c r="G47" s="39">
        <f t="shared" si="4"/>
        <v>46215</v>
      </c>
      <c r="H47" s="175">
        <f t="shared" si="5"/>
        <v>8.7633885102239399E-3</v>
      </c>
      <c r="I47" s="39"/>
      <c r="J47" s="39">
        <v>404.99999999999937</v>
      </c>
      <c r="K47" s="39"/>
      <c r="L47" s="39">
        <v>8.9600000000000009</v>
      </c>
      <c r="Q47" s="2"/>
    </row>
    <row r="48" spans="1:21" x14ac:dyDescent="0.25">
      <c r="A48">
        <v>0</v>
      </c>
      <c r="B48" s="161">
        <v>43311</v>
      </c>
      <c r="C48" s="10">
        <v>1400</v>
      </c>
      <c r="D48" s="39">
        <v>30.7194</v>
      </c>
      <c r="E48" s="39">
        <v>32</v>
      </c>
      <c r="F48" s="39">
        <f t="shared" si="3"/>
        <v>1792.8399999999997</v>
      </c>
      <c r="G48" s="39">
        <f t="shared" si="4"/>
        <v>43007.16</v>
      </c>
      <c r="H48" s="175">
        <f t="shared" si="5"/>
        <v>4.1687012116122052E-2</v>
      </c>
      <c r="I48" s="39"/>
      <c r="J48" s="39">
        <v>1792.8399999999997</v>
      </c>
      <c r="K48" s="39"/>
      <c r="L48" s="39">
        <v>9.2200000000000006</v>
      </c>
      <c r="Q48" s="2"/>
    </row>
    <row r="49" spans="1:17" x14ac:dyDescent="0.25">
      <c r="A49">
        <v>0</v>
      </c>
      <c r="B49" s="161">
        <v>43313</v>
      </c>
      <c r="C49" s="10">
        <v>1400</v>
      </c>
      <c r="D49" s="39">
        <v>30.683700000000002</v>
      </c>
      <c r="E49" s="39">
        <v>31.9</v>
      </c>
      <c r="F49" s="39">
        <f t="shared" si="3"/>
        <v>1702.8199999999956</v>
      </c>
      <c r="G49" s="39">
        <f t="shared" si="4"/>
        <v>42957.18</v>
      </c>
      <c r="H49" s="175">
        <f t="shared" si="5"/>
        <v>3.9639939120770858E-2</v>
      </c>
      <c r="I49" s="39"/>
      <c r="J49" s="39">
        <v>1702.8199999999956</v>
      </c>
      <c r="K49" s="39"/>
      <c r="L49" s="39">
        <v>9.19</v>
      </c>
      <c r="Q49" s="2"/>
    </row>
    <row r="50" spans="1:17" x14ac:dyDescent="0.25">
      <c r="A50" s="1">
        <v>43325</v>
      </c>
      <c r="B50" s="161">
        <v>43316</v>
      </c>
      <c r="C50" s="10">
        <v>1400</v>
      </c>
      <c r="D50" s="39">
        <v>30.68</v>
      </c>
      <c r="E50" s="39">
        <v>32.270000000000003</v>
      </c>
      <c r="F50" s="39">
        <f t="shared" si="3"/>
        <v>2226.0000000000045</v>
      </c>
      <c r="G50" s="39">
        <f t="shared" si="4"/>
        <v>42952</v>
      </c>
      <c r="H50" s="175">
        <f t="shared" si="5"/>
        <v>5.1825293350717193E-2</v>
      </c>
      <c r="I50" s="39"/>
      <c r="J50" s="39">
        <v>2226.0000000000045</v>
      </c>
      <c r="K50" s="39"/>
      <c r="L50" s="39">
        <v>9.3000000000000007</v>
      </c>
      <c r="Q50" s="2"/>
    </row>
    <row r="51" spans="1:17" x14ac:dyDescent="0.25">
      <c r="B51" s="161">
        <v>43325</v>
      </c>
      <c r="C51" s="10">
        <v>1400</v>
      </c>
      <c r="D51" s="39">
        <v>30.68</v>
      </c>
      <c r="E51" s="39">
        <v>32.21</v>
      </c>
      <c r="F51" s="39">
        <f t="shared" si="3"/>
        <v>2142.0000000000018</v>
      </c>
      <c r="G51" s="39">
        <f t="shared" si="4"/>
        <v>42952</v>
      </c>
      <c r="H51" s="175">
        <f t="shared" si="5"/>
        <v>4.9869621903520248E-2</v>
      </c>
      <c r="I51" s="39"/>
      <c r="J51" s="39">
        <v>2142.0000000000018</v>
      </c>
      <c r="K51" s="39"/>
      <c r="L51" s="39"/>
      <c r="Q51" s="2"/>
    </row>
    <row r="52" spans="1:17" x14ac:dyDescent="0.25">
      <c r="B52" s="161">
        <v>43328</v>
      </c>
      <c r="C52" s="753">
        <v>1200</v>
      </c>
      <c r="D52" s="754">
        <v>30.306100000000001</v>
      </c>
      <c r="E52" s="39">
        <v>32.950000000000003</v>
      </c>
      <c r="F52" s="39">
        <f t="shared" si="3"/>
        <v>3172.6800000000026</v>
      </c>
      <c r="G52" s="39">
        <f t="shared" si="4"/>
        <v>36367.32</v>
      </c>
      <c r="H52" s="175">
        <f t="shared" si="5"/>
        <v>8.7239862601918489E-2</v>
      </c>
      <c r="I52" s="39">
        <v>30.25</v>
      </c>
      <c r="J52" s="39">
        <v>3172.6800000000026</v>
      </c>
      <c r="K52" s="39"/>
      <c r="L52" s="39"/>
      <c r="Q52" s="2"/>
    </row>
    <row r="53" spans="1:17" x14ac:dyDescent="0.25">
      <c r="B53" s="161">
        <v>43329</v>
      </c>
      <c r="C53" s="10">
        <v>1200</v>
      </c>
      <c r="D53" s="39">
        <v>30.31</v>
      </c>
      <c r="E53" s="39">
        <v>33.03</v>
      </c>
      <c r="F53" s="39">
        <f t="shared" si="3"/>
        <v>3264.0000000000027</v>
      </c>
      <c r="G53" s="39">
        <f t="shared" si="4"/>
        <v>36372</v>
      </c>
      <c r="H53" s="175">
        <f t="shared" si="5"/>
        <v>8.973935994721223E-2</v>
      </c>
      <c r="I53" s="39"/>
      <c r="J53" s="39">
        <v>3264.0000000000027</v>
      </c>
      <c r="K53" s="39"/>
      <c r="L53" s="39">
        <v>9.52</v>
      </c>
      <c r="Q53" s="2"/>
    </row>
    <row r="54" spans="1:17" x14ac:dyDescent="0.25">
      <c r="B54" s="161">
        <v>43332</v>
      </c>
      <c r="C54" s="10">
        <v>1200</v>
      </c>
      <c r="D54" s="39">
        <v>30.306000000000001</v>
      </c>
      <c r="E54" s="39">
        <v>33.11</v>
      </c>
      <c r="F54" s="39">
        <f t="shared" si="3"/>
        <v>3364.7999999999984</v>
      </c>
      <c r="G54" s="39">
        <f t="shared" si="4"/>
        <v>36367.200000000004</v>
      </c>
      <c r="H54" s="175">
        <f t="shared" si="5"/>
        <v>9.2522932752590187E-2</v>
      </c>
      <c r="I54" s="39"/>
      <c r="J54" s="39">
        <v>3364.7999999999984</v>
      </c>
      <c r="K54" s="39"/>
      <c r="L54" s="39">
        <v>9.5399999999999991</v>
      </c>
    </row>
    <row r="55" spans="1:17" x14ac:dyDescent="0.25">
      <c r="A55" s="1">
        <v>43339</v>
      </c>
      <c r="B55" s="161">
        <v>43333</v>
      </c>
      <c r="C55" s="10">
        <v>1200</v>
      </c>
      <c r="D55" s="39">
        <v>30.306000000000001</v>
      </c>
      <c r="E55" s="39">
        <v>33.4</v>
      </c>
      <c r="F55" s="760">
        <f t="shared" ref="F55:F75" si="6">C55*(E55-D55)</f>
        <v>3712.799999999997</v>
      </c>
      <c r="G55" s="39">
        <f t="shared" ref="G55:G75" si="7">D55*C55</f>
        <v>36367.200000000004</v>
      </c>
      <c r="H55" s="175">
        <f t="shared" ref="H55:H75" si="8">(E55-D55)/D55</f>
        <v>0.10209199498449144</v>
      </c>
      <c r="I55" s="39"/>
      <c r="J55" s="760">
        <v>3712.799999999997</v>
      </c>
      <c r="K55" s="39"/>
      <c r="L55" s="39">
        <v>9.6300000000000008</v>
      </c>
    </row>
    <row r="56" spans="1:17" x14ac:dyDescent="0.25">
      <c r="A56">
        <v>1200</v>
      </c>
      <c r="B56" s="161">
        <v>43338</v>
      </c>
      <c r="C56" s="10">
        <v>1200</v>
      </c>
      <c r="D56" s="39">
        <v>30.31</v>
      </c>
      <c r="E56" s="39">
        <v>32.64</v>
      </c>
      <c r="F56" s="39">
        <f t="shared" si="6"/>
        <v>2796.0000000000023</v>
      </c>
      <c r="G56" s="39">
        <f t="shared" si="7"/>
        <v>36372</v>
      </c>
      <c r="H56" s="175">
        <f t="shared" si="8"/>
        <v>7.687231936654576E-2</v>
      </c>
      <c r="I56" s="39"/>
      <c r="J56" s="39">
        <v>2796.0000000000023</v>
      </c>
      <c r="K56" s="39"/>
      <c r="L56" s="39">
        <v>9.41</v>
      </c>
    </row>
    <row r="57" spans="1:17" x14ac:dyDescent="0.25">
      <c r="A57">
        <v>1200</v>
      </c>
      <c r="B57" s="161">
        <v>43341</v>
      </c>
      <c r="C57" s="10">
        <v>1400</v>
      </c>
      <c r="D57" s="39">
        <v>30.5838</v>
      </c>
      <c r="E57" s="39">
        <v>32.229999999999997</v>
      </c>
      <c r="F57" s="39">
        <f t="shared" si="6"/>
        <v>2304.6799999999953</v>
      </c>
      <c r="G57" s="39">
        <f t="shared" si="7"/>
        <v>42817.32</v>
      </c>
      <c r="H57" s="175">
        <f t="shared" si="8"/>
        <v>5.3825881675919826E-2</v>
      </c>
      <c r="I57" s="39">
        <v>30</v>
      </c>
      <c r="J57" s="39">
        <v>2304.6799999999953</v>
      </c>
      <c r="K57" s="39">
        <v>47.42</v>
      </c>
      <c r="L57" s="39">
        <v>9.2899999999999991</v>
      </c>
    </row>
    <row r="58" spans="1:17" x14ac:dyDescent="0.25">
      <c r="A58">
        <v>1200</v>
      </c>
      <c r="B58" s="161">
        <v>43342</v>
      </c>
      <c r="C58" s="10">
        <v>1400</v>
      </c>
      <c r="D58" s="39">
        <v>30.5838</v>
      </c>
      <c r="E58" s="39">
        <v>31.96</v>
      </c>
      <c r="F58" s="39">
        <f t="shared" si="6"/>
        <v>1926.680000000001</v>
      </c>
      <c r="G58" s="39">
        <f t="shared" si="7"/>
        <v>42817.32</v>
      </c>
      <c r="H58" s="175">
        <f t="shared" si="8"/>
        <v>4.4997678509537752E-2</v>
      </c>
      <c r="I58" s="39"/>
      <c r="J58" s="39">
        <v>1926.680000000001</v>
      </c>
      <c r="K58" s="39">
        <v>43.87</v>
      </c>
      <c r="L58" s="39">
        <v>9.2100000000000009</v>
      </c>
    </row>
    <row r="59" spans="1:17" x14ac:dyDescent="0.25">
      <c r="A59">
        <v>1200</v>
      </c>
      <c r="B59" s="161">
        <v>43350</v>
      </c>
      <c r="C59" s="10">
        <v>1400</v>
      </c>
      <c r="D59" s="39">
        <v>30.58</v>
      </c>
      <c r="E59" s="39">
        <v>32.18</v>
      </c>
      <c r="F59" s="39">
        <f t="shared" si="6"/>
        <v>2240.0000000000018</v>
      </c>
      <c r="G59" s="39">
        <f t="shared" si="7"/>
        <v>42812</v>
      </c>
      <c r="H59" s="175">
        <f t="shared" si="8"/>
        <v>5.2321778940484023E-2</v>
      </c>
      <c r="I59" s="39"/>
      <c r="J59" s="39">
        <v>2240.0000000000018</v>
      </c>
      <c r="K59" s="39">
        <v>47.3</v>
      </c>
      <c r="L59" s="39">
        <v>9.27</v>
      </c>
    </row>
    <row r="60" spans="1:17" x14ac:dyDescent="0.25">
      <c r="A60">
        <v>400</v>
      </c>
      <c r="B60" s="161">
        <v>43355</v>
      </c>
      <c r="C60" s="7">
        <v>600</v>
      </c>
      <c r="D60" s="43">
        <v>26.976099999999999</v>
      </c>
      <c r="E60" s="39">
        <v>33.42</v>
      </c>
      <c r="F60" s="760">
        <f t="shared" si="6"/>
        <v>3866.3400000000015</v>
      </c>
      <c r="G60" s="39">
        <f t="shared" si="7"/>
        <v>16185.66</v>
      </c>
      <c r="H60" s="175">
        <f t="shared" si="8"/>
        <v>0.23887441105274682</v>
      </c>
      <c r="I60" s="39">
        <v>26.5</v>
      </c>
      <c r="J60" s="760">
        <v>3866.3400000000015</v>
      </c>
      <c r="K60" s="39"/>
      <c r="L60" s="39">
        <v>9.6300000000000008</v>
      </c>
    </row>
    <row r="61" spans="1:17" x14ac:dyDescent="0.25">
      <c r="A61" s="4">
        <v>400</v>
      </c>
      <c r="B61" s="161">
        <v>43356</v>
      </c>
      <c r="C61" s="10">
        <v>600</v>
      </c>
      <c r="D61" s="39">
        <v>26.976099999999999</v>
      </c>
      <c r="E61" s="39">
        <v>33.68</v>
      </c>
      <c r="F61" s="760">
        <f t="shared" si="6"/>
        <v>4022.3400000000006</v>
      </c>
      <c r="G61" s="39">
        <f t="shared" si="7"/>
        <v>16185.66</v>
      </c>
      <c r="H61" s="175">
        <f t="shared" si="8"/>
        <v>0.24851257223987164</v>
      </c>
      <c r="I61" s="39"/>
      <c r="J61" s="760">
        <v>4022.3400000000006</v>
      </c>
      <c r="K61" s="39"/>
      <c r="L61" s="39"/>
    </row>
    <row r="62" spans="1:17" x14ac:dyDescent="0.25">
      <c r="A62" s="4">
        <v>400</v>
      </c>
      <c r="B62" s="161">
        <v>43362</v>
      </c>
      <c r="C62" s="10">
        <v>600</v>
      </c>
      <c r="D62" s="39">
        <v>26.976099999999999</v>
      </c>
      <c r="E62" s="39">
        <v>33.369999999999997</v>
      </c>
      <c r="F62" s="98">
        <f t="shared" si="6"/>
        <v>3836.3399999999992</v>
      </c>
      <c r="G62" s="39">
        <f t="shared" si="7"/>
        <v>16185.66</v>
      </c>
      <c r="H62" s="175">
        <f t="shared" si="8"/>
        <v>0.2370209185167611</v>
      </c>
      <c r="I62" s="39"/>
      <c r="J62" s="98">
        <v>3836.3399999999992</v>
      </c>
      <c r="K62" s="39"/>
      <c r="L62" s="39">
        <v>9.6199999999999992</v>
      </c>
    </row>
    <row r="63" spans="1:17" x14ac:dyDescent="0.25">
      <c r="A63" s="4">
        <v>400</v>
      </c>
      <c r="B63" s="161">
        <v>43364</v>
      </c>
      <c r="C63" s="10">
        <v>600</v>
      </c>
      <c r="D63" s="39">
        <v>26.976099999999999</v>
      </c>
      <c r="E63" s="39">
        <v>33.78</v>
      </c>
      <c r="F63" s="760">
        <f t="shared" si="6"/>
        <v>4082.3400000000015</v>
      </c>
      <c r="G63" s="39">
        <f t="shared" si="7"/>
        <v>16185.66</v>
      </c>
      <c r="H63" s="175">
        <f t="shared" si="8"/>
        <v>0.25221955731184281</v>
      </c>
      <c r="I63" s="39"/>
      <c r="J63" s="760">
        <v>4082.3400000000015</v>
      </c>
      <c r="K63" s="39"/>
      <c r="L63" s="39">
        <v>9.73</v>
      </c>
    </row>
    <row r="64" spans="1:17" x14ac:dyDescent="0.25">
      <c r="A64" s="4">
        <v>600</v>
      </c>
      <c r="B64" s="161">
        <v>43383</v>
      </c>
      <c r="C64" s="10">
        <v>700</v>
      </c>
      <c r="D64" s="39">
        <v>27.8081</v>
      </c>
      <c r="E64" s="39">
        <v>32.85</v>
      </c>
      <c r="F64" s="39">
        <f t="shared" si="6"/>
        <v>3529.3300000000013</v>
      </c>
      <c r="G64" s="39">
        <f t="shared" si="7"/>
        <v>19465.669999999998</v>
      </c>
      <c r="H64" s="175">
        <f t="shared" si="8"/>
        <v>0.18131048147841822</v>
      </c>
      <c r="I64" s="39"/>
      <c r="J64" s="39">
        <v>3529.3300000000013</v>
      </c>
      <c r="K64" s="39"/>
      <c r="L64" s="39">
        <v>9.4700000000000006</v>
      </c>
    </row>
    <row r="65" spans="1:12" x14ac:dyDescent="0.25">
      <c r="A65" s="4">
        <v>600</v>
      </c>
      <c r="B65" s="161">
        <v>43384</v>
      </c>
      <c r="C65" s="10">
        <v>800</v>
      </c>
      <c r="D65" s="39">
        <v>28.355</v>
      </c>
      <c r="E65" s="39">
        <v>31.75</v>
      </c>
      <c r="F65" s="39">
        <f t="shared" si="6"/>
        <v>2715.9999999999995</v>
      </c>
      <c r="G65" s="39">
        <f t="shared" si="7"/>
        <v>22684</v>
      </c>
      <c r="H65" s="175">
        <f t="shared" si="8"/>
        <v>0.11973196967025214</v>
      </c>
      <c r="I65" s="39"/>
      <c r="J65" s="39">
        <v>2715.9999999999995</v>
      </c>
      <c r="K65" s="39"/>
      <c r="L65" s="39">
        <v>9.15</v>
      </c>
    </row>
    <row r="66" spans="1:12" x14ac:dyDescent="0.25">
      <c r="A66" s="4">
        <v>600</v>
      </c>
      <c r="B66" s="161">
        <v>43397</v>
      </c>
      <c r="C66" s="10">
        <v>1000</v>
      </c>
      <c r="D66" s="39">
        <v>28.843599999999999</v>
      </c>
      <c r="E66" s="39">
        <v>30.36</v>
      </c>
      <c r="F66" s="39">
        <f t="shared" si="6"/>
        <v>1516.4000000000008</v>
      </c>
      <c r="G66" s="39">
        <f t="shared" si="7"/>
        <v>28843.599999999999</v>
      </c>
      <c r="H66" s="175">
        <f t="shared" si="8"/>
        <v>5.2573187812894398E-2</v>
      </c>
      <c r="I66" s="39"/>
      <c r="J66" s="39">
        <v>1516.4000000000008</v>
      </c>
      <c r="K66" s="39"/>
      <c r="L66" s="39">
        <v>8.75</v>
      </c>
    </row>
    <row r="67" spans="1:12" x14ac:dyDescent="0.25">
      <c r="A67" s="4">
        <v>600</v>
      </c>
      <c r="B67" s="161">
        <v>43402</v>
      </c>
      <c r="C67" s="10">
        <v>1000</v>
      </c>
      <c r="D67" s="39">
        <v>28.843599999999999</v>
      </c>
      <c r="E67" s="39">
        <v>29.64</v>
      </c>
      <c r="F67" s="39">
        <f t="shared" si="6"/>
        <v>796.40000000000202</v>
      </c>
      <c r="G67" s="39">
        <f t="shared" si="7"/>
        <v>28843.599999999999</v>
      </c>
      <c r="H67" s="175">
        <f t="shared" si="8"/>
        <v>2.7610977825236863E-2</v>
      </c>
      <c r="I67" s="39"/>
      <c r="J67" s="39">
        <v>796.40000000000202</v>
      </c>
      <c r="K67" s="39"/>
      <c r="L67" s="39">
        <v>8.5399999999999991</v>
      </c>
    </row>
    <row r="68" spans="1:12" x14ac:dyDescent="0.25">
      <c r="A68" s="4">
        <v>600</v>
      </c>
      <c r="B68" s="161">
        <v>43405</v>
      </c>
      <c r="C68" s="10">
        <v>1000</v>
      </c>
      <c r="D68" s="39">
        <v>28.543600000000001</v>
      </c>
      <c r="E68" s="39">
        <v>30.49</v>
      </c>
      <c r="F68" s="39">
        <f t="shared" si="6"/>
        <v>1946.3999999999969</v>
      </c>
      <c r="G68" s="39">
        <f t="shared" si="7"/>
        <v>28543.600000000002</v>
      </c>
      <c r="H68" s="175">
        <f t="shared" si="8"/>
        <v>6.8190417466612377E-2</v>
      </c>
      <c r="I68" s="39"/>
      <c r="J68" s="39">
        <v>1946.3999999999969</v>
      </c>
      <c r="K68" s="39"/>
      <c r="L68" s="39">
        <v>8.7899999999999991</v>
      </c>
    </row>
    <row r="69" spans="1:12" x14ac:dyDescent="0.25">
      <c r="A69" s="4">
        <v>600</v>
      </c>
      <c r="B69" s="161">
        <v>43407</v>
      </c>
      <c r="C69" s="10">
        <v>1000</v>
      </c>
      <c r="D69" s="39">
        <v>28.543600000000001</v>
      </c>
      <c r="E69" s="39">
        <v>30.52</v>
      </c>
      <c r="F69" s="39">
        <f t="shared" si="6"/>
        <v>1976.3999999999983</v>
      </c>
      <c r="G69" s="39">
        <f t="shared" si="7"/>
        <v>28543.600000000002</v>
      </c>
      <c r="H69" s="175">
        <f t="shared" si="8"/>
        <v>6.9241441163693365E-2</v>
      </c>
      <c r="I69" s="39"/>
      <c r="J69" s="39">
        <v>1976.3999999999983</v>
      </c>
      <c r="K69" s="39"/>
      <c r="L69" s="39">
        <v>8.7200000000000006</v>
      </c>
    </row>
    <row r="70" spans="1:12" x14ac:dyDescent="0.25">
      <c r="A70" s="4">
        <v>800</v>
      </c>
      <c r="B70" s="161">
        <v>43417</v>
      </c>
      <c r="C70" s="10">
        <v>1000</v>
      </c>
      <c r="D70" s="39">
        <v>28.543600000000001</v>
      </c>
      <c r="E70" s="39">
        <v>30.33</v>
      </c>
      <c r="F70" s="39">
        <f t="shared" si="6"/>
        <v>1786.3999999999969</v>
      </c>
      <c r="G70" s="39">
        <f t="shared" si="7"/>
        <v>28543.600000000002</v>
      </c>
      <c r="H70" s="175">
        <f t="shared" si="8"/>
        <v>6.2584957748847259E-2</v>
      </c>
      <c r="I70" s="39"/>
      <c r="J70" s="39">
        <v>1786.3999999999969</v>
      </c>
      <c r="K70" s="39"/>
      <c r="L70" s="39">
        <v>8.67</v>
      </c>
    </row>
    <row r="71" spans="1:12" x14ac:dyDescent="0.25">
      <c r="A71" s="4">
        <v>800</v>
      </c>
      <c r="B71" s="161">
        <v>43424</v>
      </c>
      <c r="C71" s="10">
        <v>1100</v>
      </c>
      <c r="D71" s="39">
        <v>28.646899999999999</v>
      </c>
      <c r="E71" s="39">
        <v>29.42</v>
      </c>
      <c r="F71" s="39">
        <f t="shared" si="6"/>
        <v>850.41000000000327</v>
      </c>
      <c r="G71" s="39">
        <f t="shared" si="7"/>
        <v>31511.59</v>
      </c>
      <c r="H71" s="175">
        <f t="shared" si="8"/>
        <v>2.6987213276131204E-2</v>
      </c>
      <c r="I71" s="39"/>
      <c r="J71" s="39">
        <v>850.41000000000327</v>
      </c>
      <c r="K71" s="39"/>
      <c r="L71" s="39">
        <v>8.41</v>
      </c>
    </row>
    <row r="72" spans="1:12" x14ac:dyDescent="0.25">
      <c r="A72" s="4">
        <v>1000</v>
      </c>
      <c r="B72" s="161">
        <v>43427</v>
      </c>
      <c r="C72" s="753">
        <v>1200</v>
      </c>
      <c r="D72" s="754">
        <v>28.706399999999999</v>
      </c>
      <c r="E72" s="39">
        <v>29.36</v>
      </c>
      <c r="F72" s="39">
        <f t="shared" si="6"/>
        <v>784.32000000000107</v>
      </c>
      <c r="G72" s="39">
        <f t="shared" si="7"/>
        <v>34447.68</v>
      </c>
      <c r="H72" s="175">
        <f t="shared" si="8"/>
        <v>2.2768441880556285E-2</v>
      </c>
      <c r="I72" s="39"/>
      <c r="J72" s="39">
        <v>784.32000000000107</v>
      </c>
      <c r="K72" s="39"/>
      <c r="L72" s="39">
        <v>8.51</v>
      </c>
    </row>
    <row r="73" spans="1:12" x14ac:dyDescent="0.25">
      <c r="A73" s="4">
        <v>800</v>
      </c>
      <c r="B73" s="161">
        <v>43430</v>
      </c>
      <c r="C73" s="10">
        <v>1000</v>
      </c>
      <c r="D73" s="39">
        <v>28.451699999999999</v>
      </c>
      <c r="E73" s="39">
        <v>29.95</v>
      </c>
      <c r="F73" s="39">
        <f t="shared" si="6"/>
        <v>1498.3000000000004</v>
      </c>
      <c r="G73" s="39">
        <f t="shared" si="7"/>
        <v>28451.699999999997</v>
      </c>
      <c r="H73" s="175">
        <f t="shared" si="8"/>
        <v>5.2661176660797088E-2</v>
      </c>
      <c r="I73" s="39"/>
      <c r="J73" s="39">
        <v>1498.3000000000004</v>
      </c>
      <c r="K73" s="39"/>
      <c r="L73" s="39">
        <v>8.56</v>
      </c>
    </row>
    <row r="74" spans="1:12" x14ac:dyDescent="0.25">
      <c r="A74" s="4">
        <v>800</v>
      </c>
      <c r="B74" s="161">
        <v>43436</v>
      </c>
      <c r="C74" s="10">
        <v>1000</v>
      </c>
      <c r="D74" s="39">
        <v>28.451699999999999</v>
      </c>
      <c r="E74" s="39">
        <v>31.24</v>
      </c>
      <c r="F74" s="39">
        <f t="shared" si="6"/>
        <v>2788.2999999999997</v>
      </c>
      <c r="G74" s="39">
        <f t="shared" si="7"/>
        <v>28451.699999999997</v>
      </c>
      <c r="H74" s="175">
        <f t="shared" si="8"/>
        <v>9.8001173919308848E-2</v>
      </c>
      <c r="I74" s="39"/>
      <c r="J74" s="39">
        <v>2788.2999999999997</v>
      </c>
      <c r="K74" s="39"/>
      <c r="L74" s="39">
        <v>8.93</v>
      </c>
    </row>
    <row r="75" spans="1:12" x14ac:dyDescent="0.25">
      <c r="A75" s="4">
        <v>800</v>
      </c>
      <c r="B75" s="161">
        <v>43442</v>
      </c>
      <c r="C75" s="10">
        <v>1000</v>
      </c>
      <c r="D75" s="39">
        <v>28.45</v>
      </c>
      <c r="E75" s="39">
        <v>30.14</v>
      </c>
      <c r="F75" s="39">
        <f t="shared" si="6"/>
        <v>1690.0000000000014</v>
      </c>
      <c r="G75" s="39">
        <f t="shared" si="7"/>
        <v>28450</v>
      </c>
      <c r="H75" s="175">
        <f t="shared" si="8"/>
        <v>5.9402460456942051E-2</v>
      </c>
      <c r="I75" s="39"/>
      <c r="J75" s="39">
        <v>1690.0000000000014</v>
      </c>
      <c r="K75" s="39"/>
      <c r="L75" s="39">
        <v>8.61</v>
      </c>
    </row>
    <row r="76" spans="1:12" x14ac:dyDescent="0.25">
      <c r="A76" s="4">
        <v>1000</v>
      </c>
      <c r="B76" s="161">
        <v>43467</v>
      </c>
      <c r="C76" s="10">
        <v>1000</v>
      </c>
      <c r="D76" s="39">
        <v>28.451699999999999</v>
      </c>
      <c r="E76" s="39">
        <v>29.54</v>
      </c>
      <c r="F76" s="39">
        <f t="shared" ref="F76:F87" si="9">C76*(E76-D76)</f>
        <v>1088.3000000000002</v>
      </c>
      <c r="G76" s="39">
        <f t="shared" ref="G76:G87" si="10">D76*C76</f>
        <v>28451.699999999997</v>
      </c>
      <c r="H76" s="175">
        <f t="shared" ref="H76:H87" si="11">(E76-D76)/D76</f>
        <v>3.8250789935223566E-2</v>
      </c>
      <c r="I76" s="39"/>
      <c r="J76" s="39">
        <v>1088.3000000000002</v>
      </c>
      <c r="K76" s="39"/>
      <c r="L76" s="39">
        <v>8.44</v>
      </c>
    </row>
    <row r="77" spans="1:12" x14ac:dyDescent="0.25">
      <c r="A77" s="4">
        <v>800</v>
      </c>
      <c r="B77" s="161">
        <v>43472</v>
      </c>
      <c r="C77" s="10">
        <v>800</v>
      </c>
      <c r="D77" s="39">
        <v>27.817299999999999</v>
      </c>
      <c r="E77" s="39">
        <v>30.89</v>
      </c>
      <c r="F77" s="39">
        <f t="shared" si="9"/>
        <v>2458.1600000000008</v>
      </c>
      <c r="G77" s="39">
        <f t="shared" si="10"/>
        <v>22253.84</v>
      </c>
      <c r="H77" s="175">
        <f t="shared" si="11"/>
        <v>0.11046003745870379</v>
      </c>
      <c r="I77" s="39"/>
      <c r="J77" s="39">
        <v>2458.1600000000008</v>
      </c>
      <c r="K77" s="39"/>
      <c r="L77" s="39">
        <v>8.83</v>
      </c>
    </row>
    <row r="78" spans="1:12" x14ac:dyDescent="0.25">
      <c r="A78" s="4">
        <v>800</v>
      </c>
      <c r="B78" s="161">
        <v>43474</v>
      </c>
      <c r="C78" s="10">
        <v>1000</v>
      </c>
      <c r="D78" s="39">
        <v>28.293800000000001</v>
      </c>
      <c r="E78" s="39">
        <v>30.1</v>
      </c>
      <c r="F78" s="39">
        <f t="shared" si="9"/>
        <v>1806.2000000000005</v>
      </c>
      <c r="G78" s="39">
        <f t="shared" si="10"/>
        <v>28293.8</v>
      </c>
      <c r="H78" s="175">
        <f t="shared" si="11"/>
        <v>6.3837307113219166E-2</v>
      </c>
      <c r="I78" s="39"/>
      <c r="J78" s="39">
        <v>1806.2000000000005</v>
      </c>
      <c r="K78" s="39"/>
      <c r="L78" s="39">
        <v>8.6</v>
      </c>
    </row>
    <row r="79" spans="1:12" x14ac:dyDescent="0.25">
      <c r="A79" s="4">
        <v>600</v>
      </c>
      <c r="B79" s="161">
        <v>43476</v>
      </c>
      <c r="C79" s="10">
        <v>800</v>
      </c>
      <c r="D79" s="39">
        <v>27.654900000000001</v>
      </c>
      <c r="E79" s="39">
        <v>30.87</v>
      </c>
      <c r="F79" s="39">
        <f t="shared" si="9"/>
        <v>2572.08</v>
      </c>
      <c r="G79" s="39">
        <f t="shared" si="10"/>
        <v>22123.920000000002</v>
      </c>
      <c r="H79" s="175">
        <f t="shared" si="11"/>
        <v>0.11625787835067201</v>
      </c>
      <c r="I79" s="39"/>
      <c r="J79" s="39">
        <v>2572.08</v>
      </c>
      <c r="K79" s="39"/>
      <c r="L79" s="39">
        <v>8.82</v>
      </c>
    </row>
    <row r="80" spans="1:12" x14ac:dyDescent="0.25">
      <c r="A80" s="4">
        <v>600</v>
      </c>
      <c r="B80" s="161">
        <v>43491</v>
      </c>
      <c r="C80" s="10">
        <v>800</v>
      </c>
      <c r="D80" s="39">
        <v>27.65</v>
      </c>
      <c r="E80" s="39">
        <v>30.66</v>
      </c>
      <c r="F80" s="39">
        <f t="shared" si="9"/>
        <v>2408.0000000000014</v>
      </c>
      <c r="G80" s="39">
        <f t="shared" si="10"/>
        <v>22120</v>
      </c>
      <c r="H80" s="175">
        <f t="shared" si="11"/>
        <v>0.10886075949367095</v>
      </c>
      <c r="I80" s="39"/>
      <c r="J80" s="39">
        <v>2408.0000000000014</v>
      </c>
      <c r="K80" s="39"/>
      <c r="L80" s="39"/>
    </row>
    <row r="81" spans="1:13" x14ac:dyDescent="0.25">
      <c r="A81" s="4">
        <v>600</v>
      </c>
      <c r="B81" s="161">
        <v>43498</v>
      </c>
      <c r="C81" s="10">
        <v>800</v>
      </c>
      <c r="D81" s="39">
        <v>27.1449</v>
      </c>
      <c r="E81" s="39">
        <v>30</v>
      </c>
      <c r="F81" s="39">
        <f t="shared" si="9"/>
        <v>2284.08</v>
      </c>
      <c r="G81" s="39">
        <f t="shared" si="10"/>
        <v>21715.919999999998</v>
      </c>
      <c r="H81" s="175">
        <f t="shared" si="11"/>
        <v>0.10517997855950842</v>
      </c>
      <c r="I81" s="39"/>
      <c r="J81" s="39">
        <v>2284.08</v>
      </c>
      <c r="K81" s="39"/>
      <c r="L81" s="39">
        <v>8.57</v>
      </c>
    </row>
    <row r="82" spans="1:13" x14ac:dyDescent="0.25">
      <c r="A82" s="4">
        <v>600</v>
      </c>
      <c r="B82" s="161">
        <v>43503</v>
      </c>
      <c r="C82" s="10">
        <v>1000</v>
      </c>
      <c r="D82" s="39">
        <v>27.515899999999998</v>
      </c>
      <c r="E82" s="39">
        <v>29.45</v>
      </c>
      <c r="F82" s="39">
        <f t="shared" si="9"/>
        <v>1934.1000000000008</v>
      </c>
      <c r="G82" s="39">
        <f t="shared" si="10"/>
        <v>27515.899999999998</v>
      </c>
      <c r="H82" s="175">
        <f t="shared" si="11"/>
        <v>7.0290268535646697E-2</v>
      </c>
      <c r="I82" s="39"/>
      <c r="J82" s="39">
        <v>1934.1000000000008</v>
      </c>
      <c r="K82" s="39"/>
      <c r="L82" s="39">
        <v>8.41</v>
      </c>
    </row>
    <row r="83" spans="1:13" x14ac:dyDescent="0.25">
      <c r="A83" s="4">
        <v>400</v>
      </c>
      <c r="B83" s="161">
        <v>43511</v>
      </c>
      <c r="C83" s="7">
        <v>600</v>
      </c>
      <c r="D83" s="43">
        <v>25.6267</v>
      </c>
      <c r="E83" s="39">
        <v>30.47</v>
      </c>
      <c r="F83" s="39">
        <f t="shared" si="9"/>
        <v>2905.9799999999996</v>
      </c>
      <c r="G83" s="39">
        <f t="shared" si="10"/>
        <v>15376.02</v>
      </c>
      <c r="H83" s="175">
        <f t="shared" si="11"/>
        <v>0.18899429111044339</v>
      </c>
      <c r="I83" s="39"/>
      <c r="J83" s="39">
        <v>2905.9799999999996</v>
      </c>
      <c r="K83" s="39"/>
      <c r="L83" s="39">
        <v>8.7100000000000009</v>
      </c>
    </row>
    <row r="84" spans="1:13" x14ac:dyDescent="0.25">
      <c r="A84" s="4">
        <v>100</v>
      </c>
      <c r="B84" s="161">
        <v>43516</v>
      </c>
      <c r="C84" s="181">
        <v>300</v>
      </c>
      <c r="D84" s="182">
        <v>20.383900000000001</v>
      </c>
      <c r="E84" s="39">
        <v>30.87</v>
      </c>
      <c r="F84" s="39">
        <f t="shared" si="9"/>
        <v>3145.83</v>
      </c>
      <c r="G84" s="39">
        <f t="shared" si="10"/>
        <v>6115.17</v>
      </c>
      <c r="H84" s="175">
        <f t="shared" si="11"/>
        <v>0.5144305064290936</v>
      </c>
      <c r="I84" s="39"/>
      <c r="J84" s="39">
        <v>3145.83</v>
      </c>
      <c r="K84" s="39"/>
      <c r="L84" s="39">
        <v>8.82</v>
      </c>
    </row>
    <row r="85" spans="1:13" x14ac:dyDescent="0.25">
      <c r="A85" s="4">
        <v>300</v>
      </c>
      <c r="B85" s="161">
        <v>43535</v>
      </c>
      <c r="C85" s="10">
        <v>300</v>
      </c>
      <c r="D85" s="39">
        <v>20.38</v>
      </c>
      <c r="E85" s="39">
        <v>30.22</v>
      </c>
      <c r="F85" s="39">
        <f t="shared" si="9"/>
        <v>2952</v>
      </c>
      <c r="G85" s="39">
        <f t="shared" si="10"/>
        <v>6114</v>
      </c>
      <c r="H85" s="175">
        <f t="shared" si="11"/>
        <v>0.48282630029440632</v>
      </c>
      <c r="I85" s="39"/>
      <c r="J85" s="39">
        <v>2952</v>
      </c>
      <c r="K85" s="39"/>
      <c r="L85" s="39">
        <v>8.6300000000000008</v>
      </c>
    </row>
    <row r="86" spans="1:13" x14ac:dyDescent="0.25">
      <c r="A86" s="4">
        <v>300</v>
      </c>
      <c r="B86" s="161">
        <v>43545</v>
      </c>
      <c r="C86" s="10">
        <v>300</v>
      </c>
      <c r="D86" s="39">
        <v>20.38</v>
      </c>
      <c r="E86" s="39">
        <v>31.06</v>
      </c>
      <c r="F86" s="39">
        <f t="shared" si="9"/>
        <v>3204</v>
      </c>
      <c r="G86" s="39">
        <f t="shared" si="10"/>
        <v>6114</v>
      </c>
      <c r="H86" s="175">
        <f t="shared" si="11"/>
        <v>0.5240431795878312</v>
      </c>
      <c r="I86" s="39"/>
      <c r="J86" s="39">
        <v>3204</v>
      </c>
      <c r="K86" s="39"/>
      <c r="L86" s="39">
        <v>8.8699999999999992</v>
      </c>
    </row>
    <row r="87" spans="1:13" x14ac:dyDescent="0.25">
      <c r="A87" s="4"/>
      <c r="B87" s="161">
        <v>43526</v>
      </c>
      <c r="C87" s="10">
        <v>0</v>
      </c>
      <c r="D87" s="39">
        <v>20.38</v>
      </c>
      <c r="E87" s="39">
        <v>31.07</v>
      </c>
      <c r="F87" s="39">
        <f t="shared" si="9"/>
        <v>0</v>
      </c>
      <c r="G87" s="39">
        <f t="shared" si="10"/>
        <v>0</v>
      </c>
      <c r="H87" s="175">
        <f t="shared" si="11"/>
        <v>0.52453385672227681</v>
      </c>
      <c r="I87" s="39"/>
      <c r="J87" s="39">
        <v>3232.72</v>
      </c>
      <c r="K87" s="39"/>
      <c r="L87" s="39">
        <v>8.8800000000000008</v>
      </c>
    </row>
    <row r="88" spans="1:13" x14ac:dyDescent="0.25">
      <c r="A88" s="4"/>
      <c r="B88" s="161"/>
      <c r="C88" s="10"/>
      <c r="D88" s="39"/>
      <c r="E88" s="39"/>
      <c r="F88" s="39"/>
      <c r="G88" s="39"/>
      <c r="H88" s="175"/>
      <c r="I88" s="39"/>
      <c r="J88" s="39"/>
      <c r="K88" s="39"/>
      <c r="L88" s="39"/>
    </row>
    <row r="89" spans="1:13" x14ac:dyDescent="0.25">
      <c r="A89" s="4"/>
      <c r="B89" s="161"/>
      <c r="C89" s="10"/>
      <c r="D89" s="39"/>
      <c r="E89" s="39"/>
      <c r="F89" s="39"/>
      <c r="G89" s="39"/>
      <c r="H89" s="175"/>
      <c r="I89" s="39"/>
      <c r="J89" s="39"/>
      <c r="K89" s="39"/>
      <c r="L89" s="39"/>
    </row>
    <row r="90" spans="1:13" x14ac:dyDescent="0.25">
      <c r="A90" s="4"/>
      <c r="B90" s="161"/>
      <c r="C90" s="10"/>
      <c r="D90" s="39"/>
      <c r="E90" s="39"/>
      <c r="F90" s="39"/>
      <c r="G90" s="39"/>
      <c r="H90" s="175"/>
      <c r="I90" s="39"/>
      <c r="J90" s="39"/>
      <c r="K90" s="39"/>
      <c r="L90" s="39"/>
    </row>
    <row r="91" spans="1:13" x14ac:dyDescent="0.25">
      <c r="A91" s="4"/>
      <c r="B91" s="69"/>
      <c r="C91" s="4"/>
      <c r="D91" s="3"/>
      <c r="E91" s="3"/>
      <c r="F91" s="3"/>
      <c r="G91" s="3"/>
      <c r="H91" s="212"/>
      <c r="I91" s="3"/>
      <c r="J91" s="3"/>
      <c r="K91" s="3"/>
      <c r="L91" s="4"/>
    </row>
    <row r="92" spans="1:13" x14ac:dyDescent="0.25">
      <c r="A92" s="4"/>
      <c r="B92" s="4"/>
      <c r="C92" s="4"/>
      <c r="D92" s="3"/>
      <c r="E92" s="3"/>
      <c r="F92" s="3"/>
      <c r="G92" s="4"/>
      <c r="H92" s="4"/>
      <c r="I92" s="3"/>
      <c r="J92" s="3"/>
      <c r="K92" s="3"/>
      <c r="L92" s="4"/>
    </row>
    <row r="93" spans="1:13" x14ac:dyDescent="0.25">
      <c r="A93" s="4"/>
      <c r="B93" s="4"/>
      <c r="C93" s="4"/>
      <c r="D93" s="3"/>
      <c r="E93" s="3"/>
      <c r="F93" s="3"/>
      <c r="G93" s="4"/>
      <c r="H93" s="4"/>
      <c r="I93" s="3"/>
      <c r="J93" s="3"/>
      <c r="K93" s="3"/>
      <c r="L93" s="4"/>
    </row>
    <row r="94" spans="1:13" x14ac:dyDescent="0.25">
      <c r="A94" s="478"/>
      <c r="B94" s="478"/>
      <c r="C94" s="478"/>
      <c r="D94" s="479"/>
      <c r="E94" s="479"/>
      <c r="F94" s="479"/>
      <c r="G94" s="478"/>
      <c r="H94" s="478"/>
      <c r="I94" s="479"/>
      <c r="J94" s="479"/>
      <c r="K94" s="479"/>
      <c r="L94" s="478" t="s">
        <v>65</v>
      </c>
      <c r="M94" s="479">
        <f>M112+K112-F112</f>
        <v>0</v>
      </c>
    </row>
    <row r="95" spans="1:13" x14ac:dyDescent="0.25">
      <c r="A95" s="597" t="s">
        <v>1</v>
      </c>
      <c r="B95" s="597" t="s">
        <v>2</v>
      </c>
      <c r="C95" s="597" t="s">
        <v>4</v>
      </c>
      <c r="D95" s="598" t="s">
        <v>5</v>
      </c>
      <c r="E95" s="598" t="s">
        <v>94</v>
      </c>
      <c r="F95" s="598" t="s">
        <v>60</v>
      </c>
      <c r="G95" s="597" t="s">
        <v>3</v>
      </c>
      <c r="H95" s="597" t="s">
        <v>6</v>
      </c>
      <c r="I95" s="598" t="s">
        <v>7</v>
      </c>
      <c r="J95" s="598" t="s">
        <v>95</v>
      </c>
      <c r="K95" s="598" t="s">
        <v>61</v>
      </c>
      <c r="L95" s="597" t="s">
        <v>37</v>
      </c>
      <c r="M95" s="597" t="s">
        <v>38</v>
      </c>
    </row>
    <row r="96" spans="1:13" x14ac:dyDescent="0.25">
      <c r="A96" s="599" t="s">
        <v>849</v>
      </c>
      <c r="B96" s="481"/>
      <c r="C96" s="478"/>
      <c r="D96" s="479"/>
      <c r="E96" s="479"/>
      <c r="F96" s="479"/>
      <c r="G96" s="481"/>
      <c r="H96" s="478"/>
      <c r="I96" s="479"/>
      <c r="J96" s="479"/>
      <c r="K96" s="479"/>
      <c r="L96" s="481"/>
      <c r="M96" s="479"/>
    </row>
    <row r="97" spans="1:13" x14ac:dyDescent="0.25">
      <c r="A97" s="600"/>
      <c r="B97" s="481"/>
      <c r="C97" s="478"/>
      <c r="D97" s="479"/>
      <c r="E97" s="479"/>
      <c r="F97" s="479"/>
      <c r="G97" s="481"/>
      <c r="H97" s="480"/>
      <c r="I97" s="479"/>
      <c r="J97" s="479"/>
      <c r="K97" s="479"/>
      <c r="L97" s="478"/>
      <c r="M97" s="478"/>
    </row>
    <row r="98" spans="1:13" x14ac:dyDescent="0.25">
      <c r="A98" s="478"/>
      <c r="B98" s="481"/>
      <c r="C98" s="478"/>
      <c r="D98" s="479"/>
      <c r="E98" s="479"/>
      <c r="F98" s="479"/>
      <c r="G98" s="481"/>
      <c r="H98" s="480"/>
      <c r="I98" s="479"/>
      <c r="J98" s="479"/>
      <c r="K98" s="479"/>
      <c r="L98" s="478"/>
      <c r="M98" s="478"/>
    </row>
    <row r="99" spans="1:13" x14ac:dyDescent="0.25">
      <c r="A99" s="478"/>
      <c r="B99" s="481"/>
      <c r="C99" s="478"/>
      <c r="D99" s="479"/>
      <c r="E99" s="479"/>
      <c r="F99" s="479"/>
      <c r="G99" s="478"/>
      <c r="H99" s="480"/>
      <c r="I99" s="479"/>
      <c r="J99" s="479"/>
      <c r="K99" s="479"/>
      <c r="L99" s="478"/>
      <c r="M99" s="478"/>
    </row>
    <row r="100" spans="1:13" x14ac:dyDescent="0.25">
      <c r="A100" s="478"/>
      <c r="B100" s="481"/>
      <c r="C100" s="478"/>
      <c r="D100" s="479"/>
      <c r="E100" s="479"/>
      <c r="F100" s="479"/>
      <c r="G100" s="478"/>
      <c r="H100" s="480"/>
      <c r="I100" s="479"/>
      <c r="J100" s="479"/>
      <c r="K100" s="479"/>
      <c r="L100" s="478"/>
      <c r="M100" s="478"/>
    </row>
    <row r="101" spans="1:13" x14ac:dyDescent="0.25">
      <c r="A101" s="478"/>
      <c r="B101" s="478"/>
      <c r="C101" s="478"/>
      <c r="D101" s="479"/>
      <c r="E101" s="479"/>
      <c r="F101" s="479"/>
      <c r="G101" s="478"/>
      <c r="H101" s="480"/>
      <c r="I101" s="479"/>
      <c r="J101" s="479"/>
      <c r="K101" s="479"/>
      <c r="L101" s="478"/>
      <c r="M101" s="478"/>
    </row>
    <row r="102" spans="1:13" x14ac:dyDescent="0.25">
      <c r="A102" s="478"/>
      <c r="B102" s="478"/>
      <c r="C102" s="478"/>
      <c r="D102" s="479"/>
      <c r="E102" s="479"/>
      <c r="F102" s="479"/>
      <c r="G102" s="478"/>
      <c r="H102" s="480"/>
      <c r="I102" s="479"/>
      <c r="J102" s="479"/>
      <c r="K102" s="479"/>
      <c r="L102" s="478"/>
      <c r="M102" s="478"/>
    </row>
    <row r="103" spans="1:13" x14ac:dyDescent="0.25">
      <c r="A103" s="478"/>
      <c r="B103" s="478"/>
      <c r="C103" s="478"/>
      <c r="D103" s="479"/>
      <c r="E103" s="479"/>
      <c r="F103" s="479"/>
      <c r="G103" s="478"/>
      <c r="H103" s="480"/>
      <c r="I103" s="479"/>
      <c r="J103" s="479"/>
      <c r="K103" s="479"/>
      <c r="L103" s="478"/>
      <c r="M103" s="478"/>
    </row>
    <row r="104" spans="1:13" x14ac:dyDescent="0.25">
      <c r="A104" s="478"/>
      <c r="B104" s="478"/>
      <c r="C104" s="478"/>
      <c r="D104" s="479"/>
      <c r="E104" s="479"/>
      <c r="F104" s="479"/>
      <c r="G104" s="478"/>
      <c r="H104" s="480"/>
      <c r="I104" s="479"/>
      <c r="J104" s="479"/>
      <c r="K104" s="479"/>
      <c r="L104" s="478"/>
      <c r="M104" s="478"/>
    </row>
    <row r="105" spans="1:13" x14ac:dyDescent="0.25">
      <c r="A105" s="478"/>
      <c r="B105" s="478"/>
      <c r="C105" s="478"/>
      <c r="D105" s="479"/>
      <c r="E105" s="479"/>
      <c r="F105" s="479"/>
      <c r="G105" s="478"/>
      <c r="H105" s="480"/>
      <c r="I105" s="479"/>
      <c r="J105" s="479"/>
      <c r="K105" s="479"/>
      <c r="L105" s="478"/>
      <c r="M105" s="478"/>
    </row>
    <row r="106" spans="1:13" x14ac:dyDescent="0.25">
      <c r="A106" s="478"/>
      <c r="B106" s="478"/>
      <c r="C106" s="478"/>
      <c r="D106" s="479"/>
      <c r="E106" s="479"/>
      <c r="F106" s="479"/>
      <c r="G106" s="478"/>
      <c r="H106" s="480"/>
      <c r="I106" s="479"/>
      <c r="J106" s="479"/>
      <c r="K106" s="479"/>
      <c r="L106" s="478"/>
      <c r="M106" s="478"/>
    </row>
    <row r="107" spans="1:13" x14ac:dyDescent="0.25">
      <c r="A107" s="478"/>
      <c r="B107" s="478"/>
      <c r="C107" s="478"/>
      <c r="D107" s="479"/>
      <c r="E107" s="479"/>
      <c r="F107" s="479"/>
      <c r="G107" s="478"/>
      <c r="H107" s="480"/>
      <c r="I107" s="479"/>
      <c r="J107" s="479"/>
      <c r="K107" s="479"/>
      <c r="L107" s="478"/>
      <c r="M107" s="478"/>
    </row>
    <row r="108" spans="1:13" x14ac:dyDescent="0.25">
      <c r="A108" s="478"/>
      <c r="B108" s="478"/>
      <c r="C108" s="478"/>
      <c r="D108" s="479"/>
      <c r="E108" s="479"/>
      <c r="F108" s="479"/>
      <c r="G108" s="478"/>
      <c r="H108" s="480"/>
      <c r="I108" s="479"/>
      <c r="J108" s="479"/>
      <c r="K108" s="479"/>
      <c r="L108" s="478"/>
      <c r="M108" s="478"/>
    </row>
    <row r="109" spans="1:13" x14ac:dyDescent="0.25">
      <c r="A109" s="478"/>
      <c r="B109" s="478"/>
      <c r="C109" s="478"/>
      <c r="D109" s="479"/>
      <c r="E109" s="479"/>
      <c r="F109" s="479"/>
      <c r="G109" s="478"/>
      <c r="H109" s="480"/>
      <c r="I109" s="479"/>
      <c r="J109" s="479"/>
      <c r="K109" s="479"/>
      <c r="L109" s="478"/>
      <c r="M109" s="478"/>
    </row>
    <row r="110" spans="1:13" x14ac:dyDescent="0.25">
      <c r="A110" s="478"/>
      <c r="B110" s="478"/>
      <c r="C110" s="478"/>
      <c r="D110" s="479"/>
      <c r="E110" s="479"/>
      <c r="F110" s="479"/>
      <c r="G110" s="478"/>
      <c r="H110" s="480"/>
      <c r="I110" s="479"/>
      <c r="J110" s="479"/>
      <c r="K110" s="479"/>
      <c r="L110" s="478"/>
      <c r="M110" s="478"/>
    </row>
    <row r="111" spans="1:13" x14ac:dyDescent="0.25">
      <c r="A111" s="478"/>
      <c r="B111" s="478"/>
      <c r="C111" s="478"/>
      <c r="D111" s="479"/>
      <c r="E111" s="479"/>
      <c r="F111" s="479"/>
      <c r="G111" s="478"/>
      <c r="H111" s="478"/>
      <c r="I111" s="479"/>
      <c r="J111" s="479"/>
      <c r="K111" s="479"/>
      <c r="L111" s="478"/>
      <c r="M111" s="478"/>
    </row>
    <row r="112" spans="1:13" x14ac:dyDescent="0.25">
      <c r="A112" s="601" t="s">
        <v>81</v>
      </c>
      <c r="B112" s="602"/>
      <c r="C112" s="602">
        <f>SUM(C96:C100)</f>
        <v>0</v>
      </c>
      <c r="D112" s="603"/>
      <c r="E112" s="603"/>
      <c r="F112" s="603">
        <f>SUM(F96:F100)</f>
        <v>0</v>
      </c>
      <c r="G112" s="602"/>
      <c r="H112" s="604">
        <f>SUM(H96:H99)</f>
        <v>0</v>
      </c>
      <c r="I112" s="603"/>
      <c r="J112" s="603"/>
      <c r="K112" s="603">
        <f>SUM(K96:K99)</f>
        <v>0</v>
      </c>
      <c r="L112" s="602"/>
      <c r="M112" s="603">
        <f>SUM(M96:M104)</f>
        <v>0</v>
      </c>
    </row>
    <row r="113" spans="1:13" ht="15.75" thickBot="1" x14ac:dyDescent="0.3">
      <c r="A113" s="605" t="s">
        <v>189</v>
      </c>
      <c r="B113" s="637"/>
      <c r="C113" s="606">
        <f>SumByColor($A$26,C96:C111)</f>
        <v>0</v>
      </c>
      <c r="D113" s="606"/>
      <c r="E113" s="606"/>
      <c r="F113" s="607">
        <f>SumByColor($A$26,F96:F111)</f>
        <v>0</v>
      </c>
      <c r="G113" s="606"/>
      <c r="H113" s="606">
        <f>SumByColor($A$26,H96:H111)</f>
        <v>0</v>
      </c>
      <c r="I113" s="606"/>
      <c r="J113" s="606"/>
      <c r="K113" s="607">
        <f>SumByColor($A$26,K97:K111)</f>
        <v>0</v>
      </c>
      <c r="L113" s="606"/>
      <c r="M113" s="607">
        <f>SumByColor($A$26,M96:M111)</f>
        <v>0</v>
      </c>
    </row>
    <row r="116" spans="1:13" x14ac:dyDescent="0.25">
      <c r="B116" s="159" t="s">
        <v>113</v>
      </c>
      <c r="C116" s="159" t="s">
        <v>143</v>
      </c>
      <c r="D116" s="160" t="s">
        <v>142</v>
      </c>
      <c r="E116" s="162" t="s">
        <v>144</v>
      </c>
      <c r="F116" s="162" t="s">
        <v>65</v>
      </c>
      <c r="G116" s="173" t="s">
        <v>148</v>
      </c>
      <c r="H116" s="173" t="s">
        <v>88</v>
      </c>
      <c r="I116" s="173" t="s">
        <v>151</v>
      </c>
      <c r="J116" s="173"/>
      <c r="K116" s="173" t="s">
        <v>601</v>
      </c>
      <c r="L116" s="173" t="s">
        <v>607</v>
      </c>
    </row>
    <row r="117" spans="1:13" x14ac:dyDescent="0.25">
      <c r="B117" s="161"/>
      <c r="C117" s="10"/>
      <c r="D117" s="39"/>
      <c r="E117" s="39"/>
      <c r="F117" s="39"/>
      <c r="G117" s="39"/>
      <c r="H117" s="175"/>
      <c r="I117" s="39"/>
      <c r="J117" s="39"/>
      <c r="K117" s="39"/>
      <c r="L117" s="39"/>
    </row>
    <row r="118" spans="1:13" x14ac:dyDescent="0.25">
      <c r="B118" s="161"/>
      <c r="C118" s="10"/>
      <c r="D118" s="39"/>
      <c r="E118" s="39"/>
      <c r="F118" s="39"/>
      <c r="G118" s="39"/>
      <c r="H118" s="175"/>
      <c r="I118" s="39"/>
      <c r="J118" s="39"/>
      <c r="K118" s="39"/>
      <c r="L118" s="39"/>
    </row>
    <row r="119" spans="1:13" x14ac:dyDescent="0.25">
      <c r="B119" s="161"/>
      <c r="C119" s="10"/>
      <c r="D119" s="39"/>
      <c r="E119" s="39"/>
      <c r="F119" s="39"/>
      <c r="G119" s="39"/>
      <c r="H119" s="175"/>
      <c r="I119" s="39"/>
      <c r="J119" s="39"/>
      <c r="K119" s="39"/>
      <c r="L119" s="152"/>
    </row>
    <row r="120" spans="1:13" x14ac:dyDescent="0.25">
      <c r="B120" s="161"/>
      <c r="C120" s="10"/>
      <c r="D120" s="39"/>
      <c r="E120" s="39"/>
      <c r="F120" s="39"/>
      <c r="G120" s="39"/>
      <c r="H120" s="175"/>
      <c r="I120" s="39"/>
      <c r="J120" s="39"/>
      <c r="K120" s="39"/>
      <c r="L120" s="152"/>
    </row>
    <row r="121" spans="1:13" x14ac:dyDescent="0.25">
      <c r="B121" s="161"/>
      <c r="C121" s="10"/>
      <c r="D121" s="39"/>
      <c r="E121" s="39"/>
      <c r="F121" s="39"/>
      <c r="G121" s="39"/>
      <c r="H121" s="175"/>
      <c r="I121" s="39"/>
      <c r="J121" s="39"/>
      <c r="K121" s="39"/>
      <c r="L121" s="152"/>
    </row>
    <row r="122" spans="1:13" x14ac:dyDescent="0.25">
      <c r="B122" s="161"/>
      <c r="C122" s="10"/>
      <c r="D122" s="39"/>
      <c r="E122" s="39"/>
      <c r="F122" s="39"/>
      <c r="G122" s="39"/>
      <c r="H122" s="175"/>
      <c r="I122" s="39"/>
      <c r="J122" s="39"/>
      <c r="K122" s="39"/>
      <c r="L122" s="152"/>
    </row>
    <row r="123" spans="1:13" x14ac:dyDescent="0.25">
      <c r="B123" s="161"/>
      <c r="C123" s="10"/>
      <c r="D123" s="39"/>
      <c r="E123" s="39"/>
      <c r="F123" s="39"/>
      <c r="G123" s="39"/>
      <c r="H123" s="175"/>
      <c r="I123" s="39"/>
      <c r="J123" s="39"/>
      <c r="K123" s="39"/>
      <c r="L123" s="152"/>
    </row>
    <row r="124" spans="1:13" x14ac:dyDescent="0.25">
      <c r="B124" s="161"/>
      <c r="C124" s="10"/>
      <c r="D124" s="39"/>
      <c r="E124" s="39"/>
      <c r="F124" s="39"/>
      <c r="G124" s="39"/>
      <c r="H124" s="175"/>
      <c r="I124" s="39"/>
      <c r="J124" s="39"/>
      <c r="K124" s="39"/>
      <c r="L124" s="152"/>
    </row>
    <row r="125" spans="1:13" x14ac:dyDescent="0.25">
      <c r="B125" s="161"/>
      <c r="C125" s="10"/>
      <c r="D125" s="39"/>
      <c r="E125" s="39"/>
      <c r="F125" s="39"/>
      <c r="G125" s="39"/>
      <c r="H125" s="175"/>
      <c r="I125" s="39"/>
      <c r="J125" s="39"/>
      <c r="K125" s="39"/>
      <c r="L125" s="152"/>
    </row>
    <row r="126" spans="1:13" x14ac:dyDescent="0.25">
      <c r="B126" s="161"/>
      <c r="C126" s="10"/>
      <c r="D126" s="39"/>
      <c r="E126" s="39"/>
      <c r="F126" s="39"/>
      <c r="G126" s="39"/>
      <c r="H126" s="175"/>
      <c r="I126" s="39"/>
      <c r="J126" s="39"/>
      <c r="K126" s="39"/>
      <c r="L126" s="152"/>
    </row>
    <row r="127" spans="1:13" x14ac:dyDescent="0.25">
      <c r="B127" s="161"/>
      <c r="C127" s="10"/>
      <c r="D127" s="39"/>
      <c r="E127" s="39"/>
      <c r="F127" s="39"/>
      <c r="G127" s="39"/>
      <c r="H127" s="175"/>
      <c r="I127" s="39"/>
      <c r="J127" s="39"/>
      <c r="K127" s="39"/>
      <c r="L127" s="152"/>
    </row>
    <row r="128" spans="1:13" x14ac:dyDescent="0.25">
      <c r="B128" s="161"/>
      <c r="C128" s="10"/>
      <c r="D128" s="39"/>
      <c r="E128" s="39"/>
      <c r="F128" s="39"/>
      <c r="G128" s="39"/>
      <c r="H128" s="175"/>
      <c r="I128" s="39"/>
      <c r="J128" s="39"/>
      <c r="K128" s="39"/>
      <c r="L128" s="39"/>
    </row>
    <row r="129" spans="2:12" x14ac:dyDescent="0.25">
      <c r="B129" s="161"/>
      <c r="C129" s="10"/>
      <c r="D129" s="39"/>
      <c r="E129" s="39"/>
      <c r="F129" s="39"/>
      <c r="G129" s="39"/>
      <c r="H129" s="175"/>
      <c r="I129" s="39"/>
      <c r="J129" s="39"/>
      <c r="K129" s="39"/>
      <c r="L129" s="39"/>
    </row>
    <row r="130" spans="2:12" x14ac:dyDescent="0.25">
      <c r="B130" s="161"/>
      <c r="C130" s="10"/>
      <c r="D130" s="39"/>
      <c r="E130" s="39"/>
      <c r="F130" s="39"/>
      <c r="G130" s="39"/>
      <c r="H130" s="175"/>
      <c r="I130" s="39"/>
      <c r="J130" s="39"/>
      <c r="K130" s="39"/>
      <c r="L130" s="39"/>
    </row>
    <row r="131" spans="2:12" x14ac:dyDescent="0.25">
      <c r="B131" s="161"/>
      <c r="C131" s="10"/>
      <c r="D131" s="39"/>
      <c r="E131" s="39"/>
      <c r="F131" s="39"/>
      <c r="G131" s="39"/>
      <c r="H131" s="175"/>
      <c r="I131" s="39"/>
      <c r="J131" s="39"/>
      <c r="K131" s="39"/>
      <c r="L131" s="39"/>
    </row>
    <row r="132" spans="2:12" x14ac:dyDescent="0.25">
      <c r="B132" s="161"/>
      <c r="C132" s="10"/>
      <c r="D132" s="39"/>
      <c r="E132" s="39"/>
      <c r="F132" s="39"/>
      <c r="G132" s="39"/>
      <c r="H132" s="175"/>
      <c r="I132" s="39"/>
      <c r="J132" s="39"/>
      <c r="K132" s="39"/>
      <c r="L132" s="39"/>
    </row>
    <row r="133" spans="2:12" x14ac:dyDescent="0.25">
      <c r="B133" s="161"/>
      <c r="C133" s="10"/>
      <c r="D133" s="39"/>
      <c r="E133" s="39"/>
      <c r="F133" s="39"/>
      <c r="G133" s="39"/>
      <c r="H133" s="175"/>
      <c r="I133" s="39"/>
      <c r="J133" s="39"/>
      <c r="K133" s="39"/>
      <c r="L133" s="39"/>
    </row>
    <row r="134" spans="2:12" x14ac:dyDescent="0.25">
      <c r="B134" s="161"/>
      <c r="C134" s="10"/>
      <c r="D134" s="39"/>
      <c r="E134" s="39"/>
      <c r="F134" s="39"/>
      <c r="G134" s="39"/>
      <c r="H134" s="175"/>
      <c r="I134" s="39"/>
      <c r="J134" s="39"/>
      <c r="K134" s="39"/>
      <c r="L134" s="39"/>
    </row>
    <row r="135" spans="2:12" x14ac:dyDescent="0.25">
      <c r="B135" s="161"/>
      <c r="C135" s="10"/>
      <c r="D135" s="39"/>
      <c r="E135" s="39"/>
      <c r="F135" s="39"/>
      <c r="G135" s="39"/>
      <c r="H135" s="175"/>
      <c r="I135" s="39"/>
      <c r="J135" s="39"/>
      <c r="K135" s="39"/>
      <c r="L135" s="39"/>
    </row>
    <row r="136" spans="2:12" x14ac:dyDescent="0.25">
      <c r="B136" s="161"/>
      <c r="C136" s="10"/>
      <c r="D136" s="39"/>
      <c r="E136" s="39"/>
      <c r="F136" s="39"/>
      <c r="G136" s="39"/>
      <c r="H136" s="175"/>
      <c r="I136" s="39"/>
      <c r="J136" s="39"/>
      <c r="K136" s="39"/>
      <c r="L136" s="39"/>
    </row>
    <row r="137" spans="2:12" x14ac:dyDescent="0.25">
      <c r="B137" s="161"/>
      <c r="C137" s="10"/>
      <c r="D137" s="39"/>
      <c r="E137" s="39"/>
      <c r="F137" s="39"/>
      <c r="G137" s="39"/>
      <c r="H137" s="175"/>
      <c r="I137" s="39"/>
      <c r="J137" s="39"/>
      <c r="K137" s="39"/>
      <c r="L137" s="39"/>
    </row>
    <row r="138" spans="2:12" x14ac:dyDescent="0.25">
      <c r="B138" s="161"/>
      <c r="C138" s="10"/>
      <c r="D138" s="39"/>
      <c r="E138" s="39"/>
      <c r="F138" s="39"/>
      <c r="G138" s="39"/>
      <c r="H138" s="175"/>
      <c r="I138" s="39"/>
      <c r="J138" s="39"/>
      <c r="K138" s="39"/>
      <c r="L138" s="39"/>
    </row>
  </sheetData>
  <mergeCells count="2">
    <mergeCell ref="O17:P17"/>
    <mergeCell ref="A12:A14"/>
  </mergeCells>
  <conditionalFormatting sqref="O18:O38">
    <cfRule type="colorScale" priority="70">
      <colorScale>
        <cfvo type="min"/>
        <cfvo type="percentile" val="50"/>
        <cfvo type="max"/>
        <color rgb="FFF8696B"/>
        <color rgb="FFFFEB84"/>
        <color rgb="FF63BE7B"/>
      </colorScale>
    </cfRule>
  </conditionalFormatting>
  <conditionalFormatting sqref="P18:P38">
    <cfRule type="colorScale" priority="69">
      <colorScale>
        <cfvo type="min"/>
        <cfvo type="percentile" val="50"/>
        <cfvo type="max"/>
        <color rgb="FFF8696B"/>
        <color rgb="FFFFEB84"/>
        <color rgb="FF63BE7B"/>
      </colorScale>
    </cfRule>
  </conditionalFormatting>
  <conditionalFormatting sqref="F37:F66 H37:H66 H73 F73 F78 H78 H88:H91 F88:F91">
    <cfRule type="expression" dxfId="681" priority="67">
      <formula>F37&gt;0</formula>
    </cfRule>
    <cfRule type="expression" dxfId="680" priority="68">
      <formula>F37&lt;0</formula>
    </cfRule>
  </conditionalFormatting>
  <conditionalFormatting sqref="Q7">
    <cfRule type="expression" dxfId="679" priority="65">
      <formula>Q7&gt;0</formula>
    </cfRule>
    <cfRule type="expression" dxfId="678" priority="66">
      <formula>Q7&lt;0</formula>
    </cfRule>
  </conditionalFormatting>
  <conditionalFormatting sqref="Q8">
    <cfRule type="expression" dxfId="677" priority="63">
      <formula>Q8&gt;0</formula>
    </cfRule>
    <cfRule type="expression" dxfId="676" priority="64">
      <formula>Q8&lt;0</formula>
    </cfRule>
  </conditionalFormatting>
  <conditionalFormatting sqref="Q10">
    <cfRule type="expression" dxfId="675" priority="57">
      <formula>Q10&gt;0</formula>
    </cfRule>
    <cfRule type="expression" dxfId="674" priority="58">
      <formula>Q10&lt;0</formula>
    </cfRule>
  </conditionalFormatting>
  <conditionalFormatting sqref="H32:H36">
    <cfRule type="expression" dxfId="673" priority="37">
      <formula>H32&gt;0</formula>
    </cfRule>
    <cfRule type="expression" dxfId="672" priority="38">
      <formula>H32&lt;0</formula>
    </cfRule>
  </conditionalFormatting>
  <conditionalFormatting sqref="K32:K45">
    <cfRule type="expression" dxfId="671" priority="53">
      <formula>K32&gt;0</formula>
    </cfRule>
    <cfRule type="expression" dxfId="670" priority="54">
      <formula>K32&lt;0</formula>
    </cfRule>
  </conditionalFormatting>
  <conditionalFormatting sqref="L32:L40">
    <cfRule type="expression" dxfId="669" priority="51">
      <formula>L32&gt;0</formula>
    </cfRule>
    <cfRule type="expression" dxfId="668" priority="52">
      <formula>L32&lt;0</formula>
    </cfRule>
  </conditionalFormatting>
  <conditionalFormatting sqref="F117:F138">
    <cfRule type="expression" dxfId="667" priority="49">
      <formula>F117&gt;0</formula>
    </cfRule>
    <cfRule type="expression" dxfId="666" priority="50">
      <formula>F117&lt;0</formula>
    </cfRule>
  </conditionalFormatting>
  <conditionalFormatting sqref="H117:H138">
    <cfRule type="expression" dxfId="665" priority="47">
      <formula>H117&gt;0</formula>
    </cfRule>
    <cfRule type="expression" dxfId="664" priority="48">
      <formula>H117&lt;0</formula>
    </cfRule>
  </conditionalFormatting>
  <conditionalFormatting sqref="J117:J130">
    <cfRule type="expression" dxfId="663" priority="45">
      <formula>J117&gt;0</formula>
    </cfRule>
    <cfRule type="expression" dxfId="662" priority="46">
      <formula>J117&lt;0</formula>
    </cfRule>
  </conditionalFormatting>
  <conditionalFormatting sqref="K117:K130">
    <cfRule type="expression" dxfId="661" priority="43">
      <formula>K117&gt;0</formula>
    </cfRule>
    <cfRule type="expression" dxfId="660" priority="44">
      <formula>K117&lt;0</formula>
    </cfRule>
  </conditionalFormatting>
  <conditionalFormatting sqref="L117:L130">
    <cfRule type="expression" dxfId="659" priority="41">
      <formula>L117&gt;0</formula>
    </cfRule>
    <cfRule type="expression" dxfId="658" priority="42">
      <formula>L117&lt;0</formula>
    </cfRule>
  </conditionalFormatting>
  <conditionalFormatting sqref="F32:F36">
    <cfRule type="expression" dxfId="657" priority="39">
      <formula>F32&gt;0</formula>
    </cfRule>
    <cfRule type="expression" dxfId="656" priority="40">
      <formula>F32&lt;0</formula>
    </cfRule>
  </conditionalFormatting>
  <conditionalFormatting sqref="Q9">
    <cfRule type="expression" dxfId="655" priority="35">
      <formula>Q9&gt;0</formula>
    </cfRule>
    <cfRule type="expression" dxfId="654" priority="36">
      <formula>Q9&lt;0</formula>
    </cfRule>
  </conditionalFormatting>
  <conditionalFormatting sqref="H67:H69 F67:F69">
    <cfRule type="expression" dxfId="653" priority="33">
      <formula>F67&gt;0</formula>
    </cfRule>
    <cfRule type="expression" dxfId="652" priority="34">
      <formula>F67&lt;0</formula>
    </cfRule>
  </conditionalFormatting>
  <conditionalFormatting sqref="H70:H72 F70:F72">
    <cfRule type="expression" dxfId="651" priority="31">
      <formula>F70&gt;0</formula>
    </cfRule>
    <cfRule type="expression" dxfId="650" priority="32">
      <formula>F70&lt;0</formula>
    </cfRule>
  </conditionalFormatting>
  <conditionalFormatting sqref="F77 H77">
    <cfRule type="expression" dxfId="649" priority="27">
      <formula>F77&gt;0</formula>
    </cfRule>
    <cfRule type="expression" dxfId="648" priority="28">
      <formula>F77&lt;0</formula>
    </cfRule>
  </conditionalFormatting>
  <conditionalFormatting sqref="F74:F76 H74:H76">
    <cfRule type="expression" dxfId="647" priority="25">
      <formula>F74&gt;0</formula>
    </cfRule>
    <cfRule type="expression" dxfId="646" priority="26">
      <formula>F74&lt;0</formula>
    </cfRule>
  </conditionalFormatting>
  <conditionalFormatting sqref="H79:H81 F79:F81">
    <cfRule type="expression" dxfId="645" priority="23">
      <formula>F79&gt;0</formula>
    </cfRule>
    <cfRule type="expression" dxfId="644" priority="24">
      <formula>F79&lt;0</formula>
    </cfRule>
  </conditionalFormatting>
  <conditionalFormatting sqref="H82:H84 F82:F84">
    <cfRule type="expression" dxfId="643" priority="21">
      <formula>F82&gt;0</formula>
    </cfRule>
    <cfRule type="expression" dxfId="642" priority="22">
      <formula>F82&lt;0</formula>
    </cfRule>
  </conditionalFormatting>
  <conditionalFormatting sqref="H85:H87 F85:F87">
    <cfRule type="expression" dxfId="641" priority="19">
      <formula>F85&gt;0</formula>
    </cfRule>
    <cfRule type="expression" dxfId="640" priority="20">
      <formula>F85&lt;0</formula>
    </cfRule>
  </conditionalFormatting>
  <conditionalFormatting sqref="J37:J66 J73 J78">
    <cfRule type="expression" dxfId="639" priority="17">
      <formula>J37&gt;0</formula>
    </cfRule>
    <cfRule type="expression" dxfId="638" priority="18">
      <formula>J37&lt;0</formula>
    </cfRule>
  </conditionalFormatting>
  <conditionalFormatting sqref="J32:J36">
    <cfRule type="expression" dxfId="637" priority="15">
      <formula>J32&gt;0</formula>
    </cfRule>
    <cfRule type="expression" dxfId="636" priority="16">
      <formula>J32&lt;0</formula>
    </cfRule>
  </conditionalFormatting>
  <conditionalFormatting sqref="J67:J69">
    <cfRule type="expression" dxfId="635" priority="13">
      <formula>J67&gt;0</formula>
    </cfRule>
    <cfRule type="expression" dxfId="634" priority="14">
      <formula>J67&lt;0</formula>
    </cfRule>
  </conditionalFormatting>
  <conditionalFormatting sqref="J70:J72">
    <cfRule type="expression" dxfId="633" priority="11">
      <formula>J70&gt;0</formula>
    </cfRule>
    <cfRule type="expression" dxfId="632" priority="12">
      <formula>J70&lt;0</formula>
    </cfRule>
  </conditionalFormatting>
  <conditionalFormatting sqref="J77">
    <cfRule type="expression" dxfId="631" priority="9">
      <formula>J77&gt;0</formula>
    </cfRule>
    <cfRule type="expression" dxfId="630" priority="10">
      <formula>J77&lt;0</formula>
    </cfRule>
  </conditionalFormatting>
  <conditionalFormatting sqref="J74:J76">
    <cfRule type="expression" dxfId="629" priority="7">
      <formula>J74&gt;0</formula>
    </cfRule>
    <cfRule type="expression" dxfId="628" priority="8">
      <formula>J74&lt;0</formula>
    </cfRule>
  </conditionalFormatting>
  <conditionalFormatting sqref="J79:J81">
    <cfRule type="expression" dxfId="627" priority="5">
      <formula>J79&gt;0</formula>
    </cfRule>
    <cfRule type="expression" dxfId="626" priority="6">
      <formula>J79&lt;0</formula>
    </cfRule>
  </conditionalFormatting>
  <conditionalFormatting sqref="J82:J84">
    <cfRule type="expression" dxfId="625" priority="3">
      <formula>J82&gt;0</formula>
    </cfRule>
    <cfRule type="expression" dxfId="624" priority="4">
      <formula>J82&lt;0</formula>
    </cfRule>
  </conditionalFormatting>
  <conditionalFormatting sqref="J85:J87">
    <cfRule type="expression" dxfId="623" priority="1">
      <formula>J85&gt;0</formula>
    </cfRule>
    <cfRule type="expression" dxfId="622" priority="2">
      <formula>J85&lt;0</formula>
    </cfRule>
  </conditionalFormatting>
  <hyperlinks>
    <hyperlink ref="A3" location="ACTIVE!A1" display="Back"/>
  </hyperlinks>
  <pageMargins left="0.7" right="0.7" top="0.75" bottom="0.75" header="0.3" footer="0.3"/>
  <pageSetup orientation="portrait" r:id="rId1"/>
  <drawing r:id="rId2"/>
</worksheet>
</file>

<file path=xl/worksheets/sheet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AE100"/>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20" max="20" width="18.5703125" bestFit="1" customWidth="1"/>
    <col min="21" max="21" width="37.28515625" customWidth="1"/>
    <col min="23" max="23" width="11.85546875" customWidth="1"/>
    <col min="24" max="24" width="8.140625" customWidth="1"/>
    <col min="25" max="27" width="7" bestFit="1" customWidth="1"/>
    <col min="28" max="28" width="10.140625" bestFit="1" customWidth="1"/>
    <col min="29" max="29" width="10.28515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63</v>
      </c>
      <c r="B2" s="69"/>
      <c r="C2" s="4"/>
      <c r="D2" s="3"/>
      <c r="E2" s="3"/>
      <c r="F2" s="3"/>
      <c r="G2" s="69"/>
      <c r="H2" s="158"/>
      <c r="I2" s="3"/>
      <c r="J2" s="3"/>
      <c r="K2" s="3"/>
      <c r="L2" s="69"/>
      <c r="M2" s="3"/>
      <c r="O2" s="11" t="s">
        <v>57</v>
      </c>
      <c r="Q2">
        <f>C18-H18</f>
        <v>0</v>
      </c>
      <c r="W2" s="127">
        <v>42830</v>
      </c>
      <c r="X2" s="10">
        <v>113.58</v>
      </c>
      <c r="Y2" s="10">
        <v>113.84</v>
      </c>
      <c r="Z2" s="10">
        <v>112.79</v>
      </c>
      <c r="AA2" s="10">
        <v>113</v>
      </c>
      <c r="AB2" s="90">
        <v>4735700</v>
      </c>
      <c r="AC2" s="10">
        <v>113</v>
      </c>
      <c r="AD2" s="2">
        <f>Y2-Z2</f>
        <v>1.0499999999999972</v>
      </c>
      <c r="AE2" s="131">
        <f>AC2/AC3-1</f>
        <v>-3.5385704175516786E-4</v>
      </c>
    </row>
    <row r="3" spans="1:31" x14ac:dyDescent="0.25">
      <c r="A3" s="22" t="s">
        <v>71</v>
      </c>
      <c r="B3" s="69"/>
      <c r="C3" s="4"/>
      <c r="D3" s="3"/>
      <c r="E3" s="3"/>
      <c r="F3" s="3"/>
      <c r="G3" s="69"/>
      <c r="H3" s="158"/>
      <c r="I3" s="3"/>
      <c r="J3" s="3"/>
      <c r="K3" s="3"/>
      <c r="L3" s="4"/>
      <c r="M3" s="4"/>
      <c r="O3" s="11" t="s">
        <v>58</v>
      </c>
      <c r="Q3" s="174">
        <f>IF(Q2=0, Q4, (F18-K18-M18)/Q2)</f>
        <v>132.46</v>
      </c>
      <c r="T3" s="1"/>
      <c r="W3" s="127">
        <v>42829</v>
      </c>
      <c r="X3" s="10">
        <v>113.15</v>
      </c>
      <c r="Y3" s="10">
        <v>113.55</v>
      </c>
      <c r="Z3" s="10">
        <v>112.83</v>
      </c>
      <c r="AA3" s="10">
        <v>113.04</v>
      </c>
      <c r="AB3" s="90">
        <v>3376900</v>
      </c>
      <c r="AC3" s="10">
        <v>113.04</v>
      </c>
      <c r="AD3" s="2">
        <f t="shared" ref="AD3:AD66" si="0">Y3-Z3</f>
        <v>0.71999999999999886</v>
      </c>
      <c r="AE3" s="131">
        <f t="shared" ref="AE3:AE66" si="1">AC3/AC4-1</f>
        <v>-1.4134275618373771E-3</v>
      </c>
    </row>
    <row r="4" spans="1:31" x14ac:dyDescent="0.25">
      <c r="B4" s="69"/>
      <c r="C4" s="4"/>
      <c r="D4" s="3"/>
      <c r="E4" s="3"/>
      <c r="F4" s="3"/>
      <c r="G4" s="69"/>
      <c r="H4" s="158"/>
      <c r="I4" s="3"/>
      <c r="J4" s="3"/>
      <c r="K4" s="3"/>
      <c r="L4" s="4"/>
      <c r="M4" s="4"/>
      <c r="O4" s="11" t="s">
        <v>66</v>
      </c>
      <c r="Q4" s="53">
        <v>132.46</v>
      </c>
      <c r="R4" s="396">
        <v>2.1899999999999999E-2</v>
      </c>
      <c r="T4" s="153"/>
      <c r="W4" s="127">
        <v>42828</v>
      </c>
      <c r="X4" s="10">
        <v>113.18</v>
      </c>
      <c r="Y4" s="10">
        <v>113.65</v>
      </c>
      <c r="Z4" s="10">
        <v>112.43</v>
      </c>
      <c r="AA4" s="10">
        <v>113.2</v>
      </c>
      <c r="AB4" s="90">
        <v>4643300</v>
      </c>
      <c r="AC4" s="10">
        <v>113.2</v>
      </c>
      <c r="AD4" s="2">
        <f t="shared" si="0"/>
        <v>1.2199999999999989</v>
      </c>
      <c r="AE4" s="131">
        <f t="shared" si="1"/>
        <v>-1.6756327718493447E-3</v>
      </c>
    </row>
    <row r="5" spans="1:31" x14ac:dyDescent="0.25">
      <c r="B5" s="69"/>
      <c r="C5" s="4"/>
      <c r="D5" s="3"/>
      <c r="E5" s="3"/>
      <c r="F5" s="3"/>
      <c r="G5" s="69"/>
      <c r="H5" s="158"/>
      <c r="I5" s="3"/>
      <c r="J5" s="3"/>
      <c r="K5" s="3"/>
      <c r="L5" s="4"/>
      <c r="M5" s="4"/>
      <c r="O5" s="11" t="s">
        <v>67</v>
      </c>
      <c r="Q5" s="3">
        <f>Q4*Q2</f>
        <v>0</v>
      </c>
      <c r="W5" s="127">
        <v>42825</v>
      </c>
      <c r="X5" s="10">
        <v>113</v>
      </c>
      <c r="Y5" s="10">
        <v>113.71</v>
      </c>
      <c r="Z5" s="10">
        <v>112.95</v>
      </c>
      <c r="AA5" s="10">
        <v>113.39</v>
      </c>
      <c r="AB5" s="90">
        <v>4595000</v>
      </c>
      <c r="AC5" s="10">
        <v>113.39</v>
      </c>
      <c r="AD5" s="2">
        <f t="shared" si="0"/>
        <v>0.75999999999999091</v>
      </c>
      <c r="AE5" s="131">
        <f t="shared" si="1"/>
        <v>1.8554514931965471E-3</v>
      </c>
    </row>
    <row r="6" spans="1:31" x14ac:dyDescent="0.25">
      <c r="B6" s="69"/>
      <c r="C6" s="4"/>
      <c r="D6" s="3"/>
      <c r="E6" s="3"/>
      <c r="F6" s="3"/>
      <c r="G6" s="69"/>
      <c r="H6" s="158"/>
      <c r="I6" s="3"/>
      <c r="J6" s="3"/>
      <c r="K6" s="3"/>
      <c r="L6" s="4"/>
      <c r="M6" s="4"/>
      <c r="O6" s="11" t="s">
        <v>64</v>
      </c>
      <c r="Q6" s="2">
        <f>Q3*Q2</f>
        <v>0</v>
      </c>
      <c r="W6" s="127">
        <v>42824</v>
      </c>
      <c r="X6" s="10">
        <v>112.53</v>
      </c>
      <c r="Y6" s="10">
        <v>113.3</v>
      </c>
      <c r="Z6" s="10">
        <v>112.28</v>
      </c>
      <c r="AA6" s="10">
        <v>113.18</v>
      </c>
      <c r="AB6" s="90">
        <v>4188000</v>
      </c>
      <c r="AC6" s="10">
        <v>113.18</v>
      </c>
      <c r="AD6" s="2">
        <f t="shared" si="0"/>
        <v>1.019999999999996</v>
      </c>
      <c r="AE6" s="131">
        <f t="shared" si="1"/>
        <v>5.7762374477916545E-3</v>
      </c>
    </row>
    <row r="7" spans="1:31" x14ac:dyDescent="0.25">
      <c r="B7" s="69"/>
      <c r="C7" s="4"/>
      <c r="D7" s="3"/>
      <c r="E7" s="3"/>
      <c r="F7" s="3"/>
      <c r="G7" s="69"/>
      <c r="H7" s="158"/>
      <c r="I7" s="3"/>
      <c r="J7" s="3"/>
      <c r="K7" s="3"/>
      <c r="L7" s="4"/>
      <c r="M7" s="4"/>
      <c r="O7" s="11" t="s">
        <v>175</v>
      </c>
      <c r="Q7" s="2">
        <f>Q10+Q8</f>
        <v>257.30999999999949</v>
      </c>
      <c r="R7">
        <v>0</v>
      </c>
      <c r="W7" s="127">
        <v>42823</v>
      </c>
      <c r="X7" s="10">
        <v>112.66</v>
      </c>
      <c r="Y7" s="10">
        <v>112.94</v>
      </c>
      <c r="Z7" s="10">
        <v>112.31</v>
      </c>
      <c r="AA7" s="10">
        <v>112.53</v>
      </c>
      <c r="AB7" s="90">
        <v>3741400</v>
      </c>
      <c r="AC7" s="10">
        <v>112.53</v>
      </c>
      <c r="AD7" s="2">
        <f t="shared" si="0"/>
        <v>0.62999999999999545</v>
      </c>
      <c r="AE7" s="131">
        <f t="shared" si="1"/>
        <v>-4.5997346306942966E-3</v>
      </c>
    </row>
    <row r="8" spans="1:31" x14ac:dyDescent="0.25">
      <c r="B8" s="69"/>
      <c r="C8" s="4"/>
      <c r="D8" s="3"/>
      <c r="E8" s="3"/>
      <c r="F8" s="3"/>
      <c r="G8" s="4"/>
      <c r="H8" s="158"/>
      <c r="I8" s="3"/>
      <c r="J8" s="3"/>
      <c r="K8" s="3"/>
      <c r="L8" s="4"/>
      <c r="M8" s="4"/>
      <c r="O8" s="11" t="s">
        <v>177</v>
      </c>
      <c r="P8" s="33"/>
      <c r="Q8" s="2">
        <f>K18+M18-F18+Q2*Q4</f>
        <v>0</v>
      </c>
      <c r="W8" s="127">
        <v>42822</v>
      </c>
      <c r="X8" s="10">
        <v>112.6</v>
      </c>
      <c r="Y8" s="10">
        <v>113.24</v>
      </c>
      <c r="Z8" s="10">
        <v>112.02</v>
      </c>
      <c r="AA8" s="10">
        <v>113.05</v>
      </c>
      <c r="AB8" s="90">
        <v>5081500</v>
      </c>
      <c r="AC8" s="10">
        <v>113.05</v>
      </c>
      <c r="AD8" s="2">
        <f t="shared" si="0"/>
        <v>1.2199999999999989</v>
      </c>
      <c r="AE8" s="131">
        <f t="shared" si="1"/>
        <v>5.9619149314824593E-3</v>
      </c>
    </row>
    <row r="9" spans="1:31" x14ac:dyDescent="0.25">
      <c r="B9" s="69"/>
      <c r="C9" s="4"/>
      <c r="D9" s="3"/>
      <c r="E9" s="3"/>
      <c r="F9" s="3"/>
      <c r="G9" s="4"/>
      <c r="H9" s="158"/>
      <c r="I9" s="3"/>
      <c r="J9" s="3"/>
      <c r="K9" s="3"/>
      <c r="L9" s="4"/>
      <c r="M9" s="4"/>
      <c r="O9" s="11" t="s">
        <v>202</v>
      </c>
      <c r="Q9" s="131">
        <f>IF(Q2=0, 0, Q8/Q6)</f>
        <v>0</v>
      </c>
      <c r="W9" s="127">
        <v>42821</v>
      </c>
      <c r="X9" s="10">
        <v>111.81</v>
      </c>
      <c r="Y9" s="10">
        <v>112.55</v>
      </c>
      <c r="Z9" s="10">
        <v>111.45</v>
      </c>
      <c r="AA9" s="10">
        <v>112.38</v>
      </c>
      <c r="AB9" s="90">
        <v>4273700</v>
      </c>
      <c r="AC9" s="10">
        <v>112.38</v>
      </c>
      <c r="AD9" s="2">
        <f t="shared" si="0"/>
        <v>1.0999999999999943</v>
      </c>
      <c r="AE9" s="131">
        <f t="shared" si="1"/>
        <v>2.1401819154627244E-3</v>
      </c>
    </row>
    <row r="10" spans="1:31" x14ac:dyDescent="0.25">
      <c r="B10" s="69"/>
      <c r="C10" s="4"/>
      <c r="D10" s="3"/>
      <c r="E10" s="3"/>
      <c r="F10" s="3"/>
      <c r="G10" s="4"/>
      <c r="H10" s="4"/>
      <c r="I10" s="3"/>
      <c r="J10" s="3"/>
      <c r="K10" s="3"/>
      <c r="L10" s="4"/>
      <c r="M10" s="4"/>
      <c r="O10" s="11" t="s">
        <v>201</v>
      </c>
      <c r="P10" s="33"/>
      <c r="Q10" s="2">
        <f>M81</f>
        <v>257.30999999999949</v>
      </c>
      <c r="W10" s="127">
        <v>42818</v>
      </c>
      <c r="X10" s="10">
        <v>112.4</v>
      </c>
      <c r="Y10" s="10">
        <v>112.58</v>
      </c>
      <c r="Z10" s="10">
        <v>111.68</v>
      </c>
      <c r="AA10" s="10">
        <v>112.14</v>
      </c>
      <c r="AB10" s="90">
        <v>4653300</v>
      </c>
      <c r="AC10" s="10">
        <v>112.14</v>
      </c>
      <c r="AD10" s="2">
        <f t="shared" si="0"/>
        <v>0.89999999999999147</v>
      </c>
      <c r="AE10" s="131">
        <f t="shared" si="1"/>
        <v>-8.9094796863853354E-4</v>
      </c>
    </row>
    <row r="11" spans="1:31" x14ac:dyDescent="0.25">
      <c r="B11" s="69"/>
      <c r="C11" s="4"/>
      <c r="D11" s="3"/>
      <c r="E11" s="3"/>
      <c r="F11" s="3"/>
      <c r="G11" s="4"/>
      <c r="H11" s="4"/>
      <c r="I11" s="3"/>
      <c r="J11" s="3"/>
      <c r="K11" s="3"/>
      <c r="L11" s="4"/>
      <c r="M11" s="4"/>
      <c r="O11" s="11" t="s">
        <v>173</v>
      </c>
      <c r="P11" s="33"/>
      <c r="Q11" s="131">
        <f>VALUE(TRIM(CLEAN(MID(U58, FIND("(", U58)+1, 5))))</f>
        <v>1.38E-2</v>
      </c>
      <c r="W11" s="127">
        <v>42817</v>
      </c>
      <c r="X11" s="10">
        <v>111.71</v>
      </c>
      <c r="Y11" s="10">
        <v>112.98</v>
      </c>
      <c r="Z11" s="10">
        <v>111.66</v>
      </c>
      <c r="AA11" s="10">
        <v>112.24</v>
      </c>
      <c r="AB11" s="90">
        <v>8260700</v>
      </c>
      <c r="AC11" s="10">
        <v>112.24</v>
      </c>
      <c r="AD11" s="2">
        <f t="shared" si="0"/>
        <v>1.3200000000000074</v>
      </c>
      <c r="AE11" s="131">
        <f t="shared" si="1"/>
        <v>1.427551748750755E-3</v>
      </c>
    </row>
    <row r="12" spans="1:31" x14ac:dyDescent="0.25">
      <c r="B12" s="4"/>
      <c r="C12" s="4"/>
      <c r="D12" s="3"/>
      <c r="E12" s="3"/>
      <c r="F12" s="3"/>
      <c r="G12" s="4"/>
      <c r="H12" s="4"/>
      <c r="I12" s="3"/>
      <c r="J12" s="3"/>
      <c r="K12" s="3"/>
      <c r="L12" s="4"/>
      <c r="M12" s="4"/>
      <c r="W12" s="127">
        <v>42816</v>
      </c>
      <c r="X12" s="10">
        <v>111.85</v>
      </c>
      <c r="Y12" s="10">
        <v>112.18</v>
      </c>
      <c r="Z12" s="10">
        <v>111.35</v>
      </c>
      <c r="AA12" s="10">
        <v>112.08</v>
      </c>
      <c r="AB12" s="90">
        <v>5006000</v>
      </c>
      <c r="AC12" s="10">
        <v>112.08</v>
      </c>
      <c r="AD12" s="2">
        <f t="shared" si="0"/>
        <v>0.83000000000001251</v>
      </c>
      <c r="AE12" s="131">
        <f t="shared" si="1"/>
        <v>2.953020134228268E-3</v>
      </c>
    </row>
    <row r="13" spans="1:31" x14ac:dyDescent="0.25">
      <c r="B13" s="4"/>
      <c r="C13" s="4"/>
      <c r="D13" s="3"/>
      <c r="E13" s="3"/>
      <c r="F13" s="3"/>
      <c r="G13" s="4"/>
      <c r="H13" s="4"/>
      <c r="I13" s="3"/>
      <c r="J13" s="3"/>
      <c r="K13" s="3"/>
      <c r="L13" s="4"/>
      <c r="M13" s="4"/>
      <c r="W13" s="127">
        <v>42815</v>
      </c>
      <c r="X13" s="10">
        <v>112.97</v>
      </c>
      <c r="Y13" s="10">
        <v>113.1</v>
      </c>
      <c r="Z13" s="10">
        <v>111.54</v>
      </c>
      <c r="AA13" s="10">
        <v>111.75</v>
      </c>
      <c r="AB13" s="90">
        <v>6935300</v>
      </c>
      <c r="AC13" s="10">
        <v>111.75</v>
      </c>
      <c r="AD13" s="2">
        <f t="shared" si="0"/>
        <v>1.5599999999999881</v>
      </c>
      <c r="AE13" s="131">
        <f t="shared" si="1"/>
        <v>-8.5174341229703465E-3</v>
      </c>
    </row>
    <row r="14" spans="1:31" x14ac:dyDescent="0.25">
      <c r="W14" s="127">
        <v>42814</v>
      </c>
      <c r="X14" s="10">
        <v>112.07</v>
      </c>
      <c r="Y14" s="10">
        <v>113.16</v>
      </c>
      <c r="Z14" s="10">
        <v>112.05</v>
      </c>
      <c r="AA14" s="10">
        <v>112.71</v>
      </c>
      <c r="AB14" s="90">
        <v>7990500</v>
      </c>
      <c r="AC14" s="10">
        <v>112.71</v>
      </c>
      <c r="AD14" s="2">
        <f t="shared" si="0"/>
        <v>1.1099999999999994</v>
      </c>
      <c r="AE14" s="131">
        <f t="shared" si="1"/>
        <v>8.5003579098066329E-3</v>
      </c>
    </row>
    <row r="15" spans="1:31" x14ac:dyDescent="0.25">
      <c r="W15" s="127">
        <v>42811</v>
      </c>
      <c r="X15" s="10">
        <v>111.87</v>
      </c>
      <c r="Y15" s="10">
        <v>112.09</v>
      </c>
      <c r="Z15" s="10">
        <v>111.18</v>
      </c>
      <c r="AA15" s="10">
        <v>111.76</v>
      </c>
      <c r="AB15" s="90">
        <v>9038400</v>
      </c>
      <c r="AC15" s="10">
        <v>111.76</v>
      </c>
      <c r="AD15" s="2">
        <f t="shared" si="0"/>
        <v>0.90999999999999659</v>
      </c>
      <c r="AE15" s="131">
        <f t="shared" si="1"/>
        <v>4.4758750335693875E-4</v>
      </c>
    </row>
    <row r="16" spans="1:31" x14ac:dyDescent="0.25">
      <c r="W16" s="127">
        <v>42810</v>
      </c>
      <c r="X16" s="10">
        <v>112.18</v>
      </c>
      <c r="Y16" s="10">
        <v>112.32</v>
      </c>
      <c r="Z16" s="10">
        <v>111.4</v>
      </c>
      <c r="AA16" s="10">
        <v>111.71</v>
      </c>
      <c r="AB16" s="90">
        <v>4353200</v>
      </c>
      <c r="AC16" s="10">
        <v>111.71</v>
      </c>
      <c r="AD16" s="2">
        <f t="shared" si="0"/>
        <v>0.91999999999998749</v>
      </c>
      <c r="AE16" s="131">
        <f t="shared" si="1"/>
        <v>-1.4302315187272319E-3</v>
      </c>
    </row>
    <row r="17" spans="1:31" x14ac:dyDescent="0.25">
      <c r="W17" s="127">
        <v>42809</v>
      </c>
      <c r="X17" s="10">
        <v>112.43</v>
      </c>
      <c r="Y17" s="10">
        <v>112.45</v>
      </c>
      <c r="Z17" s="10">
        <v>111.15</v>
      </c>
      <c r="AA17" s="10">
        <v>111.87</v>
      </c>
      <c r="AB17" s="90">
        <v>5218600</v>
      </c>
      <c r="AC17" s="10">
        <v>111.87</v>
      </c>
      <c r="AD17" s="2">
        <f t="shared" si="0"/>
        <v>1.2999999999999972</v>
      </c>
      <c r="AE17" s="131">
        <f t="shared" si="1"/>
        <v>-3.9177277179235359E-3</v>
      </c>
    </row>
    <row r="18" spans="1:31" x14ac:dyDescent="0.25">
      <c r="A18" s="31" t="s">
        <v>81</v>
      </c>
      <c r="B18" s="14"/>
      <c r="C18" s="14">
        <f>SUM(C2:C11)</f>
        <v>0</v>
      </c>
      <c r="D18" s="18"/>
      <c r="E18" s="18"/>
      <c r="F18" s="18">
        <f>SUM(F2:F11)</f>
        <v>0</v>
      </c>
      <c r="G18" s="14"/>
      <c r="H18" s="68">
        <f>SUM(H2:H7)</f>
        <v>0</v>
      </c>
      <c r="I18" s="18"/>
      <c r="J18" s="18"/>
      <c r="K18" s="18">
        <f>SUM(K2:K7)</f>
        <v>0</v>
      </c>
      <c r="L18" s="14"/>
      <c r="M18" s="18">
        <f>SUM(M2:M5)</f>
        <v>0</v>
      </c>
      <c r="W18" s="127">
        <v>42808</v>
      </c>
      <c r="X18" s="10">
        <v>111.73</v>
      </c>
      <c r="Y18" s="10">
        <v>112.89</v>
      </c>
      <c r="Z18" s="10">
        <v>111.72</v>
      </c>
      <c r="AA18" s="10">
        <v>112.31</v>
      </c>
      <c r="AB18" s="90">
        <v>6245300</v>
      </c>
      <c r="AC18" s="10">
        <v>112.31</v>
      </c>
      <c r="AD18" s="2">
        <f t="shared" si="0"/>
        <v>1.1700000000000017</v>
      </c>
      <c r="AE18" s="131">
        <f t="shared" si="1"/>
        <v>7.0839311334289778E-3</v>
      </c>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v>42807</v>
      </c>
      <c r="X19" s="10">
        <v>110.92</v>
      </c>
      <c r="Y19" s="10">
        <v>111.68</v>
      </c>
      <c r="Z19" s="10">
        <v>110.82</v>
      </c>
      <c r="AA19" s="10">
        <v>111.52</v>
      </c>
      <c r="AB19" s="90">
        <v>5147100</v>
      </c>
      <c r="AC19" s="10">
        <v>111.52</v>
      </c>
      <c r="AD19" s="2">
        <f t="shared" si="0"/>
        <v>0.86000000000001364</v>
      </c>
      <c r="AE19" s="131">
        <f t="shared" si="1"/>
        <v>5.4093040028848627E-3</v>
      </c>
    </row>
    <row r="20" spans="1:31" x14ac:dyDescent="0.25">
      <c r="W20" s="127">
        <v>42804</v>
      </c>
      <c r="X20" s="10">
        <v>111.4</v>
      </c>
      <c r="Y20" s="10">
        <v>111.5</v>
      </c>
      <c r="Z20" s="10">
        <v>110.69</v>
      </c>
      <c r="AA20" s="10">
        <v>110.92</v>
      </c>
      <c r="AB20" s="90">
        <v>3929800</v>
      </c>
      <c r="AC20" s="10">
        <v>110.92</v>
      </c>
      <c r="AD20" s="2">
        <f t="shared" si="0"/>
        <v>0.81000000000000227</v>
      </c>
      <c r="AE20" s="131">
        <f t="shared" si="1"/>
        <v>-9.9072322795645817E-4</v>
      </c>
    </row>
    <row r="21" spans="1:31" x14ac:dyDescent="0.25">
      <c r="W21" s="127">
        <v>42803</v>
      </c>
      <c r="X21" s="10">
        <v>110.9</v>
      </c>
      <c r="Y21" s="10">
        <v>111.32</v>
      </c>
      <c r="Z21" s="10">
        <v>110.69</v>
      </c>
      <c r="AA21" s="10">
        <v>111.03</v>
      </c>
      <c r="AB21" s="90">
        <v>3994500</v>
      </c>
      <c r="AC21" s="10">
        <v>111.03</v>
      </c>
      <c r="AD21" s="2">
        <f t="shared" si="0"/>
        <v>0.62999999999999545</v>
      </c>
      <c r="AE21" s="131">
        <f t="shared" si="1"/>
        <v>1.7141826055575571E-3</v>
      </c>
    </row>
    <row r="22" spans="1:31" x14ac:dyDescent="0.25">
      <c r="W22" s="127">
        <v>42802</v>
      </c>
      <c r="X22" s="10">
        <v>110.87</v>
      </c>
      <c r="Y22" s="10">
        <v>111.32</v>
      </c>
      <c r="Z22" s="10">
        <v>110.66</v>
      </c>
      <c r="AA22" s="10">
        <v>110.84</v>
      </c>
      <c r="AB22" s="90">
        <v>4843700</v>
      </c>
      <c r="AC22" s="10">
        <v>110.84</v>
      </c>
      <c r="AD22" s="2">
        <f t="shared" si="0"/>
        <v>0.65999999999999659</v>
      </c>
      <c r="AE22" s="131">
        <f t="shared" si="1"/>
        <v>-1.8040772145044848E-4</v>
      </c>
    </row>
    <row r="23" spans="1:31" x14ac:dyDescent="0.25">
      <c r="W23" s="127">
        <v>42801</v>
      </c>
      <c r="X23" s="10">
        <v>110.7</v>
      </c>
      <c r="Y23" s="10">
        <v>110.93</v>
      </c>
      <c r="Z23" s="10">
        <v>110.16</v>
      </c>
      <c r="AA23" s="10">
        <v>110.86</v>
      </c>
      <c r="AB23" s="90">
        <v>4937500</v>
      </c>
      <c r="AC23" s="10">
        <v>110.86</v>
      </c>
      <c r="AD23" s="2">
        <f t="shared" si="0"/>
        <v>0.77000000000001023</v>
      </c>
      <c r="AE23" s="131">
        <f t="shared" si="1"/>
        <v>1.7168157585614185E-3</v>
      </c>
    </row>
    <row r="24" spans="1:31" x14ac:dyDescent="0.25">
      <c r="B24" s="159" t="s">
        <v>113</v>
      </c>
      <c r="C24" s="159" t="s">
        <v>143</v>
      </c>
      <c r="D24" s="160" t="s">
        <v>142</v>
      </c>
      <c r="E24" s="162" t="s">
        <v>144</v>
      </c>
      <c r="F24" s="162" t="s">
        <v>65</v>
      </c>
      <c r="G24" s="173" t="s">
        <v>148</v>
      </c>
      <c r="H24" s="173" t="s">
        <v>88</v>
      </c>
      <c r="I24" s="173" t="s">
        <v>151</v>
      </c>
      <c r="W24" s="127">
        <v>42800</v>
      </c>
      <c r="X24" s="10">
        <v>110.77</v>
      </c>
      <c r="Y24" s="10">
        <v>110.98</v>
      </c>
      <c r="Z24" s="10">
        <v>110.09</v>
      </c>
      <c r="AA24" s="10">
        <v>110.67</v>
      </c>
      <c r="AB24" s="90">
        <v>4967400</v>
      </c>
      <c r="AC24" s="10">
        <v>110.67</v>
      </c>
      <c r="AD24" s="2">
        <f t="shared" si="0"/>
        <v>0.89000000000000057</v>
      </c>
      <c r="AE24" s="131">
        <f t="shared" si="1"/>
        <v>-5.1240560949298297E-3</v>
      </c>
    </row>
    <row r="25" spans="1:31" x14ac:dyDescent="0.25">
      <c r="B25" s="161">
        <v>42373</v>
      </c>
      <c r="C25" s="10">
        <v>0</v>
      </c>
      <c r="D25" s="39">
        <v>0</v>
      </c>
      <c r="E25" s="39">
        <v>0</v>
      </c>
      <c r="F25" s="39">
        <v>37.590000000000003</v>
      </c>
      <c r="G25" s="39">
        <v>0</v>
      </c>
      <c r="H25" s="175"/>
      <c r="I25" s="39"/>
      <c r="W25" s="127">
        <v>42797</v>
      </c>
      <c r="X25" s="10">
        <v>110.59</v>
      </c>
      <c r="Y25" s="10">
        <v>111.5</v>
      </c>
      <c r="Z25" s="10">
        <v>110.04</v>
      </c>
      <c r="AA25" s="10">
        <v>111.24</v>
      </c>
      <c r="AB25" s="90">
        <v>5837900</v>
      </c>
      <c r="AC25" s="10">
        <v>111.24</v>
      </c>
      <c r="AD25" s="2">
        <f t="shared" si="0"/>
        <v>1.4599999999999937</v>
      </c>
      <c r="AE25" s="131">
        <f t="shared" si="1"/>
        <v>5.8775657835246076E-3</v>
      </c>
    </row>
    <row r="26" spans="1:31" x14ac:dyDescent="0.25">
      <c r="B26" s="161">
        <v>42374</v>
      </c>
      <c r="C26" s="192">
        <v>25</v>
      </c>
      <c r="D26" s="180">
        <v>99.396000000000001</v>
      </c>
      <c r="E26" s="39">
        <v>100.9</v>
      </c>
      <c r="F26" s="39">
        <f>C26*(E26-D26)</f>
        <v>37.600000000000122</v>
      </c>
      <c r="G26" s="39">
        <f>D26*C26</f>
        <v>2484.9</v>
      </c>
      <c r="H26" s="175">
        <f>(E26-D26)/D26</f>
        <v>1.5131393617449444E-2</v>
      </c>
      <c r="I26" s="39"/>
      <c r="W26" s="127">
        <v>42796</v>
      </c>
      <c r="X26" s="10">
        <v>111</v>
      </c>
      <c r="Y26" s="10">
        <v>111.21</v>
      </c>
      <c r="Z26" s="10">
        <v>110.45</v>
      </c>
      <c r="AA26" s="10">
        <v>110.59</v>
      </c>
      <c r="AB26" s="90">
        <v>4713000</v>
      </c>
      <c r="AC26" s="10">
        <v>110.59</v>
      </c>
      <c r="AD26" s="2">
        <f t="shared" si="0"/>
        <v>0.75999999999999091</v>
      </c>
      <c r="AE26" s="131">
        <f t="shared" si="1"/>
        <v>-4.0525936599423718E-3</v>
      </c>
    </row>
    <row r="27" spans="1:31" x14ac:dyDescent="0.25">
      <c r="B27" s="161">
        <v>42403</v>
      </c>
      <c r="C27" s="10">
        <v>25</v>
      </c>
      <c r="D27" s="39">
        <v>99.396000000000001</v>
      </c>
      <c r="E27" s="39">
        <v>95.14</v>
      </c>
      <c r="F27" s="39">
        <f t="shared" ref="F27:F36" si="2">C27*(E27-D27)</f>
        <v>-106.4</v>
      </c>
      <c r="G27" s="39">
        <f>D27*C27</f>
        <v>2484.9</v>
      </c>
      <c r="H27" s="175">
        <f>(E27-D27)/D27</f>
        <v>-4.2818624491931266E-2</v>
      </c>
      <c r="I27" s="39"/>
      <c r="W27" s="127">
        <v>42795</v>
      </c>
      <c r="X27" s="10">
        <v>110.66</v>
      </c>
      <c r="Y27" s="10">
        <v>111.8</v>
      </c>
      <c r="Z27" s="10">
        <v>110.66</v>
      </c>
      <c r="AA27" s="10">
        <v>111.04</v>
      </c>
      <c r="AB27" s="90">
        <v>7359400</v>
      </c>
      <c r="AC27" s="10">
        <v>111.04</v>
      </c>
      <c r="AD27" s="2">
        <f t="shared" si="0"/>
        <v>1.1400000000000006</v>
      </c>
      <c r="AE27" s="131">
        <f t="shared" si="1"/>
        <v>8.6293032973021599E-3</v>
      </c>
    </row>
    <row r="28" spans="1:31" x14ac:dyDescent="0.25">
      <c r="B28" s="161">
        <v>42409</v>
      </c>
      <c r="C28" s="10">
        <v>40</v>
      </c>
      <c r="D28" s="39">
        <v>95.31</v>
      </c>
      <c r="E28" s="39">
        <v>92.12</v>
      </c>
      <c r="F28" s="39">
        <f t="shared" si="2"/>
        <v>-127.59999999999991</v>
      </c>
      <c r="G28" s="39">
        <f>D28*C28</f>
        <v>3812.4</v>
      </c>
      <c r="H28" s="175">
        <f t="shared" ref="H28:H36" si="3">(E28-D28)/D28</f>
        <v>-3.346973035358302E-2</v>
      </c>
      <c r="I28" s="39"/>
      <c r="W28" s="127">
        <v>42794</v>
      </c>
      <c r="X28" s="10">
        <v>110</v>
      </c>
      <c r="Y28" s="10">
        <v>110.4</v>
      </c>
      <c r="Z28" s="10">
        <v>109.83</v>
      </c>
      <c r="AA28" s="10">
        <v>110.09</v>
      </c>
      <c r="AB28" s="90">
        <v>4749000</v>
      </c>
      <c r="AC28" s="10">
        <v>110.09</v>
      </c>
      <c r="AD28" s="2">
        <f t="shared" si="0"/>
        <v>0.57000000000000739</v>
      </c>
      <c r="AE28" s="131">
        <f t="shared" si="1"/>
        <v>-1.2700716683298197E-3</v>
      </c>
    </row>
    <row r="29" spans="1:31" x14ac:dyDescent="0.25">
      <c r="B29" s="161">
        <v>42416</v>
      </c>
      <c r="C29" s="192">
        <v>25</v>
      </c>
      <c r="D29" s="180">
        <v>96.787999999999997</v>
      </c>
      <c r="E29" s="39">
        <v>92.34</v>
      </c>
      <c r="F29" s="39">
        <f t="shared" si="2"/>
        <v>-111.19999999999983</v>
      </c>
      <c r="G29" s="39">
        <f t="shared" ref="G29:G36" si="4">D29*C29</f>
        <v>2419.6999999999998</v>
      </c>
      <c r="H29" s="175">
        <f t="shared" si="3"/>
        <v>-4.5956110261602609E-2</v>
      </c>
      <c r="I29" s="39"/>
      <c r="W29" s="127">
        <v>42793</v>
      </c>
      <c r="X29" s="10">
        <v>109.93</v>
      </c>
      <c r="Y29" s="10">
        <v>110.47</v>
      </c>
      <c r="Z29" s="10">
        <v>109.83</v>
      </c>
      <c r="AA29" s="10">
        <v>110.23</v>
      </c>
      <c r="AB29" s="90">
        <v>3436400</v>
      </c>
      <c r="AC29" s="10">
        <v>110.23</v>
      </c>
      <c r="AD29" s="2">
        <f t="shared" si="0"/>
        <v>0.64000000000000057</v>
      </c>
      <c r="AE29" s="131">
        <f t="shared" si="1"/>
        <v>-8.158085569252016E-4</v>
      </c>
    </row>
    <row r="30" spans="1:31" x14ac:dyDescent="0.25">
      <c r="B30" s="161">
        <v>42421</v>
      </c>
      <c r="C30" s="10">
        <v>25</v>
      </c>
      <c r="D30" s="39">
        <v>96.787999999999997</v>
      </c>
      <c r="E30" s="39">
        <v>95.01</v>
      </c>
      <c r="F30" s="39">
        <f t="shared" si="2"/>
        <v>-44.44999999999979</v>
      </c>
      <c r="G30" s="39">
        <f t="shared" si="4"/>
        <v>2419.6999999999998</v>
      </c>
      <c r="H30" s="175">
        <f t="shared" si="3"/>
        <v>-1.8370045873455299E-2</v>
      </c>
      <c r="I30" s="39"/>
      <c r="W30" s="127">
        <v>42790</v>
      </c>
      <c r="X30" s="10">
        <v>109.62</v>
      </c>
      <c r="Y30" s="10">
        <v>110.32</v>
      </c>
      <c r="Z30" s="10">
        <v>109.1</v>
      </c>
      <c r="AA30" s="10">
        <v>110.32</v>
      </c>
      <c r="AB30" s="90">
        <v>4766100</v>
      </c>
      <c r="AC30" s="10">
        <v>110.32</v>
      </c>
      <c r="AD30" s="2">
        <f t="shared" si="0"/>
        <v>1.2199999999999989</v>
      </c>
      <c r="AE30" s="131">
        <f t="shared" si="1"/>
        <v>5.37683404720668E-3</v>
      </c>
    </row>
    <row r="31" spans="1:31" x14ac:dyDescent="0.25">
      <c r="B31" s="161">
        <v>42430</v>
      </c>
      <c r="C31" s="10">
        <v>25</v>
      </c>
      <c r="D31" s="39">
        <v>96.787999999999997</v>
      </c>
      <c r="E31" s="39">
        <v>97.65</v>
      </c>
      <c r="F31" s="39">
        <f t="shared" si="2"/>
        <v>21.550000000000225</v>
      </c>
      <c r="G31" s="39">
        <f t="shared" si="4"/>
        <v>2419.6999999999998</v>
      </c>
      <c r="H31" s="175">
        <f t="shared" si="3"/>
        <v>8.9060627350498918E-3</v>
      </c>
      <c r="I31" s="39"/>
      <c r="W31" s="127">
        <v>42789</v>
      </c>
      <c r="X31" s="10">
        <v>110.3</v>
      </c>
      <c r="Y31" s="10">
        <v>110.49</v>
      </c>
      <c r="Z31" s="10">
        <v>109.59</v>
      </c>
      <c r="AA31" s="10">
        <v>109.73</v>
      </c>
      <c r="AB31" s="90">
        <v>5470400</v>
      </c>
      <c r="AC31" s="10">
        <v>109.73</v>
      </c>
      <c r="AD31" s="2">
        <f t="shared" si="0"/>
        <v>0.89999999999999147</v>
      </c>
      <c r="AE31" s="131">
        <f t="shared" si="1"/>
        <v>-3.5415909916455268E-3</v>
      </c>
    </row>
    <row r="32" spans="1:31" x14ac:dyDescent="0.25">
      <c r="B32" s="161">
        <v>42448</v>
      </c>
      <c r="C32" s="10">
        <v>25</v>
      </c>
      <c r="D32" s="39">
        <v>96.787599999999998</v>
      </c>
      <c r="E32" s="39">
        <v>99.2</v>
      </c>
      <c r="F32" s="39">
        <f t="shared" si="2"/>
        <v>60.31000000000013</v>
      </c>
      <c r="G32" s="39">
        <f t="shared" si="4"/>
        <v>2419.69</v>
      </c>
      <c r="H32" s="175">
        <f t="shared" si="3"/>
        <v>2.4924680434270562E-2</v>
      </c>
      <c r="I32" s="39"/>
      <c r="W32" s="127">
        <v>42788</v>
      </c>
      <c r="X32" s="10">
        <v>109.69</v>
      </c>
      <c r="Y32" s="10">
        <v>110.28</v>
      </c>
      <c r="Z32" s="10">
        <v>109.53</v>
      </c>
      <c r="AA32" s="10">
        <v>110.12</v>
      </c>
      <c r="AB32" s="90">
        <v>5473400</v>
      </c>
      <c r="AC32" s="10">
        <v>110.12</v>
      </c>
      <c r="AD32" s="2">
        <f t="shared" si="0"/>
        <v>0.75</v>
      </c>
      <c r="AE32" s="131">
        <f t="shared" si="1"/>
        <v>9.9990909917280213E-4</v>
      </c>
    </row>
    <row r="33" spans="2:31" x14ac:dyDescent="0.25">
      <c r="B33" s="161">
        <v>42471</v>
      </c>
      <c r="C33" s="10">
        <v>25</v>
      </c>
      <c r="D33" s="39">
        <v>96.787599999999998</v>
      </c>
      <c r="E33" s="39">
        <v>96.27</v>
      </c>
      <c r="F33" s="39">
        <f t="shared" si="2"/>
        <v>-12.94000000000004</v>
      </c>
      <c r="G33" s="39">
        <f t="shared" si="4"/>
        <v>2419.69</v>
      </c>
      <c r="H33" s="175">
        <f t="shared" si="3"/>
        <v>-5.3477924858143155E-3</v>
      </c>
      <c r="I33" s="39"/>
      <c r="W33" s="127">
        <v>42787</v>
      </c>
      <c r="X33" s="10">
        <v>109.94</v>
      </c>
      <c r="Y33" s="10">
        <v>110.21</v>
      </c>
      <c r="Z33" s="10">
        <v>109.8</v>
      </c>
      <c r="AA33" s="10">
        <v>110.01</v>
      </c>
      <c r="AB33" s="90">
        <v>4991500</v>
      </c>
      <c r="AC33" s="10">
        <v>110.01</v>
      </c>
      <c r="AD33" s="2">
        <f t="shared" si="0"/>
        <v>0.40999999999999659</v>
      </c>
      <c r="AE33" s="131">
        <f t="shared" si="1"/>
        <v>-4.5429765582405413E-4</v>
      </c>
    </row>
    <row r="34" spans="2:31" x14ac:dyDescent="0.25">
      <c r="B34" s="161">
        <v>42482</v>
      </c>
      <c r="C34" s="181">
        <v>15</v>
      </c>
      <c r="D34" s="182">
        <v>92.174000000000007</v>
      </c>
      <c r="E34" s="39">
        <v>103.71</v>
      </c>
      <c r="F34" s="39">
        <f t="shared" si="2"/>
        <v>173.03999999999979</v>
      </c>
      <c r="G34" s="39">
        <f t="shared" si="4"/>
        <v>1382.6100000000001</v>
      </c>
      <c r="H34" s="175">
        <f t="shared" si="3"/>
        <v>0.12515459891075559</v>
      </c>
      <c r="I34" s="39"/>
      <c r="W34" s="127">
        <v>42783</v>
      </c>
      <c r="X34" s="10">
        <v>110.24</v>
      </c>
      <c r="Y34" s="10">
        <v>110.5</v>
      </c>
      <c r="Z34" s="10">
        <v>109.52</v>
      </c>
      <c r="AA34" s="10">
        <v>110.06</v>
      </c>
      <c r="AB34" s="90">
        <v>6287300</v>
      </c>
      <c r="AC34" s="10">
        <v>110.06</v>
      </c>
      <c r="AD34" s="2">
        <f t="shared" si="0"/>
        <v>0.98000000000000398</v>
      </c>
      <c r="AE34" s="131">
        <f t="shared" si="1"/>
        <v>-5.8711950140004632E-3</v>
      </c>
    </row>
    <row r="35" spans="2:31" x14ac:dyDescent="0.25">
      <c r="B35" s="161">
        <v>42498</v>
      </c>
      <c r="C35" s="10">
        <v>15</v>
      </c>
      <c r="D35" s="39">
        <v>92.174000000000007</v>
      </c>
      <c r="E35" s="39">
        <v>105.54</v>
      </c>
      <c r="F35" s="39">
        <f t="shared" si="2"/>
        <v>200.49</v>
      </c>
      <c r="G35" s="39">
        <f t="shared" si="4"/>
        <v>1382.6100000000001</v>
      </c>
      <c r="H35" s="175">
        <f t="shared" si="3"/>
        <v>0.14500835376570398</v>
      </c>
      <c r="I35" s="39"/>
      <c r="W35" s="127">
        <v>42782</v>
      </c>
      <c r="X35" s="10">
        <v>110.34</v>
      </c>
      <c r="Y35" s="10">
        <v>110.87</v>
      </c>
      <c r="Z35" s="10">
        <v>110.09</v>
      </c>
      <c r="AA35" s="10">
        <v>110.71</v>
      </c>
      <c r="AB35" s="90">
        <v>7169400</v>
      </c>
      <c r="AC35" s="10">
        <v>110.71</v>
      </c>
      <c r="AD35" s="2">
        <f t="shared" si="0"/>
        <v>0.78000000000000114</v>
      </c>
      <c r="AE35" s="131">
        <f t="shared" si="1"/>
        <v>4.8103104011616438E-3</v>
      </c>
    </row>
    <row r="36" spans="2:31" x14ac:dyDescent="0.25">
      <c r="B36" s="161">
        <v>42502</v>
      </c>
      <c r="C36" s="10">
        <v>15</v>
      </c>
      <c r="D36" s="39">
        <v>92.174000000000007</v>
      </c>
      <c r="E36" s="39">
        <v>101.71</v>
      </c>
      <c r="F36" s="39">
        <f t="shared" si="2"/>
        <v>143.03999999999979</v>
      </c>
      <c r="G36" s="39">
        <f t="shared" si="4"/>
        <v>1382.6100000000001</v>
      </c>
      <c r="H36" s="175">
        <f t="shared" si="3"/>
        <v>0.10345650617310724</v>
      </c>
      <c r="I36" s="39"/>
      <c r="W36" s="127">
        <v>42781</v>
      </c>
      <c r="X36" s="10">
        <v>109.91</v>
      </c>
      <c r="Y36" s="10">
        <v>110.68</v>
      </c>
      <c r="Z36" s="10">
        <v>109.8</v>
      </c>
      <c r="AA36" s="10">
        <v>110.18</v>
      </c>
      <c r="AB36" s="90">
        <v>7033500</v>
      </c>
      <c r="AC36" s="10">
        <v>110.18</v>
      </c>
      <c r="AD36" s="2">
        <f t="shared" si="0"/>
        <v>0.88000000000000966</v>
      </c>
      <c r="AE36" s="131">
        <f t="shared" si="1"/>
        <v>-1.3595576905646167E-3</v>
      </c>
    </row>
    <row r="37" spans="2:31" x14ac:dyDescent="0.25">
      <c r="B37" s="161">
        <v>42546</v>
      </c>
      <c r="C37" s="10">
        <v>15</v>
      </c>
      <c r="D37" s="39">
        <v>92.174000000000007</v>
      </c>
      <c r="E37" s="39">
        <v>95.72</v>
      </c>
      <c r="F37" s="39">
        <f t="shared" ref="F37:F42" si="5">C37*(E37-D37)</f>
        <v>53.189999999999884</v>
      </c>
      <c r="G37" s="39">
        <f t="shared" ref="G37:G42" si="6">D37*C37</f>
        <v>1382.6100000000001</v>
      </c>
      <c r="H37" s="175">
        <f t="shared" ref="H37:H42" si="7">(E37-D37)/D37</f>
        <v>3.8470718423850456E-2</v>
      </c>
      <c r="I37" s="39"/>
      <c r="W37" s="127">
        <v>42780</v>
      </c>
      <c r="X37" s="10">
        <v>109.8</v>
      </c>
      <c r="Y37" s="10">
        <v>110.33</v>
      </c>
      <c r="Z37" s="10">
        <v>109.53</v>
      </c>
      <c r="AA37" s="10">
        <v>110.33</v>
      </c>
      <c r="AB37" s="90">
        <v>4764100</v>
      </c>
      <c r="AC37" s="10">
        <v>110.33</v>
      </c>
      <c r="AD37" s="2">
        <f t="shared" si="0"/>
        <v>0.79999999999999716</v>
      </c>
      <c r="AE37" s="131">
        <f t="shared" si="1"/>
        <v>6.2015503875967326E-3</v>
      </c>
    </row>
    <row r="38" spans="2:31" x14ac:dyDescent="0.25">
      <c r="B38" s="161">
        <v>42562</v>
      </c>
      <c r="C38" s="10">
        <v>15</v>
      </c>
      <c r="D38" s="39">
        <v>92.174000000000007</v>
      </c>
      <c r="E38" s="39">
        <v>99.98</v>
      </c>
      <c r="F38" s="39">
        <f t="shared" si="5"/>
        <v>117.08999999999996</v>
      </c>
      <c r="G38" s="39">
        <f t="shared" si="6"/>
        <v>1382.6100000000001</v>
      </c>
      <c r="H38" s="175">
        <f t="shared" si="7"/>
        <v>8.4687655955041519E-2</v>
      </c>
      <c r="I38" s="39"/>
      <c r="W38" s="127">
        <v>42779</v>
      </c>
      <c r="X38" s="10">
        <v>108.95</v>
      </c>
      <c r="Y38" s="10">
        <v>109.9</v>
      </c>
      <c r="Z38" s="10">
        <v>108.9</v>
      </c>
      <c r="AA38" s="10">
        <v>109.65</v>
      </c>
      <c r="AB38" s="90">
        <v>5653200</v>
      </c>
      <c r="AC38" s="10">
        <v>109.65</v>
      </c>
      <c r="AD38" s="2">
        <f t="shared" si="0"/>
        <v>1</v>
      </c>
      <c r="AE38" s="131">
        <f t="shared" si="1"/>
        <v>3.5694673256452258E-3</v>
      </c>
    </row>
    <row r="39" spans="2:31" x14ac:dyDescent="0.25">
      <c r="B39" s="161">
        <v>42570</v>
      </c>
      <c r="C39" s="10">
        <v>15</v>
      </c>
      <c r="D39" s="39">
        <v>92.174000000000007</v>
      </c>
      <c r="E39" s="39">
        <v>99.47</v>
      </c>
      <c r="F39" s="39">
        <f t="shared" si="5"/>
        <v>109.43999999999988</v>
      </c>
      <c r="G39" s="39">
        <f t="shared" si="6"/>
        <v>1382.6100000000001</v>
      </c>
      <c r="H39" s="175">
        <f t="shared" si="7"/>
        <v>7.9154642306941136E-2</v>
      </c>
      <c r="I39" s="39"/>
      <c r="W39" s="127">
        <v>42776</v>
      </c>
      <c r="X39" s="10">
        <v>109.35</v>
      </c>
      <c r="Y39" s="10">
        <v>109.8</v>
      </c>
      <c r="Z39" s="10">
        <v>108.58</v>
      </c>
      <c r="AA39" s="10">
        <v>109.26</v>
      </c>
      <c r="AB39" s="90">
        <v>6521300</v>
      </c>
      <c r="AC39" s="10">
        <v>109.26</v>
      </c>
      <c r="AD39" s="2">
        <f t="shared" si="0"/>
        <v>1.2199999999999989</v>
      </c>
      <c r="AE39" s="131">
        <f t="shared" si="1"/>
        <v>-2.1006484610466281E-3</v>
      </c>
    </row>
    <row r="40" spans="2:31" ht="20.25" thickBot="1" x14ac:dyDescent="0.35">
      <c r="B40" s="161">
        <v>42571</v>
      </c>
      <c r="C40" s="10">
        <v>15</v>
      </c>
      <c r="D40" s="39">
        <v>92.174000000000007</v>
      </c>
      <c r="E40" s="39">
        <v>98.22</v>
      </c>
      <c r="F40" s="39">
        <f t="shared" si="5"/>
        <v>90.689999999999884</v>
      </c>
      <c r="G40" s="39">
        <f t="shared" si="6"/>
        <v>1382.6100000000001</v>
      </c>
      <c r="H40" s="175">
        <f t="shared" si="7"/>
        <v>6.55933343459109E-2</v>
      </c>
      <c r="I40" s="39"/>
      <c r="O40" s="886" t="s">
        <v>78</v>
      </c>
      <c r="P40" s="886"/>
      <c r="W40" s="127">
        <v>42775</v>
      </c>
      <c r="X40" s="10">
        <v>109</v>
      </c>
      <c r="Y40" s="10">
        <v>109.85</v>
      </c>
      <c r="Z40" s="10">
        <v>109</v>
      </c>
      <c r="AA40" s="10">
        <v>109.49</v>
      </c>
      <c r="AB40" s="90">
        <v>6367500</v>
      </c>
      <c r="AC40" s="10">
        <v>109.49</v>
      </c>
      <c r="AD40" s="2">
        <f t="shared" si="0"/>
        <v>0.84999999999999432</v>
      </c>
      <c r="AE40" s="131">
        <f t="shared" si="1"/>
        <v>4.4954128440366503E-3</v>
      </c>
    </row>
    <row r="41" spans="2:31" ht="15.75" thickTop="1" x14ac:dyDescent="0.25">
      <c r="B41" s="161">
        <v>42575</v>
      </c>
      <c r="C41" s="10">
        <v>15</v>
      </c>
      <c r="D41" s="39">
        <v>92.174000000000007</v>
      </c>
      <c r="E41" s="39">
        <v>97.71</v>
      </c>
      <c r="F41" s="39">
        <f t="shared" si="5"/>
        <v>83.039999999999807</v>
      </c>
      <c r="G41" s="39">
        <f t="shared" si="6"/>
        <v>1382.6100000000001</v>
      </c>
      <c r="H41" s="175">
        <f t="shared" si="7"/>
        <v>6.0060320697810518E-2</v>
      </c>
      <c r="I41" s="39"/>
      <c r="O41" s="78">
        <v>1.1000000000000001</v>
      </c>
      <c r="P41" s="78">
        <f>O41*$Q$4</f>
        <v>145.70600000000002</v>
      </c>
      <c r="Q41" s="2"/>
      <c r="W41" s="127">
        <v>42774</v>
      </c>
      <c r="X41" s="10">
        <v>109.56</v>
      </c>
      <c r="Y41" s="10">
        <v>111.42</v>
      </c>
      <c r="Z41" s="10">
        <v>108.98</v>
      </c>
      <c r="AA41" s="10">
        <v>109</v>
      </c>
      <c r="AB41" s="90">
        <v>13611500</v>
      </c>
      <c r="AC41" s="10">
        <v>109</v>
      </c>
      <c r="AD41" s="2">
        <f t="shared" si="0"/>
        <v>2.4399999999999977</v>
      </c>
      <c r="AE41" s="131">
        <f t="shared" si="1"/>
        <v>0</v>
      </c>
    </row>
    <row r="42" spans="2:31" ht="20.25" thickBot="1" x14ac:dyDescent="0.35">
      <c r="B42" s="161">
        <v>42576</v>
      </c>
      <c r="C42" s="10">
        <v>15</v>
      </c>
      <c r="D42" s="39">
        <v>92.174000000000007</v>
      </c>
      <c r="E42" s="39">
        <v>97.39</v>
      </c>
      <c r="F42" s="39">
        <f t="shared" si="5"/>
        <v>78.23999999999991</v>
      </c>
      <c r="G42" s="39">
        <f t="shared" si="6"/>
        <v>1382.6100000000001</v>
      </c>
      <c r="H42" s="175">
        <f t="shared" si="7"/>
        <v>5.6588625859786856E-2</v>
      </c>
      <c r="I42" s="39"/>
      <c r="O42" s="78">
        <v>1.0900000000000001</v>
      </c>
      <c r="P42" s="78">
        <f t="shared" ref="P42:P61" si="8">O42*$Q$4</f>
        <v>144.38140000000001</v>
      </c>
      <c r="Q42" s="2"/>
      <c r="T42" s="86" t="s">
        <v>112</v>
      </c>
      <c r="W42" s="127">
        <v>42773</v>
      </c>
      <c r="X42" s="10">
        <v>109.65</v>
      </c>
      <c r="Y42" s="10">
        <v>109.73</v>
      </c>
      <c r="Z42" s="10">
        <v>108.77</v>
      </c>
      <c r="AA42" s="10">
        <v>109</v>
      </c>
      <c r="AB42" s="90">
        <v>9574800</v>
      </c>
      <c r="AC42" s="10">
        <v>109</v>
      </c>
      <c r="AD42" s="2">
        <f t="shared" si="0"/>
        <v>0.96000000000000796</v>
      </c>
      <c r="AE42" s="131">
        <f t="shared" si="1"/>
        <v>-5.2021538742356155E-3</v>
      </c>
    </row>
    <row r="43" spans="2:31" ht="15.75" thickTop="1" x14ac:dyDescent="0.25">
      <c r="B43" s="161">
        <v>42577</v>
      </c>
      <c r="C43" s="10">
        <v>15</v>
      </c>
      <c r="D43" s="39">
        <v>92.174000000000007</v>
      </c>
      <c r="E43" s="39">
        <v>96.69</v>
      </c>
      <c r="F43" s="39">
        <f t="shared" ref="F43:F65" si="9">C43*(E43-D43)</f>
        <v>67.739999999999867</v>
      </c>
      <c r="G43" s="39">
        <f t="shared" ref="G43:G65" si="10">D43*C43</f>
        <v>1382.6100000000001</v>
      </c>
      <c r="H43" s="175">
        <f t="shared" ref="H43:H65" si="11">(E43-D43)/D43</f>
        <v>4.8994293401609899E-2</v>
      </c>
      <c r="I43" s="39"/>
      <c r="O43" s="78">
        <v>1.08</v>
      </c>
      <c r="P43" s="78">
        <f t="shared" si="8"/>
        <v>143.05680000000001</v>
      </c>
      <c r="Q43" s="2"/>
      <c r="T43" s="122" t="s">
        <v>97</v>
      </c>
      <c r="U43" s="93">
        <v>113.04</v>
      </c>
      <c r="W43" s="127">
        <v>42772</v>
      </c>
      <c r="X43" s="10">
        <v>109.92</v>
      </c>
      <c r="Y43" s="10">
        <v>110.15</v>
      </c>
      <c r="Z43" s="10">
        <v>109.3</v>
      </c>
      <c r="AA43" s="10">
        <v>109.57</v>
      </c>
      <c r="AB43" s="90">
        <v>6822600</v>
      </c>
      <c r="AC43" s="10">
        <v>109.57</v>
      </c>
      <c r="AD43" s="2">
        <f t="shared" si="0"/>
        <v>0.85000000000000853</v>
      </c>
      <c r="AE43" s="131">
        <f t="shared" si="1"/>
        <v>-6.6183136899365946E-3</v>
      </c>
    </row>
    <row r="44" spans="2:31" x14ac:dyDescent="0.25">
      <c r="B44" s="161">
        <v>42579</v>
      </c>
      <c r="C44" s="181">
        <v>15</v>
      </c>
      <c r="D44" s="182">
        <v>91.463999999999999</v>
      </c>
      <c r="E44" s="39">
        <v>95.91</v>
      </c>
      <c r="F44" s="39">
        <f t="shared" si="9"/>
        <v>66.689999999999969</v>
      </c>
      <c r="G44" s="39">
        <f t="shared" si="10"/>
        <v>1371.96</v>
      </c>
      <c r="H44" s="175">
        <f t="shared" si="11"/>
        <v>4.8609288900551016E-2</v>
      </c>
      <c r="I44" s="39" t="s">
        <v>182</v>
      </c>
      <c r="O44" s="78">
        <v>1.07</v>
      </c>
      <c r="P44" s="78">
        <f t="shared" si="8"/>
        <v>141.73220000000001</v>
      </c>
      <c r="Q44" s="2"/>
      <c r="T44" s="88" t="s">
        <v>98</v>
      </c>
      <c r="U44" s="83">
        <v>113.58</v>
      </c>
      <c r="W44" s="127">
        <v>42769</v>
      </c>
      <c r="X44" s="10">
        <v>110.9</v>
      </c>
      <c r="Y44" s="10">
        <v>111.15</v>
      </c>
      <c r="Z44" s="10">
        <v>110.21</v>
      </c>
      <c r="AA44" s="10">
        <v>110.3</v>
      </c>
      <c r="AB44" s="90">
        <v>7917700</v>
      </c>
      <c r="AC44" s="10">
        <v>110.3</v>
      </c>
      <c r="AD44" s="2">
        <f t="shared" si="0"/>
        <v>0.94000000000001194</v>
      </c>
      <c r="AE44" s="131">
        <f t="shared" si="1"/>
        <v>-2.8026399059759566E-3</v>
      </c>
    </row>
    <row r="45" spans="2:31" x14ac:dyDescent="0.25">
      <c r="B45" s="161">
        <v>42586</v>
      </c>
      <c r="C45" s="10">
        <v>30</v>
      </c>
      <c r="D45" s="39">
        <v>93.171999999999997</v>
      </c>
      <c r="E45" s="39">
        <v>95.16</v>
      </c>
      <c r="F45" s="39">
        <f t="shared" si="9"/>
        <v>59.639999999999986</v>
      </c>
      <c r="G45" s="39">
        <f t="shared" si="10"/>
        <v>2795.16</v>
      </c>
      <c r="H45" s="175">
        <f t="shared" si="11"/>
        <v>2.1336882325162062E-2</v>
      </c>
      <c r="I45" s="39"/>
      <c r="O45" s="78">
        <v>1.06</v>
      </c>
      <c r="P45" s="78">
        <f t="shared" si="8"/>
        <v>140.4076</v>
      </c>
      <c r="Q45" s="2"/>
      <c r="T45" s="88" t="s">
        <v>99</v>
      </c>
      <c r="U45" s="83" t="s">
        <v>128</v>
      </c>
      <c r="W45" s="127">
        <v>42768</v>
      </c>
      <c r="X45" s="10">
        <v>111.21</v>
      </c>
      <c r="Y45" s="10">
        <v>111.54</v>
      </c>
      <c r="Z45" s="10">
        <v>110.55</v>
      </c>
      <c r="AA45" s="10">
        <v>110.61</v>
      </c>
      <c r="AB45" s="90">
        <v>6501200</v>
      </c>
      <c r="AC45" s="10">
        <v>110.61</v>
      </c>
      <c r="AD45" s="2">
        <f t="shared" si="0"/>
        <v>0.99000000000000909</v>
      </c>
      <c r="AE45" s="131">
        <f t="shared" si="1"/>
        <v>-6.1994609164420789E-3</v>
      </c>
    </row>
    <row r="46" spans="2:31" x14ac:dyDescent="0.25">
      <c r="B46" s="161">
        <v>42593</v>
      </c>
      <c r="C46" s="181">
        <v>15</v>
      </c>
      <c r="D46" s="182">
        <v>88.465999999999994</v>
      </c>
      <c r="E46" s="39">
        <v>97.86</v>
      </c>
      <c r="F46" s="39">
        <f t="shared" si="9"/>
        <v>140.91000000000008</v>
      </c>
      <c r="G46" s="39">
        <f t="shared" si="10"/>
        <v>1326.99</v>
      </c>
      <c r="H46" s="175">
        <f t="shared" si="11"/>
        <v>0.10618768792530471</v>
      </c>
      <c r="I46" s="39"/>
      <c r="O46" s="78">
        <v>1.05</v>
      </c>
      <c r="P46" s="78">
        <f t="shared" si="8"/>
        <v>139.08300000000003</v>
      </c>
      <c r="Q46" s="2"/>
      <c r="T46" s="88" t="s">
        <v>100</v>
      </c>
      <c r="U46" s="83" t="s">
        <v>128</v>
      </c>
      <c r="W46" s="127">
        <v>42767</v>
      </c>
      <c r="X46" s="10">
        <v>110.71</v>
      </c>
      <c r="Y46" s="10">
        <v>111.99</v>
      </c>
      <c r="Z46" s="10">
        <v>110.68</v>
      </c>
      <c r="AA46" s="10">
        <v>111.3</v>
      </c>
      <c r="AB46" s="90">
        <v>10489600</v>
      </c>
      <c r="AC46" s="10">
        <v>111.3</v>
      </c>
      <c r="AD46" s="2">
        <f t="shared" si="0"/>
        <v>1.3099999999999881</v>
      </c>
      <c r="AE46" s="131">
        <f t="shared" si="1"/>
        <v>5.8743786714865465E-3</v>
      </c>
    </row>
    <row r="47" spans="2:31" x14ac:dyDescent="0.25">
      <c r="B47" s="161">
        <v>42597</v>
      </c>
      <c r="C47" s="10">
        <v>30</v>
      </c>
      <c r="D47" s="39">
        <v>92.658000000000001</v>
      </c>
      <c r="E47" s="39">
        <v>97.1</v>
      </c>
      <c r="F47" s="39">
        <f t="shared" si="9"/>
        <v>133.25999999999979</v>
      </c>
      <c r="G47" s="39">
        <f t="shared" si="10"/>
        <v>2779.7400000000002</v>
      </c>
      <c r="H47" s="175">
        <f t="shared" si="11"/>
        <v>4.7939735370933899E-2</v>
      </c>
      <c r="I47" s="39"/>
      <c r="O47" s="78">
        <v>1.04</v>
      </c>
      <c r="P47" s="78">
        <f t="shared" si="8"/>
        <v>137.75840000000002</v>
      </c>
      <c r="Q47" s="2"/>
      <c r="T47" s="88" t="s">
        <v>101</v>
      </c>
      <c r="U47" s="83">
        <v>117.65</v>
      </c>
      <c r="W47" s="127">
        <v>42766</v>
      </c>
      <c r="X47" s="10">
        <v>110.59</v>
      </c>
      <c r="Y47" s="10">
        <v>110.8</v>
      </c>
      <c r="Z47" s="10">
        <v>109.98</v>
      </c>
      <c r="AA47" s="10">
        <v>110.65</v>
      </c>
      <c r="AB47" s="90">
        <v>8395300</v>
      </c>
      <c r="AC47" s="10">
        <v>110.65</v>
      </c>
      <c r="AD47" s="2">
        <f t="shared" si="0"/>
        <v>0.81999999999999318</v>
      </c>
      <c r="AE47" s="131">
        <f t="shared" si="1"/>
        <v>-2.614025599423031E-3</v>
      </c>
    </row>
    <row r="48" spans="2:31" x14ac:dyDescent="0.25">
      <c r="B48" s="161">
        <v>42600</v>
      </c>
      <c r="C48" s="10">
        <v>30</v>
      </c>
      <c r="D48" s="39">
        <v>92.658000000000001</v>
      </c>
      <c r="E48" s="39">
        <v>96.65</v>
      </c>
      <c r="F48" s="39">
        <f t="shared" si="9"/>
        <v>119.76000000000013</v>
      </c>
      <c r="G48" s="39">
        <f t="shared" si="10"/>
        <v>2779.7400000000002</v>
      </c>
      <c r="H48" s="175">
        <f t="shared" si="11"/>
        <v>4.3083166051501268E-2</v>
      </c>
      <c r="I48" s="39"/>
      <c r="O48" s="78">
        <v>1.03</v>
      </c>
      <c r="P48" s="78">
        <f t="shared" si="8"/>
        <v>136.43380000000002</v>
      </c>
      <c r="Q48" s="2"/>
      <c r="T48" s="88" t="s">
        <v>102</v>
      </c>
      <c r="U48" s="83">
        <v>1.32412</v>
      </c>
      <c r="W48" s="127">
        <v>42765</v>
      </c>
      <c r="X48" s="10">
        <v>109.86</v>
      </c>
      <c r="Y48" s="10">
        <v>111.05</v>
      </c>
      <c r="Z48" s="10">
        <v>108.96</v>
      </c>
      <c r="AA48" s="10">
        <v>110.94</v>
      </c>
      <c r="AB48" s="90">
        <v>13765200</v>
      </c>
      <c r="AC48" s="10">
        <v>110.94</v>
      </c>
      <c r="AD48" s="2">
        <f t="shared" si="0"/>
        <v>2.0900000000000034</v>
      </c>
      <c r="AE48" s="131">
        <f t="shared" si="1"/>
        <v>1.5004574565416373E-2</v>
      </c>
    </row>
    <row r="49" spans="2:31" x14ac:dyDescent="0.25">
      <c r="B49" s="161">
        <v>42604</v>
      </c>
      <c r="C49" s="10">
        <v>30</v>
      </c>
      <c r="D49" s="39">
        <v>92.658000000000001</v>
      </c>
      <c r="E49" s="39">
        <v>95.87</v>
      </c>
      <c r="F49" s="39">
        <f t="shared" si="9"/>
        <v>96.360000000000099</v>
      </c>
      <c r="G49" s="39">
        <f t="shared" si="10"/>
        <v>2779.7400000000002</v>
      </c>
      <c r="H49" s="175">
        <f t="shared" si="11"/>
        <v>3.4665112564484485E-2</v>
      </c>
      <c r="I49" s="39"/>
      <c r="O49" s="78">
        <v>1.02</v>
      </c>
      <c r="P49" s="78">
        <f t="shared" si="8"/>
        <v>135.10920000000002</v>
      </c>
      <c r="Q49" s="2"/>
      <c r="T49" s="88" t="s">
        <v>103</v>
      </c>
      <c r="U49" s="83" t="s">
        <v>468</v>
      </c>
      <c r="W49" s="127">
        <v>42762</v>
      </c>
      <c r="X49" s="10">
        <v>108.49</v>
      </c>
      <c r="Y49" s="10">
        <v>109.4</v>
      </c>
      <c r="Z49" s="10">
        <v>108.15</v>
      </c>
      <c r="AA49" s="10">
        <v>109.3</v>
      </c>
      <c r="AB49" s="90">
        <v>5534500</v>
      </c>
      <c r="AC49" s="10">
        <v>109.3</v>
      </c>
      <c r="AD49" s="2">
        <f t="shared" si="0"/>
        <v>1.25</v>
      </c>
      <c r="AE49" s="131">
        <f t="shared" si="1"/>
        <v>1.1475106422357939E-2</v>
      </c>
    </row>
    <row r="50" spans="2:31" x14ac:dyDescent="0.25">
      <c r="B50" s="161">
        <v>42607</v>
      </c>
      <c r="C50" s="10">
        <v>30</v>
      </c>
      <c r="D50" s="39">
        <v>92.658000000000001</v>
      </c>
      <c r="E50" s="39">
        <v>95.55</v>
      </c>
      <c r="F50" s="39">
        <f t="shared" si="9"/>
        <v>86.759999999999877</v>
      </c>
      <c r="G50" s="39">
        <f t="shared" si="10"/>
        <v>2779.7400000000002</v>
      </c>
      <c r="H50" s="175">
        <f t="shared" si="11"/>
        <v>3.1211552159554446E-2</v>
      </c>
      <c r="I50" s="39"/>
      <c r="O50" s="78">
        <v>1.01</v>
      </c>
      <c r="P50" s="78">
        <f t="shared" si="8"/>
        <v>133.78460000000001</v>
      </c>
      <c r="Q50" s="2"/>
      <c r="T50" s="88"/>
      <c r="U50" s="83"/>
      <c r="W50" s="127">
        <v>42761</v>
      </c>
      <c r="X50" s="10">
        <v>108.21</v>
      </c>
      <c r="Y50" s="10">
        <v>108.62</v>
      </c>
      <c r="Z50" s="10">
        <v>107.98</v>
      </c>
      <c r="AA50" s="10">
        <v>108.06</v>
      </c>
      <c r="AB50" s="90">
        <v>6079100</v>
      </c>
      <c r="AC50" s="10">
        <v>108.06</v>
      </c>
      <c r="AD50" s="2">
        <f t="shared" si="0"/>
        <v>0.64000000000000057</v>
      </c>
      <c r="AE50" s="131">
        <f t="shared" si="1"/>
        <v>1.8511662347275859E-4</v>
      </c>
    </row>
    <row r="51" spans="2:31" x14ac:dyDescent="0.25">
      <c r="B51" s="161">
        <v>42611</v>
      </c>
      <c r="C51" s="7">
        <v>55</v>
      </c>
      <c r="D51" s="43">
        <v>93.531599999999997</v>
      </c>
      <c r="E51" s="39">
        <v>94.87</v>
      </c>
      <c r="F51" s="39">
        <f t="shared" si="9"/>
        <v>73.612000000000393</v>
      </c>
      <c r="G51" s="39">
        <f t="shared" si="10"/>
        <v>5144.2380000000003</v>
      </c>
      <c r="H51" s="175">
        <f t="shared" si="11"/>
        <v>1.4309602316222615E-2</v>
      </c>
      <c r="I51" s="39"/>
      <c r="O51" s="78">
        <v>1</v>
      </c>
      <c r="P51" s="78">
        <f t="shared" si="8"/>
        <v>132.46</v>
      </c>
      <c r="Q51" s="2"/>
      <c r="T51" s="88" t="s">
        <v>104</v>
      </c>
      <c r="U51" s="83" t="s">
        <v>578</v>
      </c>
      <c r="W51" s="127">
        <v>42760</v>
      </c>
      <c r="X51" s="10">
        <v>108.23</v>
      </c>
      <c r="Y51" s="10">
        <v>108.42</v>
      </c>
      <c r="Z51" s="10">
        <v>108</v>
      </c>
      <c r="AA51" s="10">
        <v>108.04</v>
      </c>
      <c r="AB51" s="90">
        <v>6169400</v>
      </c>
      <c r="AC51" s="10">
        <v>108.04</v>
      </c>
      <c r="AD51" s="2">
        <f t="shared" si="0"/>
        <v>0.42000000000000171</v>
      </c>
      <c r="AE51" s="131">
        <f t="shared" si="1"/>
        <v>1.2974976830397722E-3</v>
      </c>
    </row>
    <row r="52" spans="2:31" x14ac:dyDescent="0.25">
      <c r="B52" s="161">
        <v>42615</v>
      </c>
      <c r="C52" s="10">
        <v>55</v>
      </c>
      <c r="D52" s="39">
        <v>93.531599999999997</v>
      </c>
      <c r="E52" s="39">
        <v>94.42</v>
      </c>
      <c r="F52" s="39">
        <f t="shared" si="9"/>
        <v>48.862000000000236</v>
      </c>
      <c r="G52" s="39">
        <f t="shared" si="10"/>
        <v>5144.2380000000003</v>
      </c>
      <c r="H52" s="175">
        <f t="shared" si="11"/>
        <v>9.4983941256217615E-3</v>
      </c>
      <c r="I52" s="39"/>
      <c r="O52" s="78">
        <v>0.99</v>
      </c>
      <c r="P52" s="78">
        <f t="shared" si="8"/>
        <v>131.1354</v>
      </c>
      <c r="Q52" s="2"/>
      <c r="T52" s="88" t="s">
        <v>105</v>
      </c>
      <c r="U52" s="83" t="s">
        <v>579</v>
      </c>
      <c r="W52" s="127">
        <v>42759</v>
      </c>
      <c r="X52" s="10">
        <v>107.2</v>
      </c>
      <c r="Y52" s="10">
        <v>108.06</v>
      </c>
      <c r="Z52" s="10">
        <v>107.08</v>
      </c>
      <c r="AA52" s="10">
        <v>107.9</v>
      </c>
      <c r="AB52" s="90">
        <v>5435800</v>
      </c>
      <c r="AC52" s="10">
        <v>107.9</v>
      </c>
      <c r="AD52" s="2">
        <f t="shared" si="0"/>
        <v>0.98000000000000398</v>
      </c>
      <c r="AE52" s="131">
        <f t="shared" si="1"/>
        <v>7.2815533980583602E-3</v>
      </c>
    </row>
    <row r="53" spans="2:31" x14ac:dyDescent="0.25">
      <c r="B53" s="161">
        <v>42619</v>
      </c>
      <c r="C53" s="10">
        <v>55</v>
      </c>
      <c r="D53" s="39">
        <v>93.531599999999997</v>
      </c>
      <c r="E53" s="39">
        <v>93.8</v>
      </c>
      <c r="F53" s="39">
        <f t="shared" si="9"/>
        <v>14.761999999999986</v>
      </c>
      <c r="G53" s="39">
        <f t="shared" si="10"/>
        <v>5144.2380000000003</v>
      </c>
      <c r="H53" s="175">
        <f t="shared" si="11"/>
        <v>2.8696183963494663E-3</v>
      </c>
      <c r="I53" s="39"/>
      <c r="O53" s="78">
        <v>0.98</v>
      </c>
      <c r="P53" s="78">
        <f t="shared" si="8"/>
        <v>129.8108</v>
      </c>
      <c r="Q53" s="2"/>
      <c r="T53" s="88" t="s">
        <v>106</v>
      </c>
      <c r="U53" s="85">
        <v>4795081</v>
      </c>
      <c r="W53" s="127">
        <v>42758</v>
      </c>
      <c r="X53" s="10">
        <v>107.34</v>
      </c>
      <c r="Y53" s="10">
        <v>107.68</v>
      </c>
      <c r="Z53" s="10">
        <v>106.57</v>
      </c>
      <c r="AA53" s="10">
        <v>107.12</v>
      </c>
      <c r="AB53" s="90">
        <v>5666600</v>
      </c>
      <c r="AC53" s="10">
        <v>107.12</v>
      </c>
      <c r="AD53" s="2">
        <f t="shared" si="0"/>
        <v>1.1100000000000136</v>
      </c>
      <c r="AE53" s="131">
        <f t="shared" si="1"/>
        <v>-5.0157904514210871E-3</v>
      </c>
    </row>
    <row r="54" spans="2:31" x14ac:dyDescent="0.25">
      <c r="B54" s="161">
        <v>42620</v>
      </c>
      <c r="C54" s="10">
        <v>55</v>
      </c>
      <c r="D54" s="39">
        <v>93.531599999999997</v>
      </c>
      <c r="E54" s="39">
        <v>93.71</v>
      </c>
      <c r="F54" s="39">
        <f t="shared" si="9"/>
        <v>9.8119999999997987</v>
      </c>
      <c r="G54" s="39">
        <f t="shared" si="10"/>
        <v>5144.2380000000003</v>
      </c>
      <c r="H54" s="175">
        <f t="shared" si="11"/>
        <v>1.9073767582292653E-3</v>
      </c>
      <c r="I54" s="39"/>
      <c r="O54" s="78">
        <v>0.97</v>
      </c>
      <c r="P54" s="78">
        <f t="shared" si="8"/>
        <v>128.4862</v>
      </c>
      <c r="T54" s="88" t="s">
        <v>109</v>
      </c>
      <c r="U54" s="85">
        <v>6370320</v>
      </c>
      <c r="W54" s="127">
        <v>42755</v>
      </c>
      <c r="X54" s="10">
        <v>107.35</v>
      </c>
      <c r="Y54" s="10">
        <v>107.82</v>
      </c>
      <c r="Z54" s="10">
        <v>107.18</v>
      </c>
      <c r="AA54" s="10">
        <v>107.66</v>
      </c>
      <c r="AB54" s="90">
        <v>5534800</v>
      </c>
      <c r="AC54" s="10">
        <v>107.66</v>
      </c>
      <c r="AD54" s="2">
        <f t="shared" si="0"/>
        <v>0.63999999999998636</v>
      </c>
      <c r="AE54" s="131">
        <f t="shared" si="1"/>
        <v>3.5421327367635147E-3</v>
      </c>
    </row>
    <row r="55" spans="2:31" x14ac:dyDescent="0.25">
      <c r="B55" s="161">
        <v>42621</v>
      </c>
      <c r="C55" s="10">
        <v>55</v>
      </c>
      <c r="D55" s="39">
        <v>93.531599999999997</v>
      </c>
      <c r="E55" s="39">
        <v>94.09</v>
      </c>
      <c r="F55" s="39">
        <f t="shared" si="9"/>
        <v>30.71200000000033</v>
      </c>
      <c r="G55" s="39">
        <f t="shared" si="10"/>
        <v>5144.2380000000003</v>
      </c>
      <c r="H55" s="175">
        <f t="shared" si="11"/>
        <v>5.9701747858478416E-3</v>
      </c>
      <c r="I55" s="39"/>
      <c r="O55" s="78">
        <v>0.96</v>
      </c>
      <c r="P55" s="78">
        <f t="shared" si="8"/>
        <v>127.16160000000001</v>
      </c>
      <c r="T55" s="88" t="s">
        <v>107</v>
      </c>
      <c r="U55" s="83" t="s">
        <v>580</v>
      </c>
      <c r="W55" s="127">
        <v>42754</v>
      </c>
      <c r="X55" s="10">
        <v>107.92</v>
      </c>
      <c r="Y55" s="10">
        <v>108.01</v>
      </c>
      <c r="Z55" s="10">
        <v>107.08</v>
      </c>
      <c r="AA55" s="10">
        <v>107.28</v>
      </c>
      <c r="AB55" s="90">
        <v>5348900</v>
      </c>
      <c r="AC55" s="10">
        <v>107.28</v>
      </c>
      <c r="AD55" s="2">
        <f t="shared" si="0"/>
        <v>0.93000000000000682</v>
      </c>
      <c r="AE55" s="131">
        <f t="shared" si="1"/>
        <v>-8.1360946745561158E-3</v>
      </c>
    </row>
    <row r="56" spans="2:31" x14ac:dyDescent="0.25">
      <c r="B56" s="161">
        <v>42622</v>
      </c>
      <c r="C56" s="10">
        <v>70</v>
      </c>
      <c r="D56" s="39">
        <v>93.310599999999994</v>
      </c>
      <c r="E56" s="39">
        <v>92.42</v>
      </c>
      <c r="F56" s="39">
        <f t="shared" si="9"/>
        <v>-62.341999999999445</v>
      </c>
      <c r="G56" s="39">
        <f t="shared" si="10"/>
        <v>6531.7419999999993</v>
      </c>
      <c r="H56" s="175">
        <f t="shared" si="11"/>
        <v>-9.5444676167551392E-3</v>
      </c>
      <c r="I56" s="39"/>
      <c r="O56" s="78">
        <v>0.95</v>
      </c>
      <c r="P56" s="78">
        <f t="shared" si="8"/>
        <v>125.837</v>
      </c>
      <c r="T56" s="88" t="s">
        <v>110</v>
      </c>
      <c r="U56" s="83">
        <v>20.399999999999999</v>
      </c>
      <c r="W56" s="127">
        <v>42753</v>
      </c>
      <c r="X56" s="10">
        <v>106.93</v>
      </c>
      <c r="Y56" s="10">
        <v>108.4</v>
      </c>
      <c r="Z56" s="10">
        <v>106.81</v>
      </c>
      <c r="AA56" s="10">
        <v>108.16</v>
      </c>
      <c r="AB56" s="90">
        <v>7162000</v>
      </c>
      <c r="AC56" s="10">
        <v>108.16</v>
      </c>
      <c r="AD56" s="2">
        <f t="shared" si="0"/>
        <v>1.5900000000000034</v>
      </c>
      <c r="AE56" s="131">
        <f t="shared" si="1"/>
        <v>1.7597480781699204E-3</v>
      </c>
    </row>
    <row r="57" spans="2:31" x14ac:dyDescent="0.25">
      <c r="B57" s="161">
        <v>42627</v>
      </c>
      <c r="C57" s="10">
        <v>70</v>
      </c>
      <c r="D57" s="39">
        <v>93.310599999999994</v>
      </c>
      <c r="E57" s="39">
        <v>92.26</v>
      </c>
      <c r="F57" s="39">
        <f t="shared" si="9"/>
        <v>-73.541999999999206</v>
      </c>
      <c r="G57" s="39">
        <f t="shared" si="10"/>
        <v>6531.7419999999993</v>
      </c>
      <c r="H57" s="175">
        <f t="shared" si="11"/>
        <v>-1.1259170983789502E-2</v>
      </c>
      <c r="I57" s="39"/>
      <c r="O57" s="78">
        <v>0.94</v>
      </c>
      <c r="P57" s="78">
        <f t="shared" si="8"/>
        <v>124.5124</v>
      </c>
      <c r="T57" s="88" t="s">
        <v>111</v>
      </c>
      <c r="U57" s="83">
        <v>5.54</v>
      </c>
      <c r="W57" s="127">
        <v>42752</v>
      </c>
      <c r="X57" s="10">
        <v>107.91</v>
      </c>
      <c r="Y57" s="10">
        <v>108.93</v>
      </c>
      <c r="Z57" s="10">
        <v>107.65</v>
      </c>
      <c r="AA57" s="10">
        <v>107.97</v>
      </c>
      <c r="AB57" s="90">
        <v>7583100</v>
      </c>
      <c r="AC57" s="10">
        <v>107.97</v>
      </c>
      <c r="AD57" s="2">
        <f t="shared" si="0"/>
        <v>1.2800000000000011</v>
      </c>
      <c r="AE57" s="131">
        <f t="shared" si="1"/>
        <v>-8.3287062742920526E-4</v>
      </c>
    </row>
    <row r="58" spans="2:31" x14ac:dyDescent="0.25">
      <c r="B58" s="161">
        <v>42635</v>
      </c>
      <c r="C58" s="10">
        <v>70</v>
      </c>
      <c r="D58" s="39">
        <v>93.310599999999994</v>
      </c>
      <c r="E58" s="39">
        <v>93.41</v>
      </c>
      <c r="F58" s="39">
        <f t="shared" si="9"/>
        <v>6.9580000000001974</v>
      </c>
      <c r="G58" s="39">
        <f t="shared" si="10"/>
        <v>6531.7419999999993</v>
      </c>
      <c r="H58" s="175">
        <f t="shared" si="11"/>
        <v>1.0652594667701508E-3</v>
      </c>
      <c r="I58" s="39"/>
      <c r="O58" s="78">
        <v>0.93</v>
      </c>
      <c r="P58" s="78">
        <f t="shared" si="8"/>
        <v>123.18780000000001</v>
      </c>
      <c r="T58" s="88" t="s">
        <v>108</v>
      </c>
      <c r="U58" s="83" t="s">
        <v>484</v>
      </c>
      <c r="W58" s="127">
        <v>42748</v>
      </c>
      <c r="X58" s="10">
        <v>107.16</v>
      </c>
      <c r="Y58" s="10">
        <v>108.35</v>
      </c>
      <c r="Z58" s="10">
        <v>106.9</v>
      </c>
      <c r="AA58" s="10">
        <v>108.06</v>
      </c>
      <c r="AB58" s="90">
        <v>6467200</v>
      </c>
      <c r="AC58" s="10">
        <v>108.06</v>
      </c>
      <c r="AD58" s="2">
        <f t="shared" si="0"/>
        <v>1.4499999999999886</v>
      </c>
      <c r="AE58" s="131">
        <f t="shared" si="1"/>
        <v>4.9288570631451645E-3</v>
      </c>
    </row>
    <row r="59" spans="2:31" x14ac:dyDescent="0.25">
      <c r="B59" s="161">
        <v>42639</v>
      </c>
      <c r="C59" s="10">
        <v>70</v>
      </c>
      <c r="D59" s="39">
        <v>93.310599999999994</v>
      </c>
      <c r="E59" s="39">
        <v>91.96</v>
      </c>
      <c r="F59" s="39">
        <f t="shared" si="9"/>
        <v>-94.542000000000002</v>
      </c>
      <c r="G59" s="39">
        <f t="shared" si="10"/>
        <v>6531.7419999999993</v>
      </c>
      <c r="H59" s="175">
        <f t="shared" si="11"/>
        <v>-1.4474239796979123E-2</v>
      </c>
      <c r="I59" s="39"/>
      <c r="O59" s="78">
        <v>0.92</v>
      </c>
      <c r="P59" s="78">
        <f t="shared" si="8"/>
        <v>121.86320000000001</v>
      </c>
      <c r="W59" s="127">
        <v>42747</v>
      </c>
      <c r="X59" s="10">
        <v>108.12</v>
      </c>
      <c r="Y59" s="10">
        <v>109</v>
      </c>
      <c r="Z59" s="10">
        <v>107.43</v>
      </c>
      <c r="AA59" s="10">
        <v>107.53</v>
      </c>
      <c r="AB59" s="90">
        <v>8201600</v>
      </c>
      <c r="AC59" s="10">
        <v>107.53</v>
      </c>
      <c r="AD59" s="2">
        <f t="shared" si="0"/>
        <v>1.5699999999999932</v>
      </c>
      <c r="AE59" s="131">
        <f t="shared" si="1"/>
        <v>-1.74524853801169E-2</v>
      </c>
    </row>
    <row r="60" spans="2:31" x14ac:dyDescent="0.25">
      <c r="B60" s="161">
        <v>42640</v>
      </c>
      <c r="C60" s="10">
        <v>70</v>
      </c>
      <c r="D60" s="39">
        <v>93.310599999999994</v>
      </c>
      <c r="E60" s="39">
        <v>91.72</v>
      </c>
      <c r="F60" s="39">
        <f t="shared" si="9"/>
        <v>-111.34199999999964</v>
      </c>
      <c r="G60" s="39">
        <f t="shared" si="10"/>
        <v>6531.7419999999993</v>
      </c>
      <c r="H60" s="175">
        <f t="shared" si="11"/>
        <v>-1.7046294847530667E-2</v>
      </c>
      <c r="I60" s="39"/>
      <c r="O60" s="78">
        <v>0.91</v>
      </c>
      <c r="P60" s="78">
        <f t="shared" si="8"/>
        <v>120.53860000000002</v>
      </c>
      <c r="W60" s="127">
        <v>42746</v>
      </c>
      <c r="X60" s="10">
        <v>108.54</v>
      </c>
      <c r="Y60" s="10">
        <v>109.49</v>
      </c>
      <c r="Z60" s="10">
        <v>108.38</v>
      </c>
      <c r="AA60" s="10">
        <v>109.44</v>
      </c>
      <c r="AB60" s="90">
        <v>7590400</v>
      </c>
      <c r="AC60" s="10">
        <v>109.44</v>
      </c>
      <c r="AD60" s="2">
        <f t="shared" si="0"/>
        <v>1.1099999999999994</v>
      </c>
      <c r="AE60" s="131">
        <f t="shared" si="1"/>
        <v>9.7804022882450603E-3</v>
      </c>
    </row>
    <row r="61" spans="2:31" x14ac:dyDescent="0.25">
      <c r="B61" s="161">
        <v>42641</v>
      </c>
      <c r="C61" s="10">
        <v>70</v>
      </c>
      <c r="D61" s="39">
        <v>93.310599999999994</v>
      </c>
      <c r="E61" s="39">
        <v>92.2</v>
      </c>
      <c r="F61" s="39">
        <f t="shared" si="9"/>
        <v>-77.741999999999365</v>
      </c>
      <c r="G61" s="39">
        <f t="shared" si="10"/>
        <v>6531.7419999999993</v>
      </c>
      <c r="H61" s="175">
        <f t="shared" si="11"/>
        <v>-1.1902184746427426E-2</v>
      </c>
      <c r="I61" s="39"/>
      <c r="O61" s="78">
        <v>0.9</v>
      </c>
      <c r="P61" s="78">
        <f t="shared" si="8"/>
        <v>119.21400000000001</v>
      </c>
      <c r="W61" s="127">
        <v>42745</v>
      </c>
      <c r="X61" s="10">
        <v>107.9</v>
      </c>
      <c r="Y61" s="10">
        <v>108.82</v>
      </c>
      <c r="Z61" s="10">
        <v>107.35</v>
      </c>
      <c r="AA61" s="10">
        <v>108.38</v>
      </c>
      <c r="AB61" s="90">
        <v>7893600</v>
      </c>
      <c r="AC61" s="10">
        <v>108.38</v>
      </c>
      <c r="AD61" s="2">
        <f t="shared" si="0"/>
        <v>1.4699999999999989</v>
      </c>
      <c r="AE61" s="131">
        <f t="shared" si="1"/>
        <v>1.8456995201177051E-4</v>
      </c>
    </row>
    <row r="62" spans="2:31" x14ac:dyDescent="0.25">
      <c r="B62" s="161">
        <v>42642</v>
      </c>
      <c r="C62" s="10">
        <v>70</v>
      </c>
      <c r="D62" s="39">
        <v>93.310599999999994</v>
      </c>
      <c r="E62" s="39">
        <v>92.86</v>
      </c>
      <c r="F62" s="39">
        <f t="shared" si="9"/>
        <v>-31.541999999999604</v>
      </c>
      <c r="G62" s="39">
        <f t="shared" si="10"/>
        <v>6531.7419999999993</v>
      </c>
      <c r="H62" s="175">
        <f t="shared" si="11"/>
        <v>-4.8290333574105664E-3</v>
      </c>
      <c r="I62" s="39"/>
      <c r="W62" s="127">
        <v>42744</v>
      </c>
      <c r="X62" s="10">
        <v>108.58</v>
      </c>
      <c r="Y62" s="10">
        <v>108.83</v>
      </c>
      <c r="Z62" s="10">
        <v>108.11</v>
      </c>
      <c r="AA62" s="10">
        <v>108.36</v>
      </c>
      <c r="AB62" s="90">
        <v>6193400</v>
      </c>
      <c r="AC62" s="10">
        <v>108.36</v>
      </c>
      <c r="AD62" s="2">
        <f t="shared" si="0"/>
        <v>0.71999999999999886</v>
      </c>
      <c r="AE62" s="131">
        <f t="shared" si="1"/>
        <v>-5.6891172692237202E-3</v>
      </c>
    </row>
    <row r="63" spans="2:31" x14ac:dyDescent="0.25">
      <c r="B63" s="161">
        <v>42651</v>
      </c>
      <c r="C63" s="10">
        <v>70</v>
      </c>
      <c r="D63" s="39">
        <v>93.310599999999994</v>
      </c>
      <c r="E63" s="39">
        <v>92.49</v>
      </c>
      <c r="F63" s="39">
        <f t="shared" si="9"/>
        <v>-57.441999999999922</v>
      </c>
      <c r="G63" s="39">
        <f t="shared" si="10"/>
        <v>6531.7419999999993</v>
      </c>
      <c r="H63" s="175">
        <f t="shared" si="11"/>
        <v>-8.7942848936776626E-3</v>
      </c>
      <c r="I63" s="39"/>
      <c r="W63" s="127">
        <v>42741</v>
      </c>
      <c r="X63" s="10">
        <v>108.02</v>
      </c>
      <c r="Y63" s="10">
        <v>109.35</v>
      </c>
      <c r="Z63" s="10">
        <v>107.75</v>
      </c>
      <c r="AA63" s="10">
        <v>108.98</v>
      </c>
      <c r="AB63" s="90">
        <v>9263300</v>
      </c>
      <c r="AC63" s="10">
        <v>108.98</v>
      </c>
      <c r="AD63" s="2">
        <f t="shared" si="0"/>
        <v>1.5999999999999943</v>
      </c>
      <c r="AE63" s="131">
        <f t="shared" si="1"/>
        <v>1.4900353883404716E-2</v>
      </c>
    </row>
    <row r="64" spans="2:31" x14ac:dyDescent="0.25">
      <c r="B64" s="161">
        <v>42664</v>
      </c>
      <c r="C64" s="10">
        <v>70</v>
      </c>
      <c r="D64" s="39">
        <v>93.310599999999994</v>
      </c>
      <c r="E64" s="39">
        <v>93.03</v>
      </c>
      <c r="F64" s="39">
        <f t="shared" si="9"/>
        <v>-19.641999999999484</v>
      </c>
      <c r="G64" s="39">
        <f t="shared" si="10"/>
        <v>6531.7419999999993</v>
      </c>
      <c r="H64" s="175">
        <f t="shared" si="11"/>
        <v>-3.0071610299364985E-3</v>
      </c>
      <c r="I64" s="39"/>
      <c r="W64" s="127">
        <v>42740</v>
      </c>
      <c r="X64" s="10">
        <v>107.17</v>
      </c>
      <c r="Y64" s="10">
        <v>107.62</v>
      </c>
      <c r="Z64" s="10">
        <v>106.79</v>
      </c>
      <c r="AA64" s="10">
        <v>107.38</v>
      </c>
      <c r="AB64" s="90">
        <v>6292500</v>
      </c>
      <c r="AC64" s="10">
        <v>107.38</v>
      </c>
      <c r="AD64" s="2">
        <f t="shared" si="0"/>
        <v>0.82999999999999829</v>
      </c>
      <c r="AE64" s="131">
        <f t="shared" si="1"/>
        <v>-5.5845122859277119E-4</v>
      </c>
    </row>
    <row r="65" spans="2:31" x14ac:dyDescent="0.25">
      <c r="B65" s="161">
        <v>42674</v>
      </c>
      <c r="C65" s="10">
        <v>70</v>
      </c>
      <c r="D65" s="39">
        <v>93.310599999999994</v>
      </c>
      <c r="E65" s="39">
        <v>92.69</v>
      </c>
      <c r="F65" s="39">
        <f t="shared" si="9"/>
        <v>-43.441999999999723</v>
      </c>
      <c r="G65" s="39">
        <f t="shared" si="10"/>
        <v>6531.7419999999993</v>
      </c>
      <c r="H65" s="175">
        <f t="shared" si="11"/>
        <v>-6.6509056848846337E-3</v>
      </c>
      <c r="I65" s="39"/>
      <c r="W65" s="127">
        <v>42739</v>
      </c>
      <c r="X65" s="10">
        <v>106.64</v>
      </c>
      <c r="Y65" s="10">
        <v>107.5</v>
      </c>
      <c r="Z65" s="10">
        <v>106.25</v>
      </c>
      <c r="AA65" s="10">
        <v>107.44</v>
      </c>
      <c r="AB65" s="90">
        <v>8231900</v>
      </c>
      <c r="AC65" s="10">
        <v>107.44</v>
      </c>
      <c r="AD65" s="2">
        <f t="shared" si="0"/>
        <v>1.25</v>
      </c>
      <c r="AE65" s="131">
        <f t="shared" si="1"/>
        <v>1.2820512820512775E-2</v>
      </c>
    </row>
    <row r="66" spans="2:31" x14ac:dyDescent="0.25">
      <c r="B66" s="161">
        <v>42701</v>
      </c>
      <c r="C66" s="10">
        <v>0</v>
      </c>
      <c r="D66" s="39"/>
      <c r="E66" s="39"/>
      <c r="F66" s="39">
        <v>257.31</v>
      </c>
      <c r="G66" s="39"/>
      <c r="H66" s="175"/>
      <c r="I66" s="39"/>
      <c r="W66" s="127">
        <v>42738</v>
      </c>
      <c r="X66" s="10">
        <v>105.3</v>
      </c>
      <c r="Y66" s="10">
        <v>106.9</v>
      </c>
      <c r="Z66" s="10">
        <v>105.21</v>
      </c>
      <c r="AA66" s="10">
        <v>106.08</v>
      </c>
      <c r="AB66" s="90">
        <v>8872900</v>
      </c>
      <c r="AC66" s="10">
        <v>106.08</v>
      </c>
      <c r="AD66" s="2">
        <f t="shared" si="0"/>
        <v>1.6900000000000119</v>
      </c>
      <c r="AE66" s="131">
        <f t="shared" si="1"/>
        <v>1.7846862406447839E-2</v>
      </c>
    </row>
    <row r="67" spans="2:31" x14ac:dyDescent="0.25">
      <c r="B67" s="161"/>
      <c r="C67" s="10"/>
      <c r="D67" s="39"/>
      <c r="E67" s="39"/>
      <c r="F67" s="39"/>
      <c r="G67" s="39"/>
      <c r="H67" s="175"/>
      <c r="I67" s="39"/>
      <c r="W67" s="127">
        <v>42734</v>
      </c>
      <c r="X67" s="10">
        <v>104.57</v>
      </c>
      <c r="Y67" s="10">
        <v>105</v>
      </c>
      <c r="Z67" s="10">
        <v>103.96</v>
      </c>
      <c r="AA67" s="10">
        <v>104.22</v>
      </c>
      <c r="AB67" s="90">
        <v>6629500</v>
      </c>
      <c r="AC67" s="10">
        <v>104.22</v>
      </c>
      <c r="AD67" s="2">
        <f>Y67-Z67</f>
        <v>1.0400000000000063</v>
      </c>
      <c r="AE67" s="131" t="e">
        <f>AC67/#REF!-1</f>
        <v>#REF!</v>
      </c>
    </row>
    <row r="68" spans="2:31" x14ac:dyDescent="0.25">
      <c r="B68" s="161"/>
      <c r="C68" s="10"/>
      <c r="D68" s="39"/>
      <c r="E68" s="39"/>
      <c r="F68" s="39"/>
      <c r="G68" s="39"/>
      <c r="H68" s="175"/>
      <c r="I68" s="39"/>
      <c r="W68" s="127" t="s">
        <v>120</v>
      </c>
      <c r="X68" s="10"/>
      <c r="Y68" s="10"/>
      <c r="Z68" s="10"/>
      <c r="AA68" s="10"/>
      <c r="AB68" s="90"/>
      <c r="AC68" s="10"/>
      <c r="AD68" s="2" t="e">
        <f>#REF!-#REF!</f>
        <v>#REF!</v>
      </c>
      <c r="AE68" s="131" t="e">
        <f>#REF!/AC68-1</f>
        <v>#REF!</v>
      </c>
    </row>
    <row r="69" spans="2:31" x14ac:dyDescent="0.25">
      <c r="B69" s="161"/>
      <c r="C69" s="10"/>
      <c r="D69" s="39"/>
      <c r="E69" s="39"/>
      <c r="F69" s="39"/>
      <c r="G69" s="39"/>
      <c r="H69" s="175"/>
      <c r="I69" s="39"/>
      <c r="AD69" s="2">
        <f>Y68-Z68</f>
        <v>0</v>
      </c>
      <c r="AE69" s="131" t="e">
        <f>AC68/AC69-1</f>
        <v>#DIV/0!</v>
      </c>
    </row>
    <row r="70" spans="2:31" x14ac:dyDescent="0.25">
      <c r="B70" s="161"/>
      <c r="C70" s="10"/>
      <c r="D70" s="39"/>
      <c r="E70" s="39"/>
      <c r="F70" s="39"/>
      <c r="G70" s="39"/>
      <c r="H70" s="175"/>
      <c r="I70" s="39"/>
    </row>
    <row r="81" spans="1:13" x14ac:dyDescent="0.25">
      <c r="L81" t="s">
        <v>65</v>
      </c>
      <c r="M81" s="2">
        <f>M99+K99-F99</f>
        <v>257.30999999999949</v>
      </c>
    </row>
    <row r="82" spans="1:13" x14ac:dyDescent="0.25">
      <c r="A82" s="444" t="s">
        <v>1</v>
      </c>
      <c r="B82" s="444" t="s">
        <v>2</v>
      </c>
      <c r="C82" s="444" t="s">
        <v>4</v>
      </c>
      <c r="D82" s="445" t="s">
        <v>5</v>
      </c>
      <c r="E82" s="445" t="s">
        <v>94</v>
      </c>
      <c r="F82" s="445" t="s">
        <v>60</v>
      </c>
      <c r="G82" s="444" t="s">
        <v>3</v>
      </c>
      <c r="H82" s="444" t="s">
        <v>6</v>
      </c>
      <c r="I82" s="445" t="s">
        <v>7</v>
      </c>
      <c r="J82" s="445" t="s">
        <v>95</v>
      </c>
      <c r="K82" s="445" t="s">
        <v>61</v>
      </c>
      <c r="L82" s="444" t="s">
        <v>37</v>
      </c>
      <c r="M82" s="444" t="s">
        <v>38</v>
      </c>
    </row>
    <row r="83" spans="1:13" x14ac:dyDescent="0.25">
      <c r="A83" s="446" t="s">
        <v>63</v>
      </c>
      <c r="B83" s="443">
        <v>42226</v>
      </c>
      <c r="C83" s="447">
        <v>10</v>
      </c>
      <c r="D83" s="448">
        <v>113.72</v>
      </c>
      <c r="E83" s="448">
        <v>0</v>
      </c>
      <c r="F83" s="448">
        <f t="shared" ref="F83:F92" si="12">C83*D83</f>
        <v>1137.2</v>
      </c>
      <c r="G83" s="443">
        <v>42304</v>
      </c>
      <c r="H83" s="449">
        <v>30</v>
      </c>
      <c r="I83" s="448">
        <v>111.35</v>
      </c>
      <c r="J83" s="448">
        <v>0.06</v>
      </c>
      <c r="K83" s="448">
        <f t="shared" ref="K83:K88" si="13">I83*H83-J83</f>
        <v>3340.44</v>
      </c>
      <c r="L83" s="443">
        <v>42580</v>
      </c>
      <c r="M83" s="448">
        <v>10.65</v>
      </c>
    </row>
    <row r="84" spans="1:13" x14ac:dyDescent="0.25">
      <c r="A84" s="450" t="s">
        <v>71</v>
      </c>
      <c r="B84" s="443">
        <v>42226</v>
      </c>
      <c r="C84" s="447">
        <v>5</v>
      </c>
      <c r="D84" s="448">
        <v>112.2</v>
      </c>
      <c r="E84" s="448">
        <v>0</v>
      </c>
      <c r="F84" s="448">
        <f t="shared" si="12"/>
        <v>561</v>
      </c>
      <c r="G84" s="443">
        <v>42416</v>
      </c>
      <c r="H84" s="449">
        <v>15</v>
      </c>
      <c r="I84" s="448">
        <v>92.85</v>
      </c>
      <c r="J84" s="448">
        <v>0.03</v>
      </c>
      <c r="K84" s="448">
        <f t="shared" si="13"/>
        <v>1392.72</v>
      </c>
      <c r="L84" s="447"/>
      <c r="M84" s="447"/>
    </row>
    <row r="85" spans="1:13" x14ac:dyDescent="0.25">
      <c r="A85" s="447"/>
      <c r="B85" s="443">
        <v>42226</v>
      </c>
      <c r="C85" s="447">
        <v>5</v>
      </c>
      <c r="D85" s="448">
        <v>110.93</v>
      </c>
      <c r="E85" s="448">
        <v>0</v>
      </c>
      <c r="F85" s="448">
        <f t="shared" si="12"/>
        <v>554.65000000000009</v>
      </c>
      <c r="G85" s="443">
        <v>42482</v>
      </c>
      <c r="H85" s="449">
        <v>10</v>
      </c>
      <c r="I85" s="448">
        <v>103.71</v>
      </c>
      <c r="J85" s="448">
        <v>0.02</v>
      </c>
      <c r="K85" s="448">
        <f t="shared" si="13"/>
        <v>1037.08</v>
      </c>
      <c r="L85" s="447"/>
      <c r="M85" s="447"/>
    </row>
    <row r="86" spans="1:13" x14ac:dyDescent="0.25">
      <c r="A86" s="447"/>
      <c r="B86" s="443">
        <v>42227</v>
      </c>
      <c r="C86" s="447">
        <v>10</v>
      </c>
      <c r="D86" s="448">
        <v>105</v>
      </c>
      <c r="E86" s="448">
        <v>0</v>
      </c>
      <c r="F86" s="448">
        <f t="shared" si="12"/>
        <v>1050</v>
      </c>
      <c r="G86" s="443">
        <v>42592</v>
      </c>
      <c r="H86" s="449">
        <v>15</v>
      </c>
      <c r="I86" s="448">
        <v>97.88</v>
      </c>
      <c r="J86" s="448">
        <v>0.03</v>
      </c>
      <c r="K86" s="448">
        <f t="shared" si="13"/>
        <v>1468.1699999999998</v>
      </c>
      <c r="L86" s="447"/>
      <c r="M86" s="447"/>
    </row>
    <row r="87" spans="1:13" x14ac:dyDescent="0.25">
      <c r="A87" s="447"/>
      <c r="B87" s="443">
        <v>42374</v>
      </c>
      <c r="C87" s="447">
        <v>25</v>
      </c>
      <c r="D87" s="448">
        <v>100.9</v>
      </c>
      <c r="E87" s="448">
        <v>0</v>
      </c>
      <c r="F87" s="448">
        <f t="shared" si="12"/>
        <v>2522.5</v>
      </c>
      <c r="G87" s="443">
        <v>42684</v>
      </c>
      <c r="H87" s="449">
        <v>50</v>
      </c>
      <c r="I87" s="448">
        <v>97.5</v>
      </c>
      <c r="J87" s="448">
        <v>0.11</v>
      </c>
      <c r="K87" s="448">
        <f t="shared" si="13"/>
        <v>4874.8900000000003</v>
      </c>
      <c r="L87" s="447"/>
      <c r="M87" s="447"/>
    </row>
    <row r="88" spans="1:13" x14ac:dyDescent="0.25">
      <c r="A88" s="447"/>
      <c r="B88" s="443">
        <v>42409</v>
      </c>
      <c r="C88" s="447">
        <v>15</v>
      </c>
      <c r="D88" s="448">
        <v>88.5</v>
      </c>
      <c r="E88" s="448">
        <v>0</v>
      </c>
      <c r="F88" s="448">
        <f t="shared" si="12"/>
        <v>1327.5</v>
      </c>
      <c r="G88" s="443">
        <v>42684</v>
      </c>
      <c r="H88" s="449">
        <v>20</v>
      </c>
      <c r="I88" s="448">
        <v>95.71</v>
      </c>
      <c r="J88" s="448">
        <v>0.04</v>
      </c>
      <c r="K88" s="448">
        <f t="shared" si="13"/>
        <v>1914.1599999999999</v>
      </c>
      <c r="L88" s="447"/>
      <c r="M88" s="447"/>
    </row>
    <row r="89" spans="1:13" x14ac:dyDescent="0.25">
      <c r="A89" s="447"/>
      <c r="B89" s="443">
        <v>42586</v>
      </c>
      <c r="C89" s="447">
        <v>15</v>
      </c>
      <c r="D89" s="448">
        <v>94.88</v>
      </c>
      <c r="E89" s="448">
        <v>0</v>
      </c>
      <c r="F89" s="448">
        <f t="shared" si="12"/>
        <v>1423.1999999999998</v>
      </c>
      <c r="G89" s="447"/>
      <c r="H89" s="449"/>
      <c r="I89" s="448"/>
      <c r="J89" s="448"/>
      <c r="K89" s="448"/>
      <c r="L89" s="447"/>
      <c r="M89" s="447"/>
    </row>
    <row r="90" spans="1:13" x14ac:dyDescent="0.25">
      <c r="A90" s="447"/>
      <c r="B90" s="443">
        <v>42594</v>
      </c>
      <c r="C90" s="447">
        <v>15</v>
      </c>
      <c r="D90" s="448">
        <v>96.85</v>
      </c>
      <c r="E90" s="448">
        <v>0</v>
      </c>
      <c r="F90" s="448">
        <f t="shared" si="12"/>
        <v>1452.75</v>
      </c>
      <c r="G90" s="447"/>
      <c r="H90" s="449"/>
      <c r="I90" s="448"/>
      <c r="J90" s="448"/>
      <c r="K90" s="448"/>
      <c r="L90" s="447"/>
      <c r="M90" s="447"/>
    </row>
    <row r="91" spans="1:13" x14ac:dyDescent="0.25">
      <c r="A91" s="447"/>
      <c r="B91" s="443">
        <v>42611</v>
      </c>
      <c r="C91" s="447">
        <v>25</v>
      </c>
      <c r="D91" s="448">
        <v>94.58</v>
      </c>
      <c r="E91" s="448">
        <v>0</v>
      </c>
      <c r="F91" s="448">
        <f t="shared" si="12"/>
        <v>2364.5</v>
      </c>
      <c r="G91" s="447"/>
      <c r="H91" s="447"/>
      <c r="I91" s="448"/>
      <c r="J91" s="448"/>
      <c r="K91" s="448"/>
      <c r="L91" s="447"/>
      <c r="M91" s="447"/>
    </row>
    <row r="92" spans="1:13" x14ac:dyDescent="0.25">
      <c r="A92" s="447"/>
      <c r="B92" s="443">
        <v>42622</v>
      </c>
      <c r="C92" s="447">
        <v>15</v>
      </c>
      <c r="D92" s="448">
        <v>92.5</v>
      </c>
      <c r="E92" s="448">
        <v>0</v>
      </c>
      <c r="F92" s="448">
        <f t="shared" si="12"/>
        <v>1387.5</v>
      </c>
      <c r="G92" s="447"/>
      <c r="H92" s="447"/>
      <c r="I92" s="448"/>
      <c r="J92" s="448"/>
      <c r="K92" s="448"/>
      <c r="L92" s="447"/>
      <c r="M92" s="447"/>
    </row>
    <row r="93" spans="1:13" x14ac:dyDescent="0.25">
      <c r="A93" s="447"/>
      <c r="B93" s="447"/>
      <c r="C93" s="447"/>
      <c r="D93" s="448"/>
      <c r="E93" s="448"/>
      <c r="F93" s="448"/>
      <c r="G93" s="447"/>
      <c r="H93" s="447"/>
      <c r="I93" s="448"/>
      <c r="J93" s="448"/>
      <c r="K93" s="448"/>
      <c r="L93" s="447"/>
      <c r="M93" s="447"/>
    </row>
    <row r="94" spans="1:13" x14ac:dyDescent="0.25">
      <c r="A94" s="447"/>
      <c r="B94" s="447"/>
      <c r="C94" s="447"/>
      <c r="D94" s="448"/>
      <c r="E94" s="448"/>
      <c r="F94" s="448"/>
      <c r="G94" s="447"/>
      <c r="H94" s="447"/>
      <c r="I94" s="448"/>
      <c r="J94" s="448"/>
      <c r="K94" s="448"/>
      <c r="L94" s="447"/>
      <c r="M94" s="447"/>
    </row>
    <row r="95" spans="1:13" x14ac:dyDescent="0.25">
      <c r="A95" s="447"/>
      <c r="B95" s="447"/>
      <c r="C95" s="447"/>
      <c r="D95" s="448"/>
      <c r="E95" s="448"/>
      <c r="F95" s="448"/>
      <c r="G95" s="447"/>
      <c r="H95" s="447"/>
      <c r="I95" s="448"/>
      <c r="J95" s="448"/>
      <c r="K95" s="448"/>
      <c r="L95" s="447"/>
      <c r="M95" s="447"/>
    </row>
    <row r="96" spans="1:13" x14ac:dyDescent="0.25">
      <c r="A96" s="447"/>
      <c r="B96" s="447"/>
      <c r="C96" s="447"/>
      <c r="D96" s="448"/>
      <c r="E96" s="448"/>
      <c r="F96" s="448"/>
      <c r="G96" s="447"/>
      <c r="H96" s="447"/>
      <c r="I96" s="448"/>
      <c r="J96" s="448"/>
      <c r="K96" s="448"/>
      <c r="L96" s="447"/>
      <c r="M96" s="447"/>
    </row>
    <row r="97" spans="1:13" x14ac:dyDescent="0.25">
      <c r="A97" s="447"/>
      <c r="B97" s="447"/>
      <c r="C97" s="447"/>
      <c r="D97" s="448"/>
      <c r="E97" s="448"/>
      <c r="F97" s="448"/>
      <c r="G97" s="447"/>
      <c r="H97" s="447"/>
      <c r="I97" s="448"/>
      <c r="J97" s="448"/>
      <c r="K97" s="448"/>
      <c r="L97" s="447"/>
      <c r="M97" s="447"/>
    </row>
    <row r="98" spans="1:13" x14ac:dyDescent="0.25">
      <c r="A98" s="447"/>
      <c r="B98" s="447"/>
      <c r="C98" s="447"/>
      <c r="D98" s="448"/>
      <c r="E98" s="448"/>
      <c r="F98" s="448"/>
      <c r="G98" s="447"/>
      <c r="H98" s="447"/>
      <c r="I98" s="448"/>
      <c r="J98" s="448"/>
      <c r="K98" s="448"/>
      <c r="L98" s="447"/>
      <c r="M98" s="447"/>
    </row>
    <row r="99" spans="1:13" x14ac:dyDescent="0.25">
      <c r="A99" s="451" t="s">
        <v>81</v>
      </c>
      <c r="B99" s="452"/>
      <c r="C99" s="452">
        <f>SUM(C83:C92)</f>
        <v>140</v>
      </c>
      <c r="D99" s="453"/>
      <c r="E99" s="453"/>
      <c r="F99" s="453">
        <f>SUM(F83:F92)</f>
        <v>13780.8</v>
      </c>
      <c r="G99" s="452"/>
      <c r="H99" s="454">
        <f>SUM(H83:H88)</f>
        <v>140</v>
      </c>
      <c r="I99" s="453"/>
      <c r="J99" s="453"/>
      <c r="K99" s="453">
        <f>SUM(K83:K88)</f>
        <v>14027.46</v>
      </c>
      <c r="L99" s="452"/>
      <c r="M99" s="453">
        <f>SUM(M83:M86)</f>
        <v>10.65</v>
      </c>
    </row>
    <row r="100" spans="1:13" ht="15.75" thickBot="1" x14ac:dyDescent="0.3">
      <c r="A100" s="455" t="s">
        <v>189</v>
      </c>
      <c r="B100" s="456"/>
      <c r="C100" s="457">
        <f>SumByColor($A$19,C83:C98)</f>
        <v>0</v>
      </c>
      <c r="D100" s="457"/>
      <c r="E100" s="457"/>
      <c r="F100" s="458">
        <f>SumByColor($A$19,F83:F98)</f>
        <v>0</v>
      </c>
      <c r="G100" s="457"/>
      <c r="H100" s="457">
        <f>SumByColor($A$19,H83:H98)</f>
        <v>0</v>
      </c>
      <c r="I100" s="457"/>
      <c r="J100" s="457"/>
      <c r="K100" s="458">
        <f>SumByColor($A$19,K83:K98)</f>
        <v>0</v>
      </c>
      <c r="L100" s="457"/>
      <c r="M100" s="458">
        <f>SumByColor($A$19,M83:M98)</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{4C3CD77C-DEB8-48E1-9529-7E0D502B533D}</x14:id>
        </ext>
      </extLst>
    </cfRule>
  </conditionalFormatting>
  <conditionalFormatting sqref="AE1:AE69">
    <cfRule type="iconSet" priority="17">
      <iconSet iconSet="3Arrows">
        <cfvo type="percent" val="0"/>
        <cfvo type="num" val="0"/>
        <cfvo type="num" val="0"/>
      </iconSet>
    </cfRule>
  </conditionalFormatting>
  <conditionalFormatting sqref="F25 F30:F31">
    <cfRule type="expression" dxfId="621" priority="15">
      <formula>F25&gt;0</formula>
    </cfRule>
    <cfRule type="expression" dxfId="620" priority="16">
      <formula>F25&lt;0</formula>
    </cfRule>
  </conditionalFormatting>
  <conditionalFormatting sqref="F32:F70">
    <cfRule type="expression" dxfId="619" priority="11">
      <formula>F32&gt;0</formula>
    </cfRule>
    <cfRule type="expression" dxfId="618" priority="12">
      <formula>F32&lt;0</formula>
    </cfRule>
  </conditionalFormatting>
  <conditionalFormatting sqref="F32:F70">
    <cfRule type="expression" dxfId="617" priority="13">
      <formula>F32&gt;0</formula>
    </cfRule>
    <cfRule type="expression" dxfId="616" priority="14">
      <formula>F32&lt;0</formula>
    </cfRule>
  </conditionalFormatting>
  <conditionalFormatting sqref="H25 H30:H70">
    <cfRule type="expression" dxfId="615" priority="9">
      <formula>H25&gt;0</formula>
    </cfRule>
    <cfRule type="expression" dxfId="614" priority="10">
      <formula>H25&lt;0</formula>
    </cfRule>
  </conditionalFormatting>
  <conditionalFormatting sqref="F26:F29">
    <cfRule type="expression" dxfId="613" priority="7">
      <formula>F26&gt;0</formula>
    </cfRule>
    <cfRule type="expression" dxfId="612" priority="8">
      <formula>F26&lt;0</formula>
    </cfRule>
  </conditionalFormatting>
  <conditionalFormatting sqref="H26:H29">
    <cfRule type="expression" dxfId="611" priority="5">
      <formula>H26&gt;0</formula>
    </cfRule>
    <cfRule type="expression" dxfId="610" priority="6">
      <formula>H26&lt;0</formula>
    </cfRule>
  </conditionalFormatting>
  <conditionalFormatting sqref="Q7">
    <cfRule type="expression" dxfId="609" priority="3">
      <formula>Q7&gt;0</formula>
    </cfRule>
    <cfRule type="expression" dxfId="608" priority="4">
      <formula>Q7&lt;0</formula>
    </cfRule>
  </conditionalFormatting>
  <conditionalFormatting sqref="Q8">
    <cfRule type="expression" dxfId="607" priority="1">
      <formula>Q8&gt;0</formula>
    </cfRule>
    <cfRule type="expression" dxfId="606" priority="2">
      <formula>Q8&lt;0</formula>
    </cfRule>
  </conditionalFormatting>
  <hyperlinks>
    <hyperlink ref="A3" location="ACTIVE!A1" display="Back"/>
    <hyperlink ref="A84"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4C3CD77C-DEB8-48E1-9529-7E0D502B533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9"/>
  <dimension ref="A1:U110"/>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8.42578125" bestFit="1" customWidth="1"/>
    <col min="4" max="6" width="9.140625" style="2"/>
    <col min="7" max="7" width="9.7109375" bestFit="1" customWidth="1"/>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1358</v>
      </c>
      <c r="B2" s="397">
        <v>43692</v>
      </c>
      <c r="C2" s="7">
        <v>100</v>
      </c>
      <c r="D2" s="43">
        <v>31.2</v>
      </c>
      <c r="E2" s="43">
        <v>0</v>
      </c>
      <c r="F2" s="43">
        <f>C2*D2+E2</f>
        <v>3120</v>
      </c>
      <c r="G2" s="397">
        <v>43725</v>
      </c>
      <c r="H2" s="7">
        <v>100</v>
      </c>
      <c r="I2" s="43">
        <v>36.25</v>
      </c>
      <c r="J2" s="43">
        <v>0.08</v>
      </c>
      <c r="K2" s="43">
        <f>H2*I2-J2</f>
        <v>3624.92</v>
      </c>
      <c r="L2" s="69"/>
      <c r="M2" s="3"/>
      <c r="O2" s="11" t="s">
        <v>57</v>
      </c>
      <c r="Q2">
        <f>C18-H18</f>
        <v>0</v>
      </c>
      <c r="T2" s="1"/>
    </row>
    <row r="3" spans="1:21" x14ac:dyDescent="0.25">
      <c r="A3" s="22" t="s">
        <v>71</v>
      </c>
      <c r="B3" s="397">
        <v>43740</v>
      </c>
      <c r="C3" s="7">
        <v>100</v>
      </c>
      <c r="D3" s="43">
        <v>32.28</v>
      </c>
      <c r="E3" s="43">
        <v>0</v>
      </c>
      <c r="F3" s="43">
        <f>C3*D3+E3</f>
        <v>3228</v>
      </c>
      <c r="G3" s="397">
        <v>43773</v>
      </c>
      <c r="H3" s="77">
        <v>100</v>
      </c>
      <c r="I3" s="43">
        <v>38.26</v>
      </c>
      <c r="J3" s="43">
        <v>0.08</v>
      </c>
      <c r="K3" s="43">
        <f>H3*I3-J3</f>
        <v>3825.92</v>
      </c>
      <c r="L3" s="4"/>
      <c r="M3" s="4"/>
      <c r="O3" s="11" t="s">
        <v>58</v>
      </c>
      <c r="Q3" s="174">
        <f>IF(Q2=0, Q4, (F18-K18-M18)/Q2)</f>
        <v>38.090000000000003</v>
      </c>
      <c r="T3" s="1"/>
    </row>
    <row r="4" spans="1:21" x14ac:dyDescent="0.25">
      <c r="B4" s="114"/>
      <c r="C4" s="4"/>
      <c r="D4" s="3"/>
      <c r="E4" s="3"/>
      <c r="F4" s="3"/>
      <c r="G4" s="69"/>
      <c r="H4" s="158"/>
      <c r="I4" s="3"/>
      <c r="J4" s="3"/>
      <c r="K4" s="3"/>
      <c r="L4" s="4"/>
      <c r="M4" s="4"/>
      <c r="O4" s="11" t="s">
        <v>66</v>
      </c>
      <c r="Q4" s="53">
        <v>38.090000000000003</v>
      </c>
      <c r="R4" s="416">
        <v>7.1000000000000004E-3</v>
      </c>
      <c r="T4" s="680"/>
      <c r="U4" s="30"/>
    </row>
    <row r="5" spans="1:21" x14ac:dyDescent="0.25">
      <c r="B5" s="69"/>
      <c r="C5" s="4"/>
      <c r="D5" s="3"/>
      <c r="E5" s="3"/>
      <c r="F5" s="3"/>
      <c r="G5" s="69"/>
      <c r="H5" s="158"/>
      <c r="I5" s="3"/>
      <c r="J5" s="3"/>
      <c r="K5" s="3"/>
      <c r="L5" s="4"/>
      <c r="M5" s="4"/>
      <c r="O5" s="11" t="s">
        <v>67</v>
      </c>
      <c r="Q5" s="3">
        <f>Q4*Q2</f>
        <v>0</v>
      </c>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69"/>
      <c r="H7" s="158"/>
      <c r="I7" s="3"/>
      <c r="J7" s="3"/>
      <c r="K7" s="3"/>
      <c r="L7" s="4"/>
      <c r="M7" s="4"/>
      <c r="O7" s="11" t="s">
        <v>175</v>
      </c>
      <c r="Q7" s="2">
        <f>Q10+Q8</f>
        <v>1102.8400000000001</v>
      </c>
      <c r="R7">
        <v>0</v>
      </c>
      <c r="T7" s="1"/>
    </row>
    <row r="8" spans="1:21" x14ac:dyDescent="0.25">
      <c r="B8" s="69"/>
      <c r="C8" s="4"/>
      <c r="D8" s="3"/>
      <c r="E8" s="3"/>
      <c r="F8" s="3"/>
      <c r="G8" s="69"/>
      <c r="H8" s="158"/>
      <c r="I8" s="3"/>
      <c r="J8" s="3"/>
      <c r="K8" s="3"/>
      <c r="L8" s="4"/>
      <c r="M8" s="4"/>
      <c r="O8" s="11" t="s">
        <v>177</v>
      </c>
      <c r="P8" s="33"/>
      <c r="Q8" s="2">
        <f>K18+M18-F18+Q2*Q4</f>
        <v>1102.8400000000001</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2.3103176686794433E-2</v>
      </c>
      <c r="R11">
        <f>0.88/4</f>
        <v>0.22</v>
      </c>
    </row>
    <row r="12" spans="1:21" x14ac:dyDescent="0.25">
      <c r="H12" s="67"/>
      <c r="O12" s="11" t="s">
        <v>875</v>
      </c>
      <c r="Q12" s="1" t="s">
        <v>1356</v>
      </c>
    </row>
    <row r="13" spans="1:21" x14ac:dyDescent="0.25">
      <c r="H13" s="67"/>
      <c r="O13" s="11" t="s">
        <v>901</v>
      </c>
      <c r="Q13" s="2">
        <f>Q4/4.4</f>
        <v>8.6568181818181813</v>
      </c>
      <c r="T13" s="1"/>
    </row>
    <row r="14" spans="1:21" x14ac:dyDescent="0.25">
      <c r="H14" s="67"/>
      <c r="O14" s="11" t="s">
        <v>988</v>
      </c>
      <c r="Q14" s="1"/>
    </row>
    <row r="15" spans="1:21" x14ac:dyDescent="0.25">
      <c r="H15" s="67"/>
    </row>
    <row r="16" spans="1:21" ht="20.25" thickBot="1" x14ac:dyDescent="0.35">
      <c r="H16" s="67"/>
      <c r="O16" s="886" t="s">
        <v>78</v>
      </c>
      <c r="P16" s="886"/>
    </row>
    <row r="17" spans="1:16" ht="15.75" thickTop="1" x14ac:dyDescent="0.25">
      <c r="O17" s="78">
        <v>1.1000000000000001</v>
      </c>
      <c r="P17" s="78">
        <f>O17*$Q$4</f>
        <v>41.899000000000008</v>
      </c>
    </row>
    <row r="18" spans="1:16" x14ac:dyDescent="0.25">
      <c r="A18" s="31" t="s">
        <v>81</v>
      </c>
      <c r="B18" s="14"/>
      <c r="C18" s="14">
        <f>SUM(C2:C9)</f>
        <v>200</v>
      </c>
      <c r="D18" s="18"/>
      <c r="E18" s="18"/>
      <c r="F18" s="18">
        <f>SUM(F2:F9)</f>
        <v>6348</v>
      </c>
      <c r="G18" s="14"/>
      <c r="H18" s="68">
        <f>SUM(H2:H8)</f>
        <v>200</v>
      </c>
      <c r="I18" s="18"/>
      <c r="J18" s="18"/>
      <c r="K18" s="18">
        <f>SUM(K2:K8)</f>
        <v>7450.84</v>
      </c>
      <c r="L18" s="14"/>
      <c r="M18" s="18">
        <f>SUM(M2:M10)</f>
        <v>0</v>
      </c>
      <c r="O18" s="78">
        <v>1.0900000000000001</v>
      </c>
      <c r="P18" s="78">
        <f t="shared" ref="P18:P37" si="0">O18*$Q$4</f>
        <v>41.518100000000004</v>
      </c>
    </row>
    <row r="19" spans="1:16" ht="15.75" thickBot="1" x14ac:dyDescent="0.3">
      <c r="A19" s="273" t="s">
        <v>189</v>
      </c>
      <c r="B19" s="274"/>
      <c r="C19" s="275">
        <f>SumByColor($A$19,C2:C17)</f>
        <v>200</v>
      </c>
      <c r="D19" s="275"/>
      <c r="E19" s="275"/>
      <c r="F19" s="276">
        <f>SumByColor($A$19,F2:F17)</f>
        <v>6348</v>
      </c>
      <c r="G19" s="275"/>
      <c r="H19" s="275">
        <f>SumByColor($A$19,H2:H17)</f>
        <v>200</v>
      </c>
      <c r="I19" s="275"/>
      <c r="J19" s="275"/>
      <c r="K19" s="276">
        <f>SumByColor($A$19,K2:K17)</f>
        <v>7451</v>
      </c>
      <c r="L19" s="275"/>
      <c r="M19" s="276">
        <f>SumByColor($A$19,M2:M17)</f>
        <v>0</v>
      </c>
      <c r="O19" s="78">
        <v>1.08</v>
      </c>
      <c r="P19" s="78">
        <f t="shared" si="0"/>
        <v>41.137200000000007</v>
      </c>
    </row>
    <row r="20" spans="1:16" x14ac:dyDescent="0.25">
      <c r="O20" s="78">
        <v>1.07</v>
      </c>
      <c r="P20" s="78">
        <f t="shared" si="0"/>
        <v>40.756300000000003</v>
      </c>
    </row>
    <row r="21" spans="1:16" x14ac:dyDescent="0.25">
      <c r="O21" s="78">
        <v>1.06</v>
      </c>
      <c r="P21" s="78">
        <f t="shared" si="0"/>
        <v>40.375400000000006</v>
      </c>
    </row>
    <row r="22" spans="1:16" x14ac:dyDescent="0.25">
      <c r="O22" s="78">
        <v>1.05</v>
      </c>
      <c r="P22" s="78">
        <f t="shared" si="0"/>
        <v>39.994500000000002</v>
      </c>
    </row>
    <row r="23" spans="1:16" x14ac:dyDescent="0.25">
      <c r="O23" s="78">
        <v>1.04</v>
      </c>
      <c r="P23" s="78">
        <f t="shared" si="0"/>
        <v>39.613600000000005</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39.232700000000001</v>
      </c>
    </row>
    <row r="25" spans="1:16" x14ac:dyDescent="0.25">
      <c r="B25" s="161">
        <v>43692</v>
      </c>
      <c r="C25" s="10">
        <v>100</v>
      </c>
      <c r="D25" s="39">
        <v>31.2</v>
      </c>
      <c r="E25" s="39">
        <v>30.52</v>
      </c>
      <c r="F25" s="39">
        <f t="shared" ref="F25" si="1">C25*(E25-D25)</f>
        <v>-67.999999999999972</v>
      </c>
      <c r="G25" s="39">
        <f t="shared" ref="G25" si="2">D25*C25</f>
        <v>3120</v>
      </c>
      <c r="H25" s="175">
        <f t="shared" ref="H25" si="3">(E25-D25)/D25</f>
        <v>-2.1794871794871787E-2</v>
      </c>
      <c r="I25" s="39"/>
      <c r="J25" s="39"/>
      <c r="K25" s="39"/>
      <c r="L25" s="39"/>
      <c r="O25" s="78">
        <v>1.02</v>
      </c>
      <c r="P25" s="78">
        <f t="shared" si="0"/>
        <v>38.851800000000004</v>
      </c>
    </row>
    <row r="26" spans="1:16" x14ac:dyDescent="0.25">
      <c r="B26" s="161">
        <v>43725</v>
      </c>
      <c r="C26" s="10">
        <v>0</v>
      </c>
      <c r="D26" s="39">
        <v>31.2</v>
      </c>
      <c r="E26" s="39">
        <v>36.25</v>
      </c>
      <c r="F26" s="39"/>
      <c r="G26" s="39"/>
      <c r="H26" s="175"/>
      <c r="I26" s="39"/>
      <c r="J26" s="39">
        <v>504.92</v>
      </c>
      <c r="K26" s="39"/>
      <c r="L26" s="39"/>
      <c r="O26" s="78">
        <v>1.01</v>
      </c>
      <c r="P26" s="78">
        <f t="shared" si="0"/>
        <v>38.4709</v>
      </c>
    </row>
    <row r="27" spans="1:16" x14ac:dyDescent="0.25">
      <c r="B27" s="161">
        <v>43740</v>
      </c>
      <c r="C27" s="10">
        <v>100</v>
      </c>
      <c r="D27" s="39">
        <v>27.230799999999999</v>
      </c>
      <c r="E27" s="39">
        <v>32.380000000000003</v>
      </c>
      <c r="F27" s="39">
        <f t="shared" ref="F27" si="4">C27*(E27-D27)</f>
        <v>514.92000000000041</v>
      </c>
      <c r="G27" s="39">
        <f t="shared" ref="G27" si="5">D27*C27</f>
        <v>2723.08</v>
      </c>
      <c r="H27" s="175">
        <f t="shared" ref="H27" si="6">(E27-D27)/D27</f>
        <v>0.18909470158790798</v>
      </c>
      <c r="I27" s="39"/>
      <c r="J27" s="39">
        <f>F27</f>
        <v>514.92000000000041</v>
      </c>
      <c r="K27" s="39"/>
      <c r="L27" s="39"/>
      <c r="O27" s="78">
        <v>1</v>
      </c>
      <c r="P27" s="78">
        <f t="shared" si="0"/>
        <v>38.090000000000003</v>
      </c>
    </row>
    <row r="28" spans="1:16" x14ac:dyDescent="0.25">
      <c r="B28" s="161">
        <v>43773</v>
      </c>
      <c r="C28" s="10">
        <v>0</v>
      </c>
      <c r="D28" s="39">
        <v>27.23</v>
      </c>
      <c r="E28" s="39">
        <v>38.090000000000003</v>
      </c>
      <c r="F28" s="39">
        <f t="shared" ref="F28" si="7">C28*(E28-D28)</f>
        <v>0</v>
      </c>
      <c r="G28" s="39">
        <f t="shared" ref="G28" si="8">D28*C28</f>
        <v>0</v>
      </c>
      <c r="H28" s="175">
        <f t="shared" ref="H28" si="9">(E28-D28)/D28</f>
        <v>0.39882482556004417</v>
      </c>
      <c r="I28" s="39"/>
      <c r="J28" s="39">
        <v>1102.8399999999999</v>
      </c>
      <c r="K28" s="39"/>
      <c r="L28" s="39"/>
      <c r="O28" s="78">
        <v>0.99</v>
      </c>
      <c r="P28" s="78">
        <f t="shared" si="0"/>
        <v>37.709100000000007</v>
      </c>
    </row>
    <row r="29" spans="1:16" x14ac:dyDescent="0.25">
      <c r="B29" s="161"/>
      <c r="C29" s="10"/>
      <c r="D29" s="39"/>
      <c r="E29" s="39"/>
      <c r="F29" s="39"/>
      <c r="G29" s="39"/>
      <c r="H29" s="175"/>
      <c r="I29" s="39"/>
      <c r="J29" s="39"/>
      <c r="K29" s="39"/>
      <c r="L29" s="39"/>
      <c r="O29" s="78">
        <v>0.98</v>
      </c>
      <c r="P29" s="78">
        <f t="shared" si="0"/>
        <v>37.328200000000002</v>
      </c>
    </row>
    <row r="30" spans="1:16" x14ac:dyDescent="0.25">
      <c r="B30" s="161"/>
      <c r="C30" s="10"/>
      <c r="D30" s="39"/>
      <c r="E30" s="39"/>
      <c r="F30" s="39"/>
      <c r="G30" s="39"/>
      <c r="H30" s="175"/>
      <c r="I30" s="39"/>
      <c r="J30" s="39"/>
      <c r="K30" s="39"/>
      <c r="L30" s="39"/>
      <c r="O30" s="78">
        <v>0.97</v>
      </c>
      <c r="P30" s="78">
        <f t="shared" si="0"/>
        <v>36.947300000000006</v>
      </c>
    </row>
    <row r="31" spans="1:16" x14ac:dyDescent="0.25">
      <c r="B31" s="161"/>
      <c r="C31" s="10"/>
      <c r="D31" s="39"/>
      <c r="E31" s="39"/>
      <c r="F31" s="39"/>
      <c r="G31" s="39"/>
      <c r="H31" s="175"/>
      <c r="I31" s="39"/>
      <c r="J31" s="39"/>
      <c r="K31" s="39"/>
      <c r="L31" s="39"/>
      <c r="O31" s="78">
        <v>0.96</v>
      </c>
      <c r="P31" s="78">
        <f t="shared" si="0"/>
        <v>36.566400000000002</v>
      </c>
    </row>
    <row r="32" spans="1:16" x14ac:dyDescent="0.25">
      <c r="B32" s="161"/>
      <c r="C32" s="10"/>
      <c r="D32" s="39"/>
      <c r="E32" s="39"/>
      <c r="F32" s="39"/>
      <c r="G32" s="39"/>
      <c r="H32" s="175"/>
      <c r="I32" s="39"/>
      <c r="J32" s="39"/>
      <c r="K32" s="39"/>
      <c r="L32" s="39"/>
      <c r="O32" s="78">
        <v>0.95</v>
      </c>
      <c r="P32" s="78">
        <f t="shared" si="0"/>
        <v>36.185500000000005</v>
      </c>
    </row>
    <row r="33" spans="2:17" x14ac:dyDescent="0.25">
      <c r="B33" s="161"/>
      <c r="C33" s="10"/>
      <c r="D33" s="39"/>
      <c r="E33" s="39"/>
      <c r="F33" s="39"/>
      <c r="G33" s="39"/>
      <c r="H33" s="175"/>
      <c r="I33" s="39"/>
      <c r="J33" s="39"/>
      <c r="K33" s="39"/>
      <c r="L33" s="39"/>
      <c r="O33" s="78">
        <v>0.94</v>
      </c>
      <c r="P33" s="78">
        <f t="shared" si="0"/>
        <v>35.804600000000001</v>
      </c>
    </row>
    <row r="34" spans="2:17" x14ac:dyDescent="0.25">
      <c r="B34" s="161"/>
      <c r="C34" s="10"/>
      <c r="D34" s="39"/>
      <c r="E34" s="39"/>
      <c r="F34" s="39"/>
      <c r="G34" s="39"/>
      <c r="H34" s="175"/>
      <c r="I34" s="39"/>
      <c r="J34" s="39"/>
      <c r="K34" s="39"/>
      <c r="L34" s="39"/>
      <c r="O34" s="78">
        <v>0.93</v>
      </c>
      <c r="P34" s="78">
        <f t="shared" si="0"/>
        <v>35.423700000000004</v>
      </c>
    </row>
    <row r="35" spans="2:17" x14ac:dyDescent="0.25">
      <c r="B35" s="161"/>
      <c r="C35" s="10"/>
      <c r="D35" s="39"/>
      <c r="E35" s="39"/>
      <c r="F35" s="39"/>
      <c r="G35" s="39"/>
      <c r="H35" s="175"/>
      <c r="I35" s="39"/>
      <c r="J35" s="39"/>
      <c r="K35" s="39"/>
      <c r="L35" s="39"/>
      <c r="O35" s="78">
        <v>0.92</v>
      </c>
      <c r="P35" s="78">
        <f t="shared" si="0"/>
        <v>35.042800000000007</v>
      </c>
    </row>
    <row r="36" spans="2:17" x14ac:dyDescent="0.25">
      <c r="B36" s="161"/>
      <c r="C36" s="10"/>
      <c r="D36" s="39"/>
      <c r="E36" s="39"/>
      <c r="F36" s="39"/>
      <c r="G36" s="39"/>
      <c r="H36" s="175"/>
      <c r="I36" s="39"/>
      <c r="J36" s="39"/>
      <c r="K36" s="39"/>
      <c r="L36" s="39"/>
      <c r="O36" s="78">
        <v>0.91</v>
      </c>
      <c r="P36" s="78">
        <f t="shared" si="0"/>
        <v>34.661900000000003</v>
      </c>
    </row>
    <row r="37" spans="2:17" x14ac:dyDescent="0.25">
      <c r="B37" s="161"/>
      <c r="C37" s="10"/>
      <c r="D37" s="39"/>
      <c r="E37" s="39"/>
      <c r="F37" s="39"/>
      <c r="G37" s="39"/>
      <c r="H37" s="175"/>
      <c r="I37" s="39"/>
      <c r="J37" s="39"/>
      <c r="K37" s="39"/>
      <c r="L37" s="39"/>
      <c r="O37" s="78">
        <v>0.9</v>
      </c>
      <c r="P37" s="78">
        <f t="shared" si="0"/>
        <v>34.281000000000006</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760"/>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60"/>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605" priority="47">
      <formula>F54&gt;0</formula>
    </cfRule>
    <cfRule type="expression" dxfId="604" priority="48">
      <formula>F54&lt;0</formula>
    </cfRule>
  </conditionalFormatting>
  <conditionalFormatting sqref="Q7">
    <cfRule type="expression" dxfId="603" priority="45">
      <formula>Q7&gt;0</formula>
    </cfRule>
    <cfRule type="expression" dxfId="602" priority="46">
      <formula>Q7&lt;0</formula>
    </cfRule>
  </conditionalFormatting>
  <conditionalFormatting sqref="Q8">
    <cfRule type="expression" dxfId="601" priority="43">
      <formula>Q8&gt;0</formula>
    </cfRule>
    <cfRule type="expression" dxfId="600" priority="44">
      <formula>Q8&lt;0</formula>
    </cfRule>
  </conditionalFormatting>
  <conditionalFormatting sqref="F33:F36 F38:F53">
    <cfRule type="expression" dxfId="599" priority="41">
      <formula>F33&gt;0</formula>
    </cfRule>
    <cfRule type="expression" dxfId="598" priority="42">
      <formula>F33&lt;0</formula>
    </cfRule>
  </conditionalFormatting>
  <conditionalFormatting sqref="H33:H36 H38:H53">
    <cfRule type="expression" dxfId="597" priority="39">
      <formula>H33&gt;0</formula>
    </cfRule>
    <cfRule type="expression" dxfId="596" priority="40">
      <formula>H33&lt;0</formula>
    </cfRule>
  </conditionalFormatting>
  <conditionalFormatting sqref="Q10">
    <cfRule type="expression" dxfId="595" priority="37">
      <formula>Q10&gt;0</formula>
    </cfRule>
    <cfRule type="expression" dxfId="594" priority="38">
      <formula>Q10&lt;0</formula>
    </cfRule>
  </conditionalFormatting>
  <conditionalFormatting sqref="J25:J37">
    <cfRule type="expression" dxfId="593" priority="35">
      <formula>J25&gt;0</formula>
    </cfRule>
    <cfRule type="expression" dxfId="592" priority="36">
      <formula>J25&lt;0</formula>
    </cfRule>
  </conditionalFormatting>
  <conditionalFormatting sqref="K25:K38">
    <cfRule type="expression" dxfId="591" priority="33">
      <formula>K25&gt;0</formula>
    </cfRule>
    <cfRule type="expression" dxfId="590" priority="34">
      <formula>K25&lt;0</formula>
    </cfRule>
  </conditionalFormatting>
  <conditionalFormatting sqref="L25">
    <cfRule type="expression" dxfId="589" priority="31">
      <formula>L25&gt;0</formula>
    </cfRule>
    <cfRule type="expression" dxfId="588" priority="32">
      <formula>L25&lt;0</formula>
    </cfRule>
  </conditionalFormatting>
  <conditionalFormatting sqref="F89:F110">
    <cfRule type="expression" dxfId="587" priority="29">
      <formula>F89&gt;0</formula>
    </cfRule>
    <cfRule type="expression" dxfId="586" priority="30">
      <formula>F89&lt;0</formula>
    </cfRule>
  </conditionalFormatting>
  <conditionalFormatting sqref="H89:H110">
    <cfRule type="expression" dxfId="585" priority="27">
      <formula>H89&gt;0</formula>
    </cfRule>
    <cfRule type="expression" dxfId="584" priority="28">
      <formula>H89&lt;0</formula>
    </cfRule>
  </conditionalFormatting>
  <conditionalFormatting sqref="J89:J102">
    <cfRule type="expression" dxfId="583" priority="25">
      <formula>J89&gt;0</formula>
    </cfRule>
    <cfRule type="expression" dxfId="582" priority="26">
      <formula>J89&lt;0</formula>
    </cfRule>
  </conditionalFormatting>
  <conditionalFormatting sqref="K89:K102">
    <cfRule type="expression" dxfId="581" priority="23">
      <formula>K89&gt;0</formula>
    </cfRule>
    <cfRule type="expression" dxfId="580" priority="24">
      <formula>K89&lt;0</formula>
    </cfRule>
  </conditionalFormatting>
  <conditionalFormatting sqref="L89:L102">
    <cfRule type="expression" dxfId="579" priority="21">
      <formula>L89&gt;0</formula>
    </cfRule>
    <cfRule type="expression" dxfId="578" priority="22">
      <formula>L89&lt;0</formula>
    </cfRule>
  </conditionalFormatting>
  <conditionalFormatting sqref="F29:F32">
    <cfRule type="expression" dxfId="577" priority="19">
      <formula>F29&gt;0</formula>
    </cfRule>
    <cfRule type="expression" dxfId="576" priority="20">
      <formula>F29&lt;0</formula>
    </cfRule>
  </conditionalFormatting>
  <conditionalFormatting sqref="H29:H32">
    <cfRule type="expression" dxfId="575" priority="17">
      <formula>H29&gt;0</formula>
    </cfRule>
    <cfRule type="expression" dxfId="574" priority="18">
      <formula>H29&lt;0</formula>
    </cfRule>
  </conditionalFormatting>
  <conditionalFormatting sqref="F37">
    <cfRule type="expression" dxfId="573" priority="15">
      <formula>F37&gt;0</formula>
    </cfRule>
    <cfRule type="expression" dxfId="572" priority="16">
      <formula>F37&lt;0</formula>
    </cfRule>
  </conditionalFormatting>
  <conditionalFormatting sqref="H37">
    <cfRule type="expression" dxfId="571" priority="13">
      <formula>H37&gt;0</formula>
    </cfRule>
    <cfRule type="expression" dxfId="570" priority="14">
      <formula>H37&lt;0</formula>
    </cfRule>
  </conditionalFormatting>
  <conditionalFormatting sqref="J49">
    <cfRule type="expression" dxfId="569" priority="11">
      <formula>J49&gt;0</formula>
    </cfRule>
    <cfRule type="expression" dxfId="568" priority="12">
      <formula>J49&lt;0</formula>
    </cfRule>
  </conditionalFormatting>
  <conditionalFormatting sqref="J38:J48">
    <cfRule type="expression" dxfId="567" priority="9">
      <formula>J38&gt;0</formula>
    </cfRule>
    <cfRule type="expression" dxfId="566" priority="10">
      <formula>J38&lt;0</formula>
    </cfRule>
  </conditionalFormatting>
  <conditionalFormatting sqref="F25:F26">
    <cfRule type="expression" dxfId="565" priority="7">
      <formula>F25&gt;0</formula>
    </cfRule>
    <cfRule type="expression" dxfId="564" priority="8">
      <formula>F25&lt;0</formula>
    </cfRule>
  </conditionalFormatting>
  <conditionalFormatting sqref="H25:H26">
    <cfRule type="expression" dxfId="563" priority="5">
      <formula>H25&gt;0</formula>
    </cfRule>
    <cfRule type="expression" dxfId="562" priority="6">
      <formula>H25&lt;0</formula>
    </cfRule>
  </conditionalFormatting>
  <conditionalFormatting sqref="F27:F28">
    <cfRule type="expression" dxfId="561" priority="3">
      <formula>F27&gt;0</formula>
    </cfRule>
    <cfRule type="expression" dxfId="560" priority="4">
      <formula>F27&lt;0</formula>
    </cfRule>
  </conditionalFormatting>
  <conditionalFormatting sqref="H27:H28">
    <cfRule type="expression" dxfId="559" priority="1">
      <formula>H27&gt;0</formula>
    </cfRule>
    <cfRule type="expression" dxfId="558" priority="2">
      <formula>H27&lt;0</formula>
    </cfRule>
  </conditionalFormatting>
  <hyperlinks>
    <hyperlink ref="A3" location="ACTIVE!A1" display="Back"/>
  </hyperlinks>
  <pageMargins left="0.7" right="0.7" top="0.75" bottom="0.75" header="0.3" footer="0.3"/>
  <pageSetup orientation="portrait" r:id="rId1"/>
</worksheet>
</file>

<file path=xl/worksheets/sheet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0"/>
  <dimension ref="A1:AC182"/>
  <sheetViews>
    <sheetView workbookViewId="0">
      <pane ySplit="1" topLeftCell="A2" activePane="bottomLeft" state="frozen"/>
      <selection activeCell="M34" sqref="M34"/>
      <selection pane="bottomLeft" activeCell="A3" sqref="A3"/>
    </sheetView>
  </sheetViews>
  <sheetFormatPr defaultRowHeight="15" x14ac:dyDescent="0.25"/>
  <cols>
    <col min="4" max="5" width="10" style="2" customWidth="1"/>
    <col min="6" max="6" width="17.140625" style="2" customWidth="1"/>
    <col min="9" max="9" width="13.7109375" style="2" bestFit="1" customWidth="1"/>
    <col min="10" max="10" width="11.85546875" style="2" bestFit="1" customWidth="1"/>
    <col min="11" max="11" width="9.140625" style="2"/>
    <col min="17" max="17" width="12.85546875" bestFit="1" customWidth="1"/>
    <col min="18" max="18" width="10.7109375" bestFit="1" customWidth="1"/>
    <col min="21" max="21" width="139.7109375" bestFit="1"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row>
    <row r="2" spans="1:29" x14ac:dyDescent="0.25">
      <c r="A2" s="6" t="s">
        <v>311</v>
      </c>
      <c r="B2" s="360">
        <v>43116</v>
      </c>
      <c r="C2" s="7">
        <v>100</v>
      </c>
      <c r="D2" s="43">
        <v>21.28</v>
      </c>
      <c r="E2" s="43">
        <v>0</v>
      </c>
      <c r="F2" s="43">
        <f t="shared" ref="F2:F20" si="0">C2*D2+E2</f>
        <v>2128</v>
      </c>
      <c r="G2" s="360">
        <v>43223</v>
      </c>
      <c r="H2" s="7">
        <v>200</v>
      </c>
      <c r="I2" s="43">
        <v>20.03</v>
      </c>
      <c r="J2" s="43">
        <v>0.09</v>
      </c>
      <c r="K2" s="43">
        <f t="shared" ref="K2:K21" si="1">H2*I2-J2</f>
        <v>4005.91</v>
      </c>
      <c r="L2" s="69"/>
      <c r="M2" s="3"/>
      <c r="O2" s="11" t="s">
        <v>57</v>
      </c>
      <c r="Q2" s="67">
        <f>C34-H34</f>
        <v>2000</v>
      </c>
      <c r="T2" s="1">
        <v>43080</v>
      </c>
      <c r="U2" t="s">
        <v>701</v>
      </c>
    </row>
    <row r="3" spans="1:29" x14ac:dyDescent="0.25">
      <c r="A3" s="22" t="s">
        <v>71</v>
      </c>
      <c r="B3" s="360">
        <v>43139</v>
      </c>
      <c r="C3" s="7">
        <v>100</v>
      </c>
      <c r="D3" s="43">
        <v>18.48</v>
      </c>
      <c r="E3" s="43">
        <v>0</v>
      </c>
      <c r="F3" s="43">
        <f t="shared" si="0"/>
        <v>1848</v>
      </c>
      <c r="G3" s="360">
        <v>43224</v>
      </c>
      <c r="H3" s="77">
        <v>200</v>
      </c>
      <c r="I3" s="43">
        <v>17.829999999999998</v>
      </c>
      <c r="J3" s="43">
        <v>0.08</v>
      </c>
      <c r="K3" s="43">
        <f t="shared" si="1"/>
        <v>3565.9199999999996</v>
      </c>
      <c r="L3" s="69"/>
      <c r="M3" s="3"/>
      <c r="O3" s="11" t="s">
        <v>58</v>
      </c>
      <c r="Q3" s="174">
        <f>IF(Q2=0, Q4, (F34-K34-M34)/Q2)</f>
        <v>11.893815000000009</v>
      </c>
      <c r="T3" s="1">
        <v>43088</v>
      </c>
      <c r="U3" t="s">
        <v>706</v>
      </c>
      <c r="Z3" s="178"/>
      <c r="AC3" s="178"/>
    </row>
    <row r="4" spans="1:29" x14ac:dyDescent="0.25">
      <c r="B4" s="360">
        <v>43151</v>
      </c>
      <c r="C4" s="7">
        <v>100</v>
      </c>
      <c r="D4" s="43">
        <v>19.8</v>
      </c>
      <c r="E4" s="43">
        <v>0</v>
      </c>
      <c r="F4" s="43">
        <f t="shared" si="0"/>
        <v>1980</v>
      </c>
      <c r="G4" s="360">
        <v>43259</v>
      </c>
      <c r="H4" s="77">
        <v>200</v>
      </c>
      <c r="I4" s="43">
        <v>22.88</v>
      </c>
      <c r="J4" s="43">
        <v>0.06</v>
      </c>
      <c r="K4" s="43">
        <f t="shared" si="1"/>
        <v>4575.9399999999996</v>
      </c>
      <c r="L4" s="69"/>
      <c r="M4" s="3"/>
      <c r="O4" s="11" t="s">
        <v>66</v>
      </c>
      <c r="Q4" s="169">
        <v>9.49</v>
      </c>
      <c r="R4" s="415">
        <v>-4.8999999999999998E-3</v>
      </c>
      <c r="U4" t="s">
        <v>707</v>
      </c>
    </row>
    <row r="5" spans="1:29" x14ac:dyDescent="0.25">
      <c r="B5" s="360">
        <v>43178</v>
      </c>
      <c r="C5" s="7">
        <v>100</v>
      </c>
      <c r="D5" s="43">
        <v>17.75</v>
      </c>
      <c r="E5" s="43">
        <v>0</v>
      </c>
      <c r="F5" s="43">
        <f t="shared" si="0"/>
        <v>1775</v>
      </c>
      <c r="G5" s="360">
        <v>43355</v>
      </c>
      <c r="H5" s="77">
        <v>200</v>
      </c>
      <c r="I5" s="43">
        <v>22.33</v>
      </c>
      <c r="J5" s="43">
        <v>0.06</v>
      </c>
      <c r="K5" s="43">
        <f t="shared" si="1"/>
        <v>4465.9399999999996</v>
      </c>
      <c r="L5" s="69"/>
      <c r="M5" s="3"/>
      <c r="O5" s="11" t="s">
        <v>67</v>
      </c>
      <c r="Q5" s="3">
        <f>Q4*Q2</f>
        <v>18980</v>
      </c>
    </row>
    <row r="6" spans="1:29" x14ac:dyDescent="0.25">
      <c r="B6" s="360">
        <v>43224</v>
      </c>
      <c r="C6" s="7">
        <v>200</v>
      </c>
      <c r="D6" s="43">
        <v>17.45</v>
      </c>
      <c r="E6" s="43">
        <v>0</v>
      </c>
      <c r="F6" s="43">
        <f t="shared" si="0"/>
        <v>3490</v>
      </c>
      <c r="G6" s="360">
        <v>43405</v>
      </c>
      <c r="H6" s="77">
        <v>200</v>
      </c>
      <c r="I6" s="43">
        <v>22.55</v>
      </c>
      <c r="J6" s="43">
        <v>0.06</v>
      </c>
      <c r="K6" s="43">
        <f t="shared" si="1"/>
        <v>4509.9399999999996</v>
      </c>
      <c r="L6" s="69"/>
      <c r="M6" s="4"/>
      <c r="O6" s="11" t="s">
        <v>64</v>
      </c>
      <c r="Q6" s="2">
        <f>Q3*Q2</f>
        <v>23787.630000000019</v>
      </c>
    </row>
    <row r="7" spans="1:29" x14ac:dyDescent="0.25">
      <c r="B7" s="360">
        <v>43314</v>
      </c>
      <c r="C7" s="7">
        <v>200</v>
      </c>
      <c r="D7" s="43">
        <v>21.88</v>
      </c>
      <c r="E7" s="43">
        <v>0</v>
      </c>
      <c r="F7" s="43">
        <f t="shared" si="0"/>
        <v>4376</v>
      </c>
      <c r="G7" s="360">
        <v>43411</v>
      </c>
      <c r="H7" s="77">
        <v>159</v>
      </c>
      <c r="I7" s="43">
        <v>23.76</v>
      </c>
      <c r="J7" s="43">
        <v>0.79</v>
      </c>
      <c r="K7" s="43">
        <f t="shared" si="1"/>
        <v>3777.05</v>
      </c>
      <c r="L7" s="4"/>
      <c r="M7" s="4"/>
      <c r="O7" s="11" t="s">
        <v>175</v>
      </c>
      <c r="Q7" s="2">
        <f>Q10+Q8</f>
        <v>-4522.6600000000144</v>
      </c>
      <c r="R7">
        <v>1800</v>
      </c>
      <c r="T7" s="1">
        <v>43103</v>
      </c>
      <c r="U7" t="s">
        <v>770</v>
      </c>
    </row>
    <row r="8" spans="1:29" x14ac:dyDescent="0.25">
      <c r="B8" s="360">
        <v>43353</v>
      </c>
      <c r="C8" s="7">
        <v>200</v>
      </c>
      <c r="D8" s="43">
        <v>21.2</v>
      </c>
      <c r="E8" s="43">
        <v>0</v>
      </c>
      <c r="F8" s="43">
        <f t="shared" si="0"/>
        <v>4240</v>
      </c>
      <c r="G8" s="360">
        <v>43427</v>
      </c>
      <c r="H8" s="77">
        <v>41</v>
      </c>
      <c r="I8" s="43">
        <v>22.22</v>
      </c>
      <c r="J8" s="43">
        <v>0.01</v>
      </c>
      <c r="K8" s="43">
        <f t="shared" si="1"/>
        <v>911.01</v>
      </c>
      <c r="L8" s="4"/>
      <c r="M8" s="4"/>
      <c r="O8" s="11" t="s">
        <v>177</v>
      </c>
      <c r="P8" s="33"/>
      <c r="Q8" s="2">
        <f>K34+M34-F34+Q2*Q4</f>
        <v>-4807.6300000000192</v>
      </c>
    </row>
    <row r="9" spans="1:29" x14ac:dyDescent="0.25">
      <c r="B9" s="360">
        <v>43369</v>
      </c>
      <c r="C9" s="7">
        <v>200</v>
      </c>
      <c r="D9" s="43">
        <v>21.8</v>
      </c>
      <c r="E9" s="43">
        <v>0</v>
      </c>
      <c r="F9" s="43">
        <f t="shared" si="0"/>
        <v>4360</v>
      </c>
      <c r="G9" s="360">
        <v>43446</v>
      </c>
      <c r="H9" s="77">
        <v>200</v>
      </c>
      <c r="I9" s="43">
        <v>19.079999999999998</v>
      </c>
      <c r="J9" s="43">
        <v>0.05</v>
      </c>
      <c r="K9" s="43">
        <f t="shared" si="1"/>
        <v>3815.9499999999994</v>
      </c>
      <c r="L9" s="4"/>
      <c r="M9" s="4"/>
      <c r="O9" s="11" t="s">
        <v>202</v>
      </c>
      <c r="Q9" s="131">
        <f>IF(Q2=0, 0, Q8/Q6)</f>
        <v>-0.20210630483154543</v>
      </c>
      <c r="U9" t="s">
        <v>859</v>
      </c>
    </row>
    <row r="10" spans="1:29" x14ac:dyDescent="0.25">
      <c r="A10" t="s">
        <v>712</v>
      </c>
      <c r="B10" s="360">
        <v>43423</v>
      </c>
      <c r="C10" s="4">
        <v>200</v>
      </c>
      <c r="D10" s="3">
        <v>21.68</v>
      </c>
      <c r="E10" s="3">
        <v>0</v>
      </c>
      <c r="F10" s="3">
        <f t="shared" si="0"/>
        <v>4336</v>
      </c>
      <c r="G10" s="360">
        <v>43472</v>
      </c>
      <c r="H10" s="77">
        <v>200</v>
      </c>
      <c r="I10" s="43">
        <v>18.05</v>
      </c>
      <c r="J10" s="43">
        <v>0.05</v>
      </c>
      <c r="K10" s="43">
        <f t="shared" si="1"/>
        <v>3609.95</v>
      </c>
      <c r="L10" s="4"/>
      <c r="M10" s="4"/>
      <c r="O10" s="11" t="s">
        <v>201</v>
      </c>
      <c r="P10" s="33"/>
      <c r="Q10" s="2">
        <f>M121</f>
        <v>284.9700000000048</v>
      </c>
    </row>
    <row r="11" spans="1:29" x14ac:dyDescent="0.25">
      <c r="B11" s="360">
        <v>43434</v>
      </c>
      <c r="C11" s="4">
        <v>200</v>
      </c>
      <c r="D11" s="3">
        <v>21.54</v>
      </c>
      <c r="E11" s="3">
        <v>0</v>
      </c>
      <c r="F11" s="3">
        <f t="shared" si="0"/>
        <v>4308</v>
      </c>
      <c r="G11" s="360">
        <v>43584</v>
      </c>
      <c r="H11" s="77">
        <v>200</v>
      </c>
      <c r="I11" s="43">
        <v>15.68</v>
      </c>
      <c r="J11" s="43">
        <v>0.06</v>
      </c>
      <c r="K11" s="43">
        <f t="shared" si="1"/>
        <v>3135.94</v>
      </c>
      <c r="L11" s="4"/>
      <c r="M11" s="4"/>
      <c r="O11" s="11" t="s">
        <v>920</v>
      </c>
      <c r="P11" s="33"/>
      <c r="Q11" s="131">
        <f>4*R11/Q4</f>
        <v>0</v>
      </c>
      <c r="R11">
        <v>0</v>
      </c>
    </row>
    <row r="12" spans="1:29" x14ac:dyDescent="0.25">
      <c r="B12" s="360">
        <v>43444</v>
      </c>
      <c r="C12" s="4">
        <v>200</v>
      </c>
      <c r="D12" s="3">
        <v>18.399999999999999</v>
      </c>
      <c r="E12" s="3">
        <v>0</v>
      </c>
      <c r="F12" s="3">
        <f t="shared" si="0"/>
        <v>3679.9999999999995</v>
      </c>
      <c r="G12" s="360">
        <v>43628</v>
      </c>
      <c r="H12" s="77">
        <v>2200</v>
      </c>
      <c r="I12" s="43">
        <v>8.73</v>
      </c>
      <c r="J12" s="43">
        <v>0.4</v>
      </c>
      <c r="K12" s="43">
        <f t="shared" si="1"/>
        <v>19205.599999999999</v>
      </c>
      <c r="L12" s="4"/>
      <c r="M12" s="4"/>
      <c r="O12" s="11" t="s">
        <v>875</v>
      </c>
      <c r="Q12" s="1" t="s">
        <v>1363</v>
      </c>
      <c r="T12" s="1">
        <v>43223</v>
      </c>
      <c r="U12" t="s">
        <v>975</v>
      </c>
    </row>
    <row r="13" spans="1:29" x14ac:dyDescent="0.25">
      <c r="A13" s="888" t="s">
        <v>1350</v>
      </c>
      <c r="B13" s="360">
        <v>43452</v>
      </c>
      <c r="C13" s="4">
        <v>200</v>
      </c>
      <c r="D13" s="3">
        <v>17.2</v>
      </c>
      <c r="E13" s="3">
        <v>0</v>
      </c>
      <c r="F13" s="3">
        <f t="shared" si="0"/>
        <v>3440</v>
      </c>
      <c r="G13" s="360">
        <v>43633</v>
      </c>
      <c r="H13" s="77">
        <v>1000</v>
      </c>
      <c r="I13" s="43">
        <v>8.27</v>
      </c>
      <c r="J13" s="43">
        <v>0.17</v>
      </c>
      <c r="K13" s="43">
        <f t="shared" si="1"/>
        <v>8269.83</v>
      </c>
      <c r="O13" s="11" t="s">
        <v>901</v>
      </c>
      <c r="Q13" s="2">
        <f>Q4/2.45</f>
        <v>3.8734693877551019</v>
      </c>
      <c r="U13" t="s">
        <v>977</v>
      </c>
    </row>
    <row r="14" spans="1:29" x14ac:dyDescent="0.25">
      <c r="A14" s="888"/>
      <c r="B14" s="360">
        <v>43564</v>
      </c>
      <c r="C14" s="4">
        <v>400</v>
      </c>
      <c r="D14" s="3">
        <v>14.66</v>
      </c>
      <c r="E14" s="3">
        <v>0</v>
      </c>
      <c r="F14" s="3">
        <f t="shared" si="0"/>
        <v>5864</v>
      </c>
      <c r="G14" s="360">
        <v>43637</v>
      </c>
      <c r="H14" s="77">
        <v>400</v>
      </c>
      <c r="I14" s="43">
        <v>8.27</v>
      </c>
      <c r="J14" s="43">
        <v>7.0000000000000007E-2</v>
      </c>
      <c r="K14" s="43">
        <f t="shared" si="1"/>
        <v>3307.93</v>
      </c>
      <c r="O14" s="11" t="s">
        <v>988</v>
      </c>
      <c r="Q14" s="1">
        <v>43345</v>
      </c>
    </row>
    <row r="15" spans="1:29" x14ac:dyDescent="0.25">
      <c r="A15" s="888"/>
      <c r="B15" s="360">
        <v>43572</v>
      </c>
      <c r="C15" s="7">
        <v>200</v>
      </c>
      <c r="D15" s="43">
        <v>14.17</v>
      </c>
      <c r="E15" s="43">
        <v>0</v>
      </c>
      <c r="F15" s="43">
        <f t="shared" si="0"/>
        <v>2834</v>
      </c>
      <c r="G15" s="360">
        <v>43696</v>
      </c>
      <c r="H15" s="77">
        <v>1500</v>
      </c>
      <c r="I15" s="43">
        <v>6.8</v>
      </c>
      <c r="J15" s="43">
        <v>0.21</v>
      </c>
      <c r="K15" s="43">
        <f t="shared" si="1"/>
        <v>10199.790000000001</v>
      </c>
      <c r="T15" s="1">
        <v>43224</v>
      </c>
      <c r="U15" t="s">
        <v>981</v>
      </c>
    </row>
    <row r="16" spans="1:29" ht="20.25" thickBot="1" x14ac:dyDescent="0.35">
      <c r="A16" s="888"/>
      <c r="B16" s="360">
        <v>43585</v>
      </c>
      <c r="C16" s="4">
        <v>200</v>
      </c>
      <c r="D16" s="3">
        <v>15.07</v>
      </c>
      <c r="E16" s="3">
        <v>0</v>
      </c>
      <c r="F16" s="3">
        <f t="shared" si="0"/>
        <v>3014</v>
      </c>
      <c r="G16" s="360">
        <v>43718</v>
      </c>
      <c r="H16" s="77">
        <v>500</v>
      </c>
      <c r="I16" s="43">
        <v>7.68</v>
      </c>
      <c r="J16" s="43">
        <v>0.08</v>
      </c>
      <c r="K16" s="43">
        <f t="shared" si="1"/>
        <v>3839.92</v>
      </c>
      <c r="O16" s="475" t="s">
        <v>78</v>
      </c>
      <c r="P16" s="475"/>
    </row>
    <row r="17" spans="1:21" ht="15.75" thickTop="1" x14ac:dyDescent="0.25">
      <c r="A17" s="888"/>
      <c r="B17" s="360">
        <v>43598</v>
      </c>
      <c r="C17" s="4">
        <v>400</v>
      </c>
      <c r="D17" s="3">
        <v>12.61</v>
      </c>
      <c r="E17" s="3">
        <v>0</v>
      </c>
      <c r="F17" s="3">
        <f t="shared" si="0"/>
        <v>5044</v>
      </c>
      <c r="G17" s="360">
        <v>43735</v>
      </c>
      <c r="H17" s="77">
        <v>500</v>
      </c>
      <c r="I17" s="43">
        <v>7.08</v>
      </c>
      <c r="J17" s="43">
        <v>7.0000000000000007E-2</v>
      </c>
      <c r="K17" s="43">
        <f t="shared" si="1"/>
        <v>3539.93</v>
      </c>
      <c r="O17" s="78">
        <v>1.1000000000000001</v>
      </c>
      <c r="P17" s="78">
        <f>O17*$Q$4</f>
        <v>10.439000000000002</v>
      </c>
      <c r="T17" s="1">
        <v>43235</v>
      </c>
      <c r="U17" t="s">
        <v>1005</v>
      </c>
    </row>
    <row r="18" spans="1:21" x14ac:dyDescent="0.25">
      <c r="A18" s="888"/>
      <c r="B18" s="360">
        <v>43608</v>
      </c>
      <c r="C18" s="7">
        <v>400</v>
      </c>
      <c r="D18" s="43">
        <v>11.1</v>
      </c>
      <c r="E18" s="43">
        <v>0</v>
      </c>
      <c r="F18" s="43">
        <f t="shared" si="0"/>
        <v>4440</v>
      </c>
      <c r="G18" s="360">
        <v>43771</v>
      </c>
      <c r="H18" s="77">
        <v>500</v>
      </c>
      <c r="I18" s="43">
        <v>8.4</v>
      </c>
      <c r="J18" s="43">
        <v>0.09</v>
      </c>
      <c r="K18" s="43">
        <f t="shared" si="1"/>
        <v>4199.91</v>
      </c>
      <c r="O18" s="78">
        <v>1.0900000000000001</v>
      </c>
      <c r="P18" s="78">
        <f t="shared" ref="P18:P37" si="2">O18*$Q$4</f>
        <v>10.344100000000001</v>
      </c>
      <c r="U18" t="s">
        <v>1006</v>
      </c>
    </row>
    <row r="19" spans="1:21" x14ac:dyDescent="0.25">
      <c r="A19" s="888"/>
      <c r="B19" s="360">
        <v>43613</v>
      </c>
      <c r="C19" s="7">
        <v>400</v>
      </c>
      <c r="D19" s="43">
        <v>9.32</v>
      </c>
      <c r="E19" s="43">
        <v>0</v>
      </c>
      <c r="F19" s="43">
        <f t="shared" si="0"/>
        <v>3728</v>
      </c>
      <c r="G19" s="360">
        <v>43776</v>
      </c>
      <c r="H19" s="77">
        <v>300</v>
      </c>
      <c r="I19" s="43">
        <v>8.68</v>
      </c>
      <c r="J19" s="43">
        <v>0.05</v>
      </c>
      <c r="K19" s="43">
        <f t="shared" si="1"/>
        <v>2603.9499999999998</v>
      </c>
      <c r="O19" s="78">
        <v>1.08</v>
      </c>
      <c r="P19" s="78">
        <f t="shared" si="2"/>
        <v>10.2492</v>
      </c>
    </row>
    <row r="20" spans="1:21" x14ac:dyDescent="0.25">
      <c r="A20" t="s">
        <v>896</v>
      </c>
      <c r="B20" s="360">
        <v>43628</v>
      </c>
      <c r="C20" s="7">
        <v>600</v>
      </c>
      <c r="D20" s="43">
        <v>8.2799999999999994</v>
      </c>
      <c r="E20" s="43">
        <v>0</v>
      </c>
      <c r="F20" s="43">
        <f t="shared" si="0"/>
        <v>4968</v>
      </c>
      <c r="G20" s="360">
        <v>43782</v>
      </c>
      <c r="H20" s="77">
        <v>200</v>
      </c>
      <c r="I20" s="43">
        <v>9.75</v>
      </c>
      <c r="J20" s="43">
        <v>0.04</v>
      </c>
      <c r="K20" s="43">
        <f t="shared" si="1"/>
        <v>1949.96</v>
      </c>
      <c r="O20" s="78">
        <v>1.07</v>
      </c>
      <c r="P20" s="78">
        <f t="shared" si="2"/>
        <v>10.154300000000001</v>
      </c>
    </row>
    <row r="21" spans="1:21" x14ac:dyDescent="0.25">
      <c r="A21" t="s">
        <v>896</v>
      </c>
      <c r="B21" s="360">
        <v>43628</v>
      </c>
      <c r="C21" s="7">
        <v>800</v>
      </c>
      <c r="D21" s="43">
        <v>8.2799999999999994</v>
      </c>
      <c r="E21" s="43">
        <v>0</v>
      </c>
      <c r="F21" s="43">
        <f t="shared" ref="F21" si="3">C21*D21+E21</f>
        <v>6623.9999999999991</v>
      </c>
      <c r="H21" s="158"/>
      <c r="I21" s="3"/>
      <c r="J21" s="3"/>
      <c r="K21" s="3"/>
      <c r="O21" s="78">
        <v>1.06</v>
      </c>
      <c r="P21" s="78">
        <f t="shared" si="2"/>
        <v>10.0594</v>
      </c>
      <c r="T21" s="680">
        <v>43314</v>
      </c>
      <c r="U21" t="s">
        <v>1150</v>
      </c>
    </row>
    <row r="22" spans="1:21" x14ac:dyDescent="0.25">
      <c r="B22" s="360">
        <v>43628</v>
      </c>
      <c r="C22" s="7">
        <v>1400</v>
      </c>
      <c r="D22" s="43">
        <v>8.2799999999999994</v>
      </c>
      <c r="E22" s="43">
        <v>0</v>
      </c>
      <c r="F22" s="43">
        <f t="shared" ref="F22:F30" si="4">C22*D22+E22</f>
        <v>11592</v>
      </c>
      <c r="O22" s="78">
        <v>1.05</v>
      </c>
      <c r="P22" s="78">
        <f t="shared" si="2"/>
        <v>9.964500000000001</v>
      </c>
    </row>
    <row r="23" spans="1:21" x14ac:dyDescent="0.25">
      <c r="B23" s="360">
        <v>43631</v>
      </c>
      <c r="C23" s="7">
        <v>200</v>
      </c>
      <c r="D23" s="43">
        <v>8.23</v>
      </c>
      <c r="E23" s="43">
        <v>0</v>
      </c>
      <c r="F23" s="43">
        <f t="shared" si="4"/>
        <v>1646</v>
      </c>
      <c r="O23" s="78">
        <v>1.04</v>
      </c>
      <c r="P23" s="78">
        <f t="shared" si="2"/>
        <v>9.8696000000000002</v>
      </c>
      <c r="T23" s="1">
        <v>43358</v>
      </c>
      <c r="U23" t="s">
        <v>1221</v>
      </c>
    </row>
    <row r="24" spans="1:21" x14ac:dyDescent="0.25">
      <c r="B24" s="360">
        <v>43636</v>
      </c>
      <c r="C24" s="7">
        <v>400</v>
      </c>
      <c r="D24" s="43">
        <v>8.1</v>
      </c>
      <c r="E24" s="43">
        <v>0</v>
      </c>
      <c r="F24" s="43">
        <f t="shared" si="4"/>
        <v>3240</v>
      </c>
      <c r="O24" s="78">
        <v>1.03</v>
      </c>
      <c r="P24" s="78">
        <f t="shared" si="2"/>
        <v>9.7747000000000011</v>
      </c>
    </row>
    <row r="25" spans="1:21" x14ac:dyDescent="0.25">
      <c r="B25" s="69">
        <v>43683</v>
      </c>
      <c r="C25" s="7">
        <v>500</v>
      </c>
      <c r="D25" s="43">
        <v>7.45</v>
      </c>
      <c r="E25" s="43">
        <v>0</v>
      </c>
      <c r="F25" s="43">
        <f t="shared" si="4"/>
        <v>3725</v>
      </c>
      <c r="O25" s="78">
        <v>1.02</v>
      </c>
      <c r="P25" s="78">
        <f t="shared" si="2"/>
        <v>9.6798000000000002</v>
      </c>
    </row>
    <row r="26" spans="1:21" x14ac:dyDescent="0.25">
      <c r="B26" s="360">
        <v>43692</v>
      </c>
      <c r="C26" s="7">
        <v>1500</v>
      </c>
      <c r="D26" s="43">
        <v>6.08</v>
      </c>
      <c r="E26" s="43">
        <v>0</v>
      </c>
      <c r="F26" s="43">
        <f t="shared" si="4"/>
        <v>9120</v>
      </c>
      <c r="O26" s="78">
        <v>1.01</v>
      </c>
      <c r="P26" s="78">
        <f t="shared" si="2"/>
        <v>9.5849000000000011</v>
      </c>
    </row>
    <row r="27" spans="1:21" x14ac:dyDescent="0.25">
      <c r="B27" s="69">
        <v>43734</v>
      </c>
      <c r="C27" s="7">
        <v>500</v>
      </c>
      <c r="D27" s="43">
        <v>6.56</v>
      </c>
      <c r="E27" s="43">
        <v>0</v>
      </c>
      <c r="F27" s="43">
        <f t="shared" si="4"/>
        <v>3280</v>
      </c>
      <c r="O27" s="78">
        <v>1</v>
      </c>
      <c r="P27" s="78">
        <f t="shared" si="2"/>
        <v>9.49</v>
      </c>
    </row>
    <row r="28" spans="1:21" x14ac:dyDescent="0.25">
      <c r="B28" s="69">
        <v>43761</v>
      </c>
      <c r="C28" s="7">
        <v>500</v>
      </c>
      <c r="D28" s="43">
        <v>7.72</v>
      </c>
      <c r="E28" s="43">
        <v>0</v>
      </c>
      <c r="F28" s="43">
        <f t="shared" si="4"/>
        <v>3860</v>
      </c>
      <c r="O28" s="78">
        <v>0.99</v>
      </c>
      <c r="P28" s="78">
        <f t="shared" si="2"/>
        <v>9.3950999999999993</v>
      </c>
    </row>
    <row r="29" spans="1:21" x14ac:dyDescent="0.25">
      <c r="B29" s="69">
        <v>43776</v>
      </c>
      <c r="C29" s="7">
        <v>300</v>
      </c>
      <c r="D29" s="43">
        <v>8.14</v>
      </c>
      <c r="E29" s="43">
        <v>0</v>
      </c>
      <c r="F29" s="43">
        <f t="shared" si="4"/>
        <v>2442</v>
      </c>
      <c r="O29" s="78">
        <v>0.98</v>
      </c>
      <c r="P29" s="78">
        <f t="shared" si="2"/>
        <v>9.3002000000000002</v>
      </c>
    </row>
    <row r="30" spans="1:21" x14ac:dyDescent="0.25">
      <c r="B30" s="395">
        <v>43809</v>
      </c>
      <c r="C30" s="4">
        <v>200</v>
      </c>
      <c r="D30" s="3">
        <v>9.48</v>
      </c>
      <c r="E30" s="3">
        <v>0</v>
      </c>
      <c r="F30" s="3">
        <f t="shared" si="4"/>
        <v>1896</v>
      </c>
      <c r="O30" s="78">
        <v>0.97</v>
      </c>
      <c r="P30" s="78">
        <f t="shared" si="2"/>
        <v>9.2052999999999994</v>
      </c>
    </row>
    <row r="31" spans="1:21" x14ac:dyDescent="0.25">
      <c r="C31" s="4"/>
      <c r="D31" s="3"/>
      <c r="E31" s="3"/>
      <c r="F31" s="3"/>
      <c r="O31" s="78">
        <v>0.96</v>
      </c>
      <c r="P31" s="78">
        <f t="shared" si="2"/>
        <v>9.1104000000000003</v>
      </c>
    </row>
    <row r="32" spans="1:21" x14ac:dyDescent="0.25">
      <c r="C32" s="4"/>
      <c r="D32" s="3"/>
      <c r="E32" s="3"/>
      <c r="F32" s="3"/>
      <c r="O32" s="78">
        <v>0.95</v>
      </c>
      <c r="P32" s="78">
        <f t="shared" si="2"/>
        <v>9.0154999999999994</v>
      </c>
    </row>
    <row r="33" spans="1:18" x14ac:dyDescent="0.25">
      <c r="O33" s="78">
        <v>0.94</v>
      </c>
      <c r="P33" s="78">
        <f t="shared" si="2"/>
        <v>8.9206000000000003</v>
      </c>
    </row>
    <row r="34" spans="1:18" x14ac:dyDescent="0.25">
      <c r="A34" s="31" t="s">
        <v>81</v>
      </c>
      <c r="B34" s="14"/>
      <c r="C34" s="14">
        <f>SUM(C2:C33)</f>
        <v>10900</v>
      </c>
      <c r="D34" s="18"/>
      <c r="E34" s="18"/>
      <c r="F34" s="18">
        <f>SUM(F2:F33)</f>
        <v>117278</v>
      </c>
      <c r="G34" s="14"/>
      <c r="H34" s="68">
        <f>SUM(H2:H21)</f>
        <v>8900</v>
      </c>
      <c r="I34" s="18"/>
      <c r="J34" s="18"/>
      <c r="K34" s="18">
        <f>SUM(K2:K33)</f>
        <v>93490.369999999981</v>
      </c>
      <c r="L34" s="14"/>
      <c r="M34" s="18">
        <f>SUM(M2:M33)</f>
        <v>0</v>
      </c>
      <c r="O34" s="78">
        <v>0.93</v>
      </c>
      <c r="P34" s="78">
        <f t="shared" si="2"/>
        <v>8.8257000000000012</v>
      </c>
    </row>
    <row r="35" spans="1:18" ht="15.75" thickBot="1" x14ac:dyDescent="0.3">
      <c r="A35" s="273" t="s">
        <v>189</v>
      </c>
      <c r="B35" s="274"/>
      <c r="C35" s="275">
        <f>SumByColor($A$35,C2:C33)</f>
        <v>8900</v>
      </c>
      <c r="D35" s="275"/>
      <c r="E35" s="275"/>
      <c r="F35" s="276">
        <f>SumByColor($A$35,F2:F33)</f>
        <v>85696</v>
      </c>
      <c r="G35" s="275"/>
      <c r="H35" s="275">
        <f>SumByColor($A$35,H2:H33)</f>
        <v>8900</v>
      </c>
      <c r="I35" s="275"/>
      <c r="J35" s="275"/>
      <c r="K35" s="276">
        <f>SumByColor($A$35,K3:K33)</f>
        <v>89486</v>
      </c>
      <c r="L35" s="275"/>
      <c r="M35" s="276">
        <f>SumByColor($A$35,M2:M33)</f>
        <v>0</v>
      </c>
      <c r="O35" s="78">
        <v>0.92</v>
      </c>
      <c r="P35" s="78">
        <f t="shared" si="2"/>
        <v>8.7308000000000003</v>
      </c>
    </row>
    <row r="36" spans="1:18" x14ac:dyDescent="0.25">
      <c r="O36" s="78">
        <v>0.91</v>
      </c>
      <c r="P36" s="78">
        <f t="shared" si="2"/>
        <v>8.6359000000000012</v>
      </c>
    </row>
    <row r="37" spans="1:18" x14ac:dyDescent="0.25">
      <c r="A37" s="159" t="s">
        <v>222</v>
      </c>
      <c r="B37" s="159" t="s">
        <v>113</v>
      </c>
      <c r="C37" s="159" t="s">
        <v>143</v>
      </c>
      <c r="D37" s="160" t="s">
        <v>142</v>
      </c>
      <c r="E37" s="162" t="s">
        <v>144</v>
      </c>
      <c r="F37" s="163" t="s">
        <v>65</v>
      </c>
      <c r="G37" s="173" t="s">
        <v>148</v>
      </c>
      <c r="H37" s="163" t="s">
        <v>88</v>
      </c>
      <c r="I37" s="163" t="s">
        <v>151</v>
      </c>
      <c r="J37" s="163" t="s">
        <v>147</v>
      </c>
      <c r="K37" s="163" t="s">
        <v>452</v>
      </c>
      <c r="L37" s="163" t="s">
        <v>901</v>
      </c>
      <c r="O37" s="78">
        <v>0.9</v>
      </c>
      <c r="P37" s="78">
        <f t="shared" si="2"/>
        <v>8.5410000000000004</v>
      </c>
    </row>
    <row r="38" spans="1:18" x14ac:dyDescent="0.25">
      <c r="A38" s="10"/>
      <c r="B38" s="161">
        <v>43116</v>
      </c>
      <c r="C38" s="10">
        <v>100</v>
      </c>
      <c r="D38" s="39">
        <v>21.28</v>
      </c>
      <c r="E38" s="39">
        <v>21.41</v>
      </c>
      <c r="F38" s="39">
        <f t="shared" ref="F38:F44" si="5">C38*(E38-D38)</f>
        <v>12.999999999999901</v>
      </c>
      <c r="G38" s="39">
        <f t="shared" ref="G38:G44" si="6">D38*C38</f>
        <v>2128</v>
      </c>
      <c r="H38" s="175">
        <f t="shared" ref="H38:H44" si="7">(E38-D38)/D38</f>
        <v>6.1090225563909303E-3</v>
      </c>
      <c r="I38" s="175"/>
      <c r="J38" s="170">
        <f t="shared" ref="J38:J56" si="8">F38+$Q$10</f>
        <v>297.97000000000469</v>
      </c>
      <c r="K38" s="175"/>
      <c r="L38" s="175"/>
    </row>
    <row r="39" spans="1:18" x14ac:dyDescent="0.25">
      <c r="A39" s="10"/>
      <c r="B39" s="161">
        <v>43124</v>
      </c>
      <c r="C39" s="10">
        <v>100</v>
      </c>
      <c r="D39" s="39">
        <v>21.28</v>
      </c>
      <c r="E39" s="39">
        <v>20.57</v>
      </c>
      <c r="F39" s="39">
        <f t="shared" si="5"/>
        <v>-71.000000000000085</v>
      </c>
      <c r="G39" s="39">
        <f t="shared" si="6"/>
        <v>2128</v>
      </c>
      <c r="H39" s="175">
        <f t="shared" si="7"/>
        <v>-3.3364661654135375E-2</v>
      </c>
      <c r="I39" s="175"/>
      <c r="J39" s="170">
        <f t="shared" si="8"/>
        <v>213.97000000000472</v>
      </c>
      <c r="K39" s="175"/>
      <c r="L39" s="175"/>
    </row>
    <row r="40" spans="1:18" x14ac:dyDescent="0.25">
      <c r="A40" s="10"/>
      <c r="B40" s="161">
        <v>43139</v>
      </c>
      <c r="C40" s="10">
        <v>200</v>
      </c>
      <c r="D40" s="39">
        <v>19.88</v>
      </c>
      <c r="E40" s="39">
        <v>18.64</v>
      </c>
      <c r="F40" s="39">
        <f t="shared" si="5"/>
        <v>-247.99999999999969</v>
      </c>
      <c r="G40" s="39">
        <f t="shared" si="6"/>
        <v>3976</v>
      </c>
      <c r="H40" s="175">
        <f t="shared" si="7"/>
        <v>-6.2374245472836945E-2</v>
      </c>
      <c r="I40" s="175"/>
      <c r="J40" s="170">
        <f t="shared" si="8"/>
        <v>36.970000000005115</v>
      </c>
      <c r="K40" s="175"/>
      <c r="L40" s="175"/>
    </row>
    <row r="41" spans="1:18" x14ac:dyDescent="0.25">
      <c r="A41" s="10"/>
      <c r="B41" s="161">
        <v>43150</v>
      </c>
      <c r="C41" s="181">
        <v>200</v>
      </c>
      <c r="D41" s="182">
        <v>19.88</v>
      </c>
      <c r="E41" s="39">
        <v>20.9</v>
      </c>
      <c r="F41" s="39">
        <f t="shared" si="5"/>
        <v>203.99999999999991</v>
      </c>
      <c r="G41" s="39">
        <f t="shared" si="6"/>
        <v>3976</v>
      </c>
      <c r="H41" s="175">
        <f t="shared" si="7"/>
        <v>5.1307847082494952E-2</v>
      </c>
      <c r="I41" s="175"/>
      <c r="J41" s="170">
        <f t="shared" si="8"/>
        <v>488.97000000000469</v>
      </c>
      <c r="K41" s="639"/>
      <c r="L41" s="639"/>
      <c r="O41" s="33"/>
      <c r="R41" s="33"/>
    </row>
    <row r="42" spans="1:18" x14ac:dyDescent="0.25">
      <c r="A42" s="10"/>
      <c r="B42" s="161">
        <v>43151</v>
      </c>
      <c r="C42" s="10">
        <v>300</v>
      </c>
      <c r="D42" s="39">
        <v>19.853300000000001</v>
      </c>
      <c r="E42" s="39">
        <v>19.8</v>
      </c>
      <c r="F42" s="39">
        <f t="shared" si="5"/>
        <v>-15.990000000000038</v>
      </c>
      <c r="G42" s="39">
        <f t="shared" si="6"/>
        <v>5955.9900000000007</v>
      </c>
      <c r="H42" s="175">
        <f t="shared" si="7"/>
        <v>-2.6846922174147431E-3</v>
      </c>
      <c r="I42" s="176"/>
      <c r="J42" s="170">
        <f t="shared" si="8"/>
        <v>268.98000000000479</v>
      </c>
      <c r="K42" s="639"/>
      <c r="L42" s="639"/>
      <c r="Q42" s="33"/>
      <c r="R42" s="33"/>
    </row>
    <row r="43" spans="1:18" x14ac:dyDescent="0.25">
      <c r="A43" s="10"/>
      <c r="B43" s="161">
        <v>43158</v>
      </c>
      <c r="C43" s="10">
        <v>300</v>
      </c>
      <c r="D43" s="39">
        <v>19.853300000000001</v>
      </c>
      <c r="E43" s="39">
        <v>19.38</v>
      </c>
      <c r="F43" s="39">
        <f t="shared" si="5"/>
        <v>-141.99000000000055</v>
      </c>
      <c r="G43" s="39">
        <f t="shared" si="6"/>
        <v>5955.9900000000007</v>
      </c>
      <c r="H43" s="175">
        <f t="shared" si="7"/>
        <v>-2.3839865412803002E-2</v>
      </c>
      <c r="I43" s="176"/>
      <c r="J43" s="170">
        <f t="shared" si="8"/>
        <v>142.98000000000425</v>
      </c>
      <c r="K43" s="639"/>
      <c r="L43" s="639"/>
      <c r="Q43" s="33"/>
      <c r="R43" s="33"/>
    </row>
    <row r="44" spans="1:18" x14ac:dyDescent="0.25">
      <c r="A44" s="10">
        <v>200</v>
      </c>
      <c r="B44" s="161">
        <v>43178</v>
      </c>
      <c r="C44" s="7">
        <v>400</v>
      </c>
      <c r="D44" s="43">
        <v>19.327500000000001</v>
      </c>
      <c r="E44" s="39">
        <v>17.91</v>
      </c>
      <c r="F44" s="39">
        <f t="shared" si="5"/>
        <v>-567.00000000000023</v>
      </c>
      <c r="G44" s="39">
        <f t="shared" si="6"/>
        <v>7731</v>
      </c>
      <c r="H44" s="176">
        <f t="shared" si="7"/>
        <v>-7.3341094295692688E-2</v>
      </c>
      <c r="I44" s="176"/>
      <c r="J44" s="170">
        <f t="shared" si="8"/>
        <v>-282.02999999999543</v>
      </c>
      <c r="K44" s="639"/>
      <c r="L44" s="639"/>
      <c r="Q44" s="33"/>
      <c r="R44" s="33"/>
    </row>
    <row r="45" spans="1:18" x14ac:dyDescent="0.25">
      <c r="A45" s="10">
        <v>300</v>
      </c>
      <c r="B45" s="161">
        <v>43185</v>
      </c>
      <c r="C45" s="7">
        <v>400</v>
      </c>
      <c r="D45" s="43">
        <v>19.327500000000001</v>
      </c>
      <c r="E45" s="39">
        <v>16.87</v>
      </c>
      <c r="F45" s="39">
        <f t="shared" ref="F45:F57" si="9">C45*(E45-D45)</f>
        <v>-982.99999999999977</v>
      </c>
      <c r="G45" s="39">
        <f t="shared" ref="G45:G57" si="10">D45*C45</f>
        <v>7731</v>
      </c>
      <c r="H45" s="176">
        <f t="shared" ref="H45:H57" si="11">(E45-D45)/D45</f>
        <v>-0.12715043332039838</v>
      </c>
      <c r="I45" s="176"/>
      <c r="J45" s="170">
        <f t="shared" si="8"/>
        <v>-698.02999999999497</v>
      </c>
      <c r="K45" s="39">
        <v>36.6</v>
      </c>
      <c r="L45" s="39"/>
      <c r="Q45" s="33"/>
      <c r="R45" s="33"/>
    </row>
    <row r="46" spans="1:18" x14ac:dyDescent="0.25">
      <c r="A46" s="10">
        <v>400</v>
      </c>
      <c r="B46" s="161">
        <v>43216</v>
      </c>
      <c r="C46" s="7">
        <v>400</v>
      </c>
      <c r="D46" s="43">
        <v>19.327500000000001</v>
      </c>
      <c r="E46" s="39">
        <v>17.670000000000002</v>
      </c>
      <c r="F46" s="39">
        <f t="shared" si="9"/>
        <v>-662.99999999999955</v>
      </c>
      <c r="G46" s="39">
        <f t="shared" si="10"/>
        <v>7731</v>
      </c>
      <c r="H46" s="176">
        <f t="shared" si="11"/>
        <v>-8.5758634070624701E-2</v>
      </c>
      <c r="I46" s="176"/>
      <c r="J46" s="170">
        <f t="shared" si="8"/>
        <v>-378.02999999999474</v>
      </c>
      <c r="K46" s="39"/>
      <c r="L46" s="39"/>
      <c r="Q46" s="78"/>
      <c r="R46" s="33"/>
    </row>
    <row r="47" spans="1:18" x14ac:dyDescent="0.25">
      <c r="A47" s="10">
        <v>200</v>
      </c>
      <c r="B47" s="161">
        <v>43223</v>
      </c>
      <c r="C47" s="181">
        <v>200</v>
      </c>
      <c r="D47" s="182">
        <v>18.625499999999999</v>
      </c>
      <c r="E47" s="39">
        <v>20.03</v>
      </c>
      <c r="F47" s="39">
        <f t="shared" si="9"/>
        <v>280.90000000000043</v>
      </c>
      <c r="G47" s="39">
        <f t="shared" si="10"/>
        <v>3725.1</v>
      </c>
      <c r="H47" s="176">
        <f t="shared" si="11"/>
        <v>7.5407371614184981E-2</v>
      </c>
      <c r="I47" s="176" t="s">
        <v>978</v>
      </c>
      <c r="J47" s="170">
        <f t="shared" si="8"/>
        <v>565.87000000000523</v>
      </c>
      <c r="K47" s="639"/>
      <c r="L47" s="639"/>
      <c r="Q47" s="78"/>
      <c r="R47" s="33"/>
    </row>
    <row r="48" spans="1:18" x14ac:dyDescent="0.25">
      <c r="A48" s="10">
        <v>200</v>
      </c>
      <c r="B48" s="161">
        <v>43223</v>
      </c>
      <c r="C48" s="10">
        <v>200</v>
      </c>
      <c r="D48" s="39">
        <v>18.63</v>
      </c>
      <c r="E48" s="39">
        <v>17.78</v>
      </c>
      <c r="F48" s="39">
        <f t="shared" si="9"/>
        <v>-169.99999999999957</v>
      </c>
      <c r="G48" s="39">
        <f t="shared" si="10"/>
        <v>3726</v>
      </c>
      <c r="H48" s="176">
        <f t="shared" si="11"/>
        <v>-4.5625335480407835E-2</v>
      </c>
      <c r="I48" s="176" t="s">
        <v>979</v>
      </c>
      <c r="J48" s="170">
        <f t="shared" si="8"/>
        <v>114.97000000000523</v>
      </c>
      <c r="K48" s="639"/>
      <c r="L48" s="639"/>
      <c r="Q48" s="78"/>
      <c r="R48" s="33"/>
    </row>
    <row r="49" spans="1:18" x14ac:dyDescent="0.25">
      <c r="A49" s="10">
        <v>200</v>
      </c>
      <c r="B49" s="161">
        <v>43224</v>
      </c>
      <c r="C49" s="7">
        <v>400</v>
      </c>
      <c r="D49" s="43">
        <v>18.037700000000001</v>
      </c>
      <c r="E49" s="39">
        <v>17.829999999999998</v>
      </c>
      <c r="F49" s="39">
        <f t="shared" si="9"/>
        <v>-83.080000000001064</v>
      </c>
      <c r="G49" s="39">
        <f t="shared" si="10"/>
        <v>7215.08</v>
      </c>
      <c r="H49" s="176">
        <f t="shared" si="11"/>
        <v>-1.1514771838981835E-2</v>
      </c>
      <c r="I49" s="176"/>
      <c r="J49" s="170">
        <f t="shared" si="8"/>
        <v>201.89000000000374</v>
      </c>
      <c r="K49" s="639"/>
      <c r="L49" s="639"/>
      <c r="Q49" s="78"/>
      <c r="R49" s="33"/>
    </row>
    <row r="50" spans="1:18" x14ac:dyDescent="0.25">
      <c r="A50" s="10">
        <v>0</v>
      </c>
      <c r="B50" s="161">
        <v>43224</v>
      </c>
      <c r="C50" s="181">
        <v>200</v>
      </c>
      <c r="D50" s="182">
        <v>18.245899999999999</v>
      </c>
      <c r="E50" s="39">
        <v>17.829999999999998</v>
      </c>
      <c r="F50" s="39">
        <f t="shared" si="9"/>
        <v>-83.180000000000121</v>
      </c>
      <c r="G50" s="39">
        <f t="shared" si="10"/>
        <v>3649.18</v>
      </c>
      <c r="H50" s="176">
        <f t="shared" si="11"/>
        <v>-2.2794161976115217E-2</v>
      </c>
      <c r="I50" s="176"/>
      <c r="J50" s="170">
        <f t="shared" si="8"/>
        <v>201.79000000000468</v>
      </c>
      <c r="K50" s="639"/>
      <c r="L50" s="639"/>
      <c r="Q50" s="78"/>
      <c r="R50" s="33"/>
    </row>
    <row r="51" spans="1:18" x14ac:dyDescent="0.25">
      <c r="A51" s="10">
        <v>0</v>
      </c>
      <c r="B51" s="161">
        <v>43227</v>
      </c>
      <c r="C51" s="10">
        <v>200</v>
      </c>
      <c r="D51" s="39">
        <v>18.25</v>
      </c>
      <c r="E51" s="39">
        <v>18.62</v>
      </c>
      <c r="F51" s="39">
        <f t="shared" si="9"/>
        <v>74.000000000000199</v>
      </c>
      <c r="G51" s="39">
        <f t="shared" si="10"/>
        <v>3650</v>
      </c>
      <c r="H51" s="176">
        <f t="shared" si="11"/>
        <v>2.0273972602739779E-2</v>
      </c>
      <c r="I51" s="39"/>
      <c r="J51" s="170">
        <f t="shared" si="8"/>
        <v>358.97000000000503</v>
      </c>
      <c r="K51" s="639"/>
      <c r="L51" s="639"/>
      <c r="Q51" s="78"/>
      <c r="R51" s="33"/>
    </row>
    <row r="52" spans="1:18" x14ac:dyDescent="0.25">
      <c r="A52" s="10"/>
      <c r="B52" s="161">
        <v>43235</v>
      </c>
      <c r="C52" s="10">
        <v>200</v>
      </c>
      <c r="D52" s="39">
        <v>18.25</v>
      </c>
      <c r="E52" s="39">
        <v>20.3</v>
      </c>
      <c r="F52" s="39">
        <f t="shared" si="9"/>
        <v>410.00000000000011</v>
      </c>
      <c r="G52" s="39">
        <f t="shared" si="10"/>
        <v>3650</v>
      </c>
      <c r="H52" s="176">
        <f t="shared" si="11"/>
        <v>0.11232876712328771</v>
      </c>
      <c r="I52" s="176"/>
      <c r="J52" s="170">
        <f t="shared" si="8"/>
        <v>694.97000000000492</v>
      </c>
      <c r="K52" s="639"/>
      <c r="L52" s="639"/>
      <c r="Q52" s="78"/>
      <c r="R52" s="33"/>
    </row>
    <row r="53" spans="1:18" x14ac:dyDescent="0.25">
      <c r="A53" s="10">
        <v>0</v>
      </c>
      <c r="B53" s="161">
        <v>43314</v>
      </c>
      <c r="C53" s="181">
        <v>200</v>
      </c>
      <c r="D53" s="182">
        <v>17.246200000000002</v>
      </c>
      <c r="E53" s="39">
        <v>21.88</v>
      </c>
      <c r="F53" s="39">
        <f t="shared" si="9"/>
        <v>926.75999999999942</v>
      </c>
      <c r="G53" s="39">
        <f t="shared" si="10"/>
        <v>3449.2400000000002</v>
      </c>
      <c r="H53" s="176">
        <f t="shared" si="11"/>
        <v>0.26868527559694289</v>
      </c>
      <c r="I53" s="39"/>
      <c r="J53" s="170">
        <f t="shared" si="8"/>
        <v>1211.7300000000041</v>
      </c>
      <c r="K53" s="639"/>
      <c r="L53" s="639"/>
      <c r="Q53" s="78"/>
      <c r="R53" s="33"/>
    </row>
    <row r="54" spans="1:18" x14ac:dyDescent="0.25">
      <c r="A54" s="10"/>
      <c r="B54" s="161">
        <v>43316</v>
      </c>
      <c r="C54" s="10">
        <v>200</v>
      </c>
      <c r="D54" s="39">
        <v>17.25</v>
      </c>
      <c r="E54" s="39">
        <v>22.17</v>
      </c>
      <c r="F54" s="39">
        <f t="shared" si="9"/>
        <v>984.00000000000034</v>
      </c>
      <c r="G54" s="39">
        <f t="shared" si="10"/>
        <v>3450</v>
      </c>
      <c r="H54" s="176">
        <f t="shared" si="11"/>
        <v>0.28521739130434792</v>
      </c>
      <c r="I54" s="39"/>
      <c r="J54" s="170">
        <f t="shared" si="8"/>
        <v>1268.9700000000053</v>
      </c>
      <c r="K54" s="639"/>
      <c r="L54" s="639"/>
      <c r="Q54" s="78"/>
      <c r="R54" s="33"/>
    </row>
    <row r="55" spans="1:18" x14ac:dyDescent="0.25">
      <c r="A55" s="10"/>
      <c r="B55" s="161">
        <v>43325</v>
      </c>
      <c r="C55" s="10">
        <v>200</v>
      </c>
      <c r="D55" s="39">
        <v>17.25</v>
      </c>
      <c r="E55" s="39">
        <v>21.88</v>
      </c>
      <c r="F55" s="39">
        <f t="shared" si="9"/>
        <v>925.99999999999977</v>
      </c>
      <c r="G55" s="39">
        <f t="shared" si="10"/>
        <v>3450</v>
      </c>
      <c r="H55" s="176">
        <f t="shared" si="11"/>
        <v>0.26840579710144924</v>
      </c>
      <c r="I55" s="176"/>
      <c r="J55" s="170">
        <f t="shared" si="8"/>
        <v>1210.9700000000046</v>
      </c>
      <c r="K55" s="176"/>
      <c r="L55" s="176"/>
      <c r="Q55" s="78"/>
    </row>
    <row r="56" spans="1:18" x14ac:dyDescent="0.25">
      <c r="A56" s="10">
        <v>0</v>
      </c>
      <c r="B56" s="161">
        <v>43332</v>
      </c>
      <c r="C56" s="10">
        <v>200</v>
      </c>
      <c r="D56" s="39">
        <v>17.25</v>
      </c>
      <c r="E56" s="39">
        <v>25.65</v>
      </c>
      <c r="F56" s="39">
        <f t="shared" si="9"/>
        <v>1679.9999999999998</v>
      </c>
      <c r="G56" s="39">
        <f t="shared" si="10"/>
        <v>3450</v>
      </c>
      <c r="H56" s="176">
        <f t="shared" si="11"/>
        <v>0.48695652173913034</v>
      </c>
      <c r="I56" s="170"/>
      <c r="J56" s="170">
        <f t="shared" si="8"/>
        <v>1964.9700000000046</v>
      </c>
      <c r="K56" s="170"/>
      <c r="L56" s="170"/>
      <c r="Q56" s="78"/>
    </row>
    <row r="57" spans="1:18" x14ac:dyDescent="0.25">
      <c r="A57" s="161">
        <v>43346</v>
      </c>
      <c r="B57" s="161">
        <v>43340</v>
      </c>
      <c r="C57" s="10">
        <v>200</v>
      </c>
      <c r="D57" s="39">
        <v>17.25</v>
      </c>
      <c r="E57" s="39">
        <v>23.48</v>
      </c>
      <c r="F57" s="39">
        <f t="shared" si="9"/>
        <v>1246</v>
      </c>
      <c r="G57" s="39">
        <f t="shared" si="10"/>
        <v>3450</v>
      </c>
      <c r="H57" s="176">
        <f t="shared" si="11"/>
        <v>0.36115942028985509</v>
      </c>
      <c r="I57" s="176"/>
      <c r="J57" s="170">
        <f t="shared" ref="J57:J73" si="12">F57+$Q$10</f>
        <v>1530.9700000000048</v>
      </c>
      <c r="K57" s="176"/>
      <c r="L57" s="39">
        <v>9.58</v>
      </c>
      <c r="Q57" s="78"/>
    </row>
    <row r="58" spans="1:18" x14ac:dyDescent="0.25">
      <c r="A58" s="10">
        <v>200</v>
      </c>
      <c r="B58" s="161">
        <v>43350</v>
      </c>
      <c r="C58" s="10">
        <v>200</v>
      </c>
      <c r="D58" s="39">
        <v>17.25</v>
      </c>
      <c r="E58" s="39">
        <v>21.75</v>
      </c>
      <c r="F58" s="39">
        <f t="shared" ref="F58:F72" si="13">C58*(E58-D58)</f>
        <v>900</v>
      </c>
      <c r="G58" s="39">
        <f t="shared" ref="G58:G72" si="14">D58*C58</f>
        <v>3450</v>
      </c>
      <c r="H58" s="176">
        <f t="shared" ref="H58:H72" si="15">(E58-D58)/D58</f>
        <v>0.2608695652173913</v>
      </c>
      <c r="I58" s="176"/>
      <c r="J58" s="170">
        <f t="shared" si="12"/>
        <v>1184.9700000000048</v>
      </c>
      <c r="K58" s="176"/>
      <c r="L58" s="39">
        <v>8.8800000000000008</v>
      </c>
      <c r="Q58" s="78"/>
    </row>
    <row r="59" spans="1:18" x14ac:dyDescent="0.25">
      <c r="A59" s="10">
        <v>200</v>
      </c>
      <c r="B59" s="161">
        <v>43353</v>
      </c>
      <c r="C59" s="7">
        <v>400</v>
      </c>
      <c r="D59" s="43">
        <v>19.223099999999999</v>
      </c>
      <c r="E59" s="39">
        <v>21.06</v>
      </c>
      <c r="F59" s="39">
        <f t="shared" si="13"/>
        <v>734.76</v>
      </c>
      <c r="G59" s="39">
        <f t="shared" si="14"/>
        <v>7689.24</v>
      </c>
      <c r="H59" s="176">
        <f t="shared" si="15"/>
        <v>9.5556908094948267E-2</v>
      </c>
      <c r="I59" s="39" t="s">
        <v>1202</v>
      </c>
      <c r="J59" s="170">
        <f t="shared" si="12"/>
        <v>1019.7300000000048</v>
      </c>
      <c r="K59" s="176"/>
      <c r="L59" s="39">
        <v>8.6</v>
      </c>
      <c r="Q59" s="78"/>
    </row>
    <row r="60" spans="1:18" x14ac:dyDescent="0.25">
      <c r="A60" s="10">
        <v>0</v>
      </c>
      <c r="B60" s="161">
        <v>43355</v>
      </c>
      <c r="C60" s="181">
        <v>200</v>
      </c>
      <c r="D60" s="182">
        <v>16.116499999999998</v>
      </c>
      <c r="E60" s="39">
        <v>22.2</v>
      </c>
      <c r="F60" s="39">
        <f t="shared" si="13"/>
        <v>1216.7000000000003</v>
      </c>
      <c r="G60" s="39">
        <f t="shared" si="14"/>
        <v>3223.2999999999997</v>
      </c>
      <c r="H60" s="176">
        <f t="shared" si="15"/>
        <v>0.37747029441876345</v>
      </c>
      <c r="I60" s="176"/>
      <c r="J60" s="170">
        <f t="shared" si="12"/>
        <v>1501.6700000000051</v>
      </c>
      <c r="K60" s="176"/>
      <c r="L60" s="39">
        <v>9.06</v>
      </c>
      <c r="Q60" s="78"/>
    </row>
    <row r="61" spans="1:18" x14ac:dyDescent="0.25">
      <c r="A61" s="161">
        <v>43383</v>
      </c>
      <c r="B61" s="161">
        <v>43362</v>
      </c>
      <c r="C61" s="10">
        <v>200</v>
      </c>
      <c r="D61" s="39">
        <v>16.116499999999998</v>
      </c>
      <c r="E61" s="39">
        <v>24.64</v>
      </c>
      <c r="F61" s="39">
        <f t="shared" si="13"/>
        <v>1704.7000000000005</v>
      </c>
      <c r="G61" s="39">
        <f t="shared" si="14"/>
        <v>3223.2999999999997</v>
      </c>
      <c r="H61" s="176">
        <f t="shared" si="15"/>
        <v>0.52886793038190694</v>
      </c>
      <c r="I61" s="176"/>
      <c r="J61" s="762">
        <f t="shared" si="12"/>
        <v>1989.6700000000053</v>
      </c>
      <c r="K61" s="176"/>
      <c r="L61" s="39">
        <v>10.06</v>
      </c>
      <c r="Q61" s="78"/>
    </row>
    <row r="62" spans="1:18" x14ac:dyDescent="0.25">
      <c r="A62" s="10">
        <v>0</v>
      </c>
      <c r="B62" s="161">
        <v>43369</v>
      </c>
      <c r="C62" s="7">
        <v>400</v>
      </c>
      <c r="D62" s="43">
        <v>18.958200000000001</v>
      </c>
      <c r="E62" s="39">
        <v>21.96</v>
      </c>
      <c r="F62" s="39">
        <f t="shared" si="13"/>
        <v>1200.7199999999998</v>
      </c>
      <c r="G62" s="39">
        <f t="shared" si="14"/>
        <v>7583.2800000000007</v>
      </c>
      <c r="H62" s="176">
        <f t="shared" si="15"/>
        <v>0.15833781688134946</v>
      </c>
      <c r="I62" s="176"/>
      <c r="J62" s="763">
        <f t="shared" si="12"/>
        <v>1485.6900000000046</v>
      </c>
      <c r="K62" s="176"/>
      <c r="L62" s="39">
        <v>8.9600000000000009</v>
      </c>
      <c r="Q62" s="78"/>
    </row>
    <row r="63" spans="1:18" x14ac:dyDescent="0.25">
      <c r="A63" s="10">
        <v>200</v>
      </c>
      <c r="B63" s="161">
        <v>43405</v>
      </c>
      <c r="C63" s="181">
        <v>200</v>
      </c>
      <c r="D63" s="182">
        <v>15.3668</v>
      </c>
      <c r="E63" s="39">
        <v>23</v>
      </c>
      <c r="F63" s="39">
        <f t="shared" si="13"/>
        <v>1526.64</v>
      </c>
      <c r="G63" s="39">
        <f t="shared" si="14"/>
        <v>3073.36</v>
      </c>
      <c r="H63" s="176">
        <f t="shared" si="15"/>
        <v>0.49673321706536172</v>
      </c>
      <c r="I63" s="176"/>
      <c r="J63" s="763">
        <f t="shared" si="12"/>
        <v>1811.6100000000049</v>
      </c>
      <c r="K63" s="176"/>
      <c r="L63" s="39">
        <v>9.39</v>
      </c>
      <c r="Q63" s="78"/>
    </row>
    <row r="64" spans="1:18" x14ac:dyDescent="0.25">
      <c r="A64" s="10">
        <v>200</v>
      </c>
      <c r="B64" s="161">
        <v>43407</v>
      </c>
      <c r="C64" s="10">
        <v>200</v>
      </c>
      <c r="D64" s="39">
        <v>15.37</v>
      </c>
      <c r="E64" s="39">
        <v>22.59</v>
      </c>
      <c r="F64" s="39">
        <f t="shared" si="13"/>
        <v>1444.0000000000002</v>
      </c>
      <c r="G64" s="39">
        <f t="shared" si="14"/>
        <v>3074</v>
      </c>
      <c r="H64" s="176">
        <f t="shared" si="15"/>
        <v>0.46974625894599875</v>
      </c>
      <c r="I64" s="176"/>
      <c r="J64" s="763">
        <f t="shared" si="12"/>
        <v>1728.970000000005</v>
      </c>
      <c r="K64" s="176"/>
      <c r="L64" s="39">
        <v>9.2200000000000006</v>
      </c>
      <c r="O64" s="33"/>
    </row>
    <row r="65" spans="1:15" x14ac:dyDescent="0.25">
      <c r="A65" s="10">
        <v>41</v>
      </c>
      <c r="B65" s="161">
        <v>43423</v>
      </c>
      <c r="C65" s="10">
        <v>241</v>
      </c>
      <c r="D65" s="39">
        <v>15.0718</v>
      </c>
      <c r="E65" s="39">
        <v>22</v>
      </c>
      <c r="F65" s="39">
        <f t="shared" si="13"/>
        <v>1669.6962000000001</v>
      </c>
      <c r="G65" s="39">
        <f t="shared" si="14"/>
        <v>3632.3038000000001</v>
      </c>
      <c r="H65" s="176">
        <f t="shared" si="15"/>
        <v>0.45967966666224341</v>
      </c>
      <c r="I65" s="176"/>
      <c r="J65" s="763">
        <f t="shared" si="12"/>
        <v>1954.6662000000049</v>
      </c>
      <c r="K65" s="176"/>
      <c r="L65" s="39">
        <v>8.98</v>
      </c>
    </row>
    <row r="66" spans="1:15" x14ac:dyDescent="0.25">
      <c r="A66" s="10">
        <v>0</v>
      </c>
      <c r="B66" s="161">
        <v>43427</v>
      </c>
      <c r="C66" s="181">
        <v>200</v>
      </c>
      <c r="D66" s="182">
        <v>13.6065</v>
      </c>
      <c r="E66" s="39">
        <v>22.22</v>
      </c>
      <c r="F66" s="39">
        <f t="shared" si="13"/>
        <v>1722.6999999999996</v>
      </c>
      <c r="G66" s="39">
        <f t="shared" si="14"/>
        <v>2721.3</v>
      </c>
      <c r="H66" s="176">
        <f t="shared" si="15"/>
        <v>0.63304303090434699</v>
      </c>
      <c r="I66" s="176"/>
      <c r="J66" s="762">
        <f t="shared" si="12"/>
        <v>2007.6700000000044</v>
      </c>
      <c r="K66" s="176"/>
      <c r="L66" s="39">
        <v>9</v>
      </c>
    </row>
    <row r="67" spans="1:15" x14ac:dyDescent="0.25">
      <c r="A67" s="10">
        <v>0</v>
      </c>
      <c r="B67" s="161">
        <v>43434</v>
      </c>
      <c r="C67" s="7">
        <v>400</v>
      </c>
      <c r="D67" s="43">
        <v>17.5732</v>
      </c>
      <c r="E67" s="39">
        <v>21.54</v>
      </c>
      <c r="F67" s="39">
        <f t="shared" si="13"/>
        <v>1586.7199999999998</v>
      </c>
      <c r="G67" s="39">
        <f t="shared" si="14"/>
        <v>7029.28</v>
      </c>
      <c r="H67" s="176">
        <f t="shared" si="15"/>
        <v>0.22573008899915775</v>
      </c>
      <c r="I67" s="176"/>
      <c r="J67" s="763">
        <f t="shared" si="12"/>
        <v>1871.6900000000046</v>
      </c>
      <c r="K67" s="176"/>
      <c r="L67" s="176"/>
    </row>
    <row r="68" spans="1:15" x14ac:dyDescent="0.25">
      <c r="A68" s="10">
        <v>0</v>
      </c>
      <c r="B68" s="161">
        <v>43444</v>
      </c>
      <c r="C68" s="10">
        <v>600</v>
      </c>
      <c r="D68" s="39">
        <v>17.848800000000001</v>
      </c>
      <c r="E68" s="39">
        <v>18.440000000000001</v>
      </c>
      <c r="F68" s="39">
        <f t="shared" si="13"/>
        <v>354.72000000000037</v>
      </c>
      <c r="G68" s="39">
        <f t="shared" si="14"/>
        <v>10709.28</v>
      </c>
      <c r="H68" s="176">
        <f t="shared" si="15"/>
        <v>3.3122674913719723E-2</v>
      </c>
      <c r="I68" s="176"/>
      <c r="J68" s="763">
        <f t="shared" si="12"/>
        <v>639.69000000000517</v>
      </c>
      <c r="K68" s="176"/>
      <c r="L68" s="39">
        <v>7.92</v>
      </c>
    </row>
    <row r="69" spans="1:15" x14ac:dyDescent="0.25">
      <c r="A69" s="10">
        <v>0</v>
      </c>
      <c r="B69" s="161">
        <v>43446</v>
      </c>
      <c r="C69" s="7">
        <v>400</v>
      </c>
      <c r="D69" s="43">
        <v>17.2334</v>
      </c>
      <c r="E69" s="39">
        <v>18.989999999999998</v>
      </c>
      <c r="F69" s="39">
        <f t="shared" si="13"/>
        <v>702.63999999999953</v>
      </c>
      <c r="G69" s="39">
        <f t="shared" si="14"/>
        <v>6893.36</v>
      </c>
      <c r="H69" s="176">
        <f t="shared" si="15"/>
        <v>0.101929973191593</v>
      </c>
      <c r="I69" s="176"/>
      <c r="J69" s="763">
        <f t="shared" si="12"/>
        <v>987.61000000000433</v>
      </c>
      <c r="K69" s="176"/>
      <c r="L69" s="176"/>
      <c r="O69" s="33"/>
    </row>
    <row r="70" spans="1:15" x14ac:dyDescent="0.25">
      <c r="A70" s="10">
        <v>0</v>
      </c>
      <c r="B70" s="161">
        <v>43452</v>
      </c>
      <c r="C70" s="10">
        <v>600</v>
      </c>
      <c r="D70" s="39">
        <v>17.222200000000001</v>
      </c>
      <c r="E70" s="39">
        <v>17.010000000000002</v>
      </c>
      <c r="F70" s="39">
        <f t="shared" si="13"/>
        <v>-127.31999999999957</v>
      </c>
      <c r="G70" s="39">
        <f t="shared" si="14"/>
        <v>10333.32</v>
      </c>
      <c r="H70" s="176">
        <f t="shared" si="15"/>
        <v>-1.2321306221040242E-2</v>
      </c>
      <c r="I70" s="176"/>
      <c r="J70" s="763">
        <f t="shared" si="12"/>
        <v>157.65000000000524</v>
      </c>
      <c r="K70" s="176"/>
      <c r="L70" s="39">
        <v>6.94</v>
      </c>
    </row>
    <row r="71" spans="1:15" x14ac:dyDescent="0.25">
      <c r="A71" s="10">
        <v>0</v>
      </c>
      <c r="B71" s="161">
        <v>43472</v>
      </c>
      <c r="C71" s="7">
        <v>400</v>
      </c>
      <c r="D71" s="43">
        <v>16.808499999999999</v>
      </c>
      <c r="E71" s="39">
        <v>17.670000000000002</v>
      </c>
      <c r="F71" s="39">
        <f t="shared" si="13"/>
        <v>344.60000000000122</v>
      </c>
      <c r="G71" s="39">
        <f t="shared" si="14"/>
        <v>6723.4</v>
      </c>
      <c r="H71" s="176">
        <f t="shared" si="15"/>
        <v>5.1253829907487468E-2</v>
      </c>
      <c r="I71" s="176"/>
      <c r="J71" s="763">
        <f t="shared" si="12"/>
        <v>629.57000000000608</v>
      </c>
      <c r="K71" s="176"/>
      <c r="L71" s="39">
        <v>7.21</v>
      </c>
    </row>
    <row r="72" spans="1:15" x14ac:dyDescent="0.25">
      <c r="A72" s="10">
        <v>200</v>
      </c>
      <c r="B72" s="161">
        <v>43476</v>
      </c>
      <c r="C72" s="10">
        <v>400</v>
      </c>
      <c r="D72" s="39">
        <v>16.809999999999999</v>
      </c>
      <c r="E72" s="39">
        <v>18.45</v>
      </c>
      <c r="F72" s="39">
        <f t="shared" si="13"/>
        <v>656.00000000000023</v>
      </c>
      <c r="G72" s="39">
        <f t="shared" si="14"/>
        <v>6723.9999999999991</v>
      </c>
      <c r="H72" s="176">
        <f t="shared" si="15"/>
        <v>9.7560975609756143E-2</v>
      </c>
      <c r="I72" s="176"/>
      <c r="J72" s="763">
        <f t="shared" si="12"/>
        <v>940.97000000000503</v>
      </c>
      <c r="K72" s="176"/>
      <c r="L72" s="39">
        <v>7.53</v>
      </c>
    </row>
    <row r="73" spans="1:15" x14ac:dyDescent="0.25">
      <c r="A73" s="10"/>
      <c r="B73" s="161">
        <v>43491</v>
      </c>
      <c r="C73" s="10">
        <v>400</v>
      </c>
      <c r="D73" s="39">
        <v>16.809999999999999</v>
      </c>
      <c r="E73" s="39">
        <v>19.559999999999999</v>
      </c>
      <c r="F73" s="39">
        <f t="shared" ref="F73:F81" si="16">C73*(E73-D73)</f>
        <v>1100</v>
      </c>
      <c r="G73" s="39">
        <f t="shared" ref="G73:G81" si="17">D73*C73</f>
        <v>6723.9999999999991</v>
      </c>
      <c r="H73" s="176">
        <f t="shared" ref="H73:H81" si="18">(E73-D73)/D73</f>
        <v>0.1635930993456276</v>
      </c>
      <c r="I73" s="176"/>
      <c r="J73" s="763">
        <f t="shared" si="12"/>
        <v>1384.9700000000048</v>
      </c>
      <c r="K73" s="176"/>
      <c r="L73" s="39"/>
    </row>
    <row r="74" spans="1:15" x14ac:dyDescent="0.25">
      <c r="A74" s="10">
        <v>400</v>
      </c>
      <c r="B74" s="161">
        <v>43535</v>
      </c>
      <c r="C74" s="10">
        <v>400</v>
      </c>
      <c r="D74" s="39">
        <v>16.809999999999999</v>
      </c>
      <c r="E74" s="39">
        <v>15.78</v>
      </c>
      <c r="F74" s="39">
        <f t="shared" si="16"/>
        <v>-411.99999999999977</v>
      </c>
      <c r="G74" s="39">
        <f t="shared" si="17"/>
        <v>6723.9999999999991</v>
      </c>
      <c r="H74" s="176">
        <f t="shared" si="18"/>
        <v>-6.1273051754907756E-2</v>
      </c>
      <c r="I74" s="176"/>
      <c r="J74" s="763">
        <f t="shared" ref="J74:J81" si="19">F74+$Q$10</f>
        <v>-127.02999999999497</v>
      </c>
      <c r="K74" s="176"/>
      <c r="L74" s="39">
        <v>6.44</v>
      </c>
    </row>
    <row r="75" spans="1:15" x14ac:dyDescent="0.25">
      <c r="A75" s="10">
        <v>400</v>
      </c>
      <c r="B75" s="161">
        <v>43564</v>
      </c>
      <c r="C75" s="10">
        <v>800</v>
      </c>
      <c r="D75" s="39">
        <v>15.734</v>
      </c>
      <c r="E75" s="39">
        <v>14.55</v>
      </c>
      <c r="F75" s="39">
        <f t="shared" si="16"/>
        <v>-947.19999999999936</v>
      </c>
      <c r="G75" s="39">
        <f t="shared" si="17"/>
        <v>12587.2</v>
      </c>
      <c r="H75" s="176">
        <f t="shared" si="18"/>
        <v>-7.5251048684377736E-2</v>
      </c>
      <c r="I75" s="176"/>
      <c r="J75" s="763">
        <f t="shared" si="19"/>
        <v>-662.22999999999456</v>
      </c>
      <c r="K75" s="176"/>
      <c r="L75" s="176"/>
    </row>
    <row r="76" spans="1:15" x14ac:dyDescent="0.25">
      <c r="A76" s="10">
        <v>400</v>
      </c>
      <c r="B76" s="161">
        <v>43572</v>
      </c>
      <c r="C76" s="352">
        <v>1000</v>
      </c>
      <c r="D76" s="353">
        <v>15.4214</v>
      </c>
      <c r="E76" s="39">
        <v>14.22</v>
      </c>
      <c r="F76" s="39">
        <f t="shared" si="16"/>
        <v>-1201.3999999999996</v>
      </c>
      <c r="G76" s="39">
        <f t="shared" si="17"/>
        <v>15421.4</v>
      </c>
      <c r="H76" s="176">
        <f t="shared" si="18"/>
        <v>-7.7904729791069521E-2</v>
      </c>
      <c r="I76" s="176"/>
      <c r="J76" s="763">
        <f t="shared" si="19"/>
        <v>-916.42999999999483</v>
      </c>
      <c r="K76" s="176"/>
      <c r="L76" s="39">
        <v>5.8</v>
      </c>
    </row>
    <row r="77" spans="1:15" x14ac:dyDescent="0.25">
      <c r="A77" s="10">
        <v>200</v>
      </c>
      <c r="B77" s="161">
        <v>43584</v>
      </c>
      <c r="C77" s="10">
        <v>800</v>
      </c>
      <c r="D77" s="39">
        <v>15.3568</v>
      </c>
      <c r="E77" s="39">
        <v>15.61</v>
      </c>
      <c r="F77" s="39">
        <f t="shared" si="16"/>
        <v>202.55999999999972</v>
      </c>
      <c r="G77" s="39">
        <f t="shared" si="17"/>
        <v>12285.44</v>
      </c>
      <c r="H77" s="176">
        <f t="shared" si="18"/>
        <v>1.6487809960408394E-2</v>
      </c>
      <c r="I77" s="176"/>
      <c r="J77" s="763">
        <f t="shared" si="19"/>
        <v>487.53000000000452</v>
      </c>
      <c r="K77" s="176"/>
      <c r="L77" s="176"/>
    </row>
    <row r="78" spans="1:15" x14ac:dyDescent="0.25">
      <c r="A78" s="10">
        <v>200</v>
      </c>
      <c r="B78" s="161">
        <v>43585</v>
      </c>
      <c r="C78" s="352">
        <v>1000</v>
      </c>
      <c r="D78" s="353">
        <v>15.2995</v>
      </c>
      <c r="E78" s="39">
        <v>15.22</v>
      </c>
      <c r="F78" s="39">
        <f t="shared" si="16"/>
        <v>-79.49999999999946</v>
      </c>
      <c r="G78" s="39">
        <f t="shared" si="17"/>
        <v>15299.5</v>
      </c>
      <c r="H78" s="176">
        <f t="shared" si="18"/>
        <v>-5.1962482434066122E-3</v>
      </c>
      <c r="I78" s="176"/>
      <c r="J78" s="763">
        <f t="shared" si="19"/>
        <v>205.47000000000534</v>
      </c>
      <c r="K78" s="176"/>
      <c r="L78" s="39">
        <v>6.21</v>
      </c>
    </row>
    <row r="79" spans="1:15" x14ac:dyDescent="0.25">
      <c r="A79" s="10">
        <v>600</v>
      </c>
      <c r="B79" s="161">
        <v>43598</v>
      </c>
      <c r="C79" s="10">
        <v>1400</v>
      </c>
      <c r="D79" s="39">
        <v>14.531000000000001</v>
      </c>
      <c r="E79" s="39">
        <v>12.23</v>
      </c>
      <c r="F79" s="39">
        <f t="shared" si="16"/>
        <v>-3221.4</v>
      </c>
      <c r="G79" s="39">
        <f t="shared" si="17"/>
        <v>20343.400000000001</v>
      </c>
      <c r="H79" s="176">
        <f t="shared" si="18"/>
        <v>-0.15835111141697061</v>
      </c>
      <c r="I79" s="176"/>
      <c r="J79" s="763">
        <f t="shared" si="19"/>
        <v>-2936.4299999999953</v>
      </c>
      <c r="K79" s="176"/>
      <c r="L79" s="39">
        <v>4.99</v>
      </c>
    </row>
    <row r="80" spans="1:15" x14ac:dyDescent="0.25">
      <c r="A80" s="10">
        <v>800</v>
      </c>
      <c r="B80" s="161">
        <v>43608</v>
      </c>
      <c r="C80" s="10">
        <v>1800</v>
      </c>
      <c r="D80" s="39">
        <v>13.77</v>
      </c>
      <c r="E80" s="39">
        <v>11.04</v>
      </c>
      <c r="F80" s="39">
        <f t="shared" si="16"/>
        <v>-4914.0000000000009</v>
      </c>
      <c r="G80" s="39">
        <f t="shared" si="17"/>
        <v>24786</v>
      </c>
      <c r="H80" s="176">
        <f t="shared" si="18"/>
        <v>-0.19825708061002181</v>
      </c>
      <c r="I80" s="176"/>
      <c r="J80" s="763">
        <f t="shared" si="19"/>
        <v>-4629.0299999999961</v>
      </c>
      <c r="K80" s="176"/>
      <c r="L80" s="39">
        <v>4.71</v>
      </c>
    </row>
    <row r="81" spans="1:12" x14ac:dyDescent="0.25">
      <c r="A81" s="10">
        <v>800</v>
      </c>
      <c r="B81" s="161">
        <v>43613</v>
      </c>
      <c r="C81" s="10">
        <v>2200</v>
      </c>
      <c r="D81" s="39">
        <v>12.9598</v>
      </c>
      <c r="E81" s="39">
        <v>9.52</v>
      </c>
      <c r="F81" s="39">
        <f t="shared" si="16"/>
        <v>-7567.5599999999995</v>
      </c>
      <c r="G81" s="39">
        <f t="shared" si="17"/>
        <v>28511.559999999998</v>
      </c>
      <c r="H81" s="176">
        <f t="shared" si="18"/>
        <v>-0.26542076266609055</v>
      </c>
      <c r="I81" s="176"/>
      <c r="J81" s="763">
        <f t="shared" si="19"/>
        <v>-7282.5899999999947</v>
      </c>
      <c r="K81" s="176"/>
      <c r="L81" s="176"/>
    </row>
    <row r="82" spans="1:12" x14ac:dyDescent="0.25">
      <c r="A82" s="10">
        <v>800</v>
      </c>
      <c r="B82" s="161">
        <v>43614</v>
      </c>
      <c r="C82" s="10">
        <v>2200</v>
      </c>
      <c r="D82" s="39">
        <v>12.96</v>
      </c>
      <c r="E82" s="39">
        <v>9.6999999999999993</v>
      </c>
      <c r="F82" s="39">
        <f t="shared" ref="F82:F85" si="20">C82*(E82-D82)</f>
        <v>-7172.0000000000036</v>
      </c>
      <c r="G82" s="39">
        <f t="shared" ref="G82:G85" si="21">D82*C82</f>
        <v>28512.000000000004</v>
      </c>
      <c r="H82" s="176">
        <f t="shared" ref="H82:H85" si="22">(E82-D82)/D82</f>
        <v>-0.25154320987654333</v>
      </c>
      <c r="I82" s="176"/>
      <c r="J82" s="763">
        <f t="shared" ref="J82:J85" si="23">F82+$Q$10</f>
        <v>-6887.0299999999988</v>
      </c>
      <c r="K82" s="176"/>
      <c r="L82" s="39"/>
    </row>
    <row r="83" spans="1:12" x14ac:dyDescent="0.25">
      <c r="A83" s="10">
        <v>0</v>
      </c>
      <c r="B83" s="161">
        <v>43628</v>
      </c>
      <c r="C83" s="10">
        <v>2800</v>
      </c>
      <c r="D83" s="39">
        <v>11.6035</v>
      </c>
      <c r="E83" s="39">
        <v>8.7100000000000009</v>
      </c>
      <c r="F83" s="39">
        <f t="shared" si="20"/>
        <v>-8101.7999999999984</v>
      </c>
      <c r="G83" s="39">
        <f t="shared" si="21"/>
        <v>32489.8</v>
      </c>
      <c r="H83" s="176">
        <f t="shared" si="22"/>
        <v>-0.24936441590899291</v>
      </c>
      <c r="I83" s="176"/>
      <c r="J83" s="763">
        <f t="shared" si="23"/>
        <v>-7816.8299999999936</v>
      </c>
      <c r="K83" s="176"/>
      <c r="L83" s="176"/>
    </row>
    <row r="84" spans="1:12" x14ac:dyDescent="0.25">
      <c r="A84" s="10">
        <v>0</v>
      </c>
      <c r="B84" s="161">
        <v>43631</v>
      </c>
      <c r="C84" s="10">
        <v>3000</v>
      </c>
      <c r="D84" s="39">
        <v>11.3786</v>
      </c>
      <c r="E84" s="39">
        <v>8.24</v>
      </c>
      <c r="F84" s="39">
        <f t="shared" si="20"/>
        <v>-9415.8000000000011</v>
      </c>
      <c r="G84" s="39">
        <f t="shared" si="21"/>
        <v>34135.800000000003</v>
      </c>
      <c r="H84" s="176">
        <f t="shared" si="22"/>
        <v>-0.27583358233877631</v>
      </c>
      <c r="I84" s="176"/>
      <c r="J84" s="763">
        <f t="shared" si="23"/>
        <v>-9130.8299999999963</v>
      </c>
      <c r="K84" s="176"/>
      <c r="L84" s="39"/>
    </row>
    <row r="85" spans="1:12" x14ac:dyDescent="0.25">
      <c r="A85" s="10">
        <v>0</v>
      </c>
      <c r="B85" s="161">
        <v>43633</v>
      </c>
      <c r="C85" s="348">
        <v>2000</v>
      </c>
      <c r="D85" s="740">
        <v>12.933</v>
      </c>
      <c r="E85" s="39">
        <v>8.1999999999999993</v>
      </c>
      <c r="F85" s="39">
        <f t="shared" si="20"/>
        <v>-9466.0000000000018</v>
      </c>
      <c r="G85" s="39">
        <f t="shared" si="21"/>
        <v>25866</v>
      </c>
      <c r="H85" s="176">
        <f t="shared" si="22"/>
        <v>-0.36596304028454346</v>
      </c>
      <c r="I85" s="176"/>
      <c r="J85" s="763">
        <f t="shared" si="23"/>
        <v>-9181.029999999997</v>
      </c>
      <c r="K85" s="176"/>
      <c r="L85" s="176"/>
    </row>
    <row r="86" spans="1:12" x14ac:dyDescent="0.25">
      <c r="A86" s="10">
        <v>0</v>
      </c>
      <c r="B86" s="161">
        <v>43636</v>
      </c>
      <c r="C86" s="10">
        <v>2400</v>
      </c>
      <c r="D86" s="39">
        <v>12.13</v>
      </c>
      <c r="E86" s="39">
        <v>8.1199999999999992</v>
      </c>
      <c r="F86" s="39">
        <f t="shared" ref="F86:F90" si="24">C86*(E86-D86)</f>
        <v>-9624.0000000000036</v>
      </c>
      <c r="G86" s="39">
        <f t="shared" ref="G86:G87" si="25">D86*C86</f>
        <v>29112.000000000004</v>
      </c>
      <c r="H86" s="176">
        <f t="shared" ref="H86:H90" si="26">(E86-D86)/D86</f>
        <v>-0.33058532563891191</v>
      </c>
      <c r="I86" s="176"/>
      <c r="J86" s="763">
        <f t="shared" ref="J86:J90" si="27">F86+$Q$10</f>
        <v>-9339.0299999999988</v>
      </c>
      <c r="K86" s="176"/>
      <c r="L86" s="176"/>
    </row>
    <row r="87" spans="1:12" x14ac:dyDescent="0.25">
      <c r="A87" s="10">
        <v>0</v>
      </c>
      <c r="B87" s="161">
        <v>43637</v>
      </c>
      <c r="C87" s="10">
        <v>2000</v>
      </c>
      <c r="D87" s="39">
        <v>12.9</v>
      </c>
      <c r="E87" s="39">
        <v>8.4499999999999993</v>
      </c>
      <c r="F87" s="39">
        <f t="shared" si="24"/>
        <v>-8900.0000000000018</v>
      </c>
      <c r="G87" s="39">
        <f t="shared" si="25"/>
        <v>25800</v>
      </c>
      <c r="H87" s="176">
        <f t="shared" si="26"/>
        <v>-0.34496124031007758</v>
      </c>
      <c r="I87" s="176"/>
      <c r="J87" s="763">
        <f t="shared" si="27"/>
        <v>-8615.029999999997</v>
      </c>
      <c r="K87" s="176"/>
      <c r="L87" s="39"/>
    </row>
    <row r="88" spans="1:12" x14ac:dyDescent="0.25">
      <c r="A88" s="10">
        <v>2000</v>
      </c>
      <c r="B88" s="161">
        <v>43683</v>
      </c>
      <c r="C88" s="10">
        <v>2500</v>
      </c>
      <c r="D88" s="39">
        <v>11.808999999999999</v>
      </c>
      <c r="E88" s="39">
        <v>7.06</v>
      </c>
      <c r="F88" s="39">
        <f t="shared" si="24"/>
        <v>-11872.5</v>
      </c>
      <c r="G88" s="39">
        <f t="shared" ref="G88:G94" si="28">D88*C88</f>
        <v>29522.5</v>
      </c>
      <c r="H88" s="176">
        <f t="shared" si="26"/>
        <v>-0.40215090185451774</v>
      </c>
      <c r="I88" s="176"/>
      <c r="J88" s="763">
        <f t="shared" si="27"/>
        <v>-11587.529999999995</v>
      </c>
      <c r="K88" s="176"/>
      <c r="L88" s="176"/>
    </row>
    <row r="89" spans="1:12" x14ac:dyDescent="0.25">
      <c r="A89" s="10">
        <v>2000</v>
      </c>
      <c r="B89" s="161">
        <v>43692</v>
      </c>
      <c r="C89" s="10">
        <v>4000</v>
      </c>
      <c r="D89" s="39">
        <v>9.66</v>
      </c>
      <c r="E89" s="39">
        <v>6.16</v>
      </c>
      <c r="F89" s="39">
        <f t="shared" si="24"/>
        <v>-14000</v>
      </c>
      <c r="G89" s="39">
        <f t="shared" si="28"/>
        <v>38640</v>
      </c>
      <c r="H89" s="176">
        <f t="shared" si="26"/>
        <v>-0.36231884057971014</v>
      </c>
      <c r="I89" s="176"/>
      <c r="J89" s="763">
        <f t="shared" si="27"/>
        <v>-13715.029999999995</v>
      </c>
      <c r="K89" s="176"/>
      <c r="L89" s="176"/>
    </row>
    <row r="90" spans="1:12" x14ac:dyDescent="0.25">
      <c r="A90" s="10">
        <v>500</v>
      </c>
      <c r="B90" s="161">
        <v>43696</v>
      </c>
      <c r="C90" s="10">
        <v>2500</v>
      </c>
      <c r="D90" s="39">
        <v>11.377000000000001</v>
      </c>
      <c r="E90" s="39">
        <v>6.71</v>
      </c>
      <c r="F90" s="39">
        <f t="shared" si="24"/>
        <v>-11667.500000000002</v>
      </c>
      <c r="G90" s="39">
        <f t="shared" si="28"/>
        <v>28442.5</v>
      </c>
      <c r="H90" s="176">
        <f t="shared" si="26"/>
        <v>-0.41021358881954822</v>
      </c>
      <c r="I90" s="176"/>
      <c r="J90" s="763">
        <f t="shared" si="27"/>
        <v>-11382.529999999997</v>
      </c>
      <c r="K90" s="176"/>
      <c r="L90" s="176"/>
    </row>
    <row r="91" spans="1:12" x14ac:dyDescent="0.25">
      <c r="A91" s="10">
        <v>500</v>
      </c>
      <c r="B91" s="161">
        <v>43698</v>
      </c>
      <c r="C91" s="10">
        <v>2500</v>
      </c>
      <c r="D91" s="39">
        <v>11.38</v>
      </c>
      <c r="E91" s="39">
        <v>7.45</v>
      </c>
      <c r="F91" s="39">
        <f t="shared" ref="F91:F94" si="29">C91*(E91-D91)</f>
        <v>-9825.0000000000018</v>
      </c>
      <c r="G91" s="39">
        <f t="shared" si="28"/>
        <v>28450.000000000004</v>
      </c>
      <c r="H91" s="176">
        <f t="shared" ref="H91:H94" si="30">(E91-D91)/D91</f>
        <v>-0.34534270650263621</v>
      </c>
      <c r="I91" s="176"/>
      <c r="J91" s="763">
        <f t="shared" ref="J91:J94" si="31">F91+$Q$10</f>
        <v>-9540.029999999997</v>
      </c>
      <c r="K91" s="176"/>
      <c r="L91" s="39"/>
    </row>
    <row r="92" spans="1:12" x14ac:dyDescent="0.25">
      <c r="A92" s="10">
        <v>500</v>
      </c>
      <c r="B92" s="161">
        <v>43718</v>
      </c>
      <c r="C92" s="348">
        <v>2000</v>
      </c>
      <c r="D92" s="740">
        <v>12.3</v>
      </c>
      <c r="E92" s="39">
        <v>7.68</v>
      </c>
      <c r="F92" s="39">
        <f t="shared" si="29"/>
        <v>-9240.0000000000018</v>
      </c>
      <c r="G92" s="39">
        <f t="shared" si="28"/>
        <v>24600</v>
      </c>
      <c r="H92" s="176">
        <f t="shared" si="30"/>
        <v>-0.37560975609756103</v>
      </c>
      <c r="I92" s="176"/>
      <c r="J92" s="763">
        <f t="shared" si="31"/>
        <v>-8955.029999999997</v>
      </c>
      <c r="K92" s="176"/>
      <c r="L92" s="176"/>
    </row>
    <row r="93" spans="1:12" x14ac:dyDescent="0.25">
      <c r="A93" s="10">
        <v>2000</v>
      </c>
      <c r="B93" s="161">
        <v>43734</v>
      </c>
      <c r="C93" s="10">
        <v>2500</v>
      </c>
      <c r="D93" s="39">
        <v>11.1534</v>
      </c>
      <c r="E93" s="39">
        <v>6.54</v>
      </c>
      <c r="F93" s="39">
        <f t="shared" si="29"/>
        <v>-11533.499999999998</v>
      </c>
      <c r="G93" s="39">
        <f t="shared" si="28"/>
        <v>27883.5</v>
      </c>
      <c r="H93" s="176">
        <f t="shared" si="30"/>
        <v>-0.4136317176825004</v>
      </c>
      <c r="I93" s="176"/>
      <c r="J93" s="763">
        <f t="shared" si="31"/>
        <v>-11248.529999999993</v>
      </c>
      <c r="K93" s="176"/>
      <c r="L93" s="39"/>
    </row>
    <row r="94" spans="1:12" x14ac:dyDescent="0.25">
      <c r="A94" s="10">
        <v>1500</v>
      </c>
      <c r="B94" s="161">
        <v>43736</v>
      </c>
      <c r="C94" s="10">
        <v>2000</v>
      </c>
      <c r="D94" s="39">
        <v>12.1717</v>
      </c>
      <c r="E94" s="39">
        <v>6.92</v>
      </c>
      <c r="F94" s="39">
        <f t="shared" si="29"/>
        <v>-10503.4</v>
      </c>
      <c r="G94" s="39">
        <f t="shared" si="28"/>
        <v>24343.399999999998</v>
      </c>
      <c r="H94" s="176">
        <f t="shared" si="30"/>
        <v>-0.43146807758981898</v>
      </c>
      <c r="I94" s="176"/>
      <c r="J94" s="763">
        <f t="shared" si="31"/>
        <v>-10218.429999999995</v>
      </c>
      <c r="K94" s="176"/>
      <c r="L94" s="176"/>
    </row>
    <row r="95" spans="1:12" x14ac:dyDescent="0.25">
      <c r="A95" s="10">
        <v>1500</v>
      </c>
      <c r="B95" s="161">
        <v>43761</v>
      </c>
      <c r="C95" s="10">
        <v>2500</v>
      </c>
      <c r="D95" s="39">
        <v>11.2814</v>
      </c>
      <c r="E95" s="39">
        <v>7.93</v>
      </c>
      <c r="F95" s="39">
        <f t="shared" ref="F95:F98" si="32">C95*(E95-D95)</f>
        <v>-8378.5</v>
      </c>
      <c r="G95" s="39">
        <f t="shared" ref="G95:G98" si="33">D95*C95</f>
        <v>28203.5</v>
      </c>
      <c r="H95" s="176">
        <f t="shared" ref="H95:H98" si="34">(E95-D95)/D95</f>
        <v>-0.297073058308366</v>
      </c>
      <c r="I95" s="176" t="s">
        <v>1202</v>
      </c>
      <c r="J95" s="763">
        <f t="shared" ref="J95:J98" si="35">F95+$Q$10</f>
        <v>-8093.5299999999952</v>
      </c>
      <c r="K95" s="176"/>
      <c r="L95" s="176"/>
    </row>
    <row r="96" spans="1:12" x14ac:dyDescent="0.25">
      <c r="A96" s="10">
        <v>1500</v>
      </c>
      <c r="B96" s="161">
        <v>43771</v>
      </c>
      <c r="C96" s="10">
        <v>2000</v>
      </c>
      <c r="D96" s="39">
        <v>12.001799999999999</v>
      </c>
      <c r="E96" s="39">
        <v>8.35</v>
      </c>
      <c r="F96" s="39">
        <f t="shared" si="32"/>
        <v>-7303.5999999999995</v>
      </c>
      <c r="G96" s="39">
        <f t="shared" si="33"/>
        <v>24003.599999999999</v>
      </c>
      <c r="H96" s="176">
        <f t="shared" si="34"/>
        <v>-0.30427102601276473</v>
      </c>
      <c r="I96" s="176"/>
      <c r="J96" s="763">
        <f t="shared" si="35"/>
        <v>-7018.6299999999947</v>
      </c>
      <c r="K96" s="176"/>
      <c r="L96" s="39"/>
    </row>
    <row r="97" spans="1:12" x14ac:dyDescent="0.25">
      <c r="A97" s="10">
        <v>1200</v>
      </c>
      <c r="B97" s="161">
        <v>43776</v>
      </c>
      <c r="C97" s="10">
        <v>2000</v>
      </c>
      <c r="D97" s="39">
        <v>11.9208</v>
      </c>
      <c r="E97" s="39">
        <v>8.4600000000000009</v>
      </c>
      <c r="F97" s="39">
        <f t="shared" si="32"/>
        <v>-6921.5999999999976</v>
      </c>
      <c r="G97" s="39">
        <f t="shared" si="33"/>
        <v>23841.599999999999</v>
      </c>
      <c r="H97" s="176">
        <f t="shared" si="34"/>
        <v>-0.29031608616871341</v>
      </c>
      <c r="I97" s="176"/>
      <c r="J97" s="763">
        <f t="shared" si="35"/>
        <v>-6636.6299999999928</v>
      </c>
      <c r="K97" s="176"/>
      <c r="L97" s="176"/>
    </row>
    <row r="98" spans="1:12" x14ac:dyDescent="0.25">
      <c r="A98" s="10">
        <v>1200</v>
      </c>
      <c r="B98" s="161">
        <v>43778</v>
      </c>
      <c r="C98" s="10">
        <v>2000</v>
      </c>
      <c r="D98" s="39">
        <v>11.92</v>
      </c>
      <c r="E98" s="39">
        <v>9.3000000000000007</v>
      </c>
      <c r="F98" s="39">
        <f t="shared" si="32"/>
        <v>-5239.9999999999982</v>
      </c>
      <c r="G98" s="39">
        <f t="shared" si="33"/>
        <v>23840</v>
      </c>
      <c r="H98" s="176">
        <f t="shared" si="34"/>
        <v>-0.21979865771812074</v>
      </c>
      <c r="I98" s="176"/>
      <c r="J98" s="763">
        <f t="shared" si="35"/>
        <v>-4955.0299999999934</v>
      </c>
      <c r="K98" s="176"/>
      <c r="L98" s="176"/>
    </row>
    <row r="99" spans="1:12" x14ac:dyDescent="0.25">
      <c r="A99" s="10">
        <v>1200</v>
      </c>
      <c r="B99" s="161">
        <v>43781</v>
      </c>
      <c r="C99" s="348">
        <v>2000</v>
      </c>
      <c r="D99" s="740">
        <v>11.92</v>
      </c>
      <c r="E99" s="39">
        <v>9.61</v>
      </c>
      <c r="F99" s="39">
        <f t="shared" ref="F99" si="36">C99*(E99-D99)</f>
        <v>-4620.0000000000009</v>
      </c>
      <c r="G99" s="39">
        <f t="shared" ref="G99" si="37">D99*C99</f>
        <v>23840</v>
      </c>
      <c r="H99" s="176">
        <f t="shared" ref="H99" si="38">(E99-D99)/D99</f>
        <v>-0.19379194630872487</v>
      </c>
      <c r="I99" s="176"/>
      <c r="J99" s="763">
        <f t="shared" ref="J99" si="39">F99+$Q$10</f>
        <v>-4335.0299999999961</v>
      </c>
      <c r="K99" s="176"/>
      <c r="L99" s="39"/>
    </row>
    <row r="100" spans="1:12" x14ac:dyDescent="0.25">
      <c r="A100" s="10">
        <v>1000</v>
      </c>
      <c r="B100" s="161">
        <v>43782</v>
      </c>
      <c r="C100" s="10">
        <v>1800</v>
      </c>
      <c r="D100" s="39">
        <v>12.162000000000001</v>
      </c>
      <c r="E100" s="39">
        <v>9.7799999999999994</v>
      </c>
      <c r="F100" s="39">
        <f t="shared" ref="F100:F103" si="40">C100*(E100-D100)</f>
        <v>-4287.6000000000022</v>
      </c>
      <c r="G100" s="39">
        <f t="shared" ref="G100:G103" si="41">D100*C100</f>
        <v>21891.600000000002</v>
      </c>
      <c r="H100" s="176">
        <f t="shared" ref="H100:H103" si="42">(E100-D100)/D100</f>
        <v>-0.19585594474593004</v>
      </c>
      <c r="I100" s="176"/>
      <c r="J100" s="763">
        <f t="shared" ref="J100:J103" si="43">F100+$Q$10</f>
        <v>-4002.6299999999974</v>
      </c>
      <c r="K100" s="176"/>
      <c r="L100" s="176"/>
    </row>
    <row r="101" spans="1:12" x14ac:dyDescent="0.25">
      <c r="A101" s="10">
        <v>1500</v>
      </c>
      <c r="B101" s="161">
        <v>43797</v>
      </c>
      <c r="C101" s="10">
        <v>1800</v>
      </c>
      <c r="D101" s="39">
        <v>12.16</v>
      </c>
      <c r="E101" s="39">
        <v>10.45</v>
      </c>
      <c r="F101" s="39">
        <f t="shared" si="40"/>
        <v>-3078.0000000000014</v>
      </c>
      <c r="G101" s="39">
        <f t="shared" si="41"/>
        <v>21888</v>
      </c>
      <c r="H101" s="176">
        <f t="shared" si="42"/>
        <v>-0.14062500000000006</v>
      </c>
      <c r="I101" s="176"/>
      <c r="J101" s="763">
        <f t="shared" si="43"/>
        <v>-2793.0299999999966</v>
      </c>
      <c r="K101" s="176"/>
      <c r="L101" s="176"/>
    </row>
    <row r="102" spans="1:12" x14ac:dyDescent="0.25">
      <c r="A102" s="10">
        <v>1500</v>
      </c>
      <c r="B102" s="161">
        <v>43804</v>
      </c>
      <c r="C102" s="10">
        <v>1800</v>
      </c>
      <c r="D102" s="39">
        <v>12.16</v>
      </c>
      <c r="E102" s="39">
        <v>9.82</v>
      </c>
      <c r="F102" s="39">
        <f t="shared" si="40"/>
        <v>-4212</v>
      </c>
      <c r="G102" s="39">
        <f t="shared" si="41"/>
        <v>21888</v>
      </c>
      <c r="H102" s="176">
        <f t="shared" si="42"/>
        <v>-0.19243421052631576</v>
      </c>
      <c r="I102" s="176"/>
      <c r="J102" s="763">
        <f t="shared" si="43"/>
        <v>-3927.0299999999952</v>
      </c>
      <c r="K102" s="176"/>
      <c r="L102" s="39"/>
    </row>
    <row r="103" spans="1:12" x14ac:dyDescent="0.25">
      <c r="A103" s="10">
        <v>1800</v>
      </c>
      <c r="B103" s="161">
        <v>43809</v>
      </c>
      <c r="C103" s="348">
        <v>2000</v>
      </c>
      <c r="D103" s="740">
        <v>11.894</v>
      </c>
      <c r="E103" s="39">
        <v>9.4849999999999994</v>
      </c>
      <c r="F103" s="39">
        <f t="shared" si="40"/>
        <v>-4818.0000000000018</v>
      </c>
      <c r="G103" s="39">
        <f t="shared" si="41"/>
        <v>23788</v>
      </c>
      <c r="H103" s="176">
        <f t="shared" si="42"/>
        <v>-0.20253909534218939</v>
      </c>
      <c r="I103" s="176"/>
      <c r="J103" s="763">
        <f t="shared" si="43"/>
        <v>-4533.029999999997</v>
      </c>
      <c r="K103" s="176"/>
      <c r="L103" s="176"/>
    </row>
    <row r="104" spans="1:12" x14ac:dyDescent="0.25">
      <c r="A104" s="10"/>
      <c r="B104" s="10"/>
      <c r="C104" s="10"/>
      <c r="D104" s="39"/>
      <c r="E104" s="39"/>
      <c r="F104" s="39"/>
      <c r="G104" s="39"/>
      <c r="H104" s="176"/>
      <c r="I104" s="176"/>
      <c r="J104" s="763"/>
      <c r="K104" s="176"/>
      <c r="L104" s="39"/>
    </row>
    <row r="105" spans="1:12" x14ac:dyDescent="0.25">
      <c r="A105" s="10"/>
      <c r="B105" s="10"/>
      <c r="C105" s="10"/>
      <c r="D105" s="39"/>
      <c r="E105" s="39"/>
      <c r="F105" s="39"/>
      <c r="G105" s="39"/>
      <c r="H105" s="176"/>
      <c r="I105" s="176"/>
      <c r="J105" s="763"/>
      <c r="K105" s="176"/>
      <c r="L105" s="176"/>
    </row>
    <row r="106" spans="1:12" x14ac:dyDescent="0.25">
      <c r="A106" s="10"/>
      <c r="B106" s="10"/>
      <c r="C106" s="10"/>
      <c r="D106" s="39"/>
      <c r="E106" s="39"/>
      <c r="F106" s="39"/>
      <c r="G106" s="39"/>
      <c r="H106" s="176"/>
      <c r="I106" s="176"/>
      <c r="J106" s="763"/>
      <c r="K106" s="176"/>
      <c r="L106" s="39"/>
    </row>
    <row r="107" spans="1:12" x14ac:dyDescent="0.25">
      <c r="A107" s="10"/>
      <c r="B107" s="10"/>
      <c r="C107" s="10"/>
      <c r="D107" s="39"/>
      <c r="E107" s="39"/>
      <c r="F107" s="39"/>
      <c r="G107" s="39"/>
      <c r="H107" s="176"/>
      <c r="I107" s="176"/>
      <c r="J107" s="763"/>
      <c r="K107" s="176"/>
      <c r="L107" s="176"/>
    </row>
    <row r="108" spans="1:12" x14ac:dyDescent="0.25">
      <c r="A108" s="10"/>
      <c r="B108" s="10"/>
      <c r="C108" s="10"/>
      <c r="D108" s="39"/>
      <c r="E108" s="39"/>
      <c r="F108" s="39"/>
      <c r="G108" s="39"/>
      <c r="H108" s="176"/>
      <c r="I108" s="176"/>
      <c r="J108" s="763"/>
      <c r="K108" s="176"/>
      <c r="L108" s="39"/>
    </row>
    <row r="109" spans="1:12" x14ac:dyDescent="0.25">
      <c r="A109" s="10"/>
      <c r="B109" s="10"/>
      <c r="C109" s="10"/>
      <c r="D109" s="39"/>
      <c r="E109" s="39"/>
      <c r="F109" s="39"/>
      <c r="G109" s="39"/>
      <c r="H109" s="176"/>
      <c r="I109" s="176"/>
      <c r="J109" s="763"/>
      <c r="K109" s="176"/>
      <c r="L109" s="176"/>
    </row>
    <row r="110" spans="1:12" x14ac:dyDescent="0.25">
      <c r="A110" s="10"/>
      <c r="B110" s="10"/>
      <c r="C110" s="10"/>
      <c r="D110" s="39"/>
      <c r="E110" s="39"/>
      <c r="F110" s="39"/>
      <c r="G110" s="39"/>
      <c r="H110" s="176"/>
      <c r="I110" s="176"/>
      <c r="J110" s="763"/>
      <c r="K110" s="176"/>
      <c r="L110" s="39"/>
    </row>
    <row r="111" spans="1:12" x14ac:dyDescent="0.25">
      <c r="A111" s="10"/>
      <c r="B111" s="10"/>
      <c r="C111" s="10"/>
      <c r="D111" s="39"/>
      <c r="E111" s="39"/>
      <c r="F111" s="39"/>
      <c r="G111" s="39"/>
      <c r="H111" s="176"/>
      <c r="I111" s="176"/>
      <c r="J111" s="763"/>
      <c r="K111" s="176"/>
      <c r="L111" s="176"/>
    </row>
    <row r="112" spans="1:12" x14ac:dyDescent="0.25">
      <c r="A112" s="10"/>
      <c r="B112" s="10"/>
      <c r="C112" s="10"/>
      <c r="D112" s="39"/>
      <c r="E112" s="39"/>
      <c r="F112" s="39"/>
      <c r="G112" s="39"/>
      <c r="H112" s="176"/>
      <c r="I112" s="176"/>
      <c r="J112" s="763"/>
      <c r="K112" s="176"/>
      <c r="L112" s="39"/>
    </row>
    <row r="113" spans="1:13" x14ac:dyDescent="0.25">
      <c r="A113" s="10"/>
      <c r="B113" s="10"/>
      <c r="C113" s="10"/>
      <c r="D113" s="39"/>
      <c r="E113" s="39"/>
      <c r="F113" s="39"/>
      <c r="G113" s="39"/>
      <c r="H113" s="176"/>
      <c r="I113" s="176"/>
      <c r="J113" s="763"/>
      <c r="K113" s="176"/>
      <c r="L113" s="176"/>
    </row>
    <row r="114" spans="1:13" x14ac:dyDescent="0.25">
      <c r="A114" s="10"/>
      <c r="B114" s="10"/>
      <c r="C114" s="10"/>
      <c r="D114" s="39"/>
      <c r="E114" s="39"/>
      <c r="F114" s="39"/>
      <c r="G114" s="39"/>
      <c r="H114" s="176"/>
      <c r="I114" s="176"/>
      <c r="J114" s="763"/>
      <c r="K114" s="176"/>
      <c r="L114" s="39"/>
    </row>
    <row r="115" spans="1:13" x14ac:dyDescent="0.25">
      <c r="A115" s="10"/>
      <c r="B115" s="10"/>
      <c r="C115" s="10"/>
      <c r="D115" s="39"/>
      <c r="E115" s="39"/>
      <c r="F115" s="39"/>
      <c r="G115" s="39"/>
      <c r="H115" s="176"/>
      <c r="I115" s="176"/>
      <c r="J115" s="763"/>
      <c r="K115" s="176"/>
      <c r="L115" s="176"/>
    </row>
    <row r="116" spans="1:13" x14ac:dyDescent="0.25">
      <c r="A116" s="10"/>
      <c r="B116" s="10"/>
      <c r="C116" s="10"/>
      <c r="D116" s="39"/>
      <c r="E116" s="39"/>
      <c r="F116" s="39"/>
      <c r="G116" s="39"/>
      <c r="H116" s="176"/>
      <c r="I116" s="176"/>
      <c r="J116" s="763"/>
      <c r="K116" s="176"/>
      <c r="L116" s="39"/>
    </row>
    <row r="117" spans="1:13" x14ac:dyDescent="0.25">
      <c r="A117" s="10"/>
      <c r="B117" s="10"/>
      <c r="C117" s="10"/>
      <c r="D117" s="39"/>
      <c r="E117" s="39"/>
      <c r="F117" s="39"/>
      <c r="G117" s="39"/>
      <c r="H117" s="176"/>
      <c r="I117" s="176"/>
      <c r="J117" s="763"/>
      <c r="K117" s="176"/>
      <c r="L117" s="176"/>
    </row>
    <row r="118" spans="1:13" x14ac:dyDescent="0.25">
      <c r="A118" s="10"/>
      <c r="B118" s="10"/>
      <c r="C118" s="10"/>
      <c r="D118" s="39"/>
      <c r="E118" s="39"/>
      <c r="F118" s="39"/>
      <c r="G118" s="39"/>
      <c r="H118" s="176"/>
      <c r="I118" s="176"/>
      <c r="J118" s="763"/>
      <c r="K118" s="176"/>
      <c r="L118" s="39"/>
    </row>
    <row r="119" spans="1:13" x14ac:dyDescent="0.25">
      <c r="A119" s="10"/>
      <c r="B119" s="10"/>
      <c r="C119" s="10"/>
      <c r="D119" s="39"/>
      <c r="E119" s="39"/>
      <c r="F119" s="39"/>
      <c r="G119" s="39"/>
      <c r="H119" s="176"/>
      <c r="I119" s="176"/>
      <c r="J119" s="763"/>
      <c r="K119" s="176"/>
      <c r="L119" s="176"/>
    </row>
    <row r="121" spans="1:13" x14ac:dyDescent="0.25">
      <c r="L121" t="s">
        <v>203</v>
      </c>
      <c r="M121" s="2">
        <f>M140+K140-F140</f>
        <v>284.9700000000048</v>
      </c>
    </row>
    <row r="122" spans="1:13" x14ac:dyDescent="0.25">
      <c r="A122" s="297" t="s">
        <v>1</v>
      </c>
      <c r="B122" s="297" t="s">
        <v>2</v>
      </c>
      <c r="C122" s="297" t="s">
        <v>4</v>
      </c>
      <c r="D122" s="299" t="s">
        <v>5</v>
      </c>
      <c r="E122" s="299" t="s">
        <v>94</v>
      </c>
      <c r="F122" s="299" t="s">
        <v>60</v>
      </c>
      <c r="G122" s="297" t="s">
        <v>3</v>
      </c>
      <c r="H122" s="297" t="s">
        <v>6</v>
      </c>
      <c r="I122" s="299" t="s">
        <v>7</v>
      </c>
      <c r="J122" s="299" t="s">
        <v>95</v>
      </c>
      <c r="K122" s="299" t="s">
        <v>61</v>
      </c>
      <c r="L122" s="297" t="s">
        <v>77</v>
      </c>
      <c r="M122" s="297" t="s">
        <v>38</v>
      </c>
    </row>
    <row r="123" spans="1:13" x14ac:dyDescent="0.25">
      <c r="A123" s="300" t="s">
        <v>311</v>
      </c>
      <c r="B123" s="360">
        <v>42746</v>
      </c>
      <c r="C123" s="7">
        <v>80</v>
      </c>
      <c r="D123" s="43">
        <v>34.020000000000003</v>
      </c>
      <c r="E123" s="43">
        <v>0</v>
      </c>
      <c r="F123" s="43">
        <f t="shared" ref="F123:F131" si="44">C123*D123+E123</f>
        <v>2721.6000000000004</v>
      </c>
      <c r="G123" s="360">
        <v>42760</v>
      </c>
      <c r="H123" s="77">
        <v>80</v>
      </c>
      <c r="I123" s="43">
        <v>33.68</v>
      </c>
      <c r="J123" s="43">
        <v>0.06</v>
      </c>
      <c r="K123" s="43">
        <f t="shared" ref="K123:K131" si="45">H123*I123-J123</f>
        <v>2694.34</v>
      </c>
      <c r="L123" s="69">
        <v>42908</v>
      </c>
      <c r="M123" s="43">
        <v>54.4</v>
      </c>
    </row>
    <row r="124" spans="1:13" x14ac:dyDescent="0.25">
      <c r="A124" s="301" t="s">
        <v>71</v>
      </c>
      <c r="B124" s="360">
        <v>42758</v>
      </c>
      <c r="C124" s="7">
        <v>40</v>
      </c>
      <c r="D124" s="43">
        <v>32.28</v>
      </c>
      <c r="E124" s="43">
        <v>0</v>
      </c>
      <c r="F124" s="43">
        <f t="shared" si="44"/>
        <v>1291.2</v>
      </c>
      <c r="G124" s="360">
        <v>42766</v>
      </c>
      <c r="H124" s="77">
        <v>40</v>
      </c>
      <c r="I124" s="43">
        <v>31.8</v>
      </c>
      <c r="J124" s="43">
        <v>0.03</v>
      </c>
      <c r="K124" s="43">
        <f t="shared" si="45"/>
        <v>1271.97</v>
      </c>
      <c r="L124" s="69">
        <v>42908</v>
      </c>
      <c r="M124" s="43">
        <v>-8.16</v>
      </c>
    </row>
    <row r="125" spans="1:13" x14ac:dyDescent="0.25">
      <c r="A125" s="291"/>
      <c r="B125" s="360">
        <v>42843</v>
      </c>
      <c r="C125" s="7">
        <v>80</v>
      </c>
      <c r="D125" s="43">
        <v>31.08</v>
      </c>
      <c r="E125" s="43">
        <v>0</v>
      </c>
      <c r="F125" s="43">
        <f t="shared" si="44"/>
        <v>2486.3999999999996</v>
      </c>
      <c r="G125" s="360">
        <v>42901</v>
      </c>
      <c r="H125" s="77">
        <v>80</v>
      </c>
      <c r="I125" s="43">
        <v>31.3</v>
      </c>
      <c r="J125" s="43">
        <v>0.05</v>
      </c>
      <c r="K125" s="43">
        <f t="shared" si="45"/>
        <v>2503.9499999999998</v>
      </c>
      <c r="L125" s="69">
        <v>42992</v>
      </c>
      <c r="M125" s="43">
        <v>15.3</v>
      </c>
    </row>
    <row r="126" spans="1:13" x14ac:dyDescent="0.25">
      <c r="A126" s="291"/>
      <c r="B126" s="360">
        <v>42873</v>
      </c>
      <c r="C126" s="7">
        <v>80</v>
      </c>
      <c r="D126" s="43">
        <v>29.68</v>
      </c>
      <c r="E126" s="43">
        <v>0</v>
      </c>
      <c r="F126" s="43">
        <f t="shared" si="44"/>
        <v>2374.4</v>
      </c>
      <c r="G126" s="360">
        <v>42989</v>
      </c>
      <c r="H126" s="77">
        <v>100</v>
      </c>
      <c r="I126" s="43">
        <v>18.559999999999999</v>
      </c>
      <c r="J126" s="43">
        <v>0.04</v>
      </c>
      <c r="K126" s="43">
        <f t="shared" si="45"/>
        <v>1855.9599999999998</v>
      </c>
      <c r="L126" s="69">
        <v>42992</v>
      </c>
      <c r="M126" s="43">
        <v>-2.2999999999999998</v>
      </c>
    </row>
    <row r="127" spans="1:13" x14ac:dyDescent="0.25">
      <c r="A127" s="291"/>
      <c r="B127" s="360">
        <v>42957</v>
      </c>
      <c r="C127" s="7">
        <v>100</v>
      </c>
      <c r="D127" s="43">
        <v>17.28</v>
      </c>
      <c r="E127" s="43">
        <v>0</v>
      </c>
      <c r="F127" s="43">
        <f t="shared" si="44"/>
        <v>1728</v>
      </c>
      <c r="G127" s="360">
        <v>43010</v>
      </c>
      <c r="H127" s="77">
        <v>80</v>
      </c>
      <c r="I127" s="43">
        <v>18.68</v>
      </c>
      <c r="J127" s="43">
        <v>0.03</v>
      </c>
      <c r="K127" s="43">
        <f t="shared" si="45"/>
        <v>1494.3700000000001</v>
      </c>
      <c r="L127" s="69">
        <v>43082</v>
      </c>
      <c r="M127" s="7">
        <f>23.8-3.57</f>
        <v>20.23</v>
      </c>
    </row>
    <row r="128" spans="1:13" x14ac:dyDescent="0.25">
      <c r="A128" s="291"/>
      <c r="B128" s="360">
        <v>42996</v>
      </c>
      <c r="C128" s="7">
        <v>100</v>
      </c>
      <c r="D128" s="43">
        <v>17.68</v>
      </c>
      <c r="E128" s="43">
        <v>0</v>
      </c>
      <c r="F128" s="43">
        <f t="shared" si="44"/>
        <v>1768</v>
      </c>
      <c r="G128" s="360">
        <v>43045</v>
      </c>
      <c r="H128" s="77">
        <v>200</v>
      </c>
      <c r="I128" s="43">
        <v>12.08</v>
      </c>
      <c r="J128" s="43">
        <v>0.06</v>
      </c>
      <c r="K128" s="43">
        <f t="shared" si="45"/>
        <v>2415.94</v>
      </c>
      <c r="L128" s="4"/>
      <c r="M128" s="4"/>
    </row>
    <row r="129" spans="1:13" x14ac:dyDescent="0.25">
      <c r="A129" s="291"/>
      <c r="B129" s="360">
        <v>43011</v>
      </c>
      <c r="C129" s="7">
        <v>80</v>
      </c>
      <c r="D129" s="43">
        <v>17.95</v>
      </c>
      <c r="E129" s="43">
        <v>0</v>
      </c>
      <c r="F129" s="43">
        <f t="shared" si="44"/>
        <v>1436</v>
      </c>
      <c r="G129" s="360">
        <v>43070</v>
      </c>
      <c r="H129" s="77">
        <v>80</v>
      </c>
      <c r="I129" s="43">
        <v>15.27</v>
      </c>
      <c r="J129" s="43">
        <v>0.03</v>
      </c>
      <c r="K129" s="43">
        <f t="shared" si="45"/>
        <v>1221.57</v>
      </c>
    </row>
    <row r="130" spans="1:13" x14ac:dyDescent="0.25">
      <c r="A130" s="291"/>
      <c r="B130" s="360">
        <v>43013</v>
      </c>
      <c r="C130" s="7">
        <v>100</v>
      </c>
      <c r="D130" s="43">
        <v>15.8</v>
      </c>
      <c r="E130" s="43">
        <v>0</v>
      </c>
      <c r="F130" s="43">
        <f t="shared" si="44"/>
        <v>1580</v>
      </c>
      <c r="G130" s="360">
        <v>43111</v>
      </c>
      <c r="H130" s="77">
        <v>100</v>
      </c>
      <c r="I130" s="43">
        <v>21.31</v>
      </c>
      <c r="J130" s="43">
        <v>-0.05</v>
      </c>
      <c r="K130" s="43">
        <f t="shared" si="45"/>
        <v>2131.0500000000002</v>
      </c>
    </row>
    <row r="131" spans="1:13" x14ac:dyDescent="0.25">
      <c r="A131" s="291"/>
      <c r="B131" s="360">
        <v>43041</v>
      </c>
      <c r="C131" s="7">
        <v>200</v>
      </c>
      <c r="D131" s="43">
        <v>11.28</v>
      </c>
      <c r="E131" s="43">
        <v>0</v>
      </c>
      <c r="F131" s="43">
        <f t="shared" si="44"/>
        <v>2256</v>
      </c>
      <c r="G131" s="360">
        <v>43112</v>
      </c>
      <c r="H131" s="77">
        <v>100</v>
      </c>
      <c r="I131" s="43">
        <v>22.58</v>
      </c>
      <c r="J131" s="43">
        <v>0.05</v>
      </c>
      <c r="K131" s="43">
        <f t="shared" si="45"/>
        <v>2257.9499999999998</v>
      </c>
    </row>
    <row r="132" spans="1:13" x14ac:dyDescent="0.25">
      <c r="A132" s="291"/>
      <c r="B132" s="291"/>
      <c r="C132" s="291"/>
      <c r="D132" s="292"/>
      <c r="E132" s="292"/>
      <c r="F132" s="292"/>
      <c r="G132" s="291"/>
      <c r="H132" s="291"/>
      <c r="I132" s="292"/>
      <c r="J132" s="292"/>
      <c r="K132" s="292"/>
      <c r="L132" s="291"/>
      <c r="M132" s="291"/>
    </row>
    <row r="133" spans="1:13" x14ac:dyDescent="0.25">
      <c r="A133" s="291"/>
      <c r="B133" s="291"/>
      <c r="C133" s="291"/>
      <c r="D133" s="292"/>
      <c r="E133" s="292"/>
      <c r="F133" s="292"/>
      <c r="G133" s="291"/>
      <c r="H133" s="291"/>
      <c r="I133" s="292"/>
      <c r="J133" s="292"/>
      <c r="K133" s="292"/>
      <c r="L133" s="291"/>
      <c r="M133" s="291"/>
    </row>
    <row r="134" spans="1:13" x14ac:dyDescent="0.25">
      <c r="A134" s="291"/>
      <c r="B134" s="291"/>
      <c r="C134" s="291"/>
      <c r="D134" s="292"/>
      <c r="E134" s="292"/>
      <c r="F134" s="292"/>
      <c r="G134" s="291"/>
      <c r="H134" s="291"/>
      <c r="I134" s="292"/>
      <c r="J134" s="292"/>
      <c r="K134" s="292"/>
      <c r="L134" s="291"/>
      <c r="M134" s="291"/>
    </row>
    <row r="135" spans="1:13" x14ac:dyDescent="0.25">
      <c r="A135" s="291"/>
      <c r="B135" s="291"/>
      <c r="C135" s="291"/>
      <c r="D135" s="292"/>
      <c r="E135" s="292"/>
      <c r="F135" s="292"/>
      <c r="G135" s="291"/>
      <c r="H135" s="291"/>
      <c r="I135" s="292"/>
      <c r="J135" s="292"/>
      <c r="K135" s="292"/>
      <c r="L135" s="291"/>
      <c r="M135" s="291"/>
    </row>
    <row r="136" spans="1:13" x14ac:dyDescent="0.25">
      <c r="A136" s="291"/>
      <c r="B136" s="291"/>
      <c r="C136" s="291"/>
      <c r="D136" s="292"/>
      <c r="E136" s="292"/>
      <c r="F136" s="292"/>
      <c r="G136" s="291"/>
      <c r="H136" s="291"/>
      <c r="I136" s="292"/>
      <c r="J136" s="292"/>
      <c r="K136" s="292"/>
      <c r="L136" s="291"/>
      <c r="M136" s="291"/>
    </row>
    <row r="137" spans="1:13" x14ac:dyDescent="0.25">
      <c r="A137" s="291"/>
      <c r="B137" s="291"/>
      <c r="C137" s="291"/>
      <c r="D137" s="292"/>
      <c r="E137" s="292"/>
      <c r="F137" s="292"/>
      <c r="G137" s="291"/>
      <c r="H137" s="291"/>
      <c r="I137" s="292"/>
      <c r="J137" s="292"/>
      <c r="K137" s="292"/>
      <c r="L137" s="291"/>
      <c r="M137" s="291"/>
    </row>
    <row r="138" spans="1:13" x14ac:dyDescent="0.25">
      <c r="A138" s="291"/>
      <c r="B138" s="291"/>
      <c r="C138" s="291"/>
      <c r="D138" s="292"/>
      <c r="E138" s="292"/>
      <c r="F138" s="292"/>
      <c r="G138" s="291"/>
      <c r="H138" s="291"/>
      <c r="I138" s="292"/>
      <c r="J138" s="292"/>
      <c r="K138" s="292"/>
      <c r="L138" s="291"/>
      <c r="M138" s="291"/>
    </row>
    <row r="139" spans="1:13" x14ac:dyDescent="0.25">
      <c r="A139" s="291"/>
      <c r="B139" s="291"/>
      <c r="C139" s="291"/>
      <c r="D139" s="292"/>
      <c r="E139" s="292"/>
      <c r="F139" s="292"/>
      <c r="G139" s="291"/>
      <c r="H139" s="291"/>
      <c r="I139" s="292"/>
      <c r="J139" s="292"/>
      <c r="K139" s="292"/>
      <c r="L139" s="291"/>
      <c r="M139" s="291"/>
    </row>
    <row r="140" spans="1:13" x14ac:dyDescent="0.25">
      <c r="A140" s="35" t="s">
        <v>81</v>
      </c>
      <c r="B140" s="36"/>
      <c r="C140" s="36">
        <f>SUM(C123:C139)</f>
        <v>860</v>
      </c>
      <c r="D140" s="37"/>
      <c r="E140" s="37"/>
      <c r="F140" s="37">
        <f>SUM(F123:F139)</f>
        <v>17641.599999999999</v>
      </c>
      <c r="G140" s="36"/>
      <c r="H140" s="157">
        <f>SUM(H123:H139)</f>
        <v>860</v>
      </c>
      <c r="I140" s="37"/>
      <c r="J140" s="37"/>
      <c r="K140" s="37">
        <f>SUM(K123:K139)</f>
        <v>17847.100000000002</v>
      </c>
      <c r="L140" s="37"/>
      <c r="M140" s="37">
        <f>SUM(M123:M139)</f>
        <v>79.47</v>
      </c>
    </row>
    <row r="141" spans="1:13" x14ac:dyDescent="0.25">
      <c r="G141" s="2"/>
    </row>
    <row r="145" spans="1:9" x14ac:dyDescent="0.25">
      <c r="A145" s="662" t="s">
        <v>222</v>
      </c>
      <c r="B145" s="662" t="s">
        <v>113</v>
      </c>
      <c r="C145" s="662" t="s">
        <v>143</v>
      </c>
      <c r="D145" s="663" t="s">
        <v>142</v>
      </c>
      <c r="E145" s="664" t="s">
        <v>144</v>
      </c>
      <c r="F145" s="665" t="s">
        <v>65</v>
      </c>
      <c r="G145" s="666" t="s">
        <v>148</v>
      </c>
      <c r="H145" s="665" t="s">
        <v>88</v>
      </c>
      <c r="I145" s="665" t="s">
        <v>151</v>
      </c>
    </row>
    <row r="146" spans="1:9" x14ac:dyDescent="0.25">
      <c r="A146" s="667"/>
      <c r="B146" s="668"/>
      <c r="C146" s="667"/>
      <c r="D146" s="669"/>
      <c r="E146" s="669"/>
      <c r="F146" s="669"/>
      <c r="G146" s="669"/>
      <c r="H146" s="670"/>
      <c r="I146" s="670"/>
    </row>
    <row r="147" spans="1:9" x14ac:dyDescent="0.25">
      <c r="A147" s="667"/>
      <c r="B147" s="668">
        <v>42746</v>
      </c>
      <c r="C147" s="667">
        <v>80</v>
      </c>
      <c r="D147" s="669">
        <v>34.020000000000003</v>
      </c>
      <c r="E147" s="669">
        <v>34.28</v>
      </c>
      <c r="F147" s="669">
        <f>C147*(E147-D147)</f>
        <v>20.799999999999841</v>
      </c>
      <c r="G147" s="669">
        <f>D147*C147</f>
        <v>2721.6000000000004</v>
      </c>
      <c r="H147" s="670">
        <f>(E147-D147)/D147</f>
        <v>7.6425631981186948E-3</v>
      </c>
      <c r="I147" s="670"/>
    </row>
    <row r="148" spans="1:9" x14ac:dyDescent="0.25">
      <c r="A148" s="667"/>
      <c r="B148" s="668">
        <v>42758</v>
      </c>
      <c r="C148" s="667">
        <v>120</v>
      </c>
      <c r="D148" s="669">
        <v>33.44</v>
      </c>
      <c r="E148" s="669">
        <v>32.71</v>
      </c>
      <c r="F148" s="669">
        <f>C148*(E148-D148)</f>
        <v>-87.599999999999625</v>
      </c>
      <c r="G148" s="669">
        <f>D148*C148</f>
        <v>4012.7999999999997</v>
      </c>
      <c r="H148" s="670">
        <f>(E148-D148)/D148</f>
        <v>-2.1830143540669766E-2</v>
      </c>
      <c r="I148" s="670"/>
    </row>
    <row r="149" spans="1:9" x14ac:dyDescent="0.25">
      <c r="A149" s="667" t="s">
        <v>337</v>
      </c>
      <c r="B149" s="668">
        <v>42760</v>
      </c>
      <c r="C149" s="667">
        <v>40</v>
      </c>
      <c r="D149" s="669">
        <v>32.961500000000001</v>
      </c>
      <c r="E149" s="669">
        <v>33.68</v>
      </c>
      <c r="F149" s="669">
        <f>C149*(E149-D149)</f>
        <v>28.739999999999952</v>
      </c>
      <c r="G149" s="669">
        <f>D149*C149</f>
        <v>1318.46</v>
      </c>
      <c r="H149" s="670">
        <f>(E149-D149)/D149</f>
        <v>2.1798158457594429E-2</v>
      </c>
      <c r="I149" s="670"/>
    </row>
    <row r="150" spans="1:9" x14ac:dyDescent="0.25">
      <c r="A150" s="667"/>
      <c r="B150" s="668">
        <v>42766</v>
      </c>
      <c r="C150" s="667">
        <v>0</v>
      </c>
      <c r="D150" s="669"/>
      <c r="E150" s="669"/>
      <c r="F150" s="669">
        <v>-46.49</v>
      </c>
      <c r="G150" s="669"/>
      <c r="H150" s="670"/>
      <c r="I150" s="670"/>
    </row>
    <row r="151" spans="1:9" x14ac:dyDescent="0.25">
      <c r="A151" s="667">
        <v>0</v>
      </c>
      <c r="B151" s="668">
        <v>42843</v>
      </c>
      <c r="C151" s="667">
        <v>80</v>
      </c>
      <c r="D151" s="669">
        <v>31.661100000000001</v>
      </c>
      <c r="E151" s="669">
        <v>30.99</v>
      </c>
      <c r="F151" s="669">
        <f t="shared" ref="F151:F170" si="46">C151*(E151-D151)</f>
        <v>-53.688000000000216</v>
      </c>
      <c r="G151" s="669">
        <f t="shared" ref="G151:G170" si="47">D151*C151</f>
        <v>2532.8879999999999</v>
      </c>
      <c r="H151" s="670">
        <f t="shared" ref="H151:H170" si="48">(E151-D151)/D151</f>
        <v>-2.1196357675507253E-2</v>
      </c>
      <c r="I151" s="671"/>
    </row>
    <row r="152" spans="1:9" x14ac:dyDescent="0.25">
      <c r="A152" s="667">
        <v>0</v>
      </c>
      <c r="B152" s="668">
        <v>42873</v>
      </c>
      <c r="C152" s="667">
        <v>160</v>
      </c>
      <c r="D152" s="669">
        <v>30.6706</v>
      </c>
      <c r="E152" s="669">
        <v>29.73</v>
      </c>
      <c r="F152" s="669">
        <f t="shared" si="46"/>
        <v>-150.49599999999998</v>
      </c>
      <c r="G152" s="669">
        <f t="shared" si="47"/>
        <v>4907.2960000000003</v>
      </c>
      <c r="H152" s="671">
        <f t="shared" si="48"/>
        <v>-3.0667805651014322E-2</v>
      </c>
      <c r="I152" s="671"/>
    </row>
    <row r="153" spans="1:9" x14ac:dyDescent="0.25">
      <c r="A153" s="667"/>
      <c r="B153" s="668">
        <v>42901</v>
      </c>
      <c r="C153" s="667">
        <v>80</v>
      </c>
      <c r="D153" s="669">
        <v>30.041799999999999</v>
      </c>
      <c r="E153" s="669">
        <v>30.43</v>
      </c>
      <c r="F153" s="669">
        <f t="shared" si="46"/>
        <v>31.056000000000097</v>
      </c>
      <c r="G153" s="669">
        <f t="shared" si="47"/>
        <v>2403.3440000000001</v>
      </c>
      <c r="H153" s="671">
        <f t="shared" si="48"/>
        <v>1.2921995353141331E-2</v>
      </c>
      <c r="I153" s="671"/>
    </row>
    <row r="154" spans="1:9" x14ac:dyDescent="0.25">
      <c r="A154" s="667">
        <v>80</v>
      </c>
      <c r="B154" s="668">
        <v>42917</v>
      </c>
      <c r="C154" s="667">
        <v>80</v>
      </c>
      <c r="D154" s="669">
        <v>29.463799999999999</v>
      </c>
      <c r="E154" s="669">
        <v>33.22</v>
      </c>
      <c r="F154" s="669">
        <f t="shared" si="46"/>
        <v>300.49599999999998</v>
      </c>
      <c r="G154" s="669">
        <f t="shared" si="47"/>
        <v>2357.1039999999998</v>
      </c>
      <c r="H154" s="671">
        <f t="shared" si="48"/>
        <v>0.12748525309023276</v>
      </c>
      <c r="I154" s="671"/>
    </row>
    <row r="155" spans="1:9" x14ac:dyDescent="0.25">
      <c r="A155" s="667">
        <v>80</v>
      </c>
      <c r="B155" s="668">
        <v>42957</v>
      </c>
      <c r="C155" s="667">
        <v>180</v>
      </c>
      <c r="D155" s="669">
        <v>22.695</v>
      </c>
      <c r="E155" s="669">
        <v>17.190000000000001</v>
      </c>
      <c r="F155" s="669">
        <f t="shared" si="46"/>
        <v>-990.89999999999986</v>
      </c>
      <c r="G155" s="669">
        <f t="shared" si="47"/>
        <v>4085.1</v>
      </c>
      <c r="H155" s="671">
        <f t="shared" si="48"/>
        <v>-0.24256444150693982</v>
      </c>
      <c r="I155" s="671"/>
    </row>
    <row r="156" spans="1:9" x14ac:dyDescent="0.25">
      <c r="A156" s="667">
        <v>80</v>
      </c>
      <c r="B156" s="668">
        <v>42983</v>
      </c>
      <c r="C156" s="667">
        <v>180</v>
      </c>
      <c r="D156" s="669">
        <v>22.695</v>
      </c>
      <c r="E156" s="669">
        <v>15.41</v>
      </c>
      <c r="F156" s="669">
        <f t="shared" si="46"/>
        <v>-1311.3</v>
      </c>
      <c r="G156" s="669">
        <f t="shared" si="47"/>
        <v>4085.1</v>
      </c>
      <c r="H156" s="671">
        <f t="shared" si="48"/>
        <v>-0.32099581405595945</v>
      </c>
      <c r="I156" s="671"/>
    </row>
    <row r="157" spans="1:9" x14ac:dyDescent="0.25">
      <c r="A157" s="667">
        <v>80</v>
      </c>
      <c r="B157" s="668">
        <v>42989</v>
      </c>
      <c r="C157" s="667">
        <v>80</v>
      </c>
      <c r="D157" s="669">
        <v>27.8643</v>
      </c>
      <c r="E157" s="669">
        <v>18.5</v>
      </c>
      <c r="F157" s="669">
        <f t="shared" si="46"/>
        <v>-749.14400000000001</v>
      </c>
      <c r="G157" s="669">
        <f t="shared" si="47"/>
        <v>2229.1440000000002</v>
      </c>
      <c r="H157" s="671">
        <f t="shared" si="48"/>
        <v>-0.33606801534580089</v>
      </c>
      <c r="I157" s="671"/>
    </row>
    <row r="158" spans="1:9" x14ac:dyDescent="0.25">
      <c r="A158" s="667">
        <v>80</v>
      </c>
      <c r="B158" s="668">
        <v>42996</v>
      </c>
      <c r="C158" s="667">
        <v>180</v>
      </c>
      <c r="D158" s="669">
        <v>22.1341</v>
      </c>
      <c r="E158" s="669">
        <v>16.989999999999998</v>
      </c>
      <c r="F158" s="669">
        <f t="shared" si="46"/>
        <v>-925.93800000000033</v>
      </c>
      <c r="G158" s="669">
        <f t="shared" si="47"/>
        <v>3984.1379999999999</v>
      </c>
      <c r="H158" s="671">
        <f t="shared" si="48"/>
        <v>-0.23240610641498871</v>
      </c>
      <c r="I158" s="671"/>
    </row>
    <row r="159" spans="1:9" x14ac:dyDescent="0.25">
      <c r="A159" s="667">
        <v>0</v>
      </c>
      <c r="B159" s="668">
        <v>43010</v>
      </c>
      <c r="C159" s="667">
        <v>100</v>
      </c>
      <c r="D159" s="669">
        <v>24.8977</v>
      </c>
      <c r="E159" s="669">
        <v>18.47</v>
      </c>
      <c r="F159" s="669">
        <f t="shared" si="46"/>
        <v>-642.77000000000021</v>
      </c>
      <c r="G159" s="669">
        <f t="shared" si="47"/>
        <v>2489.77</v>
      </c>
      <c r="H159" s="671">
        <f t="shared" si="48"/>
        <v>-0.25816440876064861</v>
      </c>
      <c r="I159" s="671"/>
    </row>
    <row r="160" spans="1:9" x14ac:dyDescent="0.25">
      <c r="A160" s="667">
        <v>0</v>
      </c>
      <c r="B160" s="668">
        <v>43011</v>
      </c>
      <c r="C160" s="667">
        <v>180</v>
      </c>
      <c r="D160" s="669">
        <v>21.809799999999999</v>
      </c>
      <c r="E160" s="669">
        <v>18.82</v>
      </c>
      <c r="F160" s="669">
        <f t="shared" si="46"/>
        <v>-538.16399999999976</v>
      </c>
      <c r="G160" s="669">
        <f t="shared" si="47"/>
        <v>3925.7639999999997</v>
      </c>
      <c r="H160" s="671">
        <f t="shared" si="48"/>
        <v>-0.13708516355033054</v>
      </c>
      <c r="I160" s="669">
        <v>21.5</v>
      </c>
    </row>
    <row r="161" spans="1:9" x14ac:dyDescent="0.25">
      <c r="A161" s="667">
        <v>0</v>
      </c>
      <c r="B161" s="668">
        <v>43012</v>
      </c>
      <c r="C161" s="667">
        <v>180</v>
      </c>
      <c r="D161" s="669">
        <v>21.81</v>
      </c>
      <c r="E161" s="669">
        <v>16.079999999999998</v>
      </c>
      <c r="F161" s="669">
        <f t="shared" si="46"/>
        <v>-1031.4000000000001</v>
      </c>
      <c r="G161" s="669">
        <f t="shared" si="47"/>
        <v>3925.7999999999997</v>
      </c>
      <c r="H161" s="671">
        <f t="shared" si="48"/>
        <v>-0.2627235213204952</v>
      </c>
      <c r="I161" s="671"/>
    </row>
    <row r="162" spans="1:9" x14ac:dyDescent="0.25">
      <c r="A162" s="667">
        <v>0</v>
      </c>
      <c r="B162" s="668">
        <v>43013</v>
      </c>
      <c r="C162" s="667">
        <v>280</v>
      </c>
      <c r="D162" s="669">
        <v>19.663499999999999</v>
      </c>
      <c r="E162" s="669">
        <v>15.68</v>
      </c>
      <c r="F162" s="669">
        <f t="shared" si="46"/>
        <v>-1115.3799999999999</v>
      </c>
      <c r="G162" s="669">
        <f t="shared" si="47"/>
        <v>5505.78</v>
      </c>
      <c r="H162" s="671">
        <f t="shared" si="48"/>
        <v>-0.2025834668294047</v>
      </c>
      <c r="I162" s="669">
        <v>19.5</v>
      </c>
    </row>
    <row r="163" spans="1:9" x14ac:dyDescent="0.25">
      <c r="A163" s="667">
        <v>100</v>
      </c>
      <c r="B163" s="668">
        <v>43031</v>
      </c>
      <c r="C163" s="667">
        <v>280</v>
      </c>
      <c r="D163" s="669">
        <v>19.663499999999999</v>
      </c>
      <c r="E163" s="669">
        <v>14.54</v>
      </c>
      <c r="F163" s="669">
        <f t="shared" si="46"/>
        <v>-1434.58</v>
      </c>
      <c r="G163" s="669">
        <f t="shared" si="47"/>
        <v>5505.78</v>
      </c>
      <c r="H163" s="671">
        <f t="shared" si="48"/>
        <v>-0.26055890355226691</v>
      </c>
      <c r="I163" s="669"/>
    </row>
    <row r="164" spans="1:9" x14ac:dyDescent="0.25">
      <c r="A164" s="667"/>
      <c r="B164" s="668">
        <v>43044</v>
      </c>
      <c r="C164" s="667">
        <v>480</v>
      </c>
      <c r="D164" s="669">
        <v>16.170000000000002</v>
      </c>
      <c r="E164" s="669">
        <v>11.4</v>
      </c>
      <c r="F164" s="669">
        <f t="shared" si="46"/>
        <v>-2289.6000000000008</v>
      </c>
      <c r="G164" s="669">
        <f t="shared" si="47"/>
        <v>7761.6</v>
      </c>
      <c r="H164" s="671">
        <f t="shared" si="48"/>
        <v>-0.29499072356215217</v>
      </c>
      <c r="I164" s="671"/>
    </row>
    <row r="165" spans="1:9" x14ac:dyDescent="0.25">
      <c r="A165" s="667">
        <v>80</v>
      </c>
      <c r="B165" s="668">
        <v>43045</v>
      </c>
      <c r="C165" s="667">
        <v>280</v>
      </c>
      <c r="D165" s="669">
        <v>19.092300000000002</v>
      </c>
      <c r="E165" s="669">
        <v>12.41</v>
      </c>
      <c r="F165" s="669">
        <f t="shared" si="46"/>
        <v>-1871.0440000000003</v>
      </c>
      <c r="G165" s="669">
        <f t="shared" si="47"/>
        <v>5345.8440000000001</v>
      </c>
      <c r="H165" s="671">
        <f t="shared" si="48"/>
        <v>-0.34999973811431839</v>
      </c>
      <c r="I165" s="672" t="s">
        <v>693</v>
      </c>
    </row>
    <row r="166" spans="1:9" x14ac:dyDescent="0.25">
      <c r="A166" s="667">
        <v>0</v>
      </c>
      <c r="B166" s="668">
        <v>43070</v>
      </c>
      <c r="C166" s="667">
        <v>200</v>
      </c>
      <c r="D166" s="669">
        <v>20.621300000000002</v>
      </c>
      <c r="E166" s="669">
        <v>15.26</v>
      </c>
      <c r="F166" s="669">
        <f t="shared" si="46"/>
        <v>-1072.2600000000004</v>
      </c>
      <c r="G166" s="669">
        <f t="shared" si="47"/>
        <v>4124.26</v>
      </c>
      <c r="H166" s="671">
        <f t="shared" si="48"/>
        <v>-0.25998845853559188</v>
      </c>
      <c r="I166" s="671"/>
    </row>
    <row r="167" spans="1:9" x14ac:dyDescent="0.25">
      <c r="A167" s="667">
        <v>200</v>
      </c>
      <c r="B167" s="668">
        <v>43077</v>
      </c>
      <c r="C167" s="667">
        <v>200</v>
      </c>
      <c r="D167" s="669">
        <v>20.62</v>
      </c>
      <c r="E167" s="669">
        <v>16.059999999999999</v>
      </c>
      <c r="F167" s="669">
        <f t="shared" si="46"/>
        <v>-912.00000000000045</v>
      </c>
      <c r="G167" s="669">
        <f t="shared" si="47"/>
        <v>4124</v>
      </c>
      <c r="H167" s="671">
        <f t="shared" si="48"/>
        <v>-0.22114451988360825</v>
      </c>
      <c r="I167" s="671"/>
    </row>
    <row r="168" spans="1:9" x14ac:dyDescent="0.25">
      <c r="A168" s="667">
        <v>200</v>
      </c>
      <c r="B168" s="668">
        <v>43082</v>
      </c>
      <c r="C168" s="667">
        <v>200</v>
      </c>
      <c r="D168" s="669">
        <v>20.52</v>
      </c>
      <c r="E168" s="669">
        <v>15.7</v>
      </c>
      <c r="F168" s="669">
        <f t="shared" si="46"/>
        <v>-964</v>
      </c>
      <c r="G168" s="669">
        <f t="shared" si="47"/>
        <v>4104</v>
      </c>
      <c r="H168" s="671">
        <f t="shared" si="48"/>
        <v>-0.23489278752436649</v>
      </c>
      <c r="I168" s="671" t="s">
        <v>182</v>
      </c>
    </row>
    <row r="169" spans="1:9" x14ac:dyDescent="0.25">
      <c r="A169" s="667">
        <v>200</v>
      </c>
      <c r="B169" s="668">
        <v>43083</v>
      </c>
      <c r="C169" s="667">
        <v>200</v>
      </c>
      <c r="D169" s="669">
        <v>20.520199999999999</v>
      </c>
      <c r="E169" s="669">
        <v>19.22</v>
      </c>
      <c r="F169" s="669">
        <f t="shared" si="46"/>
        <v>-260.04000000000008</v>
      </c>
      <c r="G169" s="669">
        <f t="shared" si="47"/>
        <v>4104.04</v>
      </c>
      <c r="H169" s="671">
        <f t="shared" si="48"/>
        <v>-6.3361955536495762E-2</v>
      </c>
      <c r="I169" s="671"/>
    </row>
    <row r="170" spans="1:9" x14ac:dyDescent="0.25">
      <c r="A170" s="667">
        <v>100</v>
      </c>
      <c r="B170" s="668">
        <v>43111</v>
      </c>
      <c r="C170" s="667">
        <v>100</v>
      </c>
      <c r="D170" s="669">
        <v>19.73</v>
      </c>
      <c r="E170" s="669">
        <v>21.74</v>
      </c>
      <c r="F170" s="669">
        <f t="shared" si="46"/>
        <v>200.9999999999998</v>
      </c>
      <c r="G170" s="669">
        <f t="shared" si="47"/>
        <v>1973</v>
      </c>
      <c r="H170" s="671">
        <f t="shared" si="48"/>
        <v>0.10187531677648241</v>
      </c>
      <c r="I170" s="671"/>
    </row>
    <row r="171" spans="1:9" x14ac:dyDescent="0.25">
      <c r="A171" s="667"/>
      <c r="B171" s="668">
        <v>43112</v>
      </c>
      <c r="C171" s="667">
        <v>0</v>
      </c>
      <c r="D171" s="669"/>
      <c r="E171" s="669">
        <v>22.07</v>
      </c>
      <c r="F171" s="669">
        <v>284.97000000000003</v>
      </c>
      <c r="G171" s="669"/>
      <c r="H171" s="671"/>
      <c r="I171" s="671"/>
    </row>
    <row r="172" spans="1:9" x14ac:dyDescent="0.25">
      <c r="A172" s="667"/>
      <c r="B172" s="668"/>
      <c r="C172" s="667"/>
      <c r="D172" s="669"/>
      <c r="E172" s="669"/>
      <c r="F172" s="669"/>
      <c r="G172" s="669"/>
      <c r="H172" s="671"/>
      <c r="I172" s="671"/>
    </row>
    <row r="173" spans="1:9" x14ac:dyDescent="0.25">
      <c r="A173" s="667"/>
      <c r="B173" s="668"/>
      <c r="C173" s="667"/>
      <c r="D173" s="669"/>
      <c r="E173" s="669"/>
      <c r="F173" s="669"/>
      <c r="G173" s="669"/>
      <c r="H173" s="671"/>
      <c r="I173" s="671"/>
    </row>
    <row r="174" spans="1:9" x14ac:dyDescent="0.25">
      <c r="A174" s="667"/>
      <c r="B174" s="668"/>
      <c r="C174" s="667"/>
      <c r="D174" s="669"/>
      <c r="E174" s="669"/>
      <c r="F174" s="669"/>
      <c r="G174" s="669"/>
      <c r="H174" s="671"/>
      <c r="I174" s="671"/>
    </row>
    <row r="175" spans="1:9" x14ac:dyDescent="0.25">
      <c r="A175" s="667"/>
      <c r="B175" s="668"/>
      <c r="C175" s="667"/>
      <c r="D175" s="669"/>
      <c r="E175" s="669"/>
      <c r="F175" s="669"/>
      <c r="G175" s="669"/>
      <c r="H175" s="671"/>
      <c r="I175" s="671"/>
    </row>
    <row r="176" spans="1:9" x14ac:dyDescent="0.25">
      <c r="A176" s="667"/>
      <c r="B176" s="668"/>
      <c r="C176" s="667"/>
      <c r="D176" s="669"/>
      <c r="E176" s="669"/>
      <c r="F176" s="669"/>
      <c r="G176" s="669"/>
      <c r="H176" s="671"/>
      <c r="I176" s="671"/>
    </row>
    <row r="177" spans="1:9" x14ac:dyDescent="0.25">
      <c r="A177" s="667"/>
      <c r="B177" s="668"/>
      <c r="C177" s="667"/>
      <c r="D177" s="669"/>
      <c r="E177" s="669"/>
      <c r="F177" s="669"/>
      <c r="G177" s="669"/>
      <c r="H177" s="671"/>
      <c r="I177" s="671"/>
    </row>
    <row r="178" spans="1:9" x14ac:dyDescent="0.25">
      <c r="A178" s="667"/>
      <c r="B178" s="668"/>
      <c r="C178" s="667"/>
      <c r="D178" s="669"/>
      <c r="E178" s="669"/>
      <c r="F178" s="669"/>
      <c r="G178" s="669"/>
      <c r="H178" s="671"/>
      <c r="I178" s="671"/>
    </row>
    <row r="179" spans="1:9" x14ac:dyDescent="0.25">
      <c r="A179" s="667"/>
      <c r="B179" s="668"/>
      <c r="C179" s="667"/>
      <c r="D179" s="669"/>
      <c r="E179" s="669"/>
      <c r="F179" s="669"/>
      <c r="G179" s="669"/>
      <c r="H179" s="671"/>
      <c r="I179" s="671"/>
    </row>
    <row r="180" spans="1:9" x14ac:dyDescent="0.25">
      <c r="A180" s="667"/>
      <c r="B180" s="668"/>
      <c r="C180" s="667"/>
      <c r="D180" s="669"/>
      <c r="E180" s="669"/>
      <c r="F180" s="669"/>
      <c r="G180" s="669"/>
      <c r="H180" s="671"/>
      <c r="I180" s="671"/>
    </row>
    <row r="181" spans="1:9" x14ac:dyDescent="0.25">
      <c r="A181" s="667"/>
      <c r="B181" s="668"/>
      <c r="C181" s="667"/>
      <c r="D181" s="669"/>
      <c r="E181" s="669"/>
      <c r="F181" s="669"/>
      <c r="G181" s="669"/>
      <c r="H181" s="671"/>
      <c r="I181" s="671"/>
    </row>
    <row r="182" spans="1:9" x14ac:dyDescent="0.25">
      <c r="A182" s="667"/>
      <c r="B182" s="668"/>
      <c r="C182" s="667"/>
      <c r="D182" s="669"/>
      <c r="E182" s="669"/>
      <c r="F182" s="669"/>
      <c r="G182" s="669"/>
      <c r="H182" s="671"/>
      <c r="I182" s="671"/>
    </row>
  </sheetData>
  <mergeCells count="1">
    <mergeCell ref="A13:A19"/>
  </mergeCells>
  <conditionalFormatting sqref="O17:O37">
    <cfRule type="colorScale" priority="187">
      <colorScale>
        <cfvo type="min"/>
        <cfvo type="percentile" val="50"/>
        <cfvo type="max"/>
        <color rgb="FFF8696B"/>
        <color rgb="FFFFEB84"/>
        <color rgb="FF63BE7B"/>
      </colorScale>
    </cfRule>
  </conditionalFormatting>
  <conditionalFormatting sqref="P17:P37">
    <cfRule type="colorScale" priority="186">
      <colorScale>
        <cfvo type="min"/>
        <cfvo type="percentile" val="50"/>
        <cfvo type="max"/>
        <color rgb="FFF8696B"/>
        <color rgb="FFFFEB84"/>
        <color rgb="FF63BE7B"/>
      </colorScale>
    </cfRule>
  </conditionalFormatting>
  <conditionalFormatting sqref="Q46:Q63">
    <cfRule type="colorScale" priority="185">
      <colorScale>
        <cfvo type="min"/>
        <cfvo type="percentile" val="50"/>
        <cfvo type="max"/>
        <color rgb="FFF8696B"/>
        <color rgb="FFFFEB84"/>
        <color rgb="FF63BE7B"/>
      </colorScale>
    </cfRule>
  </conditionalFormatting>
  <conditionalFormatting sqref="F44:F47 L69 H119:L119 H118:K118 J70:J75 J118:J119 J83:J87 H89:L90 H91:J91 F89:F91 H55:H69 I60:K69 F55:F69 F118:F119">
    <cfRule type="expression" dxfId="557" priority="181">
      <formula>F44&gt;0</formula>
    </cfRule>
    <cfRule type="expression" dxfId="556" priority="182">
      <formula>F44&lt;0</formula>
    </cfRule>
  </conditionalFormatting>
  <conditionalFormatting sqref="H44:H46">
    <cfRule type="expression" dxfId="555" priority="179">
      <formula>H44&gt;0</formula>
    </cfRule>
    <cfRule type="expression" dxfId="554" priority="180">
      <formula>H44&lt;0</formula>
    </cfRule>
  </conditionalFormatting>
  <conditionalFormatting sqref="H47">
    <cfRule type="expression" dxfId="553" priority="175">
      <formula>H47&gt;0</formula>
    </cfRule>
    <cfRule type="expression" dxfId="552" priority="176">
      <formula>H47&lt;0</formula>
    </cfRule>
  </conditionalFormatting>
  <conditionalFormatting sqref="H48:H52">
    <cfRule type="expression" dxfId="551" priority="173">
      <formula>H48&gt;0</formula>
    </cfRule>
    <cfRule type="expression" dxfId="550" priority="174">
      <formula>H48&lt;0</formula>
    </cfRule>
  </conditionalFormatting>
  <conditionalFormatting sqref="F48">
    <cfRule type="expression" dxfId="549" priority="167">
      <formula>F48&gt;0</formula>
    </cfRule>
    <cfRule type="expression" dxfId="548" priority="168">
      <formula>F48&lt;0</formula>
    </cfRule>
  </conditionalFormatting>
  <conditionalFormatting sqref="I42:I46">
    <cfRule type="expression" dxfId="547" priority="165">
      <formula>I42&gt;0</formula>
    </cfRule>
    <cfRule type="expression" dxfId="546" priority="166">
      <formula>I42&lt;0</formula>
    </cfRule>
  </conditionalFormatting>
  <conditionalFormatting sqref="I47:I50 I52 I55 K55 J38:J56 I57:K58 J59:K59">
    <cfRule type="expression" dxfId="545" priority="159">
      <formula>I38&gt;0</formula>
    </cfRule>
    <cfRule type="expression" dxfId="544" priority="160">
      <formula>I38&lt;0</formula>
    </cfRule>
  </conditionalFormatting>
  <conditionalFormatting sqref="I38:I41 K38:K41">
    <cfRule type="expression" dxfId="543" priority="157">
      <formula>I38&gt;0</formula>
    </cfRule>
    <cfRule type="expression" dxfId="542" priority="158">
      <formula>I38&lt;0</formula>
    </cfRule>
  </conditionalFormatting>
  <conditionalFormatting sqref="F49:F52">
    <cfRule type="expression" dxfId="541" priority="155">
      <formula>F49&gt;0</formula>
    </cfRule>
    <cfRule type="expression" dxfId="540" priority="156">
      <formula>F49&lt;0</formula>
    </cfRule>
  </conditionalFormatting>
  <conditionalFormatting sqref="Q8">
    <cfRule type="expression" dxfId="539" priority="151">
      <formula>Q8&gt;0</formula>
    </cfRule>
    <cfRule type="expression" dxfId="538" priority="152">
      <formula>Q8&lt;0</formula>
    </cfRule>
  </conditionalFormatting>
  <conditionalFormatting sqref="Q7">
    <cfRule type="expression" dxfId="537" priority="153">
      <formula>Q7&gt;0</formula>
    </cfRule>
    <cfRule type="expression" dxfId="536" priority="154">
      <formula>Q7&lt;0</formula>
    </cfRule>
  </conditionalFormatting>
  <conditionalFormatting sqref="F146">
    <cfRule type="expression" dxfId="535" priority="139">
      <formula>F146&gt;0</formula>
    </cfRule>
    <cfRule type="expression" dxfId="534" priority="140">
      <formula>F146&lt;0</formula>
    </cfRule>
  </conditionalFormatting>
  <conditionalFormatting sqref="H146">
    <cfRule type="expression" dxfId="533" priority="137">
      <formula>H146&gt;0</formula>
    </cfRule>
    <cfRule type="expression" dxfId="532" priority="138">
      <formula>H146&lt;0</formula>
    </cfRule>
  </conditionalFormatting>
  <conditionalFormatting sqref="I146">
    <cfRule type="expression" dxfId="531" priority="125">
      <formula>I146&gt;0</formula>
    </cfRule>
    <cfRule type="expression" dxfId="530" priority="126">
      <formula>I146&lt;0</formula>
    </cfRule>
  </conditionalFormatting>
  <conditionalFormatting sqref="F42:F43">
    <cfRule type="expression" dxfId="529" priority="121">
      <formula>F42&gt;0</formula>
    </cfRule>
    <cfRule type="expression" dxfId="528" priority="122">
      <formula>F42&lt;0</formula>
    </cfRule>
  </conditionalFormatting>
  <conditionalFormatting sqref="H42:H43">
    <cfRule type="expression" dxfId="527" priority="119">
      <formula>H42&gt;0</formula>
    </cfRule>
    <cfRule type="expression" dxfId="526" priority="120">
      <formula>H42&lt;0</formula>
    </cfRule>
  </conditionalFormatting>
  <conditionalFormatting sqref="F152:F156">
    <cfRule type="expression" dxfId="525" priority="117">
      <formula>F152&gt;0</formula>
    </cfRule>
    <cfRule type="expression" dxfId="524" priority="118">
      <formula>F152&lt;0</formula>
    </cfRule>
  </conditionalFormatting>
  <conditionalFormatting sqref="H152:H154">
    <cfRule type="expression" dxfId="523" priority="115">
      <formula>H152&gt;0</formula>
    </cfRule>
    <cfRule type="expression" dxfId="522" priority="116">
      <formula>H152&lt;0</formula>
    </cfRule>
  </conditionalFormatting>
  <conditionalFormatting sqref="H155:H156">
    <cfRule type="expression" dxfId="521" priority="113">
      <formula>H155&gt;0</formula>
    </cfRule>
    <cfRule type="expression" dxfId="520" priority="114">
      <formula>H155&lt;0</formula>
    </cfRule>
  </conditionalFormatting>
  <conditionalFormatting sqref="H157:H182">
    <cfRule type="expression" dxfId="519" priority="111">
      <formula>H157&gt;0</formula>
    </cfRule>
    <cfRule type="expression" dxfId="518" priority="112">
      <formula>H157&lt;0</formula>
    </cfRule>
  </conditionalFormatting>
  <conditionalFormatting sqref="F147:F150">
    <cfRule type="expression" dxfId="517" priority="109">
      <formula>F147&gt;0</formula>
    </cfRule>
    <cfRule type="expression" dxfId="516" priority="110">
      <formula>F147&lt;0</formula>
    </cfRule>
  </conditionalFormatting>
  <conditionalFormatting sqref="H147:H150">
    <cfRule type="expression" dxfId="515" priority="107">
      <formula>H147&gt;0</formula>
    </cfRule>
    <cfRule type="expression" dxfId="514" priority="108">
      <formula>H147&lt;0</formula>
    </cfRule>
  </conditionalFormatting>
  <conditionalFormatting sqref="F157">
    <cfRule type="expression" dxfId="513" priority="105">
      <formula>F157&gt;0</formula>
    </cfRule>
    <cfRule type="expression" dxfId="512" priority="106">
      <formula>F157&lt;0</formula>
    </cfRule>
  </conditionalFormatting>
  <conditionalFormatting sqref="I151:I153">
    <cfRule type="expression" dxfId="511" priority="103">
      <formula>I151&gt;0</formula>
    </cfRule>
    <cfRule type="expression" dxfId="510" priority="104">
      <formula>I151&lt;0</formula>
    </cfRule>
  </conditionalFormatting>
  <conditionalFormatting sqref="I154">
    <cfRule type="expression" dxfId="509" priority="101">
      <formula>I154&gt;0</formula>
    </cfRule>
    <cfRule type="expression" dxfId="508" priority="102">
      <formula>I154&lt;0</formula>
    </cfRule>
  </conditionalFormatting>
  <conditionalFormatting sqref="I155">
    <cfRule type="expression" dxfId="507" priority="99">
      <formula>I155&gt;0</formula>
    </cfRule>
    <cfRule type="expression" dxfId="506" priority="100">
      <formula>I155&lt;0</formula>
    </cfRule>
  </conditionalFormatting>
  <conditionalFormatting sqref="I156:I159 I161 I164 I166:I182">
    <cfRule type="expression" dxfId="505" priority="97">
      <formula>I156&gt;0</formula>
    </cfRule>
    <cfRule type="expression" dxfId="504" priority="98">
      <formula>I156&lt;0</formula>
    </cfRule>
  </conditionalFormatting>
  <conditionalFormatting sqref="I147:I150">
    <cfRule type="expression" dxfId="503" priority="95">
      <formula>I147&gt;0</formula>
    </cfRule>
    <cfRule type="expression" dxfId="502" priority="96">
      <formula>I147&lt;0</formula>
    </cfRule>
  </conditionalFormatting>
  <conditionalFormatting sqref="F158:F182">
    <cfRule type="expression" dxfId="501" priority="93">
      <formula>F158&gt;0</formula>
    </cfRule>
    <cfRule type="expression" dxfId="500" priority="94">
      <formula>F158&lt;0</formula>
    </cfRule>
  </conditionalFormatting>
  <conditionalFormatting sqref="F151">
    <cfRule type="expression" dxfId="499" priority="91">
      <formula>F151&gt;0</formula>
    </cfRule>
    <cfRule type="expression" dxfId="498" priority="92">
      <formula>F151&lt;0</formula>
    </cfRule>
  </conditionalFormatting>
  <conditionalFormatting sqref="H151">
    <cfRule type="expression" dxfId="497" priority="89">
      <formula>H151&gt;0</formula>
    </cfRule>
    <cfRule type="expression" dxfId="496" priority="90">
      <formula>H151&lt;0</formula>
    </cfRule>
  </conditionalFormatting>
  <conditionalFormatting sqref="F38:F41">
    <cfRule type="expression" dxfId="495" priority="87">
      <formula>F38&gt;0</formula>
    </cfRule>
    <cfRule type="expression" dxfId="494" priority="88">
      <formula>F38&lt;0</formula>
    </cfRule>
  </conditionalFormatting>
  <conditionalFormatting sqref="H38:H41">
    <cfRule type="expression" dxfId="493" priority="85">
      <formula>H38&gt;0</formula>
    </cfRule>
    <cfRule type="expression" dxfId="492" priority="86">
      <formula>H38&lt;0</formula>
    </cfRule>
  </conditionalFormatting>
  <conditionalFormatting sqref="K42:K44 K47:K54">
    <cfRule type="expression" dxfId="491" priority="83">
      <formula>K42&gt;0</formula>
    </cfRule>
    <cfRule type="expression" dxfId="490" priority="84">
      <formula>K42&lt;0</formula>
    </cfRule>
  </conditionalFormatting>
  <conditionalFormatting sqref="H54">
    <cfRule type="expression" dxfId="489" priority="81">
      <formula>H54&gt;0</formula>
    </cfRule>
    <cfRule type="expression" dxfId="488" priority="82">
      <formula>H54&lt;0</formula>
    </cfRule>
  </conditionalFormatting>
  <conditionalFormatting sqref="F54">
    <cfRule type="expression" dxfId="487" priority="79">
      <formula>F54&gt;0</formula>
    </cfRule>
    <cfRule type="expression" dxfId="486" priority="80">
      <formula>F54&lt;0</formula>
    </cfRule>
  </conditionalFormatting>
  <conditionalFormatting sqref="H53">
    <cfRule type="expression" dxfId="485" priority="75">
      <formula>H53&gt;0</formula>
    </cfRule>
    <cfRule type="expression" dxfId="484" priority="76">
      <formula>H53&lt;0</formula>
    </cfRule>
  </conditionalFormatting>
  <conditionalFormatting sqref="F53">
    <cfRule type="expression" dxfId="483" priority="73">
      <formula>F53&gt;0</formula>
    </cfRule>
    <cfRule type="expression" dxfId="482" priority="74">
      <formula>F53&lt;0</formula>
    </cfRule>
  </conditionalFormatting>
  <conditionalFormatting sqref="L55 L67">
    <cfRule type="expression" dxfId="481" priority="69">
      <formula>L55&gt;0</formula>
    </cfRule>
    <cfRule type="expression" dxfId="480" priority="70">
      <formula>L55&lt;0</formula>
    </cfRule>
  </conditionalFormatting>
  <conditionalFormatting sqref="L38:L41">
    <cfRule type="expression" dxfId="479" priority="67">
      <formula>L38&gt;0</formula>
    </cfRule>
    <cfRule type="expression" dxfId="478" priority="68">
      <formula>L38&lt;0</formula>
    </cfRule>
  </conditionalFormatting>
  <conditionalFormatting sqref="L42:L44 L47:L54">
    <cfRule type="expression" dxfId="477" priority="65">
      <formula>L42&gt;0</formula>
    </cfRule>
    <cfRule type="expression" dxfId="476" priority="66">
      <formula>L42&lt;0</formula>
    </cfRule>
  </conditionalFormatting>
  <conditionalFormatting sqref="F70:F71 H70:I71 K70:K71">
    <cfRule type="expression" dxfId="475" priority="63">
      <formula>F70&gt;0</formula>
    </cfRule>
    <cfRule type="expression" dxfId="474" priority="64">
      <formula>F70&lt;0</formula>
    </cfRule>
  </conditionalFormatting>
  <conditionalFormatting sqref="K72:K73 F72:F74 H72:I74">
    <cfRule type="expression" dxfId="473" priority="59">
      <formula>F72&gt;0</formula>
    </cfRule>
    <cfRule type="expression" dxfId="472" priority="60">
      <formula>F72&lt;0</formula>
    </cfRule>
  </conditionalFormatting>
  <conditionalFormatting sqref="H75:I75 F75 K74 K75:L75">
    <cfRule type="expression" dxfId="471" priority="53">
      <formula>F74&gt;0</formula>
    </cfRule>
    <cfRule type="expression" dxfId="470" priority="54">
      <formula>F74&lt;0</formula>
    </cfRule>
  </conditionalFormatting>
  <conditionalFormatting sqref="H80:K80 H81:L81 F80:F82 H82:J82">
    <cfRule type="expression" dxfId="469" priority="51">
      <formula>F80&gt;0</formula>
    </cfRule>
    <cfRule type="expression" dxfId="468" priority="52">
      <formula>F80&lt;0</formula>
    </cfRule>
  </conditionalFormatting>
  <conditionalFormatting sqref="H79:K79 K78 F79 J80:J82">
    <cfRule type="expression" dxfId="467" priority="49">
      <formula>F78&gt;0</formula>
    </cfRule>
    <cfRule type="expression" dxfId="466" priority="50">
      <formula>F78&lt;0</formula>
    </cfRule>
  </conditionalFormatting>
  <conditionalFormatting sqref="H77:L77 H76:I76 K76 H78:J78 F76:F78 J79:J82">
    <cfRule type="expression" dxfId="465" priority="47">
      <formula>F76&gt;0</formula>
    </cfRule>
    <cfRule type="expression" dxfId="464" priority="48">
      <formula>F76&lt;0</formula>
    </cfRule>
  </conditionalFormatting>
  <conditionalFormatting sqref="J76:J82">
    <cfRule type="expression" dxfId="463" priority="45">
      <formula>J76&gt;0</formula>
    </cfRule>
    <cfRule type="expression" dxfId="462" priority="46">
      <formula>J76&lt;0</formula>
    </cfRule>
  </conditionalFormatting>
  <conditionalFormatting sqref="H83:I83 K82 F83 K83:L83">
    <cfRule type="expression" dxfId="461" priority="43">
      <formula>F82&gt;0</formula>
    </cfRule>
    <cfRule type="expression" dxfId="460" priority="44">
      <formula>F82&lt;0</formula>
    </cfRule>
  </conditionalFormatting>
  <conditionalFormatting sqref="H84:K84 H85:L85 K86:L86 H86:J87 F84:F87">
    <cfRule type="expression" dxfId="459" priority="33">
      <formula>F84&gt;0</formula>
    </cfRule>
    <cfRule type="expression" dxfId="458" priority="34">
      <formula>F84&lt;0</formula>
    </cfRule>
  </conditionalFormatting>
  <conditionalFormatting sqref="H88:L88 K87 F88">
    <cfRule type="expression" dxfId="457" priority="31">
      <formula>F87&gt;0</formula>
    </cfRule>
    <cfRule type="expression" dxfId="456" priority="32">
      <formula>F87&lt;0</formula>
    </cfRule>
  </conditionalFormatting>
  <conditionalFormatting sqref="H101:L101 K91 F101">
    <cfRule type="expression" dxfId="455" priority="29">
      <formula>F91&gt;0</formula>
    </cfRule>
    <cfRule type="expression" dxfId="454" priority="30">
      <formula>F91&lt;0</formula>
    </cfRule>
  </conditionalFormatting>
  <conditionalFormatting sqref="H94:L94 H93:K93 H95:J95 F93:F95">
    <cfRule type="expression" dxfId="453" priority="27">
      <formula>F93&gt;0</formula>
    </cfRule>
    <cfRule type="expression" dxfId="452" priority="28">
      <formula>F93&lt;0</formula>
    </cfRule>
  </conditionalFormatting>
  <conditionalFormatting sqref="H92:L92 F92">
    <cfRule type="expression" dxfId="451" priority="25">
      <formula>F92&gt;0</formula>
    </cfRule>
    <cfRule type="expression" dxfId="450" priority="26">
      <formula>F92&lt;0</formula>
    </cfRule>
  </conditionalFormatting>
  <conditionalFormatting sqref="H97:L97 H96:K96 F96:F97">
    <cfRule type="expression" dxfId="449" priority="23">
      <formula>F96&gt;0</formula>
    </cfRule>
    <cfRule type="expression" dxfId="448" priority="24">
      <formula>F96&lt;0</formula>
    </cfRule>
  </conditionalFormatting>
  <conditionalFormatting sqref="K95:L95">
    <cfRule type="expression" dxfId="447" priority="21">
      <formula>K95&gt;0</formula>
    </cfRule>
    <cfRule type="expression" dxfId="446" priority="22">
      <formula>K95&lt;0</formula>
    </cfRule>
  </conditionalFormatting>
  <conditionalFormatting sqref="K100:L100 K99">
    <cfRule type="expression" dxfId="445" priority="19">
      <formula>K99&gt;0</formula>
    </cfRule>
    <cfRule type="expression" dxfId="444" priority="20">
      <formula>K99&lt;0</formula>
    </cfRule>
  </conditionalFormatting>
  <conditionalFormatting sqref="H98:L98 H99:J100 F98:F100">
    <cfRule type="expression" dxfId="443" priority="17">
      <formula>F98&gt;0</formula>
    </cfRule>
    <cfRule type="expression" dxfId="442" priority="18">
      <formula>F98&lt;0</formula>
    </cfRule>
  </conditionalFormatting>
  <conditionalFormatting sqref="H103:L103 H102:K102 F102:F103">
    <cfRule type="expression" dxfId="441" priority="15">
      <formula>F102&gt;0</formula>
    </cfRule>
    <cfRule type="expression" dxfId="440" priority="16">
      <formula>F102&lt;0</formula>
    </cfRule>
  </conditionalFormatting>
  <conditionalFormatting sqref="H117:L117 H116:K116 F116:F117">
    <cfRule type="expression" dxfId="439" priority="13">
      <formula>F116&gt;0</formula>
    </cfRule>
    <cfRule type="expression" dxfId="438" priority="14">
      <formula>F116&lt;0</formula>
    </cfRule>
  </conditionalFormatting>
  <conditionalFormatting sqref="H115:L115 H114:K114 F114:F115">
    <cfRule type="expression" dxfId="437" priority="11">
      <formula>F114&gt;0</formula>
    </cfRule>
    <cfRule type="expression" dxfId="436" priority="12">
      <formula>F114&lt;0</formula>
    </cfRule>
  </conditionalFormatting>
  <conditionalFormatting sqref="H113:L113 H112:K112 F112:F113">
    <cfRule type="expression" dxfId="435" priority="9">
      <formula>F112&gt;0</formula>
    </cfRule>
    <cfRule type="expression" dxfId="434" priority="10">
      <formula>F112&lt;0</formula>
    </cfRule>
  </conditionalFormatting>
  <conditionalFormatting sqref="H111:L111 H110:K110 F110:F111">
    <cfRule type="expression" dxfId="433" priority="7">
      <formula>F110&gt;0</formula>
    </cfRule>
    <cfRule type="expression" dxfId="432" priority="8">
      <formula>F110&lt;0</formula>
    </cfRule>
  </conditionalFormatting>
  <conditionalFormatting sqref="H109:L109 H108:K108 F108:F109">
    <cfRule type="expression" dxfId="431" priority="5">
      <formula>F108&gt;0</formula>
    </cfRule>
    <cfRule type="expression" dxfId="430" priority="6">
      <formula>F108&lt;0</formula>
    </cfRule>
  </conditionalFormatting>
  <conditionalFormatting sqref="H107:L107 H106:K106 F106:F107">
    <cfRule type="expression" dxfId="429" priority="3">
      <formula>F106&gt;0</formula>
    </cfRule>
    <cfRule type="expression" dxfId="428" priority="4">
      <formula>F106&lt;0</formula>
    </cfRule>
  </conditionalFormatting>
  <conditionalFormatting sqref="H105:L105 H104:K104 F104:F105">
    <cfRule type="expression" dxfId="427" priority="1">
      <formula>F104&gt;0</formula>
    </cfRule>
    <cfRule type="expression" dxfId="426" priority="2">
      <formula>F104&lt;0</formula>
    </cfRule>
  </conditionalFormatting>
  <hyperlinks>
    <hyperlink ref="A3" location="ACTIVE!A1" display="Back"/>
    <hyperlink ref="A124" location="ACTIVE!A1" display="Back"/>
  </hyperlinks>
  <pageMargins left="0.7" right="0.7" top="0.75" bottom="0.75" header="0.3" footer="0.3"/>
  <pageSetup orientation="portrait" horizontalDpi="4294967293" r:id="rId1"/>
  <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7"/>
  <dimension ref="A1:U135"/>
  <sheetViews>
    <sheetView workbookViewId="0">
      <pane ySplit="1" topLeftCell="A2" activePane="bottomLeft" state="frozen"/>
      <selection activeCell="M34" sqref="M34"/>
      <selection pane="bottomLeft" activeCell="M34" sqref="M34"/>
    </sheetView>
  </sheetViews>
  <sheetFormatPr defaultRowHeight="15" x14ac:dyDescent="0.25"/>
  <cols>
    <col min="1" max="1" width="9.7109375" bestFit="1" customWidth="1"/>
    <col min="2" max="2" width="10.7109375" bestFit="1" customWidth="1"/>
    <col min="4" max="6" width="9.140625" style="2"/>
    <col min="9" max="11" width="9.140625" style="2"/>
    <col min="17" max="17" width="12.7109375" bestFit="1" customWidth="1"/>
    <col min="18" max="18" width="10.7109375" bestFit="1" customWidth="1"/>
    <col min="20" max="20" width="13.7109375" customWidth="1"/>
    <col min="21" max="21" width="67.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625</v>
      </c>
      <c r="B2" s="360">
        <v>43020</v>
      </c>
      <c r="C2" s="7">
        <v>10</v>
      </c>
      <c r="D2" s="43">
        <v>190.16</v>
      </c>
      <c r="E2" s="43">
        <v>0</v>
      </c>
      <c r="F2" s="43">
        <f t="shared" ref="F2:F9" si="0">C2*D2+E2</f>
        <v>1901.6</v>
      </c>
      <c r="G2" s="360">
        <v>43103</v>
      </c>
      <c r="H2" s="7">
        <v>10</v>
      </c>
      <c r="I2" s="43">
        <v>238</v>
      </c>
      <c r="J2" s="43">
        <v>0.05</v>
      </c>
      <c r="K2" s="43">
        <f t="shared" ref="K2:K18" si="1">H2*I2-J2</f>
        <v>2379.9499999999998</v>
      </c>
      <c r="L2" s="69"/>
      <c r="M2" s="3"/>
      <c r="O2" s="11" t="s">
        <v>57</v>
      </c>
      <c r="Q2" s="181">
        <f>C29-H29</f>
        <v>0</v>
      </c>
      <c r="T2" s="1">
        <v>43080</v>
      </c>
      <c r="U2" t="s">
        <v>746</v>
      </c>
    </row>
    <row r="3" spans="1:21" x14ac:dyDescent="0.25">
      <c r="A3" s="22" t="s">
        <v>71</v>
      </c>
      <c r="B3" s="360">
        <v>43021</v>
      </c>
      <c r="C3" s="7">
        <v>15</v>
      </c>
      <c r="D3" s="43">
        <v>188.9</v>
      </c>
      <c r="E3" s="43">
        <v>0</v>
      </c>
      <c r="F3" s="43">
        <f t="shared" si="0"/>
        <v>2833.5</v>
      </c>
      <c r="G3" s="360">
        <v>43112</v>
      </c>
      <c r="H3" s="77">
        <v>15</v>
      </c>
      <c r="I3" s="43">
        <v>234.88</v>
      </c>
      <c r="J3" s="43">
        <v>0.08</v>
      </c>
      <c r="K3" s="43">
        <f t="shared" si="1"/>
        <v>3523.12</v>
      </c>
      <c r="L3" s="4"/>
      <c r="M3" s="4"/>
      <c r="O3" s="11" t="s">
        <v>58</v>
      </c>
      <c r="Q3" s="174">
        <f>IF(Q2=0, Q4, (F29-K29-M29)/Q2)</f>
        <v>237.31</v>
      </c>
      <c r="T3" s="1"/>
    </row>
    <row r="4" spans="1:21" x14ac:dyDescent="0.25">
      <c r="B4" s="360">
        <v>43021</v>
      </c>
      <c r="C4" s="7">
        <v>5</v>
      </c>
      <c r="D4" s="43">
        <v>188.9</v>
      </c>
      <c r="E4" s="43">
        <v>0</v>
      </c>
      <c r="F4" s="43">
        <f t="shared" si="0"/>
        <v>944.5</v>
      </c>
      <c r="G4" s="360">
        <v>43140</v>
      </c>
      <c r="H4" s="77">
        <v>55</v>
      </c>
      <c r="I4" s="43">
        <v>216.28</v>
      </c>
      <c r="J4" s="43">
        <v>0.27</v>
      </c>
      <c r="K4" s="43">
        <f t="shared" si="1"/>
        <v>11895.13</v>
      </c>
      <c r="L4" s="4"/>
      <c r="M4" s="4"/>
      <c r="O4" s="11" t="s">
        <v>66</v>
      </c>
      <c r="Q4" s="53">
        <v>237.31</v>
      </c>
      <c r="R4" s="416">
        <v>2.2499999999999999E-2</v>
      </c>
      <c r="T4" s="680">
        <v>43103</v>
      </c>
      <c r="U4" s="30" t="s">
        <v>964</v>
      </c>
    </row>
    <row r="5" spans="1:21" x14ac:dyDescent="0.25">
      <c r="B5" s="360">
        <v>43108</v>
      </c>
      <c r="C5" s="7">
        <v>15</v>
      </c>
      <c r="D5" s="43">
        <v>232.18</v>
      </c>
      <c r="E5" s="43">
        <v>0</v>
      </c>
      <c r="F5" s="43">
        <f t="shared" si="0"/>
        <v>3482.7000000000003</v>
      </c>
      <c r="G5" s="360">
        <v>43167</v>
      </c>
      <c r="H5" s="77">
        <v>30</v>
      </c>
      <c r="I5" s="43">
        <v>205.5</v>
      </c>
      <c r="J5" s="43">
        <v>0.14000000000000001</v>
      </c>
      <c r="K5" s="43">
        <f t="shared" si="1"/>
        <v>6164.86</v>
      </c>
      <c r="L5" s="4"/>
      <c r="M5" s="4"/>
      <c r="O5" s="11" t="s">
        <v>67</v>
      </c>
      <c r="Q5" s="3">
        <f>Q4*Q2</f>
        <v>0</v>
      </c>
    </row>
    <row r="6" spans="1:21" x14ac:dyDescent="0.25">
      <c r="B6" s="360">
        <v>43122</v>
      </c>
      <c r="C6" s="7">
        <v>15</v>
      </c>
      <c r="D6" s="43">
        <v>233.88</v>
      </c>
      <c r="E6" s="43">
        <v>0</v>
      </c>
      <c r="F6" s="43">
        <f t="shared" si="0"/>
        <v>3508.2</v>
      </c>
      <c r="G6" s="360">
        <v>43172</v>
      </c>
      <c r="H6" s="77">
        <v>25</v>
      </c>
      <c r="I6" s="43">
        <v>213.18</v>
      </c>
      <c r="J6" s="43">
        <v>0.12</v>
      </c>
      <c r="K6" s="43">
        <f t="shared" si="1"/>
        <v>5329.38</v>
      </c>
      <c r="L6" s="4"/>
      <c r="M6" s="4"/>
      <c r="O6" s="11" t="s">
        <v>64</v>
      </c>
      <c r="Q6" s="2">
        <f>Q3*Q2</f>
        <v>0</v>
      </c>
      <c r="T6" s="1">
        <v>43140</v>
      </c>
      <c r="U6" t="s">
        <v>856</v>
      </c>
    </row>
    <row r="7" spans="1:21" x14ac:dyDescent="0.25">
      <c r="B7" s="360">
        <v>43123</v>
      </c>
      <c r="C7" s="7">
        <v>10</v>
      </c>
      <c r="D7" s="43">
        <v>228.88</v>
      </c>
      <c r="E7" s="43">
        <v>0</v>
      </c>
      <c r="F7" s="43">
        <f t="shared" si="0"/>
        <v>2288.8000000000002</v>
      </c>
      <c r="G7" s="360">
        <v>43175</v>
      </c>
      <c r="H7" s="77">
        <v>45</v>
      </c>
      <c r="I7" s="43">
        <v>221</v>
      </c>
      <c r="J7" s="43">
        <v>0.23</v>
      </c>
      <c r="K7" s="43">
        <f t="shared" si="1"/>
        <v>9944.77</v>
      </c>
      <c r="L7" s="4"/>
      <c r="M7" s="4"/>
      <c r="O7" s="11" t="s">
        <v>175</v>
      </c>
      <c r="Q7" s="2">
        <f>Q10+Q8</f>
        <v>5079.1199999999772</v>
      </c>
      <c r="R7">
        <v>0</v>
      </c>
    </row>
    <row r="8" spans="1:21" x14ac:dyDescent="0.25">
      <c r="B8" s="360">
        <v>43132</v>
      </c>
      <c r="C8" s="7">
        <v>10</v>
      </c>
      <c r="D8" s="43">
        <v>220</v>
      </c>
      <c r="E8" s="43">
        <v>0</v>
      </c>
      <c r="F8" s="43">
        <f t="shared" si="0"/>
        <v>2200</v>
      </c>
      <c r="G8" s="360">
        <v>43196</v>
      </c>
      <c r="H8" s="77">
        <v>30</v>
      </c>
      <c r="I8" s="43">
        <v>211.8</v>
      </c>
      <c r="J8" s="43">
        <v>0.15</v>
      </c>
      <c r="K8" s="43">
        <f t="shared" si="1"/>
        <v>6353.85</v>
      </c>
      <c r="L8" s="4"/>
      <c r="M8" s="4"/>
      <c r="O8" s="11" t="s">
        <v>177</v>
      </c>
      <c r="P8" s="33"/>
      <c r="Q8" s="2">
        <f>K29+M29-F29+Q2*Q4</f>
        <v>4854.3499999999767</v>
      </c>
    </row>
    <row r="9" spans="1:21" x14ac:dyDescent="0.25">
      <c r="B9" s="360">
        <v>43137</v>
      </c>
      <c r="C9" s="7">
        <v>30</v>
      </c>
      <c r="D9" s="43">
        <v>207.88</v>
      </c>
      <c r="E9" s="43">
        <v>0</v>
      </c>
      <c r="F9" s="43">
        <f t="shared" si="0"/>
        <v>6236.4</v>
      </c>
      <c r="G9" s="360">
        <v>43196</v>
      </c>
      <c r="H9" s="77">
        <v>30</v>
      </c>
      <c r="I9" s="43">
        <v>209</v>
      </c>
      <c r="J9" s="43">
        <v>0.14000000000000001</v>
      </c>
      <c r="K9" s="43">
        <f t="shared" si="1"/>
        <v>6269.86</v>
      </c>
      <c r="L9" s="4"/>
      <c r="M9" s="4"/>
      <c r="O9" s="11" t="s">
        <v>202</v>
      </c>
      <c r="Q9" s="131">
        <f>IF(Q2=0, 0, Q8/Q6)</f>
        <v>0</v>
      </c>
      <c r="T9" s="680">
        <v>43174</v>
      </c>
      <c r="U9" t="s">
        <v>82</v>
      </c>
    </row>
    <row r="10" spans="1:21" x14ac:dyDescent="0.25">
      <c r="B10" s="360">
        <v>43137</v>
      </c>
      <c r="C10" s="7">
        <v>15</v>
      </c>
      <c r="D10" s="43">
        <v>207.88</v>
      </c>
      <c r="E10" s="43">
        <v>0</v>
      </c>
      <c r="F10" s="43">
        <f t="shared" ref="F10:F15" si="2">C10*D10+E10</f>
        <v>3118.2</v>
      </c>
      <c r="G10" s="360">
        <v>43210</v>
      </c>
      <c r="H10" s="77">
        <v>15</v>
      </c>
      <c r="I10" s="43">
        <v>235.4</v>
      </c>
      <c r="J10" s="43">
        <v>0.08</v>
      </c>
      <c r="K10" s="43">
        <f t="shared" si="1"/>
        <v>3530.92</v>
      </c>
      <c r="O10" s="11" t="s">
        <v>201</v>
      </c>
      <c r="P10" s="33"/>
      <c r="Q10" s="2">
        <f>M91</f>
        <v>224.77000000000044</v>
      </c>
      <c r="U10" t="s">
        <v>910</v>
      </c>
    </row>
    <row r="11" spans="1:21" x14ac:dyDescent="0.25">
      <c r="B11" s="360">
        <v>43140</v>
      </c>
      <c r="C11" s="7">
        <v>10</v>
      </c>
      <c r="D11" s="43">
        <v>205.8</v>
      </c>
      <c r="E11" s="43">
        <v>0</v>
      </c>
      <c r="F11" s="43">
        <f t="shared" si="2"/>
        <v>2058</v>
      </c>
      <c r="G11" s="360">
        <v>43210</v>
      </c>
      <c r="H11" s="77">
        <v>15</v>
      </c>
      <c r="I11" s="43">
        <v>235.68</v>
      </c>
      <c r="J11" s="43">
        <v>0.08</v>
      </c>
      <c r="K11" s="43">
        <f t="shared" si="1"/>
        <v>3535.1200000000003</v>
      </c>
      <c r="O11" s="11" t="s">
        <v>173</v>
      </c>
      <c r="P11" s="33"/>
      <c r="Q11" s="131">
        <v>0</v>
      </c>
    </row>
    <row r="12" spans="1:21" x14ac:dyDescent="0.25">
      <c r="B12" s="360">
        <v>43143</v>
      </c>
      <c r="C12" s="7">
        <v>45</v>
      </c>
      <c r="D12" s="43">
        <v>206.78</v>
      </c>
      <c r="E12" s="43">
        <v>0</v>
      </c>
      <c r="F12" s="43">
        <f t="shared" si="2"/>
        <v>9305.1</v>
      </c>
      <c r="G12" s="360">
        <v>43216</v>
      </c>
      <c r="H12" s="77">
        <v>10</v>
      </c>
      <c r="I12" s="43">
        <v>242.58</v>
      </c>
      <c r="J12" s="43">
        <v>0.06</v>
      </c>
      <c r="K12" s="43">
        <f t="shared" si="1"/>
        <v>2425.7400000000002</v>
      </c>
      <c r="O12" s="11" t="s">
        <v>875</v>
      </c>
      <c r="Q12" s="1" t="s">
        <v>1086</v>
      </c>
    </row>
    <row r="13" spans="1:21" x14ac:dyDescent="0.25">
      <c r="B13" s="360">
        <v>43157</v>
      </c>
      <c r="C13" s="7">
        <v>15</v>
      </c>
      <c r="D13" s="43">
        <v>199.58</v>
      </c>
      <c r="E13" s="43">
        <v>0</v>
      </c>
      <c r="F13" s="43">
        <f t="shared" si="2"/>
        <v>2993.7000000000003</v>
      </c>
      <c r="G13" s="360">
        <v>43271</v>
      </c>
      <c r="H13" s="77">
        <v>15</v>
      </c>
      <c r="I13" s="43">
        <v>250.9</v>
      </c>
      <c r="J13" s="43">
        <v>0.05</v>
      </c>
      <c r="K13" s="43">
        <f t="shared" si="1"/>
        <v>3763.45</v>
      </c>
      <c r="O13" s="11" t="s">
        <v>901</v>
      </c>
      <c r="Q13" s="2">
        <f>Q4/(8.16*1.2)</f>
        <v>24.235089869281047</v>
      </c>
    </row>
    <row r="14" spans="1:21" x14ac:dyDescent="0.25">
      <c r="B14" s="360">
        <v>43161</v>
      </c>
      <c r="C14" s="7">
        <v>15</v>
      </c>
      <c r="D14" s="43">
        <v>194.98</v>
      </c>
      <c r="E14" s="43">
        <v>0</v>
      </c>
      <c r="F14" s="43">
        <f t="shared" si="2"/>
        <v>2924.7</v>
      </c>
      <c r="G14" s="360">
        <v>43284</v>
      </c>
      <c r="H14" s="77">
        <v>15</v>
      </c>
      <c r="I14" s="43">
        <v>235.12</v>
      </c>
      <c r="J14" s="43">
        <v>0.05</v>
      </c>
      <c r="K14" s="43">
        <f t="shared" si="1"/>
        <v>3526.75</v>
      </c>
      <c r="O14" s="11" t="s">
        <v>988</v>
      </c>
      <c r="Q14" s="1">
        <v>43324</v>
      </c>
    </row>
    <row r="15" spans="1:21" x14ac:dyDescent="0.25">
      <c r="A15" t="s">
        <v>896</v>
      </c>
      <c r="B15" s="360">
        <v>43172</v>
      </c>
      <c r="C15" s="7">
        <v>25</v>
      </c>
      <c r="D15" s="43">
        <v>209.28</v>
      </c>
      <c r="E15" s="43">
        <v>0</v>
      </c>
      <c r="F15" s="43">
        <f t="shared" si="2"/>
        <v>5232</v>
      </c>
      <c r="G15" s="360">
        <v>43287</v>
      </c>
      <c r="H15" s="77">
        <v>15</v>
      </c>
      <c r="I15" s="43">
        <v>244</v>
      </c>
      <c r="J15" s="43">
        <v>0.05</v>
      </c>
      <c r="K15" s="43">
        <f t="shared" si="1"/>
        <v>3659.95</v>
      </c>
    </row>
    <row r="16" spans="1:21" x14ac:dyDescent="0.25">
      <c r="A16" t="s">
        <v>896</v>
      </c>
      <c r="B16" s="360">
        <v>43178</v>
      </c>
      <c r="C16" s="7">
        <v>5</v>
      </c>
      <c r="D16" s="43">
        <v>216.88</v>
      </c>
      <c r="E16" s="43">
        <v>0</v>
      </c>
      <c r="F16" s="43">
        <f t="shared" ref="F16:F23" si="3">C16*D16+E16</f>
        <v>1084.4000000000001</v>
      </c>
      <c r="G16" s="360">
        <v>43307</v>
      </c>
      <c r="H16" s="77">
        <v>15</v>
      </c>
      <c r="I16" s="43">
        <v>257</v>
      </c>
      <c r="J16" s="43">
        <v>0.05</v>
      </c>
      <c r="K16" s="43">
        <f t="shared" si="1"/>
        <v>3854.95</v>
      </c>
    </row>
    <row r="17" spans="1:21" x14ac:dyDescent="0.25">
      <c r="B17" s="360">
        <v>43178</v>
      </c>
      <c r="C17" s="7">
        <v>40</v>
      </c>
      <c r="D17" s="43">
        <v>216.88</v>
      </c>
      <c r="E17" s="43">
        <v>0</v>
      </c>
      <c r="F17" s="43">
        <f t="shared" si="3"/>
        <v>8675.2000000000007</v>
      </c>
      <c r="G17" s="360">
        <v>43343</v>
      </c>
      <c r="H17" s="77">
        <v>30</v>
      </c>
      <c r="I17" s="43">
        <v>252</v>
      </c>
      <c r="J17" s="43">
        <v>0.1</v>
      </c>
      <c r="K17" s="43">
        <f t="shared" si="1"/>
        <v>7559.9</v>
      </c>
      <c r="T17" s="1">
        <v>43257</v>
      </c>
      <c r="U17" t="s">
        <v>963</v>
      </c>
    </row>
    <row r="18" spans="1:21" x14ac:dyDescent="0.25">
      <c r="B18" s="360">
        <v>43196</v>
      </c>
      <c r="C18" s="7">
        <v>30</v>
      </c>
      <c r="D18" s="43">
        <v>207.68</v>
      </c>
      <c r="E18" s="43">
        <v>0</v>
      </c>
      <c r="F18" s="43">
        <f t="shared" si="3"/>
        <v>6230.4000000000005</v>
      </c>
      <c r="G18" s="360">
        <v>43350</v>
      </c>
      <c r="H18" s="77">
        <v>15</v>
      </c>
      <c r="I18" s="43">
        <v>276.98</v>
      </c>
      <c r="J18" s="43">
        <v>0.05</v>
      </c>
      <c r="K18" s="43">
        <f t="shared" si="1"/>
        <v>4154.6500000000005</v>
      </c>
    </row>
    <row r="19" spans="1:21" ht="20.25" thickBot="1" x14ac:dyDescent="0.35">
      <c r="B19" s="360">
        <v>43210</v>
      </c>
      <c r="C19" s="7">
        <v>15</v>
      </c>
      <c r="D19" s="43">
        <v>233.08</v>
      </c>
      <c r="E19" s="43">
        <v>0</v>
      </c>
      <c r="F19" s="43">
        <f t="shared" si="3"/>
        <v>3496.2000000000003</v>
      </c>
      <c r="O19" s="886" t="s">
        <v>78</v>
      </c>
      <c r="P19" s="886"/>
      <c r="T19" s="1">
        <v>43285</v>
      </c>
      <c r="U19" t="s">
        <v>1087</v>
      </c>
    </row>
    <row r="20" spans="1:21" ht="15.75" thickTop="1" x14ac:dyDescent="0.25">
      <c r="B20" s="360">
        <v>43276</v>
      </c>
      <c r="C20" s="7">
        <v>15</v>
      </c>
      <c r="D20" s="43">
        <v>242</v>
      </c>
      <c r="E20" s="43">
        <v>0</v>
      </c>
      <c r="F20" s="43">
        <f t="shared" si="3"/>
        <v>3630</v>
      </c>
      <c r="O20" s="78">
        <v>1.1000000000000001</v>
      </c>
      <c r="P20" s="78">
        <f>O20*$Q$4</f>
        <v>261.041</v>
      </c>
      <c r="T20" s="1">
        <v>43288</v>
      </c>
      <c r="U20" t="s">
        <v>1113</v>
      </c>
    </row>
    <row r="21" spans="1:21" x14ac:dyDescent="0.25">
      <c r="B21" s="360">
        <v>43283</v>
      </c>
      <c r="C21" s="7">
        <v>15</v>
      </c>
      <c r="D21" s="43">
        <v>231</v>
      </c>
      <c r="E21" s="43">
        <v>0</v>
      </c>
      <c r="F21" s="43">
        <f t="shared" si="3"/>
        <v>3465</v>
      </c>
      <c r="O21" s="78">
        <v>1.0900000000000001</v>
      </c>
      <c r="P21" s="78">
        <f t="shared" ref="P21:P40" si="4">O21*$Q$4</f>
        <v>258.66790000000003</v>
      </c>
    </row>
    <row r="22" spans="1:21" x14ac:dyDescent="0.25">
      <c r="B22" s="360">
        <v>43307</v>
      </c>
      <c r="C22" s="7">
        <v>15</v>
      </c>
      <c r="D22" s="43">
        <v>252.58</v>
      </c>
      <c r="E22" s="43">
        <v>0</v>
      </c>
      <c r="F22" s="43">
        <f t="shared" si="3"/>
        <v>3788.7000000000003</v>
      </c>
      <c r="O22" s="78">
        <v>1.08</v>
      </c>
      <c r="P22" s="78">
        <f t="shared" si="4"/>
        <v>256.29480000000001</v>
      </c>
      <c r="T22" s="680">
        <v>43314</v>
      </c>
      <c r="U22" t="s">
        <v>1185</v>
      </c>
    </row>
    <row r="23" spans="1:21" x14ac:dyDescent="0.25">
      <c r="B23" s="360">
        <v>43313</v>
      </c>
      <c r="C23" s="7">
        <v>15</v>
      </c>
      <c r="D23" s="43">
        <v>241.38</v>
      </c>
      <c r="E23" s="43">
        <v>0</v>
      </c>
      <c r="F23" s="43">
        <f t="shared" si="3"/>
        <v>3620.7</v>
      </c>
      <c r="O23" s="78">
        <v>1.07</v>
      </c>
      <c r="P23" s="78">
        <f t="shared" si="4"/>
        <v>253.92170000000002</v>
      </c>
    </row>
    <row r="24" spans="1:21" x14ac:dyDescent="0.25">
      <c r="C24" s="4"/>
      <c r="D24" s="3"/>
      <c r="E24" s="3"/>
      <c r="F24" s="3"/>
      <c r="O24" s="78">
        <v>1.06</v>
      </c>
      <c r="P24" s="78">
        <f t="shared" si="4"/>
        <v>251.54860000000002</v>
      </c>
      <c r="T24" s="153">
        <v>43342</v>
      </c>
      <c r="U24" t="s">
        <v>82</v>
      </c>
    </row>
    <row r="25" spans="1:21" x14ac:dyDescent="0.25">
      <c r="C25" s="4"/>
      <c r="D25" s="3"/>
      <c r="E25" s="3"/>
      <c r="F25" s="3"/>
      <c r="O25" s="78">
        <v>1.05</v>
      </c>
      <c r="P25" s="78">
        <f t="shared" si="4"/>
        <v>249.1755</v>
      </c>
    </row>
    <row r="26" spans="1:21" x14ac:dyDescent="0.25">
      <c r="O26" s="78">
        <v>1.04</v>
      </c>
      <c r="P26" s="78">
        <f t="shared" si="4"/>
        <v>246.80240000000001</v>
      </c>
    </row>
    <row r="27" spans="1:21" x14ac:dyDescent="0.25">
      <c r="C27" s="4"/>
      <c r="D27" s="3"/>
      <c r="E27" s="3"/>
      <c r="F27" s="3"/>
      <c r="O27" s="78">
        <v>1.03</v>
      </c>
      <c r="P27" s="78">
        <f t="shared" si="4"/>
        <v>244.42930000000001</v>
      </c>
    </row>
    <row r="28" spans="1:21" x14ac:dyDescent="0.25">
      <c r="O28" s="78">
        <v>1.02</v>
      </c>
      <c r="P28" s="78">
        <f t="shared" si="4"/>
        <v>242.05620000000002</v>
      </c>
    </row>
    <row r="29" spans="1:21" x14ac:dyDescent="0.25">
      <c r="A29" s="31" t="s">
        <v>81</v>
      </c>
      <c r="B29" s="14"/>
      <c r="C29" s="14">
        <f>SUM(C2:C27)</f>
        <v>385</v>
      </c>
      <c r="D29" s="18"/>
      <c r="E29" s="18"/>
      <c r="F29" s="18">
        <f>SUM(F2:F27)</f>
        <v>83018</v>
      </c>
      <c r="G29" s="14"/>
      <c r="H29" s="68">
        <f>SUM(H2:H28)</f>
        <v>385</v>
      </c>
      <c r="I29" s="18"/>
      <c r="J29" s="18"/>
      <c r="K29" s="18">
        <f>SUM(K2:K28)</f>
        <v>87872.349999999977</v>
      </c>
      <c r="L29" s="14"/>
      <c r="M29" s="18">
        <f>SUM(M2:M10)</f>
        <v>0</v>
      </c>
      <c r="O29" s="78">
        <v>1.01</v>
      </c>
      <c r="P29" s="78">
        <f t="shared" si="4"/>
        <v>239.6831</v>
      </c>
    </row>
    <row r="30" spans="1:21" ht="15.75" thickBot="1" x14ac:dyDescent="0.3">
      <c r="A30" s="273" t="s">
        <v>189</v>
      </c>
      <c r="B30" s="274"/>
      <c r="C30" s="275">
        <f>SumByColor($A$30,C2:C28)</f>
        <v>385</v>
      </c>
      <c r="D30" s="275"/>
      <c r="E30" s="275"/>
      <c r="F30" s="276">
        <f>SumByColor($A$30,F2:F28)</f>
        <v>83018</v>
      </c>
      <c r="G30" s="275"/>
      <c r="H30" s="275">
        <f>SumByColor($A$30,H2:H28)</f>
        <v>385</v>
      </c>
      <c r="I30" s="275"/>
      <c r="J30" s="275"/>
      <c r="K30" s="276">
        <f>SumByColor($A$30,K2:K28)</f>
        <v>87873</v>
      </c>
      <c r="L30" s="275"/>
      <c r="M30" s="276">
        <f>SumByColor($A$30,M2:M28)</f>
        <v>0</v>
      </c>
      <c r="O30" s="78">
        <v>1</v>
      </c>
      <c r="P30" s="78">
        <f t="shared" si="4"/>
        <v>237.31</v>
      </c>
    </row>
    <row r="31" spans="1:21" x14ac:dyDescent="0.25">
      <c r="O31" s="78">
        <v>0.99</v>
      </c>
      <c r="P31" s="78">
        <f t="shared" si="4"/>
        <v>234.93690000000001</v>
      </c>
    </row>
    <row r="32" spans="1:21" x14ac:dyDescent="0.25">
      <c r="O32" s="78">
        <v>0.98</v>
      </c>
      <c r="P32" s="78">
        <f t="shared" si="4"/>
        <v>232.56379999999999</v>
      </c>
    </row>
    <row r="33" spans="1:17" x14ac:dyDescent="0.25">
      <c r="O33" s="78">
        <v>0.97</v>
      </c>
      <c r="P33" s="78">
        <f t="shared" si="4"/>
        <v>230.19069999999999</v>
      </c>
    </row>
    <row r="34" spans="1:17" x14ac:dyDescent="0.25">
      <c r="O34" s="78">
        <v>0.96</v>
      </c>
      <c r="P34" s="78">
        <f t="shared" si="4"/>
        <v>227.8176</v>
      </c>
    </row>
    <row r="35" spans="1:17" x14ac:dyDescent="0.25">
      <c r="B35" s="159" t="s">
        <v>113</v>
      </c>
      <c r="C35" s="159" t="s">
        <v>143</v>
      </c>
      <c r="D35" s="160" t="s">
        <v>142</v>
      </c>
      <c r="E35" s="162" t="s">
        <v>144</v>
      </c>
      <c r="F35" s="162" t="s">
        <v>65</v>
      </c>
      <c r="G35" s="173" t="s">
        <v>148</v>
      </c>
      <c r="H35" s="173" t="s">
        <v>88</v>
      </c>
      <c r="I35" s="173" t="s">
        <v>151</v>
      </c>
      <c r="J35" s="173" t="s">
        <v>147</v>
      </c>
      <c r="K35" s="173" t="s">
        <v>452</v>
      </c>
      <c r="L35" s="173" t="s">
        <v>901</v>
      </c>
      <c r="O35" s="78">
        <v>0.95</v>
      </c>
      <c r="P35" s="78">
        <f t="shared" si="4"/>
        <v>225.44450000000001</v>
      </c>
    </row>
    <row r="36" spans="1:17" x14ac:dyDescent="0.25">
      <c r="B36" s="161">
        <v>43021</v>
      </c>
      <c r="C36" s="10">
        <v>30</v>
      </c>
      <c r="D36" s="39">
        <v>189.32</v>
      </c>
      <c r="E36" s="39">
        <v>198.58</v>
      </c>
      <c r="F36" s="39">
        <f t="shared" ref="F36:F44" si="5">C36*(E36-D36)</f>
        <v>277.80000000000058</v>
      </c>
      <c r="G36" s="39">
        <f t="shared" ref="G36:G44" si="6">D36*C36</f>
        <v>5679.5999999999995</v>
      </c>
      <c r="H36" s="175">
        <f t="shared" ref="H36:H44" si="7">(E36-D36)/D36</f>
        <v>4.8911895203887702E-2</v>
      </c>
      <c r="I36" s="39"/>
      <c r="J36" s="39"/>
      <c r="K36" s="39"/>
      <c r="L36" s="39"/>
      <c r="O36" s="78">
        <v>0.94</v>
      </c>
      <c r="P36" s="78">
        <f t="shared" si="4"/>
        <v>223.07139999999998</v>
      </c>
    </row>
    <row r="37" spans="1:17" x14ac:dyDescent="0.25">
      <c r="B37" s="161">
        <v>43031</v>
      </c>
      <c r="C37" s="10">
        <v>30</v>
      </c>
      <c r="D37" s="39">
        <v>189.32</v>
      </c>
      <c r="E37" s="39">
        <v>202.36</v>
      </c>
      <c r="F37" s="39">
        <f t="shared" si="5"/>
        <v>391.20000000000061</v>
      </c>
      <c r="G37" s="39">
        <f t="shared" si="6"/>
        <v>5679.5999999999995</v>
      </c>
      <c r="H37" s="175">
        <f t="shared" si="7"/>
        <v>6.8878090006338585E-2</v>
      </c>
      <c r="I37" s="39"/>
      <c r="J37" s="39"/>
      <c r="K37" s="39"/>
      <c r="L37" s="39"/>
      <c r="O37" s="78">
        <v>0.93</v>
      </c>
      <c r="P37" s="78">
        <f t="shared" si="4"/>
        <v>220.69830000000002</v>
      </c>
    </row>
    <row r="38" spans="1:17" x14ac:dyDescent="0.25">
      <c r="B38" s="161">
        <v>43102</v>
      </c>
      <c r="C38" s="10">
        <v>30</v>
      </c>
      <c r="D38" s="39">
        <v>189.32</v>
      </c>
      <c r="E38" s="39">
        <v>229.63</v>
      </c>
      <c r="F38" s="39">
        <f t="shared" si="5"/>
        <v>1209.3000000000002</v>
      </c>
      <c r="G38" s="39">
        <f t="shared" si="6"/>
        <v>5679.5999999999995</v>
      </c>
      <c r="H38" s="175">
        <f t="shared" si="7"/>
        <v>0.21291992393830553</v>
      </c>
      <c r="I38" s="39"/>
      <c r="J38" s="39">
        <f>F38+$M$91</f>
        <v>1434.0700000000006</v>
      </c>
      <c r="K38" s="39"/>
      <c r="L38" s="152"/>
      <c r="O38" s="78">
        <v>0.92</v>
      </c>
      <c r="P38" s="78">
        <f t="shared" si="4"/>
        <v>218.32520000000002</v>
      </c>
    </row>
    <row r="39" spans="1:17" x14ac:dyDescent="0.25">
      <c r="B39" s="161">
        <v>43103</v>
      </c>
      <c r="C39" s="10">
        <v>20</v>
      </c>
      <c r="D39" s="39">
        <v>164.98249999999999</v>
      </c>
      <c r="E39" s="39">
        <v>245.12</v>
      </c>
      <c r="F39" s="39">
        <f t="shared" si="5"/>
        <v>1602.7500000000005</v>
      </c>
      <c r="G39" s="39">
        <f t="shared" si="6"/>
        <v>3299.6499999999996</v>
      </c>
      <c r="H39" s="175">
        <f t="shared" si="7"/>
        <v>0.4857333353537498</v>
      </c>
      <c r="I39" s="39"/>
      <c r="J39" s="39">
        <f>F39+$M$91</f>
        <v>1827.5200000000009</v>
      </c>
      <c r="K39" s="39"/>
      <c r="L39" s="152"/>
      <c r="O39" s="78">
        <v>0.91</v>
      </c>
      <c r="P39" s="78">
        <f t="shared" si="4"/>
        <v>215.9521</v>
      </c>
    </row>
    <row r="40" spans="1:17" x14ac:dyDescent="0.25">
      <c r="B40" s="161">
        <v>43105</v>
      </c>
      <c r="C40" s="10">
        <v>20</v>
      </c>
      <c r="D40" s="39">
        <v>164.98249999999999</v>
      </c>
      <c r="E40" s="39">
        <v>237.96</v>
      </c>
      <c r="F40" s="39">
        <f t="shared" si="5"/>
        <v>1459.5500000000004</v>
      </c>
      <c r="G40" s="39">
        <f t="shared" si="6"/>
        <v>3299.6499999999996</v>
      </c>
      <c r="H40" s="175">
        <f t="shared" si="7"/>
        <v>0.44233479308411516</v>
      </c>
      <c r="I40" s="39"/>
      <c r="J40" s="39">
        <f>F40+$M$91</f>
        <v>1684.3200000000008</v>
      </c>
      <c r="K40" s="39"/>
      <c r="L40" s="152"/>
      <c r="O40" s="78">
        <v>0.9</v>
      </c>
      <c r="P40" s="78">
        <f t="shared" si="4"/>
        <v>213.57900000000001</v>
      </c>
    </row>
    <row r="41" spans="1:17" x14ac:dyDescent="0.25">
      <c r="A41">
        <v>20</v>
      </c>
      <c r="B41" s="161">
        <v>43108</v>
      </c>
      <c r="C41" s="10">
        <v>35</v>
      </c>
      <c r="D41" s="39">
        <v>193.78139999999999</v>
      </c>
      <c r="E41" s="39">
        <v>231.14</v>
      </c>
      <c r="F41" s="39">
        <f t="shared" si="5"/>
        <v>1307.5509999999999</v>
      </c>
      <c r="G41" s="39">
        <f t="shared" si="6"/>
        <v>6782.3489999999993</v>
      </c>
      <c r="H41" s="175">
        <f t="shared" si="7"/>
        <v>0.19278733665872988</v>
      </c>
      <c r="I41" s="39"/>
      <c r="J41" s="39">
        <v>1532</v>
      </c>
      <c r="K41" s="39"/>
      <c r="L41" s="152"/>
      <c r="Q41" s="2"/>
    </row>
    <row r="42" spans="1:17" x14ac:dyDescent="0.25">
      <c r="B42" s="161">
        <v>43112</v>
      </c>
      <c r="C42" s="10">
        <v>20</v>
      </c>
      <c r="D42" s="39">
        <v>162.9615</v>
      </c>
      <c r="E42" s="39">
        <v>237.35</v>
      </c>
      <c r="F42" s="39">
        <f t="shared" si="5"/>
        <v>1487.77</v>
      </c>
      <c r="G42" s="39">
        <f t="shared" si="6"/>
        <v>3259.23</v>
      </c>
      <c r="H42" s="175">
        <f t="shared" si="7"/>
        <v>0.45647898429997263</v>
      </c>
      <c r="I42" s="39"/>
      <c r="J42" s="39">
        <v>1712.54</v>
      </c>
      <c r="K42" s="39"/>
      <c r="L42" s="152"/>
      <c r="Q42" s="2"/>
    </row>
    <row r="43" spans="1:17" x14ac:dyDescent="0.25">
      <c r="A43">
        <v>5</v>
      </c>
      <c r="B43" s="161">
        <v>43122</v>
      </c>
      <c r="C43" s="10">
        <v>35</v>
      </c>
      <c r="D43" s="39">
        <v>193.35509999999999</v>
      </c>
      <c r="E43" s="39">
        <v>235.01</v>
      </c>
      <c r="F43" s="39">
        <f t="shared" si="5"/>
        <v>1457.9214999999999</v>
      </c>
      <c r="G43" s="39">
        <f t="shared" si="6"/>
        <v>6767.4285</v>
      </c>
      <c r="H43" s="175">
        <f t="shared" si="7"/>
        <v>0.21543212462458969</v>
      </c>
      <c r="I43" s="39"/>
      <c r="J43" s="39">
        <v>1683</v>
      </c>
      <c r="K43" s="39"/>
      <c r="L43" s="152"/>
      <c r="Q43" s="2"/>
    </row>
    <row r="44" spans="1:17" x14ac:dyDescent="0.25">
      <c r="A44">
        <v>5</v>
      </c>
      <c r="B44" s="161">
        <v>43123</v>
      </c>
      <c r="C44" s="10">
        <v>45</v>
      </c>
      <c r="D44" s="39">
        <v>201.24959999999999</v>
      </c>
      <c r="E44" s="39">
        <v>228.79</v>
      </c>
      <c r="F44" s="39">
        <f t="shared" si="5"/>
        <v>1239.3180000000002</v>
      </c>
      <c r="G44" s="39">
        <f t="shared" si="6"/>
        <v>9056.232</v>
      </c>
      <c r="H44" s="175">
        <f t="shared" si="7"/>
        <v>0.13684698006853185</v>
      </c>
      <c r="I44" s="39"/>
      <c r="J44" s="39">
        <v>1464</v>
      </c>
      <c r="K44" s="39"/>
      <c r="L44" s="152"/>
      <c r="Q44" s="2"/>
    </row>
    <row r="45" spans="1:17" x14ac:dyDescent="0.25">
      <c r="B45" s="161">
        <v>43124</v>
      </c>
      <c r="C45" s="10">
        <v>45</v>
      </c>
      <c r="D45" s="39">
        <v>201.24959999999999</v>
      </c>
      <c r="E45" s="39">
        <v>224.31</v>
      </c>
      <c r="F45" s="39">
        <f t="shared" ref="F45:F50" si="8">C45*(E45-D45)</f>
        <v>1037.7180000000008</v>
      </c>
      <c r="G45" s="39">
        <f t="shared" ref="G45:G50" si="9">D45*C45</f>
        <v>9056.232</v>
      </c>
      <c r="H45" s="175">
        <f t="shared" ref="H45:H50" si="10">(E45-D45)/D45</f>
        <v>0.11458606625801998</v>
      </c>
      <c r="I45" s="39"/>
      <c r="J45" s="39">
        <v>1262</v>
      </c>
      <c r="K45" s="39"/>
      <c r="L45" s="152"/>
      <c r="Q45" s="2"/>
    </row>
    <row r="46" spans="1:17" x14ac:dyDescent="0.25">
      <c r="A46">
        <v>5</v>
      </c>
      <c r="B46" s="161">
        <v>43132</v>
      </c>
      <c r="C46" s="10">
        <v>55</v>
      </c>
      <c r="D46" s="39">
        <v>204.66</v>
      </c>
      <c r="E46" s="39">
        <v>219.4</v>
      </c>
      <c r="F46" s="39">
        <f t="shared" si="8"/>
        <v>810.7000000000005</v>
      </c>
      <c r="G46" s="39">
        <f t="shared" si="9"/>
        <v>11256.3</v>
      </c>
      <c r="H46" s="175">
        <f t="shared" si="10"/>
        <v>7.2021889963842511E-2</v>
      </c>
      <c r="I46" s="39"/>
      <c r="J46" s="39">
        <v>1036</v>
      </c>
      <c r="K46" s="39"/>
      <c r="L46" s="152"/>
      <c r="Q46" s="2"/>
    </row>
    <row r="47" spans="1:17" x14ac:dyDescent="0.25">
      <c r="A47">
        <v>5</v>
      </c>
      <c r="B47" s="161">
        <v>43137</v>
      </c>
      <c r="C47" s="7">
        <v>100</v>
      </c>
      <c r="D47" s="43">
        <v>206.1</v>
      </c>
      <c r="E47" s="39">
        <v>218.59</v>
      </c>
      <c r="F47" s="39">
        <f t="shared" si="8"/>
        <v>1249.0000000000009</v>
      </c>
      <c r="G47" s="39">
        <f t="shared" si="9"/>
        <v>20610</v>
      </c>
      <c r="H47" s="175">
        <f t="shared" si="10"/>
        <v>6.060164968461916E-2</v>
      </c>
      <c r="I47" s="39"/>
      <c r="J47" s="39">
        <v>1473</v>
      </c>
      <c r="K47" s="39"/>
      <c r="L47" s="39"/>
      <c r="Q47" s="2"/>
    </row>
    <row r="48" spans="1:17" x14ac:dyDescent="0.25">
      <c r="B48" s="161">
        <v>43140</v>
      </c>
      <c r="C48" s="10">
        <v>110</v>
      </c>
      <c r="D48" s="39">
        <v>206.08</v>
      </c>
      <c r="E48" s="39">
        <v>218.55</v>
      </c>
      <c r="F48" s="39">
        <f t="shared" si="8"/>
        <v>1371.6999999999998</v>
      </c>
      <c r="G48" s="39">
        <f t="shared" si="9"/>
        <v>22668.800000000003</v>
      </c>
      <c r="H48" s="175">
        <f t="shared" si="10"/>
        <v>6.0510481366459618E-2</v>
      </c>
      <c r="I48" s="39"/>
      <c r="J48" s="39"/>
      <c r="K48" s="39"/>
      <c r="L48" s="39"/>
      <c r="Q48" s="2"/>
    </row>
    <row r="49" spans="1:17" x14ac:dyDescent="0.25">
      <c r="A49">
        <v>0</v>
      </c>
      <c r="B49" s="161">
        <v>43140</v>
      </c>
      <c r="C49" s="10">
        <v>55</v>
      </c>
      <c r="D49" s="39">
        <v>195.89</v>
      </c>
      <c r="E49" s="39">
        <v>218.55</v>
      </c>
      <c r="F49" s="39">
        <f t="shared" si="8"/>
        <v>1246.3000000000013</v>
      </c>
      <c r="G49" s="39">
        <f t="shared" si="9"/>
        <v>10773.949999999999</v>
      </c>
      <c r="H49" s="175">
        <f t="shared" si="10"/>
        <v>0.11567716575629193</v>
      </c>
      <c r="I49" s="39"/>
      <c r="J49" s="39">
        <v>1471</v>
      </c>
      <c r="K49" s="39"/>
      <c r="L49" s="39"/>
      <c r="Q49" s="2"/>
    </row>
    <row r="50" spans="1:17" x14ac:dyDescent="0.25">
      <c r="B50" s="161">
        <v>43143</v>
      </c>
      <c r="C50" s="10">
        <v>100</v>
      </c>
      <c r="D50" s="39">
        <v>200.78800000000001</v>
      </c>
      <c r="E50" s="39">
        <v>209.48</v>
      </c>
      <c r="F50" s="39">
        <f t="shared" si="8"/>
        <v>869.19999999999789</v>
      </c>
      <c r="G50" s="39">
        <f t="shared" si="9"/>
        <v>20078.800000000003</v>
      </c>
      <c r="H50" s="175">
        <f t="shared" si="10"/>
        <v>4.328943960794459E-2</v>
      </c>
      <c r="I50" s="39"/>
      <c r="J50" s="39">
        <v>1094</v>
      </c>
      <c r="K50" s="39"/>
      <c r="L50" s="39"/>
      <c r="Q50" s="2"/>
    </row>
    <row r="51" spans="1:17" x14ac:dyDescent="0.25">
      <c r="B51" s="161">
        <v>43150</v>
      </c>
      <c r="C51" s="10">
        <v>100</v>
      </c>
      <c r="D51" s="39">
        <v>200.78800000000001</v>
      </c>
      <c r="E51" s="39">
        <v>203.15</v>
      </c>
      <c r="F51" s="39">
        <f>C51*(E51-D51)</f>
        <v>236.19999999999948</v>
      </c>
      <c r="G51" s="39">
        <f>D51*C51</f>
        <v>20078.800000000003</v>
      </c>
      <c r="H51" s="175">
        <f>(E51-D51)/D51</f>
        <v>1.1763651214215963E-2</v>
      </c>
      <c r="I51" s="39"/>
      <c r="J51" s="39">
        <v>461</v>
      </c>
      <c r="K51" s="39"/>
      <c r="L51" s="39"/>
      <c r="Q51" s="2"/>
    </row>
    <row r="52" spans="1:17" x14ac:dyDescent="0.25">
      <c r="A52" s="29">
        <v>43168</v>
      </c>
      <c r="B52" s="161">
        <v>43156</v>
      </c>
      <c r="C52" s="10">
        <v>100</v>
      </c>
      <c r="D52" s="39">
        <v>200.78800000000001</v>
      </c>
      <c r="E52" s="39">
        <v>207.11</v>
      </c>
      <c r="F52" s="39">
        <f>C52*(E52-D52)</f>
        <v>632.20000000000027</v>
      </c>
      <c r="G52" s="39">
        <f>D52*C52</f>
        <v>20078.800000000003</v>
      </c>
      <c r="H52" s="175">
        <f>(E52-D52)/D52</f>
        <v>3.148594537522164E-2</v>
      </c>
      <c r="I52" s="39"/>
      <c r="J52" s="39">
        <v>857</v>
      </c>
      <c r="K52" s="39"/>
      <c r="L52" s="39"/>
      <c r="Q52" s="2"/>
    </row>
    <row r="53" spans="1:17" x14ac:dyDescent="0.25">
      <c r="B53" s="161">
        <v>43157</v>
      </c>
      <c r="C53" s="10">
        <v>115</v>
      </c>
      <c r="D53" s="39">
        <v>200.63040000000001</v>
      </c>
      <c r="E53" s="39">
        <v>198.93</v>
      </c>
      <c r="F53" s="39">
        <f>C53*(E53-D53)</f>
        <v>-195.54600000000022</v>
      </c>
      <c r="G53" s="39">
        <f>D53*C53</f>
        <v>23072.495999999999</v>
      </c>
      <c r="H53" s="175">
        <f>(E53-D53)/D53</f>
        <v>-8.4752858988468432E-3</v>
      </c>
      <c r="I53" s="39"/>
      <c r="J53" s="39">
        <v>29</v>
      </c>
      <c r="K53" s="39"/>
      <c r="L53" s="39"/>
      <c r="Q53" s="2"/>
    </row>
    <row r="54" spans="1:17" x14ac:dyDescent="0.25">
      <c r="B54" s="161">
        <v>43161</v>
      </c>
      <c r="C54" s="10">
        <v>130</v>
      </c>
      <c r="D54" s="39">
        <v>199.98</v>
      </c>
      <c r="E54" s="39">
        <v>194.98</v>
      </c>
      <c r="F54" s="39">
        <f>C54*(E54-D54)</f>
        <v>-650</v>
      </c>
      <c r="G54" s="39">
        <f>D54*C54</f>
        <v>25997.399999999998</v>
      </c>
      <c r="H54" s="175">
        <f>(E54-D54)/D54</f>
        <v>-2.5002500250025005E-2</v>
      </c>
      <c r="I54" s="39"/>
      <c r="J54" s="39">
        <v>-425</v>
      </c>
      <c r="K54" s="39"/>
      <c r="L54" s="39"/>
    </row>
    <row r="55" spans="1:17" x14ac:dyDescent="0.25">
      <c r="B55" s="161">
        <v>43165</v>
      </c>
      <c r="C55" s="10">
        <v>130</v>
      </c>
      <c r="D55" s="39">
        <v>199.98</v>
      </c>
      <c r="E55" s="39">
        <v>200.22</v>
      </c>
      <c r="F55" s="39">
        <f t="shared" ref="F55:F60" si="11">C55*(E55-D55)</f>
        <v>31.200000000001182</v>
      </c>
      <c r="G55" s="39">
        <f t="shared" ref="G55:G60" si="12">D55*C55</f>
        <v>25997.399999999998</v>
      </c>
      <c r="H55" s="175">
        <f t="shared" ref="H55:H60" si="13">(E55-D55)/D55</f>
        <v>1.2001200120012457E-3</v>
      </c>
      <c r="I55" s="39"/>
      <c r="J55" s="39">
        <v>256</v>
      </c>
      <c r="K55" s="39"/>
      <c r="L55" s="39"/>
    </row>
    <row r="56" spans="1:17" x14ac:dyDescent="0.25">
      <c r="B56" s="161">
        <v>43167</v>
      </c>
      <c r="C56" s="7">
        <v>100</v>
      </c>
      <c r="D56" s="43">
        <v>198.32</v>
      </c>
      <c r="E56" s="39">
        <v>205.5</v>
      </c>
      <c r="F56" s="39">
        <f t="shared" si="11"/>
        <v>718.00000000000068</v>
      </c>
      <c r="G56" s="39">
        <f t="shared" si="12"/>
        <v>19832</v>
      </c>
      <c r="H56" s="175">
        <f t="shared" si="13"/>
        <v>3.6204114562323551E-2</v>
      </c>
      <c r="I56" s="39"/>
      <c r="J56" s="39">
        <v>942</v>
      </c>
      <c r="K56" s="39"/>
      <c r="L56" s="39"/>
    </row>
    <row r="57" spans="1:17" x14ac:dyDescent="0.25">
      <c r="B57" s="161">
        <v>43172</v>
      </c>
      <c r="C57" s="10">
        <v>75</v>
      </c>
      <c r="D57" s="39">
        <v>193.37</v>
      </c>
      <c r="E57" s="39">
        <v>213.18</v>
      </c>
      <c r="F57" s="39">
        <f t="shared" si="11"/>
        <v>1485.7500000000002</v>
      </c>
      <c r="G57" s="39">
        <f t="shared" si="12"/>
        <v>14502.75</v>
      </c>
      <c r="H57" s="175">
        <f t="shared" si="13"/>
        <v>0.10244608781093242</v>
      </c>
      <c r="I57" s="39"/>
      <c r="J57" s="39">
        <v>1710</v>
      </c>
      <c r="K57" s="39"/>
      <c r="L57" s="39"/>
    </row>
    <row r="58" spans="1:17" x14ac:dyDescent="0.25">
      <c r="A58" s="1">
        <v>43174</v>
      </c>
      <c r="B58" s="161">
        <v>43172</v>
      </c>
      <c r="C58" s="7">
        <v>100</v>
      </c>
      <c r="D58" s="43">
        <v>197.35</v>
      </c>
      <c r="E58" s="39">
        <v>208.4</v>
      </c>
      <c r="F58" s="39">
        <f t="shared" si="11"/>
        <v>1105.0000000000011</v>
      </c>
      <c r="G58" s="39">
        <f t="shared" si="12"/>
        <v>19735</v>
      </c>
      <c r="H58" s="175">
        <f t="shared" si="13"/>
        <v>5.5991892576640542E-2</v>
      </c>
      <c r="I58" s="39"/>
      <c r="J58" s="39">
        <v>1330</v>
      </c>
      <c r="K58" s="39"/>
      <c r="L58" s="39"/>
    </row>
    <row r="59" spans="1:17" x14ac:dyDescent="0.25">
      <c r="B59" s="161">
        <v>43176</v>
      </c>
      <c r="C59" s="10">
        <v>55</v>
      </c>
      <c r="D59" s="39">
        <v>178</v>
      </c>
      <c r="E59" s="39">
        <v>221.88</v>
      </c>
      <c r="F59" s="39">
        <f t="shared" si="11"/>
        <v>2413.3999999999996</v>
      </c>
      <c r="G59" s="39">
        <f t="shared" si="12"/>
        <v>9790</v>
      </c>
      <c r="H59" s="175">
        <f t="shared" si="13"/>
        <v>0.24651685393258424</v>
      </c>
      <c r="I59" s="39"/>
      <c r="J59" s="39">
        <v>2638</v>
      </c>
      <c r="K59" s="39"/>
      <c r="L59" s="39"/>
    </row>
    <row r="60" spans="1:17" x14ac:dyDescent="0.25">
      <c r="A60" s="1">
        <v>43188</v>
      </c>
      <c r="B60" s="161">
        <v>43178</v>
      </c>
      <c r="C60" s="10">
        <v>100</v>
      </c>
      <c r="D60" s="39">
        <v>195.5</v>
      </c>
      <c r="E60" s="39">
        <v>216.88</v>
      </c>
      <c r="F60" s="39">
        <f t="shared" si="11"/>
        <v>2137.9999999999995</v>
      </c>
      <c r="G60" s="39">
        <f t="shared" si="12"/>
        <v>19550</v>
      </c>
      <c r="H60" s="175">
        <f t="shared" si="13"/>
        <v>0.10936061381074166</v>
      </c>
      <c r="I60" s="39"/>
      <c r="J60" s="39">
        <v>2363</v>
      </c>
      <c r="K60" s="39"/>
      <c r="L60" s="39"/>
    </row>
    <row r="61" spans="1:17" x14ac:dyDescent="0.25">
      <c r="A61">
        <v>0</v>
      </c>
      <c r="B61" s="161">
        <v>43185</v>
      </c>
      <c r="C61" s="10">
        <v>100</v>
      </c>
      <c r="D61" s="39">
        <v>195.5</v>
      </c>
      <c r="E61" s="39">
        <v>207.9</v>
      </c>
      <c r="F61" s="39">
        <f>C61*(E61-D61)</f>
        <v>1240.0000000000005</v>
      </c>
      <c r="G61" s="39">
        <f>D61*C61</f>
        <v>19550</v>
      </c>
      <c r="H61" s="175">
        <f>(E61-D61)/D61</f>
        <v>6.3427109974424578E-2</v>
      </c>
      <c r="I61" s="39"/>
      <c r="J61" s="39">
        <v>1465</v>
      </c>
      <c r="K61" s="39"/>
      <c r="L61" s="39"/>
    </row>
    <row r="62" spans="1:17" x14ac:dyDescent="0.25">
      <c r="A62">
        <v>0</v>
      </c>
      <c r="B62" s="161">
        <v>43186</v>
      </c>
      <c r="C62" s="7">
        <v>100</v>
      </c>
      <c r="D62" s="43">
        <v>195.5</v>
      </c>
      <c r="E62" s="39">
        <v>204.92</v>
      </c>
      <c r="F62" s="39">
        <f t="shared" ref="F62:F72" si="14">C62*(E62-D62)</f>
        <v>941.99999999999875</v>
      </c>
      <c r="G62" s="39">
        <f t="shared" ref="G62:G68" si="15">D62*C62</f>
        <v>19550</v>
      </c>
      <c r="H62" s="175">
        <f t="shared" ref="H62:H68" si="16">(E62-D62)/D62</f>
        <v>4.8184143222506332E-2</v>
      </c>
      <c r="I62" s="39"/>
      <c r="J62" s="39">
        <v>1167</v>
      </c>
      <c r="K62" s="39"/>
      <c r="L62" s="39"/>
    </row>
    <row r="63" spans="1:17" x14ac:dyDescent="0.25">
      <c r="A63">
        <v>0</v>
      </c>
      <c r="B63" s="161">
        <v>43196</v>
      </c>
      <c r="C63" s="10">
        <v>70</v>
      </c>
      <c r="D63" s="39">
        <v>188.51</v>
      </c>
      <c r="E63" s="39">
        <v>211.8</v>
      </c>
      <c r="F63" s="39">
        <f t="shared" si="14"/>
        <v>1630.3000000000015</v>
      </c>
      <c r="G63" s="39">
        <f t="shared" si="15"/>
        <v>13195.699999999999</v>
      </c>
      <c r="H63" s="175">
        <f t="shared" si="16"/>
        <v>0.12354782239668995</v>
      </c>
      <c r="I63" s="39"/>
      <c r="J63" s="39">
        <v>1855</v>
      </c>
      <c r="K63" s="39"/>
      <c r="L63" s="39"/>
    </row>
    <row r="64" spans="1:17" x14ac:dyDescent="0.25">
      <c r="A64">
        <v>0</v>
      </c>
      <c r="B64" s="161">
        <v>43196</v>
      </c>
      <c r="C64" s="7">
        <v>100</v>
      </c>
      <c r="D64" s="43">
        <v>194.26</v>
      </c>
      <c r="E64" s="39">
        <v>207.68</v>
      </c>
      <c r="F64" s="39">
        <f t="shared" si="14"/>
        <v>1342.0000000000016</v>
      </c>
      <c r="G64" s="39">
        <f t="shared" si="15"/>
        <v>19426</v>
      </c>
      <c r="H64" s="175">
        <f t="shared" si="16"/>
        <v>6.908267270668185E-2</v>
      </c>
      <c r="I64" s="39"/>
      <c r="J64" s="39">
        <v>1566</v>
      </c>
      <c r="K64" s="39"/>
      <c r="L64" s="39"/>
    </row>
    <row r="65" spans="1:12" x14ac:dyDescent="0.25">
      <c r="A65" s="4">
        <v>0</v>
      </c>
      <c r="B65" s="161">
        <v>43196</v>
      </c>
      <c r="C65" s="10">
        <v>70</v>
      </c>
      <c r="D65" s="39">
        <v>187.95</v>
      </c>
      <c r="E65" s="39">
        <v>208.26</v>
      </c>
      <c r="F65" s="39">
        <f t="shared" si="14"/>
        <v>1421.7000000000003</v>
      </c>
      <c r="G65" s="39">
        <f t="shared" si="15"/>
        <v>13156.5</v>
      </c>
      <c r="H65" s="175">
        <f t="shared" si="16"/>
        <v>0.10806065442936953</v>
      </c>
      <c r="I65" s="39"/>
      <c r="J65" s="39">
        <v>1646</v>
      </c>
      <c r="K65" s="39">
        <v>51</v>
      </c>
      <c r="L65" s="39">
        <v>21.27</v>
      </c>
    </row>
    <row r="66" spans="1:12" x14ac:dyDescent="0.25">
      <c r="A66" s="4">
        <v>25</v>
      </c>
      <c r="B66" s="161">
        <v>43210</v>
      </c>
      <c r="C66" s="10">
        <v>55</v>
      </c>
      <c r="D66" s="39">
        <v>175.01</v>
      </c>
      <c r="E66" s="39">
        <v>235.4</v>
      </c>
      <c r="F66" s="39">
        <f t="shared" si="14"/>
        <v>3321.4500000000007</v>
      </c>
      <c r="G66" s="39">
        <f t="shared" si="15"/>
        <v>9625.5499999999993</v>
      </c>
      <c r="H66" s="175">
        <f t="shared" si="16"/>
        <v>0.34506599622878703</v>
      </c>
      <c r="I66" s="39"/>
      <c r="J66" s="39">
        <v>3478</v>
      </c>
      <c r="K66" s="39"/>
      <c r="L66" s="39"/>
    </row>
    <row r="67" spans="1:12" x14ac:dyDescent="0.25">
      <c r="A67" s="4">
        <v>25</v>
      </c>
      <c r="B67" s="161">
        <v>43210</v>
      </c>
      <c r="C67" s="10">
        <v>70</v>
      </c>
      <c r="D67" s="39">
        <v>187.45</v>
      </c>
      <c r="E67" s="39">
        <v>233.08</v>
      </c>
      <c r="F67" s="39">
        <f t="shared" si="14"/>
        <v>3194.1000000000017</v>
      </c>
      <c r="G67" s="39">
        <f t="shared" si="15"/>
        <v>13121.5</v>
      </c>
      <c r="H67" s="175">
        <f t="shared" si="16"/>
        <v>0.24342491331021621</v>
      </c>
      <c r="I67" s="39"/>
      <c r="J67" s="39">
        <v>3419</v>
      </c>
      <c r="K67" s="39"/>
      <c r="L67" s="39"/>
    </row>
    <row r="68" spans="1:12" x14ac:dyDescent="0.25">
      <c r="A68" s="4">
        <v>10</v>
      </c>
      <c r="B68" s="161">
        <v>43210</v>
      </c>
      <c r="C68" s="10">
        <v>55</v>
      </c>
      <c r="D68" s="39">
        <v>174.3</v>
      </c>
      <c r="E68" s="39">
        <v>233.68</v>
      </c>
      <c r="F68" s="39">
        <f t="shared" si="14"/>
        <v>3265.8999999999996</v>
      </c>
      <c r="G68" s="39">
        <f t="shared" si="15"/>
        <v>9586.5</v>
      </c>
      <c r="H68" s="175">
        <f t="shared" si="16"/>
        <v>0.34067699368904181</v>
      </c>
      <c r="I68" s="39">
        <v>170</v>
      </c>
      <c r="J68" s="39">
        <v>3491</v>
      </c>
      <c r="K68" s="39"/>
      <c r="L68" s="39"/>
    </row>
    <row r="69" spans="1:12" x14ac:dyDescent="0.25">
      <c r="A69" s="4">
        <v>0</v>
      </c>
      <c r="B69" s="161">
        <v>43216</v>
      </c>
      <c r="C69" s="10">
        <v>45</v>
      </c>
      <c r="D69" s="39">
        <v>159.1311</v>
      </c>
      <c r="E69" s="39">
        <v>243.61</v>
      </c>
      <c r="F69" s="39">
        <f t="shared" si="14"/>
        <v>3801.5505000000003</v>
      </c>
      <c r="G69" s="39">
        <f t="shared" ref="G69:G76" si="17">D69*C69</f>
        <v>7160.8995000000004</v>
      </c>
      <c r="H69" s="175">
        <f t="shared" ref="H69:H76" si="18">(E69-D69)/D69</f>
        <v>0.53087611409711877</v>
      </c>
      <c r="I69" s="39"/>
      <c r="J69" s="39">
        <v>3491</v>
      </c>
      <c r="K69" s="39"/>
      <c r="L69" s="39"/>
    </row>
    <row r="70" spans="1:12" x14ac:dyDescent="0.25">
      <c r="A70" s="4">
        <v>0</v>
      </c>
      <c r="B70" s="161">
        <v>43217</v>
      </c>
      <c r="C70" s="10">
        <v>45</v>
      </c>
      <c r="D70" s="39">
        <v>159.13</v>
      </c>
      <c r="E70" s="39">
        <v>248.81</v>
      </c>
      <c r="F70" s="39">
        <f t="shared" si="14"/>
        <v>4035.6000000000004</v>
      </c>
      <c r="G70" s="39">
        <f t="shared" si="17"/>
        <v>7160.8499999999995</v>
      </c>
      <c r="H70" s="175">
        <f t="shared" si="18"/>
        <v>0.56356438132344633</v>
      </c>
      <c r="I70" s="39"/>
      <c r="J70" s="39">
        <v>4260</v>
      </c>
      <c r="K70" s="39"/>
      <c r="L70" s="39"/>
    </row>
    <row r="71" spans="1:12" x14ac:dyDescent="0.25">
      <c r="A71" s="4">
        <v>30</v>
      </c>
      <c r="B71" s="161">
        <v>43271</v>
      </c>
      <c r="C71" s="10">
        <v>30</v>
      </c>
      <c r="D71" s="39">
        <v>113.2483</v>
      </c>
      <c r="E71" s="39">
        <v>251.28</v>
      </c>
      <c r="F71" s="39">
        <f t="shared" si="14"/>
        <v>4140.951</v>
      </c>
      <c r="G71" s="39">
        <f t="shared" si="17"/>
        <v>3397.4490000000001</v>
      </c>
      <c r="H71" s="175">
        <f t="shared" si="18"/>
        <v>1.2188412541292011</v>
      </c>
      <c r="I71" s="39"/>
      <c r="J71" s="39">
        <v>4366</v>
      </c>
      <c r="K71" s="39"/>
      <c r="L71" s="39"/>
    </row>
    <row r="72" spans="1:12" x14ac:dyDescent="0.25">
      <c r="A72" s="4">
        <v>30</v>
      </c>
      <c r="B72" s="161">
        <v>43276</v>
      </c>
      <c r="C72" s="10">
        <v>45</v>
      </c>
      <c r="D72" s="39">
        <v>156.16999999999999</v>
      </c>
      <c r="E72" s="39">
        <v>241.61</v>
      </c>
      <c r="F72" s="39">
        <f t="shared" si="14"/>
        <v>3844.8000000000011</v>
      </c>
      <c r="G72" s="39">
        <f t="shared" si="17"/>
        <v>7027.65</v>
      </c>
      <c r="H72" s="175">
        <f t="shared" si="18"/>
        <v>0.54709611320996376</v>
      </c>
      <c r="I72" s="39"/>
      <c r="J72" s="39">
        <v>4070</v>
      </c>
      <c r="K72" s="39"/>
      <c r="L72" s="39"/>
    </row>
    <row r="73" spans="1:12" x14ac:dyDescent="0.25">
      <c r="A73" s="4">
        <v>30</v>
      </c>
      <c r="B73" s="161">
        <v>43277</v>
      </c>
      <c r="C73" s="10">
        <v>45</v>
      </c>
      <c r="D73" s="39">
        <v>156.16999999999999</v>
      </c>
      <c r="E73" s="39">
        <v>236.05</v>
      </c>
      <c r="F73" s="39">
        <f t="shared" ref="F73:F79" si="19">C73*(E73-D73)</f>
        <v>3594.6000000000013</v>
      </c>
      <c r="G73" s="39">
        <f t="shared" si="17"/>
        <v>7027.65</v>
      </c>
      <c r="H73" s="175">
        <f t="shared" si="18"/>
        <v>0.51149388486905312</v>
      </c>
      <c r="I73" s="39"/>
      <c r="J73" s="39">
        <v>3820</v>
      </c>
      <c r="K73" s="39"/>
      <c r="L73" s="39"/>
    </row>
    <row r="74" spans="1:12" x14ac:dyDescent="0.25">
      <c r="A74" s="4"/>
      <c r="B74" s="161">
        <v>43283</v>
      </c>
      <c r="C74" s="181">
        <v>60</v>
      </c>
      <c r="D74" s="182">
        <v>174.87</v>
      </c>
      <c r="E74" s="39">
        <v>232.54</v>
      </c>
      <c r="F74" s="39">
        <f t="shared" si="19"/>
        <v>3460.1999999999994</v>
      </c>
      <c r="G74" s="39">
        <f t="shared" si="17"/>
        <v>10492.2</v>
      </c>
      <c r="H74" s="175">
        <f t="shared" si="18"/>
        <v>0.32978784239720926</v>
      </c>
      <c r="I74" s="39"/>
      <c r="J74" s="39">
        <v>3685</v>
      </c>
      <c r="K74" s="39"/>
      <c r="L74" s="39"/>
    </row>
    <row r="75" spans="1:12" x14ac:dyDescent="0.25">
      <c r="A75" s="4">
        <v>15</v>
      </c>
      <c r="B75" s="161">
        <v>43284</v>
      </c>
      <c r="C75" s="10">
        <v>45</v>
      </c>
      <c r="D75" s="39">
        <v>154.79329999999999</v>
      </c>
      <c r="E75" s="39">
        <v>235</v>
      </c>
      <c r="F75" s="39">
        <f t="shared" si="19"/>
        <v>3609.3015000000005</v>
      </c>
      <c r="G75" s="39">
        <f t="shared" si="17"/>
        <v>6965.6984999999995</v>
      </c>
      <c r="H75" s="175">
        <f t="shared" si="18"/>
        <v>0.5181535634940273</v>
      </c>
      <c r="I75" s="39"/>
      <c r="J75" s="39">
        <v>3834</v>
      </c>
      <c r="K75" s="39"/>
      <c r="L75" s="39"/>
    </row>
    <row r="76" spans="1:12" x14ac:dyDescent="0.25">
      <c r="A76" s="4"/>
      <c r="B76" s="161">
        <v>43287</v>
      </c>
      <c r="C76" s="10">
        <v>30</v>
      </c>
      <c r="D76" s="39">
        <v>110.19</v>
      </c>
      <c r="E76" s="39">
        <v>244</v>
      </c>
      <c r="F76" s="39">
        <f t="shared" si="19"/>
        <v>4014.3</v>
      </c>
      <c r="G76" s="39">
        <f t="shared" si="17"/>
        <v>3305.7</v>
      </c>
      <c r="H76" s="175">
        <f t="shared" si="18"/>
        <v>1.2143570196932572</v>
      </c>
      <c r="I76" s="39"/>
      <c r="J76" s="39">
        <v>4239</v>
      </c>
      <c r="K76" s="39"/>
      <c r="L76" s="39"/>
    </row>
    <row r="77" spans="1:12" x14ac:dyDescent="0.25">
      <c r="A77" s="4">
        <v>0</v>
      </c>
      <c r="B77" s="161">
        <v>43307</v>
      </c>
      <c r="C77" s="10">
        <v>15</v>
      </c>
      <c r="D77" s="39">
        <v>-36.61</v>
      </c>
      <c r="E77" s="39">
        <v>257</v>
      </c>
      <c r="F77" s="39">
        <f t="shared" si="19"/>
        <v>4404.1500000000005</v>
      </c>
      <c r="G77" s="39">
        <f t="shared" ref="G77:G82" si="20">D77*C77</f>
        <v>-549.15</v>
      </c>
      <c r="H77" s="175">
        <f t="shared" ref="H77:H82" si="21">(E77-D77)/D77</f>
        <v>-8.019939907129201</v>
      </c>
      <c r="I77" s="39"/>
      <c r="J77" s="39">
        <v>4629</v>
      </c>
      <c r="K77" s="39"/>
      <c r="L77" s="39"/>
    </row>
    <row r="78" spans="1:12" x14ac:dyDescent="0.25">
      <c r="A78" s="4">
        <v>0</v>
      </c>
      <c r="B78" s="161">
        <v>43307</v>
      </c>
      <c r="C78" s="10">
        <v>30</v>
      </c>
      <c r="D78" s="39">
        <v>107.9833</v>
      </c>
      <c r="E78" s="39">
        <v>252.58</v>
      </c>
      <c r="F78" s="39">
        <f t="shared" si="19"/>
        <v>4337.9009999999998</v>
      </c>
      <c r="G78" s="39">
        <f t="shared" si="20"/>
        <v>3239.4989999999998</v>
      </c>
      <c r="H78" s="175">
        <f t="shared" si="21"/>
        <v>1.3390653925190283</v>
      </c>
      <c r="I78" s="39"/>
      <c r="J78" s="39">
        <v>4563</v>
      </c>
      <c r="K78" s="39"/>
      <c r="L78" s="39"/>
    </row>
    <row r="79" spans="1:12" x14ac:dyDescent="0.25">
      <c r="A79" s="4">
        <v>0</v>
      </c>
      <c r="B79" s="161">
        <v>43313</v>
      </c>
      <c r="C79" s="10">
        <v>45</v>
      </c>
      <c r="D79" s="39">
        <v>152.44890000000001</v>
      </c>
      <c r="E79" s="39">
        <v>238</v>
      </c>
      <c r="F79" s="39">
        <f t="shared" si="19"/>
        <v>3849.7994999999996</v>
      </c>
      <c r="G79" s="39">
        <f t="shared" si="20"/>
        <v>6860.2005000000008</v>
      </c>
      <c r="H79" s="175">
        <f t="shared" si="21"/>
        <v>0.56117886058869548</v>
      </c>
      <c r="I79" s="39"/>
      <c r="J79" s="39">
        <v>4075</v>
      </c>
      <c r="K79" s="39"/>
      <c r="L79" s="39">
        <v>24.31</v>
      </c>
    </row>
    <row r="80" spans="1:12" x14ac:dyDescent="0.25">
      <c r="A80" s="4">
        <v>15</v>
      </c>
      <c r="B80" s="161">
        <v>43320</v>
      </c>
      <c r="C80" s="10">
        <v>45</v>
      </c>
      <c r="D80" s="39">
        <v>152.44890000000001</v>
      </c>
      <c r="E80" s="39">
        <v>236</v>
      </c>
      <c r="F80" s="39">
        <f>C80*(E80-D80)</f>
        <v>3759.7994999999996</v>
      </c>
      <c r="G80" s="39">
        <f t="shared" si="20"/>
        <v>6860.2005000000008</v>
      </c>
      <c r="H80" s="175">
        <f t="shared" si="21"/>
        <v>0.54805971049971491</v>
      </c>
      <c r="I80" s="39"/>
      <c r="J80" s="39">
        <v>3985</v>
      </c>
      <c r="K80" s="39"/>
      <c r="L80" s="39"/>
    </row>
    <row r="81" spans="1:13" x14ac:dyDescent="0.25">
      <c r="A81" s="4">
        <v>15</v>
      </c>
      <c r="B81" s="161">
        <v>43325</v>
      </c>
      <c r="C81" s="10">
        <v>45</v>
      </c>
      <c r="D81" s="39">
        <v>152.44890000000001</v>
      </c>
      <c r="E81" s="39">
        <v>233.44</v>
      </c>
      <c r="F81" s="39">
        <f>C81*(E81-D81)</f>
        <v>3644.5994999999994</v>
      </c>
      <c r="G81" s="39">
        <f t="shared" si="20"/>
        <v>6860.2005000000008</v>
      </c>
      <c r="H81" s="175">
        <f t="shared" si="21"/>
        <v>0.53126719838581971</v>
      </c>
      <c r="I81" s="39"/>
      <c r="J81" s="39">
        <v>3986</v>
      </c>
      <c r="K81" s="39"/>
      <c r="L81" s="39">
        <v>23.84</v>
      </c>
    </row>
    <row r="82" spans="1:13" x14ac:dyDescent="0.25">
      <c r="A82" s="4">
        <v>15</v>
      </c>
      <c r="B82" s="161">
        <v>43332</v>
      </c>
      <c r="C82" s="10">
        <v>45</v>
      </c>
      <c r="D82" s="39">
        <v>152.44999999999999</v>
      </c>
      <c r="E82" s="39">
        <v>239.32</v>
      </c>
      <c r="F82" s="39">
        <f>C82*(E82-D82)</f>
        <v>3909.15</v>
      </c>
      <c r="G82" s="39">
        <f t="shared" si="20"/>
        <v>6860.2499999999991</v>
      </c>
      <c r="H82" s="175">
        <f t="shared" si="21"/>
        <v>0.56982617251557899</v>
      </c>
      <c r="I82" s="39"/>
      <c r="J82" s="39">
        <v>4134</v>
      </c>
      <c r="K82" s="39"/>
      <c r="L82" s="39"/>
    </row>
    <row r="83" spans="1:13" x14ac:dyDescent="0.25">
      <c r="A83" s="4"/>
      <c r="B83" s="161">
        <v>43334</v>
      </c>
      <c r="C83" s="10">
        <v>45</v>
      </c>
      <c r="D83" s="39">
        <v>152.44999999999999</v>
      </c>
      <c r="E83" s="39">
        <v>234.7</v>
      </c>
      <c r="F83" s="39">
        <f>C83*(E83-D83)</f>
        <v>3701.25</v>
      </c>
      <c r="G83" s="39">
        <f>D83*C83</f>
        <v>6860.2499999999991</v>
      </c>
      <c r="H83" s="175">
        <f>(E83-D83)/D83</f>
        <v>0.53952115447687765</v>
      </c>
      <c r="I83" s="39"/>
      <c r="J83" s="39">
        <v>3926</v>
      </c>
      <c r="K83" s="39"/>
      <c r="L83" s="39"/>
    </row>
    <row r="84" spans="1:13" x14ac:dyDescent="0.25">
      <c r="A84" s="4"/>
      <c r="B84" s="161">
        <v>43343</v>
      </c>
      <c r="C84" s="10">
        <v>15</v>
      </c>
      <c r="D84" s="39">
        <v>-46.65</v>
      </c>
      <c r="E84" s="39">
        <v>260</v>
      </c>
      <c r="F84" s="39">
        <f>C84*(E84-D84)</f>
        <v>4599.75</v>
      </c>
      <c r="G84" s="39">
        <f>D84*C84</f>
        <v>-699.75</v>
      </c>
      <c r="H84" s="175">
        <f>(E84-D84)/D84</f>
        <v>-6.573419078242229</v>
      </c>
      <c r="I84" s="39"/>
      <c r="J84" s="760">
        <v>4824</v>
      </c>
      <c r="K84" s="39"/>
      <c r="L84" s="39"/>
    </row>
    <row r="85" spans="1:13" x14ac:dyDescent="0.25">
      <c r="A85" s="4"/>
      <c r="B85" s="161">
        <v>43350</v>
      </c>
      <c r="C85" s="10">
        <v>0</v>
      </c>
      <c r="D85" s="39"/>
      <c r="E85" s="39">
        <v>285.8</v>
      </c>
      <c r="F85" s="39"/>
      <c r="G85" s="39">
        <f>D85*C85</f>
        <v>0</v>
      </c>
      <c r="H85" s="175"/>
      <c r="I85" s="39"/>
      <c r="J85" s="760">
        <v>5079.12</v>
      </c>
      <c r="K85" s="39"/>
      <c r="L85" s="39">
        <v>29.19</v>
      </c>
    </row>
    <row r="86" spans="1:13" x14ac:dyDescent="0.25">
      <c r="A86" s="4"/>
      <c r="B86" s="161"/>
      <c r="C86" s="10"/>
      <c r="D86" s="39"/>
      <c r="E86" s="39"/>
      <c r="F86" s="39"/>
      <c r="G86" s="39"/>
      <c r="H86" s="175"/>
      <c r="I86" s="39"/>
      <c r="J86" s="39"/>
      <c r="K86" s="39"/>
      <c r="L86" s="39"/>
    </row>
    <row r="87" spans="1:13" x14ac:dyDescent="0.25">
      <c r="A87" s="4"/>
      <c r="B87" s="161"/>
      <c r="C87" s="10"/>
      <c r="D87" s="39"/>
      <c r="E87" s="39"/>
      <c r="F87" s="39"/>
      <c r="G87" s="39"/>
      <c r="H87" s="175"/>
      <c r="I87" s="39"/>
      <c r="J87" s="39"/>
      <c r="K87" s="39"/>
      <c r="L87" s="39"/>
    </row>
    <row r="88" spans="1:13" x14ac:dyDescent="0.25">
      <c r="A88" s="4"/>
      <c r="B88" s="161"/>
      <c r="C88" s="10"/>
      <c r="D88" s="39"/>
      <c r="E88" s="39"/>
      <c r="F88" s="39"/>
      <c r="G88" s="39"/>
      <c r="H88" s="175"/>
      <c r="I88" s="39"/>
      <c r="J88" s="39"/>
      <c r="K88" s="39"/>
      <c r="L88" s="39"/>
    </row>
    <row r="89" spans="1:13" x14ac:dyDescent="0.25">
      <c r="A89" s="4"/>
      <c r="B89" s="161"/>
      <c r="C89" s="10"/>
      <c r="D89" s="39"/>
      <c r="E89" s="39"/>
      <c r="F89" s="39"/>
      <c r="G89" s="39"/>
      <c r="H89" s="175"/>
      <c r="I89" s="39"/>
      <c r="J89" s="39"/>
      <c r="K89" s="39"/>
      <c r="L89" s="39"/>
    </row>
    <row r="90" spans="1:13" x14ac:dyDescent="0.25">
      <c r="A90" s="4"/>
      <c r="B90" s="4"/>
      <c r="C90" s="4"/>
      <c r="D90" s="3"/>
      <c r="E90" s="3"/>
      <c r="F90" s="3"/>
      <c r="G90" s="4"/>
      <c r="H90" s="4"/>
      <c r="I90" s="3"/>
      <c r="J90" s="3"/>
      <c r="K90" s="3"/>
      <c r="L90" s="4"/>
    </row>
    <row r="91" spans="1:13" x14ac:dyDescent="0.25">
      <c r="A91" s="478"/>
      <c r="B91" s="478"/>
      <c r="C91" s="478"/>
      <c r="D91" s="479"/>
      <c r="E91" s="479"/>
      <c r="F91" s="479"/>
      <c r="G91" s="478"/>
      <c r="H91" s="478"/>
      <c r="I91" s="479"/>
      <c r="J91" s="479"/>
      <c r="K91" s="479"/>
      <c r="L91" s="478" t="s">
        <v>65</v>
      </c>
      <c r="M91" s="479">
        <f>M109+K109-F109</f>
        <v>224.77000000000044</v>
      </c>
    </row>
    <row r="92" spans="1:13" x14ac:dyDescent="0.25">
      <c r="A92" s="597" t="s">
        <v>1</v>
      </c>
      <c r="B92" s="597" t="s">
        <v>2</v>
      </c>
      <c r="C92" s="597" t="s">
        <v>4</v>
      </c>
      <c r="D92" s="598" t="s">
        <v>5</v>
      </c>
      <c r="E92" s="598" t="s">
        <v>94</v>
      </c>
      <c r="F92" s="598" t="s">
        <v>60</v>
      </c>
      <c r="G92" s="597" t="s">
        <v>3</v>
      </c>
      <c r="H92" s="597" t="s">
        <v>6</v>
      </c>
      <c r="I92" s="598" t="s">
        <v>7</v>
      </c>
      <c r="J92" s="598" t="s">
        <v>95</v>
      </c>
      <c r="K92" s="598" t="s">
        <v>61</v>
      </c>
      <c r="L92" s="597" t="s">
        <v>37</v>
      </c>
      <c r="M92" s="597" t="s">
        <v>38</v>
      </c>
    </row>
    <row r="93" spans="1:13" x14ac:dyDescent="0.25">
      <c r="A93" s="599" t="s">
        <v>625</v>
      </c>
      <c r="B93" s="481">
        <v>42972</v>
      </c>
      <c r="C93" s="478">
        <v>15</v>
      </c>
      <c r="D93" s="479">
        <v>210.01</v>
      </c>
      <c r="E93" s="479">
        <v>0</v>
      </c>
      <c r="F93" s="479">
        <f>C93*D93+E93</f>
        <v>3150.1499999999996</v>
      </c>
      <c r="G93" s="481">
        <v>43005</v>
      </c>
      <c r="H93" s="478">
        <v>15</v>
      </c>
      <c r="I93" s="479">
        <v>225</v>
      </c>
      <c r="J93" s="479">
        <v>0.08</v>
      </c>
      <c r="K93" s="479">
        <f>H93*I93-J93</f>
        <v>3374.92</v>
      </c>
      <c r="L93" s="481"/>
      <c r="M93" s="479"/>
    </row>
    <row r="94" spans="1:13" x14ac:dyDescent="0.25">
      <c r="A94" s="600"/>
      <c r="B94" s="481"/>
      <c r="C94" s="478"/>
      <c r="D94" s="479"/>
      <c r="E94" s="479"/>
      <c r="F94" s="479"/>
      <c r="G94" s="481"/>
      <c r="H94" s="480"/>
      <c r="I94" s="479"/>
      <c r="J94" s="479"/>
      <c r="K94" s="479"/>
      <c r="L94" s="478"/>
      <c r="M94" s="478"/>
    </row>
    <row r="95" spans="1:13" x14ac:dyDescent="0.25">
      <c r="A95" s="478"/>
      <c r="B95" s="481"/>
      <c r="C95" s="478"/>
      <c r="D95" s="479"/>
      <c r="E95" s="479"/>
      <c r="F95" s="479"/>
      <c r="G95" s="481"/>
      <c r="H95" s="480"/>
      <c r="I95" s="479"/>
      <c r="J95" s="479"/>
      <c r="K95" s="479"/>
      <c r="L95" s="478"/>
      <c r="M95" s="478"/>
    </row>
    <row r="96" spans="1:13" x14ac:dyDescent="0.25">
      <c r="A96" s="478"/>
      <c r="B96" s="481"/>
      <c r="C96" s="478"/>
      <c r="D96" s="479"/>
      <c r="E96" s="479"/>
      <c r="F96" s="479"/>
      <c r="G96" s="478"/>
      <c r="H96" s="480"/>
      <c r="I96" s="479"/>
      <c r="J96" s="479"/>
      <c r="K96" s="479"/>
      <c r="L96" s="478"/>
      <c r="M96" s="478"/>
    </row>
    <row r="97" spans="1:13" x14ac:dyDescent="0.25">
      <c r="A97" s="478"/>
      <c r="B97" s="481"/>
      <c r="C97" s="478"/>
      <c r="D97" s="479"/>
      <c r="E97" s="479"/>
      <c r="F97" s="479"/>
      <c r="G97" s="478"/>
      <c r="H97" s="480"/>
      <c r="I97" s="479"/>
      <c r="J97" s="479"/>
      <c r="K97" s="479"/>
      <c r="L97" s="478"/>
      <c r="M97" s="478"/>
    </row>
    <row r="98" spans="1:13" x14ac:dyDescent="0.25">
      <c r="A98" s="478"/>
      <c r="B98" s="478"/>
      <c r="C98" s="478"/>
      <c r="D98" s="479"/>
      <c r="E98" s="479"/>
      <c r="F98" s="479"/>
      <c r="G98" s="478"/>
      <c r="H98" s="480"/>
      <c r="I98" s="479"/>
      <c r="J98" s="479"/>
      <c r="K98" s="479"/>
      <c r="L98" s="478"/>
      <c r="M98" s="478"/>
    </row>
    <row r="99" spans="1:13" x14ac:dyDescent="0.25">
      <c r="A99" s="478"/>
      <c r="B99" s="478"/>
      <c r="C99" s="478"/>
      <c r="D99" s="479"/>
      <c r="E99" s="479"/>
      <c r="F99" s="479"/>
      <c r="G99" s="478"/>
      <c r="H99" s="480"/>
      <c r="I99" s="479"/>
      <c r="J99" s="479"/>
      <c r="K99" s="479"/>
      <c r="L99" s="478"/>
      <c r="M99" s="478"/>
    </row>
    <row r="100" spans="1:13" x14ac:dyDescent="0.25">
      <c r="A100" s="478"/>
      <c r="B100" s="478"/>
      <c r="C100" s="478"/>
      <c r="D100" s="479"/>
      <c r="E100" s="479"/>
      <c r="F100" s="479"/>
      <c r="G100" s="478"/>
      <c r="H100" s="480"/>
      <c r="I100" s="479"/>
      <c r="J100" s="479"/>
      <c r="K100" s="479"/>
      <c r="L100" s="478"/>
      <c r="M100" s="478"/>
    </row>
    <row r="101" spans="1:13" x14ac:dyDescent="0.25">
      <c r="A101" s="478"/>
      <c r="B101" s="478"/>
      <c r="C101" s="478"/>
      <c r="D101" s="479"/>
      <c r="E101" s="479"/>
      <c r="F101" s="479"/>
      <c r="G101" s="478"/>
      <c r="H101" s="480"/>
      <c r="I101" s="479"/>
      <c r="J101" s="479"/>
      <c r="K101" s="479"/>
      <c r="L101" s="478"/>
      <c r="M101" s="478"/>
    </row>
    <row r="102" spans="1:13" x14ac:dyDescent="0.25">
      <c r="A102" s="478"/>
      <c r="B102" s="478"/>
      <c r="C102" s="478"/>
      <c r="D102" s="479"/>
      <c r="E102" s="479"/>
      <c r="F102" s="479"/>
      <c r="G102" s="478"/>
      <c r="H102" s="480"/>
      <c r="I102" s="479"/>
      <c r="J102" s="479"/>
      <c r="K102" s="479"/>
      <c r="L102" s="478"/>
      <c r="M102" s="478"/>
    </row>
    <row r="103" spans="1:13" x14ac:dyDescent="0.25">
      <c r="A103" s="478"/>
      <c r="B103" s="478"/>
      <c r="C103" s="478"/>
      <c r="D103" s="479"/>
      <c r="E103" s="479"/>
      <c r="F103" s="479"/>
      <c r="G103" s="478"/>
      <c r="H103" s="480"/>
      <c r="I103" s="479"/>
      <c r="J103" s="479"/>
      <c r="K103" s="479"/>
      <c r="L103" s="478"/>
      <c r="M103" s="478"/>
    </row>
    <row r="104" spans="1:13" x14ac:dyDescent="0.25">
      <c r="A104" s="478"/>
      <c r="B104" s="478"/>
      <c r="C104" s="478"/>
      <c r="D104" s="479"/>
      <c r="E104" s="479"/>
      <c r="F104" s="479"/>
      <c r="G104" s="478"/>
      <c r="H104" s="480"/>
      <c r="I104" s="479"/>
      <c r="J104" s="479"/>
      <c r="K104" s="479"/>
      <c r="L104" s="478"/>
      <c r="M104" s="478"/>
    </row>
    <row r="105" spans="1:13" x14ac:dyDescent="0.25">
      <c r="A105" s="478"/>
      <c r="B105" s="478"/>
      <c r="C105" s="478"/>
      <c r="D105" s="479"/>
      <c r="E105" s="479"/>
      <c r="F105" s="479"/>
      <c r="G105" s="478"/>
      <c r="H105" s="480"/>
      <c r="I105" s="479"/>
      <c r="J105" s="479"/>
      <c r="K105" s="479"/>
      <c r="L105" s="478"/>
      <c r="M105" s="478"/>
    </row>
    <row r="106" spans="1:13" x14ac:dyDescent="0.25">
      <c r="A106" s="478"/>
      <c r="B106" s="478"/>
      <c r="C106" s="478"/>
      <c r="D106" s="479"/>
      <c r="E106" s="479"/>
      <c r="F106" s="479"/>
      <c r="G106" s="478"/>
      <c r="H106" s="480"/>
      <c r="I106" s="479"/>
      <c r="J106" s="479"/>
      <c r="K106" s="479"/>
      <c r="L106" s="478"/>
      <c r="M106" s="478"/>
    </row>
    <row r="107" spans="1:13" x14ac:dyDescent="0.25">
      <c r="A107" s="478"/>
      <c r="B107" s="478"/>
      <c r="C107" s="478"/>
      <c r="D107" s="479"/>
      <c r="E107" s="479"/>
      <c r="F107" s="479"/>
      <c r="G107" s="478"/>
      <c r="H107" s="480"/>
      <c r="I107" s="479"/>
      <c r="J107" s="479"/>
      <c r="K107" s="479"/>
      <c r="L107" s="478"/>
      <c r="M107" s="478"/>
    </row>
    <row r="108" spans="1:13" x14ac:dyDescent="0.25">
      <c r="A108" s="478"/>
      <c r="B108" s="478"/>
      <c r="C108" s="478"/>
      <c r="D108" s="479"/>
      <c r="E108" s="479"/>
      <c r="F108" s="479"/>
      <c r="G108" s="478"/>
      <c r="H108" s="478"/>
      <c r="I108" s="479"/>
      <c r="J108" s="479"/>
      <c r="K108" s="479"/>
      <c r="L108" s="478"/>
      <c r="M108" s="478"/>
    </row>
    <row r="109" spans="1:13" x14ac:dyDescent="0.25">
      <c r="A109" s="601" t="s">
        <v>81</v>
      </c>
      <c r="B109" s="602"/>
      <c r="C109" s="602">
        <f>SUM(C93:C97)</f>
        <v>15</v>
      </c>
      <c r="D109" s="603"/>
      <c r="E109" s="603"/>
      <c r="F109" s="603">
        <f>SUM(F93:F97)</f>
        <v>3150.1499999999996</v>
      </c>
      <c r="G109" s="602"/>
      <c r="H109" s="604">
        <f>SUM(H93:H96)</f>
        <v>15</v>
      </c>
      <c r="I109" s="603"/>
      <c r="J109" s="603"/>
      <c r="K109" s="603">
        <f>SUM(K93:K96)</f>
        <v>3374.92</v>
      </c>
      <c r="L109" s="602"/>
      <c r="M109" s="603">
        <f>SUM(M93:M101)</f>
        <v>0</v>
      </c>
    </row>
    <row r="110" spans="1:13" ht="15.75" thickBot="1" x14ac:dyDescent="0.3">
      <c r="A110" s="605" t="s">
        <v>189</v>
      </c>
      <c r="B110" s="637"/>
      <c r="C110" s="606">
        <f>SumByColor($A$30,C93:C108)</f>
        <v>0</v>
      </c>
      <c r="D110" s="606"/>
      <c r="E110" s="606"/>
      <c r="F110" s="607">
        <f>SumByColor($A$30,F93:F108)</f>
        <v>0</v>
      </c>
      <c r="G110" s="606"/>
      <c r="H110" s="606">
        <f>SumByColor($A$30,H93:H108)</f>
        <v>0</v>
      </c>
      <c r="I110" s="606"/>
      <c r="J110" s="606"/>
      <c r="K110" s="607">
        <f>SumByColor($A$30,K94:K108)</f>
        <v>0</v>
      </c>
      <c r="L110" s="606"/>
      <c r="M110" s="607">
        <f>SumByColor($A$30,M93:M108)</f>
        <v>0</v>
      </c>
    </row>
    <row r="113" spans="2:12" x14ac:dyDescent="0.25">
      <c r="B113" s="159" t="s">
        <v>113</v>
      </c>
      <c r="C113" s="159" t="s">
        <v>143</v>
      </c>
      <c r="D113" s="160" t="s">
        <v>142</v>
      </c>
      <c r="E113" s="162" t="s">
        <v>144</v>
      </c>
      <c r="F113" s="162" t="s">
        <v>65</v>
      </c>
      <c r="G113" s="173" t="s">
        <v>148</v>
      </c>
      <c r="H113" s="173" t="s">
        <v>88</v>
      </c>
      <c r="I113" s="173" t="s">
        <v>151</v>
      </c>
      <c r="J113" s="173" t="s">
        <v>147</v>
      </c>
      <c r="K113" s="173" t="s">
        <v>601</v>
      </c>
      <c r="L113" s="173" t="s">
        <v>607</v>
      </c>
    </row>
    <row r="114" spans="2:12" x14ac:dyDescent="0.25">
      <c r="B114" s="161">
        <v>42972</v>
      </c>
      <c r="C114" s="10">
        <v>15</v>
      </c>
      <c r="D114" s="39">
        <v>210.01</v>
      </c>
      <c r="E114" s="39">
        <v>212.36</v>
      </c>
      <c r="F114" s="39">
        <f>C114*(E114-D114)</f>
        <v>35.250000000000341</v>
      </c>
      <c r="G114" s="39">
        <f>D114*C114</f>
        <v>3150.1499999999996</v>
      </c>
      <c r="H114" s="175">
        <f>(E114-D114)/D114</f>
        <v>1.1189943336031726E-2</v>
      </c>
      <c r="I114" s="39"/>
      <c r="J114" s="39"/>
      <c r="K114" s="39"/>
      <c r="L114" s="39"/>
    </row>
    <row r="115" spans="2:12" x14ac:dyDescent="0.25">
      <c r="B115" s="161">
        <v>42983</v>
      </c>
      <c r="C115" s="10">
        <v>15</v>
      </c>
      <c r="D115" s="39">
        <v>210.01</v>
      </c>
      <c r="E115" s="39">
        <v>223.9</v>
      </c>
      <c r="F115" s="39">
        <f>C115*(E115-D115)</f>
        <v>208.35000000000022</v>
      </c>
      <c r="G115" s="39">
        <f>D115*C115</f>
        <v>3150.1499999999996</v>
      </c>
      <c r="H115" s="175">
        <f>(E115-D115)/D115</f>
        <v>6.6139707632969932E-2</v>
      </c>
      <c r="I115" s="39"/>
      <c r="J115" s="39"/>
      <c r="K115" s="39"/>
      <c r="L115" s="39"/>
    </row>
    <row r="116" spans="2:12" x14ac:dyDescent="0.25">
      <c r="B116" s="161">
        <v>43005</v>
      </c>
      <c r="C116" s="10">
        <v>0</v>
      </c>
      <c r="D116" s="39"/>
      <c r="E116" s="39"/>
      <c r="F116" s="39">
        <v>224.77</v>
      </c>
      <c r="G116" s="39"/>
      <c r="H116" s="175"/>
      <c r="I116" s="39"/>
      <c r="J116" s="39"/>
      <c r="K116" s="39"/>
      <c r="L116" s="152"/>
    </row>
    <row r="117" spans="2:12" x14ac:dyDescent="0.25">
      <c r="B117" s="161"/>
      <c r="C117" s="10"/>
      <c r="D117" s="39"/>
      <c r="E117" s="39"/>
      <c r="F117" s="39"/>
      <c r="G117" s="39"/>
      <c r="H117" s="175"/>
      <c r="I117" s="39"/>
      <c r="J117" s="39"/>
      <c r="K117" s="39"/>
      <c r="L117" s="152"/>
    </row>
    <row r="118" spans="2:12" x14ac:dyDescent="0.25">
      <c r="B118" s="161"/>
      <c r="C118" s="10"/>
      <c r="D118" s="39"/>
      <c r="E118" s="39"/>
      <c r="F118" s="39"/>
      <c r="G118" s="39"/>
      <c r="H118" s="175"/>
      <c r="I118" s="39"/>
      <c r="J118" s="39"/>
      <c r="K118" s="39"/>
      <c r="L118" s="152"/>
    </row>
    <row r="119" spans="2:12" x14ac:dyDescent="0.25">
      <c r="B119" s="161"/>
      <c r="C119" s="10"/>
      <c r="D119" s="39"/>
      <c r="E119" s="39"/>
      <c r="F119" s="39"/>
      <c r="G119" s="39"/>
      <c r="H119" s="175"/>
      <c r="I119" s="39"/>
      <c r="J119" s="39"/>
      <c r="K119" s="39"/>
      <c r="L119" s="152"/>
    </row>
    <row r="120" spans="2:12" x14ac:dyDescent="0.25">
      <c r="B120" s="161"/>
      <c r="C120" s="10"/>
      <c r="D120" s="39"/>
      <c r="E120" s="39"/>
      <c r="F120" s="39"/>
      <c r="G120" s="39"/>
      <c r="H120" s="175"/>
      <c r="I120" s="39"/>
      <c r="J120" s="39"/>
      <c r="K120" s="39"/>
      <c r="L120" s="152"/>
    </row>
    <row r="121" spans="2:12" x14ac:dyDescent="0.25">
      <c r="B121" s="161"/>
      <c r="C121" s="10"/>
      <c r="D121" s="39"/>
      <c r="E121" s="39"/>
      <c r="F121" s="39"/>
      <c r="G121" s="39"/>
      <c r="H121" s="175"/>
      <c r="I121" s="39"/>
      <c r="J121" s="39"/>
      <c r="K121" s="39"/>
      <c r="L121" s="152"/>
    </row>
    <row r="122" spans="2:12" x14ac:dyDescent="0.25">
      <c r="B122" s="161"/>
      <c r="C122" s="10"/>
      <c r="D122" s="39"/>
      <c r="E122" s="39"/>
      <c r="F122" s="39"/>
      <c r="G122" s="39"/>
      <c r="H122" s="175"/>
      <c r="I122" s="39"/>
      <c r="J122" s="39"/>
      <c r="K122" s="39"/>
      <c r="L122" s="152"/>
    </row>
    <row r="123" spans="2:12" x14ac:dyDescent="0.25">
      <c r="B123" s="161"/>
      <c r="C123" s="10"/>
      <c r="D123" s="39"/>
      <c r="E123" s="39"/>
      <c r="F123" s="39"/>
      <c r="G123" s="39"/>
      <c r="H123" s="175"/>
      <c r="I123" s="39"/>
      <c r="J123" s="39"/>
      <c r="K123" s="39"/>
      <c r="L123" s="152"/>
    </row>
    <row r="124" spans="2:12" x14ac:dyDescent="0.25">
      <c r="B124" s="161"/>
      <c r="C124" s="10"/>
      <c r="D124" s="39"/>
      <c r="E124" s="39"/>
      <c r="F124" s="39"/>
      <c r="G124" s="39"/>
      <c r="H124" s="175"/>
      <c r="I124" s="39"/>
      <c r="J124" s="39"/>
      <c r="K124" s="39"/>
      <c r="L124" s="152"/>
    </row>
    <row r="125" spans="2:12" x14ac:dyDescent="0.25">
      <c r="B125" s="161"/>
      <c r="C125" s="10"/>
      <c r="D125" s="39"/>
      <c r="E125" s="39"/>
      <c r="F125" s="39"/>
      <c r="G125" s="39"/>
      <c r="H125" s="175"/>
      <c r="I125" s="39"/>
      <c r="J125" s="39"/>
      <c r="K125" s="39"/>
      <c r="L125" s="39"/>
    </row>
    <row r="126" spans="2:12" x14ac:dyDescent="0.25">
      <c r="B126" s="161"/>
      <c r="C126" s="10"/>
      <c r="D126" s="39"/>
      <c r="E126" s="39"/>
      <c r="F126" s="39"/>
      <c r="G126" s="39"/>
      <c r="H126" s="175"/>
      <c r="I126" s="39"/>
      <c r="J126" s="39"/>
      <c r="K126" s="39"/>
      <c r="L126" s="39"/>
    </row>
    <row r="127" spans="2:12" x14ac:dyDescent="0.25">
      <c r="B127" s="161"/>
      <c r="C127" s="10"/>
      <c r="D127" s="39"/>
      <c r="E127" s="39"/>
      <c r="F127" s="39"/>
      <c r="G127" s="39"/>
      <c r="H127" s="175"/>
      <c r="I127" s="39"/>
      <c r="J127" s="39"/>
      <c r="K127" s="39"/>
      <c r="L127" s="39"/>
    </row>
    <row r="128" spans="2:12" x14ac:dyDescent="0.25">
      <c r="B128" s="161"/>
      <c r="C128" s="10"/>
      <c r="D128" s="39"/>
      <c r="E128" s="39"/>
      <c r="F128" s="39"/>
      <c r="G128" s="39"/>
      <c r="H128" s="175"/>
      <c r="I128" s="39"/>
      <c r="J128" s="39"/>
      <c r="K128" s="39"/>
      <c r="L128" s="39"/>
    </row>
    <row r="129" spans="2:12" x14ac:dyDescent="0.25">
      <c r="B129" s="161"/>
      <c r="C129" s="10"/>
      <c r="D129" s="39"/>
      <c r="E129" s="39"/>
      <c r="F129" s="39"/>
      <c r="G129" s="39"/>
      <c r="H129" s="175"/>
      <c r="I129" s="39"/>
      <c r="J129" s="39"/>
      <c r="K129" s="39"/>
      <c r="L129" s="39"/>
    </row>
    <row r="130" spans="2:12" x14ac:dyDescent="0.25">
      <c r="B130" s="161"/>
      <c r="C130" s="10"/>
      <c r="D130" s="39"/>
      <c r="E130" s="39"/>
      <c r="F130" s="39"/>
      <c r="G130" s="39"/>
      <c r="H130" s="175"/>
      <c r="I130" s="39"/>
      <c r="J130" s="39"/>
      <c r="K130" s="39"/>
      <c r="L130" s="39"/>
    </row>
    <row r="131" spans="2:12" x14ac:dyDescent="0.25">
      <c r="B131" s="161"/>
      <c r="C131" s="10"/>
      <c r="D131" s="39"/>
      <c r="E131" s="39"/>
      <c r="F131" s="39"/>
      <c r="G131" s="39"/>
      <c r="H131" s="175"/>
      <c r="I131" s="39"/>
      <c r="J131" s="39"/>
      <c r="K131" s="39"/>
      <c r="L131" s="39"/>
    </row>
    <row r="132" spans="2:12" x14ac:dyDescent="0.25">
      <c r="B132" s="161"/>
      <c r="C132" s="10"/>
      <c r="D132" s="39"/>
      <c r="E132" s="39"/>
      <c r="F132" s="39"/>
      <c r="G132" s="39"/>
      <c r="H132" s="175"/>
      <c r="I132" s="39"/>
      <c r="J132" s="39"/>
      <c r="K132" s="39"/>
      <c r="L132" s="39"/>
    </row>
    <row r="133" spans="2:12" x14ac:dyDescent="0.25">
      <c r="B133" s="161"/>
      <c r="C133" s="10"/>
      <c r="D133" s="39"/>
      <c r="E133" s="39"/>
      <c r="F133" s="39"/>
      <c r="G133" s="39"/>
      <c r="H133" s="175"/>
      <c r="I133" s="39"/>
      <c r="J133" s="39"/>
      <c r="K133" s="39"/>
      <c r="L133" s="39"/>
    </row>
    <row r="134" spans="2:12" x14ac:dyDescent="0.25">
      <c r="B134" s="161"/>
      <c r="C134" s="10"/>
      <c r="D134" s="39"/>
      <c r="E134" s="39"/>
      <c r="F134" s="39"/>
      <c r="G134" s="39"/>
      <c r="H134" s="175"/>
      <c r="I134" s="39"/>
      <c r="J134" s="39"/>
      <c r="K134" s="39"/>
      <c r="L134" s="39"/>
    </row>
    <row r="135" spans="2:12" x14ac:dyDescent="0.25">
      <c r="B135" s="161"/>
      <c r="C135" s="10"/>
      <c r="D135" s="39"/>
      <c r="E135" s="39"/>
      <c r="F135" s="39"/>
      <c r="G135" s="39"/>
      <c r="H135" s="175"/>
      <c r="I135" s="39"/>
      <c r="J135" s="39"/>
      <c r="K135" s="39"/>
      <c r="L135" s="39"/>
    </row>
  </sheetData>
  <mergeCells count="1">
    <mergeCell ref="O19:P19"/>
  </mergeCells>
  <conditionalFormatting sqref="O20:O40">
    <cfRule type="colorScale" priority="52">
      <colorScale>
        <cfvo type="min"/>
        <cfvo type="percentile" val="50"/>
        <cfvo type="max"/>
        <color rgb="FFF8696B"/>
        <color rgb="FFFFEB84"/>
        <color rgb="FF63BE7B"/>
      </colorScale>
    </cfRule>
  </conditionalFormatting>
  <conditionalFormatting sqref="P20:P40">
    <cfRule type="colorScale" priority="51">
      <colorScale>
        <cfvo type="min"/>
        <cfvo type="percentile" val="50"/>
        <cfvo type="max"/>
        <color rgb="FFF8696B"/>
        <color rgb="FFFFEB84"/>
        <color rgb="FF63BE7B"/>
      </colorScale>
    </cfRule>
  </conditionalFormatting>
  <conditionalFormatting sqref="Q7 F63:F73 H63:H73 J63:J73 J76:J78 H76:H78 F76:F78 J83 F87:F89 H87:H89 J87:J89">
    <cfRule type="expression" dxfId="425" priority="47">
      <formula>F7&gt;0</formula>
    </cfRule>
    <cfRule type="expression" dxfId="424" priority="48">
      <formula>F7&lt;0</formula>
    </cfRule>
  </conditionalFormatting>
  <conditionalFormatting sqref="Q8">
    <cfRule type="expression" dxfId="423" priority="45">
      <formula>Q8&gt;0</formula>
    </cfRule>
    <cfRule type="expression" dxfId="422" priority="46">
      <formula>Q8&lt;0</formula>
    </cfRule>
  </conditionalFormatting>
  <conditionalFormatting sqref="F41:F60">
    <cfRule type="expression" dxfId="421" priority="43">
      <formula>F41&gt;0</formula>
    </cfRule>
    <cfRule type="expression" dxfId="420" priority="44">
      <formula>F41&lt;0</formula>
    </cfRule>
  </conditionalFormatting>
  <conditionalFormatting sqref="H41:H60">
    <cfRule type="expression" dxfId="419" priority="41">
      <formula>H41&gt;0</formula>
    </cfRule>
    <cfRule type="expression" dxfId="418" priority="42">
      <formula>H41&lt;0</formula>
    </cfRule>
  </conditionalFormatting>
  <conditionalFormatting sqref="Q10">
    <cfRule type="expression" dxfId="417" priority="35">
      <formula>Q10&gt;0</formula>
    </cfRule>
    <cfRule type="expression" dxfId="416" priority="36">
      <formula>Q10&lt;0</formula>
    </cfRule>
  </conditionalFormatting>
  <conditionalFormatting sqref="J36:J60">
    <cfRule type="expression" dxfId="415" priority="33">
      <formula>J36&gt;0</formula>
    </cfRule>
    <cfRule type="expression" dxfId="414" priority="34">
      <formula>J36&lt;0</formula>
    </cfRule>
  </conditionalFormatting>
  <conditionalFormatting sqref="K36:K49">
    <cfRule type="expression" dxfId="413" priority="31">
      <formula>K36&gt;0</formula>
    </cfRule>
    <cfRule type="expression" dxfId="412" priority="32">
      <formula>K36&lt;0</formula>
    </cfRule>
  </conditionalFormatting>
  <conditionalFormatting sqref="L36:L49">
    <cfRule type="expression" dxfId="411" priority="29">
      <formula>L36&gt;0</formula>
    </cfRule>
    <cfRule type="expression" dxfId="410" priority="30">
      <formula>L36&lt;0</formula>
    </cfRule>
  </conditionalFormatting>
  <conditionalFormatting sqref="F114:F135">
    <cfRule type="expression" dxfId="409" priority="27">
      <formula>F114&gt;0</formula>
    </cfRule>
    <cfRule type="expression" dxfId="408" priority="28">
      <formula>F114&lt;0</formula>
    </cfRule>
  </conditionalFormatting>
  <conditionalFormatting sqref="H114:H135">
    <cfRule type="expression" dxfId="407" priority="25">
      <formula>H114&gt;0</formula>
    </cfRule>
    <cfRule type="expression" dxfId="406" priority="26">
      <formula>H114&lt;0</formula>
    </cfRule>
  </conditionalFormatting>
  <conditionalFormatting sqref="J114:J127">
    <cfRule type="expression" dxfId="405" priority="23">
      <formula>J114&gt;0</formula>
    </cfRule>
    <cfRule type="expression" dxfId="404" priority="24">
      <formula>J114&lt;0</formula>
    </cfRule>
  </conditionalFormatting>
  <conditionalFormatting sqref="K114:K127">
    <cfRule type="expression" dxfId="403" priority="21">
      <formula>K114&gt;0</formula>
    </cfRule>
    <cfRule type="expression" dxfId="402" priority="22">
      <formula>K114&lt;0</formula>
    </cfRule>
  </conditionalFormatting>
  <conditionalFormatting sqref="L114:L127">
    <cfRule type="expression" dxfId="401" priority="19">
      <formula>L114&gt;0</formula>
    </cfRule>
    <cfRule type="expression" dxfId="400" priority="20">
      <formula>L114&lt;0</formula>
    </cfRule>
  </conditionalFormatting>
  <conditionalFormatting sqref="F36:F40">
    <cfRule type="expression" dxfId="399" priority="17">
      <formula>F36&gt;0</formula>
    </cfRule>
    <cfRule type="expression" dxfId="398" priority="18">
      <formula>F36&lt;0</formula>
    </cfRule>
  </conditionalFormatting>
  <conditionalFormatting sqref="H36:H40">
    <cfRule type="expression" dxfId="397" priority="15">
      <formula>H36&gt;0</formula>
    </cfRule>
    <cfRule type="expression" dxfId="396" priority="16">
      <formula>H36&lt;0</formula>
    </cfRule>
  </conditionalFormatting>
  <conditionalFormatting sqref="F61:F62">
    <cfRule type="expression" dxfId="395" priority="13">
      <formula>F61&gt;0</formula>
    </cfRule>
    <cfRule type="expression" dxfId="394" priority="14">
      <formula>F61&lt;0</formula>
    </cfRule>
  </conditionalFormatting>
  <conditionalFormatting sqref="H61:H62">
    <cfRule type="expression" dxfId="393" priority="11">
      <formula>H61&gt;0</formula>
    </cfRule>
    <cfRule type="expression" dxfId="392" priority="12">
      <formula>H61&lt;0</formula>
    </cfRule>
  </conditionalFormatting>
  <conditionalFormatting sqref="J61:J62">
    <cfRule type="expression" dxfId="391" priority="9">
      <formula>J61&gt;0</formula>
    </cfRule>
    <cfRule type="expression" dxfId="390" priority="10">
      <formula>J61&lt;0</formula>
    </cfRule>
  </conditionalFormatting>
  <conditionalFormatting sqref="J74:J75 H74:H75 F74:F75">
    <cfRule type="expression" dxfId="389" priority="7">
      <formula>F74&gt;0</formula>
    </cfRule>
    <cfRule type="expression" dxfId="388" priority="8">
      <formula>F74&lt;0</formula>
    </cfRule>
  </conditionalFormatting>
  <conditionalFormatting sqref="J79:J82 F79:F83 H79:H83">
    <cfRule type="expression" dxfId="387" priority="3">
      <formula>F79&gt;0</formula>
    </cfRule>
    <cfRule type="expression" dxfId="386" priority="4">
      <formula>F79&lt;0</formula>
    </cfRule>
  </conditionalFormatting>
  <conditionalFormatting sqref="J84:J86 F84:F86 H84:H86">
    <cfRule type="expression" dxfId="385" priority="1">
      <formula>F84&gt;0</formula>
    </cfRule>
    <cfRule type="expression" dxfId="384" priority="2">
      <formula>F84&lt;0</formula>
    </cfRule>
  </conditionalFormatting>
  <hyperlinks>
    <hyperlink ref="A3" location="ACTIVE!A1" display="Back"/>
  </hyperlinks>
  <pageMargins left="0.7" right="0.7" top="0.75" bottom="0.75" header="0.3" footer="0.3"/>
  <pageSetup orientation="portrait" r:id="rId1"/>
  <drawing r:id="rId2"/>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1343</v>
      </c>
      <c r="B2" s="360">
        <v>43601</v>
      </c>
      <c r="C2" s="7">
        <v>200</v>
      </c>
      <c r="D2" s="43">
        <v>29.07</v>
      </c>
      <c r="E2" s="43">
        <v>0</v>
      </c>
      <c r="F2" s="43">
        <f>C2*D2+E2</f>
        <v>5814</v>
      </c>
      <c r="G2" s="69">
        <v>43686</v>
      </c>
      <c r="H2" s="881">
        <v>300</v>
      </c>
      <c r="I2" s="43">
        <v>28.68</v>
      </c>
      <c r="J2" s="43">
        <v>0.18</v>
      </c>
      <c r="K2" s="43">
        <f>H2*I2-J2</f>
        <v>8603.82</v>
      </c>
      <c r="L2" s="69">
        <v>43663</v>
      </c>
      <c r="M2" s="3">
        <v>64</v>
      </c>
      <c r="O2" s="11" t="s">
        <v>57</v>
      </c>
      <c r="Q2">
        <f>C18-H18</f>
        <v>0</v>
      </c>
      <c r="T2" s="1"/>
    </row>
    <row r="3" spans="1:21" x14ac:dyDescent="0.25">
      <c r="A3" s="22" t="s">
        <v>71</v>
      </c>
      <c r="B3" s="485">
        <v>43634</v>
      </c>
      <c r="C3" s="7">
        <v>100</v>
      </c>
      <c r="D3" s="43">
        <v>28.28</v>
      </c>
      <c r="E3" s="43">
        <v>0</v>
      </c>
      <c r="F3" s="43">
        <f>C3*D3+E3</f>
        <v>2828</v>
      </c>
      <c r="G3" s="69">
        <v>43687</v>
      </c>
      <c r="H3" s="881">
        <v>100</v>
      </c>
      <c r="I3" s="43">
        <v>27.78</v>
      </c>
      <c r="J3" s="43">
        <v>0.06</v>
      </c>
      <c r="K3" s="43">
        <f>H3*I3-J3</f>
        <v>2777.94</v>
      </c>
      <c r="L3" s="4"/>
      <c r="M3" s="4"/>
      <c r="O3" s="11" t="s">
        <v>58</v>
      </c>
      <c r="Q3" s="174">
        <f>IF(Q2=0, Q4, (F18-K18-M18)/Q2)</f>
        <v>29.84</v>
      </c>
      <c r="T3" s="1"/>
    </row>
    <row r="4" spans="1:21" x14ac:dyDescent="0.25">
      <c r="B4" s="485">
        <v>43634</v>
      </c>
      <c r="C4" s="7">
        <v>100</v>
      </c>
      <c r="D4" s="43">
        <v>28.28</v>
      </c>
      <c r="E4" s="43">
        <v>0</v>
      </c>
      <c r="F4" s="43">
        <f>C4*D4+E4</f>
        <v>2828</v>
      </c>
      <c r="G4" s="69">
        <v>43732</v>
      </c>
      <c r="H4" s="881">
        <v>100</v>
      </c>
      <c r="I4" s="43">
        <v>29.48</v>
      </c>
      <c r="J4" s="43">
        <v>0.06</v>
      </c>
      <c r="K4" s="43">
        <f t="shared" ref="K4:K5" si="0">H4*I4-J4</f>
        <v>2947.94</v>
      </c>
      <c r="L4" s="4"/>
      <c r="M4" s="4"/>
      <c r="O4" s="11" t="s">
        <v>66</v>
      </c>
      <c r="Q4" s="53">
        <v>29.84</v>
      </c>
      <c r="R4" s="416">
        <v>-5.4000000000000003E-3</v>
      </c>
      <c r="T4" s="680"/>
      <c r="U4" s="30"/>
    </row>
    <row r="5" spans="1:21" x14ac:dyDescent="0.25">
      <c r="B5" s="360">
        <v>43661</v>
      </c>
      <c r="C5" s="7">
        <v>100</v>
      </c>
      <c r="D5" s="43">
        <v>27.28</v>
      </c>
      <c r="E5" s="43">
        <v>0</v>
      </c>
      <c r="F5" s="43">
        <f>C5*D5+E5</f>
        <v>2728</v>
      </c>
      <c r="G5" s="69">
        <v>43732</v>
      </c>
      <c r="H5" s="881">
        <v>100</v>
      </c>
      <c r="I5" s="43">
        <v>29.88</v>
      </c>
      <c r="J5" s="43">
        <v>0.06</v>
      </c>
      <c r="K5" s="43">
        <f t="shared" si="0"/>
        <v>2987.94</v>
      </c>
      <c r="L5" s="4"/>
      <c r="M5" s="4"/>
      <c r="O5" s="11" t="s">
        <v>67</v>
      </c>
      <c r="Q5" s="3">
        <f>Q4*Q2</f>
        <v>0</v>
      </c>
    </row>
    <row r="6" spans="1:21" x14ac:dyDescent="0.25">
      <c r="B6" s="360">
        <v>43699</v>
      </c>
      <c r="C6" s="7">
        <v>100</v>
      </c>
      <c r="D6" s="43">
        <v>26.8</v>
      </c>
      <c r="E6" s="43">
        <v>0</v>
      </c>
      <c r="F6" s="43">
        <f>C6*D6+E6</f>
        <v>2680</v>
      </c>
      <c r="G6" s="69"/>
      <c r="H6" s="158"/>
      <c r="I6" s="3"/>
      <c r="J6" s="3"/>
      <c r="K6" s="3"/>
      <c r="L6" s="4"/>
      <c r="M6" s="4"/>
      <c r="O6" s="11" t="s">
        <v>64</v>
      </c>
      <c r="Q6" s="2">
        <f>Q3*Q2</f>
        <v>0</v>
      </c>
    </row>
    <row r="7" spans="1:21" x14ac:dyDescent="0.25">
      <c r="B7" s="69"/>
      <c r="C7" s="4"/>
      <c r="D7" s="3"/>
      <c r="E7" s="3"/>
      <c r="F7" s="3"/>
      <c r="G7" s="69"/>
      <c r="H7" s="158"/>
      <c r="I7" s="3"/>
      <c r="J7" s="3"/>
      <c r="K7" s="3"/>
      <c r="L7" s="4"/>
      <c r="M7" s="4"/>
      <c r="O7" s="11" t="s">
        <v>175</v>
      </c>
      <c r="Q7" s="2">
        <f>Q10+Q8</f>
        <v>503.63999999999942</v>
      </c>
      <c r="R7">
        <v>0</v>
      </c>
      <c r="T7" s="1"/>
    </row>
    <row r="8" spans="1:21" x14ac:dyDescent="0.25">
      <c r="B8" s="69"/>
      <c r="C8" s="4"/>
      <c r="D8" s="3"/>
      <c r="E8" s="3"/>
      <c r="F8" s="3"/>
      <c r="G8" s="69"/>
      <c r="H8" s="158"/>
      <c r="I8" s="3"/>
      <c r="J8" s="3"/>
      <c r="K8" s="3"/>
      <c r="L8" s="4"/>
      <c r="M8" s="4"/>
      <c r="O8" s="11" t="s">
        <v>177</v>
      </c>
      <c r="P8" s="33"/>
      <c r="Q8" s="2">
        <f>K18+M18-F18+Q2*Q4</f>
        <v>503.63999999999942</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2.9490616621983913E-2</v>
      </c>
      <c r="R11">
        <f>0.88/4</f>
        <v>0.22</v>
      </c>
    </row>
    <row r="12" spans="1:21" x14ac:dyDescent="0.25">
      <c r="H12" s="67"/>
      <c r="O12" s="11" t="s">
        <v>875</v>
      </c>
      <c r="Q12" s="1" t="s">
        <v>1356</v>
      </c>
    </row>
    <row r="13" spans="1:21" x14ac:dyDescent="0.25">
      <c r="H13" s="67"/>
      <c r="O13" s="11" t="s">
        <v>901</v>
      </c>
      <c r="Q13" s="2">
        <f>Q4/4.4</f>
        <v>6.7818181818181813</v>
      </c>
      <c r="T13" s="1"/>
    </row>
    <row r="14" spans="1:21" x14ac:dyDescent="0.25">
      <c r="H14" s="67"/>
      <c r="O14" s="11" t="s">
        <v>988</v>
      </c>
      <c r="Q14" s="1"/>
    </row>
    <row r="15" spans="1:21" x14ac:dyDescent="0.25">
      <c r="H15" s="67"/>
    </row>
    <row r="16" spans="1:21" ht="20.25" thickBot="1" x14ac:dyDescent="0.35">
      <c r="H16" s="67"/>
      <c r="O16" s="886" t="s">
        <v>78</v>
      </c>
      <c r="P16" s="886"/>
    </row>
    <row r="17" spans="1:16" ht="15.75" thickTop="1" x14ac:dyDescent="0.25">
      <c r="O17" s="78">
        <v>1.1000000000000001</v>
      </c>
      <c r="P17" s="78">
        <f>O17*$Q$4</f>
        <v>32.824000000000005</v>
      </c>
    </row>
    <row r="18" spans="1:16" x14ac:dyDescent="0.25">
      <c r="A18" s="31" t="s">
        <v>81</v>
      </c>
      <c r="B18" s="14"/>
      <c r="C18" s="14">
        <f>SUM(C2:C9)</f>
        <v>600</v>
      </c>
      <c r="D18" s="18"/>
      <c r="E18" s="18"/>
      <c r="F18" s="18">
        <f>SUM(F2:F9)</f>
        <v>16878</v>
      </c>
      <c r="G18" s="14"/>
      <c r="H18" s="68">
        <f>SUM(H2:H8)</f>
        <v>600</v>
      </c>
      <c r="I18" s="18"/>
      <c r="J18" s="18"/>
      <c r="K18" s="18">
        <f>SUM(K2:K8)</f>
        <v>17317.64</v>
      </c>
      <c r="L18" s="14"/>
      <c r="M18" s="18">
        <f>SUM(M2:M10)</f>
        <v>64</v>
      </c>
      <c r="O18" s="78">
        <v>1.0900000000000001</v>
      </c>
      <c r="P18" s="78">
        <f t="shared" ref="P18:P37" si="1">O18*$Q$4</f>
        <v>32.525600000000004</v>
      </c>
    </row>
    <row r="19" spans="1:16" ht="15.75" thickBot="1" x14ac:dyDescent="0.3">
      <c r="A19" s="273" t="s">
        <v>189</v>
      </c>
      <c r="B19" s="274"/>
      <c r="C19" s="275">
        <f>SumByColor($A$19,C2:C17)</f>
        <v>600</v>
      </c>
      <c r="D19" s="275"/>
      <c r="E19" s="275"/>
      <c r="F19" s="276">
        <f>SumByColor($A$19,F2:F17)</f>
        <v>16878</v>
      </c>
      <c r="G19" s="275"/>
      <c r="H19" s="275">
        <f>SumByColor($A$19,H2:H17)</f>
        <v>0</v>
      </c>
      <c r="I19" s="275"/>
      <c r="J19" s="275"/>
      <c r="K19" s="276">
        <f>SumByColor($A$19,K2:K17)</f>
        <v>17318</v>
      </c>
      <c r="L19" s="275"/>
      <c r="M19" s="276">
        <f>SumByColor($A$19,M2:M17)</f>
        <v>0</v>
      </c>
      <c r="O19" s="78">
        <v>1.08</v>
      </c>
      <c r="P19" s="78">
        <f t="shared" si="1"/>
        <v>32.227200000000003</v>
      </c>
    </row>
    <row r="20" spans="1:16" x14ac:dyDescent="0.25">
      <c r="O20" s="78">
        <v>1.07</v>
      </c>
      <c r="P20" s="78">
        <f t="shared" si="1"/>
        <v>31.928800000000003</v>
      </c>
    </row>
    <row r="21" spans="1:16" x14ac:dyDescent="0.25">
      <c r="O21" s="78">
        <v>1.06</v>
      </c>
      <c r="P21" s="78">
        <f t="shared" si="1"/>
        <v>31.630400000000002</v>
      </c>
    </row>
    <row r="22" spans="1:16" x14ac:dyDescent="0.25">
      <c r="O22" s="78">
        <v>1.05</v>
      </c>
      <c r="P22" s="78">
        <f t="shared" si="1"/>
        <v>31.332000000000001</v>
      </c>
    </row>
    <row r="23" spans="1:16" x14ac:dyDescent="0.25">
      <c r="O23" s="78">
        <v>1.04</v>
      </c>
      <c r="P23" s="78">
        <f t="shared" si="1"/>
        <v>31.0336</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1"/>
        <v>30.735199999999999</v>
      </c>
    </row>
    <row r="25" spans="1:16" x14ac:dyDescent="0.25">
      <c r="B25" s="161">
        <v>43634</v>
      </c>
      <c r="C25" s="10">
        <v>400</v>
      </c>
      <c r="D25" s="39">
        <v>28.675000000000001</v>
      </c>
      <c r="E25" s="39">
        <v>27.89</v>
      </c>
      <c r="F25" s="39">
        <f t="shared" ref="F25" si="2">C25*(E25-D25)</f>
        <v>-314.00000000000006</v>
      </c>
      <c r="G25" s="39">
        <f t="shared" ref="G25" si="3">D25*C25</f>
        <v>11470</v>
      </c>
      <c r="H25" s="175">
        <f t="shared" ref="H25" si="4">(E25-D25)/D25</f>
        <v>-2.7375762859633831E-2</v>
      </c>
      <c r="I25" s="39"/>
      <c r="J25" s="39"/>
      <c r="K25" s="39"/>
      <c r="L25" s="39"/>
      <c r="O25" s="78">
        <v>1.02</v>
      </c>
      <c r="P25" s="78">
        <f t="shared" si="1"/>
        <v>30.436800000000002</v>
      </c>
    </row>
    <row r="26" spans="1:16" x14ac:dyDescent="0.25">
      <c r="B26" s="161">
        <v>43661</v>
      </c>
      <c r="C26" s="10">
        <v>500</v>
      </c>
      <c r="D26" s="39">
        <v>28.396000000000001</v>
      </c>
      <c r="E26" s="39">
        <v>27.48</v>
      </c>
      <c r="F26" s="39">
        <f t="shared" ref="F26:F31" si="5">C26*(E26-D26)</f>
        <v>-458.00000000000017</v>
      </c>
      <c r="G26" s="39">
        <f t="shared" ref="G26:G31" si="6">D26*C26</f>
        <v>14198</v>
      </c>
      <c r="H26" s="175">
        <f t="shared" ref="H26:H31" si="7">(E26-D26)/D26</f>
        <v>-3.2258064516129045E-2</v>
      </c>
      <c r="I26" s="39"/>
      <c r="J26" s="39"/>
      <c r="K26" s="39"/>
      <c r="L26" s="39"/>
      <c r="O26" s="78">
        <v>1.01</v>
      </c>
      <c r="P26" s="78">
        <f t="shared" si="1"/>
        <v>30.138400000000001</v>
      </c>
    </row>
    <row r="27" spans="1:16" x14ac:dyDescent="0.25">
      <c r="B27" s="161">
        <v>43663</v>
      </c>
      <c r="C27" s="10">
        <v>500</v>
      </c>
      <c r="D27" s="39">
        <v>28.268000000000001</v>
      </c>
      <c r="E27" s="39">
        <v>26.94</v>
      </c>
      <c r="F27" s="39">
        <f t="shared" si="5"/>
        <v>-663.99999999999966</v>
      </c>
      <c r="G27" s="39">
        <f t="shared" si="6"/>
        <v>14134</v>
      </c>
      <c r="H27" s="175">
        <f t="shared" si="7"/>
        <v>-4.6978916088863711E-2</v>
      </c>
      <c r="I27" s="39"/>
      <c r="J27" s="39"/>
      <c r="K27" s="39"/>
      <c r="L27" s="39"/>
      <c r="O27" s="78">
        <v>1</v>
      </c>
      <c r="P27" s="78">
        <f t="shared" si="1"/>
        <v>29.84</v>
      </c>
    </row>
    <row r="28" spans="1:16" x14ac:dyDescent="0.25">
      <c r="B28" s="161">
        <v>43686</v>
      </c>
      <c r="C28" s="10">
        <v>200</v>
      </c>
      <c r="D28" s="39">
        <v>27.6509</v>
      </c>
      <c r="E28" s="39">
        <v>27.85</v>
      </c>
      <c r="F28" s="39">
        <f t="shared" si="5"/>
        <v>39.820000000000277</v>
      </c>
      <c r="G28" s="39">
        <f t="shared" si="6"/>
        <v>5530.18</v>
      </c>
      <c r="H28" s="175">
        <f t="shared" si="7"/>
        <v>7.2004889533433406E-3</v>
      </c>
      <c r="I28" s="39"/>
      <c r="J28" s="39"/>
      <c r="K28" s="39"/>
      <c r="L28" s="39"/>
      <c r="O28" s="78">
        <v>0.99</v>
      </c>
      <c r="P28" s="78">
        <f t="shared" si="1"/>
        <v>29.541599999999999</v>
      </c>
    </row>
    <row r="29" spans="1:16" x14ac:dyDescent="0.25">
      <c r="B29" s="161">
        <v>43702</v>
      </c>
      <c r="C29" s="7">
        <v>300</v>
      </c>
      <c r="D29" s="43">
        <v>27.3673</v>
      </c>
      <c r="E29" s="39">
        <v>26.26</v>
      </c>
      <c r="F29" s="39">
        <f t="shared" si="5"/>
        <v>-332.1899999999996</v>
      </c>
      <c r="G29" s="39">
        <f t="shared" si="6"/>
        <v>8210.19</v>
      </c>
      <c r="H29" s="175">
        <f t="shared" si="7"/>
        <v>-4.0460695793885351E-2</v>
      </c>
      <c r="I29" s="39"/>
      <c r="J29" s="39"/>
      <c r="K29" s="39"/>
      <c r="L29" s="39"/>
      <c r="O29" s="78">
        <v>0.98</v>
      </c>
      <c r="P29" s="78">
        <f t="shared" si="1"/>
        <v>29.243199999999998</v>
      </c>
    </row>
    <row r="30" spans="1:16" x14ac:dyDescent="0.25">
      <c r="B30" s="161">
        <v>43718</v>
      </c>
      <c r="C30" s="10">
        <v>200</v>
      </c>
      <c r="D30" s="39">
        <v>27.161200000000001</v>
      </c>
      <c r="E30" s="39">
        <v>27.78</v>
      </c>
      <c r="F30" s="39">
        <f t="shared" si="5"/>
        <v>123.76000000000005</v>
      </c>
      <c r="G30" s="39">
        <f t="shared" si="6"/>
        <v>5432.24</v>
      </c>
      <c r="H30" s="175">
        <f t="shared" si="7"/>
        <v>2.2782498564128249E-2</v>
      </c>
      <c r="I30" s="39"/>
      <c r="J30" s="39"/>
      <c r="K30" s="39"/>
      <c r="L30" s="39"/>
      <c r="O30" s="78">
        <v>0.97</v>
      </c>
      <c r="P30" s="78">
        <f t="shared" si="1"/>
        <v>28.944800000000001</v>
      </c>
    </row>
    <row r="31" spans="1:16" x14ac:dyDescent="0.25">
      <c r="B31" s="161">
        <v>43732</v>
      </c>
      <c r="C31" s="10">
        <v>0</v>
      </c>
      <c r="D31" s="39">
        <v>27.16</v>
      </c>
      <c r="E31" s="39">
        <v>29.84</v>
      </c>
      <c r="F31" s="39">
        <f t="shared" si="5"/>
        <v>0</v>
      </c>
      <c r="G31" s="39">
        <f t="shared" si="6"/>
        <v>0</v>
      </c>
      <c r="H31" s="175">
        <f t="shared" si="7"/>
        <v>9.8674521354933709E-2</v>
      </c>
      <c r="I31" s="39"/>
      <c r="J31" s="39">
        <v>503.64</v>
      </c>
      <c r="K31" s="39"/>
      <c r="L31" s="39"/>
      <c r="O31" s="78">
        <v>0.96</v>
      </c>
      <c r="P31" s="78">
        <f t="shared" si="1"/>
        <v>28.6464</v>
      </c>
    </row>
    <row r="32" spans="1:16" x14ac:dyDescent="0.25">
      <c r="B32" s="161"/>
      <c r="C32" s="10"/>
      <c r="D32" s="39"/>
      <c r="E32" s="39"/>
      <c r="F32" s="39"/>
      <c r="G32" s="39"/>
      <c r="H32" s="175"/>
      <c r="I32" s="39"/>
      <c r="J32" s="39"/>
      <c r="K32" s="39"/>
      <c r="L32" s="39"/>
      <c r="O32" s="78">
        <v>0.95</v>
      </c>
      <c r="P32" s="78">
        <f t="shared" si="1"/>
        <v>28.347999999999999</v>
      </c>
    </row>
    <row r="33" spans="2:17" x14ac:dyDescent="0.25">
      <c r="B33" s="161"/>
      <c r="C33" s="10"/>
      <c r="D33" s="39"/>
      <c r="E33" s="39"/>
      <c r="F33" s="39"/>
      <c r="G33" s="39"/>
      <c r="H33" s="175"/>
      <c r="I33" s="39"/>
      <c r="J33" s="39"/>
      <c r="K33" s="39"/>
      <c r="L33" s="39"/>
      <c r="O33" s="78">
        <v>0.94</v>
      </c>
      <c r="P33" s="78">
        <f t="shared" si="1"/>
        <v>28.049599999999998</v>
      </c>
    </row>
    <row r="34" spans="2:17" x14ac:dyDescent="0.25">
      <c r="B34" s="161"/>
      <c r="C34" s="10"/>
      <c r="D34" s="39"/>
      <c r="E34" s="39"/>
      <c r="F34" s="39"/>
      <c r="G34" s="39"/>
      <c r="H34" s="175"/>
      <c r="I34" s="39"/>
      <c r="J34" s="39"/>
      <c r="K34" s="39"/>
      <c r="L34" s="39"/>
      <c r="O34" s="78">
        <v>0.93</v>
      </c>
      <c r="P34" s="78">
        <f t="shared" si="1"/>
        <v>27.751200000000001</v>
      </c>
    </row>
    <row r="35" spans="2:17" x14ac:dyDescent="0.25">
      <c r="B35" s="161"/>
      <c r="C35" s="10"/>
      <c r="D35" s="39"/>
      <c r="E35" s="39"/>
      <c r="F35" s="39"/>
      <c r="G35" s="39"/>
      <c r="H35" s="175"/>
      <c r="I35" s="39"/>
      <c r="J35" s="39"/>
      <c r="K35" s="39"/>
      <c r="L35" s="39"/>
      <c r="O35" s="78">
        <v>0.92</v>
      </c>
      <c r="P35" s="78">
        <f t="shared" si="1"/>
        <v>27.4528</v>
      </c>
    </row>
    <row r="36" spans="2:17" x14ac:dyDescent="0.25">
      <c r="B36" s="161"/>
      <c r="C36" s="10"/>
      <c r="D36" s="39"/>
      <c r="E36" s="39"/>
      <c r="F36" s="39"/>
      <c r="G36" s="39"/>
      <c r="H36" s="175"/>
      <c r="I36" s="39"/>
      <c r="J36" s="39"/>
      <c r="K36" s="39"/>
      <c r="L36" s="39"/>
      <c r="O36" s="78">
        <v>0.91</v>
      </c>
      <c r="P36" s="78">
        <f t="shared" si="1"/>
        <v>27.154400000000003</v>
      </c>
    </row>
    <row r="37" spans="2:17" x14ac:dyDescent="0.25">
      <c r="B37" s="161"/>
      <c r="C37" s="10"/>
      <c r="D37" s="39"/>
      <c r="E37" s="39"/>
      <c r="F37" s="39"/>
      <c r="G37" s="39"/>
      <c r="H37" s="175"/>
      <c r="I37" s="39"/>
      <c r="J37" s="39"/>
      <c r="K37" s="39"/>
      <c r="L37" s="39"/>
      <c r="O37" s="78">
        <v>0.9</v>
      </c>
      <c r="P37" s="78">
        <f t="shared" si="1"/>
        <v>26.856000000000002</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760"/>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60"/>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383" priority="47">
      <formula>F54&gt;0</formula>
    </cfRule>
    <cfRule type="expression" dxfId="382" priority="48">
      <formula>F54&lt;0</formula>
    </cfRule>
  </conditionalFormatting>
  <conditionalFormatting sqref="Q7">
    <cfRule type="expression" dxfId="381" priority="45">
      <formula>Q7&gt;0</formula>
    </cfRule>
    <cfRule type="expression" dxfId="380" priority="46">
      <formula>Q7&lt;0</formula>
    </cfRule>
  </conditionalFormatting>
  <conditionalFormatting sqref="Q8">
    <cfRule type="expression" dxfId="379" priority="43">
      <formula>Q8&gt;0</formula>
    </cfRule>
    <cfRule type="expression" dxfId="378" priority="44">
      <formula>Q8&lt;0</formula>
    </cfRule>
  </conditionalFormatting>
  <conditionalFormatting sqref="F33:F36 F38:F53">
    <cfRule type="expression" dxfId="377" priority="41">
      <formula>F33&gt;0</formula>
    </cfRule>
    <cfRule type="expression" dxfId="376" priority="42">
      <formula>F33&lt;0</formula>
    </cfRule>
  </conditionalFormatting>
  <conditionalFormatting sqref="H33:H36 H38:H53">
    <cfRule type="expression" dxfId="375" priority="39">
      <formula>H33&gt;0</formula>
    </cfRule>
    <cfRule type="expression" dxfId="374" priority="40">
      <formula>H33&lt;0</formula>
    </cfRule>
  </conditionalFormatting>
  <conditionalFormatting sqref="Q10">
    <cfRule type="expression" dxfId="373" priority="37">
      <formula>Q10&gt;0</formula>
    </cfRule>
    <cfRule type="expression" dxfId="372" priority="38">
      <formula>Q10&lt;0</formula>
    </cfRule>
  </conditionalFormatting>
  <conditionalFormatting sqref="J25:J37">
    <cfRule type="expression" dxfId="371" priority="35">
      <formula>J25&gt;0</formula>
    </cfRule>
    <cfRule type="expression" dxfId="370" priority="36">
      <formula>J25&lt;0</formula>
    </cfRule>
  </conditionalFormatting>
  <conditionalFormatting sqref="K25:K38">
    <cfRule type="expression" dxfId="369" priority="33">
      <formula>K25&gt;0</formula>
    </cfRule>
    <cfRule type="expression" dxfId="368" priority="34">
      <formula>K25&lt;0</formula>
    </cfRule>
  </conditionalFormatting>
  <conditionalFormatting sqref="L25">
    <cfRule type="expression" dxfId="367" priority="31">
      <formula>L25&gt;0</formula>
    </cfRule>
    <cfRule type="expression" dxfId="366" priority="32">
      <formula>L25&lt;0</formula>
    </cfRule>
  </conditionalFormatting>
  <conditionalFormatting sqref="F89:F110">
    <cfRule type="expression" dxfId="365" priority="29">
      <formula>F89&gt;0</formula>
    </cfRule>
    <cfRule type="expression" dxfId="364" priority="30">
      <formula>F89&lt;0</formula>
    </cfRule>
  </conditionalFormatting>
  <conditionalFormatting sqref="H89:H110">
    <cfRule type="expression" dxfId="363" priority="27">
      <formula>H89&gt;0</formula>
    </cfRule>
    <cfRule type="expression" dxfId="362" priority="28">
      <formula>H89&lt;0</formula>
    </cfRule>
  </conditionalFormatting>
  <conditionalFormatting sqref="J89:J102">
    <cfRule type="expression" dxfId="361" priority="25">
      <formula>J89&gt;0</formula>
    </cfRule>
    <cfRule type="expression" dxfId="360" priority="26">
      <formula>J89&lt;0</formula>
    </cfRule>
  </conditionalFormatting>
  <conditionalFormatting sqref="K89:K102">
    <cfRule type="expression" dxfId="359" priority="23">
      <formula>K89&gt;0</formula>
    </cfRule>
    <cfRule type="expression" dxfId="358" priority="24">
      <formula>K89&lt;0</formula>
    </cfRule>
  </conditionalFormatting>
  <conditionalFormatting sqref="L89:L102">
    <cfRule type="expression" dxfId="357" priority="21">
      <formula>L89&gt;0</formula>
    </cfRule>
    <cfRule type="expression" dxfId="356" priority="22">
      <formula>L89&lt;0</formula>
    </cfRule>
  </conditionalFormatting>
  <conditionalFormatting sqref="F29:F32">
    <cfRule type="expression" dxfId="355" priority="19">
      <formula>F29&gt;0</formula>
    </cfRule>
    <cfRule type="expression" dxfId="354" priority="20">
      <formula>F29&lt;0</formula>
    </cfRule>
  </conditionalFormatting>
  <conditionalFormatting sqref="H29:H32">
    <cfRule type="expression" dxfId="353" priority="17">
      <formula>H29&gt;0</formula>
    </cfRule>
    <cfRule type="expression" dxfId="352" priority="18">
      <formula>H29&lt;0</formula>
    </cfRule>
  </conditionalFormatting>
  <conditionalFormatting sqref="F37">
    <cfRule type="expression" dxfId="351" priority="11">
      <formula>F37&gt;0</formula>
    </cfRule>
    <cfRule type="expression" dxfId="350" priority="12">
      <formula>F37&lt;0</formula>
    </cfRule>
  </conditionalFormatting>
  <conditionalFormatting sqref="H37">
    <cfRule type="expression" dxfId="349" priority="9">
      <formula>H37&gt;0</formula>
    </cfRule>
    <cfRule type="expression" dxfId="348" priority="10">
      <formula>H37&lt;0</formula>
    </cfRule>
  </conditionalFormatting>
  <conditionalFormatting sqref="J49">
    <cfRule type="expression" dxfId="347" priority="7">
      <formula>J49&gt;0</formula>
    </cfRule>
    <cfRule type="expression" dxfId="346" priority="8">
      <formula>J49&lt;0</formula>
    </cfRule>
  </conditionalFormatting>
  <conditionalFormatting sqref="J38:J48">
    <cfRule type="expression" dxfId="345" priority="5">
      <formula>J38&gt;0</formula>
    </cfRule>
    <cfRule type="expression" dxfId="344" priority="6">
      <formula>J38&lt;0</formula>
    </cfRule>
  </conditionalFormatting>
  <conditionalFormatting sqref="F25:F28">
    <cfRule type="expression" dxfId="343" priority="3">
      <formula>F25&gt;0</formula>
    </cfRule>
    <cfRule type="expression" dxfId="342" priority="4">
      <formula>F25&lt;0</formula>
    </cfRule>
  </conditionalFormatting>
  <conditionalFormatting sqref="H25:H28">
    <cfRule type="expression" dxfId="341" priority="1">
      <formula>H25&gt;0</formula>
    </cfRule>
    <cfRule type="expression" dxfId="340" priority="2">
      <formula>H25&lt;0</formula>
    </cfRule>
  </conditionalFormatting>
  <hyperlinks>
    <hyperlink ref="A3" location="ACTIVE!A1" display="Back"/>
  </hyperlinks>
  <pageMargins left="0.7" right="0.7" top="0.75" bottom="0.75" header="0.3" footer="0.3"/>
  <pageSetup orientation="portrait" r:id="rId1"/>
</worksheet>
</file>

<file path=xl/worksheets/sheet1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ht="14.25" customHeight="1" x14ac:dyDescent="0.25">
      <c r="A2" s="6" t="s">
        <v>1273</v>
      </c>
      <c r="B2" s="360">
        <v>43433</v>
      </c>
      <c r="C2" s="7">
        <v>50</v>
      </c>
      <c r="D2" s="43">
        <v>89.88</v>
      </c>
      <c r="E2" s="43">
        <v>0</v>
      </c>
      <c r="F2" s="43">
        <f>C2*D2+E2</f>
        <v>4494</v>
      </c>
      <c r="G2" s="360">
        <v>43483</v>
      </c>
      <c r="H2" s="7">
        <v>50</v>
      </c>
      <c r="I2" s="43">
        <v>90.08</v>
      </c>
      <c r="J2" s="43">
        <v>0.06</v>
      </c>
      <c r="K2" s="43">
        <f>H2*I2-J2</f>
        <v>4503.9399999999996</v>
      </c>
      <c r="L2" s="69">
        <v>43475</v>
      </c>
      <c r="M2" s="3">
        <v>55</v>
      </c>
      <c r="O2" s="11" t="s">
        <v>57</v>
      </c>
      <c r="Q2">
        <f>C18-H18</f>
        <v>0</v>
      </c>
      <c r="T2" s="1"/>
    </row>
    <row r="3" spans="1:21" x14ac:dyDescent="0.25">
      <c r="A3" s="22" t="s">
        <v>71</v>
      </c>
      <c r="B3" s="360">
        <v>43433</v>
      </c>
      <c r="C3" s="7">
        <v>50</v>
      </c>
      <c r="D3" s="43">
        <v>89.88</v>
      </c>
      <c r="E3" s="43">
        <v>0</v>
      </c>
      <c r="F3" s="43">
        <f>C3*D3+E3</f>
        <v>4494</v>
      </c>
      <c r="G3" s="360">
        <v>43516</v>
      </c>
      <c r="H3" s="77">
        <v>50</v>
      </c>
      <c r="I3" s="43">
        <v>91.58</v>
      </c>
      <c r="J3" s="43">
        <v>0.06</v>
      </c>
      <c r="K3" s="43">
        <f>H3*I3-J3</f>
        <v>4578.9399999999996</v>
      </c>
      <c r="L3" s="4"/>
      <c r="M3" s="4"/>
      <c r="O3" s="11" t="s">
        <v>58</v>
      </c>
      <c r="Q3" s="174">
        <f>IF(Q2=0, Q4, (F18-K18-M18)/Q2)</f>
        <v>91.78</v>
      </c>
      <c r="T3" s="1"/>
      <c r="U3" s="22"/>
    </row>
    <row r="4" spans="1:21" x14ac:dyDescent="0.25">
      <c r="B4" s="69"/>
      <c r="C4" s="4"/>
      <c r="D4" s="3"/>
      <c r="E4" s="3"/>
      <c r="F4" s="3"/>
      <c r="G4" s="69"/>
      <c r="H4" s="158"/>
      <c r="I4" s="3"/>
      <c r="J4" s="3"/>
      <c r="K4" s="3"/>
      <c r="L4" s="4"/>
      <c r="M4" s="4"/>
      <c r="O4" s="11" t="s">
        <v>66</v>
      </c>
      <c r="Q4" s="53">
        <v>91.78</v>
      </c>
      <c r="R4" s="416">
        <v>-5.0000000000000001E-3</v>
      </c>
      <c r="T4" s="680"/>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149.8799999999992</v>
      </c>
      <c r="R7">
        <v>0</v>
      </c>
    </row>
    <row r="8" spans="1:21" x14ac:dyDescent="0.25">
      <c r="B8" s="69"/>
      <c r="C8" s="4"/>
      <c r="D8" s="3"/>
      <c r="E8" s="3"/>
      <c r="F8" s="3"/>
      <c r="G8" s="4"/>
      <c r="H8" s="158"/>
      <c r="I8" s="3"/>
      <c r="J8" s="3"/>
      <c r="K8" s="3"/>
      <c r="L8" s="4"/>
      <c r="M8" s="4"/>
      <c r="O8" s="11" t="s">
        <v>177</v>
      </c>
      <c r="P8" s="33"/>
      <c r="Q8" s="2">
        <f>K18+M18-F18+Q2*Q4</f>
        <v>149.8799999999992</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1.2586620178688166E-2</v>
      </c>
      <c r="R11">
        <f>0.2888*4</f>
        <v>1.1552</v>
      </c>
    </row>
    <row r="12" spans="1:21" x14ac:dyDescent="0.25">
      <c r="H12" s="67"/>
      <c r="O12" s="11" t="s">
        <v>875</v>
      </c>
      <c r="Q12" s="1" t="s">
        <v>1328</v>
      </c>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100.95800000000001</v>
      </c>
    </row>
    <row r="18" spans="1:16" x14ac:dyDescent="0.25">
      <c r="A18" s="31" t="s">
        <v>81</v>
      </c>
      <c r="B18" s="14"/>
      <c r="C18" s="14">
        <f>SUM(C2:C8)</f>
        <v>100</v>
      </c>
      <c r="D18" s="18"/>
      <c r="E18" s="18"/>
      <c r="F18" s="18">
        <f>SUM(F2:F8)</f>
        <v>8988</v>
      </c>
      <c r="G18" s="14"/>
      <c r="H18" s="68">
        <f>SUM(H2:H5)</f>
        <v>100</v>
      </c>
      <c r="I18" s="18"/>
      <c r="J18" s="18"/>
      <c r="K18" s="18">
        <f>SUM(K2:K5)</f>
        <v>9082.8799999999992</v>
      </c>
      <c r="L18" s="14"/>
      <c r="M18" s="18">
        <f>SUM(M2:M10)</f>
        <v>55</v>
      </c>
      <c r="O18" s="78">
        <v>1.0900000000000001</v>
      </c>
      <c r="P18" s="78">
        <f t="shared" ref="P18:P37" si="0">O18*$Q$4</f>
        <v>100.04020000000001</v>
      </c>
    </row>
    <row r="19" spans="1:16" ht="15.75" thickBot="1" x14ac:dyDescent="0.3">
      <c r="A19" s="273" t="s">
        <v>189</v>
      </c>
      <c r="B19" s="274"/>
      <c r="C19" s="275">
        <f>SumByColor($A$19,C2:C17)</f>
        <v>100</v>
      </c>
      <c r="D19" s="275"/>
      <c r="E19" s="275"/>
      <c r="F19" s="276">
        <f>SumByColor($A$19,F2:F17)</f>
        <v>8988</v>
      </c>
      <c r="G19" s="275"/>
      <c r="H19" s="275">
        <f>SumByColor($A$19,H2:H17)</f>
        <v>100</v>
      </c>
      <c r="I19" s="275"/>
      <c r="J19" s="275"/>
      <c r="K19" s="276">
        <f>SumByColor($A$19,K2:K17)</f>
        <v>9083</v>
      </c>
      <c r="L19" s="275"/>
      <c r="M19" s="276">
        <f>SumByColor($A$19,M2:M17)</f>
        <v>0</v>
      </c>
      <c r="O19" s="78">
        <v>1.08</v>
      </c>
      <c r="P19" s="78">
        <f t="shared" si="0"/>
        <v>99.122400000000013</v>
      </c>
    </row>
    <row r="20" spans="1:16" x14ac:dyDescent="0.25">
      <c r="O20" s="78">
        <v>1.07</v>
      </c>
      <c r="P20" s="78">
        <f t="shared" si="0"/>
        <v>98.204600000000013</v>
      </c>
    </row>
    <row r="21" spans="1:16" x14ac:dyDescent="0.25">
      <c r="O21" s="78">
        <v>1.06</v>
      </c>
      <c r="P21" s="78">
        <f t="shared" si="0"/>
        <v>97.286799999999999</v>
      </c>
    </row>
    <row r="22" spans="1:16" x14ac:dyDescent="0.25">
      <c r="O22" s="78">
        <v>1.05</v>
      </c>
      <c r="P22" s="78">
        <f t="shared" si="0"/>
        <v>96.369</v>
      </c>
    </row>
    <row r="23" spans="1:16" x14ac:dyDescent="0.25">
      <c r="O23" s="78">
        <v>1.04</v>
      </c>
      <c r="P23" s="78">
        <f t="shared" si="0"/>
        <v>95.4512</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94.5334</v>
      </c>
    </row>
    <row r="25" spans="1:16" x14ac:dyDescent="0.25">
      <c r="B25" s="161">
        <v>43433</v>
      </c>
      <c r="C25" s="10">
        <v>100</v>
      </c>
      <c r="D25" s="39">
        <v>89.88</v>
      </c>
      <c r="E25" s="39">
        <v>89.77</v>
      </c>
      <c r="F25" s="39">
        <f>C25*(E25-D25)</f>
        <v>-10.999999999999943</v>
      </c>
      <c r="G25" s="39">
        <f>D25*C25</f>
        <v>8988</v>
      </c>
      <c r="H25" s="175">
        <f>(E25-D25)/D25</f>
        <v>-1.2238540275923391E-3</v>
      </c>
      <c r="I25" s="39"/>
      <c r="J25" s="39"/>
      <c r="K25" s="39"/>
      <c r="L25" s="39"/>
      <c r="O25" s="78">
        <v>1.02</v>
      </c>
      <c r="P25" s="78">
        <f t="shared" si="0"/>
        <v>93.615600000000001</v>
      </c>
    </row>
    <row r="26" spans="1:16" x14ac:dyDescent="0.25">
      <c r="B26" s="161">
        <v>43442</v>
      </c>
      <c r="C26" s="10">
        <v>100</v>
      </c>
      <c r="D26" s="39">
        <v>89.88</v>
      </c>
      <c r="E26" s="39">
        <v>86.02</v>
      </c>
      <c r="F26" s="39">
        <f>C26*(E26-D26)</f>
        <v>-385.99999999999994</v>
      </c>
      <c r="G26" s="39">
        <f>D26*C26</f>
        <v>8988</v>
      </c>
      <c r="H26" s="175">
        <f>(E26-D26)/D26</f>
        <v>-4.2946150422785934E-2</v>
      </c>
      <c r="I26" s="39"/>
      <c r="J26" s="39"/>
      <c r="K26" s="39"/>
      <c r="L26" s="39"/>
      <c r="O26" s="78">
        <v>1.01</v>
      </c>
      <c r="P26" s="78">
        <f t="shared" si="0"/>
        <v>92.697800000000001</v>
      </c>
    </row>
    <row r="27" spans="1:16" x14ac:dyDescent="0.25">
      <c r="B27" s="161">
        <v>36526</v>
      </c>
      <c r="C27" s="10">
        <v>100</v>
      </c>
      <c r="D27" s="39">
        <v>89.33</v>
      </c>
      <c r="E27" s="39">
        <v>86.48</v>
      </c>
      <c r="F27" s="39">
        <f>C27*(E27-D27)</f>
        <v>-284.99999999999943</v>
      </c>
      <c r="G27" s="39">
        <f>D27*C27</f>
        <v>8933</v>
      </c>
      <c r="H27" s="175">
        <f>(E27-D27)/D27</f>
        <v>-3.1904175528937581E-2</v>
      </c>
      <c r="I27" s="39"/>
      <c r="J27" s="39"/>
      <c r="K27" s="39"/>
      <c r="L27" s="39"/>
      <c r="O27" s="78">
        <v>1</v>
      </c>
      <c r="P27" s="78">
        <f t="shared" si="0"/>
        <v>91.78</v>
      </c>
    </row>
    <row r="28" spans="1:16" x14ac:dyDescent="0.25">
      <c r="B28" s="161">
        <v>43483</v>
      </c>
      <c r="C28" s="10">
        <v>50</v>
      </c>
      <c r="D28" s="39">
        <v>88.581199999999995</v>
      </c>
      <c r="E28" s="39">
        <v>90.08</v>
      </c>
      <c r="F28" s="39">
        <f>C28*(E28-D28)</f>
        <v>74.94000000000014</v>
      </c>
      <c r="G28" s="39">
        <f>D28*C28</f>
        <v>4429.0599999999995</v>
      </c>
      <c r="H28" s="175">
        <f>(E28-D28)/D28</f>
        <v>1.6920068818214281E-2</v>
      </c>
      <c r="I28" s="39"/>
      <c r="J28" s="39"/>
      <c r="K28" s="39"/>
      <c r="L28" s="39"/>
      <c r="O28" s="78">
        <v>0.99</v>
      </c>
      <c r="P28" s="78">
        <f t="shared" si="0"/>
        <v>90.862200000000001</v>
      </c>
    </row>
    <row r="29" spans="1:16" x14ac:dyDescent="0.25">
      <c r="B29" s="161">
        <v>43516</v>
      </c>
      <c r="C29" s="10">
        <v>0</v>
      </c>
      <c r="D29" s="39">
        <v>88.58</v>
      </c>
      <c r="E29" s="39">
        <v>90.38</v>
      </c>
      <c r="F29" s="39">
        <v>149.88</v>
      </c>
      <c r="G29" s="39">
        <f>D29*C29</f>
        <v>0</v>
      </c>
      <c r="H29" s="175">
        <f>(E29-D29)/D29</f>
        <v>2.0320614134116021E-2</v>
      </c>
      <c r="I29" s="39"/>
      <c r="J29" s="39"/>
      <c r="K29" s="39"/>
      <c r="L29" s="39"/>
      <c r="O29" s="78">
        <v>0.98</v>
      </c>
      <c r="P29" s="78">
        <f t="shared" si="0"/>
        <v>89.944400000000002</v>
      </c>
    </row>
    <row r="30" spans="1:16" x14ac:dyDescent="0.25">
      <c r="B30" s="161"/>
      <c r="C30" s="10"/>
      <c r="D30" s="39"/>
      <c r="E30" s="39"/>
      <c r="F30" s="39"/>
      <c r="G30" s="39"/>
      <c r="H30" s="175"/>
      <c r="I30" s="39"/>
      <c r="J30" s="39"/>
      <c r="K30" s="39"/>
      <c r="L30" s="39"/>
      <c r="O30" s="78">
        <v>0.97</v>
      </c>
      <c r="P30" s="78">
        <f t="shared" si="0"/>
        <v>89.026600000000002</v>
      </c>
    </row>
    <row r="31" spans="1:16" x14ac:dyDescent="0.25">
      <c r="B31" s="161"/>
      <c r="C31" s="10"/>
      <c r="D31" s="39"/>
      <c r="E31" s="39"/>
      <c r="F31" s="39"/>
      <c r="G31" s="39"/>
      <c r="H31" s="175"/>
      <c r="I31" s="39"/>
      <c r="J31" s="39"/>
      <c r="K31" s="39"/>
      <c r="L31" s="39"/>
      <c r="O31" s="78">
        <v>0.96</v>
      </c>
      <c r="P31" s="78">
        <f t="shared" si="0"/>
        <v>88.108800000000002</v>
      </c>
    </row>
    <row r="32" spans="1:16" x14ac:dyDescent="0.25">
      <c r="B32" s="161"/>
      <c r="C32" s="10"/>
      <c r="D32" s="39"/>
      <c r="E32" s="39"/>
      <c r="F32" s="39"/>
      <c r="G32" s="39"/>
      <c r="H32" s="175"/>
      <c r="I32" s="39"/>
      <c r="J32" s="39"/>
      <c r="K32" s="39"/>
      <c r="L32" s="39"/>
      <c r="O32" s="78">
        <v>0.95</v>
      </c>
      <c r="P32" s="78">
        <f t="shared" si="0"/>
        <v>87.191000000000003</v>
      </c>
    </row>
    <row r="33" spans="2:17" x14ac:dyDescent="0.25">
      <c r="B33" s="161"/>
      <c r="C33" s="10"/>
      <c r="D33" s="39"/>
      <c r="E33" s="39"/>
      <c r="F33" s="39"/>
      <c r="G33" s="39"/>
      <c r="H33" s="175"/>
      <c r="I33" s="39"/>
      <c r="J33" s="39"/>
      <c r="K33" s="39"/>
      <c r="L33" s="39"/>
      <c r="O33" s="78">
        <v>0.94</v>
      </c>
      <c r="P33" s="78">
        <f t="shared" si="0"/>
        <v>86.273200000000003</v>
      </c>
    </row>
    <row r="34" spans="2:17" x14ac:dyDescent="0.25">
      <c r="B34" s="161"/>
      <c r="C34" s="10"/>
      <c r="D34" s="39"/>
      <c r="E34" s="39"/>
      <c r="F34" s="39"/>
      <c r="G34" s="39"/>
      <c r="H34" s="175"/>
      <c r="I34" s="39"/>
      <c r="J34" s="39"/>
      <c r="K34" s="39"/>
      <c r="L34" s="39"/>
      <c r="O34" s="78">
        <v>0.93</v>
      </c>
      <c r="P34" s="78">
        <f t="shared" si="0"/>
        <v>85.355400000000003</v>
      </c>
    </row>
    <row r="35" spans="2:17" x14ac:dyDescent="0.25">
      <c r="B35" s="161"/>
      <c r="C35" s="10"/>
      <c r="D35" s="39"/>
      <c r="E35" s="39"/>
      <c r="F35" s="39"/>
      <c r="G35" s="39"/>
      <c r="H35" s="175"/>
      <c r="I35" s="39"/>
      <c r="J35" s="39"/>
      <c r="K35" s="39"/>
      <c r="L35" s="39"/>
      <c r="O35" s="78">
        <v>0.92</v>
      </c>
      <c r="P35" s="78">
        <f t="shared" si="0"/>
        <v>84.437600000000003</v>
      </c>
    </row>
    <row r="36" spans="2:17" x14ac:dyDescent="0.25">
      <c r="B36" s="161"/>
      <c r="C36" s="10"/>
      <c r="D36" s="39"/>
      <c r="E36" s="39"/>
      <c r="F36" s="39"/>
      <c r="G36" s="39"/>
      <c r="H36" s="175"/>
      <c r="I36" s="39"/>
      <c r="J36" s="39"/>
      <c r="K36" s="39"/>
      <c r="L36" s="39"/>
      <c r="O36" s="78">
        <v>0.91</v>
      </c>
      <c r="P36" s="78">
        <f t="shared" si="0"/>
        <v>83.519800000000004</v>
      </c>
    </row>
    <row r="37" spans="2:17" x14ac:dyDescent="0.25">
      <c r="B37" s="161"/>
      <c r="C37" s="10"/>
      <c r="D37" s="39"/>
      <c r="E37" s="39"/>
      <c r="F37" s="39"/>
      <c r="G37" s="39"/>
      <c r="H37" s="175"/>
      <c r="I37" s="39"/>
      <c r="J37" s="39"/>
      <c r="K37" s="39"/>
      <c r="L37" s="39"/>
      <c r="O37" s="78">
        <v>0.9</v>
      </c>
      <c r="P37" s="78">
        <f t="shared" si="0"/>
        <v>82.602000000000004</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39" priority="35">
      <formula>F47&gt;0</formula>
    </cfRule>
    <cfRule type="expression" dxfId="338" priority="36">
      <formula>F47&lt;0</formula>
    </cfRule>
  </conditionalFormatting>
  <conditionalFormatting sqref="Q7">
    <cfRule type="expression" dxfId="337" priority="33">
      <formula>Q7&gt;0</formula>
    </cfRule>
    <cfRule type="expression" dxfId="336" priority="34">
      <formula>Q7&lt;0</formula>
    </cfRule>
  </conditionalFormatting>
  <conditionalFormatting sqref="Q8">
    <cfRule type="expression" dxfId="335" priority="31">
      <formula>Q8&gt;0</formula>
    </cfRule>
    <cfRule type="expression" dxfId="334" priority="32">
      <formula>Q8&lt;0</formula>
    </cfRule>
  </conditionalFormatting>
  <conditionalFormatting sqref="F30:F46">
    <cfRule type="expression" dxfId="333" priority="29">
      <formula>F30&gt;0</formula>
    </cfRule>
    <cfRule type="expression" dxfId="332" priority="30">
      <formula>F30&lt;0</formula>
    </cfRule>
  </conditionalFormatting>
  <conditionalFormatting sqref="H30:H46">
    <cfRule type="expression" dxfId="331" priority="27">
      <formula>H30&gt;0</formula>
    </cfRule>
    <cfRule type="expression" dxfId="330" priority="28">
      <formula>H30&lt;0</formula>
    </cfRule>
  </conditionalFormatting>
  <conditionalFormatting sqref="Q10">
    <cfRule type="expression" dxfId="329" priority="25">
      <formula>Q10&gt;0</formula>
    </cfRule>
    <cfRule type="expression" dxfId="328" priority="26">
      <formula>Q10&lt;0</formula>
    </cfRule>
  </conditionalFormatting>
  <conditionalFormatting sqref="J25:J38">
    <cfRule type="expression" dxfId="327" priority="23">
      <formula>J25&gt;0</formula>
    </cfRule>
    <cfRule type="expression" dxfId="326" priority="24">
      <formula>J25&lt;0</formula>
    </cfRule>
  </conditionalFormatting>
  <conditionalFormatting sqref="K25:K38">
    <cfRule type="expression" dxfId="325" priority="21">
      <formula>K25&gt;0</formula>
    </cfRule>
    <cfRule type="expression" dxfId="324" priority="22">
      <formula>K25&lt;0</formula>
    </cfRule>
  </conditionalFormatting>
  <conditionalFormatting sqref="L25 L38">
    <cfRule type="expression" dxfId="323" priority="19">
      <formula>L25&gt;0</formula>
    </cfRule>
    <cfRule type="expression" dxfId="322" priority="20">
      <formula>L25&lt;0</formula>
    </cfRule>
  </conditionalFormatting>
  <conditionalFormatting sqref="F89:F110">
    <cfRule type="expression" dxfId="321" priority="17">
      <formula>F89&gt;0</formula>
    </cfRule>
    <cfRule type="expression" dxfId="320" priority="18">
      <formula>F89&lt;0</formula>
    </cfRule>
  </conditionalFormatting>
  <conditionalFormatting sqref="H89:H110">
    <cfRule type="expression" dxfId="319" priority="15">
      <formula>H89&gt;0</formula>
    </cfRule>
    <cfRule type="expression" dxfId="318" priority="16">
      <formula>H89&lt;0</formula>
    </cfRule>
  </conditionalFormatting>
  <conditionalFormatting sqref="J89:J102">
    <cfRule type="expression" dxfId="317" priority="13">
      <formula>J89&gt;0</formula>
    </cfRule>
    <cfRule type="expression" dxfId="316" priority="14">
      <formula>J89&lt;0</formula>
    </cfRule>
  </conditionalFormatting>
  <conditionalFormatting sqref="K89:K102">
    <cfRule type="expression" dxfId="315" priority="11">
      <formula>K89&gt;0</formula>
    </cfRule>
    <cfRule type="expression" dxfId="314" priority="12">
      <formula>K89&lt;0</formula>
    </cfRule>
  </conditionalFormatting>
  <conditionalFormatting sqref="L89:L102">
    <cfRule type="expression" dxfId="313" priority="9">
      <formula>L89&gt;0</formula>
    </cfRule>
    <cfRule type="expression" dxfId="312" priority="10">
      <formula>L89&lt;0</formula>
    </cfRule>
  </conditionalFormatting>
  <conditionalFormatting sqref="F25:F29">
    <cfRule type="expression" dxfId="311" priority="7">
      <formula>F25&gt;0</formula>
    </cfRule>
    <cfRule type="expression" dxfId="310" priority="8">
      <formula>F25&lt;0</formula>
    </cfRule>
  </conditionalFormatting>
  <conditionalFormatting sqref="H25:H29">
    <cfRule type="expression" dxfId="309" priority="5">
      <formula>H25&gt;0</formula>
    </cfRule>
    <cfRule type="expression" dxfId="308" priority="6">
      <formula>H25&lt;0</formula>
    </cfRule>
  </conditionalFormatting>
  <hyperlinks>
    <hyperlink ref="A3" location="ACTIVE!A1" display="Back"/>
  </hyperlinks>
  <pageMargins left="0.7" right="0.7" top="0.75" bottom="0.75" header="0.3" footer="0.3"/>
  <pageSetup orientation="portrait"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1231</v>
      </c>
      <c r="B2" s="360">
        <v>43383</v>
      </c>
      <c r="C2" s="7">
        <v>150</v>
      </c>
      <c r="D2" s="43">
        <v>35.479999999999997</v>
      </c>
      <c r="E2" s="43">
        <v>0</v>
      </c>
      <c r="F2" s="43">
        <f>C2*D2+E2</f>
        <v>5321.9999999999991</v>
      </c>
      <c r="G2" s="360">
        <v>43418</v>
      </c>
      <c r="H2" s="77">
        <v>150</v>
      </c>
      <c r="I2" s="43">
        <v>36.71</v>
      </c>
      <c r="J2" s="43">
        <v>7.0000000000000007E-2</v>
      </c>
      <c r="K2" s="43">
        <f>H2*I2-J2</f>
        <v>5506.43</v>
      </c>
      <c r="L2" s="69"/>
      <c r="M2" s="3"/>
      <c r="O2" s="11" t="s">
        <v>57</v>
      </c>
      <c r="Q2">
        <f>C18-H18</f>
        <v>0</v>
      </c>
      <c r="T2" s="1"/>
    </row>
    <row r="3" spans="1:21" x14ac:dyDescent="0.25">
      <c r="A3" s="22" t="s">
        <v>71</v>
      </c>
      <c r="B3" s="360">
        <v>43391</v>
      </c>
      <c r="C3" s="7">
        <v>150</v>
      </c>
      <c r="D3" s="43">
        <v>34.880000000000003</v>
      </c>
      <c r="E3" s="43">
        <v>0</v>
      </c>
      <c r="F3" s="43">
        <f>C3*D3+E3</f>
        <v>5232</v>
      </c>
      <c r="G3" s="360">
        <v>43432</v>
      </c>
      <c r="H3" s="77">
        <v>150</v>
      </c>
      <c r="I3" s="43">
        <v>40.31</v>
      </c>
      <c r="J3" s="43">
        <v>0.08</v>
      </c>
      <c r="K3" s="43">
        <f>H3*I3-J3</f>
        <v>6046.42</v>
      </c>
      <c r="L3" s="4"/>
      <c r="M3" s="4"/>
      <c r="O3" s="11" t="s">
        <v>58</v>
      </c>
      <c r="Q3" s="174">
        <f>IF(Q2=0, Q4, (F18-K18-M18)/Q2)</f>
        <v>42.87</v>
      </c>
      <c r="T3" s="1"/>
      <c r="U3" s="22"/>
    </row>
    <row r="4" spans="1:21" x14ac:dyDescent="0.25">
      <c r="B4" s="360">
        <v>43413</v>
      </c>
      <c r="C4" s="7">
        <v>100</v>
      </c>
      <c r="D4" s="43">
        <v>34.380000000000003</v>
      </c>
      <c r="E4" s="43">
        <v>0</v>
      </c>
      <c r="F4" s="43">
        <f>C4*D4+E4</f>
        <v>3438.0000000000005</v>
      </c>
      <c r="G4" s="360">
        <v>43445</v>
      </c>
      <c r="H4" s="77">
        <v>100</v>
      </c>
      <c r="I4" s="43">
        <v>40.31</v>
      </c>
      <c r="J4" s="43">
        <v>0.05</v>
      </c>
      <c r="K4" s="43">
        <f>H4*I4-J4</f>
        <v>4030.95</v>
      </c>
      <c r="L4" s="4"/>
      <c r="M4" s="4"/>
      <c r="O4" s="11" t="s">
        <v>66</v>
      </c>
      <c r="Q4" s="53">
        <v>42.87</v>
      </c>
      <c r="R4" s="416">
        <v>1.2999999999999999E-3</v>
      </c>
      <c r="T4" s="680"/>
      <c r="U4" s="30"/>
    </row>
    <row r="5" spans="1:21" x14ac:dyDescent="0.25">
      <c r="B5" s="360" t="s">
        <v>1279</v>
      </c>
      <c r="C5" s="7">
        <v>100</v>
      </c>
      <c r="D5" s="43">
        <v>38.28</v>
      </c>
      <c r="E5" s="43">
        <v>0</v>
      </c>
      <c r="F5" s="43">
        <f>C5*D5+E5</f>
        <v>3828</v>
      </c>
      <c r="G5" s="360">
        <v>43454</v>
      </c>
      <c r="H5" s="77">
        <v>100</v>
      </c>
      <c r="I5" s="43">
        <v>38.26</v>
      </c>
      <c r="J5" s="43">
        <v>0.05</v>
      </c>
      <c r="K5" s="43">
        <f>H5*I5-J5</f>
        <v>3825.95</v>
      </c>
      <c r="L5" s="4"/>
      <c r="M5" s="4"/>
      <c r="O5" s="11" t="s">
        <v>67</v>
      </c>
      <c r="Q5" s="3">
        <f>Q4*Q2</f>
        <v>0</v>
      </c>
      <c r="T5" s="1"/>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1589.75</v>
      </c>
      <c r="R7">
        <v>0</v>
      </c>
    </row>
    <row r="8" spans="1:21" x14ac:dyDescent="0.25">
      <c r="B8" s="69"/>
      <c r="C8" s="4"/>
      <c r="D8" s="3"/>
      <c r="E8" s="3"/>
      <c r="F8" s="3"/>
      <c r="G8" s="4"/>
      <c r="H8" s="158"/>
      <c r="I8" s="3"/>
      <c r="J8" s="3"/>
      <c r="K8" s="3"/>
      <c r="L8" s="4"/>
      <c r="M8" s="4"/>
      <c r="O8" s="11" t="s">
        <v>177</v>
      </c>
      <c r="P8" s="33"/>
      <c r="Q8" s="2">
        <f>K18+M18-F18+Q2*Q4</f>
        <v>1589.75</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1.1546536039188245E-3</v>
      </c>
      <c r="R11">
        <f>0.099/2</f>
        <v>4.9500000000000002E-2</v>
      </c>
    </row>
    <row r="12" spans="1:21" x14ac:dyDescent="0.25">
      <c r="H12" s="67"/>
      <c r="O12" s="11" t="s">
        <v>875</v>
      </c>
      <c r="Q12" s="1"/>
      <c r="T12" s="1">
        <v>43418</v>
      </c>
      <c r="U12" t="s">
        <v>1255</v>
      </c>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47.157000000000004</v>
      </c>
    </row>
    <row r="18" spans="1:16" x14ac:dyDescent="0.25">
      <c r="A18" s="31" t="s">
        <v>81</v>
      </c>
      <c r="B18" s="14"/>
      <c r="C18" s="14">
        <f>SUM(C2:C8)</f>
        <v>500</v>
      </c>
      <c r="D18" s="18"/>
      <c r="E18" s="18"/>
      <c r="F18" s="18">
        <f>SUM(F2:F8)</f>
        <v>17820</v>
      </c>
      <c r="G18" s="14"/>
      <c r="H18" s="68">
        <f>SUM(H2:H5)</f>
        <v>500</v>
      </c>
      <c r="I18" s="18"/>
      <c r="J18" s="18"/>
      <c r="K18" s="18">
        <f>SUM(K2:K5)</f>
        <v>19409.75</v>
      </c>
      <c r="L18" s="14"/>
      <c r="M18" s="18">
        <f>SUM(M2:M10)</f>
        <v>0</v>
      </c>
      <c r="O18" s="78">
        <v>1.0900000000000001</v>
      </c>
      <c r="P18" s="78">
        <f t="shared" ref="P18:P37" si="0">O18*$Q$4</f>
        <v>46.728299999999997</v>
      </c>
    </row>
    <row r="19" spans="1:16" ht="15.75" thickBot="1" x14ac:dyDescent="0.3">
      <c r="A19" s="273" t="s">
        <v>189</v>
      </c>
      <c r="B19" s="274"/>
      <c r="C19" s="275">
        <f>SumByColor($A$19,C2:C17)</f>
        <v>500</v>
      </c>
      <c r="D19" s="275"/>
      <c r="E19" s="275"/>
      <c r="F19" s="276">
        <f>SumByColor($A$19,F2:F17)</f>
        <v>17820</v>
      </c>
      <c r="G19" s="275"/>
      <c r="H19" s="275">
        <f>SumByColor($A$19,H2:H17)</f>
        <v>500</v>
      </c>
      <c r="I19" s="275"/>
      <c r="J19" s="275"/>
      <c r="K19" s="276">
        <f>SumByColor($A$19,K2:K17)</f>
        <v>19409</v>
      </c>
      <c r="L19" s="275"/>
      <c r="M19" s="276">
        <f>SumByColor($A$19,M2:M17)</f>
        <v>0</v>
      </c>
      <c r="O19" s="78">
        <v>1.08</v>
      </c>
      <c r="P19" s="78">
        <f t="shared" si="0"/>
        <v>46.299599999999998</v>
      </c>
    </row>
    <row r="20" spans="1:16" x14ac:dyDescent="0.25">
      <c r="O20" s="78">
        <v>1.07</v>
      </c>
      <c r="P20" s="78">
        <f t="shared" si="0"/>
        <v>45.870899999999999</v>
      </c>
    </row>
    <row r="21" spans="1:16" x14ac:dyDescent="0.25">
      <c r="O21" s="78">
        <v>1.06</v>
      </c>
      <c r="P21" s="78">
        <f t="shared" si="0"/>
        <v>45.4422</v>
      </c>
    </row>
    <row r="22" spans="1:16" x14ac:dyDescent="0.25">
      <c r="O22" s="78">
        <v>1.05</v>
      </c>
      <c r="P22" s="78">
        <f t="shared" si="0"/>
        <v>45.013500000000001</v>
      </c>
    </row>
    <row r="23" spans="1:16" x14ac:dyDescent="0.25">
      <c r="O23" s="78">
        <v>1.04</v>
      </c>
      <c r="P23" s="78">
        <f t="shared" si="0"/>
        <v>44.584800000000001</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44.156099999999995</v>
      </c>
    </row>
    <row r="25" spans="1:16" x14ac:dyDescent="0.25">
      <c r="B25" s="161">
        <v>43383</v>
      </c>
      <c r="C25" s="10">
        <v>150</v>
      </c>
      <c r="D25" s="39">
        <v>35.479999999999997</v>
      </c>
      <c r="E25" s="39">
        <v>35.4</v>
      </c>
      <c r="F25" s="39">
        <f t="shared" ref="F25:F34" si="1">C25*(E25-D25)</f>
        <v>-11.999999999999744</v>
      </c>
      <c r="G25" s="39">
        <f t="shared" ref="G25:G34" si="2">D25*C25</f>
        <v>5321.9999999999991</v>
      </c>
      <c r="H25" s="175">
        <f t="shared" ref="H25:H34" si="3">(E25-D25)/D25</f>
        <v>-2.2547914317925114E-3</v>
      </c>
      <c r="I25" s="39"/>
      <c r="J25" s="39"/>
      <c r="K25" s="39"/>
      <c r="L25" s="39"/>
      <c r="O25" s="78">
        <v>1.02</v>
      </c>
      <c r="P25" s="78">
        <f t="shared" si="0"/>
        <v>43.727399999999996</v>
      </c>
    </row>
    <row r="26" spans="1:16" x14ac:dyDescent="0.25">
      <c r="B26" s="161">
        <v>43385</v>
      </c>
      <c r="C26" s="10">
        <v>150</v>
      </c>
      <c r="D26" s="39">
        <v>35.479999999999997</v>
      </c>
      <c r="E26" s="39">
        <v>37.869999999999997</v>
      </c>
      <c r="F26" s="39">
        <f t="shared" si="1"/>
        <v>358.50000000000011</v>
      </c>
      <c r="G26" s="39">
        <f t="shared" si="2"/>
        <v>5321.9999999999991</v>
      </c>
      <c r="H26" s="175">
        <f t="shared" si="3"/>
        <v>6.7361894024802721E-2</v>
      </c>
      <c r="I26" s="39"/>
      <c r="J26" s="39"/>
      <c r="K26" s="39"/>
      <c r="L26" s="39"/>
      <c r="O26" s="78">
        <v>1.01</v>
      </c>
      <c r="P26" s="78">
        <f t="shared" si="0"/>
        <v>43.298699999999997</v>
      </c>
    </row>
    <row r="27" spans="1:16" x14ac:dyDescent="0.25">
      <c r="B27" s="161">
        <v>43391</v>
      </c>
      <c r="C27" s="10">
        <v>300</v>
      </c>
      <c r="D27" s="39">
        <v>35.18</v>
      </c>
      <c r="E27" s="39">
        <v>35.01</v>
      </c>
      <c r="F27" s="39">
        <f t="shared" si="1"/>
        <v>-51.000000000000512</v>
      </c>
      <c r="G27" s="39">
        <f t="shared" si="2"/>
        <v>10554</v>
      </c>
      <c r="H27" s="175">
        <f t="shared" si="3"/>
        <v>-4.8322910744741819E-3</v>
      </c>
      <c r="I27" s="39"/>
      <c r="J27" s="39"/>
      <c r="K27" s="39"/>
      <c r="L27" s="39"/>
      <c r="O27" s="78">
        <v>1</v>
      </c>
      <c r="P27" s="78">
        <f t="shared" si="0"/>
        <v>42.87</v>
      </c>
    </row>
    <row r="28" spans="1:16" x14ac:dyDescent="0.25">
      <c r="B28" s="161">
        <v>43394</v>
      </c>
      <c r="C28" s="7">
        <v>300</v>
      </c>
      <c r="D28" s="43">
        <v>35.18</v>
      </c>
      <c r="E28" s="39">
        <v>35.72</v>
      </c>
      <c r="F28" s="39">
        <f t="shared" si="1"/>
        <v>161.99999999999974</v>
      </c>
      <c r="G28" s="39">
        <f t="shared" si="2"/>
        <v>10554</v>
      </c>
      <c r="H28" s="175">
        <f t="shared" si="3"/>
        <v>1.5349630471858987E-2</v>
      </c>
      <c r="I28" s="39"/>
      <c r="J28" s="39"/>
      <c r="K28" s="39"/>
      <c r="L28" s="39"/>
      <c r="O28" s="78">
        <v>0.99</v>
      </c>
      <c r="P28" s="78">
        <f t="shared" si="0"/>
        <v>42.441299999999998</v>
      </c>
    </row>
    <row r="29" spans="1:16" x14ac:dyDescent="0.25">
      <c r="B29" s="161">
        <v>43415</v>
      </c>
      <c r="C29" s="10">
        <v>400</v>
      </c>
      <c r="D29" s="39">
        <v>34.979999999999997</v>
      </c>
      <c r="E29" s="39">
        <v>34.82</v>
      </c>
      <c r="F29" s="39">
        <f t="shared" si="1"/>
        <v>-63.999999999998636</v>
      </c>
      <c r="G29" s="39">
        <f t="shared" si="2"/>
        <v>13991.999999999998</v>
      </c>
      <c r="H29" s="175">
        <f t="shared" si="3"/>
        <v>-4.5740423098912693E-3</v>
      </c>
      <c r="I29" s="39"/>
      <c r="J29" s="39"/>
      <c r="K29" s="39"/>
      <c r="L29" s="39"/>
      <c r="O29" s="78">
        <v>0.98</v>
      </c>
      <c r="P29" s="78">
        <f t="shared" si="0"/>
        <v>42.012599999999999</v>
      </c>
    </row>
    <row r="30" spans="1:16" x14ac:dyDescent="0.25">
      <c r="B30" s="161">
        <v>43417</v>
      </c>
      <c r="C30" s="10">
        <v>400</v>
      </c>
      <c r="D30" s="39">
        <v>34.979999999999997</v>
      </c>
      <c r="E30" s="39">
        <v>35.1</v>
      </c>
      <c r="F30" s="39">
        <f t="shared" si="1"/>
        <v>48.000000000001819</v>
      </c>
      <c r="G30" s="39">
        <f t="shared" si="2"/>
        <v>13991.999999999998</v>
      </c>
      <c r="H30" s="175">
        <f t="shared" si="3"/>
        <v>3.4305317324186554E-3</v>
      </c>
      <c r="I30" s="39"/>
      <c r="J30" s="39"/>
      <c r="K30" s="39"/>
      <c r="L30" s="39"/>
      <c r="O30" s="78">
        <v>0.97</v>
      </c>
      <c r="P30" s="78">
        <f t="shared" si="0"/>
        <v>41.5839</v>
      </c>
    </row>
    <row r="31" spans="1:16" x14ac:dyDescent="0.25">
      <c r="B31" s="161">
        <v>43418</v>
      </c>
      <c r="C31" s="10">
        <v>250</v>
      </c>
      <c r="D31" s="39">
        <v>33.942300000000003</v>
      </c>
      <c r="E31" s="39">
        <v>36.6</v>
      </c>
      <c r="F31" s="39">
        <f t="shared" si="1"/>
        <v>664.42499999999961</v>
      </c>
      <c r="G31" s="39">
        <f t="shared" si="2"/>
        <v>8485.5750000000007</v>
      </c>
      <c r="H31" s="175">
        <f t="shared" si="3"/>
        <v>7.8300527660176186E-2</v>
      </c>
      <c r="I31" s="39"/>
      <c r="J31" s="39"/>
      <c r="K31" s="39"/>
      <c r="L31" s="39"/>
      <c r="O31" s="78">
        <v>0.96</v>
      </c>
      <c r="P31" s="78">
        <f t="shared" si="0"/>
        <v>41.155199999999994</v>
      </c>
    </row>
    <row r="32" spans="1:16" x14ac:dyDescent="0.25">
      <c r="B32" s="161">
        <v>43430</v>
      </c>
      <c r="C32" s="10">
        <v>250</v>
      </c>
      <c r="D32" s="39">
        <v>33.94</v>
      </c>
      <c r="E32" s="39">
        <v>38.299999999999997</v>
      </c>
      <c r="F32" s="39">
        <f t="shared" si="1"/>
        <v>1089.9999999999998</v>
      </c>
      <c r="G32" s="39">
        <f t="shared" si="2"/>
        <v>8485</v>
      </c>
      <c r="H32" s="175">
        <f t="shared" si="3"/>
        <v>0.1284619917501473</v>
      </c>
      <c r="I32" s="39"/>
      <c r="J32" s="39"/>
      <c r="K32" s="39"/>
      <c r="L32" s="39"/>
      <c r="O32" s="78">
        <v>0.95</v>
      </c>
      <c r="P32" s="78">
        <f t="shared" si="0"/>
        <v>40.726499999999994</v>
      </c>
    </row>
    <row r="33" spans="2:17" x14ac:dyDescent="0.25">
      <c r="B33" s="161">
        <v>43432</v>
      </c>
      <c r="C33" s="10">
        <v>100</v>
      </c>
      <c r="D33" s="39">
        <v>24.391500000000001</v>
      </c>
      <c r="E33" s="39">
        <v>41.02</v>
      </c>
      <c r="F33" s="760">
        <f t="shared" si="1"/>
        <v>1662.8500000000004</v>
      </c>
      <c r="G33" s="39">
        <f t="shared" si="2"/>
        <v>2439.15</v>
      </c>
      <c r="H33" s="175">
        <f t="shared" si="3"/>
        <v>0.68173339073037742</v>
      </c>
      <c r="I33" s="39"/>
      <c r="J33" s="39"/>
      <c r="K33" s="39"/>
      <c r="L33" s="39"/>
      <c r="O33" s="78">
        <v>0.94</v>
      </c>
      <c r="P33" s="78">
        <f t="shared" si="0"/>
        <v>40.297799999999995</v>
      </c>
    </row>
    <row r="34" spans="2:17" x14ac:dyDescent="0.25">
      <c r="B34" s="161">
        <v>43445</v>
      </c>
      <c r="C34" s="10">
        <v>100</v>
      </c>
      <c r="D34" s="39">
        <v>22.361999999999998</v>
      </c>
      <c r="E34" s="39">
        <v>40.31</v>
      </c>
      <c r="F34" s="760">
        <f t="shared" si="1"/>
        <v>1794.8000000000004</v>
      </c>
      <c r="G34" s="39">
        <f t="shared" si="2"/>
        <v>2236.1999999999998</v>
      </c>
      <c r="H34" s="175">
        <f t="shared" si="3"/>
        <v>0.80261157320454368</v>
      </c>
      <c r="I34" s="39"/>
      <c r="J34" s="39"/>
      <c r="K34" s="39"/>
      <c r="L34" s="39"/>
      <c r="O34" s="78">
        <v>0.93</v>
      </c>
      <c r="P34" s="78">
        <f t="shared" si="0"/>
        <v>39.869100000000003</v>
      </c>
    </row>
    <row r="35" spans="2:17" x14ac:dyDescent="0.25">
      <c r="B35" s="161"/>
      <c r="C35" s="10"/>
      <c r="D35" s="39"/>
      <c r="E35" s="39"/>
      <c r="F35" s="39"/>
      <c r="G35" s="39"/>
      <c r="H35" s="175"/>
      <c r="I35" s="39"/>
      <c r="J35" s="39"/>
      <c r="K35" s="39"/>
      <c r="L35" s="39"/>
      <c r="O35" s="78">
        <v>0.92</v>
      </c>
      <c r="P35" s="78">
        <f t="shared" si="0"/>
        <v>39.440399999999997</v>
      </c>
    </row>
    <row r="36" spans="2:17" x14ac:dyDescent="0.25">
      <c r="B36" s="161"/>
      <c r="C36" s="10"/>
      <c r="D36" s="39"/>
      <c r="E36" s="39"/>
      <c r="F36" s="39"/>
      <c r="G36" s="39"/>
      <c r="H36" s="175"/>
      <c r="I36" s="39"/>
      <c r="J36" s="39"/>
      <c r="K36" s="39"/>
      <c r="L36" s="39"/>
      <c r="O36" s="78">
        <v>0.91</v>
      </c>
      <c r="P36" s="78">
        <f t="shared" si="0"/>
        <v>39.011699999999998</v>
      </c>
    </row>
    <row r="37" spans="2:17" x14ac:dyDescent="0.25">
      <c r="B37" s="161"/>
      <c r="C37" s="10"/>
      <c r="D37" s="39"/>
      <c r="E37" s="39"/>
      <c r="F37" s="39"/>
      <c r="G37" s="39"/>
      <c r="H37" s="175"/>
      <c r="I37" s="39"/>
      <c r="J37" s="39"/>
      <c r="K37" s="39"/>
      <c r="L37" s="39"/>
      <c r="O37" s="78">
        <v>0.9</v>
      </c>
      <c r="P37" s="78">
        <f t="shared" si="0"/>
        <v>38.582999999999998</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07" priority="35">
      <formula>F47&gt;0</formula>
    </cfRule>
    <cfRule type="expression" dxfId="306" priority="36">
      <formula>F47&lt;0</formula>
    </cfRule>
  </conditionalFormatting>
  <conditionalFormatting sqref="Q7">
    <cfRule type="expression" dxfId="305" priority="33">
      <formula>Q7&gt;0</formula>
    </cfRule>
    <cfRule type="expression" dxfId="304" priority="34">
      <formula>Q7&lt;0</formula>
    </cfRule>
  </conditionalFormatting>
  <conditionalFormatting sqref="Q8">
    <cfRule type="expression" dxfId="303" priority="31">
      <formula>Q8&gt;0</formula>
    </cfRule>
    <cfRule type="expression" dxfId="302" priority="32">
      <formula>Q8&lt;0</formula>
    </cfRule>
  </conditionalFormatting>
  <conditionalFormatting sqref="F30:F46">
    <cfRule type="expression" dxfId="301" priority="29">
      <formula>F30&gt;0</formula>
    </cfRule>
    <cfRule type="expression" dxfId="300" priority="30">
      <formula>F30&lt;0</formula>
    </cfRule>
  </conditionalFormatting>
  <conditionalFormatting sqref="H30:H46">
    <cfRule type="expression" dxfId="299" priority="27">
      <formula>H30&gt;0</formula>
    </cfRule>
    <cfRule type="expression" dxfId="298" priority="28">
      <formula>H30&lt;0</formula>
    </cfRule>
  </conditionalFormatting>
  <conditionalFormatting sqref="Q10">
    <cfRule type="expression" dxfId="297" priority="25">
      <formula>Q10&gt;0</formula>
    </cfRule>
    <cfRule type="expression" dxfId="296" priority="26">
      <formula>Q10&lt;0</formula>
    </cfRule>
  </conditionalFormatting>
  <conditionalFormatting sqref="J25:J38">
    <cfRule type="expression" dxfId="295" priority="23">
      <formula>J25&gt;0</formula>
    </cfRule>
    <cfRule type="expression" dxfId="294" priority="24">
      <formula>J25&lt;0</formula>
    </cfRule>
  </conditionalFormatting>
  <conditionalFormatting sqref="K25:K38">
    <cfRule type="expression" dxfId="293" priority="21">
      <formula>K25&gt;0</formula>
    </cfRule>
    <cfRule type="expression" dxfId="292" priority="22">
      <formula>K25&lt;0</formula>
    </cfRule>
  </conditionalFormatting>
  <conditionalFormatting sqref="L25 L38">
    <cfRule type="expression" dxfId="291" priority="19">
      <formula>L25&gt;0</formula>
    </cfRule>
    <cfRule type="expression" dxfId="290" priority="20">
      <formula>L25&lt;0</formula>
    </cfRule>
  </conditionalFormatting>
  <conditionalFormatting sqref="F89:F110">
    <cfRule type="expression" dxfId="289" priority="17">
      <formula>F89&gt;0</formula>
    </cfRule>
    <cfRule type="expression" dxfId="288" priority="18">
      <formula>F89&lt;0</formula>
    </cfRule>
  </conditionalFormatting>
  <conditionalFormatting sqref="H89:H110">
    <cfRule type="expression" dxfId="287" priority="15">
      <formula>H89&gt;0</formula>
    </cfRule>
    <cfRule type="expression" dxfId="286" priority="16">
      <formula>H89&lt;0</formula>
    </cfRule>
  </conditionalFormatting>
  <conditionalFormatting sqref="J89:J102">
    <cfRule type="expression" dxfId="285" priority="13">
      <formula>J89&gt;0</formula>
    </cfRule>
    <cfRule type="expression" dxfId="284" priority="14">
      <formula>J89&lt;0</formula>
    </cfRule>
  </conditionalFormatting>
  <conditionalFormatting sqref="K89:K102">
    <cfRule type="expression" dxfId="283" priority="11">
      <formula>K89&gt;0</formula>
    </cfRule>
    <cfRule type="expression" dxfId="282" priority="12">
      <formula>K89&lt;0</formula>
    </cfRule>
  </conditionalFormatting>
  <conditionalFormatting sqref="L89:L102">
    <cfRule type="expression" dxfId="281" priority="9">
      <formula>L89&gt;0</formula>
    </cfRule>
    <cfRule type="expression" dxfId="280" priority="10">
      <formula>L89&lt;0</formula>
    </cfRule>
  </conditionalFormatting>
  <conditionalFormatting sqref="F25:F29">
    <cfRule type="expression" dxfId="279" priority="7">
      <formula>F25&gt;0</formula>
    </cfRule>
    <cfRule type="expression" dxfId="278" priority="8">
      <formula>F25&lt;0</formula>
    </cfRule>
  </conditionalFormatting>
  <conditionalFormatting sqref="H25:H29">
    <cfRule type="expression" dxfId="277" priority="5">
      <formula>H25&gt;0</formula>
    </cfRule>
    <cfRule type="expression" dxfId="276" priority="6">
      <formula>H25&lt;0</formula>
    </cfRule>
  </conditionalFormatting>
  <hyperlinks>
    <hyperlink ref="A3" location="ACTIVE!A1" display="Back"/>
  </hyperlinks>
  <pageMargins left="0.7" right="0.7" top="0.75" bottom="0.75" header="0.3" footer="0.3"/>
  <pageSetup orientation="portrait" r:id="rId1"/>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AE69"/>
  <sheetViews>
    <sheetView workbookViewId="0">
      <selection activeCell="A3" sqref="A3"/>
    </sheetView>
  </sheetViews>
  <sheetFormatPr defaultRowHeight="15" x14ac:dyDescent="0.25"/>
  <cols>
    <col min="4" max="6" width="9.140625" style="2"/>
    <col min="20" max="20" width="21.85546875" customWidth="1"/>
    <col min="21" max="21" width="29.140625" customWidth="1"/>
    <col min="23" max="23" width="11.140625" customWidth="1"/>
    <col min="24" max="24" width="8.28515625" customWidth="1"/>
    <col min="25" max="27" width="7" bestFit="1" customWidth="1"/>
    <col min="28" max="28" width="10.140625" bestFit="1" customWidth="1"/>
    <col min="29" max="29" width="10.28515625" bestFit="1" customWidth="1"/>
    <col min="30" max="31" width="12.7109375" customWidth="1"/>
  </cols>
  <sheetData>
    <row r="1" spans="1:31" x14ac:dyDescent="0.25">
      <c r="A1" s="11" t="s">
        <v>1</v>
      </c>
      <c r="B1" s="11" t="s">
        <v>2</v>
      </c>
      <c r="C1" s="11" t="s">
        <v>4</v>
      </c>
      <c r="D1" s="20" t="s">
        <v>5</v>
      </c>
      <c r="E1" s="20" t="s">
        <v>94</v>
      </c>
      <c r="F1" s="20" t="s">
        <v>60</v>
      </c>
      <c r="G1" s="11" t="s">
        <v>3</v>
      </c>
      <c r="H1" s="11" t="s">
        <v>6</v>
      </c>
      <c r="I1" s="11" t="s">
        <v>7</v>
      </c>
      <c r="J1" s="11" t="s">
        <v>95</v>
      </c>
      <c r="K1" s="11" t="s">
        <v>61</v>
      </c>
      <c r="L1" s="11" t="s">
        <v>77</v>
      </c>
      <c r="M1" s="11" t="s">
        <v>38</v>
      </c>
      <c r="T1" t="s">
        <v>70</v>
      </c>
      <c r="W1" s="88" t="s">
        <v>113</v>
      </c>
      <c r="X1" s="88" t="s">
        <v>114</v>
      </c>
      <c r="Y1" s="88" t="s">
        <v>115</v>
      </c>
      <c r="Z1" s="88" t="s">
        <v>116</v>
      </c>
      <c r="AA1" s="88" t="s">
        <v>117</v>
      </c>
      <c r="AB1" s="88" t="s">
        <v>118</v>
      </c>
      <c r="AC1" s="88" t="s">
        <v>119</v>
      </c>
      <c r="AD1" s="11" t="s">
        <v>125</v>
      </c>
      <c r="AE1" s="11" t="s">
        <v>127</v>
      </c>
    </row>
    <row r="2" spans="1:31" x14ac:dyDescent="0.25">
      <c r="A2" s="6" t="s">
        <v>54</v>
      </c>
      <c r="B2" s="69"/>
      <c r="C2" s="4"/>
      <c r="D2" s="3"/>
      <c r="E2" s="3"/>
      <c r="F2" s="3"/>
      <c r="G2" s="69"/>
      <c r="H2" s="4"/>
      <c r="I2" s="4"/>
      <c r="J2" s="3"/>
      <c r="K2" s="4"/>
      <c r="L2" s="69"/>
      <c r="M2" s="3"/>
      <c r="O2" s="11" t="s">
        <v>57</v>
      </c>
      <c r="Q2">
        <f>C18-H18</f>
        <v>0</v>
      </c>
      <c r="T2" s="1">
        <v>42297</v>
      </c>
      <c r="U2" t="s">
        <v>138</v>
      </c>
      <c r="W2" s="127">
        <v>42830</v>
      </c>
      <c r="X2" s="10">
        <v>113.14</v>
      </c>
      <c r="Y2" s="10">
        <v>114.38</v>
      </c>
      <c r="Z2" s="10">
        <v>112.45</v>
      </c>
      <c r="AA2" s="10">
        <v>112.5</v>
      </c>
      <c r="AB2" s="90">
        <v>2984600</v>
      </c>
      <c r="AC2" s="10">
        <v>112.5</v>
      </c>
      <c r="AD2" s="2">
        <f>Y2-Z2</f>
        <v>1.9299999999999926</v>
      </c>
      <c r="AE2" s="131">
        <f>AC2/AC3-1</f>
        <v>-4.336666961678004E-3</v>
      </c>
    </row>
    <row r="3" spans="1:31" x14ac:dyDescent="0.25">
      <c r="A3" s="22" t="s">
        <v>71</v>
      </c>
      <c r="B3" s="69"/>
      <c r="C3" s="4"/>
      <c r="D3" s="3"/>
      <c r="E3" s="3"/>
      <c r="F3" s="3"/>
      <c r="G3" s="69"/>
      <c r="H3" s="158"/>
      <c r="I3" s="3"/>
      <c r="J3" s="3"/>
      <c r="K3" s="4"/>
      <c r="L3" s="4"/>
      <c r="M3" s="4"/>
      <c r="O3" s="11" t="s">
        <v>58</v>
      </c>
      <c r="Q3" s="2">
        <f>IF(Q2=0, Q4, (F18-K18-M18)/Q2)</f>
        <v>135.66999999999999</v>
      </c>
      <c r="W3" s="127">
        <v>42829</v>
      </c>
      <c r="X3" s="10">
        <v>112.27</v>
      </c>
      <c r="Y3" s="10">
        <v>113.25</v>
      </c>
      <c r="Z3" s="10">
        <v>112.24</v>
      </c>
      <c r="AA3" s="10">
        <v>112.99</v>
      </c>
      <c r="AB3" s="90">
        <v>2963800</v>
      </c>
      <c r="AC3" s="10">
        <v>112.99</v>
      </c>
      <c r="AD3" s="2">
        <f t="shared" ref="AD3:AD66" si="0">Y3-Z3</f>
        <v>1.0100000000000051</v>
      </c>
      <c r="AE3" s="131">
        <f t="shared" ref="AE3:AE66" si="1">AC3/AC4-1</f>
        <v>9.4702045921557509E-3</v>
      </c>
    </row>
    <row r="4" spans="1:31" x14ac:dyDescent="0.25">
      <c r="B4" s="69"/>
      <c r="C4" s="4"/>
      <c r="D4" s="3"/>
      <c r="E4" s="3"/>
      <c r="F4" s="3"/>
      <c r="G4" s="4"/>
      <c r="H4" s="4"/>
      <c r="I4" s="4"/>
      <c r="J4" s="4"/>
      <c r="K4" s="4"/>
      <c r="L4" s="4"/>
      <c r="M4" s="4"/>
      <c r="O4" s="11" t="s">
        <v>66</v>
      </c>
      <c r="Q4" s="53">
        <v>135.66999999999999</v>
      </c>
      <c r="R4" s="396">
        <v>9.7999999999999997E-3</v>
      </c>
      <c r="W4" s="127">
        <v>42828</v>
      </c>
      <c r="X4" s="10">
        <v>112.28</v>
      </c>
      <c r="Y4" s="10">
        <v>112.48</v>
      </c>
      <c r="Z4" s="10">
        <v>111.24</v>
      </c>
      <c r="AA4" s="10">
        <v>111.93</v>
      </c>
      <c r="AB4" s="90">
        <v>2123000</v>
      </c>
      <c r="AC4" s="10">
        <v>111.93</v>
      </c>
      <c r="AD4" s="2">
        <f t="shared" si="0"/>
        <v>1.2400000000000091</v>
      </c>
      <c r="AE4" s="131">
        <f t="shared" si="1"/>
        <v>-2.4953212726137597E-3</v>
      </c>
    </row>
    <row r="5" spans="1:31" x14ac:dyDescent="0.25">
      <c r="B5" s="4"/>
      <c r="C5" s="4"/>
      <c r="D5" s="3"/>
      <c r="E5" s="3"/>
      <c r="F5" s="3"/>
      <c r="G5" s="4"/>
      <c r="H5" s="4"/>
      <c r="I5" s="4"/>
      <c r="J5" s="4"/>
      <c r="K5" s="4"/>
      <c r="L5" s="4"/>
      <c r="M5" s="4"/>
      <c r="O5" s="11" t="s">
        <v>67</v>
      </c>
      <c r="Q5" s="3">
        <f>Q4*Q2</f>
        <v>0</v>
      </c>
      <c r="W5" s="127">
        <v>42825</v>
      </c>
      <c r="X5" s="10">
        <v>112.5</v>
      </c>
      <c r="Y5" s="10">
        <v>112.63</v>
      </c>
      <c r="Z5" s="10">
        <v>111.85</v>
      </c>
      <c r="AA5" s="10">
        <v>112.21</v>
      </c>
      <c r="AB5" s="90">
        <v>2476300</v>
      </c>
      <c r="AC5" s="10">
        <v>112.21</v>
      </c>
      <c r="AD5" s="2">
        <f t="shared" si="0"/>
        <v>0.78000000000000114</v>
      </c>
      <c r="AE5" s="131">
        <f t="shared" si="1"/>
        <v>-2.1342819030680804E-3</v>
      </c>
    </row>
    <row r="6" spans="1:31" x14ac:dyDescent="0.25">
      <c r="O6" s="11" t="s">
        <v>64</v>
      </c>
      <c r="Q6" s="2">
        <f>Q3*Q2</f>
        <v>0</v>
      </c>
      <c r="W6" s="127">
        <v>42824</v>
      </c>
      <c r="X6" s="10">
        <v>111.96</v>
      </c>
      <c r="Y6" s="10">
        <v>112.66</v>
      </c>
      <c r="Z6" s="10">
        <v>111.85</v>
      </c>
      <c r="AA6" s="10">
        <v>112.45</v>
      </c>
      <c r="AB6" s="90">
        <v>1478900</v>
      </c>
      <c r="AC6" s="10">
        <v>112.45</v>
      </c>
      <c r="AD6" s="2">
        <f t="shared" si="0"/>
        <v>0.81000000000000227</v>
      </c>
      <c r="AE6" s="131">
        <f t="shared" si="1"/>
        <v>3.4802784222738303E-3</v>
      </c>
    </row>
    <row r="7" spans="1:31" x14ac:dyDescent="0.25">
      <c r="O7" s="11" t="s">
        <v>175</v>
      </c>
      <c r="Q7" s="2">
        <f>Q10+Q8</f>
        <v>114.84999999999991</v>
      </c>
      <c r="R7">
        <v>0</v>
      </c>
      <c r="W7" s="127">
        <v>42823</v>
      </c>
      <c r="X7" s="10">
        <v>112.55</v>
      </c>
      <c r="Y7" s="10">
        <v>112.55</v>
      </c>
      <c r="Z7" s="10">
        <v>111.91</v>
      </c>
      <c r="AA7" s="10">
        <v>112.06</v>
      </c>
      <c r="AB7" s="90">
        <v>1983100</v>
      </c>
      <c r="AC7" s="10">
        <v>112.06</v>
      </c>
      <c r="AD7" s="2">
        <f t="shared" si="0"/>
        <v>0.64000000000000057</v>
      </c>
      <c r="AE7" s="131">
        <f t="shared" si="1"/>
        <v>-6.0315770800070112E-3</v>
      </c>
    </row>
    <row r="8" spans="1:31" x14ac:dyDescent="0.25">
      <c r="O8" s="11" t="s">
        <v>177</v>
      </c>
      <c r="P8" s="33"/>
      <c r="Q8" s="2">
        <f>K18+M18-F18+Q2*Q4</f>
        <v>0</v>
      </c>
      <c r="W8" s="127">
        <v>42822</v>
      </c>
      <c r="X8" s="10">
        <v>111.41</v>
      </c>
      <c r="Y8" s="10">
        <v>113.15</v>
      </c>
      <c r="Z8" s="10">
        <v>111.32</v>
      </c>
      <c r="AA8" s="10">
        <v>112.74</v>
      </c>
      <c r="AB8" s="90">
        <v>2995700</v>
      </c>
      <c r="AC8" s="10">
        <v>112.74</v>
      </c>
      <c r="AD8" s="2">
        <f t="shared" si="0"/>
        <v>1.8300000000000125</v>
      </c>
      <c r="AE8" s="131">
        <f t="shared" si="1"/>
        <v>8.1373513368505623E-3</v>
      </c>
    </row>
    <row r="9" spans="1:31" x14ac:dyDescent="0.25">
      <c r="O9" s="11" t="s">
        <v>202</v>
      </c>
      <c r="Q9" s="131">
        <f>IF(Q2=0, 0, Q8/Q6)</f>
        <v>0</v>
      </c>
      <c r="W9" s="127">
        <v>42821</v>
      </c>
      <c r="X9" s="10">
        <v>111.08</v>
      </c>
      <c r="Y9" s="10">
        <v>111.93</v>
      </c>
      <c r="Z9" s="10">
        <v>110.45</v>
      </c>
      <c r="AA9" s="10">
        <v>111.83</v>
      </c>
      <c r="AB9" s="90">
        <v>2485400</v>
      </c>
      <c r="AC9" s="10">
        <v>111.83</v>
      </c>
      <c r="AD9" s="2">
        <f t="shared" si="0"/>
        <v>1.480000000000004</v>
      </c>
      <c r="AE9" s="131">
        <f t="shared" si="1"/>
        <v>2.6833631484790565E-4</v>
      </c>
    </row>
    <row r="10" spans="1:31" x14ac:dyDescent="0.25">
      <c r="O10" s="11" t="s">
        <v>201</v>
      </c>
      <c r="P10" s="33"/>
      <c r="Q10" s="2">
        <f>M27</f>
        <v>114.84999999999991</v>
      </c>
      <c r="W10" s="127">
        <v>42818</v>
      </c>
      <c r="X10" s="10">
        <v>111.98</v>
      </c>
      <c r="Y10" s="10">
        <v>112.28</v>
      </c>
      <c r="Z10" s="10">
        <v>111.33</v>
      </c>
      <c r="AA10" s="10">
        <v>111.8</v>
      </c>
      <c r="AB10" s="90">
        <v>2226500</v>
      </c>
      <c r="AC10" s="10">
        <v>111.8</v>
      </c>
      <c r="AD10" s="2">
        <f t="shared" si="0"/>
        <v>0.95000000000000284</v>
      </c>
      <c r="AE10" s="131">
        <f t="shared" si="1"/>
        <v>-3.5765379113028573E-4</v>
      </c>
    </row>
    <row r="11" spans="1:31" x14ac:dyDescent="0.25">
      <c r="O11" s="11" t="s">
        <v>173</v>
      </c>
      <c r="P11" s="33"/>
      <c r="Q11" s="131">
        <f>IF(U58="N/A (N/A)", 0, VALUE(TRIM(CLEAN(MID(U58, FIND("(", U58)+1, 5)))))</f>
        <v>2.35E-2</v>
      </c>
      <c r="W11" s="127">
        <v>42817</v>
      </c>
      <c r="X11" s="10">
        <v>111.93</v>
      </c>
      <c r="Y11" s="10">
        <v>112.45</v>
      </c>
      <c r="Z11" s="10">
        <v>111.56</v>
      </c>
      <c r="AA11" s="10">
        <v>111.84</v>
      </c>
      <c r="AB11" s="90">
        <v>2287400</v>
      </c>
      <c r="AC11" s="10">
        <v>111.84</v>
      </c>
      <c r="AD11" s="2">
        <f t="shared" si="0"/>
        <v>0.89000000000000057</v>
      </c>
      <c r="AE11" s="131">
        <f t="shared" si="1"/>
        <v>-8.0407397480575238E-4</v>
      </c>
    </row>
    <row r="12" spans="1:31" x14ac:dyDescent="0.25">
      <c r="W12" s="127">
        <v>42816</v>
      </c>
      <c r="X12" s="10">
        <v>112.37</v>
      </c>
      <c r="Y12" s="10">
        <v>112.42</v>
      </c>
      <c r="Z12" s="10">
        <v>111.42</v>
      </c>
      <c r="AA12" s="10">
        <v>111.93</v>
      </c>
      <c r="AB12" s="90">
        <v>2122900</v>
      </c>
      <c r="AC12" s="10">
        <v>111.93</v>
      </c>
      <c r="AD12" s="2">
        <f t="shared" si="0"/>
        <v>1</v>
      </c>
      <c r="AE12" s="131">
        <f t="shared" si="1"/>
        <v>-2.0506419400855291E-3</v>
      </c>
    </row>
    <row r="13" spans="1:31" x14ac:dyDescent="0.25">
      <c r="W13" s="127">
        <v>42815</v>
      </c>
      <c r="X13" s="10">
        <v>113.66</v>
      </c>
      <c r="Y13" s="10">
        <v>114.15</v>
      </c>
      <c r="Z13" s="10">
        <v>111.98</v>
      </c>
      <c r="AA13" s="10">
        <v>112.16</v>
      </c>
      <c r="AB13" s="90">
        <v>3550400</v>
      </c>
      <c r="AC13" s="10">
        <v>112.16</v>
      </c>
      <c r="AD13" s="2">
        <f t="shared" si="0"/>
        <v>2.1700000000000017</v>
      </c>
      <c r="AE13" s="131">
        <f t="shared" si="1"/>
        <v>-1.1893225266496388E-2</v>
      </c>
    </row>
    <row r="14" spans="1:31" x14ac:dyDescent="0.25">
      <c r="W14" s="127">
        <v>42814</v>
      </c>
      <c r="X14" s="10">
        <v>113.4</v>
      </c>
      <c r="Y14" s="10">
        <v>114.08</v>
      </c>
      <c r="Z14" s="10">
        <v>112.83</v>
      </c>
      <c r="AA14" s="10">
        <v>113.51</v>
      </c>
      <c r="AB14" s="90">
        <v>2958700</v>
      </c>
      <c r="AC14" s="10">
        <v>113.51</v>
      </c>
      <c r="AD14" s="2">
        <f t="shared" si="0"/>
        <v>1.25</v>
      </c>
      <c r="AE14" s="131">
        <f t="shared" si="1"/>
        <v>5.2886734244173006E-4</v>
      </c>
    </row>
    <row r="15" spans="1:31" x14ac:dyDescent="0.25">
      <c r="W15" s="127">
        <v>42811</v>
      </c>
      <c r="X15" s="10">
        <v>112.68</v>
      </c>
      <c r="Y15" s="10">
        <v>113.95</v>
      </c>
      <c r="Z15" s="10">
        <v>112.27</v>
      </c>
      <c r="AA15" s="10">
        <v>113.45</v>
      </c>
      <c r="AB15" s="90">
        <v>7398500</v>
      </c>
      <c r="AC15" s="10">
        <v>113.45</v>
      </c>
      <c r="AD15" s="2">
        <f t="shared" si="0"/>
        <v>1.6800000000000068</v>
      </c>
      <c r="AE15" s="131">
        <f t="shared" si="1"/>
        <v>9.8807192451486614E-3</v>
      </c>
    </row>
    <row r="16" spans="1:31" x14ac:dyDescent="0.25">
      <c r="W16" s="127">
        <v>42810</v>
      </c>
      <c r="X16" s="10">
        <v>112.77</v>
      </c>
      <c r="Y16" s="10">
        <v>113.22</v>
      </c>
      <c r="Z16" s="10">
        <v>111.95</v>
      </c>
      <c r="AA16" s="10">
        <v>112.34</v>
      </c>
      <c r="AB16" s="90">
        <v>2896300</v>
      </c>
      <c r="AC16" s="10">
        <v>112.34</v>
      </c>
      <c r="AD16" s="2">
        <f t="shared" si="0"/>
        <v>1.269999999999996</v>
      </c>
      <c r="AE16" s="131">
        <f t="shared" si="1"/>
        <v>-6.5440396179695659E-3</v>
      </c>
    </row>
    <row r="17" spans="1:31" x14ac:dyDescent="0.25">
      <c r="W17" s="127">
        <v>42809</v>
      </c>
      <c r="X17" s="10">
        <v>112.12</v>
      </c>
      <c r="Y17" s="10">
        <v>113.3</v>
      </c>
      <c r="Z17" s="10">
        <v>111.87</v>
      </c>
      <c r="AA17" s="10">
        <v>113.08</v>
      </c>
      <c r="AB17" s="90">
        <v>3102000</v>
      </c>
      <c r="AC17" s="10">
        <v>113.08</v>
      </c>
      <c r="AD17" s="2">
        <f t="shared" si="0"/>
        <v>1.4299999999999926</v>
      </c>
      <c r="AE17" s="131">
        <f t="shared" si="1"/>
        <v>1.1177680407761681E-2</v>
      </c>
    </row>
    <row r="18" spans="1:31" x14ac:dyDescent="0.25">
      <c r="A18" s="31" t="s">
        <v>81</v>
      </c>
      <c r="B18" s="14"/>
      <c r="C18" s="14">
        <f>SUM(C2:C17)</f>
        <v>0</v>
      </c>
      <c r="D18" s="18"/>
      <c r="E18" s="18"/>
      <c r="F18" s="18">
        <f>SUM(F2:F17)</f>
        <v>0</v>
      </c>
      <c r="G18" s="14"/>
      <c r="H18" s="14">
        <f>SUM(H2:H4)</f>
        <v>0</v>
      </c>
      <c r="I18" s="14"/>
      <c r="J18" s="14"/>
      <c r="K18" s="14">
        <f>SUM(K2:K4)</f>
        <v>0</v>
      </c>
      <c r="L18" s="14"/>
      <c r="M18" s="18">
        <f>SUM(M2:M17)</f>
        <v>0</v>
      </c>
      <c r="W18" s="127">
        <v>42808</v>
      </c>
      <c r="X18" s="10">
        <v>111.88</v>
      </c>
      <c r="Y18" s="10">
        <v>112.17</v>
      </c>
      <c r="Z18" s="10">
        <v>111.55</v>
      </c>
      <c r="AA18" s="10">
        <v>111.83</v>
      </c>
      <c r="AB18" s="90">
        <v>2194800</v>
      </c>
      <c r="AC18" s="10">
        <v>111.83</v>
      </c>
      <c r="AD18" s="2">
        <f t="shared" si="0"/>
        <v>0.62000000000000455</v>
      </c>
      <c r="AE18" s="131">
        <f t="shared" si="1"/>
        <v>-4.2738847831894633E-3</v>
      </c>
    </row>
    <row r="19" spans="1:31" x14ac:dyDescent="0.25">
      <c r="W19" s="127">
        <v>42807</v>
      </c>
      <c r="X19" s="10">
        <v>112.56</v>
      </c>
      <c r="Y19" s="10">
        <v>112.73</v>
      </c>
      <c r="Z19" s="10">
        <v>111.96</v>
      </c>
      <c r="AA19" s="10">
        <v>112.31</v>
      </c>
      <c r="AB19" s="90">
        <v>2643000</v>
      </c>
      <c r="AC19" s="10">
        <v>112.31</v>
      </c>
      <c r="AD19" s="2">
        <f t="shared" si="0"/>
        <v>0.77000000000001023</v>
      </c>
      <c r="AE19" s="131">
        <f t="shared" si="1"/>
        <v>1.5159621901195131E-3</v>
      </c>
    </row>
    <row r="20" spans="1:31" x14ac:dyDescent="0.25">
      <c r="W20" s="127">
        <v>42804</v>
      </c>
      <c r="X20" s="10">
        <v>112.39</v>
      </c>
      <c r="Y20" s="10">
        <v>112.58</v>
      </c>
      <c r="Z20" s="10">
        <v>111.29</v>
      </c>
      <c r="AA20" s="10">
        <v>112.14</v>
      </c>
      <c r="AB20" s="90">
        <v>3217600</v>
      </c>
      <c r="AC20" s="10">
        <v>112.14</v>
      </c>
      <c r="AD20" s="2">
        <f t="shared" si="0"/>
        <v>1.289999999999992</v>
      </c>
      <c r="AE20" s="131">
        <f t="shared" si="1"/>
        <v>1.8761726078799779E-3</v>
      </c>
    </row>
    <row r="21" spans="1:31" x14ac:dyDescent="0.25">
      <c r="W21" s="127">
        <v>42803</v>
      </c>
      <c r="X21" s="10">
        <v>111.87</v>
      </c>
      <c r="Y21" s="10">
        <v>112.34</v>
      </c>
      <c r="Z21" s="10">
        <v>107.05</v>
      </c>
      <c r="AA21" s="10">
        <v>111.93</v>
      </c>
      <c r="AB21" s="90">
        <v>2919800</v>
      </c>
      <c r="AC21" s="10">
        <v>111.93</v>
      </c>
      <c r="AD21" s="2">
        <f t="shared" si="0"/>
        <v>5.2900000000000063</v>
      </c>
      <c r="AE21" s="131">
        <f t="shared" si="1"/>
        <v>1.6107382550336613E-3</v>
      </c>
    </row>
    <row r="22" spans="1:31" x14ac:dyDescent="0.25">
      <c r="W22" s="127">
        <v>42802</v>
      </c>
      <c r="X22" s="10">
        <v>112.48</v>
      </c>
      <c r="Y22" s="10">
        <v>112.66</v>
      </c>
      <c r="Z22" s="10">
        <v>111.65</v>
      </c>
      <c r="AA22" s="10">
        <v>111.75</v>
      </c>
      <c r="AB22" s="90">
        <v>2581800</v>
      </c>
      <c r="AC22" s="10">
        <v>111.75</v>
      </c>
      <c r="AD22" s="2">
        <f t="shared" si="0"/>
        <v>1.0099999999999909</v>
      </c>
      <c r="AE22" s="131">
        <f t="shared" si="1"/>
        <v>-4.7203420021375564E-3</v>
      </c>
    </row>
    <row r="23" spans="1:31" x14ac:dyDescent="0.25">
      <c r="W23" s="127">
        <v>42801</v>
      </c>
      <c r="X23" s="10">
        <v>111.86</v>
      </c>
      <c r="Y23" s="10">
        <v>112.41</v>
      </c>
      <c r="Z23" s="10">
        <v>111.5</v>
      </c>
      <c r="AA23" s="10">
        <v>112.28</v>
      </c>
      <c r="AB23" s="90">
        <v>2429300</v>
      </c>
      <c r="AC23" s="10">
        <v>112.28</v>
      </c>
      <c r="AD23" s="2">
        <f t="shared" si="0"/>
        <v>0.90999999999999659</v>
      </c>
      <c r="AE23" s="131">
        <f t="shared" si="1"/>
        <v>5.552570302704618E-3</v>
      </c>
    </row>
    <row r="24" spans="1:31" x14ac:dyDescent="0.25">
      <c r="W24" s="127">
        <v>42800</v>
      </c>
      <c r="X24" s="10">
        <v>111.83</v>
      </c>
      <c r="Y24" s="10">
        <v>112.3</v>
      </c>
      <c r="Z24" s="10">
        <v>111.54</v>
      </c>
      <c r="AA24" s="10">
        <v>111.66</v>
      </c>
      <c r="AB24" s="90">
        <v>3763600</v>
      </c>
      <c r="AC24" s="10">
        <v>111.66</v>
      </c>
      <c r="AD24" s="2">
        <f t="shared" si="0"/>
        <v>0.75999999999999091</v>
      </c>
      <c r="AE24" s="131">
        <f t="shared" si="1"/>
        <v>-6.053053231262262E-3</v>
      </c>
    </row>
    <row r="25" spans="1:31" x14ac:dyDescent="0.25">
      <c r="W25" s="127">
        <v>42797</v>
      </c>
      <c r="X25" s="10">
        <v>112.69</v>
      </c>
      <c r="Y25" s="10">
        <v>113.43</v>
      </c>
      <c r="Z25" s="10">
        <v>112.17</v>
      </c>
      <c r="AA25" s="10">
        <v>112.34</v>
      </c>
      <c r="AB25" s="90">
        <v>3108300</v>
      </c>
      <c r="AC25" s="10">
        <v>112.34</v>
      </c>
      <c r="AD25" s="2">
        <f t="shared" si="0"/>
        <v>1.2600000000000051</v>
      </c>
      <c r="AE25" s="131">
        <f t="shared" si="1"/>
        <v>-3.1058656491258496E-3</v>
      </c>
    </row>
    <row r="26" spans="1:31" x14ac:dyDescent="0.25">
      <c r="W26" s="127">
        <v>42796</v>
      </c>
      <c r="X26" s="10">
        <v>113.83</v>
      </c>
      <c r="Y26" s="10">
        <v>114.04</v>
      </c>
      <c r="Z26" s="10">
        <v>112.63</v>
      </c>
      <c r="AA26" s="10">
        <v>112.69</v>
      </c>
      <c r="AB26" s="90">
        <v>2869600</v>
      </c>
      <c r="AC26" s="10">
        <v>112.69</v>
      </c>
      <c r="AD26" s="2">
        <f t="shared" si="0"/>
        <v>1.4100000000000108</v>
      </c>
      <c r="AE26" s="131">
        <f t="shared" si="1"/>
        <v>-8.7086558761436672E-3</v>
      </c>
    </row>
    <row r="27" spans="1:31" x14ac:dyDescent="0.25">
      <c r="L27" t="s">
        <v>201</v>
      </c>
      <c r="M27" s="2">
        <f>M35+K35-F35</f>
        <v>114.84999999999991</v>
      </c>
      <c r="W27" s="127">
        <v>42795</v>
      </c>
      <c r="X27" s="10">
        <v>113.64</v>
      </c>
      <c r="Y27" s="10">
        <v>114.44</v>
      </c>
      <c r="Z27" s="10">
        <v>113.46</v>
      </c>
      <c r="AA27" s="10">
        <v>113.68</v>
      </c>
      <c r="AB27" s="90">
        <v>5046700</v>
      </c>
      <c r="AC27" s="10">
        <v>113.68</v>
      </c>
      <c r="AD27" s="2">
        <f t="shared" si="0"/>
        <v>0.98000000000000398</v>
      </c>
      <c r="AE27" s="131">
        <f t="shared" si="1"/>
        <v>1.0039982230120037E-2</v>
      </c>
    </row>
    <row r="28" spans="1:31" x14ac:dyDescent="0.25">
      <c r="A28" s="195" t="s">
        <v>1</v>
      </c>
      <c r="B28" s="195" t="s">
        <v>2</v>
      </c>
      <c r="C28" s="195" t="s">
        <v>4</v>
      </c>
      <c r="D28" s="196" t="s">
        <v>5</v>
      </c>
      <c r="E28" s="196" t="s">
        <v>94</v>
      </c>
      <c r="F28" s="196" t="s">
        <v>60</v>
      </c>
      <c r="G28" s="195" t="s">
        <v>3</v>
      </c>
      <c r="H28" s="195" t="s">
        <v>6</v>
      </c>
      <c r="I28" s="195" t="s">
        <v>7</v>
      </c>
      <c r="J28" s="195" t="s">
        <v>95</v>
      </c>
      <c r="K28" s="195" t="s">
        <v>61</v>
      </c>
      <c r="L28" s="195" t="s">
        <v>77</v>
      </c>
      <c r="M28" s="195" t="s">
        <v>38</v>
      </c>
      <c r="W28" s="127">
        <v>42794</v>
      </c>
      <c r="X28" s="10">
        <v>112.97</v>
      </c>
      <c r="Y28" s="10">
        <v>113.19</v>
      </c>
      <c r="Z28" s="10">
        <v>112.34</v>
      </c>
      <c r="AA28" s="10">
        <v>112.55</v>
      </c>
      <c r="AB28" s="90">
        <v>2929600</v>
      </c>
      <c r="AC28" s="10">
        <v>112.55</v>
      </c>
      <c r="AD28" s="2">
        <f t="shared" si="0"/>
        <v>0.84999999999999432</v>
      </c>
      <c r="AE28" s="131">
        <f t="shared" si="1"/>
        <v>-2.3047602162928893E-3</v>
      </c>
    </row>
    <row r="29" spans="1:31" x14ac:dyDescent="0.25">
      <c r="A29" s="197" t="s">
        <v>54</v>
      </c>
      <c r="B29" s="198">
        <v>42214</v>
      </c>
      <c r="C29" s="193">
        <v>10</v>
      </c>
      <c r="D29" s="194">
        <v>99.58</v>
      </c>
      <c r="E29" s="194">
        <v>0</v>
      </c>
      <c r="F29" s="194">
        <f>C29*D29</f>
        <v>995.8</v>
      </c>
      <c r="G29" s="198">
        <v>42237</v>
      </c>
      <c r="H29" s="193">
        <v>10</v>
      </c>
      <c r="I29" s="193">
        <v>99.56</v>
      </c>
      <c r="J29" s="194">
        <v>0.02</v>
      </c>
      <c r="K29" s="193">
        <f>I29*H29-J29</f>
        <v>995.58</v>
      </c>
      <c r="L29" s="198">
        <v>42257</v>
      </c>
      <c r="M29" s="194">
        <v>9.6</v>
      </c>
      <c r="W29" s="127">
        <v>42793</v>
      </c>
      <c r="X29" s="10">
        <v>112.59</v>
      </c>
      <c r="Y29" s="10">
        <v>112.97</v>
      </c>
      <c r="Z29" s="10">
        <v>112.03</v>
      </c>
      <c r="AA29" s="10">
        <v>112.81</v>
      </c>
      <c r="AB29" s="90">
        <v>2718900</v>
      </c>
      <c r="AC29" s="10">
        <v>112.81</v>
      </c>
      <c r="AD29" s="2">
        <f t="shared" si="0"/>
        <v>0.93999999999999773</v>
      </c>
      <c r="AE29" s="131">
        <f t="shared" si="1"/>
        <v>3.112217677396556E-3</v>
      </c>
    </row>
    <row r="30" spans="1:31" x14ac:dyDescent="0.25">
      <c r="A30" s="200" t="s">
        <v>71</v>
      </c>
      <c r="B30" s="198">
        <v>42219</v>
      </c>
      <c r="C30" s="193">
        <v>5</v>
      </c>
      <c r="D30" s="194">
        <v>97.95</v>
      </c>
      <c r="E30" s="194">
        <v>0</v>
      </c>
      <c r="F30" s="194">
        <f>C30*D30</f>
        <v>489.75</v>
      </c>
      <c r="G30" s="198">
        <v>42304</v>
      </c>
      <c r="H30" s="199">
        <v>15</v>
      </c>
      <c r="I30" s="194">
        <v>98.75</v>
      </c>
      <c r="J30" s="194">
        <v>0.03</v>
      </c>
      <c r="K30" s="193">
        <f>I30*H30-J30</f>
        <v>1481.22</v>
      </c>
      <c r="L30" s="193"/>
      <c r="M30" s="193"/>
      <c r="W30" s="127">
        <v>42790</v>
      </c>
      <c r="X30" s="10">
        <v>111.82</v>
      </c>
      <c r="Y30" s="10">
        <v>112.69</v>
      </c>
      <c r="Z30" s="10">
        <v>111.75</v>
      </c>
      <c r="AA30" s="10">
        <v>112.46</v>
      </c>
      <c r="AB30" s="90">
        <v>2639300</v>
      </c>
      <c r="AC30" s="10">
        <v>112.46</v>
      </c>
      <c r="AD30" s="2">
        <f t="shared" si="0"/>
        <v>0.93999999999999773</v>
      </c>
      <c r="AE30" s="131">
        <f t="shared" si="1"/>
        <v>3.3009189044517218E-3</v>
      </c>
    </row>
    <row r="31" spans="1:31" x14ac:dyDescent="0.25">
      <c r="A31" s="193"/>
      <c r="B31" s="198">
        <v>42272</v>
      </c>
      <c r="C31" s="193">
        <v>10</v>
      </c>
      <c r="D31" s="194">
        <v>88.6</v>
      </c>
      <c r="E31" s="194">
        <v>0</v>
      </c>
      <c r="F31" s="194">
        <f>C31*D31</f>
        <v>886</v>
      </c>
      <c r="G31" s="193"/>
      <c r="H31" s="193"/>
      <c r="I31" s="193"/>
      <c r="J31" s="193"/>
      <c r="K31" s="193"/>
      <c r="L31" s="193"/>
      <c r="M31" s="193"/>
      <c r="W31" s="127">
        <v>42789</v>
      </c>
      <c r="X31" s="10">
        <v>112.7</v>
      </c>
      <c r="Y31" s="10">
        <v>112.88</v>
      </c>
      <c r="Z31" s="10">
        <v>111.97</v>
      </c>
      <c r="AA31" s="10">
        <v>112.09</v>
      </c>
      <c r="AB31" s="90">
        <v>3463400</v>
      </c>
      <c r="AC31" s="10">
        <v>112.09</v>
      </c>
      <c r="AD31" s="2">
        <f t="shared" si="0"/>
        <v>0.90999999999999659</v>
      </c>
      <c r="AE31" s="131">
        <f t="shared" si="1"/>
        <v>-5.0594709746137889E-3</v>
      </c>
    </row>
    <row r="32" spans="1:31" x14ac:dyDescent="0.25">
      <c r="A32" s="193"/>
      <c r="B32" s="193"/>
      <c r="C32" s="193"/>
      <c r="D32" s="194"/>
      <c r="E32" s="194"/>
      <c r="F32" s="194"/>
      <c r="G32" s="193"/>
      <c r="H32" s="193"/>
      <c r="I32" s="193"/>
      <c r="J32" s="193"/>
      <c r="K32" s="193"/>
      <c r="L32" s="193"/>
      <c r="M32" s="193"/>
      <c r="W32" s="127">
        <v>42788</v>
      </c>
      <c r="X32" s="10">
        <v>112.35</v>
      </c>
      <c r="Y32" s="10">
        <v>112.71</v>
      </c>
      <c r="Z32" s="10">
        <v>111.72</v>
      </c>
      <c r="AA32" s="10">
        <v>112.66</v>
      </c>
      <c r="AB32" s="90">
        <v>2203600</v>
      </c>
      <c r="AC32" s="10">
        <v>112.66</v>
      </c>
      <c r="AD32" s="2">
        <f t="shared" si="0"/>
        <v>0.98999999999999488</v>
      </c>
      <c r="AE32" s="131">
        <f t="shared" si="1"/>
        <v>1.4222222222222136E-3</v>
      </c>
    </row>
    <row r="33" spans="1:31" x14ac:dyDescent="0.25">
      <c r="A33" s="193"/>
      <c r="B33" s="193"/>
      <c r="C33" s="193"/>
      <c r="D33" s="194"/>
      <c r="E33" s="194"/>
      <c r="F33" s="194"/>
      <c r="G33" s="193"/>
      <c r="H33" s="193"/>
      <c r="I33" s="193"/>
      <c r="J33" s="193"/>
      <c r="K33" s="193"/>
      <c r="L33" s="193"/>
      <c r="M33" s="193"/>
      <c r="W33" s="127">
        <v>42787</v>
      </c>
      <c r="X33" s="10">
        <v>112.19</v>
      </c>
      <c r="Y33" s="10">
        <v>112.8</v>
      </c>
      <c r="Z33" s="10">
        <v>112.04</v>
      </c>
      <c r="AA33" s="10">
        <v>112.5</v>
      </c>
      <c r="AB33" s="90">
        <v>1912800</v>
      </c>
      <c r="AC33" s="10">
        <v>112.5</v>
      </c>
      <c r="AD33" s="2">
        <f t="shared" si="0"/>
        <v>0.75999999999999091</v>
      </c>
      <c r="AE33" s="131">
        <f t="shared" si="1"/>
        <v>3.1208203299153414E-3</v>
      </c>
    </row>
    <row r="34" spans="1:31" x14ac:dyDescent="0.25">
      <c r="A34" s="193"/>
      <c r="B34" s="193"/>
      <c r="C34" s="193"/>
      <c r="D34" s="194"/>
      <c r="E34" s="194"/>
      <c r="F34" s="194"/>
      <c r="G34" s="193"/>
      <c r="H34" s="193"/>
      <c r="I34" s="193"/>
      <c r="J34" s="193"/>
      <c r="K34" s="193"/>
      <c r="L34" s="193"/>
      <c r="M34" s="193"/>
      <c r="W34" s="127">
        <v>42783</v>
      </c>
      <c r="X34" s="10">
        <v>111.93</v>
      </c>
      <c r="Y34" s="10">
        <v>112.33</v>
      </c>
      <c r="Z34" s="10">
        <v>111.61</v>
      </c>
      <c r="AA34" s="10">
        <v>112.15</v>
      </c>
      <c r="AB34" s="90">
        <v>2492400</v>
      </c>
      <c r="AC34" s="10">
        <v>112.15</v>
      </c>
      <c r="AD34" s="2">
        <f t="shared" si="0"/>
        <v>0.71999999999999886</v>
      </c>
      <c r="AE34" s="131">
        <f t="shared" si="1"/>
        <v>7.1383956455806086E-4</v>
      </c>
    </row>
    <row r="35" spans="1:31" x14ac:dyDescent="0.25">
      <c r="A35" s="31" t="s">
        <v>81</v>
      </c>
      <c r="B35" s="14"/>
      <c r="C35" s="14">
        <f>SUM(C29:C34)</f>
        <v>25</v>
      </c>
      <c r="D35" s="18"/>
      <c r="E35" s="18"/>
      <c r="F35" s="18">
        <f>SUM(F29:F34)</f>
        <v>2371.5500000000002</v>
      </c>
      <c r="G35" s="14"/>
      <c r="H35" s="14">
        <f>SUM(H29:H31)</f>
        <v>25</v>
      </c>
      <c r="I35" s="14"/>
      <c r="J35" s="14"/>
      <c r="K35" s="14">
        <f>SUM(K29:K31)</f>
        <v>2476.8000000000002</v>
      </c>
      <c r="L35" s="14"/>
      <c r="M35" s="18">
        <f>SUM(M29:M34)</f>
        <v>9.6</v>
      </c>
      <c r="W35" s="127">
        <v>42782</v>
      </c>
      <c r="X35" s="10">
        <v>112.14</v>
      </c>
      <c r="Y35" s="10">
        <v>112.33</v>
      </c>
      <c r="Z35" s="10">
        <v>111.81</v>
      </c>
      <c r="AA35" s="10">
        <v>112.07</v>
      </c>
      <c r="AB35" s="90">
        <v>2789700</v>
      </c>
      <c r="AC35" s="10">
        <v>112.07</v>
      </c>
      <c r="AD35" s="2">
        <f t="shared" si="0"/>
        <v>0.51999999999999602</v>
      </c>
      <c r="AE35" s="131">
        <f t="shared" si="1"/>
        <v>1.429720310964111E-3</v>
      </c>
    </row>
    <row r="36" spans="1:31" x14ac:dyDescent="0.25">
      <c r="A36" s="193"/>
      <c r="B36" s="193"/>
      <c r="C36" s="193"/>
      <c r="D36" s="194"/>
      <c r="E36" s="194"/>
      <c r="F36" s="194"/>
      <c r="G36" s="193"/>
      <c r="H36" s="193"/>
      <c r="I36" s="193"/>
      <c r="J36" s="193"/>
      <c r="K36" s="193"/>
      <c r="L36" s="193"/>
      <c r="M36" s="193"/>
      <c r="W36" s="127">
        <v>42781</v>
      </c>
      <c r="X36" s="10">
        <v>111.13</v>
      </c>
      <c r="Y36" s="10">
        <v>112.08</v>
      </c>
      <c r="Z36" s="10">
        <v>111.06</v>
      </c>
      <c r="AA36" s="10">
        <v>111.91</v>
      </c>
      <c r="AB36" s="90">
        <v>2600600</v>
      </c>
      <c r="AC36" s="10">
        <v>111.91</v>
      </c>
      <c r="AD36" s="2">
        <f t="shared" si="0"/>
        <v>1.019999999999996</v>
      </c>
      <c r="AE36" s="131" t="e">
        <f t="shared" si="1"/>
        <v>#DIV/0!</v>
      </c>
    </row>
    <row r="37" spans="1:31" x14ac:dyDescent="0.25">
      <c r="A37" s="193"/>
      <c r="B37" s="193"/>
      <c r="C37" s="193"/>
      <c r="D37" s="194"/>
      <c r="E37" s="194"/>
      <c r="F37" s="194"/>
      <c r="G37" s="193"/>
      <c r="H37" s="193"/>
      <c r="I37" s="193"/>
      <c r="J37" s="193"/>
      <c r="K37" s="193"/>
      <c r="L37" s="193"/>
      <c r="M37" s="193"/>
      <c r="W37" s="127">
        <v>42781</v>
      </c>
      <c r="X37" s="10" t="s">
        <v>205</v>
      </c>
      <c r="Y37" s="10"/>
      <c r="Z37" s="10"/>
      <c r="AA37" s="10"/>
      <c r="AB37" s="90"/>
      <c r="AC37" s="10"/>
      <c r="AD37" s="2">
        <f t="shared" si="0"/>
        <v>0</v>
      </c>
      <c r="AE37" s="131">
        <f t="shared" si="1"/>
        <v>-1</v>
      </c>
    </row>
    <row r="38" spans="1:31" x14ac:dyDescent="0.25">
      <c r="W38" s="127">
        <v>42780</v>
      </c>
      <c r="X38" s="10">
        <v>111.99</v>
      </c>
      <c r="Y38" s="10">
        <v>112.32</v>
      </c>
      <c r="Z38" s="10">
        <v>111.45</v>
      </c>
      <c r="AA38" s="10">
        <v>111.57</v>
      </c>
      <c r="AB38" s="90">
        <v>2771900</v>
      </c>
      <c r="AC38" s="10">
        <v>110.91</v>
      </c>
      <c r="AD38" s="2">
        <f t="shared" si="0"/>
        <v>0.86999999999999034</v>
      </c>
      <c r="AE38" s="131">
        <f t="shared" si="1"/>
        <v>-4.0409482758620996E-3</v>
      </c>
    </row>
    <row r="39" spans="1:31" ht="20.25" thickBot="1" x14ac:dyDescent="0.35">
      <c r="P39" s="886" t="s">
        <v>78</v>
      </c>
      <c r="Q39" s="886"/>
      <c r="W39" s="127">
        <v>42779</v>
      </c>
      <c r="X39" s="10">
        <v>111.61</v>
      </c>
      <c r="Y39" s="10">
        <v>112.1</v>
      </c>
      <c r="Z39" s="10">
        <v>111.42</v>
      </c>
      <c r="AA39" s="10">
        <v>112.02</v>
      </c>
      <c r="AB39" s="90">
        <v>2830800</v>
      </c>
      <c r="AC39" s="10">
        <v>111.36</v>
      </c>
      <c r="AD39" s="2">
        <f t="shared" si="0"/>
        <v>0.67999999999999261</v>
      </c>
      <c r="AE39" s="131">
        <f t="shared" si="1"/>
        <v>8.7870278104900112E-3</v>
      </c>
    </row>
    <row r="40" spans="1:31" ht="15.75" thickTop="1" x14ac:dyDescent="0.25">
      <c r="O40" s="2"/>
      <c r="P40" s="78">
        <v>1.1000000000000001</v>
      </c>
      <c r="Q40" s="78">
        <f>P40*$Q$4</f>
        <v>149.23699999999999</v>
      </c>
      <c r="W40" s="127">
        <v>42776</v>
      </c>
      <c r="X40" s="10">
        <v>110.25</v>
      </c>
      <c r="Y40" s="10">
        <v>111.26</v>
      </c>
      <c r="Z40" s="10">
        <v>110.08</v>
      </c>
      <c r="AA40" s="10">
        <v>111.05</v>
      </c>
      <c r="AB40" s="90">
        <v>2679200</v>
      </c>
      <c r="AC40" s="10">
        <v>110.39</v>
      </c>
      <c r="AD40" s="2">
        <f t="shared" si="0"/>
        <v>1.1800000000000068</v>
      </c>
      <c r="AE40" s="131">
        <f t="shared" si="1"/>
        <v>8.6805555555555802E-3</v>
      </c>
    </row>
    <row r="41" spans="1:31" x14ac:dyDescent="0.25">
      <c r="O41" s="2"/>
      <c r="P41" s="78">
        <v>1.0900000000000001</v>
      </c>
      <c r="Q41" s="78">
        <f t="shared" ref="Q41:Q60" si="2">P41*$Q$4</f>
        <v>147.88030000000001</v>
      </c>
      <c r="W41" s="127">
        <v>42775</v>
      </c>
      <c r="X41" s="10">
        <v>110.4</v>
      </c>
      <c r="Y41" s="10">
        <v>110.72</v>
      </c>
      <c r="Z41" s="10">
        <v>110</v>
      </c>
      <c r="AA41" s="10">
        <v>110.09</v>
      </c>
      <c r="AB41" s="90">
        <v>2654000</v>
      </c>
      <c r="AC41" s="10">
        <v>109.44</v>
      </c>
      <c r="AD41" s="2">
        <f t="shared" si="0"/>
        <v>0.71999999999999886</v>
      </c>
      <c r="AE41" s="131">
        <f t="shared" si="1"/>
        <v>-2.8246013667425629E-3</v>
      </c>
    </row>
    <row r="42" spans="1:31" ht="20.25" thickBot="1" x14ac:dyDescent="0.35">
      <c r="O42" s="2"/>
      <c r="P42" s="78">
        <v>1.08</v>
      </c>
      <c r="Q42" s="78">
        <f t="shared" si="2"/>
        <v>146.52359999999999</v>
      </c>
      <c r="T42" s="86" t="s">
        <v>112</v>
      </c>
      <c r="W42" s="127">
        <v>42774</v>
      </c>
      <c r="X42" s="10">
        <v>111.09</v>
      </c>
      <c r="Y42" s="10">
        <v>111.09</v>
      </c>
      <c r="Z42" s="10">
        <v>110.35</v>
      </c>
      <c r="AA42" s="10">
        <v>110.4</v>
      </c>
      <c r="AB42" s="90">
        <v>2072300</v>
      </c>
      <c r="AC42" s="10">
        <v>109.75</v>
      </c>
      <c r="AD42" s="2">
        <f t="shared" si="0"/>
        <v>0.74000000000000909</v>
      </c>
      <c r="AE42" s="131">
        <f t="shared" si="1"/>
        <v>-7.5956234740934825E-3</v>
      </c>
    </row>
    <row r="43" spans="1:31" ht="15.75" thickTop="1" x14ac:dyDescent="0.25">
      <c r="O43" s="2"/>
      <c r="P43" s="78">
        <v>1.07</v>
      </c>
      <c r="Q43" s="78">
        <f t="shared" si="2"/>
        <v>145.1669</v>
      </c>
      <c r="T43" s="122" t="s">
        <v>97</v>
      </c>
      <c r="U43" s="93">
        <v>112.99</v>
      </c>
      <c r="W43" s="127">
        <v>42773</v>
      </c>
      <c r="X43" s="10">
        <v>111.38</v>
      </c>
      <c r="Y43" s="10">
        <v>111.73</v>
      </c>
      <c r="Z43" s="10">
        <v>110.97</v>
      </c>
      <c r="AA43" s="10">
        <v>111.25</v>
      </c>
      <c r="AB43" s="90">
        <v>2774400</v>
      </c>
      <c r="AC43" s="10">
        <v>110.59</v>
      </c>
      <c r="AD43" s="2">
        <f t="shared" si="0"/>
        <v>0.76000000000000512</v>
      </c>
      <c r="AE43" s="131">
        <f t="shared" si="1"/>
        <v>5.0895210397163826E-3</v>
      </c>
    </row>
    <row r="44" spans="1:31" x14ac:dyDescent="0.25">
      <c r="O44" s="2"/>
      <c r="P44" s="78">
        <v>1.06</v>
      </c>
      <c r="Q44" s="78">
        <f t="shared" si="2"/>
        <v>143.81019999999998</v>
      </c>
      <c r="T44" s="88" t="s">
        <v>98</v>
      </c>
      <c r="U44" s="83">
        <v>113.14</v>
      </c>
      <c r="W44" s="127">
        <v>42772</v>
      </c>
      <c r="X44" s="10">
        <v>109.81</v>
      </c>
      <c r="Y44" s="10">
        <v>111.25</v>
      </c>
      <c r="Z44" s="10">
        <v>109.68</v>
      </c>
      <c r="AA44" s="10">
        <v>110.68</v>
      </c>
      <c r="AB44" s="90">
        <v>4229600</v>
      </c>
      <c r="AC44" s="10">
        <v>110.03</v>
      </c>
      <c r="AD44" s="2">
        <f t="shared" si="0"/>
        <v>1.5699999999999932</v>
      </c>
      <c r="AE44" s="131">
        <f t="shared" si="1"/>
        <v>9.449541284403784E-3</v>
      </c>
    </row>
    <row r="45" spans="1:31" x14ac:dyDescent="0.25">
      <c r="O45" s="2"/>
      <c r="P45" s="78">
        <v>1.05</v>
      </c>
      <c r="Q45" s="78">
        <f t="shared" si="2"/>
        <v>142.45349999999999</v>
      </c>
      <c r="T45" s="88" t="s">
        <v>99</v>
      </c>
      <c r="U45" s="83" t="s">
        <v>128</v>
      </c>
      <c r="W45" s="127">
        <v>42769</v>
      </c>
      <c r="X45" s="10">
        <v>108.53</v>
      </c>
      <c r="Y45" s="10">
        <v>109.78</v>
      </c>
      <c r="Z45" s="10">
        <v>108.5</v>
      </c>
      <c r="AA45" s="10">
        <v>109.65</v>
      </c>
      <c r="AB45" s="90">
        <v>3411200</v>
      </c>
      <c r="AC45" s="10">
        <v>109</v>
      </c>
      <c r="AD45" s="2">
        <f t="shared" si="0"/>
        <v>1.2800000000000011</v>
      </c>
      <c r="AE45" s="131">
        <f t="shared" si="1"/>
        <v>1.1882658744894137E-2</v>
      </c>
    </row>
    <row r="46" spans="1:31" x14ac:dyDescent="0.25">
      <c r="O46" s="2"/>
      <c r="P46" s="78">
        <v>1.04</v>
      </c>
      <c r="Q46" s="78">
        <f t="shared" si="2"/>
        <v>141.0968</v>
      </c>
      <c r="T46" s="88" t="s">
        <v>100</v>
      </c>
      <c r="U46" s="83" t="s">
        <v>128</v>
      </c>
      <c r="W46" s="127">
        <v>42768</v>
      </c>
      <c r="X46" s="10">
        <v>108.08</v>
      </c>
      <c r="Y46" s="10">
        <v>108.68</v>
      </c>
      <c r="Z46" s="10">
        <v>106.85</v>
      </c>
      <c r="AA46" s="10">
        <v>108.36</v>
      </c>
      <c r="AB46" s="90">
        <v>4714500</v>
      </c>
      <c r="AC46" s="10">
        <v>107.72</v>
      </c>
      <c r="AD46" s="2">
        <f t="shared" si="0"/>
        <v>1.8300000000000125</v>
      </c>
      <c r="AE46" s="131">
        <f t="shared" si="1"/>
        <v>1.6737957969126249E-3</v>
      </c>
    </row>
    <row r="47" spans="1:31" x14ac:dyDescent="0.25">
      <c r="O47" s="2"/>
      <c r="P47" s="78">
        <v>1.03</v>
      </c>
      <c r="Q47" s="78">
        <f t="shared" si="2"/>
        <v>139.74009999999998</v>
      </c>
      <c r="T47" s="88" t="s">
        <v>101</v>
      </c>
      <c r="U47" s="83">
        <v>118.87</v>
      </c>
      <c r="W47" s="127">
        <v>42767</v>
      </c>
      <c r="X47" s="10">
        <v>109.63</v>
      </c>
      <c r="Y47" s="10">
        <v>109.91</v>
      </c>
      <c r="Z47" s="10">
        <v>107.9</v>
      </c>
      <c r="AA47" s="10">
        <v>108.18</v>
      </c>
      <c r="AB47" s="90">
        <v>4670100</v>
      </c>
      <c r="AC47" s="10">
        <v>107.54</v>
      </c>
      <c r="AD47" s="2">
        <f t="shared" si="0"/>
        <v>2.0099999999999909</v>
      </c>
      <c r="AE47" s="131">
        <f t="shared" si="1"/>
        <v>-1.3575490735644791E-2</v>
      </c>
    </row>
    <row r="48" spans="1:31" x14ac:dyDescent="0.25">
      <c r="O48" s="2"/>
      <c r="P48" s="78">
        <v>1.02</v>
      </c>
      <c r="Q48" s="78">
        <f t="shared" si="2"/>
        <v>138.38339999999999</v>
      </c>
      <c r="T48" s="88" t="s">
        <v>102</v>
      </c>
      <c r="U48" s="83">
        <v>1.0463199999999999</v>
      </c>
      <c r="W48" s="127">
        <v>42766</v>
      </c>
      <c r="X48" s="10">
        <v>109.04</v>
      </c>
      <c r="Y48" s="10">
        <v>109.81</v>
      </c>
      <c r="Z48" s="10">
        <v>108.39</v>
      </c>
      <c r="AA48" s="10">
        <v>109.67</v>
      </c>
      <c r="AB48" s="90">
        <v>3945700</v>
      </c>
      <c r="AC48" s="10">
        <v>109.02</v>
      </c>
      <c r="AD48" s="2">
        <f t="shared" si="0"/>
        <v>1.4200000000000017</v>
      </c>
      <c r="AE48" s="131">
        <f t="shared" si="1"/>
        <v>4.6074456321414381E-3</v>
      </c>
    </row>
    <row r="49" spans="15:31" x14ac:dyDescent="0.25">
      <c r="O49" s="2"/>
      <c r="P49" s="78">
        <v>1.01</v>
      </c>
      <c r="Q49" s="78">
        <f t="shared" si="2"/>
        <v>137.02669999999998</v>
      </c>
      <c r="T49" s="88" t="s">
        <v>121</v>
      </c>
      <c r="U49" s="83" t="s">
        <v>348</v>
      </c>
      <c r="W49" s="127">
        <v>42765</v>
      </c>
      <c r="X49" s="10">
        <v>109.31</v>
      </c>
      <c r="Y49" s="10">
        <v>109.6</v>
      </c>
      <c r="Z49" s="10">
        <v>108.25</v>
      </c>
      <c r="AA49" s="10">
        <v>109.17</v>
      </c>
      <c r="AB49" s="90">
        <v>2909900</v>
      </c>
      <c r="AC49" s="10">
        <v>108.52</v>
      </c>
      <c r="AD49" s="2">
        <f t="shared" si="0"/>
        <v>1.3499999999999943</v>
      </c>
      <c r="AE49" s="131">
        <f t="shared" si="1"/>
        <v>-4.8601558917927834E-3</v>
      </c>
    </row>
    <row r="50" spans="15:31" x14ac:dyDescent="0.25">
      <c r="O50" s="2"/>
      <c r="P50" s="78">
        <v>1</v>
      </c>
      <c r="Q50" s="78">
        <f t="shared" si="2"/>
        <v>135.66999999999999</v>
      </c>
      <c r="T50" s="88"/>
      <c r="U50" s="83"/>
      <c r="W50" s="127">
        <v>42762</v>
      </c>
      <c r="X50" s="10">
        <v>110.15</v>
      </c>
      <c r="Y50" s="10">
        <v>110.9</v>
      </c>
      <c r="Z50" s="10">
        <v>109.61</v>
      </c>
      <c r="AA50" s="10">
        <v>109.7</v>
      </c>
      <c r="AB50" s="90">
        <v>2830000</v>
      </c>
      <c r="AC50" s="10">
        <v>109.05</v>
      </c>
      <c r="AD50" s="2">
        <f t="shared" si="0"/>
        <v>1.2900000000000063</v>
      </c>
      <c r="AE50" s="131">
        <f t="shared" si="1"/>
        <v>-6.0158599945310254E-3</v>
      </c>
    </row>
    <row r="51" spans="15:31" x14ac:dyDescent="0.25">
      <c r="O51" s="2"/>
      <c r="P51" s="78">
        <v>0.99</v>
      </c>
      <c r="Q51" s="78">
        <f t="shared" si="2"/>
        <v>134.3133</v>
      </c>
      <c r="T51" s="88" t="s">
        <v>104</v>
      </c>
      <c r="U51" s="83" t="s">
        <v>595</v>
      </c>
      <c r="W51" s="127">
        <v>42761</v>
      </c>
      <c r="X51" s="10">
        <v>110.8</v>
      </c>
      <c r="Y51" s="10">
        <v>111.49</v>
      </c>
      <c r="Z51" s="10">
        <v>109.53</v>
      </c>
      <c r="AA51" s="10">
        <v>110.36</v>
      </c>
      <c r="AB51" s="90">
        <v>3996000</v>
      </c>
      <c r="AC51" s="10">
        <v>109.71</v>
      </c>
      <c r="AD51" s="2">
        <f t="shared" si="0"/>
        <v>1.9599999999999937</v>
      </c>
      <c r="AE51" s="131">
        <f t="shared" si="1"/>
        <v>-5.3490480507706328E-3</v>
      </c>
    </row>
    <row r="52" spans="15:31" x14ac:dyDescent="0.25">
      <c r="O52" s="2"/>
      <c r="P52" s="78">
        <v>0.98</v>
      </c>
      <c r="Q52" s="78">
        <f t="shared" si="2"/>
        <v>132.95659999999998</v>
      </c>
      <c r="T52" s="88" t="s">
        <v>105</v>
      </c>
      <c r="U52" s="83" t="s">
        <v>457</v>
      </c>
      <c r="W52" s="127">
        <v>42760</v>
      </c>
      <c r="X52" s="10">
        <v>111.87</v>
      </c>
      <c r="Y52" s="10">
        <v>112.51</v>
      </c>
      <c r="Z52" s="10">
        <v>108.78</v>
      </c>
      <c r="AA52" s="10">
        <v>110.96</v>
      </c>
      <c r="AB52" s="90">
        <v>5054000</v>
      </c>
      <c r="AC52" s="10">
        <v>110.3</v>
      </c>
      <c r="AD52" s="2">
        <f t="shared" si="0"/>
        <v>3.730000000000004</v>
      </c>
      <c r="AE52" s="131">
        <f t="shared" si="1"/>
        <v>-5.8584948174854601E-3</v>
      </c>
    </row>
    <row r="53" spans="15:31" x14ac:dyDescent="0.25">
      <c r="P53" s="78">
        <v>0.97</v>
      </c>
      <c r="Q53" s="78">
        <f t="shared" si="2"/>
        <v>131.59989999999999</v>
      </c>
      <c r="T53" s="88" t="s">
        <v>106</v>
      </c>
      <c r="U53" s="85">
        <v>3011928</v>
      </c>
      <c r="W53" s="127">
        <v>42759</v>
      </c>
      <c r="X53" s="10">
        <v>110.68</v>
      </c>
      <c r="Y53" s="10">
        <v>111.69</v>
      </c>
      <c r="Z53" s="10">
        <v>110.34</v>
      </c>
      <c r="AA53" s="10">
        <v>111.61</v>
      </c>
      <c r="AB53" s="90">
        <v>3240000</v>
      </c>
      <c r="AC53" s="10">
        <v>110.95</v>
      </c>
      <c r="AD53" s="2">
        <f t="shared" si="0"/>
        <v>1.3499999999999943</v>
      </c>
      <c r="AE53" s="131">
        <f t="shared" si="1"/>
        <v>1.1486917677089981E-2</v>
      </c>
    </row>
    <row r="54" spans="15:31" x14ac:dyDescent="0.25">
      <c r="P54" s="78">
        <v>0.96</v>
      </c>
      <c r="Q54" s="78">
        <f t="shared" si="2"/>
        <v>130.24319999999997</v>
      </c>
      <c r="T54" s="88" t="s">
        <v>109</v>
      </c>
      <c r="U54" s="85">
        <v>2987150</v>
      </c>
      <c r="W54" s="127">
        <v>42758</v>
      </c>
      <c r="X54" s="10">
        <v>110.84</v>
      </c>
      <c r="Y54" s="10">
        <v>111.3</v>
      </c>
      <c r="Z54" s="10">
        <v>109.98</v>
      </c>
      <c r="AA54" s="10">
        <v>110.34</v>
      </c>
      <c r="AB54" s="90">
        <v>2296600</v>
      </c>
      <c r="AC54" s="10">
        <v>109.69</v>
      </c>
      <c r="AD54" s="2">
        <f t="shared" si="0"/>
        <v>1.3199999999999932</v>
      </c>
      <c r="AE54" s="131">
        <f t="shared" si="1"/>
        <v>-3.9952783074548304E-3</v>
      </c>
    </row>
    <row r="55" spans="15:31" x14ac:dyDescent="0.25">
      <c r="P55" s="78">
        <v>0.95</v>
      </c>
      <c r="Q55" s="78">
        <f t="shared" si="2"/>
        <v>128.88649999999998</v>
      </c>
      <c r="T55" s="88" t="s">
        <v>107</v>
      </c>
      <c r="U55" s="83" t="s">
        <v>596</v>
      </c>
      <c r="W55" s="127">
        <v>42755</v>
      </c>
      <c r="X55" s="10">
        <v>110.95</v>
      </c>
      <c r="Y55" s="10">
        <v>111.1</v>
      </c>
      <c r="Z55" s="10">
        <v>110.03</v>
      </c>
      <c r="AA55" s="10">
        <v>110.79</v>
      </c>
      <c r="AB55" s="90">
        <v>3134300</v>
      </c>
      <c r="AC55" s="10">
        <v>110.13</v>
      </c>
      <c r="AD55" s="2">
        <f t="shared" si="0"/>
        <v>1.0699999999999932</v>
      </c>
      <c r="AE55" s="131">
        <f t="shared" si="1"/>
        <v>5.4510765876258915E-4</v>
      </c>
    </row>
    <row r="56" spans="15:31" x14ac:dyDescent="0.25">
      <c r="P56" s="78">
        <v>0.94</v>
      </c>
      <c r="Q56" s="78">
        <f t="shared" si="2"/>
        <v>127.52979999999998</v>
      </c>
      <c r="T56" s="88" t="s">
        <v>110</v>
      </c>
      <c r="U56" s="83">
        <v>18.39</v>
      </c>
      <c r="W56" s="127">
        <v>42754</v>
      </c>
      <c r="X56" s="10">
        <v>111.03</v>
      </c>
      <c r="Y56" s="10">
        <v>111.6</v>
      </c>
      <c r="Z56" s="10">
        <v>110.02</v>
      </c>
      <c r="AA56" s="10">
        <v>110.73</v>
      </c>
      <c r="AB56" s="90">
        <v>2828200</v>
      </c>
      <c r="AC56" s="10">
        <v>110.07</v>
      </c>
      <c r="AD56" s="2">
        <f t="shared" si="0"/>
        <v>1.5799999999999983</v>
      </c>
      <c r="AE56" s="131">
        <f t="shared" si="1"/>
        <v>2.7329871549603979E-3</v>
      </c>
    </row>
    <row r="57" spans="15:31" x14ac:dyDescent="0.25">
      <c r="P57" s="78">
        <v>0.93</v>
      </c>
      <c r="Q57" s="78">
        <f t="shared" si="2"/>
        <v>126.17309999999999</v>
      </c>
      <c r="T57" s="88" t="s">
        <v>111</v>
      </c>
      <c r="U57" s="83">
        <v>6.12</v>
      </c>
      <c r="W57" s="127">
        <v>42753</v>
      </c>
      <c r="X57" s="10">
        <v>110.2</v>
      </c>
      <c r="Y57" s="10">
        <v>110.89</v>
      </c>
      <c r="Z57" s="10">
        <v>109.82</v>
      </c>
      <c r="AA57" s="10">
        <v>110.42</v>
      </c>
      <c r="AB57" s="90">
        <v>2600300</v>
      </c>
      <c r="AC57" s="10">
        <v>109.77</v>
      </c>
      <c r="AD57" s="2">
        <f t="shared" si="0"/>
        <v>1.0700000000000074</v>
      </c>
      <c r="AE57" s="131">
        <f t="shared" si="1"/>
        <v>4.1163556531285117E-3</v>
      </c>
    </row>
    <row r="58" spans="15:31" x14ac:dyDescent="0.25">
      <c r="P58" s="78">
        <v>0.92</v>
      </c>
      <c r="Q58" s="78">
        <f t="shared" si="2"/>
        <v>124.81639999999999</v>
      </c>
      <c r="T58" s="88" t="s">
        <v>108</v>
      </c>
      <c r="U58" s="83" t="s">
        <v>505</v>
      </c>
      <c r="W58" s="127">
        <v>42752</v>
      </c>
      <c r="X58" s="10">
        <v>109.78</v>
      </c>
      <c r="Y58" s="10">
        <v>110.27</v>
      </c>
      <c r="Z58" s="10">
        <v>109.4</v>
      </c>
      <c r="AA58" s="10">
        <v>109.97</v>
      </c>
      <c r="AB58" s="90">
        <v>2240100</v>
      </c>
      <c r="AC58" s="10">
        <v>109.32</v>
      </c>
      <c r="AD58" s="2">
        <f t="shared" si="0"/>
        <v>0.86999999999999034</v>
      </c>
      <c r="AE58" s="131">
        <f t="shared" si="1"/>
        <v>-2.2816464360683186E-3</v>
      </c>
    </row>
    <row r="59" spans="15:31" x14ac:dyDescent="0.25">
      <c r="P59" s="78">
        <v>0.91</v>
      </c>
      <c r="Q59" s="78">
        <f t="shared" si="2"/>
        <v>123.4597</v>
      </c>
      <c r="W59" s="127">
        <v>42748</v>
      </c>
      <c r="X59" s="10">
        <v>110.93</v>
      </c>
      <c r="Y59" s="10">
        <v>111.26</v>
      </c>
      <c r="Z59" s="10">
        <v>109.85</v>
      </c>
      <c r="AA59" s="10">
        <v>110.22</v>
      </c>
      <c r="AB59" s="90">
        <v>2880600</v>
      </c>
      <c r="AC59" s="10">
        <v>109.57</v>
      </c>
      <c r="AD59" s="2">
        <f t="shared" si="0"/>
        <v>1.4100000000000108</v>
      </c>
      <c r="AE59" s="131">
        <f t="shared" si="1"/>
        <v>-5.3558460421205822E-3</v>
      </c>
    </row>
    <row r="60" spans="15:31" x14ac:dyDescent="0.25">
      <c r="P60" s="78">
        <v>0.9</v>
      </c>
      <c r="Q60" s="78">
        <f t="shared" si="2"/>
        <v>122.10299999999999</v>
      </c>
      <c r="W60" s="127">
        <v>42747</v>
      </c>
      <c r="X60" s="10">
        <v>111.14</v>
      </c>
      <c r="Y60" s="10">
        <v>111.14</v>
      </c>
      <c r="Z60" s="10">
        <v>109.71</v>
      </c>
      <c r="AA60" s="10">
        <v>110.82</v>
      </c>
      <c r="AB60" s="90">
        <v>2644600</v>
      </c>
      <c r="AC60" s="10">
        <v>110.16</v>
      </c>
      <c r="AD60" s="2">
        <f t="shared" si="0"/>
        <v>1.4300000000000068</v>
      </c>
      <c r="AE60" s="131">
        <f t="shared" si="1"/>
        <v>-1.6313213703099683E-3</v>
      </c>
    </row>
    <row r="61" spans="15:31" x14ac:dyDescent="0.25">
      <c r="W61" s="127">
        <v>42746</v>
      </c>
      <c r="X61" s="10">
        <v>111.62</v>
      </c>
      <c r="Y61" s="10">
        <v>111.62</v>
      </c>
      <c r="Z61" s="10">
        <v>110.58</v>
      </c>
      <c r="AA61" s="10">
        <v>111</v>
      </c>
      <c r="AB61" s="90">
        <v>2746200</v>
      </c>
      <c r="AC61" s="10">
        <v>110.34</v>
      </c>
      <c r="AD61" s="2">
        <f t="shared" si="0"/>
        <v>1.0400000000000063</v>
      </c>
      <c r="AE61" s="131">
        <f t="shared" si="1"/>
        <v>-2.3508137432187715E-3</v>
      </c>
    </row>
    <row r="62" spans="15:31" x14ac:dyDescent="0.25">
      <c r="W62" s="127">
        <v>42745</v>
      </c>
      <c r="X62" s="10">
        <v>111.75</v>
      </c>
      <c r="Y62" s="10">
        <v>111.83</v>
      </c>
      <c r="Z62" s="10">
        <v>111.06</v>
      </c>
      <c r="AA62" s="10">
        <v>111.26</v>
      </c>
      <c r="AB62" s="90">
        <v>1800400</v>
      </c>
      <c r="AC62" s="10">
        <v>110.6</v>
      </c>
      <c r="AD62" s="2">
        <f t="shared" si="0"/>
        <v>0.76999999999999602</v>
      </c>
      <c r="AE62" s="131">
        <f t="shared" si="1"/>
        <v>-2.1652832912306685E-3</v>
      </c>
    </row>
    <row r="63" spans="15:31" x14ac:dyDescent="0.25">
      <c r="W63" s="127">
        <v>42744</v>
      </c>
      <c r="X63" s="10">
        <v>112.7</v>
      </c>
      <c r="Y63" s="10">
        <v>112.7</v>
      </c>
      <c r="Z63" s="10">
        <v>111.27</v>
      </c>
      <c r="AA63" s="10">
        <v>111.5</v>
      </c>
      <c r="AB63" s="90">
        <v>2434100</v>
      </c>
      <c r="AC63" s="10">
        <v>110.84</v>
      </c>
      <c r="AD63" s="2">
        <f t="shared" si="0"/>
        <v>1.4300000000000068</v>
      </c>
      <c r="AE63" s="131">
        <f t="shared" si="1"/>
        <v>-9.2956739363603269E-3</v>
      </c>
    </row>
    <row r="64" spans="15:31" x14ac:dyDescent="0.25">
      <c r="W64" s="127">
        <v>42741</v>
      </c>
      <c r="X64" s="10">
        <v>111.42</v>
      </c>
      <c r="Y64" s="10">
        <v>112.83</v>
      </c>
      <c r="Z64" s="10">
        <v>111.06</v>
      </c>
      <c r="AA64" s="10">
        <v>112.55</v>
      </c>
      <c r="AB64" s="90">
        <v>2622000</v>
      </c>
      <c r="AC64" s="10">
        <v>111.88</v>
      </c>
      <c r="AD64" s="2">
        <f t="shared" si="0"/>
        <v>1.769999999999996</v>
      </c>
      <c r="AE64" s="131">
        <f t="shared" si="1"/>
        <v>1.0750745324780819E-2</v>
      </c>
    </row>
    <row r="65" spans="23:31" x14ac:dyDescent="0.25">
      <c r="W65" s="127">
        <v>42740</v>
      </c>
      <c r="X65" s="10">
        <v>111.17</v>
      </c>
      <c r="Y65" s="10">
        <v>111.94</v>
      </c>
      <c r="Z65" s="10">
        <v>110.56</v>
      </c>
      <c r="AA65" s="10">
        <v>111.35</v>
      </c>
      <c r="AB65" s="90">
        <v>3344900</v>
      </c>
      <c r="AC65" s="10">
        <v>110.69</v>
      </c>
      <c r="AD65" s="2">
        <f t="shared" si="0"/>
        <v>1.3799999999999955</v>
      </c>
      <c r="AE65" s="131">
        <f t="shared" si="1"/>
        <v>4.0820029027577309E-3</v>
      </c>
    </row>
    <row r="66" spans="23:31" x14ac:dyDescent="0.25">
      <c r="W66" s="127">
        <v>42739</v>
      </c>
      <c r="X66" s="10">
        <v>111.46</v>
      </c>
      <c r="Y66" s="10">
        <v>111.7</v>
      </c>
      <c r="Z66" s="10">
        <v>110.58</v>
      </c>
      <c r="AA66" s="10">
        <v>110.9</v>
      </c>
      <c r="AB66" s="90">
        <v>3091400</v>
      </c>
      <c r="AC66" s="10">
        <v>110.24</v>
      </c>
      <c r="AD66" s="2">
        <f t="shared" si="0"/>
        <v>1.1200000000000045</v>
      </c>
      <c r="AE66" s="131">
        <f t="shared" si="1"/>
        <v>6.3538168285370844E-4</v>
      </c>
    </row>
    <row r="67" spans="23:31" x14ac:dyDescent="0.25">
      <c r="W67" s="127">
        <v>42738</v>
      </c>
      <c r="X67" s="10">
        <v>110.39</v>
      </c>
      <c r="Y67" s="10">
        <v>110.96</v>
      </c>
      <c r="Z67" s="10">
        <v>110</v>
      </c>
      <c r="AA67" s="10">
        <v>110.83</v>
      </c>
      <c r="AB67" s="90">
        <v>2739600</v>
      </c>
      <c r="AC67" s="10">
        <v>110.17</v>
      </c>
      <c r="AD67" s="2">
        <f>Y67-Z67</f>
        <v>0.95999999999999375</v>
      </c>
      <c r="AE67" s="131">
        <f>AC67/AC68-1</f>
        <v>1.1012205194090186E-2</v>
      </c>
    </row>
    <row r="68" spans="23:31" x14ac:dyDescent="0.25">
      <c r="W68" s="127">
        <v>42734</v>
      </c>
      <c r="X68" s="10">
        <v>110.59</v>
      </c>
      <c r="Y68" s="10">
        <v>110.79</v>
      </c>
      <c r="Z68" s="10">
        <v>109.38</v>
      </c>
      <c r="AA68" s="10">
        <v>109.62</v>
      </c>
      <c r="AB68" s="90">
        <v>2200500</v>
      </c>
      <c r="AC68" s="10">
        <v>108.97</v>
      </c>
      <c r="AD68" s="2">
        <f>Y68-Z68</f>
        <v>1.4100000000000108</v>
      </c>
      <c r="AE68" s="131" t="e">
        <f>AC68/AC69-1</f>
        <v>#DIV/0!</v>
      </c>
    </row>
    <row r="69" spans="23:31" x14ac:dyDescent="0.25">
      <c r="W69" s="127" t="s">
        <v>120</v>
      </c>
      <c r="X69" s="10"/>
      <c r="Y69" s="10"/>
      <c r="Z69" s="10"/>
      <c r="AA69" s="10"/>
      <c r="AB69" s="90"/>
      <c r="AC69" s="10"/>
      <c r="AD69" s="2">
        <f>Y69-Z69</f>
        <v>0</v>
      </c>
      <c r="AE69" s="131" t="e">
        <f>AC69/AC70-1</f>
        <v>#DIV/0!</v>
      </c>
    </row>
  </sheetData>
  <mergeCells count="1">
    <mergeCell ref="P39:Q39"/>
  </mergeCells>
  <conditionalFormatting sqref="P40:P60">
    <cfRule type="colorScale" priority="8">
      <colorScale>
        <cfvo type="min"/>
        <cfvo type="percentile" val="50"/>
        <cfvo type="max"/>
        <color rgb="FFF8696B"/>
        <color rgb="FFFFEB84"/>
        <color rgb="FF63BE7B"/>
      </colorScale>
    </cfRule>
  </conditionalFormatting>
  <conditionalFormatting sqref="Q40:Q60">
    <cfRule type="colorScale" priority="7">
      <colorScale>
        <cfvo type="min"/>
        <cfvo type="percentile" val="50"/>
        <cfvo type="max"/>
        <color rgb="FFF8696B"/>
        <color rgb="FFFFEB84"/>
        <color rgb="FF63BE7B"/>
      </colorScale>
    </cfRule>
  </conditionalFormatting>
  <conditionalFormatting sqref="AD1:AD69">
    <cfRule type="dataBar" priority="6">
      <dataBar>
        <cfvo type="min"/>
        <cfvo type="max"/>
        <color rgb="FFFF555A"/>
      </dataBar>
      <extLst>
        <ext xmlns:x14="http://schemas.microsoft.com/office/spreadsheetml/2009/9/main" uri="{B025F937-C7B1-47D3-B67F-A62EFF666E3E}">
          <x14:id>{081503D5-6426-4042-A9E9-0E40C70C3316}</x14:id>
        </ext>
      </extLst>
    </cfRule>
  </conditionalFormatting>
  <conditionalFormatting sqref="AE1:AE69">
    <cfRule type="iconSet" priority="5">
      <iconSet iconSet="3Arrows">
        <cfvo type="percent" val="0"/>
        <cfvo type="num" val="0"/>
        <cfvo type="num" val="0"/>
      </iconSet>
    </cfRule>
  </conditionalFormatting>
  <conditionalFormatting sqref="Q7">
    <cfRule type="expression" dxfId="275" priority="3">
      <formula>Q7&gt;0</formula>
    </cfRule>
    <cfRule type="expression" dxfId="274" priority="4">
      <formula>Q7&lt;0</formula>
    </cfRule>
  </conditionalFormatting>
  <conditionalFormatting sqref="Q8">
    <cfRule type="expression" dxfId="273" priority="1">
      <formula>Q8&gt;0</formula>
    </cfRule>
    <cfRule type="expression" dxfId="272" priority="2">
      <formula>Q8&lt;0</formula>
    </cfRule>
  </conditionalFormatting>
  <hyperlinks>
    <hyperlink ref="A3" location="ACTIVE!A1" display="Back"/>
    <hyperlink ref="A3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081503D5-6426-4042-A9E9-0E40C70C331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AQ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18" max="18" width="17.7109375" customWidth="1"/>
    <col min="20" max="20" width="31" customWidth="1"/>
    <col min="21" max="21" width="36" bestFit="1" customWidth="1"/>
    <col min="23" max="23" width="14.5703125" customWidth="1"/>
    <col min="24" max="24" width="9" customWidth="1"/>
    <col min="25" max="27" width="7" bestFit="1" customWidth="1"/>
    <col min="28" max="28" width="10.140625" bestFit="1" customWidth="1"/>
    <col min="29" max="29" width="10.28515625" bestFit="1" customWidth="1"/>
    <col min="30" max="30" width="11.28515625" customWidth="1"/>
    <col min="31" max="31" width="11.140625" customWidth="1"/>
  </cols>
  <sheetData>
    <row r="1" spans="1:43"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88" t="s">
        <v>113</v>
      </c>
      <c r="X1" s="88" t="s">
        <v>114</v>
      </c>
      <c r="Y1" s="88" t="s">
        <v>115</v>
      </c>
      <c r="Z1" s="88" t="s">
        <v>116</v>
      </c>
      <c r="AA1" s="88" t="s">
        <v>117</v>
      </c>
      <c r="AB1" s="88" t="s">
        <v>118</v>
      </c>
      <c r="AC1" s="88" t="s">
        <v>119</v>
      </c>
      <c r="AD1" s="11" t="s">
        <v>125</v>
      </c>
      <c r="AE1" s="11" t="s">
        <v>127</v>
      </c>
      <c r="AI1" s="11" t="s">
        <v>152</v>
      </c>
      <c r="AJ1" s="11" t="s">
        <v>153</v>
      </c>
      <c r="AK1" s="11" t="s">
        <v>154</v>
      </c>
      <c r="AL1" s="11" t="s">
        <v>155</v>
      </c>
      <c r="AO1" s="11" t="s">
        <v>156</v>
      </c>
      <c r="AP1" s="11" t="s">
        <v>59</v>
      </c>
      <c r="AQ1" s="11" t="s">
        <v>158</v>
      </c>
    </row>
    <row r="2" spans="1:43" x14ac:dyDescent="0.25">
      <c r="A2" s="6" t="s">
        <v>51</v>
      </c>
      <c r="B2" s="69"/>
      <c r="C2" s="4"/>
      <c r="D2" s="3"/>
      <c r="E2" s="3"/>
      <c r="F2" s="3"/>
      <c r="G2" s="69"/>
      <c r="H2" s="158"/>
      <c r="I2" s="3"/>
      <c r="J2" s="3"/>
      <c r="K2" s="4"/>
      <c r="L2" s="69"/>
      <c r="M2" s="3"/>
      <c r="O2" s="11" t="s">
        <v>57</v>
      </c>
      <c r="Q2">
        <f>C18-H18</f>
        <v>0</v>
      </c>
      <c r="T2" s="1"/>
      <c r="W2" s="127">
        <v>42830</v>
      </c>
      <c r="X2" s="10">
        <v>165.76</v>
      </c>
      <c r="Y2" s="10">
        <v>167.26</v>
      </c>
      <c r="Z2" s="10">
        <v>165.22</v>
      </c>
      <c r="AA2" s="10">
        <v>165.37</v>
      </c>
      <c r="AB2" s="90">
        <v>3471500</v>
      </c>
      <c r="AC2" s="10">
        <v>165.37</v>
      </c>
      <c r="AD2" s="2">
        <f>Y2-Z2</f>
        <v>2.039999999999992</v>
      </c>
      <c r="AE2" s="131">
        <f>AC2/AC3-1</f>
        <v>2.4246832757470749E-3</v>
      </c>
      <c r="AP2" t="s">
        <v>157</v>
      </c>
    </row>
    <row r="3" spans="1:43" x14ac:dyDescent="0.25">
      <c r="A3" s="22" t="s">
        <v>71</v>
      </c>
      <c r="B3" s="69"/>
      <c r="C3" s="4"/>
      <c r="D3" s="3"/>
      <c r="E3" s="3"/>
      <c r="F3" s="3"/>
      <c r="G3" s="69"/>
      <c r="H3" s="158"/>
      <c r="I3" s="3"/>
      <c r="J3" s="3"/>
      <c r="K3" s="4"/>
      <c r="L3" s="69"/>
      <c r="M3" s="3"/>
      <c r="O3" s="11" t="s">
        <v>58</v>
      </c>
      <c r="Q3" s="2">
        <f>IF(Q2=0, Q4, (F18-K18-M18)/Q2)</f>
        <v>228.77</v>
      </c>
      <c r="W3" s="127">
        <v>42829</v>
      </c>
      <c r="X3" s="10">
        <v>165.87</v>
      </c>
      <c r="Y3" s="10">
        <v>166.45</v>
      </c>
      <c r="Z3" s="10">
        <v>164.79</v>
      </c>
      <c r="AA3" s="10">
        <v>164.97</v>
      </c>
      <c r="AB3" s="90">
        <v>2879100</v>
      </c>
      <c r="AC3" s="10">
        <v>164.97</v>
      </c>
      <c r="AD3" s="2">
        <f t="shared" ref="AD3:AD66" si="0">Y3-Z3</f>
        <v>1.6599999999999966</v>
      </c>
      <c r="AE3" s="131">
        <f t="shared" ref="AE3:AE66" si="1">AC3/AC4-1</f>
        <v>-3.7441874509330786E-3</v>
      </c>
      <c r="AI3" t="s">
        <v>163</v>
      </c>
      <c r="AJ3">
        <v>10</v>
      </c>
      <c r="AK3">
        <v>115.3</v>
      </c>
      <c r="AL3" s="178">
        <v>1153</v>
      </c>
      <c r="AO3" s="178">
        <v>1143.4000000000001</v>
      </c>
      <c r="AP3">
        <v>-9.6</v>
      </c>
      <c r="AQ3">
        <v>-0.83</v>
      </c>
    </row>
    <row r="4" spans="1:43" x14ac:dyDescent="0.25">
      <c r="B4" s="69"/>
      <c r="C4" s="4"/>
      <c r="D4" s="3"/>
      <c r="E4" s="3"/>
      <c r="F4" s="3"/>
      <c r="G4" s="69"/>
      <c r="H4" s="158"/>
      <c r="I4" s="3"/>
      <c r="J4" s="3"/>
      <c r="K4" s="4"/>
      <c r="L4" s="4"/>
      <c r="M4" s="4"/>
      <c r="O4" s="11" t="s">
        <v>66</v>
      </c>
      <c r="Q4" s="53">
        <v>228.77</v>
      </c>
      <c r="R4" s="396">
        <v>1.01E-2</v>
      </c>
      <c r="W4" s="127">
        <v>42828</v>
      </c>
      <c r="X4" s="10">
        <v>164.62</v>
      </c>
      <c r="Y4" s="10">
        <v>166.14</v>
      </c>
      <c r="Z4" s="10">
        <v>164.25</v>
      </c>
      <c r="AA4" s="10">
        <v>165.59</v>
      </c>
      <c r="AB4" s="90">
        <v>3471000</v>
      </c>
      <c r="AC4" s="10">
        <v>165.59</v>
      </c>
      <c r="AD4" s="2">
        <f t="shared" si="0"/>
        <v>1.8899999999999864</v>
      </c>
      <c r="AE4" s="131">
        <f t="shared" si="1"/>
        <v>9.6335589293337076E-3</v>
      </c>
      <c r="AI4" t="s">
        <v>164</v>
      </c>
      <c r="AJ4">
        <v>-10</v>
      </c>
      <c r="AK4" t="s">
        <v>161</v>
      </c>
      <c r="AL4" t="s">
        <v>161</v>
      </c>
      <c r="AO4" s="178">
        <v>-1153.98</v>
      </c>
      <c r="AP4" t="s">
        <v>161</v>
      </c>
      <c r="AQ4" t="s">
        <v>161</v>
      </c>
    </row>
    <row r="5" spans="1:43" x14ac:dyDescent="0.25">
      <c r="B5" s="69"/>
      <c r="C5" s="4"/>
      <c r="D5" s="3"/>
      <c r="E5" s="3"/>
      <c r="F5" s="3"/>
      <c r="G5" s="69"/>
      <c r="H5" s="158"/>
      <c r="I5" s="3"/>
      <c r="J5" s="3"/>
      <c r="K5" s="4"/>
      <c r="L5" s="4"/>
      <c r="M5" s="4"/>
      <c r="O5" s="11" t="s">
        <v>67</v>
      </c>
      <c r="Q5" s="3">
        <f>Q4*Q2</f>
        <v>0</v>
      </c>
      <c r="W5" s="127">
        <v>42825</v>
      </c>
      <c r="X5" s="10">
        <v>164.64</v>
      </c>
      <c r="Y5" s="10">
        <v>165.1</v>
      </c>
      <c r="Z5" s="10">
        <v>163.75</v>
      </c>
      <c r="AA5" s="10">
        <v>164.01</v>
      </c>
      <c r="AB5" s="90">
        <v>3438200</v>
      </c>
      <c r="AC5" s="10">
        <v>164.01</v>
      </c>
      <c r="AD5" s="2">
        <f t="shared" si="0"/>
        <v>1.3499999999999943</v>
      </c>
      <c r="AE5" s="131">
        <f t="shared" si="1"/>
        <v>-5.9397539244804287E-3</v>
      </c>
      <c r="AI5" t="s">
        <v>162</v>
      </c>
      <c r="AJ5">
        <v>10</v>
      </c>
      <c r="AK5">
        <v>115.45</v>
      </c>
      <c r="AL5" s="178">
        <v>1154.52</v>
      </c>
      <c r="AO5" s="178">
        <v>1143.4000000000001</v>
      </c>
      <c r="AP5">
        <v>-11.12</v>
      </c>
      <c r="AQ5">
        <v>-0.96</v>
      </c>
    </row>
    <row r="6" spans="1:43" x14ac:dyDescent="0.25">
      <c r="B6" s="69"/>
      <c r="C6" s="4"/>
      <c r="D6" s="3"/>
      <c r="E6" s="3"/>
      <c r="F6" s="3"/>
      <c r="G6" s="69"/>
      <c r="H6" s="158"/>
      <c r="I6" s="3"/>
      <c r="J6" s="3"/>
      <c r="K6" s="4"/>
      <c r="L6" s="4"/>
      <c r="M6" s="4"/>
      <c r="O6" s="11" t="s">
        <v>64</v>
      </c>
      <c r="Q6" s="2">
        <f>Q3*Q2</f>
        <v>0</v>
      </c>
      <c r="W6" s="127">
        <v>42824</v>
      </c>
      <c r="X6" s="10">
        <v>163.65</v>
      </c>
      <c r="Y6" s="10">
        <v>165.93</v>
      </c>
      <c r="Z6" s="10">
        <v>163.46</v>
      </c>
      <c r="AA6" s="10">
        <v>164.99</v>
      </c>
      <c r="AB6" s="90">
        <v>2988600</v>
      </c>
      <c r="AC6" s="10">
        <v>164.99</v>
      </c>
      <c r="AD6" s="2">
        <f t="shared" si="0"/>
        <v>2.4699999999999989</v>
      </c>
      <c r="AE6" s="131">
        <f t="shared" si="1"/>
        <v>9.4836025452766926E-3</v>
      </c>
      <c r="AI6" t="s">
        <v>160</v>
      </c>
    </row>
    <row r="7" spans="1:43" x14ac:dyDescent="0.25">
      <c r="B7" s="69"/>
      <c r="C7" s="4"/>
      <c r="D7" s="3"/>
      <c r="E7" s="3"/>
      <c r="F7" s="3"/>
      <c r="G7" s="4"/>
      <c r="H7" s="158"/>
      <c r="I7" s="4"/>
      <c r="J7" s="4"/>
      <c r="K7" s="4"/>
      <c r="L7" s="4"/>
      <c r="M7" s="4"/>
      <c r="O7" s="11" t="s">
        <v>175</v>
      </c>
      <c r="Q7" s="2">
        <f>Q10+Q8</f>
        <v>176.70000000000073</v>
      </c>
      <c r="R7">
        <v>0</v>
      </c>
      <c r="W7" s="127">
        <v>42823</v>
      </c>
      <c r="X7" s="10">
        <v>164.66</v>
      </c>
      <c r="Y7" s="10">
        <v>164.97</v>
      </c>
      <c r="Z7" s="10">
        <v>162.74</v>
      </c>
      <c r="AA7" s="10">
        <v>163.44</v>
      </c>
      <c r="AB7" s="90">
        <v>5883000</v>
      </c>
      <c r="AC7" s="10">
        <v>163.44</v>
      </c>
      <c r="AD7" s="2">
        <f t="shared" si="0"/>
        <v>2.2299999999999898</v>
      </c>
      <c r="AE7" s="131">
        <f t="shared" si="1"/>
        <v>-1.1551254913819142E-2</v>
      </c>
    </row>
    <row r="8" spans="1:43" x14ac:dyDescent="0.25">
      <c r="B8" s="4"/>
      <c r="C8" s="4"/>
      <c r="D8" s="3"/>
      <c r="E8" s="3"/>
      <c r="F8" s="3"/>
      <c r="G8" s="4"/>
      <c r="H8" s="4"/>
      <c r="I8" s="4"/>
      <c r="J8" s="4"/>
      <c r="K8" s="4"/>
      <c r="L8" s="4"/>
      <c r="M8" s="4"/>
      <c r="O8" s="11" t="s">
        <v>177</v>
      </c>
      <c r="P8" s="33"/>
      <c r="Q8" s="2">
        <f>K18+M18-F18+Q2*Q4</f>
        <v>0</v>
      </c>
      <c r="W8" s="127">
        <v>42822</v>
      </c>
      <c r="X8" s="10">
        <v>164.58</v>
      </c>
      <c r="Y8" s="10">
        <v>166.07</v>
      </c>
      <c r="Z8" s="10">
        <v>163.84</v>
      </c>
      <c r="AA8" s="10">
        <v>165.35</v>
      </c>
      <c r="AB8" s="90">
        <v>7304500</v>
      </c>
      <c r="AC8" s="10">
        <v>165.35</v>
      </c>
      <c r="AD8" s="2">
        <f t="shared" si="0"/>
        <v>2.2299999999999898</v>
      </c>
      <c r="AE8" s="131">
        <f t="shared" si="1"/>
        <v>4.5565006075334313E-3</v>
      </c>
    </row>
    <row r="9" spans="1:43" x14ac:dyDescent="0.25">
      <c r="O9" s="11" t="s">
        <v>202</v>
      </c>
      <c r="Q9" s="131">
        <f>IF(Q2=0, 0, Q8/Q6)</f>
        <v>0</v>
      </c>
      <c r="W9" s="127">
        <v>42821</v>
      </c>
      <c r="X9" s="10">
        <v>163.99</v>
      </c>
      <c r="Y9" s="10">
        <v>165.11</v>
      </c>
      <c r="Z9" s="10">
        <v>163.31</v>
      </c>
      <c r="AA9" s="10">
        <v>164.6</v>
      </c>
      <c r="AB9" s="90">
        <v>4378600</v>
      </c>
      <c r="AC9" s="10">
        <v>164.6</v>
      </c>
      <c r="AD9" s="2">
        <f t="shared" si="0"/>
        <v>1.8000000000000114</v>
      </c>
      <c r="AE9" s="131">
        <f t="shared" si="1"/>
        <v>-2.4242424242424399E-3</v>
      </c>
    </row>
    <row r="10" spans="1:43" x14ac:dyDescent="0.25">
      <c r="O10" s="11" t="s">
        <v>201</v>
      </c>
      <c r="P10" s="33"/>
      <c r="Q10" s="2">
        <f>M33</f>
        <v>176.70000000000073</v>
      </c>
      <c r="W10" s="127">
        <v>42818</v>
      </c>
      <c r="X10" s="10">
        <v>166.13</v>
      </c>
      <c r="Y10" s="10">
        <v>167.4</v>
      </c>
      <c r="Z10" s="10">
        <v>164.35</v>
      </c>
      <c r="AA10" s="10">
        <v>165</v>
      </c>
      <c r="AB10" s="90">
        <v>5210300</v>
      </c>
      <c r="AC10" s="10">
        <v>165</v>
      </c>
      <c r="AD10" s="2">
        <f t="shared" si="0"/>
        <v>3.0500000000000114</v>
      </c>
      <c r="AE10" s="131">
        <f t="shared" si="1"/>
        <v>-1.75449210478551E-3</v>
      </c>
    </row>
    <row r="11" spans="1:43" x14ac:dyDescent="0.25">
      <c r="O11" s="11" t="s">
        <v>173</v>
      </c>
      <c r="P11" s="33"/>
      <c r="Q11" s="131">
        <f>IF(U58="N/A (N/A)", 0, VALUE(TRIM(CLEAN(MID(U58, FIND("(", U58)+1, 5)))))</f>
        <v>1.52E-2</v>
      </c>
      <c r="W11" s="127">
        <v>42817</v>
      </c>
      <c r="X11" s="10">
        <v>166.23</v>
      </c>
      <c r="Y11" s="10">
        <v>166.93</v>
      </c>
      <c r="Z11" s="10">
        <v>164.77</v>
      </c>
      <c r="AA11" s="10">
        <v>165.29</v>
      </c>
      <c r="AB11" s="90">
        <v>3944100</v>
      </c>
      <c r="AC11" s="10">
        <v>165.29</v>
      </c>
      <c r="AD11" s="2">
        <f t="shared" si="0"/>
        <v>2.1599999999999966</v>
      </c>
      <c r="AE11" s="131">
        <f t="shared" si="1"/>
        <v>-1.0417290307130456E-2</v>
      </c>
    </row>
    <row r="12" spans="1:43" x14ac:dyDescent="0.25">
      <c r="W12" s="127">
        <v>42816</v>
      </c>
      <c r="X12" s="10">
        <v>168.13</v>
      </c>
      <c r="Y12" s="10">
        <v>168.38</v>
      </c>
      <c r="Z12" s="10">
        <v>165.63</v>
      </c>
      <c r="AA12" s="10">
        <v>167.03</v>
      </c>
      <c r="AB12" s="90">
        <v>2978800</v>
      </c>
      <c r="AC12" s="10">
        <v>167.03</v>
      </c>
      <c r="AD12" s="2">
        <f t="shared" si="0"/>
        <v>2.75</v>
      </c>
      <c r="AE12" s="131">
        <f t="shared" si="1"/>
        <v>-3.9952295766249035E-3</v>
      </c>
    </row>
    <row r="13" spans="1:43" x14ac:dyDescent="0.25">
      <c r="W13" s="127">
        <v>42815</v>
      </c>
      <c r="X13" s="10">
        <v>168.67</v>
      </c>
      <c r="Y13" s="10">
        <v>168.82</v>
      </c>
      <c r="Z13" s="10">
        <v>167.06</v>
      </c>
      <c r="AA13" s="10">
        <v>167.7</v>
      </c>
      <c r="AB13" s="90">
        <v>4928600</v>
      </c>
      <c r="AC13" s="10">
        <v>167.7</v>
      </c>
      <c r="AD13" s="2">
        <f t="shared" si="0"/>
        <v>1.7599999999999909</v>
      </c>
      <c r="AE13" s="131">
        <f t="shared" si="1"/>
        <v>-1.7857142857143904E-3</v>
      </c>
    </row>
    <row r="14" spans="1:43" x14ac:dyDescent="0.25">
      <c r="W14" s="127">
        <v>42814</v>
      </c>
      <c r="X14" s="10">
        <v>169.93</v>
      </c>
      <c r="Y14" s="10">
        <v>170.24</v>
      </c>
      <c r="Z14" s="10">
        <v>167.92</v>
      </c>
      <c r="AA14" s="10">
        <v>168</v>
      </c>
      <c r="AB14" s="90">
        <v>3826800</v>
      </c>
      <c r="AC14" s="10">
        <v>168</v>
      </c>
      <c r="AD14" s="2">
        <f t="shared" si="0"/>
        <v>2.3200000000000216</v>
      </c>
      <c r="AE14" s="131">
        <f t="shared" si="1"/>
        <v>-1.0017678255745399E-2</v>
      </c>
    </row>
    <row r="15" spans="1:43" x14ac:dyDescent="0.25">
      <c r="W15" s="127">
        <v>42811</v>
      </c>
      <c r="X15" s="10">
        <v>171.09</v>
      </c>
      <c r="Y15" s="10">
        <v>171.54</v>
      </c>
      <c r="Z15" s="10">
        <v>169.59</v>
      </c>
      <c r="AA15" s="10">
        <v>169.7</v>
      </c>
      <c r="AB15" s="90">
        <v>5590500</v>
      </c>
      <c r="AC15" s="10">
        <v>169.7</v>
      </c>
      <c r="AD15" s="2">
        <f t="shared" si="0"/>
        <v>1.9499999999999886</v>
      </c>
      <c r="AE15" s="131">
        <f t="shared" si="1"/>
        <v>-9.3403385872738998E-3</v>
      </c>
    </row>
    <row r="16" spans="1:43" x14ac:dyDescent="0.25">
      <c r="W16" s="127">
        <v>42810</v>
      </c>
      <c r="X16" s="10">
        <v>172.07</v>
      </c>
      <c r="Y16" s="10">
        <v>172.14</v>
      </c>
      <c r="Z16" s="10">
        <v>170.22</v>
      </c>
      <c r="AA16" s="10">
        <v>171.3</v>
      </c>
      <c r="AB16" s="90">
        <v>3113000</v>
      </c>
      <c r="AC16" s="10">
        <v>171.3</v>
      </c>
      <c r="AD16" s="2">
        <f t="shared" si="0"/>
        <v>1.9199999999999875</v>
      </c>
      <c r="AE16" s="131">
        <f t="shared" si="1"/>
        <v>-2.7942717429269015E-3</v>
      </c>
    </row>
    <row r="17" spans="1:31" x14ac:dyDescent="0.25">
      <c r="W17" s="127">
        <v>42809</v>
      </c>
      <c r="X17" s="10">
        <v>169.36</v>
      </c>
      <c r="Y17" s="10">
        <v>171.97</v>
      </c>
      <c r="Z17" s="10">
        <v>169.29</v>
      </c>
      <c r="AA17" s="10">
        <v>171.78</v>
      </c>
      <c r="AB17" s="90">
        <v>2714300</v>
      </c>
      <c r="AC17" s="10">
        <v>171.78</v>
      </c>
      <c r="AD17" s="2">
        <f t="shared" si="0"/>
        <v>2.6800000000000068</v>
      </c>
      <c r="AE17" s="131">
        <f t="shared" si="1"/>
        <v>1.6088962498521209E-2</v>
      </c>
    </row>
    <row r="18" spans="1:31" x14ac:dyDescent="0.25">
      <c r="A18" s="35" t="s">
        <v>81</v>
      </c>
      <c r="B18" s="36"/>
      <c r="C18" s="36">
        <f>SUM(C2:C7)</f>
        <v>0</v>
      </c>
      <c r="D18" s="37"/>
      <c r="E18" s="37"/>
      <c r="F18" s="37">
        <f>SUM(F2:F7)</f>
        <v>0</v>
      </c>
      <c r="G18" s="37"/>
      <c r="H18" s="157">
        <f>SUM(H2:H6)</f>
        <v>0</v>
      </c>
      <c r="I18" s="37"/>
      <c r="J18" s="37"/>
      <c r="K18" s="37">
        <f>SUM(K2:K6)</f>
        <v>0</v>
      </c>
      <c r="L18" s="37"/>
      <c r="M18" s="37">
        <f>SUM(M2:M5)</f>
        <v>0</v>
      </c>
      <c r="W18" s="127">
        <v>42808</v>
      </c>
      <c r="X18" s="10">
        <v>169.66</v>
      </c>
      <c r="Y18" s="10">
        <v>170.18</v>
      </c>
      <c r="Z18" s="10">
        <v>168.5</v>
      </c>
      <c r="AA18" s="10">
        <v>169.06</v>
      </c>
      <c r="AB18" s="90">
        <v>2522600</v>
      </c>
      <c r="AC18" s="10">
        <v>169.06</v>
      </c>
      <c r="AD18" s="2">
        <f t="shared" si="0"/>
        <v>1.6800000000000068</v>
      </c>
      <c r="AE18" s="131">
        <f t="shared" si="1"/>
        <v>-6.7563597908466555E-3</v>
      </c>
    </row>
    <row r="19" spans="1:31" x14ac:dyDescent="0.25">
      <c r="W19" s="127">
        <v>42807</v>
      </c>
      <c r="X19" s="10">
        <v>169.99</v>
      </c>
      <c r="Y19" s="10">
        <v>170.93</v>
      </c>
      <c r="Z19" s="10">
        <v>169.55</v>
      </c>
      <c r="AA19" s="10">
        <v>170.21</v>
      </c>
      <c r="AB19" s="90">
        <v>2951700</v>
      </c>
      <c r="AC19" s="10">
        <v>170.21</v>
      </c>
      <c r="AD19" s="2">
        <f t="shared" si="0"/>
        <v>1.3799999999999955</v>
      </c>
      <c r="AE19" s="131">
        <f t="shared" si="1"/>
        <v>1.3531003647488937E-3</v>
      </c>
    </row>
    <row r="20" spans="1:31" x14ac:dyDescent="0.25">
      <c r="B20" s="159" t="s">
        <v>113</v>
      </c>
      <c r="C20" s="159" t="s">
        <v>143</v>
      </c>
      <c r="D20" s="160" t="s">
        <v>142</v>
      </c>
      <c r="E20" s="162" t="s">
        <v>144</v>
      </c>
      <c r="F20" s="163" t="s">
        <v>65</v>
      </c>
      <c r="G20" s="173" t="s">
        <v>148</v>
      </c>
      <c r="H20" s="163" t="s">
        <v>88</v>
      </c>
      <c r="W20" s="127">
        <v>42804</v>
      </c>
      <c r="X20" s="10">
        <v>168.42</v>
      </c>
      <c r="Y20" s="10">
        <v>170</v>
      </c>
      <c r="Z20" s="10">
        <v>168.06</v>
      </c>
      <c r="AA20" s="10">
        <v>169.98</v>
      </c>
      <c r="AB20" s="90">
        <v>3590900</v>
      </c>
      <c r="AC20" s="10">
        <v>169.98</v>
      </c>
      <c r="AD20" s="2">
        <f t="shared" si="0"/>
        <v>1.9399999999999977</v>
      </c>
      <c r="AE20" s="131">
        <f t="shared" si="1"/>
        <v>1.1725492530206605E-2</v>
      </c>
    </row>
    <row r="21" spans="1:31" x14ac:dyDescent="0.25">
      <c r="B21" s="161">
        <v>42304</v>
      </c>
      <c r="C21" s="10">
        <v>10</v>
      </c>
      <c r="D21" s="39">
        <v>110.79</v>
      </c>
      <c r="E21" s="39">
        <v>119.37</v>
      </c>
      <c r="F21" s="39">
        <v>85.77</v>
      </c>
      <c r="G21" s="39">
        <f t="shared" ref="G21:G27" si="2">IF(C21=0, 0,D21*C21)</f>
        <v>1107.9000000000001</v>
      </c>
      <c r="H21" s="176">
        <f t="shared" ref="H21:H27" si="3">IF(C21=0, D21, (E21-D21)/D21)</f>
        <v>7.7443812618467348E-2</v>
      </c>
      <c r="W21" s="127">
        <v>42803</v>
      </c>
      <c r="X21" s="10">
        <v>168.15</v>
      </c>
      <c r="Y21" s="10">
        <v>169.07</v>
      </c>
      <c r="Z21" s="10">
        <v>167.74</v>
      </c>
      <c r="AA21" s="10">
        <v>168.01</v>
      </c>
      <c r="AB21" s="90">
        <v>3631400</v>
      </c>
      <c r="AC21" s="10">
        <v>168.01</v>
      </c>
      <c r="AD21" s="2">
        <f t="shared" si="0"/>
        <v>1.3299999999999841</v>
      </c>
      <c r="AE21" s="131">
        <f t="shared" si="1"/>
        <v>5.9555714370795876E-4</v>
      </c>
    </row>
    <row r="22" spans="1:31" x14ac:dyDescent="0.25">
      <c r="B22" s="161">
        <v>42328</v>
      </c>
      <c r="C22" s="10">
        <v>0</v>
      </c>
      <c r="D22" s="170" t="s">
        <v>128</v>
      </c>
      <c r="E22" s="39">
        <v>112.33</v>
      </c>
      <c r="F22" s="39">
        <v>27.05</v>
      </c>
      <c r="G22" s="39">
        <f t="shared" si="2"/>
        <v>0</v>
      </c>
      <c r="H22" s="176" t="str">
        <f t="shared" si="3"/>
        <v>N/A</v>
      </c>
      <c r="W22" s="127">
        <v>42802</v>
      </c>
      <c r="X22" s="10">
        <v>167.51</v>
      </c>
      <c r="Y22" s="10">
        <v>168.46</v>
      </c>
      <c r="Z22" s="10">
        <v>166.8</v>
      </c>
      <c r="AA22" s="10">
        <v>167.91</v>
      </c>
      <c r="AB22" s="90">
        <v>2048200</v>
      </c>
      <c r="AC22" s="10">
        <v>167.91</v>
      </c>
      <c r="AD22" s="2">
        <f t="shared" si="0"/>
        <v>1.6599999999999966</v>
      </c>
      <c r="AE22" s="131" t="e">
        <f t="shared" si="1"/>
        <v>#DIV/0!</v>
      </c>
    </row>
    <row r="23" spans="1:31" x14ac:dyDescent="0.25">
      <c r="B23" s="161">
        <v>42328</v>
      </c>
      <c r="C23" s="10">
        <v>10</v>
      </c>
      <c r="D23" s="39">
        <v>110.25</v>
      </c>
      <c r="E23" s="39">
        <v>112.95</v>
      </c>
      <c r="F23" s="39">
        <f>(E23-D23)*C23</f>
        <v>27.000000000000028</v>
      </c>
      <c r="G23" s="39">
        <f t="shared" si="2"/>
        <v>1102.5</v>
      </c>
      <c r="H23" s="176">
        <f t="shared" si="3"/>
        <v>2.4489795918367373E-2</v>
      </c>
      <c r="W23" s="127">
        <v>42802</v>
      </c>
      <c r="X23" s="10" t="s">
        <v>485</v>
      </c>
      <c r="Y23" s="10"/>
      <c r="Z23" s="10"/>
      <c r="AA23" s="10"/>
      <c r="AB23" s="90"/>
      <c r="AC23" s="10"/>
      <c r="AD23" s="2">
        <f t="shared" si="0"/>
        <v>0</v>
      </c>
      <c r="AE23" s="131">
        <f t="shared" si="1"/>
        <v>-1</v>
      </c>
    </row>
    <row r="24" spans="1:31" x14ac:dyDescent="0.25">
      <c r="B24" s="161">
        <v>42335</v>
      </c>
      <c r="C24" s="10">
        <v>10</v>
      </c>
      <c r="D24" s="39">
        <v>110.15</v>
      </c>
      <c r="E24" s="39">
        <v>114.34</v>
      </c>
      <c r="F24" s="39">
        <v>41.93</v>
      </c>
      <c r="G24" s="39">
        <f t="shared" si="2"/>
        <v>1101.5</v>
      </c>
      <c r="H24" s="176">
        <f t="shared" si="3"/>
        <v>3.8039037675896482E-2</v>
      </c>
      <c r="W24" s="127">
        <v>42801</v>
      </c>
      <c r="X24" s="10">
        <v>168.45</v>
      </c>
      <c r="Y24" s="10">
        <v>169.36</v>
      </c>
      <c r="Z24" s="10">
        <v>167.93</v>
      </c>
      <c r="AA24" s="10">
        <v>168.3</v>
      </c>
      <c r="AB24" s="90">
        <v>2702300</v>
      </c>
      <c r="AC24" s="10">
        <v>167.68</v>
      </c>
      <c r="AD24" s="2">
        <f t="shared" si="0"/>
        <v>1.4300000000000068</v>
      </c>
      <c r="AE24" s="131">
        <f t="shared" si="1"/>
        <v>-2.3204617123816496E-3</v>
      </c>
    </row>
    <row r="25" spans="1:31" x14ac:dyDescent="0.25">
      <c r="B25" s="161">
        <v>42349</v>
      </c>
      <c r="C25" s="10">
        <v>10</v>
      </c>
      <c r="D25" s="39">
        <v>110.15</v>
      </c>
      <c r="E25" s="39">
        <v>115.98</v>
      </c>
      <c r="F25" s="39">
        <v>58.33</v>
      </c>
      <c r="G25" s="39">
        <f t="shared" si="2"/>
        <v>1101.5</v>
      </c>
      <c r="H25" s="176">
        <f t="shared" si="3"/>
        <v>5.2927825692237841E-2</v>
      </c>
      <c r="W25" s="127">
        <v>42800</v>
      </c>
      <c r="X25" s="10">
        <v>167.43</v>
      </c>
      <c r="Y25" s="10">
        <v>169.35</v>
      </c>
      <c r="Z25" s="10">
        <v>167.13</v>
      </c>
      <c r="AA25" s="10">
        <v>168.7</v>
      </c>
      <c r="AB25" s="90">
        <v>2576500</v>
      </c>
      <c r="AC25" s="10">
        <v>168.07</v>
      </c>
      <c r="AD25" s="2">
        <f t="shared" si="0"/>
        <v>2.2199999999999989</v>
      </c>
      <c r="AE25" s="131">
        <f t="shared" si="1"/>
        <v>2.9239766081869956E-3</v>
      </c>
    </row>
    <row r="26" spans="1:31" x14ac:dyDescent="0.25">
      <c r="B26" s="161">
        <v>42355</v>
      </c>
      <c r="C26" s="10">
        <v>0</v>
      </c>
      <c r="D26" s="39">
        <v>0</v>
      </c>
      <c r="E26" s="39">
        <v>119.22</v>
      </c>
      <c r="F26" s="39">
        <v>100.51</v>
      </c>
      <c r="G26" s="39"/>
      <c r="H26" s="176"/>
      <c r="W26" s="127">
        <v>42797</v>
      </c>
      <c r="X26" s="10">
        <v>167.31</v>
      </c>
      <c r="Y26" s="10">
        <v>168.45</v>
      </c>
      <c r="Z26" s="10">
        <v>166.62</v>
      </c>
      <c r="AA26" s="10">
        <v>168.2</v>
      </c>
      <c r="AB26" s="90">
        <v>2254400</v>
      </c>
      <c r="AC26" s="10">
        <v>167.58</v>
      </c>
      <c r="AD26" s="2">
        <f t="shared" si="0"/>
        <v>1.8299999999999841</v>
      </c>
      <c r="AE26" s="131">
        <f t="shared" si="1"/>
        <v>5.3392525046493944E-3</v>
      </c>
    </row>
    <row r="27" spans="1:31" x14ac:dyDescent="0.25">
      <c r="B27" s="161">
        <v>42376</v>
      </c>
      <c r="C27" s="10">
        <v>25</v>
      </c>
      <c r="D27" s="39">
        <v>107.48</v>
      </c>
      <c r="E27" s="39">
        <v>112.09</v>
      </c>
      <c r="F27" s="39">
        <v>115.26</v>
      </c>
      <c r="G27" s="39">
        <f t="shared" si="2"/>
        <v>2687</v>
      </c>
      <c r="H27" s="176">
        <f t="shared" si="3"/>
        <v>4.2891700781540747E-2</v>
      </c>
      <c r="W27" s="127">
        <v>42796</v>
      </c>
      <c r="X27" s="10">
        <v>168.32</v>
      </c>
      <c r="Y27" s="10">
        <v>168.43</v>
      </c>
      <c r="Z27" s="10">
        <v>166.96</v>
      </c>
      <c r="AA27" s="10">
        <v>167.31</v>
      </c>
      <c r="AB27" s="90">
        <v>1889800</v>
      </c>
      <c r="AC27" s="10">
        <v>166.69</v>
      </c>
      <c r="AD27" s="2">
        <f t="shared" si="0"/>
        <v>1.4699999999999989</v>
      </c>
      <c r="AE27" s="131">
        <f t="shared" si="1"/>
        <v>-3.7652402581879185E-3</v>
      </c>
    </row>
    <row r="28" spans="1:31" x14ac:dyDescent="0.25">
      <c r="B28" s="161">
        <v>42416</v>
      </c>
      <c r="C28" s="10">
        <v>0</v>
      </c>
      <c r="D28" s="39">
        <v>0</v>
      </c>
      <c r="E28" s="39">
        <v>0</v>
      </c>
      <c r="F28" s="39">
        <v>176.7</v>
      </c>
      <c r="G28" s="39"/>
      <c r="H28" s="176"/>
      <c r="W28" s="127">
        <v>42795</v>
      </c>
      <c r="X28" s="10">
        <v>166.72</v>
      </c>
      <c r="Y28" s="10">
        <v>168.6</v>
      </c>
      <c r="Z28" s="10">
        <v>166.35</v>
      </c>
      <c r="AA28" s="10">
        <v>167.94</v>
      </c>
      <c r="AB28" s="90">
        <v>3514200</v>
      </c>
      <c r="AC28" s="10">
        <v>167.32</v>
      </c>
      <c r="AD28" s="2">
        <f t="shared" si="0"/>
        <v>2.25</v>
      </c>
      <c r="AE28" s="131">
        <f t="shared" si="1"/>
        <v>1.5476118225405067E-2</v>
      </c>
    </row>
    <row r="29" spans="1:31" x14ac:dyDescent="0.25">
      <c r="B29" s="10"/>
      <c r="C29" s="10"/>
      <c r="D29" s="39"/>
      <c r="E29" s="39"/>
      <c r="F29" s="39"/>
      <c r="G29" s="39"/>
      <c r="H29" s="176"/>
      <c r="W29" s="127">
        <v>42794</v>
      </c>
      <c r="X29" s="10">
        <v>165.47</v>
      </c>
      <c r="Y29" s="10">
        <v>166.76</v>
      </c>
      <c r="Z29" s="10">
        <v>164.9</v>
      </c>
      <c r="AA29" s="10">
        <v>165.38</v>
      </c>
      <c r="AB29" s="90">
        <v>4382100</v>
      </c>
      <c r="AC29" s="10">
        <v>164.77</v>
      </c>
      <c r="AD29" s="2">
        <f t="shared" si="0"/>
        <v>1.8599999999999852</v>
      </c>
      <c r="AE29" s="131">
        <f t="shared" si="1"/>
        <v>0</v>
      </c>
    </row>
    <row r="30" spans="1:31" x14ac:dyDescent="0.25">
      <c r="B30" s="10"/>
      <c r="C30" s="10"/>
      <c r="D30" s="39"/>
      <c r="E30" s="39"/>
      <c r="F30" s="39"/>
      <c r="G30" s="39"/>
      <c r="H30" s="176"/>
      <c r="W30" s="127">
        <v>42793</v>
      </c>
      <c r="X30" s="10">
        <v>163.16</v>
      </c>
      <c r="Y30" s="10">
        <v>165.46</v>
      </c>
      <c r="Z30" s="10">
        <v>162.81</v>
      </c>
      <c r="AA30" s="10">
        <v>165.38</v>
      </c>
      <c r="AB30" s="90">
        <v>4071800</v>
      </c>
      <c r="AC30" s="10">
        <v>164.77</v>
      </c>
      <c r="AD30" s="2">
        <f t="shared" si="0"/>
        <v>2.6500000000000057</v>
      </c>
      <c r="AE30" s="131">
        <f t="shared" si="1"/>
        <v>1.4281317328408871E-2</v>
      </c>
    </row>
    <row r="31" spans="1:31" x14ac:dyDescent="0.25">
      <c r="G31" s="3"/>
      <c r="H31" s="177"/>
      <c r="W31" s="127">
        <v>42790</v>
      </c>
      <c r="X31" s="10">
        <v>162.66999999999999</v>
      </c>
      <c r="Y31" s="10">
        <v>163.09</v>
      </c>
      <c r="Z31" s="10">
        <v>161.74</v>
      </c>
      <c r="AA31" s="10">
        <v>163.06</v>
      </c>
      <c r="AB31" s="90">
        <v>2715700</v>
      </c>
      <c r="AC31" s="10">
        <v>162.44999999999999</v>
      </c>
      <c r="AD31" s="2">
        <f t="shared" si="0"/>
        <v>1.3499999999999943</v>
      </c>
      <c r="AE31" s="131">
        <f t="shared" si="1"/>
        <v>2.7777777777777679E-3</v>
      </c>
    </row>
    <row r="32" spans="1:31" x14ac:dyDescent="0.25">
      <c r="W32" s="127">
        <v>42789</v>
      </c>
      <c r="X32" s="10">
        <v>161.33000000000001</v>
      </c>
      <c r="Y32" s="10">
        <v>162.6</v>
      </c>
      <c r="Z32" s="10">
        <v>160.69</v>
      </c>
      <c r="AA32" s="10">
        <v>162.6</v>
      </c>
      <c r="AB32" s="90">
        <v>2459600</v>
      </c>
      <c r="AC32" s="10">
        <v>162</v>
      </c>
      <c r="AD32" s="2">
        <f t="shared" si="0"/>
        <v>1.9099999999999966</v>
      </c>
      <c r="AE32" s="131">
        <f t="shared" si="1"/>
        <v>1.2689879352378641E-2</v>
      </c>
    </row>
    <row r="33" spans="1:31" x14ac:dyDescent="0.25">
      <c r="L33" t="s">
        <v>201</v>
      </c>
      <c r="M33" s="2">
        <f>M44+K44-F44</f>
        <v>176.70000000000073</v>
      </c>
      <c r="W33" s="127">
        <v>42788</v>
      </c>
      <c r="X33" s="10">
        <v>160.91</v>
      </c>
      <c r="Y33" s="10">
        <v>161.78</v>
      </c>
      <c r="Z33" s="10">
        <v>159.63999999999999</v>
      </c>
      <c r="AA33" s="10">
        <v>160.57</v>
      </c>
      <c r="AB33" s="90">
        <v>2725300</v>
      </c>
      <c r="AC33" s="10">
        <v>159.97</v>
      </c>
      <c r="AD33" s="2">
        <f t="shared" si="0"/>
        <v>2.1400000000000148</v>
      </c>
      <c r="AE33" s="131">
        <f t="shared" si="1"/>
        <v>0</v>
      </c>
    </row>
    <row r="34" spans="1:31" x14ac:dyDescent="0.25">
      <c r="A34" s="195" t="s">
        <v>1</v>
      </c>
      <c r="B34" s="195" t="s">
        <v>2</v>
      </c>
      <c r="C34" s="195" t="s">
        <v>4</v>
      </c>
      <c r="D34" s="196" t="s">
        <v>5</v>
      </c>
      <c r="E34" s="196" t="s">
        <v>94</v>
      </c>
      <c r="F34" s="196" t="s">
        <v>60</v>
      </c>
      <c r="G34" s="195" t="s">
        <v>3</v>
      </c>
      <c r="H34" s="195" t="s">
        <v>6</v>
      </c>
      <c r="I34" s="195" t="s">
        <v>7</v>
      </c>
      <c r="J34" s="195" t="s">
        <v>95</v>
      </c>
      <c r="K34" s="195" t="s">
        <v>61</v>
      </c>
      <c r="L34" s="195" t="s">
        <v>77</v>
      </c>
      <c r="M34" s="195" t="s">
        <v>38</v>
      </c>
      <c r="W34" s="127">
        <v>42787</v>
      </c>
      <c r="X34" s="10">
        <v>157.62</v>
      </c>
      <c r="Y34" s="10">
        <v>160.82</v>
      </c>
      <c r="Z34" s="10">
        <v>157.52000000000001</v>
      </c>
      <c r="AA34" s="10">
        <v>160.57</v>
      </c>
      <c r="AB34" s="90">
        <v>5419000</v>
      </c>
      <c r="AC34" s="10">
        <v>159.97</v>
      </c>
      <c r="AD34" s="2">
        <f t="shared" si="0"/>
        <v>3.2999999999999829</v>
      </c>
      <c r="AE34" s="131">
        <f t="shared" si="1"/>
        <v>1.8722537094822522E-2</v>
      </c>
    </row>
    <row r="35" spans="1:31" x14ac:dyDescent="0.25">
      <c r="A35" s="197" t="s">
        <v>51</v>
      </c>
      <c r="B35" s="198">
        <v>42212</v>
      </c>
      <c r="C35" s="193">
        <v>10</v>
      </c>
      <c r="D35" s="194">
        <v>120.14</v>
      </c>
      <c r="E35" s="194">
        <v>0</v>
      </c>
      <c r="F35" s="194">
        <f t="shared" ref="F35:F40" si="4">D35*C35</f>
        <v>1201.4000000000001</v>
      </c>
      <c r="G35" s="198">
        <v>42292</v>
      </c>
      <c r="H35" s="199">
        <v>15</v>
      </c>
      <c r="I35" s="194">
        <v>122.5</v>
      </c>
      <c r="J35" s="194">
        <v>0.03</v>
      </c>
      <c r="K35" s="193">
        <f>I35*H35-J35</f>
        <v>1837.47</v>
      </c>
      <c r="L35" s="198">
        <v>42269</v>
      </c>
      <c r="M35" s="194">
        <v>7.5</v>
      </c>
      <c r="W35" s="127">
        <v>42783</v>
      </c>
      <c r="X35" s="10">
        <v>159</v>
      </c>
      <c r="Y35" s="10">
        <v>160.16</v>
      </c>
      <c r="Z35" s="10">
        <v>156.49</v>
      </c>
      <c r="AA35" s="10">
        <v>157.62</v>
      </c>
      <c r="AB35" s="90">
        <v>12033600</v>
      </c>
      <c r="AC35" s="10">
        <v>157.03</v>
      </c>
      <c r="AD35" s="2">
        <f t="shared" si="0"/>
        <v>3.6699999999999875</v>
      </c>
      <c r="AE35" s="131">
        <f t="shared" si="1"/>
        <v>-3.6862119725220799E-2</v>
      </c>
    </row>
    <row r="36" spans="1:31" x14ac:dyDescent="0.25">
      <c r="A36" s="200" t="s">
        <v>71</v>
      </c>
      <c r="B36" s="198">
        <v>42214</v>
      </c>
      <c r="C36" s="193">
        <v>5</v>
      </c>
      <c r="D36" s="194">
        <v>118.3</v>
      </c>
      <c r="E36" s="194">
        <v>0</v>
      </c>
      <c r="F36" s="194">
        <f t="shared" si="4"/>
        <v>591.5</v>
      </c>
      <c r="G36" s="198">
        <v>42331</v>
      </c>
      <c r="H36" s="199">
        <v>10</v>
      </c>
      <c r="I36" s="194">
        <v>113.5</v>
      </c>
      <c r="J36" s="194">
        <v>0.02</v>
      </c>
      <c r="K36" s="193">
        <f>I36*H36-J36</f>
        <v>1134.98</v>
      </c>
      <c r="L36" s="198">
        <v>42353</v>
      </c>
      <c r="M36" s="194">
        <v>5</v>
      </c>
      <c r="W36" s="127">
        <v>42782</v>
      </c>
      <c r="X36" s="10">
        <v>164.78</v>
      </c>
      <c r="Y36" s="10">
        <v>164.97</v>
      </c>
      <c r="Z36" s="10">
        <v>162.33000000000001</v>
      </c>
      <c r="AA36" s="10">
        <v>163.65</v>
      </c>
      <c r="AB36" s="90">
        <v>3191600</v>
      </c>
      <c r="AC36" s="10">
        <v>163.04</v>
      </c>
      <c r="AD36" s="2">
        <f t="shared" si="0"/>
        <v>2.6399999999999864</v>
      </c>
      <c r="AE36" s="131">
        <f t="shared" si="1"/>
        <v>-3.910068426197566E-3</v>
      </c>
    </row>
    <row r="37" spans="1:31" x14ac:dyDescent="0.25">
      <c r="A37" s="193"/>
      <c r="B37" s="198">
        <v>42286</v>
      </c>
      <c r="C37" s="193">
        <v>10</v>
      </c>
      <c r="D37" s="194">
        <v>116</v>
      </c>
      <c r="E37" s="194">
        <v>0</v>
      </c>
      <c r="F37" s="194">
        <f t="shared" si="4"/>
        <v>1160</v>
      </c>
      <c r="G37" s="198">
        <v>42340</v>
      </c>
      <c r="H37" s="199">
        <v>10</v>
      </c>
      <c r="I37" s="194">
        <v>115.4</v>
      </c>
      <c r="J37" s="194">
        <v>0.02</v>
      </c>
      <c r="K37" s="193">
        <f>I37*H37-J37</f>
        <v>1153.98</v>
      </c>
      <c r="L37" s="193"/>
      <c r="M37" s="193"/>
      <c r="W37" s="127">
        <v>42781</v>
      </c>
      <c r="X37" s="10">
        <v>162.58000000000001</v>
      </c>
      <c r="Y37" s="10">
        <v>164.89</v>
      </c>
      <c r="Z37" s="10">
        <v>162.58000000000001</v>
      </c>
      <c r="AA37" s="10">
        <v>164.29</v>
      </c>
      <c r="AB37" s="90">
        <v>4537900</v>
      </c>
      <c r="AC37" s="10">
        <v>163.68</v>
      </c>
      <c r="AD37" s="2">
        <f t="shared" si="0"/>
        <v>2.3099999999999739</v>
      </c>
      <c r="AE37" s="131">
        <f t="shared" si="1"/>
        <v>7.1375830666995377E-3</v>
      </c>
    </row>
    <row r="38" spans="1:31" x14ac:dyDescent="0.25">
      <c r="A38" s="193"/>
      <c r="B38" s="198">
        <v>42331</v>
      </c>
      <c r="C38" s="193">
        <v>10</v>
      </c>
      <c r="D38" s="194">
        <v>112.95</v>
      </c>
      <c r="E38" s="194">
        <v>0</v>
      </c>
      <c r="F38" s="194">
        <f t="shared" si="4"/>
        <v>1129.5</v>
      </c>
      <c r="G38" s="198">
        <v>42360</v>
      </c>
      <c r="H38" s="199">
        <v>10</v>
      </c>
      <c r="I38" s="194">
        <v>120.2</v>
      </c>
      <c r="J38" s="194">
        <v>0.02</v>
      </c>
      <c r="K38" s="193">
        <f>I38*H38-J38</f>
        <v>1201.98</v>
      </c>
      <c r="L38" s="193"/>
      <c r="M38" s="193"/>
      <c r="W38" s="127">
        <v>42780</v>
      </c>
      <c r="X38" s="10">
        <v>161.44999999999999</v>
      </c>
      <c r="Y38" s="10">
        <v>163.5</v>
      </c>
      <c r="Z38" s="10">
        <v>161.25</v>
      </c>
      <c r="AA38" s="10">
        <v>163.13</v>
      </c>
      <c r="AB38" s="90">
        <v>2969400</v>
      </c>
      <c r="AC38" s="10">
        <v>162.52000000000001</v>
      </c>
      <c r="AD38" s="2">
        <f t="shared" si="0"/>
        <v>2.25</v>
      </c>
      <c r="AE38" s="131">
        <f t="shared" si="1"/>
        <v>7.0016729661070976E-3</v>
      </c>
    </row>
    <row r="39" spans="1:31" x14ac:dyDescent="0.25">
      <c r="A39" s="193"/>
      <c r="B39" s="198">
        <v>42340</v>
      </c>
      <c r="C39" s="193">
        <v>10</v>
      </c>
      <c r="D39" s="194">
        <v>115.3</v>
      </c>
      <c r="E39" s="194">
        <v>0</v>
      </c>
      <c r="F39" s="194">
        <f t="shared" si="4"/>
        <v>1153</v>
      </c>
      <c r="G39" s="198">
        <v>42416</v>
      </c>
      <c r="H39" s="199">
        <v>25</v>
      </c>
      <c r="I39" s="194">
        <v>114.55</v>
      </c>
      <c r="J39" s="194">
        <v>0.06</v>
      </c>
      <c r="K39" s="193">
        <f>I39*H39-J39</f>
        <v>2863.69</v>
      </c>
      <c r="L39" s="193"/>
      <c r="M39" s="193"/>
      <c r="W39" s="127">
        <v>42779</v>
      </c>
      <c r="X39" s="10">
        <v>160.69</v>
      </c>
      <c r="Y39" s="10">
        <v>162.02000000000001</v>
      </c>
      <c r="Z39" s="10">
        <v>160.69</v>
      </c>
      <c r="AA39" s="10">
        <v>161.99</v>
      </c>
      <c r="AB39" s="90">
        <v>3275800</v>
      </c>
      <c r="AC39" s="10">
        <v>161.38999999999999</v>
      </c>
      <c r="AD39" s="2">
        <f t="shared" si="0"/>
        <v>1.3300000000000125</v>
      </c>
      <c r="AE39" s="131">
        <f t="shared" si="1"/>
        <v>7.7427411801433976E-3</v>
      </c>
    </row>
    <row r="40" spans="1:31" x14ac:dyDescent="0.25">
      <c r="A40" s="193"/>
      <c r="B40" s="198">
        <v>42376</v>
      </c>
      <c r="C40" s="193">
        <v>25</v>
      </c>
      <c r="D40" s="194">
        <v>111.7</v>
      </c>
      <c r="E40" s="194">
        <v>0</v>
      </c>
      <c r="F40" s="194">
        <f t="shared" si="4"/>
        <v>2792.5</v>
      </c>
      <c r="G40" s="193"/>
      <c r="H40" s="199"/>
      <c r="I40" s="193"/>
      <c r="J40" s="193"/>
      <c r="K40" s="193"/>
      <c r="L40" s="193"/>
      <c r="M40" s="193"/>
      <c r="O40" s="33"/>
      <c r="W40" s="127">
        <v>42776</v>
      </c>
      <c r="X40" s="10">
        <v>160.12</v>
      </c>
      <c r="Y40" s="10">
        <v>161.59</v>
      </c>
      <c r="Z40" s="10">
        <v>160.1</v>
      </c>
      <c r="AA40" s="10">
        <v>160.75</v>
      </c>
      <c r="AB40" s="90">
        <v>1905900</v>
      </c>
      <c r="AC40" s="10">
        <v>160.15</v>
      </c>
      <c r="AD40" s="2">
        <f t="shared" si="0"/>
        <v>1.4900000000000091</v>
      </c>
      <c r="AE40" s="131">
        <f t="shared" si="1"/>
        <v>1.9394394394394165E-3</v>
      </c>
    </row>
    <row r="41" spans="1:31" ht="20.25" thickBot="1" x14ac:dyDescent="0.35">
      <c r="A41" s="193"/>
      <c r="B41" s="193"/>
      <c r="C41" s="193"/>
      <c r="D41" s="194"/>
      <c r="E41" s="194"/>
      <c r="F41" s="194"/>
      <c r="G41" s="193"/>
      <c r="H41" s="193"/>
      <c r="I41" s="193"/>
      <c r="J41" s="193"/>
      <c r="K41" s="193"/>
      <c r="L41" s="193"/>
      <c r="M41" s="193"/>
      <c r="O41" s="886" t="s">
        <v>78</v>
      </c>
      <c r="P41" s="886"/>
      <c r="Q41" s="33"/>
      <c r="W41" s="127">
        <v>42775</v>
      </c>
      <c r="X41" s="10">
        <v>160.31</v>
      </c>
      <c r="Y41" s="10">
        <v>161.30000000000001</v>
      </c>
      <c r="Z41" s="10">
        <v>159.56</v>
      </c>
      <c r="AA41" s="10">
        <v>160.44</v>
      </c>
      <c r="AB41" s="90">
        <v>3056800</v>
      </c>
      <c r="AC41" s="10">
        <v>159.84</v>
      </c>
      <c r="AD41" s="2">
        <f t="shared" si="0"/>
        <v>1.7400000000000091</v>
      </c>
      <c r="AE41" s="131">
        <f t="shared" si="1"/>
        <v>8.1397533028604308E-4</v>
      </c>
    </row>
    <row r="42" spans="1:31" ht="21" thickTop="1" thickBot="1" x14ac:dyDescent="0.35">
      <c r="A42" s="193"/>
      <c r="B42" s="193"/>
      <c r="C42" s="193"/>
      <c r="D42" s="194"/>
      <c r="E42" s="194"/>
      <c r="F42" s="194"/>
      <c r="G42" s="193"/>
      <c r="H42" s="193"/>
      <c r="I42" s="193"/>
      <c r="J42" s="193"/>
      <c r="K42" s="193"/>
      <c r="L42" s="193"/>
      <c r="M42" s="193"/>
      <c r="O42" s="78">
        <v>1.1000000000000001</v>
      </c>
      <c r="P42" s="78">
        <f>O42*$Q$4</f>
        <v>251.64700000000002</v>
      </c>
      <c r="Q42" s="33"/>
      <c r="T42" s="86" t="s">
        <v>112</v>
      </c>
      <c r="W42" s="127">
        <v>42774</v>
      </c>
      <c r="X42" s="10">
        <v>160</v>
      </c>
      <c r="Y42" s="10">
        <v>160.63</v>
      </c>
      <c r="Z42" s="10">
        <v>159.41</v>
      </c>
      <c r="AA42" s="10">
        <v>160.31</v>
      </c>
      <c r="AB42" s="90">
        <v>2339700</v>
      </c>
      <c r="AC42" s="10">
        <v>159.71</v>
      </c>
      <c r="AD42" s="2">
        <f t="shared" si="0"/>
        <v>1.2199999999999989</v>
      </c>
      <c r="AE42" s="131">
        <f t="shared" si="1"/>
        <v>-1.3756018257987668E-3</v>
      </c>
    </row>
    <row r="43" spans="1:31" ht="15.75" thickTop="1" x14ac:dyDescent="0.25">
      <c r="A43" s="193"/>
      <c r="B43" s="193"/>
      <c r="C43" s="193"/>
      <c r="D43" s="194"/>
      <c r="E43" s="194"/>
      <c r="F43" s="194"/>
      <c r="G43" s="193"/>
      <c r="H43" s="193"/>
      <c r="I43" s="193"/>
      <c r="J43" s="193"/>
      <c r="K43" s="193"/>
      <c r="L43" s="193"/>
      <c r="M43" s="193"/>
      <c r="O43" s="78">
        <v>1.0900000000000001</v>
      </c>
      <c r="P43" s="78">
        <f t="shared" ref="P43:P62" si="5">O43*$Q$4</f>
        <v>249.35930000000002</v>
      </c>
      <c r="Q43" s="33"/>
      <c r="T43" s="122" t="s">
        <v>97</v>
      </c>
      <c r="U43" s="93">
        <v>164.97</v>
      </c>
      <c r="W43" s="127">
        <v>42773</v>
      </c>
      <c r="X43" s="10">
        <v>161.05000000000001</v>
      </c>
      <c r="Y43" s="10">
        <v>161.68</v>
      </c>
      <c r="Z43" s="10">
        <v>159.54</v>
      </c>
      <c r="AA43" s="10">
        <v>160.53</v>
      </c>
      <c r="AB43" s="90">
        <v>2942700</v>
      </c>
      <c r="AC43" s="10">
        <v>159.93</v>
      </c>
      <c r="AD43" s="2">
        <f t="shared" si="0"/>
        <v>2.1400000000000148</v>
      </c>
      <c r="AE43" s="131">
        <f t="shared" si="1"/>
        <v>1.2507035207320882E-4</v>
      </c>
    </row>
    <row r="44" spans="1:31" x14ac:dyDescent="0.25">
      <c r="A44" s="329" t="s">
        <v>81</v>
      </c>
      <c r="B44" s="330"/>
      <c r="C44" s="330">
        <f>SUM(C35:C40)</f>
        <v>70</v>
      </c>
      <c r="D44" s="331"/>
      <c r="E44" s="331"/>
      <c r="F44" s="331">
        <f>SUM(F35:F40)</f>
        <v>8027.9</v>
      </c>
      <c r="G44" s="331"/>
      <c r="H44" s="332">
        <f>SUM(H35:H39)</f>
        <v>70</v>
      </c>
      <c r="I44" s="331"/>
      <c r="J44" s="331"/>
      <c r="K44" s="331">
        <f>SUM(K35:K39)</f>
        <v>8192.1</v>
      </c>
      <c r="L44" s="331"/>
      <c r="M44" s="331">
        <f>SUM(M35:M38)</f>
        <v>12.5</v>
      </c>
      <c r="O44" s="78">
        <v>1.08</v>
      </c>
      <c r="P44" s="78">
        <f t="shared" si="5"/>
        <v>247.07160000000002</v>
      </c>
      <c r="Q44" s="33"/>
      <c r="T44" s="88" t="s">
        <v>98</v>
      </c>
      <c r="U44" s="83">
        <v>165.76</v>
      </c>
      <c r="W44" s="127">
        <v>42772</v>
      </c>
      <c r="X44" s="10">
        <v>161.51</v>
      </c>
      <c r="Y44" s="10">
        <v>162.53</v>
      </c>
      <c r="Z44" s="10">
        <v>160.22</v>
      </c>
      <c r="AA44" s="10">
        <v>160.51</v>
      </c>
      <c r="AB44" s="90">
        <v>3479400</v>
      </c>
      <c r="AC44" s="10">
        <v>159.91</v>
      </c>
      <c r="AD44" s="2">
        <f t="shared" si="0"/>
        <v>2.3100000000000023</v>
      </c>
      <c r="AE44" s="131">
        <f t="shared" si="1"/>
        <v>-8.4330625658833869E-3</v>
      </c>
    </row>
    <row r="45" spans="1:31" x14ac:dyDescent="0.25">
      <c r="A45" s="193"/>
      <c r="B45" s="193"/>
      <c r="C45" s="193"/>
      <c r="D45" s="194"/>
      <c r="E45" s="194"/>
      <c r="F45" s="194"/>
      <c r="G45" s="193"/>
      <c r="H45" s="193"/>
      <c r="I45" s="193"/>
      <c r="J45" s="193"/>
      <c r="K45" s="193"/>
      <c r="L45" s="193"/>
      <c r="M45" s="193"/>
      <c r="O45" s="78">
        <v>1.07</v>
      </c>
      <c r="P45" s="78">
        <f t="shared" si="5"/>
        <v>244.78390000000002</v>
      </c>
      <c r="Q45" s="78"/>
      <c r="T45" s="88" t="s">
        <v>99</v>
      </c>
      <c r="U45" s="83" t="s">
        <v>128</v>
      </c>
      <c r="W45" s="127">
        <v>42769</v>
      </c>
      <c r="X45" s="10">
        <v>161.13</v>
      </c>
      <c r="Y45" s="10">
        <v>162</v>
      </c>
      <c r="Z45" s="10">
        <v>160.21</v>
      </c>
      <c r="AA45" s="10">
        <v>161.87</v>
      </c>
      <c r="AB45" s="90">
        <v>2762300</v>
      </c>
      <c r="AC45" s="10">
        <v>161.27000000000001</v>
      </c>
      <c r="AD45" s="2">
        <f t="shared" si="0"/>
        <v>1.789999999999992</v>
      </c>
      <c r="AE45" s="131">
        <f t="shared" si="1"/>
        <v>6.9305694305694665E-3</v>
      </c>
    </row>
    <row r="46" spans="1:31" x14ac:dyDescent="0.25">
      <c r="O46" s="78">
        <v>1.06</v>
      </c>
      <c r="P46" s="78">
        <f t="shared" si="5"/>
        <v>242.49620000000002</v>
      </c>
      <c r="Q46" s="78"/>
      <c r="T46" s="88" t="s">
        <v>100</v>
      </c>
      <c r="U46" s="83" t="s">
        <v>128</v>
      </c>
      <c r="W46" s="127">
        <v>42768</v>
      </c>
      <c r="X46" s="10">
        <v>162.52000000000001</v>
      </c>
      <c r="Y46" s="10">
        <v>163.25</v>
      </c>
      <c r="Z46" s="10">
        <v>160.26</v>
      </c>
      <c r="AA46" s="10">
        <v>160.76</v>
      </c>
      <c r="AB46" s="90">
        <v>4714000</v>
      </c>
      <c r="AC46" s="10">
        <v>160.16</v>
      </c>
      <c r="AD46" s="2">
        <f t="shared" si="0"/>
        <v>2.9900000000000091</v>
      </c>
      <c r="AE46" s="131">
        <f t="shared" si="1"/>
        <v>-1.2028869286287214E-2</v>
      </c>
    </row>
    <row r="47" spans="1:31" x14ac:dyDescent="0.25">
      <c r="O47" s="78">
        <v>1.05</v>
      </c>
      <c r="P47" s="78">
        <f t="shared" si="5"/>
        <v>240.20850000000002</v>
      </c>
      <c r="Q47" s="78"/>
      <c r="T47" s="88" t="s">
        <v>101</v>
      </c>
      <c r="U47" s="83">
        <v>185.05</v>
      </c>
      <c r="W47" s="127">
        <v>42767</v>
      </c>
      <c r="X47" s="10">
        <v>162.75</v>
      </c>
      <c r="Y47" s="10">
        <v>163.9</v>
      </c>
      <c r="Z47" s="10">
        <v>162.03</v>
      </c>
      <c r="AA47" s="10">
        <v>162.71</v>
      </c>
      <c r="AB47" s="90">
        <v>3718500</v>
      </c>
      <c r="AC47" s="10">
        <v>162.11000000000001</v>
      </c>
      <c r="AD47" s="2">
        <f t="shared" si="0"/>
        <v>1.8700000000000045</v>
      </c>
      <c r="AE47" s="131">
        <f t="shared" si="1"/>
        <v>3.7770897832818395E-3</v>
      </c>
    </row>
    <row r="48" spans="1:31" x14ac:dyDescent="0.25">
      <c r="O48" s="78">
        <v>1.04</v>
      </c>
      <c r="P48" s="78">
        <f t="shared" si="5"/>
        <v>237.92080000000001</v>
      </c>
      <c r="Q48" s="78"/>
      <c r="T48" s="88" t="s">
        <v>102</v>
      </c>
      <c r="U48" s="83">
        <v>0.60878900000000002</v>
      </c>
      <c r="W48" s="127">
        <v>42766</v>
      </c>
      <c r="X48" s="10">
        <v>161.62</v>
      </c>
      <c r="Y48" s="10">
        <v>162.19</v>
      </c>
      <c r="Z48" s="10">
        <v>160.01</v>
      </c>
      <c r="AA48" s="10">
        <v>162.1</v>
      </c>
      <c r="AB48" s="90">
        <v>3037000</v>
      </c>
      <c r="AC48" s="10">
        <v>161.5</v>
      </c>
      <c r="AD48" s="2">
        <f t="shared" si="0"/>
        <v>2.1800000000000068</v>
      </c>
      <c r="AE48" s="131">
        <f t="shared" si="1"/>
        <v>6.1923338906311187E-5</v>
      </c>
    </row>
    <row r="49" spans="15:31" x14ac:dyDescent="0.25">
      <c r="O49" s="78">
        <v>1.03</v>
      </c>
      <c r="P49" s="78">
        <f t="shared" si="5"/>
        <v>235.63310000000001</v>
      </c>
      <c r="Q49" s="78"/>
      <c r="T49" s="88" t="s">
        <v>103</v>
      </c>
      <c r="U49" s="83" t="s">
        <v>469</v>
      </c>
      <c r="W49" s="127">
        <v>42765</v>
      </c>
      <c r="X49" s="10">
        <v>162.94</v>
      </c>
      <c r="Y49" s="10">
        <v>163.46</v>
      </c>
      <c r="Z49" s="10">
        <v>161.31</v>
      </c>
      <c r="AA49" s="10">
        <v>162.09</v>
      </c>
      <c r="AB49" s="90">
        <v>2784600</v>
      </c>
      <c r="AC49" s="10">
        <v>161.49</v>
      </c>
      <c r="AD49" s="2">
        <f t="shared" si="0"/>
        <v>2.1500000000000057</v>
      </c>
      <c r="AE49" s="131">
        <f t="shared" si="1"/>
        <v>-5.4809705628771077E-3</v>
      </c>
    </row>
    <row r="50" spans="15:31" x14ac:dyDescent="0.25">
      <c r="O50" s="78">
        <v>1.02</v>
      </c>
      <c r="P50" s="78">
        <f t="shared" si="5"/>
        <v>233.34540000000001</v>
      </c>
      <c r="Q50" s="78"/>
      <c r="T50" s="88"/>
      <c r="U50" s="83"/>
      <c r="W50" s="127">
        <v>42762</v>
      </c>
      <c r="X50" s="10">
        <v>163.5</v>
      </c>
      <c r="Y50" s="10">
        <v>163.80000000000001</v>
      </c>
      <c r="Z50" s="10">
        <v>162.62</v>
      </c>
      <c r="AA50" s="10">
        <v>162.99</v>
      </c>
      <c r="AB50" s="90">
        <v>3110400</v>
      </c>
      <c r="AC50" s="10">
        <v>162.38</v>
      </c>
      <c r="AD50" s="2">
        <f t="shared" si="0"/>
        <v>1.1800000000000068</v>
      </c>
      <c r="AE50" s="131">
        <f t="shared" si="1"/>
        <v>1.4184397163119478E-3</v>
      </c>
    </row>
    <row r="51" spans="15:31" x14ac:dyDescent="0.25">
      <c r="O51" s="78">
        <v>1.01</v>
      </c>
      <c r="P51" s="78">
        <f t="shared" si="5"/>
        <v>231.05770000000001</v>
      </c>
      <c r="Q51" s="78"/>
      <c r="T51" s="88" t="s">
        <v>104</v>
      </c>
      <c r="U51" s="83" t="s">
        <v>597</v>
      </c>
      <c r="W51" s="127">
        <v>42761</v>
      </c>
      <c r="X51" s="10">
        <v>161.86000000000001</v>
      </c>
      <c r="Y51" s="10">
        <v>163.58000000000001</v>
      </c>
      <c r="Z51" s="10">
        <v>161.25</v>
      </c>
      <c r="AA51" s="10">
        <v>162.75</v>
      </c>
      <c r="AB51" s="90">
        <v>4202400</v>
      </c>
      <c r="AC51" s="10">
        <v>162.15</v>
      </c>
      <c r="AD51" s="2">
        <f t="shared" si="0"/>
        <v>2.3300000000000125</v>
      </c>
      <c r="AE51" s="131">
        <f t="shared" si="1"/>
        <v>9.3999003984064355E-3</v>
      </c>
    </row>
    <row r="52" spans="15:31" x14ac:dyDescent="0.25">
      <c r="O52" s="78">
        <v>1</v>
      </c>
      <c r="P52" s="78">
        <f t="shared" si="5"/>
        <v>228.77</v>
      </c>
      <c r="Q52" s="78"/>
      <c r="T52" s="88" t="s">
        <v>105</v>
      </c>
      <c r="U52" s="83" t="s">
        <v>464</v>
      </c>
      <c r="W52" s="127">
        <v>42760</v>
      </c>
      <c r="X52" s="10">
        <v>160.82</v>
      </c>
      <c r="Y52" s="10">
        <v>161.97999999999999</v>
      </c>
      <c r="Z52" s="10">
        <v>160.35</v>
      </c>
      <c r="AA52" s="10">
        <v>161.24</v>
      </c>
      <c r="AB52" s="90">
        <v>3605800</v>
      </c>
      <c r="AC52" s="10">
        <v>160.63999999999999</v>
      </c>
      <c r="AD52" s="2">
        <f t="shared" si="0"/>
        <v>1.6299999999999955</v>
      </c>
      <c r="AE52" s="131">
        <f t="shared" si="1"/>
        <v>5.0678846274163636E-3</v>
      </c>
    </row>
    <row r="53" spans="15:31" x14ac:dyDescent="0.25">
      <c r="O53" s="78">
        <v>0.99</v>
      </c>
      <c r="P53" s="78">
        <f t="shared" si="5"/>
        <v>226.48230000000001</v>
      </c>
      <c r="Q53" s="78"/>
      <c r="T53" s="88" t="s">
        <v>106</v>
      </c>
      <c r="U53" s="85">
        <v>3541623</v>
      </c>
      <c r="W53" s="127">
        <v>42759</v>
      </c>
      <c r="X53" s="10">
        <v>159.36000000000001</v>
      </c>
      <c r="Y53" s="10">
        <v>161.31</v>
      </c>
      <c r="Z53" s="10">
        <v>159.1</v>
      </c>
      <c r="AA53" s="10">
        <v>160.43</v>
      </c>
      <c r="AB53" s="90">
        <v>3514100</v>
      </c>
      <c r="AC53" s="10">
        <v>159.83000000000001</v>
      </c>
      <c r="AD53" s="2">
        <f t="shared" si="0"/>
        <v>2.210000000000008</v>
      </c>
      <c r="AE53" s="131">
        <f t="shared" si="1"/>
        <v>8.5184250378598225E-3</v>
      </c>
    </row>
    <row r="54" spans="15:31" x14ac:dyDescent="0.25">
      <c r="O54" s="78">
        <v>0.98</v>
      </c>
      <c r="P54" s="78">
        <f t="shared" si="5"/>
        <v>224.19460000000001</v>
      </c>
      <c r="Q54" s="78"/>
      <c r="T54" s="88" t="s">
        <v>109</v>
      </c>
      <c r="U54" s="85">
        <v>3724090</v>
      </c>
      <c r="W54" s="127">
        <v>42758</v>
      </c>
      <c r="X54" s="10">
        <v>158.62</v>
      </c>
      <c r="Y54" s="10">
        <v>159.52000000000001</v>
      </c>
      <c r="Z54" s="10">
        <v>156.56</v>
      </c>
      <c r="AA54" s="10">
        <v>159.07</v>
      </c>
      <c r="AB54" s="90">
        <v>4062600</v>
      </c>
      <c r="AC54" s="10">
        <v>158.47999999999999</v>
      </c>
      <c r="AD54" s="2">
        <f t="shared" si="0"/>
        <v>2.960000000000008</v>
      </c>
      <c r="AE54" s="131">
        <f t="shared" si="1"/>
        <v>2.593787562472194E-3</v>
      </c>
    </row>
    <row r="55" spans="15:31" x14ac:dyDescent="0.25">
      <c r="O55" s="78">
        <v>0.97</v>
      </c>
      <c r="P55" s="78">
        <f t="shared" si="5"/>
        <v>221.90690000000001</v>
      </c>
      <c r="Q55" s="78"/>
      <c r="T55" s="88" t="s">
        <v>107</v>
      </c>
      <c r="U55" s="83" t="s">
        <v>598</v>
      </c>
      <c r="W55" s="127">
        <v>42755</v>
      </c>
      <c r="X55" s="10">
        <v>159.02000000000001</v>
      </c>
      <c r="Y55" s="10">
        <v>159.80000000000001</v>
      </c>
      <c r="Z55" s="10">
        <v>157.81</v>
      </c>
      <c r="AA55" s="10">
        <v>158.66</v>
      </c>
      <c r="AB55" s="90">
        <v>3579100</v>
      </c>
      <c r="AC55" s="10">
        <v>158.07</v>
      </c>
      <c r="AD55" s="2">
        <f t="shared" si="0"/>
        <v>1.9900000000000091</v>
      </c>
      <c r="AE55" s="131">
        <f t="shared" si="1"/>
        <v>-2.5298842577969882E-4</v>
      </c>
    </row>
    <row r="56" spans="15:31" x14ac:dyDescent="0.25">
      <c r="O56" s="78">
        <v>0.96</v>
      </c>
      <c r="P56" s="78">
        <f t="shared" si="5"/>
        <v>219.61920000000001</v>
      </c>
      <c r="Q56" s="78"/>
      <c r="T56" s="88" t="s">
        <v>110</v>
      </c>
      <c r="U56" s="83">
        <v>22.81</v>
      </c>
      <c r="W56" s="127">
        <v>42754</v>
      </c>
      <c r="X56" s="10">
        <v>157.74</v>
      </c>
      <c r="Y56" s="10">
        <v>160.55000000000001</v>
      </c>
      <c r="Z56" s="10">
        <v>157.24</v>
      </c>
      <c r="AA56" s="10">
        <v>158.69999999999999</v>
      </c>
      <c r="AB56" s="90">
        <v>4976900</v>
      </c>
      <c r="AC56" s="10">
        <v>158.11000000000001</v>
      </c>
      <c r="AD56" s="2">
        <f t="shared" si="0"/>
        <v>3.3100000000000023</v>
      </c>
      <c r="AE56" s="131">
        <f t="shared" si="1"/>
        <v>6.1088132357620673E-3</v>
      </c>
    </row>
    <row r="57" spans="15:31" x14ac:dyDescent="0.25">
      <c r="O57" s="78">
        <v>0.95</v>
      </c>
      <c r="P57" s="78">
        <f t="shared" si="5"/>
        <v>217.33150000000001</v>
      </c>
      <c r="Q57" s="78"/>
      <c r="T57" s="88" t="s">
        <v>111</v>
      </c>
      <c r="U57" s="83">
        <v>7.25</v>
      </c>
      <c r="W57" s="127">
        <v>42753</v>
      </c>
      <c r="X57" s="10">
        <v>161.06</v>
      </c>
      <c r="Y57" s="10">
        <v>161.19999999999999</v>
      </c>
      <c r="Z57" s="10">
        <v>156.09</v>
      </c>
      <c r="AA57" s="10">
        <v>157.74</v>
      </c>
      <c r="AB57" s="90">
        <v>6591600</v>
      </c>
      <c r="AC57" s="10">
        <v>157.15</v>
      </c>
      <c r="AD57" s="2">
        <f t="shared" si="0"/>
        <v>5.1099999999999852</v>
      </c>
      <c r="AE57" s="131">
        <f t="shared" si="1"/>
        <v>-1.8180682244158364E-2</v>
      </c>
    </row>
    <row r="58" spans="15:31" x14ac:dyDescent="0.25">
      <c r="O58" s="78">
        <v>0.94</v>
      </c>
      <c r="P58" s="78">
        <f t="shared" si="5"/>
        <v>215.0438</v>
      </c>
      <c r="Q58" s="78"/>
      <c r="T58" s="88" t="s">
        <v>108</v>
      </c>
      <c r="U58" s="83" t="s">
        <v>506</v>
      </c>
      <c r="W58" s="127">
        <v>42752</v>
      </c>
      <c r="X58" s="10">
        <v>162.61000000000001</v>
      </c>
      <c r="Y58" s="10">
        <v>162.97</v>
      </c>
      <c r="Z58" s="10">
        <v>157.51</v>
      </c>
      <c r="AA58" s="10">
        <v>160.66</v>
      </c>
      <c r="AB58" s="90">
        <v>5475800</v>
      </c>
      <c r="AC58" s="10">
        <v>160.06</v>
      </c>
      <c r="AD58" s="2">
        <f t="shared" si="0"/>
        <v>5.460000000000008</v>
      </c>
      <c r="AE58" s="131">
        <f t="shared" si="1"/>
        <v>-7.0719602977666884E-3</v>
      </c>
    </row>
    <row r="59" spans="15:31" x14ac:dyDescent="0.25">
      <c r="O59" s="78">
        <v>0.93</v>
      </c>
      <c r="P59" s="78">
        <f t="shared" si="5"/>
        <v>212.75610000000003</v>
      </c>
      <c r="Q59" s="78"/>
      <c r="W59" s="127">
        <v>42748</v>
      </c>
      <c r="X59" s="10">
        <v>162.16</v>
      </c>
      <c r="Y59" s="10">
        <v>162.74</v>
      </c>
      <c r="Z59" s="10">
        <v>161.41</v>
      </c>
      <c r="AA59" s="10">
        <v>161.80000000000001</v>
      </c>
      <c r="AB59" s="90">
        <v>3183300</v>
      </c>
      <c r="AC59" s="10">
        <v>161.19999999999999</v>
      </c>
      <c r="AD59" s="2">
        <f t="shared" si="0"/>
        <v>1.3300000000000125</v>
      </c>
      <c r="AE59" s="131">
        <f t="shared" si="1"/>
        <v>-3.4619188921859445E-3</v>
      </c>
    </row>
    <row r="60" spans="15:31" x14ac:dyDescent="0.25">
      <c r="O60" s="78">
        <v>0.92</v>
      </c>
      <c r="P60" s="78">
        <f t="shared" si="5"/>
        <v>210.46840000000003</v>
      </c>
      <c r="Q60" s="78"/>
      <c r="W60" s="127">
        <v>42747</v>
      </c>
      <c r="X60" s="10">
        <v>161.69</v>
      </c>
      <c r="Y60" s="10">
        <v>162.94</v>
      </c>
      <c r="Z60" s="10">
        <v>160.88999999999999</v>
      </c>
      <c r="AA60" s="10">
        <v>162.36000000000001</v>
      </c>
      <c r="AB60" s="90">
        <v>2555900</v>
      </c>
      <c r="AC60" s="10">
        <v>161.76</v>
      </c>
      <c r="AD60" s="2">
        <f t="shared" si="0"/>
        <v>2.0500000000000114</v>
      </c>
      <c r="AE60" s="131">
        <f t="shared" si="1"/>
        <v>2.914005828011712E-3</v>
      </c>
    </row>
    <row r="61" spans="15:31" x14ac:dyDescent="0.25">
      <c r="O61" s="78">
        <v>0.91</v>
      </c>
      <c r="P61" s="78">
        <f t="shared" si="5"/>
        <v>208.18070000000003</v>
      </c>
      <c r="Q61" s="78"/>
      <c r="W61" s="127">
        <v>42746</v>
      </c>
      <c r="X61" s="10">
        <v>161.30000000000001</v>
      </c>
      <c r="Y61" s="10">
        <v>162.94</v>
      </c>
      <c r="Z61" s="10">
        <v>160.61000000000001</v>
      </c>
      <c r="AA61" s="10">
        <v>161.88999999999999</v>
      </c>
      <c r="AB61" s="90">
        <v>3330600</v>
      </c>
      <c r="AC61" s="10">
        <v>161.29</v>
      </c>
      <c r="AD61" s="2">
        <f t="shared" si="0"/>
        <v>2.3299999999999841</v>
      </c>
      <c r="AE61" s="131">
        <f t="shared" si="1"/>
        <v>1.9257050565286704E-3</v>
      </c>
    </row>
    <row r="62" spans="15:31" x14ac:dyDescent="0.25">
      <c r="O62" s="78">
        <v>0.9</v>
      </c>
      <c r="P62" s="78">
        <f t="shared" si="5"/>
        <v>205.893</v>
      </c>
      <c r="Q62" s="78"/>
      <c r="W62" s="127">
        <v>42745</v>
      </c>
      <c r="X62" s="10">
        <v>161.27000000000001</v>
      </c>
      <c r="Y62" s="10">
        <v>162.97999999999999</v>
      </c>
      <c r="Z62" s="10">
        <v>160.5</v>
      </c>
      <c r="AA62" s="10">
        <v>161.58000000000001</v>
      </c>
      <c r="AB62" s="90">
        <v>3500700</v>
      </c>
      <c r="AC62" s="10">
        <v>160.97999999999999</v>
      </c>
      <c r="AD62" s="2">
        <f t="shared" si="0"/>
        <v>2.4799999999999898</v>
      </c>
      <c r="AE62" s="131">
        <f t="shared" si="1"/>
        <v>-2.2931515339325026E-3</v>
      </c>
    </row>
    <row r="63" spans="15:31" x14ac:dyDescent="0.25">
      <c r="O63" s="33"/>
      <c r="W63" s="127">
        <v>42744</v>
      </c>
      <c r="X63" s="10">
        <v>162</v>
      </c>
      <c r="Y63" s="10">
        <v>162.43</v>
      </c>
      <c r="Z63" s="10">
        <v>160.78</v>
      </c>
      <c r="AA63" s="10">
        <v>161.94999999999999</v>
      </c>
      <c r="AB63" s="90">
        <v>3040800</v>
      </c>
      <c r="AC63" s="10">
        <v>161.35</v>
      </c>
      <c r="AD63" s="2">
        <f t="shared" si="0"/>
        <v>1.6500000000000057</v>
      </c>
      <c r="AE63" s="131">
        <f t="shared" si="1"/>
        <v>-2.8428403683332659E-3</v>
      </c>
    </row>
    <row r="64" spans="15:31" x14ac:dyDescent="0.25">
      <c r="O64" s="33"/>
      <c r="W64" s="127">
        <v>42741</v>
      </c>
      <c r="X64" s="10">
        <v>161.75</v>
      </c>
      <c r="Y64" s="10">
        <v>162.94</v>
      </c>
      <c r="Z64" s="10">
        <v>161.11000000000001</v>
      </c>
      <c r="AA64" s="10">
        <v>162.41</v>
      </c>
      <c r="AB64" s="90">
        <v>3081300</v>
      </c>
      <c r="AC64" s="10">
        <v>161.81</v>
      </c>
      <c r="AD64" s="2">
        <f t="shared" si="0"/>
        <v>1.8299999999999841</v>
      </c>
      <c r="AE64" s="131">
        <f t="shared" si="1"/>
        <v>1.4234434954820685E-3</v>
      </c>
    </row>
    <row r="65" spans="23:31" x14ac:dyDescent="0.25">
      <c r="W65" s="127">
        <v>42740</v>
      </c>
      <c r="X65" s="10">
        <v>161.75</v>
      </c>
      <c r="Y65" s="10">
        <v>162.63</v>
      </c>
      <c r="Z65" s="10">
        <v>161.51</v>
      </c>
      <c r="AA65" s="10">
        <v>162.18</v>
      </c>
      <c r="AB65" s="90">
        <v>2961100</v>
      </c>
      <c r="AC65" s="10">
        <v>161.58000000000001</v>
      </c>
      <c r="AD65" s="2">
        <f t="shared" si="0"/>
        <v>1.1200000000000045</v>
      </c>
      <c r="AE65" s="131">
        <f t="shared" si="1"/>
        <v>1.673795796912847E-3</v>
      </c>
    </row>
    <row r="66" spans="23:31" x14ac:dyDescent="0.25">
      <c r="W66" s="127">
        <v>42739</v>
      </c>
      <c r="X66" s="10">
        <v>162.35</v>
      </c>
      <c r="Y66" s="10">
        <v>162.58000000000001</v>
      </c>
      <c r="Z66" s="10">
        <v>159.74</v>
      </c>
      <c r="AA66" s="10">
        <v>161.91</v>
      </c>
      <c r="AB66" s="90">
        <v>2695200</v>
      </c>
      <c r="AC66" s="10">
        <v>161.31</v>
      </c>
      <c r="AD66" s="2">
        <f t="shared" si="0"/>
        <v>2.8400000000000034</v>
      </c>
      <c r="AE66" s="131">
        <f t="shared" si="1"/>
        <v>2.8598072738577063E-3</v>
      </c>
    </row>
    <row r="67" spans="23:31" x14ac:dyDescent="0.25">
      <c r="W67" s="127">
        <v>42738</v>
      </c>
      <c r="X67" s="10">
        <v>161.13</v>
      </c>
      <c r="Y67" s="10">
        <v>162.27000000000001</v>
      </c>
      <c r="Z67" s="10">
        <v>159.15</v>
      </c>
      <c r="AA67" s="10">
        <v>161.44999999999999</v>
      </c>
      <c r="AB67" s="90">
        <v>3539700</v>
      </c>
      <c r="AC67" s="10">
        <v>160.85</v>
      </c>
      <c r="AD67" s="2">
        <f>Y67-Z67</f>
        <v>3.1200000000000045</v>
      </c>
      <c r="AE67" s="131" t="e">
        <f>AC67/#REF!-1</f>
        <v>#REF!</v>
      </c>
    </row>
    <row r="68" spans="23:31" x14ac:dyDescent="0.25">
      <c r="W68" s="127">
        <v>42734</v>
      </c>
      <c r="X68" s="10">
        <v>161.37</v>
      </c>
      <c r="Y68" s="10">
        <v>161.47999999999999</v>
      </c>
      <c r="Z68" s="10">
        <v>159.85</v>
      </c>
      <c r="AA68" s="10">
        <v>160.04</v>
      </c>
      <c r="AB68" s="90">
        <v>2855600</v>
      </c>
      <c r="AC68" s="10">
        <v>159.44999999999999</v>
      </c>
      <c r="AD68" s="2" t="e">
        <f>#REF!-#REF!</f>
        <v>#REF!</v>
      </c>
      <c r="AE68" s="131" t="e">
        <f>#REF!/AC69-1</f>
        <v>#REF!</v>
      </c>
    </row>
    <row r="69" spans="23:31" x14ac:dyDescent="0.25">
      <c r="W69" s="127" t="s">
        <v>120</v>
      </c>
      <c r="X69" s="10"/>
      <c r="Y69" s="10"/>
      <c r="Z69" s="10"/>
      <c r="AA69" s="10"/>
      <c r="AB69" s="90"/>
      <c r="AC69" s="10"/>
      <c r="AD69" s="2">
        <f>Y69-Z69</f>
        <v>0</v>
      </c>
      <c r="AE69" s="131" t="e">
        <f>AC69/AC70-1</f>
        <v>#DIV/0!</v>
      </c>
    </row>
  </sheetData>
  <mergeCells count="1">
    <mergeCell ref="O41:P41"/>
  </mergeCells>
  <conditionalFormatting sqref="O42:O62">
    <cfRule type="colorScale" priority="19">
      <colorScale>
        <cfvo type="min"/>
        <cfvo type="percentile" val="50"/>
        <cfvo type="max"/>
        <color rgb="FFF8696B"/>
        <color rgb="FFFFEB84"/>
        <color rgb="FF63BE7B"/>
      </colorScale>
    </cfRule>
  </conditionalFormatting>
  <conditionalFormatting sqref="P42:P62">
    <cfRule type="colorScale" priority="18">
      <colorScale>
        <cfvo type="min"/>
        <cfvo type="percentile" val="50"/>
        <cfvo type="max"/>
        <color rgb="FFF8696B"/>
        <color rgb="FFFFEB84"/>
        <color rgb="FF63BE7B"/>
      </colorScale>
    </cfRule>
  </conditionalFormatting>
  <conditionalFormatting sqref="Q45:Q62">
    <cfRule type="colorScale" priority="17">
      <colorScale>
        <cfvo type="min"/>
        <cfvo type="percentile" val="50"/>
        <cfvo type="max"/>
        <color rgb="FFF8696B"/>
        <color rgb="FFFFEB84"/>
        <color rgb="FF63BE7B"/>
      </colorScale>
    </cfRule>
  </conditionalFormatting>
  <conditionalFormatting sqref="AD1:AD69">
    <cfRule type="dataBar" priority="16">
      <dataBar>
        <cfvo type="min"/>
        <cfvo type="max"/>
        <color rgb="FFFF555A"/>
      </dataBar>
      <extLst>
        <ext xmlns:x14="http://schemas.microsoft.com/office/spreadsheetml/2009/9/main" uri="{B025F937-C7B1-47D3-B67F-A62EFF666E3E}">
          <x14:id>{058FB563-26FA-48C1-8085-48C235143D73}</x14:id>
        </ext>
      </extLst>
    </cfRule>
  </conditionalFormatting>
  <conditionalFormatting sqref="AE1:AE69">
    <cfRule type="iconSet" priority="15">
      <iconSet iconSet="3Arrows">
        <cfvo type="percent" val="0"/>
        <cfvo type="num" val="0"/>
        <cfvo type="num" val="0"/>
      </iconSet>
    </cfRule>
  </conditionalFormatting>
  <conditionalFormatting sqref="F21">
    <cfRule type="expression" dxfId="271" priority="13">
      <formula>F21&gt;0</formula>
    </cfRule>
    <cfRule type="expression" dxfId="270" priority="14">
      <formula>F21&lt;0</formula>
    </cfRule>
  </conditionalFormatting>
  <conditionalFormatting sqref="F22">
    <cfRule type="expression" dxfId="269" priority="11">
      <formula>F22&gt;0</formula>
    </cfRule>
    <cfRule type="expression" dxfId="268" priority="12">
      <formula>F22&lt;0</formula>
    </cfRule>
  </conditionalFormatting>
  <conditionalFormatting sqref="F23:F30">
    <cfRule type="expression" dxfId="267" priority="9">
      <formula>F23&gt;0</formula>
    </cfRule>
    <cfRule type="expression" dxfId="266" priority="10">
      <formula>F23&lt;0</formula>
    </cfRule>
  </conditionalFormatting>
  <conditionalFormatting sqref="H21:H31">
    <cfRule type="expression" dxfId="265" priority="7">
      <formula>H21&gt;0</formula>
    </cfRule>
    <cfRule type="expression" dxfId="264" priority="8">
      <formula>H21&lt;0</formula>
    </cfRule>
  </conditionalFormatting>
  <conditionalFormatting sqref="F24">
    <cfRule type="expression" dxfId="263" priority="5">
      <formula>F24&gt;0</formula>
    </cfRule>
    <cfRule type="expression" dxfId="262" priority="6">
      <formula>F24&lt;0</formula>
    </cfRule>
  </conditionalFormatting>
  <conditionalFormatting sqref="Q8">
    <cfRule type="expression" dxfId="261" priority="1">
      <formula>Q8&gt;0</formula>
    </cfRule>
    <cfRule type="expression" dxfId="260" priority="2">
      <formula>Q8&lt;0</formula>
    </cfRule>
  </conditionalFormatting>
  <conditionalFormatting sqref="Q7">
    <cfRule type="expression" dxfId="259" priority="3">
      <formula>Q7&gt;0</formula>
    </cfRule>
    <cfRule type="expression" dxfId="258"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058FB563-26FA-48C1-8085-48C235143D73}">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0"/>
  <dimension ref="A1:V13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9" width="11.85546875" style="78" bestFit="1" customWidth="1"/>
    <col min="10" max="11" width="9.140625" style="2"/>
    <col min="17" max="17" width="12.5703125" bestFit="1" customWidth="1"/>
    <col min="18" max="18" width="10.7109375" bestFit="1" customWidth="1"/>
    <col min="19" max="19" width="34" customWidth="1"/>
    <col min="20" max="20" width="13.7109375" customWidth="1"/>
    <col min="21" max="21" width="78.42578125" bestFit="1"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697" t="s">
        <v>7</v>
      </c>
      <c r="J1" s="20" t="s">
        <v>95</v>
      </c>
      <c r="K1" s="20" t="s">
        <v>61</v>
      </c>
      <c r="L1" s="11" t="s">
        <v>37</v>
      </c>
      <c r="M1" s="11" t="s">
        <v>38</v>
      </c>
      <c r="T1" s="11" t="s">
        <v>70</v>
      </c>
    </row>
    <row r="2" spans="1:22" x14ac:dyDescent="0.25">
      <c r="A2" s="6" t="s">
        <v>665</v>
      </c>
      <c r="B2" s="360">
        <v>42997</v>
      </c>
      <c r="C2" s="7">
        <v>50</v>
      </c>
      <c r="D2" s="43">
        <v>81.08</v>
      </c>
      <c r="E2" s="43">
        <v>0</v>
      </c>
      <c r="F2" s="43">
        <f t="shared" ref="F2:F15" si="0">C2*D2+E2</f>
        <v>4054</v>
      </c>
      <c r="G2" s="360">
        <v>43040</v>
      </c>
      <c r="H2" s="7">
        <v>100</v>
      </c>
      <c r="I2" s="428">
        <v>67.48</v>
      </c>
      <c r="J2" s="43">
        <v>0.16</v>
      </c>
      <c r="K2" s="43">
        <f t="shared" ref="K2:K13" si="1">H2*I2-J2</f>
        <v>6747.84</v>
      </c>
      <c r="L2" s="69">
        <v>43082</v>
      </c>
      <c r="M2" s="43">
        <v>80</v>
      </c>
      <c r="O2" s="11" t="s">
        <v>57</v>
      </c>
      <c r="Q2">
        <f>C24-H24</f>
        <v>0</v>
      </c>
      <c r="U2" t="s">
        <v>1183</v>
      </c>
      <c r="V2" s="131"/>
    </row>
    <row r="3" spans="1:22" x14ac:dyDescent="0.25">
      <c r="A3" s="22" t="s">
        <v>71</v>
      </c>
      <c r="B3" s="360">
        <v>43014</v>
      </c>
      <c r="C3" s="7">
        <v>50</v>
      </c>
      <c r="D3" s="43">
        <v>75.28</v>
      </c>
      <c r="E3" s="43">
        <v>0</v>
      </c>
      <c r="F3" s="43">
        <f t="shared" si="0"/>
        <v>3764</v>
      </c>
      <c r="G3" s="360">
        <v>43052</v>
      </c>
      <c r="H3" s="77">
        <v>50</v>
      </c>
      <c r="I3" s="428">
        <v>73.28</v>
      </c>
      <c r="J3" s="43">
        <v>0.08</v>
      </c>
      <c r="K3" s="43">
        <f t="shared" si="1"/>
        <v>3663.92</v>
      </c>
      <c r="L3" s="69">
        <v>43172</v>
      </c>
      <c r="M3" s="43">
        <v>60</v>
      </c>
      <c r="O3" s="11" t="s">
        <v>58</v>
      </c>
      <c r="Q3" s="174">
        <f>IF(Q2=0, Q4, (F24-K24-M24)/Q2)</f>
        <v>54.32</v>
      </c>
      <c r="V3" s="131"/>
    </row>
    <row r="4" spans="1:22" x14ac:dyDescent="0.25">
      <c r="B4" s="360">
        <v>43014</v>
      </c>
      <c r="C4" s="7">
        <v>50</v>
      </c>
      <c r="D4" s="43">
        <v>73.180000000000007</v>
      </c>
      <c r="E4" s="43">
        <v>0</v>
      </c>
      <c r="F4" s="43">
        <f t="shared" si="0"/>
        <v>3659.0000000000005</v>
      </c>
      <c r="G4" s="360">
        <v>43069</v>
      </c>
      <c r="H4" s="77">
        <v>50</v>
      </c>
      <c r="I4" s="428">
        <v>72.48</v>
      </c>
      <c r="J4" s="43">
        <v>0.08</v>
      </c>
      <c r="K4" s="43">
        <f t="shared" si="1"/>
        <v>3623.92</v>
      </c>
      <c r="L4" s="69">
        <v>43263</v>
      </c>
      <c r="M4" s="43">
        <v>120</v>
      </c>
      <c r="O4" s="11" t="s">
        <v>66</v>
      </c>
      <c r="Q4" s="53">
        <v>54.32</v>
      </c>
      <c r="R4" s="416">
        <v>4.1000000000000003E-3</v>
      </c>
      <c r="T4" s="1">
        <v>43114</v>
      </c>
      <c r="U4" t="s">
        <v>815</v>
      </c>
      <c r="V4" s="131"/>
    </row>
    <row r="5" spans="1:22" x14ac:dyDescent="0.25">
      <c r="B5" s="360">
        <v>43017</v>
      </c>
      <c r="C5" s="7">
        <v>50</v>
      </c>
      <c r="D5" s="43">
        <v>71.38</v>
      </c>
      <c r="E5" s="43">
        <v>0</v>
      </c>
      <c r="F5" s="43">
        <f t="shared" si="0"/>
        <v>3569</v>
      </c>
      <c r="G5" s="360">
        <v>43090</v>
      </c>
      <c r="H5" s="77">
        <v>100</v>
      </c>
      <c r="I5" s="428">
        <v>73.41</v>
      </c>
      <c r="J5" s="43">
        <v>0.17</v>
      </c>
      <c r="K5" s="43">
        <f t="shared" si="1"/>
        <v>7340.83</v>
      </c>
      <c r="L5" s="69">
        <v>43355</v>
      </c>
      <c r="M5" s="43">
        <v>88</v>
      </c>
      <c r="O5" s="11" t="s">
        <v>67</v>
      </c>
      <c r="Q5" s="3">
        <f>Q4*Q2</f>
        <v>0</v>
      </c>
      <c r="T5" s="1"/>
      <c r="U5" t="s">
        <v>1083</v>
      </c>
      <c r="V5" s="131"/>
    </row>
    <row r="6" spans="1:22" x14ac:dyDescent="0.25">
      <c r="B6" s="360">
        <v>43032</v>
      </c>
      <c r="C6" s="7">
        <v>50</v>
      </c>
      <c r="D6" s="43">
        <v>67.28</v>
      </c>
      <c r="E6" s="43">
        <v>0</v>
      </c>
      <c r="F6" s="43">
        <f t="shared" si="0"/>
        <v>3364</v>
      </c>
      <c r="G6" s="360">
        <v>43105</v>
      </c>
      <c r="H6" s="77">
        <v>50</v>
      </c>
      <c r="I6" s="428">
        <v>72.62</v>
      </c>
      <c r="J6" s="43">
        <v>0.08</v>
      </c>
      <c r="K6" s="43">
        <f t="shared" si="1"/>
        <v>3630.92</v>
      </c>
      <c r="L6" s="4"/>
      <c r="M6" s="4"/>
      <c r="O6" s="11" t="s">
        <v>64</v>
      </c>
      <c r="Q6" s="2">
        <f>Q3*Q2</f>
        <v>0</v>
      </c>
      <c r="T6" s="153"/>
      <c r="U6" s="1"/>
      <c r="V6" s="131"/>
    </row>
    <row r="7" spans="1:22" x14ac:dyDescent="0.25">
      <c r="B7" s="360">
        <v>43035</v>
      </c>
      <c r="C7" s="7">
        <v>50</v>
      </c>
      <c r="D7" s="43">
        <v>64.180000000000007</v>
      </c>
      <c r="E7" s="43">
        <v>0</v>
      </c>
      <c r="F7" s="43">
        <f t="shared" si="0"/>
        <v>3209.0000000000005</v>
      </c>
      <c r="G7" s="360">
        <v>43166</v>
      </c>
      <c r="H7" s="77">
        <v>100</v>
      </c>
      <c r="I7" s="428">
        <v>70.14</v>
      </c>
      <c r="J7" s="43">
        <v>0.14000000000000001</v>
      </c>
      <c r="K7" s="43">
        <f t="shared" si="1"/>
        <v>7013.86</v>
      </c>
      <c r="L7" s="4"/>
      <c r="M7" s="4"/>
      <c r="O7" s="11" t="s">
        <v>175</v>
      </c>
      <c r="Q7" s="2">
        <f>Q10+Q8</f>
        <v>2113.4099999999889</v>
      </c>
      <c r="R7">
        <v>0</v>
      </c>
      <c r="T7" s="1">
        <v>43187</v>
      </c>
      <c r="U7" t="s">
        <v>905</v>
      </c>
      <c r="V7" s="131"/>
    </row>
    <row r="8" spans="1:22" x14ac:dyDescent="0.25">
      <c r="B8" s="360">
        <v>43059</v>
      </c>
      <c r="C8" s="7">
        <v>50</v>
      </c>
      <c r="D8" s="43">
        <v>69.88</v>
      </c>
      <c r="E8" s="43">
        <v>0</v>
      </c>
      <c r="F8" s="43">
        <f t="shared" si="0"/>
        <v>3494</v>
      </c>
      <c r="G8" s="360">
        <v>43271</v>
      </c>
      <c r="H8" s="77">
        <v>100</v>
      </c>
      <c r="I8" s="428">
        <v>67.75</v>
      </c>
      <c r="J8" s="43">
        <v>0.09</v>
      </c>
      <c r="K8" s="43">
        <f t="shared" si="1"/>
        <v>6774.91</v>
      </c>
      <c r="L8" s="4"/>
      <c r="M8" s="4"/>
      <c r="O8" s="11" t="s">
        <v>177</v>
      </c>
      <c r="P8" s="33"/>
      <c r="Q8" s="2">
        <f>K24+M24-F24+Q2*Q4</f>
        <v>2113.4099999999889</v>
      </c>
      <c r="V8" s="131"/>
    </row>
    <row r="9" spans="1:22" x14ac:dyDescent="0.25">
      <c r="B9" s="360">
        <v>43104</v>
      </c>
      <c r="C9" s="7">
        <v>50</v>
      </c>
      <c r="D9" s="43">
        <v>70.97</v>
      </c>
      <c r="E9" s="43">
        <v>0</v>
      </c>
      <c r="F9" s="43">
        <f t="shared" si="0"/>
        <v>3548.5</v>
      </c>
      <c r="G9" s="360">
        <v>43286</v>
      </c>
      <c r="H9" s="77">
        <v>100</v>
      </c>
      <c r="I9" s="428">
        <v>62.38</v>
      </c>
      <c r="J9" s="43">
        <v>0.08</v>
      </c>
      <c r="K9" s="43">
        <f t="shared" si="1"/>
        <v>6237.92</v>
      </c>
      <c r="L9" s="4"/>
      <c r="M9" s="4"/>
      <c r="O9" s="11" t="s">
        <v>202</v>
      </c>
      <c r="Q9" s="131">
        <f>IF(Q2=0, 0, Q8/Q6)</f>
        <v>0</v>
      </c>
      <c r="T9" s="1">
        <v>43212</v>
      </c>
      <c r="U9" t="s">
        <v>949</v>
      </c>
      <c r="V9" s="131"/>
    </row>
    <row r="10" spans="1:22" x14ac:dyDescent="0.25">
      <c r="A10" t="s">
        <v>712</v>
      </c>
      <c r="B10" s="360">
        <v>43136</v>
      </c>
      <c r="C10" s="7">
        <v>50</v>
      </c>
      <c r="D10" s="43">
        <v>70.17</v>
      </c>
      <c r="E10" s="43">
        <v>-0.06</v>
      </c>
      <c r="F10" s="43">
        <f t="shared" si="0"/>
        <v>3508.44</v>
      </c>
      <c r="G10" s="360">
        <v>43287</v>
      </c>
      <c r="H10" s="77">
        <v>100</v>
      </c>
      <c r="I10" s="428">
        <v>63.53</v>
      </c>
      <c r="J10" s="43">
        <v>0.57999999999999996</v>
      </c>
      <c r="K10" s="43">
        <f t="shared" si="1"/>
        <v>6352.42</v>
      </c>
      <c r="O10" s="11" t="s">
        <v>201</v>
      </c>
      <c r="P10" s="33"/>
      <c r="Q10" s="2">
        <f>M91</f>
        <v>0</v>
      </c>
      <c r="U10" t="s">
        <v>950</v>
      </c>
      <c r="V10" s="131"/>
    </row>
    <row r="11" spans="1:22" x14ac:dyDescent="0.25">
      <c r="B11" s="360">
        <v>43139</v>
      </c>
      <c r="C11" s="7">
        <v>50</v>
      </c>
      <c r="D11" s="43">
        <v>68.48</v>
      </c>
      <c r="E11" s="43">
        <v>0</v>
      </c>
      <c r="F11" s="43">
        <f t="shared" si="0"/>
        <v>3424</v>
      </c>
      <c r="G11" s="360">
        <v>43355</v>
      </c>
      <c r="H11" s="77">
        <v>50</v>
      </c>
      <c r="I11" s="428">
        <v>70.2</v>
      </c>
      <c r="J11" s="43">
        <v>0.05</v>
      </c>
      <c r="K11" s="43">
        <f t="shared" si="1"/>
        <v>3509.95</v>
      </c>
      <c r="O11" s="11" t="s">
        <v>173</v>
      </c>
      <c r="P11" s="33"/>
      <c r="Q11" s="131">
        <f>R11*4/Q4</f>
        <v>2.9455081001472757E-2</v>
      </c>
      <c r="R11">
        <f>0.4</f>
        <v>0.4</v>
      </c>
      <c r="V11" s="131"/>
    </row>
    <row r="12" spans="1:22" x14ac:dyDescent="0.25">
      <c r="B12" s="360">
        <v>43165</v>
      </c>
      <c r="C12" s="7">
        <v>50</v>
      </c>
      <c r="D12" s="43">
        <v>69.180000000000007</v>
      </c>
      <c r="E12" s="43">
        <v>0</v>
      </c>
      <c r="F12" s="43">
        <f t="shared" si="0"/>
        <v>3459.0000000000005</v>
      </c>
      <c r="G12" s="360">
        <v>43362</v>
      </c>
      <c r="H12" s="77">
        <v>100</v>
      </c>
      <c r="I12" s="428">
        <v>71.680000000000007</v>
      </c>
      <c r="J12" s="43">
        <v>0.09</v>
      </c>
      <c r="K12" s="43">
        <f t="shared" si="1"/>
        <v>7167.9100000000008</v>
      </c>
      <c r="O12" s="11" t="s">
        <v>875</v>
      </c>
      <c r="Q12" s="1"/>
      <c r="T12" s="1">
        <v>43237</v>
      </c>
      <c r="U12" t="s">
        <v>1013</v>
      </c>
      <c r="V12" s="131"/>
    </row>
    <row r="13" spans="1:22" x14ac:dyDescent="0.25">
      <c r="B13" s="360">
        <v>43166</v>
      </c>
      <c r="C13" s="7">
        <v>100</v>
      </c>
      <c r="D13" s="43">
        <v>69.099999999999994</v>
      </c>
      <c r="E13" s="43">
        <v>0</v>
      </c>
      <c r="F13" s="43">
        <f t="shared" si="0"/>
        <v>6909.9999999999991</v>
      </c>
      <c r="G13" s="360">
        <v>43388</v>
      </c>
      <c r="H13" s="77">
        <v>50</v>
      </c>
      <c r="I13" s="428">
        <v>75.28</v>
      </c>
      <c r="J13" s="43">
        <v>0.05</v>
      </c>
      <c r="K13" s="43">
        <f t="shared" si="1"/>
        <v>3763.95</v>
      </c>
      <c r="O13" s="11" t="s">
        <v>901</v>
      </c>
      <c r="Q13" s="2">
        <f>Q4/(5.9+6.05)*2</f>
        <v>9.0912133891213394</v>
      </c>
      <c r="V13" s="131"/>
    </row>
    <row r="14" spans="1:22" x14ac:dyDescent="0.25">
      <c r="B14" s="360">
        <v>43228</v>
      </c>
      <c r="C14" s="7">
        <v>100</v>
      </c>
      <c r="D14" s="43">
        <v>61.88</v>
      </c>
      <c r="E14" s="43">
        <v>0</v>
      </c>
      <c r="F14" s="43">
        <f t="shared" si="0"/>
        <v>6188</v>
      </c>
      <c r="H14" s="67"/>
      <c r="O14" s="11" t="s">
        <v>966</v>
      </c>
      <c r="Q14" s="29">
        <v>43317</v>
      </c>
      <c r="T14" s="1">
        <v>43242</v>
      </c>
      <c r="U14" t="s">
        <v>1000</v>
      </c>
      <c r="V14" s="131"/>
    </row>
    <row r="15" spans="1:22" x14ac:dyDescent="0.25">
      <c r="B15" s="360">
        <v>43279</v>
      </c>
      <c r="C15" s="7">
        <v>50</v>
      </c>
      <c r="D15" s="43">
        <v>59.56</v>
      </c>
      <c r="E15" s="43">
        <v>0</v>
      </c>
      <c r="F15" s="43">
        <f t="shared" si="0"/>
        <v>2978</v>
      </c>
      <c r="H15" s="67"/>
      <c r="V15" s="131"/>
    </row>
    <row r="16" spans="1:22" x14ac:dyDescent="0.25">
      <c r="B16" s="360">
        <v>43279</v>
      </c>
      <c r="C16" s="7">
        <v>100</v>
      </c>
      <c r="D16" s="43">
        <v>59.56</v>
      </c>
      <c r="E16" s="43">
        <v>0</v>
      </c>
      <c r="F16" s="43">
        <f>C16*D16+E16</f>
        <v>5956</v>
      </c>
      <c r="H16" s="67"/>
      <c r="T16" s="1">
        <v>43260</v>
      </c>
      <c r="U16" t="s">
        <v>1047</v>
      </c>
      <c r="V16" s="131"/>
    </row>
    <row r="17" spans="1:22" x14ac:dyDescent="0.25">
      <c r="B17" s="360">
        <v>43279</v>
      </c>
      <c r="C17" s="7">
        <v>50</v>
      </c>
      <c r="D17" s="43">
        <v>59.56</v>
      </c>
      <c r="E17" s="43">
        <v>0</v>
      </c>
      <c r="F17" s="43">
        <f>C17*D17+E17</f>
        <v>2978</v>
      </c>
      <c r="T17" s="1">
        <v>43271</v>
      </c>
      <c r="U17" t="s">
        <v>1065</v>
      </c>
      <c r="V17" s="131"/>
    </row>
    <row r="18" spans="1:22" x14ac:dyDescent="0.25">
      <c r="C18" s="4"/>
      <c r="D18" s="3"/>
      <c r="E18" s="3"/>
      <c r="F18" s="3"/>
      <c r="H18" s="67"/>
      <c r="T18" s="1">
        <v>43274</v>
      </c>
      <c r="U18" t="s">
        <v>1064</v>
      </c>
      <c r="V18" s="131"/>
    </row>
    <row r="19" spans="1:22" x14ac:dyDescent="0.25">
      <c r="V19" s="131"/>
    </row>
    <row r="20" spans="1:22" x14ac:dyDescent="0.25">
      <c r="C20" s="4"/>
      <c r="D20" s="3"/>
      <c r="E20" s="3"/>
      <c r="F20" s="3"/>
      <c r="H20" s="67"/>
      <c r="T20" s="1">
        <v>43279</v>
      </c>
      <c r="U20" t="s">
        <v>1075</v>
      </c>
      <c r="V20" s="131"/>
    </row>
    <row r="21" spans="1:22" ht="20.25" thickBot="1" x14ac:dyDescent="0.35">
      <c r="O21" s="886" t="s">
        <v>78</v>
      </c>
      <c r="P21" s="886"/>
      <c r="U21" t="s">
        <v>1082</v>
      </c>
      <c r="V21" s="131"/>
    </row>
    <row r="22" spans="1:22" ht="15.75" thickTop="1" x14ac:dyDescent="0.25">
      <c r="C22" s="4"/>
      <c r="D22" s="3"/>
      <c r="E22" s="3"/>
      <c r="F22" s="3"/>
      <c r="H22" s="67"/>
      <c r="O22" s="78">
        <v>1.1000000000000001</v>
      </c>
      <c r="P22" s="78">
        <f>O22*$Q$4</f>
        <v>59.752000000000002</v>
      </c>
      <c r="V22" s="131"/>
    </row>
    <row r="23" spans="1:22" x14ac:dyDescent="0.25">
      <c r="O23" s="78">
        <v>1.0900000000000001</v>
      </c>
      <c r="P23" s="78">
        <f t="shared" ref="P23:P42" si="2">O23*$Q$4</f>
        <v>59.208800000000004</v>
      </c>
      <c r="T23" s="1">
        <v>43285</v>
      </c>
      <c r="U23" t="s">
        <v>1078</v>
      </c>
      <c r="V23" s="131"/>
    </row>
    <row r="24" spans="1:22" x14ac:dyDescent="0.25">
      <c r="A24" s="31" t="s">
        <v>81</v>
      </c>
      <c r="B24" s="14"/>
      <c r="C24" s="14">
        <f>SUM(C2:C22)</f>
        <v>950</v>
      </c>
      <c r="D24" s="18"/>
      <c r="E24" s="18"/>
      <c r="F24" s="18">
        <f>SUM(F2:F22)</f>
        <v>64062.94</v>
      </c>
      <c r="G24" s="14"/>
      <c r="H24" s="68">
        <f>SUM(H2:H13)</f>
        <v>950</v>
      </c>
      <c r="I24" s="698"/>
      <c r="J24" s="18"/>
      <c r="K24" s="18">
        <f>SUM(K2:K13)</f>
        <v>65828.349999999991</v>
      </c>
      <c r="L24" s="14"/>
      <c r="M24" s="18">
        <f>SUM(M2:M10)</f>
        <v>348</v>
      </c>
      <c r="O24" s="78">
        <v>1.08</v>
      </c>
      <c r="P24" s="78">
        <f t="shared" si="2"/>
        <v>58.665600000000005</v>
      </c>
      <c r="U24" t="s">
        <v>1079</v>
      </c>
      <c r="V24" s="131"/>
    </row>
    <row r="25" spans="1:22" ht="15.75" thickBot="1" x14ac:dyDescent="0.3">
      <c r="A25" s="273" t="s">
        <v>189</v>
      </c>
      <c r="B25" s="274"/>
      <c r="C25" s="275">
        <f>SumByColor($A$25,C2:C23)</f>
        <v>950</v>
      </c>
      <c r="D25" s="275"/>
      <c r="E25" s="275"/>
      <c r="F25" s="276">
        <f>SumByColor($A$25,F2:F23)</f>
        <v>64063</v>
      </c>
      <c r="G25" s="275"/>
      <c r="H25" s="275">
        <f>SumByColor($A$25,H2:H23)</f>
        <v>950</v>
      </c>
      <c r="I25" s="699"/>
      <c r="J25" s="275"/>
      <c r="K25" s="276">
        <f>SumByColor($A$25,K2:K23)</f>
        <v>65829</v>
      </c>
      <c r="L25" s="275"/>
      <c r="M25" s="276">
        <f>SumByColor($A$25,M2:M23)</f>
        <v>348</v>
      </c>
      <c r="O25" s="78">
        <v>1.07</v>
      </c>
      <c r="P25" s="78">
        <f t="shared" si="2"/>
        <v>58.122400000000006</v>
      </c>
      <c r="U25" t="s">
        <v>1080</v>
      </c>
      <c r="V25" s="131"/>
    </row>
    <row r="26" spans="1:22" x14ac:dyDescent="0.25">
      <c r="O26" s="78">
        <v>1.06</v>
      </c>
      <c r="P26" s="78">
        <f t="shared" si="2"/>
        <v>57.5792</v>
      </c>
      <c r="U26" t="s">
        <v>1081</v>
      </c>
      <c r="V26" s="131"/>
    </row>
    <row r="27" spans="1:22" x14ac:dyDescent="0.25">
      <c r="O27" s="78">
        <v>1.05</v>
      </c>
      <c r="P27" s="78">
        <f t="shared" si="2"/>
        <v>57.036000000000001</v>
      </c>
      <c r="V27" s="131"/>
    </row>
    <row r="28" spans="1:22" x14ac:dyDescent="0.25">
      <c r="O28" s="78">
        <v>1.04</v>
      </c>
      <c r="P28" s="78">
        <f t="shared" si="2"/>
        <v>56.492800000000003</v>
      </c>
      <c r="V28" s="131"/>
    </row>
    <row r="29" spans="1:22" x14ac:dyDescent="0.25">
      <c r="O29" s="78">
        <v>1.03</v>
      </c>
      <c r="P29" s="78">
        <f t="shared" si="2"/>
        <v>55.949600000000004</v>
      </c>
      <c r="V29" s="131"/>
    </row>
    <row r="30" spans="1:22" x14ac:dyDescent="0.25">
      <c r="B30" s="159" t="s">
        <v>113</v>
      </c>
      <c r="C30" s="159" t="s">
        <v>143</v>
      </c>
      <c r="D30" s="160" t="s">
        <v>142</v>
      </c>
      <c r="E30" s="162" t="s">
        <v>144</v>
      </c>
      <c r="F30" s="162" t="s">
        <v>65</v>
      </c>
      <c r="G30" s="173" t="s">
        <v>148</v>
      </c>
      <c r="H30" s="173" t="s">
        <v>88</v>
      </c>
      <c r="I30" s="173" t="s">
        <v>151</v>
      </c>
      <c r="J30" s="173" t="s">
        <v>147</v>
      </c>
      <c r="K30" s="173" t="s">
        <v>601</v>
      </c>
      <c r="L30" s="173" t="s">
        <v>452</v>
      </c>
      <c r="M30" s="173" t="s">
        <v>901</v>
      </c>
      <c r="O30" s="78">
        <v>1.02</v>
      </c>
      <c r="P30" s="78">
        <f t="shared" si="2"/>
        <v>55.406399999999998</v>
      </c>
      <c r="T30" s="680">
        <v>43318</v>
      </c>
      <c r="U30" t="s">
        <v>1105</v>
      </c>
      <c r="V30" s="131"/>
    </row>
    <row r="31" spans="1:22" x14ac:dyDescent="0.25">
      <c r="B31" s="161">
        <v>42997</v>
      </c>
      <c r="C31" s="10">
        <v>50</v>
      </c>
      <c r="D31" s="39">
        <v>81.08</v>
      </c>
      <c r="E31" s="39">
        <v>81.209999999999994</v>
      </c>
      <c r="F31" s="39">
        <f>C31*(E31-D31)</f>
        <v>6.4999999999997726</v>
      </c>
      <c r="G31" s="39">
        <f>D31*C31</f>
        <v>4054</v>
      </c>
      <c r="H31" s="175">
        <f>(E31-D31)/D31</f>
        <v>1.6033547113960959E-3</v>
      </c>
      <c r="I31" s="170">
        <v>80.5</v>
      </c>
      <c r="J31" s="39"/>
      <c r="K31" s="39"/>
      <c r="L31" s="39"/>
      <c r="M31" s="39"/>
      <c r="O31" s="78">
        <v>1.01</v>
      </c>
      <c r="P31" s="78">
        <f t="shared" si="2"/>
        <v>54.863199999999999</v>
      </c>
      <c r="V31" s="131"/>
    </row>
    <row r="32" spans="1:22" x14ac:dyDescent="0.25">
      <c r="A32" s="1">
        <v>43028</v>
      </c>
      <c r="B32" s="161">
        <v>43014</v>
      </c>
      <c r="C32" s="181">
        <v>100</v>
      </c>
      <c r="D32" s="182">
        <v>78.180000000000007</v>
      </c>
      <c r="E32" s="39">
        <v>75.86</v>
      </c>
      <c r="F32" s="39">
        <f>C32*(E32-D32)</f>
        <v>-232.00000000000074</v>
      </c>
      <c r="G32" s="39">
        <f>D32*C32</f>
        <v>7818.0000000000009</v>
      </c>
      <c r="H32" s="175">
        <f>(E32-D32)/D32</f>
        <v>-2.9675108723458778E-2</v>
      </c>
      <c r="I32" s="170">
        <v>78</v>
      </c>
      <c r="J32" s="39"/>
      <c r="K32" s="39"/>
      <c r="L32" s="39"/>
      <c r="M32" s="39"/>
      <c r="O32" s="78">
        <v>1</v>
      </c>
      <c r="P32" s="78">
        <f t="shared" si="2"/>
        <v>54.32</v>
      </c>
      <c r="V32" s="131"/>
    </row>
    <row r="33" spans="1:22" x14ac:dyDescent="0.25">
      <c r="A33" s="1">
        <v>43028</v>
      </c>
      <c r="B33" s="161">
        <v>43014</v>
      </c>
      <c r="C33" s="10">
        <v>150</v>
      </c>
      <c r="D33" s="39">
        <v>76.513300000000001</v>
      </c>
      <c r="E33" s="39">
        <v>73.180000000000007</v>
      </c>
      <c r="F33" s="39">
        <f>C33*(E33-D33)</f>
        <v>-499.9949999999991</v>
      </c>
      <c r="G33" s="39">
        <f>D33*C33</f>
        <v>11476.995000000001</v>
      </c>
      <c r="H33" s="175">
        <f>(E33-D33)/D33</f>
        <v>-4.3564974978206328E-2</v>
      </c>
      <c r="I33" s="170">
        <v>76</v>
      </c>
      <c r="J33" s="39"/>
      <c r="K33" s="39"/>
      <c r="L33" s="152"/>
      <c r="M33" s="152"/>
      <c r="O33" s="78">
        <v>0.99</v>
      </c>
      <c r="P33" s="78">
        <f t="shared" si="2"/>
        <v>53.776800000000001</v>
      </c>
      <c r="V33" s="131"/>
    </row>
    <row r="34" spans="1:22" x14ac:dyDescent="0.25">
      <c r="A34" s="1">
        <v>43028</v>
      </c>
      <c r="B34" s="161">
        <v>43017</v>
      </c>
      <c r="C34" s="7">
        <v>200</v>
      </c>
      <c r="D34" s="43">
        <v>75.23</v>
      </c>
      <c r="E34" s="39">
        <v>70.87</v>
      </c>
      <c r="F34" s="39">
        <f>C34*(E34-D34)</f>
        <v>-871.99999999999989</v>
      </c>
      <c r="G34" s="39">
        <f>D34*C34</f>
        <v>15046</v>
      </c>
      <c r="H34" s="175">
        <f>(E34-D34)/D34</f>
        <v>-5.7955602818024712E-2</v>
      </c>
      <c r="I34" s="170">
        <v>75</v>
      </c>
      <c r="J34" s="39"/>
      <c r="K34" s="39"/>
      <c r="L34" s="152"/>
      <c r="M34" s="152"/>
      <c r="O34" s="78">
        <v>0.98</v>
      </c>
      <c r="P34" s="78">
        <f t="shared" si="2"/>
        <v>53.233600000000003</v>
      </c>
      <c r="V34" s="131"/>
    </row>
    <row r="35" spans="1:22" x14ac:dyDescent="0.25">
      <c r="B35" s="161">
        <v>43018</v>
      </c>
      <c r="C35" s="10">
        <v>200</v>
      </c>
      <c r="D35" s="39">
        <v>75.23</v>
      </c>
      <c r="E35" s="39">
        <v>70.87</v>
      </c>
      <c r="F35" s="39">
        <f>C35*(E35-D35)</f>
        <v>-871.99999999999989</v>
      </c>
      <c r="G35" s="39">
        <f>D35*C35</f>
        <v>15046</v>
      </c>
      <c r="H35" s="175">
        <f>(E35-D35)/D35</f>
        <v>-5.7955602818024712E-2</v>
      </c>
      <c r="I35" s="170"/>
      <c r="J35" s="39"/>
      <c r="K35" s="39"/>
      <c r="L35" s="639"/>
      <c r="M35" s="639"/>
      <c r="O35" s="78">
        <v>0.97</v>
      </c>
      <c r="P35" s="78">
        <f t="shared" si="2"/>
        <v>52.690399999999997</v>
      </c>
      <c r="V35" s="131"/>
    </row>
    <row r="36" spans="1:22" x14ac:dyDescent="0.25">
      <c r="B36" s="161">
        <v>43023</v>
      </c>
      <c r="C36" s="10">
        <v>200</v>
      </c>
      <c r="D36" s="39">
        <v>75.23</v>
      </c>
      <c r="E36" s="39">
        <v>67.56</v>
      </c>
      <c r="F36" s="39">
        <f t="shared" ref="F36:F46" si="3">C36*(E36-D36)</f>
        <v>-1534.0000000000005</v>
      </c>
      <c r="G36" s="39">
        <f t="shared" ref="G36:G46" si="4">D36*C36</f>
        <v>15046</v>
      </c>
      <c r="H36" s="175">
        <f t="shared" ref="H36:H46" si="5">(E36-D36)/D36</f>
        <v>-0.10195400770969031</v>
      </c>
      <c r="I36" s="170"/>
      <c r="J36" s="39"/>
      <c r="K36" s="39"/>
      <c r="L36" s="39">
        <v>15.91</v>
      </c>
      <c r="M36" s="639"/>
      <c r="O36" s="78">
        <v>0.96</v>
      </c>
      <c r="P36" s="78">
        <f t="shared" si="2"/>
        <v>52.147199999999998</v>
      </c>
      <c r="V36" s="131"/>
    </row>
    <row r="37" spans="1:22" x14ac:dyDescent="0.25">
      <c r="B37" s="161">
        <v>43032</v>
      </c>
      <c r="C37" s="10">
        <v>250</v>
      </c>
      <c r="D37" s="39">
        <v>73.64</v>
      </c>
      <c r="E37" s="39">
        <v>67.290000000000006</v>
      </c>
      <c r="F37" s="39">
        <f t="shared" si="3"/>
        <v>-1587.4999999999986</v>
      </c>
      <c r="G37" s="39">
        <f t="shared" si="4"/>
        <v>18410</v>
      </c>
      <c r="H37" s="175">
        <f t="shared" si="5"/>
        <v>-8.6230309614339959E-2</v>
      </c>
      <c r="I37" s="170">
        <v>73.2</v>
      </c>
      <c r="J37" s="39"/>
      <c r="K37" s="39"/>
      <c r="L37" s="639"/>
      <c r="M37" s="639"/>
      <c r="O37" s="78">
        <v>0.95</v>
      </c>
      <c r="P37" s="78">
        <f t="shared" si="2"/>
        <v>51.603999999999999</v>
      </c>
      <c r="V37" s="131"/>
    </row>
    <row r="38" spans="1:22" x14ac:dyDescent="0.25">
      <c r="B38" s="161">
        <v>43035</v>
      </c>
      <c r="C38" s="10">
        <v>300</v>
      </c>
      <c r="D38" s="39">
        <v>72.063299999999998</v>
      </c>
      <c r="E38" s="39">
        <v>64.180000000000007</v>
      </c>
      <c r="F38" s="39">
        <f t="shared" si="3"/>
        <v>-2364.9899999999975</v>
      </c>
      <c r="G38" s="39">
        <f t="shared" si="4"/>
        <v>21618.989999999998</v>
      </c>
      <c r="H38" s="175">
        <f t="shared" si="5"/>
        <v>-0.10939410212965534</v>
      </c>
      <c r="I38" s="170">
        <v>71.5</v>
      </c>
      <c r="J38" s="39"/>
      <c r="K38" s="39"/>
      <c r="L38" s="639"/>
      <c r="M38" s="639"/>
      <c r="O38" s="78">
        <v>0.94</v>
      </c>
      <c r="P38" s="78">
        <f t="shared" si="2"/>
        <v>51.0608</v>
      </c>
      <c r="V38" s="131"/>
    </row>
    <row r="39" spans="1:22" x14ac:dyDescent="0.25">
      <c r="A39" s="29"/>
      <c r="B39" s="161">
        <v>43040</v>
      </c>
      <c r="C39" s="10">
        <v>200</v>
      </c>
      <c r="D39" s="39">
        <v>74.355800000000002</v>
      </c>
      <c r="E39" s="39">
        <v>67.010000000000005</v>
      </c>
      <c r="F39" s="39">
        <f t="shared" si="3"/>
        <v>-1469.1599999999994</v>
      </c>
      <c r="G39" s="39">
        <f t="shared" si="4"/>
        <v>14871.16</v>
      </c>
      <c r="H39" s="175">
        <f t="shared" si="5"/>
        <v>-9.8792562248002133E-2</v>
      </c>
      <c r="I39" s="170" t="s">
        <v>692</v>
      </c>
      <c r="J39" s="39"/>
      <c r="K39" s="39"/>
      <c r="L39" s="639"/>
      <c r="M39" s="639"/>
      <c r="O39" s="78">
        <v>0.93</v>
      </c>
      <c r="P39" s="78">
        <f t="shared" si="2"/>
        <v>50.517600000000002</v>
      </c>
      <c r="V39" s="131"/>
    </row>
    <row r="40" spans="1:22" x14ac:dyDescent="0.25">
      <c r="B40" s="161">
        <v>43052</v>
      </c>
      <c r="C40" s="10">
        <v>150</v>
      </c>
      <c r="D40" s="39">
        <v>74.7149</v>
      </c>
      <c r="E40" s="39">
        <v>70.459999999999994</v>
      </c>
      <c r="F40" s="39">
        <f t="shared" si="3"/>
        <v>-638.23500000000092</v>
      </c>
      <c r="G40" s="39">
        <f t="shared" si="4"/>
        <v>11207.235000000001</v>
      </c>
      <c r="H40" s="175">
        <f t="shared" si="5"/>
        <v>-5.6948480155899379E-2</v>
      </c>
      <c r="I40" s="170" t="s">
        <v>694</v>
      </c>
      <c r="J40" s="39"/>
      <c r="K40" s="39"/>
      <c r="L40" s="639"/>
      <c r="M40" s="639"/>
      <c r="O40" s="78">
        <v>0.92</v>
      </c>
      <c r="P40" s="78">
        <f t="shared" si="2"/>
        <v>49.974400000000003</v>
      </c>
    </row>
    <row r="41" spans="1:22" x14ac:dyDescent="0.25">
      <c r="B41" s="161">
        <v>43059</v>
      </c>
      <c r="C41" s="7">
        <v>200</v>
      </c>
      <c r="D41" s="43">
        <v>73.506200000000007</v>
      </c>
      <c r="E41" s="39">
        <v>70.650000000000006</v>
      </c>
      <c r="F41" s="39">
        <f t="shared" si="3"/>
        <v>-571.24000000000024</v>
      </c>
      <c r="G41" s="39">
        <f t="shared" si="4"/>
        <v>14701.240000000002</v>
      </c>
      <c r="H41" s="175">
        <f t="shared" si="5"/>
        <v>-3.885658624714651E-2</v>
      </c>
      <c r="I41" s="170"/>
      <c r="J41" s="39"/>
      <c r="K41" s="39"/>
      <c r="L41" s="639"/>
      <c r="M41" s="639"/>
      <c r="O41" s="78">
        <v>0.91</v>
      </c>
      <c r="P41" s="78">
        <f t="shared" si="2"/>
        <v>49.431200000000004</v>
      </c>
      <c r="Q41" s="2"/>
    </row>
    <row r="42" spans="1:22" x14ac:dyDescent="0.25">
      <c r="A42">
        <v>100</v>
      </c>
      <c r="B42" s="161">
        <v>43069</v>
      </c>
      <c r="C42" s="10">
        <v>150</v>
      </c>
      <c r="D42" s="39">
        <v>73.848799999999997</v>
      </c>
      <c r="E42" s="39">
        <v>72.760000000000005</v>
      </c>
      <c r="F42" s="39">
        <f t="shared" si="3"/>
        <v>-163.3199999999988</v>
      </c>
      <c r="G42" s="39">
        <f t="shared" si="4"/>
        <v>11077.32</v>
      </c>
      <c r="H42" s="175">
        <f t="shared" si="5"/>
        <v>-1.4743638352958912E-2</v>
      </c>
      <c r="I42" s="170" t="s">
        <v>699</v>
      </c>
      <c r="J42" s="39"/>
      <c r="K42" s="39"/>
      <c r="L42" s="639"/>
      <c r="M42" s="639"/>
      <c r="O42" s="78">
        <v>0.9</v>
      </c>
      <c r="P42" s="78">
        <f t="shared" si="2"/>
        <v>48.887999999999998</v>
      </c>
      <c r="Q42" s="2"/>
    </row>
    <row r="43" spans="1:22" x14ac:dyDescent="0.25">
      <c r="A43">
        <v>100</v>
      </c>
      <c r="B43" s="161">
        <v>43082</v>
      </c>
      <c r="C43" s="10">
        <v>150</v>
      </c>
      <c r="D43" s="39">
        <v>73.3155</v>
      </c>
      <c r="E43" s="39">
        <v>71.72</v>
      </c>
      <c r="F43" s="39">
        <f t="shared" si="3"/>
        <v>-239.32500000000019</v>
      </c>
      <c r="G43" s="39">
        <f t="shared" si="4"/>
        <v>10997.325000000001</v>
      </c>
      <c r="H43" s="175">
        <f t="shared" si="5"/>
        <v>-2.1762110331376056E-2</v>
      </c>
      <c r="I43" s="170" t="s">
        <v>703</v>
      </c>
      <c r="J43" s="39"/>
      <c r="K43" s="39"/>
      <c r="L43" s="39"/>
      <c r="M43" s="39"/>
      <c r="Q43" s="2"/>
    </row>
    <row r="44" spans="1:22" x14ac:dyDescent="0.25">
      <c r="A44">
        <v>0</v>
      </c>
      <c r="B44" s="161">
        <v>43090</v>
      </c>
      <c r="C44" s="10">
        <v>50</v>
      </c>
      <c r="D44" s="39">
        <v>73.13</v>
      </c>
      <c r="E44" s="39">
        <v>73.41</v>
      </c>
      <c r="F44" s="39">
        <f t="shared" si="3"/>
        <v>14.000000000000057</v>
      </c>
      <c r="G44" s="39">
        <f t="shared" si="4"/>
        <v>3656.5</v>
      </c>
      <c r="H44" s="175">
        <f t="shared" si="5"/>
        <v>3.8287980309038858E-3</v>
      </c>
      <c r="I44" s="170" t="s">
        <v>710</v>
      </c>
      <c r="J44" s="39"/>
      <c r="K44" s="39"/>
      <c r="L44" s="39"/>
      <c r="M44" s="39"/>
      <c r="Q44" s="2"/>
    </row>
    <row r="45" spans="1:22" x14ac:dyDescent="0.25">
      <c r="A45">
        <v>50</v>
      </c>
      <c r="B45" s="161">
        <v>43104</v>
      </c>
      <c r="C45" s="10">
        <v>100</v>
      </c>
      <c r="D45" s="39">
        <v>72.049899999999994</v>
      </c>
      <c r="E45" s="39">
        <v>70.97</v>
      </c>
      <c r="F45" s="39">
        <f t="shared" si="3"/>
        <v>-107.9899999999995</v>
      </c>
      <c r="G45" s="39">
        <f t="shared" si="4"/>
        <v>7204.99</v>
      </c>
      <c r="H45" s="175">
        <f t="shared" si="5"/>
        <v>-1.4988223439588328E-2</v>
      </c>
      <c r="I45" s="170" t="s">
        <v>773</v>
      </c>
      <c r="J45" s="39"/>
      <c r="K45" s="39"/>
      <c r="L45" s="39"/>
      <c r="M45" s="39"/>
      <c r="Q45" s="2"/>
    </row>
    <row r="46" spans="1:22" x14ac:dyDescent="0.25">
      <c r="A46">
        <v>0</v>
      </c>
      <c r="B46" s="161">
        <v>43105</v>
      </c>
      <c r="C46" s="10">
        <v>50</v>
      </c>
      <c r="D46" s="39">
        <v>71.481399999999994</v>
      </c>
      <c r="E46" s="39">
        <v>72.92</v>
      </c>
      <c r="F46" s="39">
        <f t="shared" si="3"/>
        <v>71.930000000000405</v>
      </c>
      <c r="G46" s="39">
        <f t="shared" si="4"/>
        <v>3574.0699999999997</v>
      </c>
      <c r="H46" s="175">
        <f t="shared" si="5"/>
        <v>2.0125515168981138E-2</v>
      </c>
      <c r="I46" s="170" t="s">
        <v>779</v>
      </c>
      <c r="J46" s="39"/>
      <c r="K46" s="39"/>
      <c r="L46" s="39"/>
      <c r="M46" s="39"/>
      <c r="Q46" s="2"/>
    </row>
    <row r="47" spans="1:22" x14ac:dyDescent="0.25">
      <c r="A47" s="1"/>
      <c r="B47" s="161">
        <v>43108</v>
      </c>
      <c r="C47" s="10">
        <v>50</v>
      </c>
      <c r="D47" s="39">
        <v>71.481399999999994</v>
      </c>
      <c r="E47" s="39">
        <v>73.849999999999994</v>
      </c>
      <c r="F47" s="39">
        <f>C47*(E47-D47)</f>
        <v>118.43000000000004</v>
      </c>
      <c r="G47" s="39">
        <f>D47*C47</f>
        <v>3574.0699999999997</v>
      </c>
      <c r="H47" s="175">
        <f>(E47-D47)/D47</f>
        <v>3.3135892693763706E-2</v>
      </c>
      <c r="I47" s="170"/>
      <c r="J47" s="39"/>
      <c r="K47" s="39"/>
      <c r="L47" s="39"/>
      <c r="M47" s="39"/>
      <c r="Q47" s="2"/>
    </row>
    <row r="48" spans="1:22" x14ac:dyDescent="0.25">
      <c r="A48">
        <v>50</v>
      </c>
      <c r="B48" s="161">
        <v>43117</v>
      </c>
      <c r="C48" s="10">
        <v>50</v>
      </c>
      <c r="D48" s="39">
        <v>71.481399999999994</v>
      </c>
      <c r="E48" s="39">
        <v>75.78</v>
      </c>
      <c r="F48" s="39">
        <f t="shared" ref="F48:F53" si="6">C48*(E48-D48)</f>
        <v>214.93000000000038</v>
      </c>
      <c r="G48" s="39">
        <f t="shared" ref="G48:G53" si="7">D48*C48</f>
        <v>3574.0699999999997</v>
      </c>
      <c r="H48" s="175">
        <f t="shared" ref="H48:H53" si="8">(E48-D48)/D48</f>
        <v>6.0135923471000961E-2</v>
      </c>
      <c r="I48" s="170"/>
      <c r="J48" s="39"/>
      <c r="K48" s="39"/>
      <c r="L48" s="39"/>
      <c r="M48" s="39"/>
      <c r="Q48" s="2"/>
    </row>
    <row r="49" spans="1:22" x14ac:dyDescent="0.25">
      <c r="A49">
        <v>50</v>
      </c>
      <c r="B49" s="161">
        <v>43136</v>
      </c>
      <c r="C49" s="181">
        <v>100</v>
      </c>
      <c r="D49" s="182">
        <v>70.825100000000006</v>
      </c>
      <c r="E49" s="39">
        <v>70.430000000000007</v>
      </c>
      <c r="F49" s="39">
        <f t="shared" si="6"/>
        <v>-39.509999999999934</v>
      </c>
      <c r="G49" s="39">
        <f t="shared" si="7"/>
        <v>7082.51</v>
      </c>
      <c r="H49" s="175">
        <f t="shared" si="8"/>
        <v>-5.5785307751065553E-3</v>
      </c>
      <c r="I49" s="170"/>
      <c r="J49" s="39"/>
      <c r="K49" s="39"/>
      <c r="L49" s="39"/>
      <c r="M49" s="39"/>
      <c r="Q49" s="2"/>
    </row>
    <row r="50" spans="1:22" x14ac:dyDescent="0.25">
      <c r="A50">
        <v>50</v>
      </c>
      <c r="B50" s="161">
        <v>43139</v>
      </c>
      <c r="C50" s="10">
        <v>150</v>
      </c>
      <c r="D50" s="39">
        <v>70.043400000000005</v>
      </c>
      <c r="E50" s="39">
        <v>68.22</v>
      </c>
      <c r="F50" s="39">
        <f t="shared" si="6"/>
        <v>-273.51000000000101</v>
      </c>
      <c r="G50" s="39">
        <f t="shared" si="7"/>
        <v>10506.51</v>
      </c>
      <c r="H50" s="175">
        <f t="shared" si="8"/>
        <v>-2.6032431321152405E-2</v>
      </c>
      <c r="I50" s="170" t="s">
        <v>881</v>
      </c>
      <c r="J50" s="39"/>
      <c r="K50" s="39"/>
      <c r="L50" s="39"/>
      <c r="M50" s="39"/>
      <c r="Q50" s="2"/>
    </row>
    <row r="51" spans="1:22" x14ac:dyDescent="0.25">
      <c r="A51">
        <v>50</v>
      </c>
      <c r="B51" s="161">
        <v>43165</v>
      </c>
      <c r="C51" s="10">
        <v>200</v>
      </c>
      <c r="D51" s="39">
        <v>69.83</v>
      </c>
      <c r="E51" s="39">
        <v>69.790000000000006</v>
      </c>
      <c r="F51" s="39">
        <f t="shared" si="6"/>
        <v>-7.9999999999984084</v>
      </c>
      <c r="G51" s="39">
        <f t="shared" si="7"/>
        <v>13966</v>
      </c>
      <c r="H51" s="175">
        <f t="shared" si="8"/>
        <v>-5.7281970499773794E-4</v>
      </c>
      <c r="I51" s="170" t="s">
        <v>882</v>
      </c>
      <c r="J51" s="39"/>
      <c r="K51" s="39"/>
      <c r="L51" s="39"/>
      <c r="M51" s="39"/>
      <c r="Q51" s="2"/>
    </row>
    <row r="52" spans="1:22" x14ac:dyDescent="0.25">
      <c r="A52">
        <v>0</v>
      </c>
      <c r="B52" s="161">
        <v>43166</v>
      </c>
      <c r="C52" s="10">
        <v>100</v>
      </c>
      <c r="D52" s="39">
        <v>69.52</v>
      </c>
      <c r="E52" s="39">
        <v>70.14</v>
      </c>
      <c r="F52" s="39">
        <f t="shared" si="6"/>
        <v>62.000000000000455</v>
      </c>
      <c r="G52" s="39">
        <f t="shared" si="7"/>
        <v>6952</v>
      </c>
      <c r="H52" s="175">
        <f t="shared" si="8"/>
        <v>8.9182968929805029E-3</v>
      </c>
      <c r="I52" s="170" t="s">
        <v>883</v>
      </c>
      <c r="J52" s="39"/>
      <c r="K52" s="39"/>
      <c r="L52" s="39"/>
      <c r="M52" s="39"/>
      <c r="Q52" s="2"/>
    </row>
    <row r="53" spans="1:22" x14ac:dyDescent="0.25">
      <c r="A53">
        <v>0</v>
      </c>
      <c r="B53" s="161">
        <v>43166</v>
      </c>
      <c r="C53" s="7">
        <v>200</v>
      </c>
      <c r="D53" s="43">
        <v>69.308000000000007</v>
      </c>
      <c r="E53" s="39">
        <v>69.099999999999994</v>
      </c>
      <c r="F53" s="39">
        <f t="shared" si="6"/>
        <v>-41.600000000002524</v>
      </c>
      <c r="G53" s="39">
        <f t="shared" si="7"/>
        <v>13861.600000000002</v>
      </c>
      <c r="H53" s="175">
        <f t="shared" si="8"/>
        <v>-3.0010965545104835E-3</v>
      </c>
      <c r="I53" s="170">
        <v>69</v>
      </c>
      <c r="J53" s="39"/>
      <c r="K53" s="39"/>
      <c r="L53" s="39"/>
      <c r="M53" s="39"/>
      <c r="Q53" s="2"/>
    </row>
    <row r="54" spans="1:22" x14ac:dyDescent="0.25">
      <c r="A54">
        <v>0</v>
      </c>
      <c r="B54" s="161">
        <v>43168</v>
      </c>
      <c r="C54" s="10">
        <v>200</v>
      </c>
      <c r="D54" s="39">
        <v>69.308000000000007</v>
      </c>
      <c r="E54" s="39">
        <v>70.599999999999994</v>
      </c>
      <c r="F54" s="39">
        <f t="shared" ref="F54:F60" si="9">C54*(E54-D54)</f>
        <v>258.39999999999748</v>
      </c>
      <c r="G54" s="39">
        <f t="shared" ref="G54:G60" si="10">D54*C54</f>
        <v>13861.600000000002</v>
      </c>
      <c r="H54" s="175">
        <f t="shared" ref="H54:H60" si="11">(E54-D54)/D54</f>
        <v>1.8641426675131113E-2</v>
      </c>
      <c r="I54" s="170"/>
      <c r="J54" s="39"/>
      <c r="K54" s="39"/>
      <c r="L54" s="39"/>
      <c r="M54" s="39"/>
    </row>
    <row r="55" spans="1:22" x14ac:dyDescent="0.25">
      <c r="A55">
        <v>50</v>
      </c>
      <c r="B55" s="161">
        <v>43172</v>
      </c>
      <c r="C55" s="10">
        <v>200</v>
      </c>
      <c r="D55" s="39">
        <v>69.007999999999996</v>
      </c>
      <c r="E55" s="39">
        <v>70.58</v>
      </c>
      <c r="F55" s="39">
        <f t="shared" si="9"/>
        <v>314.40000000000055</v>
      </c>
      <c r="G55" s="39">
        <f t="shared" si="10"/>
        <v>13801.599999999999</v>
      </c>
      <c r="H55" s="175">
        <f t="shared" si="11"/>
        <v>2.2779967539995404E-2</v>
      </c>
      <c r="I55" s="170" t="s">
        <v>182</v>
      </c>
      <c r="J55" s="39"/>
      <c r="K55" s="39"/>
      <c r="L55" s="39"/>
      <c r="M55" s="39"/>
    </row>
    <row r="56" spans="1:22" x14ac:dyDescent="0.25">
      <c r="A56">
        <v>50</v>
      </c>
      <c r="B56" s="161">
        <v>43177</v>
      </c>
      <c r="C56" s="10">
        <v>200</v>
      </c>
      <c r="D56" s="39">
        <v>69.007999999999996</v>
      </c>
      <c r="E56" s="39">
        <v>67.569999999999993</v>
      </c>
      <c r="F56" s="39">
        <f t="shared" si="9"/>
        <v>-287.60000000000048</v>
      </c>
      <c r="G56" s="39">
        <f t="shared" si="10"/>
        <v>13801.599999999999</v>
      </c>
      <c r="H56" s="175">
        <f t="shared" si="11"/>
        <v>-2.0838163691166277E-2</v>
      </c>
      <c r="I56" s="170"/>
      <c r="J56" s="39"/>
      <c r="K56" s="39"/>
      <c r="L56" s="39"/>
      <c r="M56" s="39"/>
    </row>
    <row r="57" spans="1:22" x14ac:dyDescent="0.25">
      <c r="A57">
        <v>50</v>
      </c>
      <c r="B57" s="161">
        <v>43178</v>
      </c>
      <c r="C57" s="10">
        <v>200</v>
      </c>
      <c r="D57" s="39">
        <v>69.007999999999996</v>
      </c>
      <c r="E57" s="39">
        <v>66.62</v>
      </c>
      <c r="F57" s="39">
        <f t="shared" si="9"/>
        <v>-477.5999999999982</v>
      </c>
      <c r="G57" s="39">
        <f t="shared" si="10"/>
        <v>13801.599999999999</v>
      </c>
      <c r="H57" s="175">
        <f t="shared" si="11"/>
        <v>-3.4604683514954659E-2</v>
      </c>
      <c r="I57" s="170"/>
      <c r="J57" s="39"/>
      <c r="K57" s="39"/>
      <c r="L57" s="39"/>
      <c r="M57" s="39"/>
    </row>
    <row r="58" spans="1:22" x14ac:dyDescent="0.25">
      <c r="A58">
        <v>50</v>
      </c>
      <c r="B58" s="161">
        <v>43186</v>
      </c>
      <c r="C58" s="10">
        <v>200</v>
      </c>
      <c r="D58" s="39">
        <v>69.007999999999996</v>
      </c>
      <c r="E58" s="39">
        <v>65.959999999999994</v>
      </c>
      <c r="F58" s="39">
        <f t="shared" si="9"/>
        <v>-609.60000000000036</v>
      </c>
      <c r="G58" s="39">
        <f t="shared" si="10"/>
        <v>13801.599999999999</v>
      </c>
      <c r="H58" s="175">
        <f t="shared" si="11"/>
        <v>-4.4168792024113175E-2</v>
      </c>
      <c r="I58" s="170"/>
      <c r="J58" s="39"/>
      <c r="K58" s="39"/>
      <c r="L58" s="39"/>
      <c r="M58" s="39"/>
    </row>
    <row r="59" spans="1:22" x14ac:dyDescent="0.25">
      <c r="A59">
        <v>200</v>
      </c>
      <c r="B59" s="161">
        <v>43196</v>
      </c>
      <c r="C59" s="10">
        <v>200</v>
      </c>
      <c r="D59" s="39">
        <v>69.007999999999996</v>
      </c>
      <c r="E59" s="39">
        <v>63.47</v>
      </c>
      <c r="F59" s="39">
        <f t="shared" si="9"/>
        <v>-1107.5999999999995</v>
      </c>
      <c r="G59" s="39">
        <f t="shared" si="10"/>
        <v>13801.599999999999</v>
      </c>
      <c r="H59" s="175">
        <f t="shared" si="11"/>
        <v>-8.0251565035937819E-2</v>
      </c>
      <c r="I59" s="170">
        <v>69</v>
      </c>
      <c r="J59" s="39"/>
      <c r="K59" s="39"/>
      <c r="L59" s="39"/>
      <c r="M59" s="39">
        <v>10.67</v>
      </c>
    </row>
    <row r="60" spans="1:22" x14ac:dyDescent="0.25">
      <c r="A60" s="4">
        <v>200</v>
      </c>
      <c r="B60" s="161">
        <v>43206</v>
      </c>
      <c r="C60" s="10">
        <v>200</v>
      </c>
      <c r="D60" s="39">
        <v>69.010000000000005</v>
      </c>
      <c r="E60" s="39">
        <v>66.22</v>
      </c>
      <c r="F60" s="39">
        <f t="shared" si="9"/>
        <v>-558.00000000000125</v>
      </c>
      <c r="G60" s="39">
        <f t="shared" si="10"/>
        <v>13802.000000000002</v>
      </c>
      <c r="H60" s="175">
        <f t="shared" si="11"/>
        <v>-4.0428923344442924E-2</v>
      </c>
      <c r="I60" s="170"/>
      <c r="J60" s="39"/>
      <c r="K60" s="39"/>
      <c r="L60" s="39">
        <v>42.23</v>
      </c>
      <c r="M60" s="39">
        <v>10.74</v>
      </c>
    </row>
    <row r="61" spans="1:22" x14ac:dyDescent="0.25">
      <c r="A61" s="4">
        <v>200</v>
      </c>
      <c r="B61" s="161">
        <v>43218</v>
      </c>
      <c r="C61" s="10">
        <v>200</v>
      </c>
      <c r="D61" s="39">
        <v>69.010000000000005</v>
      </c>
      <c r="E61" s="39">
        <v>67.11</v>
      </c>
      <c r="F61" s="39">
        <f t="shared" ref="F61:F68" si="12">C61*(E61-D61)</f>
        <v>-380.00000000000114</v>
      </c>
      <c r="G61" s="39">
        <f t="shared" ref="G61:G68" si="13">D61*C61</f>
        <v>13802.000000000002</v>
      </c>
      <c r="H61" s="175">
        <f t="shared" ref="H61:H68" si="14">(E61-D61)/D61</f>
        <v>-2.7532241704100936E-2</v>
      </c>
      <c r="I61" s="170"/>
      <c r="J61" s="39"/>
      <c r="K61" s="39"/>
      <c r="L61" s="39"/>
      <c r="M61" s="39">
        <v>11.28</v>
      </c>
    </row>
    <row r="62" spans="1:22" x14ac:dyDescent="0.25">
      <c r="A62" s="4">
        <v>200</v>
      </c>
      <c r="B62" s="161">
        <v>43226</v>
      </c>
      <c r="C62" s="10">
        <v>200</v>
      </c>
      <c r="D62" s="39">
        <v>69.010000000000005</v>
      </c>
      <c r="E62" s="39">
        <v>63.81</v>
      </c>
      <c r="F62" s="39">
        <f t="shared" si="12"/>
        <v>-1040.0000000000005</v>
      </c>
      <c r="G62" s="39">
        <f t="shared" si="13"/>
        <v>13802.000000000002</v>
      </c>
      <c r="H62" s="175">
        <f t="shared" si="14"/>
        <v>-7.5351398348065535E-2</v>
      </c>
      <c r="I62" s="170"/>
      <c r="J62" s="39"/>
      <c r="K62" s="39"/>
      <c r="L62" s="39"/>
      <c r="M62" s="39">
        <v>10.72</v>
      </c>
      <c r="V62" s="131"/>
    </row>
    <row r="63" spans="1:22" x14ac:dyDescent="0.25">
      <c r="A63" s="4">
        <v>200</v>
      </c>
      <c r="B63" s="161">
        <v>43228</v>
      </c>
      <c r="C63" s="10">
        <v>300</v>
      </c>
      <c r="D63" s="39">
        <v>66.632199999999997</v>
      </c>
      <c r="E63" s="39">
        <v>62.36</v>
      </c>
      <c r="F63" s="39">
        <f t="shared" si="12"/>
        <v>-1281.6599999999994</v>
      </c>
      <c r="G63" s="39">
        <f t="shared" si="13"/>
        <v>19989.66</v>
      </c>
      <c r="H63" s="175">
        <f t="shared" si="14"/>
        <v>-6.4116148048541072E-2</v>
      </c>
      <c r="I63" s="170"/>
      <c r="J63" s="39"/>
      <c r="K63" s="39"/>
      <c r="L63" s="39"/>
      <c r="M63" s="39">
        <v>10.48</v>
      </c>
      <c r="V63" s="131"/>
    </row>
    <row r="64" spans="1:22" x14ac:dyDescent="0.25">
      <c r="A64" s="4">
        <v>200</v>
      </c>
      <c r="B64" s="161">
        <v>43236</v>
      </c>
      <c r="C64" s="10">
        <v>300</v>
      </c>
      <c r="D64" s="39">
        <v>66.63</v>
      </c>
      <c r="E64" s="39">
        <v>65.739999999999995</v>
      </c>
      <c r="F64" s="39">
        <f t="shared" si="12"/>
        <v>-267.00000000000017</v>
      </c>
      <c r="G64" s="39">
        <f t="shared" si="13"/>
        <v>19989</v>
      </c>
      <c r="H64" s="175">
        <f t="shared" si="14"/>
        <v>-1.3357346540597339E-2</v>
      </c>
      <c r="I64" s="170"/>
      <c r="J64" s="39"/>
      <c r="K64" s="39"/>
      <c r="L64" s="39"/>
      <c r="M64" s="39">
        <v>11.05</v>
      </c>
      <c r="V64" s="131"/>
    </row>
    <row r="65" spans="1:22" x14ac:dyDescent="0.25">
      <c r="A65" s="4">
        <v>200</v>
      </c>
      <c r="B65" s="161">
        <v>43241</v>
      </c>
      <c r="C65" s="10">
        <v>300</v>
      </c>
      <c r="D65" s="39">
        <v>66.63</v>
      </c>
      <c r="E65" s="39">
        <v>64.5</v>
      </c>
      <c r="F65" s="39">
        <f t="shared" si="12"/>
        <v>-638.99999999999864</v>
      </c>
      <c r="G65" s="39">
        <f t="shared" si="13"/>
        <v>19989</v>
      </c>
      <c r="H65" s="175">
        <f t="shared" si="14"/>
        <v>-3.1967582170193541E-2</v>
      </c>
      <c r="I65" s="170"/>
      <c r="J65" s="39"/>
      <c r="K65" s="39"/>
      <c r="L65" s="39"/>
      <c r="M65" s="39">
        <v>10.84</v>
      </c>
      <c r="V65" s="131"/>
    </row>
    <row r="66" spans="1:22" x14ac:dyDescent="0.25">
      <c r="A66" s="4">
        <v>300</v>
      </c>
      <c r="B66" s="161">
        <v>43263</v>
      </c>
      <c r="C66" s="10">
        <v>300</v>
      </c>
      <c r="D66" s="39">
        <v>66.232200000000006</v>
      </c>
      <c r="E66" s="39">
        <v>63.7</v>
      </c>
      <c r="F66" s="39">
        <f t="shared" si="12"/>
        <v>-759.66000000000099</v>
      </c>
      <c r="G66" s="39">
        <f t="shared" si="13"/>
        <v>19869.660000000003</v>
      </c>
      <c r="H66" s="175">
        <f t="shared" si="14"/>
        <v>-3.8232158980073178E-2</v>
      </c>
      <c r="I66" s="170"/>
      <c r="J66" s="39"/>
      <c r="K66" s="39"/>
      <c r="L66" s="39"/>
      <c r="M66" s="39">
        <v>10.71</v>
      </c>
      <c r="V66" s="131"/>
    </row>
    <row r="67" spans="1:22" x14ac:dyDescent="0.25">
      <c r="A67" s="4">
        <v>300</v>
      </c>
      <c r="B67" s="161">
        <v>43267</v>
      </c>
      <c r="C67" s="10">
        <v>300</v>
      </c>
      <c r="D67" s="39">
        <v>66.232200000000006</v>
      </c>
      <c r="E67" s="39">
        <v>65.8</v>
      </c>
      <c r="F67" s="39">
        <f t="shared" si="12"/>
        <v>-129.66000000000264</v>
      </c>
      <c r="G67" s="39">
        <f t="shared" si="13"/>
        <v>19869.660000000003</v>
      </c>
      <c r="H67" s="175">
        <f t="shared" si="14"/>
        <v>-6.5255268585372181E-3</v>
      </c>
      <c r="I67" s="170"/>
      <c r="J67" s="39"/>
      <c r="K67" s="39"/>
      <c r="L67" s="39"/>
      <c r="M67" s="39">
        <v>11.06</v>
      </c>
      <c r="V67" s="131"/>
    </row>
    <row r="68" spans="1:22" x14ac:dyDescent="0.25">
      <c r="A68" s="4">
        <v>200</v>
      </c>
      <c r="B68" s="161">
        <v>43271</v>
      </c>
      <c r="C68" s="7">
        <v>200</v>
      </c>
      <c r="D68" s="43">
        <v>65.473699999999994</v>
      </c>
      <c r="E68" s="39">
        <v>68</v>
      </c>
      <c r="F68" s="39">
        <f t="shared" si="12"/>
        <v>505.26000000000124</v>
      </c>
      <c r="G68" s="39">
        <f t="shared" si="13"/>
        <v>13094.739999999998</v>
      </c>
      <c r="H68" s="175">
        <f t="shared" si="14"/>
        <v>3.8584958540604952E-2</v>
      </c>
      <c r="I68" s="170"/>
      <c r="J68" s="39"/>
      <c r="K68" s="39"/>
      <c r="L68" s="39"/>
      <c r="M68" s="39">
        <v>11.43</v>
      </c>
      <c r="V68" s="131"/>
    </row>
    <row r="69" spans="1:22" x14ac:dyDescent="0.25">
      <c r="A69" s="4">
        <v>200</v>
      </c>
      <c r="B69" s="161">
        <v>43278</v>
      </c>
      <c r="C69" s="10">
        <v>200</v>
      </c>
      <c r="D69" s="39">
        <v>65.473699999999994</v>
      </c>
      <c r="E69" s="39">
        <v>66.260000000000005</v>
      </c>
      <c r="F69" s="39">
        <f t="shared" ref="F69:F77" si="15">C69*(E69-D69)</f>
        <v>157.26000000000226</v>
      </c>
      <c r="G69" s="39">
        <f t="shared" ref="G69:G77" si="16">D69*C69</f>
        <v>13094.739999999998</v>
      </c>
      <c r="H69" s="175">
        <f t="shared" ref="H69:H77" si="17">(E69-D69)/D69</f>
        <v>1.2009402248536609E-2</v>
      </c>
      <c r="I69" s="170"/>
      <c r="J69" s="39"/>
      <c r="K69" s="39"/>
      <c r="L69" s="39"/>
      <c r="M69" s="39">
        <v>11.14</v>
      </c>
      <c r="V69" s="131"/>
    </row>
    <row r="70" spans="1:22" x14ac:dyDescent="0.25">
      <c r="A70" s="4">
        <v>200</v>
      </c>
      <c r="B70" s="161">
        <v>43279</v>
      </c>
      <c r="C70" s="10">
        <v>400</v>
      </c>
      <c r="D70" s="39">
        <v>62.517000000000003</v>
      </c>
      <c r="E70" s="39">
        <v>59.7</v>
      </c>
      <c r="F70" s="39">
        <f t="shared" si="15"/>
        <v>-1126.8000000000002</v>
      </c>
      <c r="G70" s="39">
        <f t="shared" si="16"/>
        <v>25006.800000000003</v>
      </c>
      <c r="H70" s="175">
        <f t="shared" si="17"/>
        <v>-4.5059743749700079E-2</v>
      </c>
      <c r="I70" s="170"/>
      <c r="J70" s="39"/>
      <c r="K70" s="39"/>
      <c r="L70" s="39"/>
      <c r="M70" s="39">
        <v>10.029999999999999</v>
      </c>
    </row>
    <row r="71" spans="1:22" x14ac:dyDescent="0.25">
      <c r="A71" s="4">
        <v>200</v>
      </c>
      <c r="B71" s="161">
        <v>43283</v>
      </c>
      <c r="C71" s="10">
        <v>400</v>
      </c>
      <c r="D71" s="39">
        <v>62.52</v>
      </c>
      <c r="E71" s="39">
        <v>61.13</v>
      </c>
      <c r="F71" s="39">
        <f t="shared" si="15"/>
        <v>-556.00000000000023</v>
      </c>
      <c r="G71" s="39">
        <f t="shared" si="16"/>
        <v>25008</v>
      </c>
      <c r="H71" s="175">
        <f t="shared" si="17"/>
        <v>-2.2232885476647479E-2</v>
      </c>
      <c r="I71" s="170"/>
      <c r="J71" s="39"/>
      <c r="K71" s="39"/>
      <c r="L71" s="39"/>
      <c r="M71" s="39">
        <v>10.27</v>
      </c>
    </row>
    <row r="72" spans="1:22" x14ac:dyDescent="0.25">
      <c r="A72" s="4">
        <v>200</v>
      </c>
      <c r="B72" s="161">
        <v>43285</v>
      </c>
      <c r="C72" s="10">
        <v>400</v>
      </c>
      <c r="D72" s="39">
        <v>62.52</v>
      </c>
      <c r="E72" s="39">
        <v>60.76</v>
      </c>
      <c r="F72" s="39">
        <f t="shared" si="15"/>
        <v>-704.00000000000205</v>
      </c>
      <c r="G72" s="39">
        <f t="shared" si="16"/>
        <v>25008</v>
      </c>
      <c r="H72" s="175">
        <f t="shared" si="17"/>
        <v>-2.8150991682661629E-2</v>
      </c>
      <c r="I72" s="170"/>
      <c r="J72" s="39"/>
      <c r="K72" s="39"/>
      <c r="L72" s="39"/>
      <c r="M72" s="39">
        <v>10.17</v>
      </c>
    </row>
    <row r="73" spans="1:22" x14ac:dyDescent="0.25">
      <c r="A73" s="4">
        <v>100</v>
      </c>
      <c r="B73" s="161">
        <v>43286</v>
      </c>
      <c r="C73" s="10">
        <v>300</v>
      </c>
      <c r="D73" s="39">
        <v>62.563000000000002</v>
      </c>
      <c r="E73" s="39">
        <v>62.38</v>
      </c>
      <c r="F73" s="39">
        <f t="shared" si="15"/>
        <v>-54.899999999999949</v>
      </c>
      <c r="G73" s="39">
        <f t="shared" si="16"/>
        <v>18768.900000000001</v>
      </c>
      <c r="H73" s="175">
        <f t="shared" si="17"/>
        <v>-2.9250515480395735E-3</v>
      </c>
      <c r="I73" s="170"/>
      <c r="J73" s="39"/>
      <c r="K73" s="39"/>
      <c r="L73" s="39"/>
      <c r="M73" s="39">
        <v>10.44</v>
      </c>
    </row>
    <row r="74" spans="1:22" x14ac:dyDescent="0.25">
      <c r="A74" s="4">
        <v>0</v>
      </c>
      <c r="B74" s="161">
        <v>43287</v>
      </c>
      <c r="C74" s="7">
        <v>200</v>
      </c>
      <c r="D74" s="43">
        <v>62.08</v>
      </c>
      <c r="E74" s="39">
        <v>63.53</v>
      </c>
      <c r="F74" s="39">
        <f t="shared" si="15"/>
        <v>290.00000000000057</v>
      </c>
      <c r="G74" s="39">
        <f t="shared" si="16"/>
        <v>12416</v>
      </c>
      <c r="H74" s="175">
        <f t="shared" si="17"/>
        <v>2.3356958762886643E-2</v>
      </c>
      <c r="I74" s="170"/>
      <c r="J74" s="39"/>
      <c r="K74" s="39"/>
      <c r="L74" s="39"/>
      <c r="M74" s="39">
        <v>10.63</v>
      </c>
    </row>
    <row r="75" spans="1:22" x14ac:dyDescent="0.25">
      <c r="A75" s="4">
        <v>0</v>
      </c>
      <c r="B75" s="161">
        <v>43299</v>
      </c>
      <c r="C75" s="10">
        <v>200</v>
      </c>
      <c r="D75" s="39">
        <v>62.08</v>
      </c>
      <c r="E75" s="39">
        <v>66.099999999999994</v>
      </c>
      <c r="F75" s="39">
        <f t="shared" si="15"/>
        <v>803.9999999999992</v>
      </c>
      <c r="G75" s="39">
        <f t="shared" si="16"/>
        <v>12416</v>
      </c>
      <c r="H75" s="175">
        <f t="shared" si="17"/>
        <v>6.4755154639175194E-2</v>
      </c>
      <c r="I75" s="170"/>
      <c r="J75" s="39"/>
      <c r="K75" s="39"/>
      <c r="L75" s="39"/>
      <c r="M75" s="39">
        <v>11.07</v>
      </c>
    </row>
    <row r="76" spans="1:22" x14ac:dyDescent="0.25">
      <c r="A76" s="4">
        <v>0</v>
      </c>
      <c r="B76" s="161">
        <v>43300</v>
      </c>
      <c r="C76" s="10">
        <v>200</v>
      </c>
      <c r="D76" s="39">
        <v>62.08</v>
      </c>
      <c r="E76" s="39">
        <v>64.930000000000007</v>
      </c>
      <c r="F76" s="39">
        <f t="shared" si="15"/>
        <v>570.00000000000171</v>
      </c>
      <c r="G76" s="39">
        <f t="shared" si="16"/>
        <v>12416</v>
      </c>
      <c r="H76" s="175">
        <f t="shared" si="17"/>
        <v>4.5908505154639311E-2</v>
      </c>
      <c r="I76" s="170"/>
      <c r="J76" s="39"/>
      <c r="K76" s="39"/>
      <c r="L76" s="39"/>
      <c r="M76" s="39">
        <v>10.87</v>
      </c>
    </row>
    <row r="77" spans="1:22" x14ac:dyDescent="0.25">
      <c r="A77" s="4">
        <v>200</v>
      </c>
      <c r="B77" s="161">
        <v>43312</v>
      </c>
      <c r="C77" s="10">
        <v>200</v>
      </c>
      <c r="D77" s="39">
        <v>62.08</v>
      </c>
      <c r="E77" s="39">
        <v>67.62</v>
      </c>
      <c r="F77" s="39">
        <f t="shared" si="15"/>
        <v>1108.0000000000014</v>
      </c>
      <c r="G77" s="39">
        <f t="shared" si="16"/>
        <v>12416</v>
      </c>
      <c r="H77" s="175">
        <f t="shared" si="17"/>
        <v>8.9239690721649584E-2</v>
      </c>
      <c r="I77" s="170"/>
      <c r="J77" s="39"/>
      <c r="K77" s="39"/>
      <c r="L77" s="39"/>
      <c r="M77" s="39">
        <v>11.32</v>
      </c>
    </row>
    <row r="78" spans="1:22" x14ac:dyDescent="0.25">
      <c r="A78" s="4">
        <v>200</v>
      </c>
      <c r="B78" s="161">
        <v>43320</v>
      </c>
      <c r="C78" s="10">
        <v>200</v>
      </c>
      <c r="D78" s="39">
        <v>62.08</v>
      </c>
      <c r="E78" s="39">
        <v>66.489999999999995</v>
      </c>
      <c r="F78" s="39">
        <f t="shared" ref="F78:F84" si="18">C78*(E78-D78)</f>
        <v>881.99999999999932</v>
      </c>
      <c r="G78" s="39">
        <f t="shared" ref="G78:G84" si="19">D78*C78</f>
        <v>12416</v>
      </c>
      <c r="H78" s="175">
        <f t="shared" ref="H78:H84" si="20">(E78-D78)/D78</f>
        <v>7.103737113402056E-2</v>
      </c>
      <c r="I78" s="170"/>
      <c r="J78" s="39"/>
      <c r="K78" s="39"/>
      <c r="L78" s="39"/>
      <c r="M78" s="39">
        <v>11.13</v>
      </c>
    </row>
    <row r="79" spans="1:22" x14ac:dyDescent="0.25">
      <c r="A79" s="4"/>
      <c r="B79" s="161">
        <v>43328</v>
      </c>
      <c r="C79" s="10">
        <v>200</v>
      </c>
      <c r="D79" s="39">
        <v>62.08</v>
      </c>
      <c r="E79" s="39">
        <v>69.62</v>
      </c>
      <c r="F79" s="39">
        <f t="shared" si="18"/>
        <v>1508.0000000000014</v>
      </c>
      <c r="G79" s="39">
        <f t="shared" si="19"/>
        <v>12416</v>
      </c>
      <c r="H79" s="175">
        <f t="shared" si="20"/>
        <v>0.12145618556701042</v>
      </c>
      <c r="I79" s="170"/>
      <c r="J79" s="39"/>
      <c r="K79" s="39"/>
      <c r="L79" s="39"/>
      <c r="M79" s="39"/>
    </row>
    <row r="80" spans="1:22" x14ac:dyDescent="0.25">
      <c r="A80" s="4">
        <v>200</v>
      </c>
      <c r="B80" s="161">
        <v>43332</v>
      </c>
      <c r="C80" s="10">
        <v>200</v>
      </c>
      <c r="D80" s="39">
        <v>62.08</v>
      </c>
      <c r="E80" s="39">
        <v>69.989999999999995</v>
      </c>
      <c r="F80" s="760">
        <f t="shared" si="18"/>
        <v>1581.9999999999993</v>
      </c>
      <c r="G80" s="39">
        <f t="shared" si="19"/>
        <v>12416</v>
      </c>
      <c r="H80" s="175">
        <f t="shared" si="20"/>
        <v>0.127416237113402</v>
      </c>
      <c r="I80" s="170"/>
      <c r="J80" s="39"/>
      <c r="K80" s="39"/>
      <c r="L80" s="39"/>
      <c r="M80" s="39">
        <v>11.71</v>
      </c>
    </row>
    <row r="81" spans="1:13" x14ac:dyDescent="0.25">
      <c r="A81" s="4">
        <v>200</v>
      </c>
      <c r="B81" s="161">
        <v>43342</v>
      </c>
      <c r="C81" s="10">
        <v>200</v>
      </c>
      <c r="D81" s="39">
        <v>62.08</v>
      </c>
      <c r="E81" s="39">
        <v>67.8</v>
      </c>
      <c r="F81" s="39">
        <f t="shared" si="18"/>
        <v>1143.9999999999998</v>
      </c>
      <c r="G81" s="39">
        <f t="shared" si="19"/>
        <v>12416</v>
      </c>
      <c r="H81" s="175">
        <f t="shared" si="20"/>
        <v>9.2139175257731937E-2</v>
      </c>
      <c r="I81" s="170"/>
      <c r="J81" s="39"/>
      <c r="K81" s="39"/>
      <c r="L81" s="39"/>
      <c r="M81" s="39">
        <v>11.35</v>
      </c>
    </row>
    <row r="82" spans="1:13" x14ac:dyDescent="0.25">
      <c r="A82" s="4">
        <v>200</v>
      </c>
      <c r="B82" s="161">
        <v>43343</v>
      </c>
      <c r="C82" s="10">
        <v>200</v>
      </c>
      <c r="D82" s="39">
        <v>62.08</v>
      </c>
      <c r="E82" s="39">
        <v>68.56</v>
      </c>
      <c r="F82" s="39">
        <f t="shared" si="18"/>
        <v>1296.0000000000009</v>
      </c>
      <c r="G82" s="39">
        <f t="shared" si="19"/>
        <v>12416</v>
      </c>
      <c r="H82" s="175">
        <f t="shared" si="20"/>
        <v>0.10438144329896915</v>
      </c>
      <c r="I82" s="170"/>
      <c r="J82" s="39"/>
      <c r="K82" s="39"/>
      <c r="L82" s="39"/>
      <c r="M82" s="39">
        <v>11.47</v>
      </c>
    </row>
    <row r="83" spans="1:13" x14ac:dyDescent="0.25">
      <c r="A83" s="4">
        <v>150</v>
      </c>
      <c r="B83" s="161">
        <v>43355</v>
      </c>
      <c r="C83" s="10">
        <v>150</v>
      </c>
      <c r="D83" s="39">
        <v>58.79</v>
      </c>
      <c r="E83" s="39">
        <v>70.38</v>
      </c>
      <c r="F83" s="760">
        <f t="shared" si="18"/>
        <v>1738.4999999999995</v>
      </c>
      <c r="G83" s="39">
        <f t="shared" si="19"/>
        <v>8818.5</v>
      </c>
      <c r="H83" s="175">
        <f t="shared" si="20"/>
        <v>0.19714237115155633</v>
      </c>
      <c r="I83" s="170"/>
      <c r="J83" s="39"/>
      <c r="K83" s="39"/>
      <c r="L83" s="39"/>
      <c r="M83" s="39">
        <v>11.78</v>
      </c>
    </row>
    <row r="84" spans="1:13" x14ac:dyDescent="0.25">
      <c r="A84" s="4"/>
      <c r="B84" s="161">
        <v>43362</v>
      </c>
      <c r="C84" s="10">
        <v>50</v>
      </c>
      <c r="D84" s="39">
        <v>33.010800000000003</v>
      </c>
      <c r="E84" s="39">
        <v>71.28</v>
      </c>
      <c r="F84" s="760">
        <f t="shared" si="18"/>
        <v>1913.4599999999998</v>
      </c>
      <c r="G84" s="39">
        <f t="shared" si="19"/>
        <v>1650.5400000000002</v>
      </c>
      <c r="H84" s="175">
        <f t="shared" si="20"/>
        <v>1.1592933221854664</v>
      </c>
      <c r="I84" s="170"/>
      <c r="J84" s="39"/>
      <c r="K84" s="39"/>
      <c r="L84" s="39"/>
      <c r="M84" s="39">
        <v>11.93</v>
      </c>
    </row>
    <row r="85" spans="1:13" x14ac:dyDescent="0.25">
      <c r="A85" s="4">
        <v>50</v>
      </c>
      <c r="B85" s="161">
        <v>43363</v>
      </c>
      <c r="C85" s="10">
        <v>50</v>
      </c>
      <c r="D85" s="39">
        <v>33.010800000000003</v>
      </c>
      <c r="E85" s="39">
        <v>72.89</v>
      </c>
      <c r="F85" s="760">
        <f>C85*(E85-D85)</f>
        <v>1993.9599999999998</v>
      </c>
      <c r="G85" s="39">
        <f>D85*C85</f>
        <v>1650.5400000000002</v>
      </c>
      <c r="H85" s="175">
        <f>(E85-D85)/D85</f>
        <v>1.2080652392550315</v>
      </c>
      <c r="I85" s="170"/>
      <c r="J85" s="39"/>
      <c r="K85" s="39"/>
      <c r="L85" s="39"/>
      <c r="M85" s="39">
        <v>12.2</v>
      </c>
    </row>
    <row r="86" spans="1:13" x14ac:dyDescent="0.25">
      <c r="A86" s="4"/>
      <c r="B86" s="161">
        <v>43388</v>
      </c>
      <c r="C86" s="10">
        <v>0</v>
      </c>
      <c r="D86" s="39"/>
      <c r="E86" s="39"/>
      <c r="F86" s="39"/>
      <c r="G86" s="39"/>
      <c r="H86" s="175"/>
      <c r="I86" s="170"/>
      <c r="J86" s="760">
        <v>2113.41</v>
      </c>
      <c r="K86" s="39"/>
      <c r="L86" s="39"/>
      <c r="M86" s="39"/>
    </row>
    <row r="87" spans="1:13" x14ac:dyDescent="0.25">
      <c r="A87" s="4"/>
      <c r="B87" s="161"/>
      <c r="C87" s="10"/>
      <c r="D87" s="39"/>
      <c r="E87" s="39"/>
      <c r="F87" s="39"/>
      <c r="G87" s="39"/>
      <c r="H87" s="175"/>
      <c r="I87" s="170"/>
      <c r="J87" s="39"/>
      <c r="K87" s="39"/>
      <c r="L87" s="39"/>
      <c r="M87" s="39"/>
    </row>
    <row r="88" spans="1:13" x14ac:dyDescent="0.25">
      <c r="A88" s="4"/>
      <c r="B88" s="161"/>
      <c r="C88" s="10"/>
      <c r="D88" s="39"/>
      <c r="E88" s="39"/>
      <c r="F88" s="39"/>
      <c r="G88" s="39"/>
      <c r="H88" s="175"/>
      <c r="I88" s="170"/>
      <c r="J88" s="39"/>
      <c r="K88" s="39"/>
      <c r="L88" s="39"/>
      <c r="M88" s="39"/>
    </row>
    <row r="89" spans="1:13" x14ac:dyDescent="0.25">
      <c r="A89" s="4"/>
      <c r="B89" s="161"/>
      <c r="C89" s="10"/>
      <c r="D89" s="39"/>
      <c r="E89" s="39"/>
      <c r="F89" s="39"/>
      <c r="G89" s="39"/>
      <c r="H89" s="175"/>
      <c r="I89" s="170"/>
      <c r="J89" s="39"/>
      <c r="K89" s="39"/>
      <c r="L89" s="39"/>
      <c r="M89" s="39"/>
    </row>
    <row r="90" spans="1:13" x14ac:dyDescent="0.25">
      <c r="A90" s="4"/>
      <c r="B90" s="4"/>
      <c r="C90" s="4"/>
      <c r="D90" s="3"/>
      <c r="E90" s="3"/>
      <c r="F90" s="3"/>
      <c r="G90" s="4"/>
      <c r="H90" s="4"/>
      <c r="I90" s="471"/>
      <c r="J90" s="3"/>
      <c r="K90" s="3"/>
      <c r="L90" s="4"/>
    </row>
    <row r="91" spans="1:13" x14ac:dyDescent="0.25">
      <c r="A91" s="4"/>
      <c r="B91" s="4"/>
      <c r="C91" s="4"/>
      <c r="D91" s="3"/>
      <c r="E91" s="3"/>
      <c r="F91" s="3"/>
      <c r="G91" s="4"/>
      <c r="H91" s="4"/>
      <c r="I91" s="471"/>
      <c r="J91" s="3"/>
      <c r="K91" s="3"/>
      <c r="L91" s="4" t="s">
        <v>65</v>
      </c>
      <c r="M91" s="2">
        <f>M109+K109-F109</f>
        <v>0</v>
      </c>
    </row>
    <row r="92" spans="1:13" x14ac:dyDescent="0.25">
      <c r="A92" s="431" t="s">
        <v>1</v>
      </c>
      <c r="B92" s="431" t="s">
        <v>2</v>
      </c>
      <c r="C92" s="431" t="s">
        <v>4</v>
      </c>
      <c r="D92" s="432" t="s">
        <v>5</v>
      </c>
      <c r="E92" s="432" t="s">
        <v>94</v>
      </c>
      <c r="F92" s="432" t="s">
        <v>60</v>
      </c>
      <c r="G92" s="431" t="s">
        <v>3</v>
      </c>
      <c r="H92" s="431" t="s">
        <v>6</v>
      </c>
      <c r="I92" s="700" t="s">
        <v>7</v>
      </c>
      <c r="J92" s="432" t="s">
        <v>95</v>
      </c>
      <c r="K92" s="432" t="s">
        <v>61</v>
      </c>
      <c r="L92" s="431" t="s">
        <v>37</v>
      </c>
      <c r="M92" s="431" t="s">
        <v>38</v>
      </c>
    </row>
    <row r="93" spans="1:13" x14ac:dyDescent="0.25">
      <c r="A93" s="433" t="s">
        <v>664</v>
      </c>
      <c r="B93" s="417"/>
      <c r="C93" s="418"/>
      <c r="D93" s="420"/>
      <c r="E93" s="420"/>
      <c r="F93" s="420"/>
      <c r="G93" s="417"/>
      <c r="H93" s="434"/>
      <c r="I93" s="701"/>
      <c r="J93" s="420"/>
      <c r="K93" s="420"/>
      <c r="L93" s="417"/>
      <c r="M93" s="420"/>
    </row>
    <row r="94" spans="1:13" x14ac:dyDescent="0.25">
      <c r="A94" s="435" t="s">
        <v>71</v>
      </c>
      <c r="B94" s="417"/>
      <c r="C94" s="418"/>
      <c r="D94" s="420"/>
      <c r="E94" s="420"/>
      <c r="F94" s="420"/>
      <c r="G94" s="417"/>
      <c r="H94" s="434"/>
      <c r="I94" s="701"/>
      <c r="J94" s="420"/>
      <c r="K94" s="420"/>
      <c r="L94" s="418"/>
      <c r="M94" s="418"/>
    </row>
    <row r="95" spans="1:13" x14ac:dyDescent="0.25">
      <c r="A95" s="418"/>
      <c r="B95" s="417"/>
      <c r="C95" s="418"/>
      <c r="D95" s="420"/>
      <c r="E95" s="420"/>
      <c r="F95" s="420"/>
      <c r="G95" s="417"/>
      <c r="H95" s="434"/>
      <c r="I95" s="701"/>
      <c r="J95" s="420"/>
      <c r="K95" s="420"/>
      <c r="L95" s="418"/>
      <c r="M95" s="418"/>
    </row>
    <row r="96" spans="1:13" x14ac:dyDescent="0.25">
      <c r="A96" s="418"/>
      <c r="B96" s="417"/>
      <c r="C96" s="418"/>
      <c r="D96" s="420"/>
      <c r="E96" s="420"/>
      <c r="F96" s="420"/>
      <c r="G96" s="418"/>
      <c r="H96" s="434"/>
      <c r="I96" s="701"/>
      <c r="J96" s="420"/>
      <c r="K96" s="420"/>
      <c r="L96" s="418"/>
      <c r="M96" s="418"/>
    </row>
    <row r="97" spans="1:13" x14ac:dyDescent="0.25">
      <c r="A97" s="418"/>
      <c r="B97" s="417"/>
      <c r="C97" s="418"/>
      <c r="D97" s="420"/>
      <c r="E97" s="420"/>
      <c r="F97" s="420"/>
      <c r="G97" s="418"/>
      <c r="H97" s="434"/>
      <c r="I97" s="701"/>
      <c r="J97" s="420"/>
      <c r="K97" s="420"/>
      <c r="L97" s="418"/>
      <c r="M97" s="418"/>
    </row>
    <row r="98" spans="1:13" x14ac:dyDescent="0.25">
      <c r="A98" s="418"/>
      <c r="B98" s="418"/>
      <c r="C98" s="418"/>
      <c r="D98" s="420"/>
      <c r="E98" s="420"/>
      <c r="F98" s="420"/>
      <c r="G98" s="418"/>
      <c r="H98" s="434"/>
      <c r="I98" s="701"/>
      <c r="J98" s="420"/>
      <c r="K98" s="420"/>
      <c r="L98" s="418"/>
      <c r="M98" s="418"/>
    </row>
    <row r="99" spans="1:13" x14ac:dyDescent="0.25">
      <c r="A99" s="418"/>
      <c r="B99" s="418"/>
      <c r="C99" s="418"/>
      <c r="D99" s="420"/>
      <c r="E99" s="420"/>
      <c r="F99" s="420"/>
      <c r="G99" s="418"/>
      <c r="H99" s="434"/>
      <c r="I99" s="701"/>
      <c r="J99" s="420"/>
      <c r="K99" s="420"/>
      <c r="L99" s="418"/>
      <c r="M99" s="418"/>
    </row>
    <row r="100" spans="1:13" x14ac:dyDescent="0.25">
      <c r="A100" s="418"/>
      <c r="B100" s="418"/>
      <c r="C100" s="418"/>
      <c r="D100" s="420"/>
      <c r="E100" s="420"/>
      <c r="F100" s="420"/>
      <c r="G100" s="418"/>
      <c r="H100" s="434"/>
      <c r="I100" s="701"/>
      <c r="J100" s="420"/>
      <c r="K100" s="420"/>
      <c r="L100" s="418"/>
      <c r="M100" s="418"/>
    </row>
    <row r="101" spans="1:13" x14ac:dyDescent="0.25">
      <c r="A101" s="418"/>
      <c r="B101" s="418"/>
      <c r="C101" s="418"/>
      <c r="D101" s="420"/>
      <c r="E101" s="420"/>
      <c r="F101" s="420"/>
      <c r="G101" s="418"/>
      <c r="H101" s="434"/>
      <c r="I101" s="701"/>
      <c r="J101" s="420"/>
      <c r="K101" s="420"/>
      <c r="L101" s="418"/>
      <c r="M101" s="418"/>
    </row>
    <row r="102" spans="1:13" x14ac:dyDescent="0.25">
      <c r="A102" s="418"/>
      <c r="B102" s="418"/>
      <c r="C102" s="418"/>
      <c r="D102" s="420"/>
      <c r="E102" s="420"/>
      <c r="F102" s="420"/>
      <c r="G102" s="418"/>
      <c r="H102" s="434"/>
      <c r="I102" s="701"/>
      <c r="J102" s="420"/>
      <c r="K102" s="420"/>
      <c r="L102" s="418"/>
      <c r="M102" s="418"/>
    </row>
    <row r="103" spans="1:13" x14ac:dyDescent="0.25">
      <c r="A103" s="418"/>
      <c r="B103" s="418"/>
      <c r="C103" s="418"/>
      <c r="D103" s="420"/>
      <c r="E103" s="420"/>
      <c r="F103" s="420"/>
      <c r="G103" s="418"/>
      <c r="H103" s="434"/>
      <c r="I103" s="701"/>
      <c r="J103" s="420"/>
      <c r="K103" s="420"/>
      <c r="L103" s="418"/>
      <c r="M103" s="418"/>
    </row>
    <row r="104" spans="1:13" x14ac:dyDescent="0.25">
      <c r="A104" s="418"/>
      <c r="B104" s="418"/>
      <c r="C104" s="418"/>
      <c r="D104" s="420"/>
      <c r="E104" s="420"/>
      <c r="F104" s="420"/>
      <c r="G104" s="418"/>
      <c r="H104" s="434"/>
      <c r="I104" s="701"/>
      <c r="J104" s="420"/>
      <c r="K104" s="420"/>
      <c r="L104" s="418"/>
      <c r="M104" s="418"/>
    </row>
    <row r="105" spans="1:13" x14ac:dyDescent="0.25">
      <c r="A105" s="418"/>
      <c r="B105" s="418"/>
      <c r="C105" s="418"/>
      <c r="D105" s="420"/>
      <c r="E105" s="420"/>
      <c r="F105" s="420"/>
      <c r="G105" s="418"/>
      <c r="H105" s="434"/>
      <c r="I105" s="701"/>
      <c r="J105" s="420"/>
      <c r="K105" s="420"/>
      <c r="L105" s="418"/>
      <c r="M105" s="418"/>
    </row>
    <row r="106" spans="1:13" x14ac:dyDescent="0.25">
      <c r="A106" s="418"/>
      <c r="B106" s="418"/>
      <c r="C106" s="418"/>
      <c r="D106" s="420"/>
      <c r="E106" s="420"/>
      <c r="F106" s="420"/>
      <c r="G106" s="418"/>
      <c r="H106" s="434"/>
      <c r="I106" s="701"/>
      <c r="J106" s="420"/>
      <c r="K106" s="420"/>
      <c r="L106" s="418"/>
      <c r="M106" s="418"/>
    </row>
    <row r="107" spans="1:13" x14ac:dyDescent="0.25">
      <c r="A107" s="418"/>
      <c r="B107" s="418"/>
      <c r="C107" s="418"/>
      <c r="D107" s="420"/>
      <c r="E107" s="420"/>
      <c r="F107" s="420"/>
      <c r="G107" s="418"/>
      <c r="H107" s="434"/>
      <c r="I107" s="701"/>
      <c r="J107" s="420"/>
      <c r="K107" s="420"/>
      <c r="L107" s="418"/>
      <c r="M107" s="418"/>
    </row>
    <row r="108" spans="1:13" x14ac:dyDescent="0.25">
      <c r="A108" s="418"/>
      <c r="B108" s="418"/>
      <c r="C108" s="418"/>
      <c r="D108" s="420"/>
      <c r="E108" s="420"/>
      <c r="F108" s="420"/>
      <c r="G108" s="418"/>
      <c r="H108" s="418"/>
      <c r="I108" s="701"/>
      <c r="J108" s="420"/>
      <c r="K108" s="420"/>
      <c r="L108" s="418"/>
      <c r="M108" s="418"/>
    </row>
    <row r="109" spans="1:13" x14ac:dyDescent="0.25">
      <c r="A109" s="436" t="s">
        <v>81</v>
      </c>
      <c r="B109" s="437"/>
      <c r="C109" s="437">
        <f>SUM(C93:C97)</f>
        <v>0</v>
      </c>
      <c r="D109" s="438"/>
      <c r="E109" s="438"/>
      <c r="F109" s="438">
        <f>SUM(F93:F97)</f>
        <v>0</v>
      </c>
      <c r="G109" s="437"/>
      <c r="H109" s="459">
        <f>SUM(H93:H96)</f>
        <v>0</v>
      </c>
      <c r="I109" s="702"/>
      <c r="J109" s="438"/>
      <c r="K109" s="438">
        <f>SUM(K93:K96)</f>
        <v>0</v>
      </c>
      <c r="L109" s="437"/>
      <c r="M109" s="438">
        <f>SUM(M93:M101)</f>
        <v>0</v>
      </c>
    </row>
    <row r="110" spans="1:13" ht="15.75" thickBot="1" x14ac:dyDescent="0.3">
      <c r="A110" s="439" t="s">
        <v>189</v>
      </c>
      <c r="B110" s="440"/>
      <c r="C110" s="441">
        <f>SumByColor($A$25,C93:C108)</f>
        <v>0</v>
      </c>
      <c r="D110" s="441"/>
      <c r="E110" s="441"/>
      <c r="F110" s="442">
        <f>SumByColor($A$25,F93:F108)</f>
        <v>0</v>
      </c>
      <c r="G110" s="441"/>
      <c r="H110" s="441">
        <f>SumByColor($A$25,H93:H108)</f>
        <v>0</v>
      </c>
      <c r="I110" s="703"/>
      <c r="J110" s="441"/>
      <c r="K110" s="442">
        <f>SumByColor($A$25,K94:K108)</f>
        <v>0</v>
      </c>
      <c r="L110" s="441"/>
      <c r="M110" s="442">
        <f>SumByColor($A$25,M93:M108)</f>
        <v>0</v>
      </c>
    </row>
    <row r="113" spans="2:9" x14ac:dyDescent="0.25">
      <c r="B113" s="159" t="s">
        <v>113</v>
      </c>
      <c r="C113" s="159" t="s">
        <v>143</v>
      </c>
      <c r="D113" s="160" t="s">
        <v>142</v>
      </c>
      <c r="E113" s="162" t="s">
        <v>144</v>
      </c>
      <c r="F113" s="162" t="s">
        <v>65</v>
      </c>
      <c r="G113" s="173" t="s">
        <v>148</v>
      </c>
      <c r="H113" s="173" t="s">
        <v>88</v>
      </c>
      <c r="I113" s="173" t="s">
        <v>151</v>
      </c>
    </row>
    <row r="114" spans="2:9" x14ac:dyDescent="0.25">
      <c r="B114" s="161"/>
      <c r="C114" s="10"/>
      <c r="D114" s="39"/>
      <c r="E114" s="39"/>
      <c r="F114" s="39"/>
      <c r="G114" s="39"/>
      <c r="H114" s="175"/>
      <c r="I114" s="170"/>
    </row>
    <row r="115" spans="2:9" x14ac:dyDescent="0.25">
      <c r="B115" s="161"/>
      <c r="C115" s="10"/>
      <c r="D115" s="39"/>
      <c r="E115" s="39"/>
      <c r="F115" s="39"/>
      <c r="G115" s="39"/>
      <c r="H115" s="175"/>
      <c r="I115" s="170"/>
    </row>
    <row r="116" spans="2:9" x14ac:dyDescent="0.25">
      <c r="B116" s="161"/>
      <c r="C116" s="10"/>
      <c r="D116" s="39"/>
      <c r="E116" s="39"/>
      <c r="F116" s="39"/>
      <c r="G116" s="39"/>
      <c r="H116" s="175"/>
      <c r="I116" s="170"/>
    </row>
    <row r="117" spans="2:9" x14ac:dyDescent="0.25">
      <c r="B117" s="161"/>
      <c r="C117" s="10"/>
      <c r="D117" s="39"/>
      <c r="E117" s="39"/>
      <c r="F117" s="39"/>
      <c r="G117" s="39"/>
      <c r="H117" s="175"/>
      <c r="I117" s="170"/>
    </row>
    <row r="118" spans="2:9" x14ac:dyDescent="0.25">
      <c r="B118" s="161"/>
      <c r="C118" s="10"/>
      <c r="D118" s="39"/>
      <c r="E118" s="39"/>
      <c r="F118" s="39"/>
      <c r="G118" s="39"/>
      <c r="H118" s="175"/>
      <c r="I118" s="170"/>
    </row>
    <row r="119" spans="2:9" x14ac:dyDescent="0.25">
      <c r="B119" s="161"/>
      <c r="C119" s="10"/>
      <c r="D119" s="39"/>
      <c r="E119" s="39"/>
      <c r="F119" s="39"/>
      <c r="G119" s="39"/>
      <c r="H119" s="175"/>
      <c r="I119" s="170"/>
    </row>
    <row r="120" spans="2:9" x14ac:dyDescent="0.25">
      <c r="B120" s="161"/>
      <c r="C120" s="10"/>
      <c r="D120" s="39"/>
      <c r="E120" s="39"/>
      <c r="F120" s="39"/>
      <c r="G120" s="39"/>
      <c r="H120" s="175"/>
      <c r="I120" s="170"/>
    </row>
    <row r="121" spans="2:9" x14ac:dyDescent="0.25">
      <c r="B121" s="161"/>
      <c r="C121" s="10"/>
      <c r="D121" s="39"/>
      <c r="E121" s="39"/>
      <c r="F121" s="39"/>
      <c r="G121" s="39"/>
      <c r="H121" s="175"/>
      <c r="I121" s="170"/>
    </row>
    <row r="122" spans="2:9" x14ac:dyDescent="0.25">
      <c r="B122" s="161"/>
      <c r="C122" s="10"/>
      <c r="D122" s="39"/>
      <c r="E122" s="39"/>
      <c r="F122" s="39"/>
      <c r="G122" s="39"/>
      <c r="H122" s="175"/>
      <c r="I122" s="170"/>
    </row>
    <row r="123" spans="2:9" x14ac:dyDescent="0.25">
      <c r="B123" s="161"/>
      <c r="C123" s="10"/>
      <c r="D123" s="39"/>
      <c r="E123" s="39"/>
      <c r="F123" s="39"/>
      <c r="G123" s="39"/>
      <c r="H123" s="175"/>
      <c r="I123" s="170"/>
    </row>
    <row r="124" spans="2:9" x14ac:dyDescent="0.25">
      <c r="B124" s="161"/>
      <c r="C124" s="10"/>
      <c r="D124" s="39"/>
      <c r="E124" s="39"/>
      <c r="F124" s="39"/>
      <c r="G124" s="39"/>
      <c r="H124" s="175"/>
      <c r="I124" s="170"/>
    </row>
    <row r="125" spans="2:9" x14ac:dyDescent="0.25">
      <c r="B125" s="161"/>
      <c r="C125" s="10"/>
      <c r="D125" s="39"/>
      <c r="E125" s="39"/>
      <c r="F125" s="39"/>
      <c r="G125" s="39"/>
      <c r="H125" s="175"/>
      <c r="I125" s="170"/>
    </row>
    <row r="126" spans="2:9" x14ac:dyDescent="0.25">
      <c r="B126" s="161"/>
      <c r="C126" s="10"/>
      <c r="D126" s="39"/>
      <c r="E126" s="39"/>
      <c r="F126" s="39"/>
      <c r="G126" s="39"/>
      <c r="H126" s="175"/>
      <c r="I126" s="170"/>
    </row>
    <row r="127" spans="2:9" x14ac:dyDescent="0.25">
      <c r="B127" s="161"/>
      <c r="C127" s="10"/>
      <c r="D127" s="39"/>
      <c r="E127" s="39"/>
      <c r="F127" s="39"/>
      <c r="G127" s="39"/>
      <c r="H127" s="175"/>
      <c r="I127" s="170"/>
    </row>
    <row r="128" spans="2:9" x14ac:dyDescent="0.25">
      <c r="B128" s="161"/>
      <c r="C128" s="10"/>
      <c r="D128" s="39"/>
      <c r="E128" s="39"/>
      <c r="F128" s="39"/>
      <c r="G128" s="39"/>
      <c r="H128" s="175"/>
      <c r="I128" s="170"/>
    </row>
    <row r="129" spans="2:9" x14ac:dyDescent="0.25">
      <c r="B129" s="161"/>
      <c r="C129" s="10"/>
      <c r="D129" s="39"/>
      <c r="E129" s="39"/>
      <c r="F129" s="39"/>
      <c r="G129" s="39"/>
      <c r="H129" s="175"/>
      <c r="I129" s="170"/>
    </row>
    <row r="130" spans="2:9" x14ac:dyDescent="0.25">
      <c r="B130" s="161"/>
      <c r="C130" s="10"/>
      <c r="D130" s="39"/>
      <c r="E130" s="39"/>
      <c r="F130" s="39"/>
      <c r="G130" s="39"/>
      <c r="H130" s="175"/>
      <c r="I130" s="170"/>
    </row>
    <row r="131" spans="2:9" x14ac:dyDescent="0.25">
      <c r="B131" s="161"/>
      <c r="C131" s="10"/>
      <c r="D131" s="39"/>
      <c r="E131" s="39"/>
      <c r="F131" s="39"/>
      <c r="G131" s="39"/>
      <c r="H131" s="175"/>
      <c r="I131" s="170"/>
    </row>
    <row r="132" spans="2:9" x14ac:dyDescent="0.25">
      <c r="B132" s="161"/>
      <c r="C132" s="10"/>
      <c r="D132" s="39"/>
      <c r="E132" s="39"/>
      <c r="F132" s="39"/>
      <c r="G132" s="39"/>
      <c r="H132" s="175"/>
      <c r="I132" s="170"/>
    </row>
    <row r="133" spans="2:9" x14ac:dyDescent="0.25">
      <c r="B133" s="161"/>
      <c r="C133" s="10"/>
      <c r="D133" s="39"/>
      <c r="E133" s="39"/>
      <c r="F133" s="39"/>
      <c r="G133" s="39"/>
      <c r="H133" s="175"/>
      <c r="I133" s="170"/>
    </row>
    <row r="134" spans="2:9" x14ac:dyDescent="0.25">
      <c r="B134" s="161"/>
      <c r="C134" s="10"/>
      <c r="D134" s="39"/>
      <c r="E134" s="39"/>
      <c r="F134" s="39"/>
      <c r="G134" s="39"/>
      <c r="H134" s="175"/>
      <c r="I134" s="170"/>
    </row>
    <row r="135" spans="2:9" x14ac:dyDescent="0.25">
      <c r="B135" s="161"/>
      <c r="C135" s="10"/>
      <c r="D135" s="39"/>
      <c r="E135" s="39"/>
      <c r="F135" s="39"/>
      <c r="G135" s="39"/>
      <c r="H135" s="175"/>
      <c r="I135" s="170"/>
    </row>
  </sheetData>
  <mergeCells count="1">
    <mergeCell ref="O21:P21"/>
  </mergeCells>
  <conditionalFormatting sqref="O22:O42">
    <cfRule type="colorScale" priority="40">
      <colorScale>
        <cfvo type="min"/>
        <cfvo type="percentile" val="50"/>
        <cfvo type="max"/>
        <color rgb="FFF8696B"/>
        <color rgb="FFFFEB84"/>
        <color rgb="FF63BE7B"/>
      </colorScale>
    </cfRule>
  </conditionalFormatting>
  <conditionalFormatting sqref="P22:P42">
    <cfRule type="colorScale" priority="39">
      <colorScale>
        <cfvo type="min"/>
        <cfvo type="percentile" val="50"/>
        <cfvo type="max"/>
        <color rgb="FFF8696B"/>
        <color rgb="FFFFEB84"/>
        <color rgb="FF63BE7B"/>
      </colorScale>
    </cfRule>
  </conditionalFormatting>
  <conditionalFormatting sqref="V1:V39 V62:V69">
    <cfRule type="iconSet" priority="37">
      <iconSet iconSet="3Arrows">
        <cfvo type="percent" val="0"/>
        <cfvo type="num" val="0"/>
        <cfvo type="num" val="0"/>
      </iconSet>
    </cfRule>
  </conditionalFormatting>
  <conditionalFormatting sqref="Q7 H31:H70 F31:F70 H83 H87:H89 F87:F89 F83:F85">
    <cfRule type="expression" dxfId="257" priority="33">
      <formula>F7&gt;0</formula>
    </cfRule>
    <cfRule type="expression" dxfId="256" priority="34">
      <formula>F7&lt;0</formula>
    </cfRule>
  </conditionalFormatting>
  <conditionalFormatting sqref="Q8">
    <cfRule type="expression" dxfId="255" priority="31">
      <formula>Q8&gt;0</formula>
    </cfRule>
    <cfRule type="expression" dxfId="254" priority="32">
      <formula>Q8&lt;0</formula>
    </cfRule>
  </conditionalFormatting>
  <conditionalFormatting sqref="F114:F135">
    <cfRule type="expression" dxfId="253" priority="25">
      <formula>F114&gt;0</formula>
    </cfRule>
    <cfRule type="expression" dxfId="252" priority="26">
      <formula>F114&lt;0</formula>
    </cfRule>
  </conditionalFormatting>
  <conditionalFormatting sqref="H114:H135">
    <cfRule type="expression" dxfId="251" priority="23">
      <formula>H114&gt;0</formula>
    </cfRule>
    <cfRule type="expression" dxfId="250" priority="24">
      <formula>H114&lt;0</formula>
    </cfRule>
  </conditionalFormatting>
  <conditionalFormatting sqref="Q10">
    <cfRule type="expression" dxfId="249" priority="21">
      <formula>Q10&gt;0</formula>
    </cfRule>
    <cfRule type="expression" dxfId="248" priority="22">
      <formula>Q10&lt;0</formula>
    </cfRule>
  </conditionalFormatting>
  <conditionalFormatting sqref="J31:J44">
    <cfRule type="expression" dxfId="247" priority="19">
      <formula>J31&gt;0</formula>
    </cfRule>
    <cfRule type="expression" dxfId="246" priority="20">
      <formula>J31&lt;0</formula>
    </cfRule>
  </conditionalFormatting>
  <conditionalFormatting sqref="K31:K44">
    <cfRule type="expression" dxfId="245" priority="17">
      <formula>K31&gt;0</formula>
    </cfRule>
    <cfRule type="expression" dxfId="244" priority="18">
      <formula>K31&lt;0</formula>
    </cfRule>
  </conditionalFormatting>
  <conditionalFormatting sqref="L31:L35 L37:L44">
    <cfRule type="expression" dxfId="243" priority="15">
      <formula>L31&gt;0</formula>
    </cfRule>
    <cfRule type="expression" dxfId="242" priority="16">
      <formula>L31&lt;0</formula>
    </cfRule>
  </conditionalFormatting>
  <conditionalFormatting sqref="M31:M44">
    <cfRule type="expression" dxfId="241" priority="13">
      <formula>M31&gt;0</formula>
    </cfRule>
    <cfRule type="expression" dxfId="240" priority="14">
      <formula>M31&lt;0</formula>
    </cfRule>
  </conditionalFormatting>
  <conditionalFormatting sqref="F82 H82">
    <cfRule type="expression" dxfId="239" priority="9">
      <formula>F82&gt;0</formula>
    </cfRule>
    <cfRule type="expression" dxfId="238" priority="10">
      <formula>F82&lt;0</formula>
    </cfRule>
  </conditionalFormatting>
  <conditionalFormatting sqref="F75:F81 H75:H81">
    <cfRule type="expression" dxfId="237" priority="7">
      <formula>F75&gt;0</formula>
    </cfRule>
    <cfRule type="expression" dxfId="236" priority="8">
      <formula>F75&lt;0</formula>
    </cfRule>
  </conditionalFormatting>
  <conditionalFormatting sqref="F71:F74 H71:H74">
    <cfRule type="expression" dxfId="235" priority="5">
      <formula>F71&gt;0</formula>
    </cfRule>
    <cfRule type="expression" dxfId="234" priority="6">
      <formula>F71&lt;0</formula>
    </cfRule>
  </conditionalFormatting>
  <conditionalFormatting sqref="F86 H84:H86">
    <cfRule type="expression" dxfId="233" priority="3">
      <formula>F84&gt;0</formula>
    </cfRule>
    <cfRule type="expression" dxfId="232" priority="4">
      <formula>F84&lt;0</formula>
    </cfRule>
  </conditionalFormatting>
  <conditionalFormatting sqref="J86">
    <cfRule type="expression" dxfId="231" priority="1">
      <formula>J86&gt;0</formula>
    </cfRule>
    <cfRule type="expression" dxfId="230" priority="2">
      <formula>J86&lt;0</formula>
    </cfRule>
  </conditionalFormatting>
  <hyperlinks>
    <hyperlink ref="A3" location="ACTIVE!A1" display="Back"/>
    <hyperlink ref="A94" location="ACTIVE!A1" display="Back"/>
  </hyperlinks>
  <pageMargins left="0.7" right="0.7" top="0.75" bottom="0.75" header="0.3" footer="0.3"/>
  <pageSetup orientation="portrait" r:id="rId1"/>
  <drawing r:id="rId2"/>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A1:AG121"/>
  <sheetViews>
    <sheetView zoomScaleNormal="100" workbookViewId="0">
      <pane ySplit="1" topLeftCell="A2" activePane="bottomLeft" state="frozen"/>
      <selection pane="bottomLeft" activeCell="A3" sqref="A3"/>
    </sheetView>
  </sheetViews>
  <sheetFormatPr defaultRowHeight="15" x14ac:dyDescent="0.25"/>
  <cols>
    <col min="2" max="2" width="10.7109375" bestFit="1" customWidth="1"/>
    <col min="4" max="5" width="9.140625" style="2"/>
    <col min="6" max="6" width="9.85546875" style="2" bestFit="1" customWidth="1"/>
    <col min="7" max="7" width="10.7109375" bestFit="1" customWidth="1"/>
    <col min="8" max="8" width="9.5703125" bestFit="1" customWidth="1"/>
    <col min="9" max="9" width="12.85546875" style="2" customWidth="1"/>
    <col min="10"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8.5703125" style="81" customWidth="1"/>
    <col min="21" max="21" width="46.42578125" bestFit="1" customWidth="1"/>
    <col min="23" max="23" width="11.5703125" customWidth="1"/>
    <col min="24" max="24" width="12.140625" customWidth="1"/>
    <col min="27" max="27" width="31" bestFit="1" customWidth="1"/>
    <col min="28" max="28" width="8.7109375" bestFit="1" customWidth="1"/>
    <col min="29" max="29" width="12" bestFit="1" customWidth="1"/>
    <col min="30" max="30" width="12.5703125" bestFit="1" customWidth="1"/>
    <col min="33" max="33" width="8.85546875" bestFit="1" customWidth="1"/>
    <col min="34" max="34" width="9.7109375" bestFit="1" customWidth="1"/>
    <col min="35" max="35" width="13.28515625" bestFit="1" customWidth="1"/>
  </cols>
  <sheetData>
    <row r="1" spans="1:33"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79" t="s">
        <v>93</v>
      </c>
    </row>
    <row r="2" spans="1:33" x14ac:dyDescent="0.25">
      <c r="A2" s="6" t="s">
        <v>170</v>
      </c>
      <c r="B2" s="397">
        <v>43006</v>
      </c>
      <c r="C2" s="7">
        <v>40</v>
      </c>
      <c r="D2" s="43">
        <v>53.78</v>
      </c>
      <c r="E2" s="43">
        <v>0</v>
      </c>
      <c r="F2" s="43">
        <f t="shared" ref="F2:F14" si="0">C2*D2+E2</f>
        <v>2151.1999999999998</v>
      </c>
      <c r="G2" s="397">
        <v>43069</v>
      </c>
      <c r="H2" s="7">
        <v>40</v>
      </c>
      <c r="I2" s="43">
        <v>57.28</v>
      </c>
      <c r="J2" s="43">
        <v>0.05</v>
      </c>
      <c r="K2" s="43">
        <f t="shared" ref="K2:K11" si="1">H2*I2-J2</f>
        <v>2291.1499999999996</v>
      </c>
      <c r="L2" s="69">
        <v>43070</v>
      </c>
      <c r="M2" s="43">
        <v>46.8</v>
      </c>
      <c r="O2" s="11" t="s">
        <v>57</v>
      </c>
      <c r="Q2">
        <f>C18-H18</f>
        <v>80</v>
      </c>
      <c r="T2" s="80">
        <v>42566</v>
      </c>
      <c r="U2" t="s">
        <v>226</v>
      </c>
      <c r="W2" s="2"/>
      <c r="X2" s="131"/>
    </row>
    <row r="3" spans="1:33" x14ac:dyDescent="0.25">
      <c r="A3" s="22" t="s">
        <v>71</v>
      </c>
      <c r="B3" s="397">
        <v>43021</v>
      </c>
      <c r="C3" s="7">
        <v>80</v>
      </c>
      <c r="D3" s="43">
        <v>53.01</v>
      </c>
      <c r="E3" s="43">
        <v>0</v>
      </c>
      <c r="F3" s="43">
        <f t="shared" si="0"/>
        <v>4240.8</v>
      </c>
      <c r="G3" s="397">
        <v>43230</v>
      </c>
      <c r="H3" s="77">
        <v>80</v>
      </c>
      <c r="I3" s="43">
        <v>54.68</v>
      </c>
      <c r="J3" s="43">
        <v>0.1</v>
      </c>
      <c r="K3" s="43">
        <f t="shared" si="1"/>
        <v>4374.2999999999993</v>
      </c>
      <c r="L3" s="69">
        <v>43160</v>
      </c>
      <c r="M3" s="43">
        <v>31.2</v>
      </c>
      <c r="O3" s="11" t="s">
        <v>58</v>
      </c>
      <c r="Q3" s="174">
        <f>IF(Q2=0, Q4, (F18-K18-M18)/Q2)</f>
        <v>38.685000000000002</v>
      </c>
      <c r="T3" s="115"/>
      <c r="W3" s="2"/>
      <c r="X3" s="131"/>
      <c r="AG3" s="178"/>
    </row>
    <row r="4" spans="1:33" x14ac:dyDescent="0.25">
      <c r="B4" s="397">
        <v>43136</v>
      </c>
      <c r="C4" s="7">
        <v>40</v>
      </c>
      <c r="D4" s="43">
        <v>57.8</v>
      </c>
      <c r="E4" s="43">
        <v>0</v>
      </c>
      <c r="F4" s="43">
        <f t="shared" si="0"/>
        <v>2312</v>
      </c>
      <c r="G4" s="397">
        <v>43242</v>
      </c>
      <c r="H4" s="77">
        <v>80</v>
      </c>
      <c r="I4" s="43">
        <v>55.47</v>
      </c>
      <c r="J4" s="43">
        <v>-0.12</v>
      </c>
      <c r="K4" s="43">
        <f t="shared" si="1"/>
        <v>4437.72</v>
      </c>
      <c r="L4" s="69">
        <v>43252</v>
      </c>
      <c r="M4" s="43">
        <v>78</v>
      </c>
      <c r="O4" s="11" t="s">
        <v>66</v>
      </c>
      <c r="Q4" s="53">
        <v>53.69</v>
      </c>
      <c r="R4" s="396">
        <v>-7.7000000000000002E-3</v>
      </c>
      <c r="T4" s="723">
        <v>43203</v>
      </c>
      <c r="U4" t="s">
        <v>928</v>
      </c>
      <c r="W4" s="2"/>
      <c r="X4" s="131"/>
      <c r="AD4" s="178"/>
      <c r="AG4" s="178"/>
    </row>
    <row r="5" spans="1:33" x14ac:dyDescent="0.25">
      <c r="B5" s="397">
        <v>43181</v>
      </c>
      <c r="C5" s="7">
        <v>80</v>
      </c>
      <c r="D5" s="43">
        <v>53</v>
      </c>
      <c r="E5" s="43">
        <v>0</v>
      </c>
      <c r="F5" s="43">
        <f t="shared" si="0"/>
        <v>4240</v>
      </c>
      <c r="G5" s="397">
        <v>43272</v>
      </c>
      <c r="H5" s="638">
        <v>50</v>
      </c>
      <c r="I5" s="45">
        <v>54.6</v>
      </c>
      <c r="J5" s="45">
        <v>0.04</v>
      </c>
      <c r="K5" s="43">
        <f t="shared" si="1"/>
        <v>2729.96</v>
      </c>
      <c r="L5" s="69">
        <v>43347</v>
      </c>
      <c r="M5" s="43">
        <v>51.6</v>
      </c>
      <c r="O5" s="11" t="s">
        <v>67</v>
      </c>
      <c r="Q5" s="3">
        <f>Q4*Q2</f>
        <v>4295.2</v>
      </c>
      <c r="U5" t="s">
        <v>930</v>
      </c>
      <c r="W5" s="2"/>
      <c r="X5" s="131"/>
      <c r="AD5" s="178"/>
      <c r="AG5" s="178"/>
    </row>
    <row r="6" spans="1:33" x14ac:dyDescent="0.25">
      <c r="B6" s="397">
        <v>43237</v>
      </c>
      <c r="C6" s="7">
        <v>10</v>
      </c>
      <c r="D6" s="43">
        <v>54.05</v>
      </c>
      <c r="E6" s="43">
        <v>0</v>
      </c>
      <c r="F6" s="43">
        <f t="shared" si="0"/>
        <v>540.5</v>
      </c>
      <c r="G6" s="397">
        <v>43279</v>
      </c>
      <c r="H6" s="77">
        <v>80</v>
      </c>
      <c r="I6" s="43">
        <v>55.41</v>
      </c>
      <c r="J6" s="43">
        <v>0.06</v>
      </c>
      <c r="K6" s="45">
        <f t="shared" si="1"/>
        <v>4432.7399999999989</v>
      </c>
      <c r="L6" s="69">
        <v>43437</v>
      </c>
      <c r="M6" s="43">
        <v>51.6</v>
      </c>
      <c r="O6" s="11" t="s">
        <v>64</v>
      </c>
      <c r="Q6" s="2">
        <f>Q3*Q2</f>
        <v>3094.8</v>
      </c>
      <c r="W6" s="2"/>
      <c r="X6" s="131"/>
    </row>
    <row r="7" spans="1:33" x14ac:dyDescent="0.25">
      <c r="B7" s="397">
        <v>43237</v>
      </c>
      <c r="C7" s="7">
        <v>70</v>
      </c>
      <c r="D7" s="43">
        <v>54.05</v>
      </c>
      <c r="E7" s="43">
        <v>0</v>
      </c>
      <c r="F7" s="43">
        <f t="shared" si="0"/>
        <v>3783.5</v>
      </c>
      <c r="G7" s="397">
        <v>43286</v>
      </c>
      <c r="H7" s="77">
        <v>120</v>
      </c>
      <c r="I7" s="43">
        <v>55.2</v>
      </c>
      <c r="J7" s="43">
        <v>0.09</v>
      </c>
      <c r="K7" s="45">
        <f t="shared" si="1"/>
        <v>6623.91</v>
      </c>
      <c r="L7" s="69">
        <v>43525</v>
      </c>
      <c r="M7" s="43">
        <v>54</v>
      </c>
      <c r="O7" s="11" t="s">
        <v>175</v>
      </c>
      <c r="P7"/>
      <c r="Q7" s="2">
        <f>Q10+Q8</f>
        <v>2804.9799999999987</v>
      </c>
      <c r="R7">
        <v>80</v>
      </c>
      <c r="T7" s="80">
        <v>43237</v>
      </c>
      <c r="U7" t="s">
        <v>1010</v>
      </c>
      <c r="W7" s="2"/>
      <c r="X7" s="131"/>
      <c r="AD7" s="178"/>
      <c r="AG7" s="178"/>
    </row>
    <row r="8" spans="1:33" x14ac:dyDescent="0.25">
      <c r="B8" s="397">
        <v>43244</v>
      </c>
      <c r="C8" s="7">
        <v>80</v>
      </c>
      <c r="D8" s="43">
        <v>54.48</v>
      </c>
      <c r="E8" s="43">
        <v>0</v>
      </c>
      <c r="F8" s="43">
        <f t="shared" si="0"/>
        <v>4358.3999999999996</v>
      </c>
      <c r="G8" s="397">
        <v>43334</v>
      </c>
      <c r="H8" s="77">
        <v>80</v>
      </c>
      <c r="I8" s="43">
        <v>59.33</v>
      </c>
      <c r="J8" s="43">
        <v>0.06</v>
      </c>
      <c r="K8" s="43">
        <f t="shared" si="1"/>
        <v>4746.3399999999992</v>
      </c>
      <c r="L8" s="69">
        <v>43617</v>
      </c>
      <c r="M8" s="43">
        <v>72</v>
      </c>
      <c r="O8" s="11" t="s">
        <v>177</v>
      </c>
      <c r="Q8" s="2">
        <f>K18+M18-F18+Q2*Q4</f>
        <v>1200.3999999999969</v>
      </c>
      <c r="W8" s="2"/>
      <c r="X8" s="131"/>
    </row>
    <row r="9" spans="1:33" x14ac:dyDescent="0.25">
      <c r="B9" s="397">
        <v>43249</v>
      </c>
      <c r="C9" s="7">
        <v>50</v>
      </c>
      <c r="D9" s="43">
        <v>53.08</v>
      </c>
      <c r="E9" s="43">
        <v>0</v>
      </c>
      <c r="F9" s="43">
        <f t="shared" si="0"/>
        <v>2654</v>
      </c>
      <c r="G9" s="397">
        <v>43569</v>
      </c>
      <c r="H9" s="77">
        <v>40</v>
      </c>
      <c r="I9" s="43">
        <v>48.18</v>
      </c>
      <c r="J9" s="43">
        <v>0.04</v>
      </c>
      <c r="K9" s="43">
        <f t="shared" si="1"/>
        <v>1927.16</v>
      </c>
      <c r="L9" s="69">
        <v>43711</v>
      </c>
      <c r="M9" s="43">
        <v>61.2</v>
      </c>
      <c r="O9" s="11" t="s">
        <v>202</v>
      </c>
      <c r="P9"/>
      <c r="Q9" s="131">
        <f>IF(Q2=0, 0, Q8/Q6)</f>
        <v>0.38787643789582421</v>
      </c>
      <c r="W9" s="2"/>
      <c r="X9" s="131"/>
      <c r="AD9" s="178"/>
      <c r="AG9" s="178"/>
    </row>
    <row r="10" spans="1:33" x14ac:dyDescent="0.25">
      <c r="B10" s="397">
        <v>43294</v>
      </c>
      <c r="C10" s="7">
        <v>80</v>
      </c>
      <c r="D10" s="43">
        <v>54.4</v>
      </c>
      <c r="E10" s="43">
        <v>0</v>
      </c>
      <c r="F10" s="43">
        <f t="shared" si="0"/>
        <v>4352</v>
      </c>
      <c r="G10" s="397">
        <v>43626</v>
      </c>
      <c r="H10" s="77">
        <v>40</v>
      </c>
      <c r="I10" s="43">
        <v>46.73</v>
      </c>
      <c r="J10" s="43">
        <v>0.04</v>
      </c>
      <c r="K10" s="43">
        <f t="shared" si="1"/>
        <v>1869.1599999999999</v>
      </c>
      <c r="L10" s="69">
        <v>43801</v>
      </c>
      <c r="M10" s="43">
        <v>40.799999999999997</v>
      </c>
      <c r="O10" s="11" t="s">
        <v>201</v>
      </c>
      <c r="Q10" s="2">
        <f>M79</f>
        <v>1604.5800000000017</v>
      </c>
      <c r="W10" s="2"/>
      <c r="X10" s="131"/>
    </row>
    <row r="11" spans="1:33" x14ac:dyDescent="0.25">
      <c r="B11" s="397">
        <v>43294</v>
      </c>
      <c r="C11" s="4">
        <v>40</v>
      </c>
      <c r="D11" s="3">
        <v>53.8</v>
      </c>
      <c r="E11" s="3">
        <v>0</v>
      </c>
      <c r="F11" s="3">
        <f t="shared" si="0"/>
        <v>2152</v>
      </c>
      <c r="G11" s="398">
        <v>43735</v>
      </c>
      <c r="H11" s="158">
        <v>40</v>
      </c>
      <c r="I11" s="3">
        <v>50.88</v>
      </c>
      <c r="J11" s="3">
        <v>0.04</v>
      </c>
      <c r="K11" s="3">
        <f t="shared" si="1"/>
        <v>2035.16</v>
      </c>
      <c r="L11" s="4"/>
      <c r="M11" s="4"/>
      <c r="O11" s="11" t="s">
        <v>173</v>
      </c>
      <c r="Q11" s="131">
        <f>R11*4/Q4</f>
        <v>3.2035760849320173E-2</v>
      </c>
      <c r="R11">
        <v>0.43</v>
      </c>
      <c r="T11" s="80">
        <v>43294</v>
      </c>
      <c r="U11" t="s">
        <v>1120</v>
      </c>
      <c r="W11" s="2"/>
      <c r="X11" s="131"/>
      <c r="AD11" s="178"/>
      <c r="AG11" s="178"/>
    </row>
    <row r="12" spans="1:33" x14ac:dyDescent="0.25">
      <c r="B12" s="398">
        <v>43355</v>
      </c>
      <c r="C12" s="4">
        <v>80</v>
      </c>
      <c r="D12" s="3">
        <v>56.22</v>
      </c>
      <c r="E12" s="3">
        <v>0</v>
      </c>
      <c r="F12" s="3">
        <f t="shared" si="0"/>
        <v>4497.6000000000004</v>
      </c>
      <c r="G12" s="398"/>
      <c r="H12" s="158"/>
      <c r="I12" s="3"/>
      <c r="J12" s="3"/>
      <c r="K12" s="3"/>
      <c r="L12" s="4"/>
      <c r="M12" s="4"/>
      <c r="O12" s="11" t="s">
        <v>875</v>
      </c>
      <c r="Q12" s="1"/>
      <c r="W12" s="2"/>
      <c r="X12" s="131"/>
    </row>
    <row r="13" spans="1:33" x14ac:dyDescent="0.25">
      <c r="B13" s="397">
        <v>43564</v>
      </c>
      <c r="C13" s="7">
        <v>40</v>
      </c>
      <c r="D13" s="43">
        <v>48.11</v>
      </c>
      <c r="E13" s="43">
        <v>0</v>
      </c>
      <c r="F13" s="43">
        <f t="shared" si="0"/>
        <v>1924.4</v>
      </c>
      <c r="G13" s="398"/>
      <c r="H13" s="158"/>
      <c r="I13" s="3"/>
      <c r="J13" s="3"/>
      <c r="K13" s="3"/>
      <c r="L13" s="4"/>
      <c r="M13" s="4"/>
      <c r="O13" s="11" t="s">
        <v>901</v>
      </c>
      <c r="Q13" s="2">
        <f>Q4/4.52</f>
        <v>11.878318584070797</v>
      </c>
      <c r="W13" s="2"/>
      <c r="X13" s="131"/>
      <c r="AD13" s="178"/>
      <c r="AG13" s="178"/>
    </row>
    <row r="14" spans="1:33" x14ac:dyDescent="0.25">
      <c r="B14" s="398">
        <v>43569</v>
      </c>
      <c r="C14" s="7">
        <v>40</v>
      </c>
      <c r="D14" s="43">
        <v>46.08</v>
      </c>
      <c r="E14" s="43">
        <v>0</v>
      </c>
      <c r="F14" s="43">
        <f t="shared" si="0"/>
        <v>1843.1999999999998</v>
      </c>
      <c r="G14" s="398"/>
      <c r="H14" s="158"/>
      <c r="I14" s="3"/>
      <c r="J14" s="3"/>
      <c r="K14" s="3"/>
      <c r="L14" s="4"/>
      <c r="M14" s="4"/>
      <c r="O14" s="11" t="s">
        <v>988</v>
      </c>
      <c r="T14" s="79"/>
      <c r="U14" s="11"/>
      <c r="W14" s="2"/>
      <c r="X14" s="131"/>
    </row>
    <row r="15" spans="1:33" x14ac:dyDescent="0.25">
      <c r="B15" s="29"/>
      <c r="G15" s="29"/>
      <c r="H15" s="67"/>
      <c r="W15" s="2"/>
      <c r="X15" s="131"/>
      <c r="AD15" s="178"/>
      <c r="AG15" s="178"/>
    </row>
    <row r="16" spans="1:33" ht="20.25" thickBot="1" x14ac:dyDescent="0.35">
      <c r="B16" s="29"/>
      <c r="G16" s="29"/>
      <c r="H16" s="67"/>
      <c r="P16" s="722" t="s">
        <v>78</v>
      </c>
      <c r="Q16" s="722"/>
      <c r="W16" s="2"/>
      <c r="X16" s="131"/>
    </row>
    <row r="17" spans="1:33" ht="15.75" thickTop="1" x14ac:dyDescent="0.25">
      <c r="B17" s="29"/>
      <c r="G17" s="29"/>
      <c r="H17" s="67"/>
      <c r="P17" s="78">
        <v>1.1000000000000001</v>
      </c>
      <c r="Q17" s="78">
        <f>P17*$Q$4</f>
        <v>59.059000000000005</v>
      </c>
      <c r="W17" s="2"/>
      <c r="X17" s="131"/>
      <c r="AD17" s="178"/>
      <c r="AG17" s="178"/>
    </row>
    <row r="18" spans="1:33" x14ac:dyDescent="0.25">
      <c r="A18" s="31" t="s">
        <v>81</v>
      </c>
      <c r="B18" s="14"/>
      <c r="C18" s="14">
        <f>SUM(C2:C17)</f>
        <v>730</v>
      </c>
      <c r="D18" s="18"/>
      <c r="E18" s="18"/>
      <c r="F18" s="18">
        <f>SUM(F2:F17)</f>
        <v>39049.599999999999</v>
      </c>
      <c r="G18" s="14"/>
      <c r="H18" s="68">
        <f>SUM(H2:H17)</f>
        <v>650</v>
      </c>
      <c r="I18" s="18"/>
      <c r="J18" s="18"/>
      <c r="K18" s="18">
        <f>SUM(K2:K17)</f>
        <v>35467.599999999999</v>
      </c>
      <c r="L18" s="18"/>
      <c r="M18" s="18">
        <f>SUM(M2:M17)</f>
        <v>487.2</v>
      </c>
      <c r="P18" s="78">
        <v>1.0900000000000001</v>
      </c>
      <c r="Q18" s="78">
        <f t="shared" ref="Q18:Q37" si="2">P18*$Q$4</f>
        <v>58.522100000000002</v>
      </c>
      <c r="W18" s="2"/>
      <c r="X18" s="131"/>
    </row>
    <row r="19" spans="1:33" ht="15.75" thickBot="1" x14ac:dyDescent="0.3">
      <c r="A19" s="273" t="s">
        <v>189</v>
      </c>
      <c r="B19" s="274"/>
      <c r="C19" s="275">
        <f>SumByColor($A$19,C2:C17)</f>
        <v>610</v>
      </c>
      <c r="D19" s="275"/>
      <c r="E19" s="275"/>
      <c r="F19" s="276">
        <f>SumByColor($A$19,F2:F17)</f>
        <v>32399</v>
      </c>
      <c r="G19" s="275"/>
      <c r="H19" s="275">
        <f>SumByColor($A$19,H2:H17)</f>
        <v>610</v>
      </c>
      <c r="I19" s="275"/>
      <c r="J19" s="275"/>
      <c r="K19" s="276">
        <f>SumByColor($A$19,K2:K17)</f>
        <v>33432</v>
      </c>
      <c r="L19" s="275"/>
      <c r="M19" s="276">
        <f>SumByColor($A$19,M2:M17)</f>
        <v>488</v>
      </c>
      <c r="P19" s="78">
        <v>1.08</v>
      </c>
      <c r="Q19" s="78">
        <f t="shared" si="2"/>
        <v>57.985199999999999</v>
      </c>
      <c r="W19" s="2"/>
      <c r="X19" s="131"/>
      <c r="AD19" s="178"/>
      <c r="AG19" s="178"/>
    </row>
    <row r="20" spans="1:33" x14ac:dyDescent="0.25">
      <c r="P20" s="78">
        <v>1.07</v>
      </c>
      <c r="Q20" s="78">
        <f t="shared" si="2"/>
        <v>57.448300000000003</v>
      </c>
      <c r="W20" s="2"/>
      <c r="X20" s="131"/>
    </row>
    <row r="21" spans="1:33" x14ac:dyDescent="0.25">
      <c r="P21" s="78">
        <v>1.06</v>
      </c>
      <c r="Q21" s="78">
        <f t="shared" si="2"/>
        <v>56.9114</v>
      </c>
      <c r="W21" s="2"/>
      <c r="X21" s="131"/>
      <c r="AD21" s="178"/>
      <c r="AG21" s="178"/>
    </row>
    <row r="22" spans="1:33" x14ac:dyDescent="0.25">
      <c r="P22" s="78">
        <v>1.05</v>
      </c>
      <c r="Q22" s="78">
        <f t="shared" si="2"/>
        <v>56.374499999999998</v>
      </c>
      <c r="W22" s="2"/>
      <c r="X22" s="131"/>
    </row>
    <row r="23" spans="1:33" x14ac:dyDescent="0.25">
      <c r="A23" s="10"/>
      <c r="B23" s="159" t="s">
        <v>113</v>
      </c>
      <c r="C23" s="159" t="s">
        <v>143</v>
      </c>
      <c r="D23" s="160" t="s">
        <v>142</v>
      </c>
      <c r="E23" s="162" t="s">
        <v>144</v>
      </c>
      <c r="F23" s="162" t="s">
        <v>65</v>
      </c>
      <c r="G23" s="173" t="s">
        <v>148</v>
      </c>
      <c r="H23" s="173" t="s">
        <v>88</v>
      </c>
      <c r="I23" s="173" t="s">
        <v>151</v>
      </c>
      <c r="J23" s="173" t="s">
        <v>147</v>
      </c>
      <c r="K23" s="173" t="s">
        <v>452</v>
      </c>
      <c r="L23" s="173" t="s">
        <v>901</v>
      </c>
      <c r="M23" s="10"/>
      <c r="P23" s="78">
        <v>1.04</v>
      </c>
      <c r="Q23" s="78">
        <f t="shared" si="2"/>
        <v>55.837600000000002</v>
      </c>
      <c r="W23" s="2"/>
      <c r="X23" s="131"/>
      <c r="AD23" s="178"/>
    </row>
    <row r="24" spans="1:33" x14ac:dyDescent="0.25">
      <c r="A24" s="10"/>
      <c r="B24" s="161">
        <v>43014</v>
      </c>
      <c r="C24" s="10">
        <v>40</v>
      </c>
      <c r="D24" s="168">
        <v>53.78</v>
      </c>
      <c r="E24" s="39">
        <v>55.58</v>
      </c>
      <c r="F24" s="39">
        <f t="shared" ref="F24:F49" si="3">C24*(E24-D24)</f>
        <v>71.999999999999886</v>
      </c>
      <c r="G24" s="39">
        <f t="shared" ref="G24:G49" si="4">D24*C24</f>
        <v>2151.1999999999998</v>
      </c>
      <c r="H24" s="175">
        <f t="shared" ref="H24:H49" si="5">(E24-D24)/D24</f>
        <v>3.3469691335068746E-2</v>
      </c>
      <c r="I24" s="39"/>
      <c r="J24" s="39">
        <f t="shared" ref="J24:J55" si="6">F24+$Q$10</f>
        <v>1676.5800000000017</v>
      </c>
      <c r="K24" s="39"/>
      <c r="L24" s="10"/>
      <c r="M24" s="10"/>
      <c r="P24" s="78">
        <v>1.03</v>
      </c>
      <c r="Q24" s="78">
        <f t="shared" si="2"/>
        <v>55.300699999999999</v>
      </c>
      <c r="W24" s="2"/>
      <c r="X24" s="131"/>
    </row>
    <row r="25" spans="1:33" x14ac:dyDescent="0.25">
      <c r="A25" s="10"/>
      <c r="B25" s="161">
        <v>43021</v>
      </c>
      <c r="C25" s="181">
        <v>120</v>
      </c>
      <c r="D25" s="182">
        <v>53.2667</v>
      </c>
      <c r="E25" s="39">
        <v>53.39</v>
      </c>
      <c r="F25" s="39">
        <f t="shared" si="3"/>
        <v>14.796000000000049</v>
      </c>
      <c r="G25" s="39">
        <f t="shared" si="4"/>
        <v>6392.0039999999999</v>
      </c>
      <c r="H25" s="175">
        <f t="shared" si="5"/>
        <v>2.3147670120356699E-3</v>
      </c>
      <c r="I25" s="39">
        <v>53</v>
      </c>
      <c r="J25" s="39">
        <f t="shared" si="6"/>
        <v>1619.3760000000018</v>
      </c>
      <c r="K25" s="39"/>
      <c r="L25" s="10"/>
      <c r="M25" s="10"/>
      <c r="P25" s="78">
        <v>1.02</v>
      </c>
      <c r="Q25" s="78">
        <f t="shared" si="2"/>
        <v>54.763799999999996</v>
      </c>
      <c r="W25" s="2"/>
      <c r="X25" s="131"/>
    </row>
    <row r="26" spans="1:33" x14ac:dyDescent="0.25">
      <c r="A26" s="10"/>
      <c r="B26" s="161">
        <v>43031</v>
      </c>
      <c r="C26" s="10">
        <v>120</v>
      </c>
      <c r="D26" s="39">
        <v>53.2667</v>
      </c>
      <c r="E26" s="39">
        <v>54.91</v>
      </c>
      <c r="F26" s="39">
        <f t="shared" si="3"/>
        <v>197.19599999999957</v>
      </c>
      <c r="G26" s="39">
        <f t="shared" si="4"/>
        <v>6392.0039999999999</v>
      </c>
      <c r="H26" s="175">
        <f t="shared" si="5"/>
        <v>3.0850418741915613E-2</v>
      </c>
      <c r="I26" s="39"/>
      <c r="J26" s="39">
        <f t="shared" si="6"/>
        <v>1801.7760000000012</v>
      </c>
      <c r="K26" s="39"/>
      <c r="L26" s="10"/>
      <c r="M26" s="10"/>
      <c r="P26" s="78">
        <v>1.01</v>
      </c>
      <c r="Q26" s="78">
        <f t="shared" si="2"/>
        <v>54.226900000000001</v>
      </c>
      <c r="W26" s="2"/>
      <c r="X26" s="131"/>
    </row>
    <row r="27" spans="1:33" x14ac:dyDescent="0.25">
      <c r="A27" s="10">
        <v>80</v>
      </c>
      <c r="B27" s="161">
        <v>43069</v>
      </c>
      <c r="C27" s="10">
        <v>80</v>
      </c>
      <c r="D27" s="39">
        <v>51.259399999999999</v>
      </c>
      <c r="E27" s="39">
        <v>57.28</v>
      </c>
      <c r="F27" s="39">
        <f t="shared" si="3"/>
        <v>481.64800000000014</v>
      </c>
      <c r="G27" s="39">
        <f t="shared" si="4"/>
        <v>4100.7520000000004</v>
      </c>
      <c r="H27" s="175">
        <f t="shared" si="5"/>
        <v>0.11745357924595297</v>
      </c>
      <c r="I27" s="39">
        <v>50.8</v>
      </c>
      <c r="J27" s="39">
        <f t="shared" si="6"/>
        <v>2086.2280000000019</v>
      </c>
      <c r="K27" s="39"/>
      <c r="L27" s="10"/>
      <c r="M27" s="10"/>
      <c r="P27" s="78">
        <v>1</v>
      </c>
      <c r="Q27" s="78">
        <f t="shared" si="2"/>
        <v>53.69</v>
      </c>
      <c r="W27" s="2"/>
      <c r="X27" s="131"/>
    </row>
    <row r="28" spans="1:33" x14ac:dyDescent="0.25">
      <c r="A28" s="10">
        <v>80</v>
      </c>
      <c r="B28" s="161">
        <v>43072</v>
      </c>
      <c r="C28" s="10">
        <v>80</v>
      </c>
      <c r="D28" s="39">
        <v>50.675600000000003</v>
      </c>
      <c r="E28" s="39">
        <v>56.2</v>
      </c>
      <c r="F28" s="39">
        <f t="shared" si="3"/>
        <v>441.952</v>
      </c>
      <c r="G28" s="39">
        <f t="shared" si="4"/>
        <v>4054.0480000000002</v>
      </c>
      <c r="H28" s="175">
        <f t="shared" si="5"/>
        <v>0.10901498946238426</v>
      </c>
      <c r="I28" s="39" t="s">
        <v>700</v>
      </c>
      <c r="J28" s="39">
        <f t="shared" si="6"/>
        <v>2046.5320000000017</v>
      </c>
      <c r="K28" s="39"/>
      <c r="L28" s="10"/>
      <c r="M28" s="10"/>
      <c r="P28" s="78">
        <v>0.99</v>
      </c>
      <c r="Q28" s="78">
        <f t="shared" si="2"/>
        <v>53.153099999999995</v>
      </c>
      <c r="W28" s="2"/>
      <c r="X28" s="131"/>
    </row>
    <row r="29" spans="1:33" x14ac:dyDescent="0.25">
      <c r="A29" s="10">
        <v>80</v>
      </c>
      <c r="B29" s="161">
        <v>43108</v>
      </c>
      <c r="C29" s="10">
        <v>80</v>
      </c>
      <c r="D29" s="39">
        <v>50.675600000000003</v>
      </c>
      <c r="E29" s="39">
        <v>62.04</v>
      </c>
      <c r="F29" s="39">
        <f t="shared" si="3"/>
        <v>909.1519999999997</v>
      </c>
      <c r="G29" s="39">
        <f t="shared" si="4"/>
        <v>4054.0480000000002</v>
      </c>
      <c r="H29" s="175">
        <f t="shared" si="5"/>
        <v>0.22425782822502341</v>
      </c>
      <c r="I29" s="39" t="s">
        <v>784</v>
      </c>
      <c r="J29" s="39">
        <f t="shared" si="6"/>
        <v>2513.7320000000013</v>
      </c>
      <c r="K29" s="39"/>
      <c r="L29" s="10"/>
      <c r="M29" s="10"/>
      <c r="P29" s="78">
        <v>0.98</v>
      </c>
      <c r="Q29" s="78">
        <f t="shared" si="2"/>
        <v>52.616199999999999</v>
      </c>
      <c r="W29" s="2"/>
      <c r="X29" s="131"/>
    </row>
    <row r="30" spans="1:33" x14ac:dyDescent="0.25">
      <c r="A30" s="10">
        <v>80</v>
      </c>
      <c r="B30" s="161">
        <v>43117</v>
      </c>
      <c r="C30" s="10">
        <v>80</v>
      </c>
      <c r="D30" s="39">
        <v>50.675600000000003</v>
      </c>
      <c r="E30" s="39">
        <v>63.88</v>
      </c>
      <c r="F30" s="39">
        <f t="shared" si="3"/>
        <v>1056.3519999999999</v>
      </c>
      <c r="G30" s="39">
        <f t="shared" si="4"/>
        <v>4054.0480000000002</v>
      </c>
      <c r="H30" s="175">
        <f t="shared" si="5"/>
        <v>0.26056721578037556</v>
      </c>
      <c r="I30" s="39"/>
      <c r="J30" s="39">
        <f t="shared" si="6"/>
        <v>2660.9320000000016</v>
      </c>
      <c r="K30" s="39"/>
      <c r="L30" s="10"/>
      <c r="M30" s="10"/>
      <c r="P30" s="78">
        <v>0.97</v>
      </c>
      <c r="Q30" s="78">
        <f t="shared" si="2"/>
        <v>52.079299999999996</v>
      </c>
      <c r="W30" s="2"/>
      <c r="X30" s="131"/>
    </row>
    <row r="31" spans="1:33" x14ac:dyDescent="0.25">
      <c r="A31" s="10">
        <v>80</v>
      </c>
      <c r="B31" s="161">
        <v>43136</v>
      </c>
      <c r="C31" s="181">
        <v>120</v>
      </c>
      <c r="D31" s="182">
        <v>53.050400000000003</v>
      </c>
      <c r="E31" s="39">
        <v>58.16</v>
      </c>
      <c r="F31" s="39">
        <f t="shared" si="3"/>
        <v>613.15199999999913</v>
      </c>
      <c r="G31" s="39">
        <f t="shared" si="4"/>
        <v>6366.0480000000007</v>
      </c>
      <c r="H31" s="175">
        <f t="shared" si="5"/>
        <v>9.6315956147361617E-2</v>
      </c>
      <c r="I31" s="39"/>
      <c r="J31" s="39">
        <f t="shared" si="6"/>
        <v>2217.7320000000009</v>
      </c>
      <c r="K31" s="39"/>
      <c r="L31" s="10"/>
      <c r="M31" s="10"/>
      <c r="P31" s="78">
        <v>0.96</v>
      </c>
      <c r="Q31" s="78">
        <f t="shared" si="2"/>
        <v>51.542399999999994</v>
      </c>
      <c r="W31" s="2"/>
      <c r="X31" s="131"/>
    </row>
    <row r="32" spans="1:33" x14ac:dyDescent="0.25">
      <c r="A32" s="10">
        <v>120</v>
      </c>
      <c r="B32" s="161">
        <v>43178</v>
      </c>
      <c r="C32" s="10">
        <v>120</v>
      </c>
      <c r="D32" s="39">
        <v>52.79</v>
      </c>
      <c r="E32" s="39">
        <v>55.48</v>
      </c>
      <c r="F32" s="39">
        <f t="shared" si="3"/>
        <v>322.79999999999973</v>
      </c>
      <c r="G32" s="39">
        <f t="shared" si="4"/>
        <v>6334.8</v>
      </c>
      <c r="H32" s="175">
        <f t="shared" si="5"/>
        <v>5.0956620572078004E-2</v>
      </c>
      <c r="I32" s="170" t="s">
        <v>890</v>
      </c>
      <c r="J32" s="39">
        <f t="shared" si="6"/>
        <v>1927.3800000000015</v>
      </c>
      <c r="K32" s="39"/>
      <c r="L32" s="10"/>
      <c r="M32" s="10"/>
      <c r="P32" s="78">
        <v>0.95</v>
      </c>
      <c r="Q32" s="78">
        <f t="shared" si="2"/>
        <v>51.005499999999998</v>
      </c>
      <c r="W32" s="2"/>
      <c r="X32" s="131"/>
    </row>
    <row r="33" spans="1:24" x14ac:dyDescent="0.25">
      <c r="A33" s="10">
        <v>120</v>
      </c>
      <c r="B33" s="161">
        <v>43181</v>
      </c>
      <c r="C33" s="7">
        <v>200</v>
      </c>
      <c r="D33" s="43">
        <v>52.87</v>
      </c>
      <c r="E33" s="39">
        <v>52.76</v>
      </c>
      <c r="F33" s="39">
        <f t="shared" si="3"/>
        <v>-21.999999999999886</v>
      </c>
      <c r="G33" s="39">
        <f t="shared" si="4"/>
        <v>10574</v>
      </c>
      <c r="H33" s="175">
        <f t="shared" si="5"/>
        <v>-2.08057499527141E-3</v>
      </c>
      <c r="I33" s="39"/>
      <c r="J33" s="39">
        <f t="shared" si="6"/>
        <v>1582.5800000000017</v>
      </c>
      <c r="K33" s="39"/>
      <c r="L33" s="10"/>
      <c r="M33" s="10"/>
      <c r="P33" s="78">
        <v>0.94</v>
      </c>
      <c r="Q33" s="78">
        <f t="shared" si="2"/>
        <v>50.468599999999995</v>
      </c>
      <c r="W33" s="2"/>
      <c r="X33" s="131"/>
    </row>
    <row r="34" spans="1:24" x14ac:dyDescent="0.25">
      <c r="A34" s="10">
        <v>120</v>
      </c>
      <c r="B34" s="161">
        <v>43185</v>
      </c>
      <c r="C34" s="10">
        <v>200</v>
      </c>
      <c r="D34" s="39">
        <v>52.874299999999998</v>
      </c>
      <c r="E34" s="39">
        <v>52.29</v>
      </c>
      <c r="F34" s="39">
        <f t="shared" si="3"/>
        <v>-116.85999999999979</v>
      </c>
      <c r="G34" s="39">
        <f t="shared" si="4"/>
        <v>10574.859999999999</v>
      </c>
      <c r="H34" s="175">
        <f t="shared" si="5"/>
        <v>-1.105073731472566E-2</v>
      </c>
      <c r="I34" s="39"/>
      <c r="J34" s="39">
        <f t="shared" si="6"/>
        <v>1487.7200000000021</v>
      </c>
      <c r="K34" s="39"/>
      <c r="L34" s="10"/>
      <c r="M34" s="10"/>
      <c r="P34" s="78">
        <v>0.93</v>
      </c>
      <c r="Q34" s="78">
        <f t="shared" si="2"/>
        <v>49.931699999999999</v>
      </c>
      <c r="W34" s="2"/>
      <c r="X34" s="131"/>
    </row>
    <row r="35" spans="1:24" x14ac:dyDescent="0.25">
      <c r="A35" s="10">
        <v>120</v>
      </c>
      <c r="B35" s="161">
        <v>43186</v>
      </c>
      <c r="C35" s="10">
        <v>200</v>
      </c>
      <c r="D35" s="39">
        <v>52.874299999999998</v>
      </c>
      <c r="E35" s="39">
        <v>51.1</v>
      </c>
      <c r="F35" s="39">
        <f t="shared" si="3"/>
        <v>-354.85999999999933</v>
      </c>
      <c r="G35" s="39">
        <f t="shared" si="4"/>
        <v>10574.859999999999</v>
      </c>
      <c r="H35" s="175">
        <f t="shared" si="5"/>
        <v>-3.3556945434738555E-2</v>
      </c>
      <c r="I35" s="39"/>
      <c r="J35" s="39">
        <f t="shared" si="6"/>
        <v>1249.7200000000025</v>
      </c>
      <c r="K35" s="39"/>
      <c r="L35" s="10"/>
      <c r="M35" s="10"/>
      <c r="P35" s="78">
        <v>0.92</v>
      </c>
      <c r="Q35" s="78">
        <f t="shared" si="2"/>
        <v>49.394800000000004</v>
      </c>
      <c r="W35" s="2"/>
      <c r="X35" s="131"/>
    </row>
    <row r="36" spans="1:24" x14ac:dyDescent="0.25">
      <c r="A36" s="10">
        <v>120</v>
      </c>
      <c r="B36" s="161">
        <v>43187</v>
      </c>
      <c r="C36" s="10">
        <v>200</v>
      </c>
      <c r="D36" s="39">
        <v>52.87</v>
      </c>
      <c r="E36" s="39">
        <v>52.23</v>
      </c>
      <c r="F36" s="39">
        <f t="shared" si="3"/>
        <v>-128.00000000000011</v>
      </c>
      <c r="G36" s="39">
        <f t="shared" si="4"/>
        <v>10574</v>
      </c>
      <c r="H36" s="175">
        <f t="shared" si="5"/>
        <v>-1.2105163608851912E-2</v>
      </c>
      <c r="I36" s="39"/>
      <c r="J36" s="39">
        <f t="shared" si="6"/>
        <v>1476.5800000000017</v>
      </c>
      <c r="K36" s="39">
        <v>39</v>
      </c>
      <c r="L36" s="10"/>
      <c r="M36" s="10"/>
      <c r="P36" s="78">
        <v>0.91</v>
      </c>
      <c r="Q36" s="78">
        <f t="shared" si="2"/>
        <v>48.857900000000001</v>
      </c>
      <c r="W36" s="2"/>
      <c r="X36" s="131"/>
    </row>
    <row r="37" spans="1:24" x14ac:dyDescent="0.25">
      <c r="A37" s="10">
        <v>120</v>
      </c>
      <c r="B37" s="161">
        <v>43204</v>
      </c>
      <c r="C37" s="10">
        <v>200</v>
      </c>
      <c r="D37" s="39">
        <v>52.874299999999998</v>
      </c>
      <c r="E37" s="39">
        <v>50.89</v>
      </c>
      <c r="F37" s="39">
        <f t="shared" si="3"/>
        <v>-396.8599999999995</v>
      </c>
      <c r="G37" s="39">
        <f t="shared" si="4"/>
        <v>10574.859999999999</v>
      </c>
      <c r="H37" s="175">
        <f t="shared" si="5"/>
        <v>-3.7528629220623208E-2</v>
      </c>
      <c r="I37" s="39"/>
      <c r="J37" s="39">
        <f t="shared" si="6"/>
        <v>1207.7200000000023</v>
      </c>
      <c r="K37" s="39"/>
      <c r="L37" s="10"/>
      <c r="M37" s="10"/>
      <c r="P37" s="78">
        <v>0.9</v>
      </c>
      <c r="Q37" s="78">
        <f t="shared" si="2"/>
        <v>48.320999999999998</v>
      </c>
      <c r="W37" s="2"/>
      <c r="X37" s="131"/>
    </row>
    <row r="38" spans="1:24" x14ac:dyDescent="0.25">
      <c r="A38" s="10">
        <v>200</v>
      </c>
      <c r="B38" s="161">
        <v>43216</v>
      </c>
      <c r="C38" s="10">
        <v>200</v>
      </c>
      <c r="D38" s="39">
        <v>52.874299999999998</v>
      </c>
      <c r="E38" s="39">
        <v>52.44</v>
      </c>
      <c r="F38" s="39">
        <f t="shared" si="3"/>
        <v>-86.86000000000007</v>
      </c>
      <c r="G38" s="39">
        <f t="shared" si="4"/>
        <v>10574.859999999999</v>
      </c>
      <c r="H38" s="175">
        <f t="shared" si="5"/>
        <v>-8.2138203248080903E-3</v>
      </c>
      <c r="I38" s="39"/>
      <c r="J38" s="39">
        <f t="shared" si="6"/>
        <v>1517.7200000000016</v>
      </c>
      <c r="K38" s="39"/>
      <c r="L38" s="10"/>
      <c r="M38" s="10"/>
      <c r="W38" s="2"/>
      <c r="X38" s="131"/>
    </row>
    <row r="39" spans="1:24" x14ac:dyDescent="0.25">
      <c r="A39" s="10">
        <v>120</v>
      </c>
      <c r="B39" s="161">
        <v>43230</v>
      </c>
      <c r="C39" s="181">
        <v>120</v>
      </c>
      <c r="D39" s="182">
        <v>51.671300000000002</v>
      </c>
      <c r="E39" s="39">
        <v>54.65</v>
      </c>
      <c r="F39" s="39">
        <f t="shared" si="3"/>
        <v>357.44399999999956</v>
      </c>
      <c r="G39" s="39">
        <f t="shared" si="4"/>
        <v>6200.5560000000005</v>
      </c>
      <c r="H39" s="175">
        <f t="shared" si="5"/>
        <v>5.7647088422393016E-2</v>
      </c>
      <c r="I39" s="738" t="s">
        <v>1008</v>
      </c>
      <c r="J39" s="39">
        <f t="shared" si="6"/>
        <v>1962.0240000000013</v>
      </c>
      <c r="K39" s="39"/>
      <c r="L39" s="10">
        <v>12.05</v>
      </c>
      <c r="M39" s="10"/>
      <c r="O39" s="11"/>
      <c r="R39" s="33"/>
      <c r="W39" s="2"/>
      <c r="X39" s="131"/>
    </row>
    <row r="40" spans="1:24" x14ac:dyDescent="0.25">
      <c r="A40" s="10">
        <v>120</v>
      </c>
      <c r="B40" s="161">
        <v>43237</v>
      </c>
      <c r="C40" s="7">
        <v>200</v>
      </c>
      <c r="D40" s="43">
        <v>52.622799999999998</v>
      </c>
      <c r="E40" s="39">
        <v>54.22</v>
      </c>
      <c r="F40" s="39">
        <f t="shared" si="3"/>
        <v>319.44000000000017</v>
      </c>
      <c r="G40" s="39">
        <f t="shared" si="4"/>
        <v>10524.56</v>
      </c>
      <c r="H40" s="175">
        <f t="shared" si="5"/>
        <v>3.0351862690696826E-2</v>
      </c>
      <c r="I40" s="39">
        <v>52.25</v>
      </c>
      <c r="J40" s="39">
        <f t="shared" si="6"/>
        <v>1924.0200000000018</v>
      </c>
      <c r="K40" s="39"/>
      <c r="L40" s="39">
        <v>12</v>
      </c>
      <c r="M40" s="10"/>
      <c r="O40" s="2"/>
      <c r="R40" s="33"/>
      <c r="W40" s="2"/>
      <c r="X40" s="131"/>
    </row>
    <row r="41" spans="1:24" x14ac:dyDescent="0.25">
      <c r="A41" s="10">
        <v>40</v>
      </c>
      <c r="B41" s="161">
        <v>43242</v>
      </c>
      <c r="C41" s="181">
        <v>120</v>
      </c>
      <c r="D41" s="182">
        <v>50.723599999999998</v>
      </c>
      <c r="E41" s="39">
        <v>55.26</v>
      </c>
      <c r="F41" s="39">
        <f t="shared" si="3"/>
        <v>544.36800000000005</v>
      </c>
      <c r="G41" s="39">
        <f t="shared" si="4"/>
        <v>6086.8319999999994</v>
      </c>
      <c r="H41" s="175">
        <f t="shared" si="5"/>
        <v>8.9433715272575307E-2</v>
      </c>
      <c r="I41" s="738" t="s">
        <v>1021</v>
      </c>
      <c r="J41" s="39">
        <f t="shared" si="6"/>
        <v>2148.9480000000017</v>
      </c>
      <c r="K41" s="39"/>
      <c r="L41" s="10">
        <v>12.23</v>
      </c>
      <c r="M41" s="10"/>
      <c r="O41" s="2"/>
      <c r="R41" s="33"/>
      <c r="W41" s="2"/>
      <c r="X41" s="131"/>
    </row>
    <row r="42" spans="1:24" x14ac:dyDescent="0.25">
      <c r="A42" s="10">
        <v>40</v>
      </c>
      <c r="B42" s="161">
        <v>43244</v>
      </c>
      <c r="C42" s="7">
        <v>200</v>
      </c>
      <c r="D42" s="43">
        <v>52.226199999999999</v>
      </c>
      <c r="E42" s="39">
        <v>54.67</v>
      </c>
      <c r="F42" s="39">
        <f t="shared" si="3"/>
        <v>488.76000000000062</v>
      </c>
      <c r="G42" s="39">
        <f t="shared" si="4"/>
        <v>10445.24</v>
      </c>
      <c r="H42" s="175">
        <f t="shared" si="5"/>
        <v>4.6792606010010361E-2</v>
      </c>
      <c r="I42" s="738" t="s">
        <v>1025</v>
      </c>
      <c r="J42" s="39">
        <f t="shared" si="6"/>
        <v>2093.3400000000024</v>
      </c>
      <c r="K42" s="39"/>
      <c r="L42" s="39">
        <v>12.1</v>
      </c>
      <c r="M42" s="10"/>
      <c r="O42" s="2"/>
      <c r="R42" s="33"/>
      <c r="W42" s="2"/>
      <c r="X42" s="131"/>
    </row>
    <row r="43" spans="1:24" x14ac:dyDescent="0.25">
      <c r="A43" s="10">
        <v>40</v>
      </c>
      <c r="B43" s="161">
        <v>43249</v>
      </c>
      <c r="C43" s="10">
        <v>250</v>
      </c>
      <c r="D43" s="39">
        <v>52.396900000000002</v>
      </c>
      <c r="E43" s="39">
        <v>52.95</v>
      </c>
      <c r="F43" s="39">
        <f t="shared" si="3"/>
        <v>138.27500000000015</v>
      </c>
      <c r="G43" s="39">
        <f t="shared" si="4"/>
        <v>13099.225</v>
      </c>
      <c r="H43" s="175">
        <f t="shared" si="5"/>
        <v>1.0555968005740808E-2</v>
      </c>
      <c r="I43" s="39"/>
      <c r="J43" s="39">
        <f t="shared" si="6"/>
        <v>1742.8550000000018</v>
      </c>
      <c r="K43" s="39"/>
      <c r="L43" s="10">
        <v>11.71</v>
      </c>
      <c r="M43" s="10"/>
      <c r="O43" s="2"/>
      <c r="R43" s="78"/>
      <c r="W43" s="2"/>
      <c r="X43" s="131"/>
    </row>
    <row r="44" spans="1:24" x14ac:dyDescent="0.25">
      <c r="A44" s="10">
        <v>40</v>
      </c>
      <c r="B44" s="161">
        <v>43252</v>
      </c>
      <c r="C44" s="10">
        <v>250</v>
      </c>
      <c r="D44" s="39">
        <v>52.084899999999998</v>
      </c>
      <c r="E44" s="39">
        <v>54.69</v>
      </c>
      <c r="F44" s="39">
        <f t="shared" si="3"/>
        <v>651.27500000000009</v>
      </c>
      <c r="G44" s="39">
        <f t="shared" si="4"/>
        <v>13021.224999999999</v>
      </c>
      <c r="H44" s="175">
        <f t="shared" si="5"/>
        <v>5.001641550622158E-2</v>
      </c>
      <c r="I44" s="39"/>
      <c r="J44" s="39">
        <f t="shared" si="6"/>
        <v>2255.8550000000018</v>
      </c>
      <c r="K44" s="39"/>
      <c r="L44" s="10">
        <v>12.1</v>
      </c>
      <c r="M44" s="10"/>
      <c r="O44" s="2"/>
      <c r="R44" s="78"/>
      <c r="W44" s="2"/>
      <c r="X44" s="131"/>
    </row>
    <row r="45" spans="1:24" x14ac:dyDescent="0.25">
      <c r="A45" s="10">
        <v>70</v>
      </c>
      <c r="B45" s="161">
        <v>43273</v>
      </c>
      <c r="C45" s="7">
        <v>200</v>
      </c>
      <c r="D45" s="43">
        <v>51.456400000000002</v>
      </c>
      <c r="E45" s="39">
        <v>53.94</v>
      </c>
      <c r="F45" s="39">
        <f t="shared" si="3"/>
        <v>496.71999999999912</v>
      </c>
      <c r="G45" s="39">
        <f t="shared" si="4"/>
        <v>10291.280000000001</v>
      </c>
      <c r="H45" s="175">
        <f t="shared" si="5"/>
        <v>4.8266104896572543E-2</v>
      </c>
      <c r="I45" s="738" t="s">
        <v>1069</v>
      </c>
      <c r="J45" s="39">
        <f t="shared" si="6"/>
        <v>2101.3000000000011</v>
      </c>
      <c r="K45" s="39"/>
      <c r="L45" s="10">
        <v>11.93</v>
      </c>
      <c r="M45" s="10"/>
      <c r="O45" s="2"/>
      <c r="R45" s="78"/>
      <c r="W45" s="2"/>
      <c r="X45" s="131"/>
    </row>
    <row r="46" spans="1:24" x14ac:dyDescent="0.25">
      <c r="A46" s="10">
        <v>150</v>
      </c>
      <c r="B46" s="161">
        <v>43278</v>
      </c>
      <c r="C46" s="10">
        <v>200</v>
      </c>
      <c r="D46" s="39">
        <v>51.46</v>
      </c>
      <c r="E46" s="39">
        <v>53.28</v>
      </c>
      <c r="F46" s="39">
        <f t="shared" si="3"/>
        <v>364.00000000000006</v>
      </c>
      <c r="G46" s="39">
        <f t="shared" si="4"/>
        <v>10292</v>
      </c>
      <c r="H46" s="175">
        <f t="shared" si="5"/>
        <v>3.5367275553828223E-2</v>
      </c>
      <c r="I46" s="39"/>
      <c r="J46" s="39">
        <f t="shared" si="6"/>
        <v>1968.5800000000017</v>
      </c>
      <c r="K46" s="39"/>
      <c r="L46" s="10">
        <v>11.79</v>
      </c>
      <c r="M46" s="10"/>
      <c r="O46" s="2"/>
      <c r="R46" s="78"/>
      <c r="W46" s="2"/>
      <c r="X46" s="131"/>
    </row>
    <row r="47" spans="1:24" x14ac:dyDescent="0.25">
      <c r="A47" s="10">
        <v>70</v>
      </c>
      <c r="B47" s="161">
        <v>43279</v>
      </c>
      <c r="C47" s="181">
        <v>120</v>
      </c>
      <c r="D47" s="182">
        <v>48.82</v>
      </c>
      <c r="E47" s="39">
        <v>53.63</v>
      </c>
      <c r="F47" s="39">
        <f t="shared" si="3"/>
        <v>577.20000000000027</v>
      </c>
      <c r="G47" s="39">
        <f t="shared" si="4"/>
        <v>5858.4</v>
      </c>
      <c r="H47" s="175">
        <f t="shared" si="5"/>
        <v>9.8525194592380225E-2</v>
      </c>
      <c r="I47" s="738" t="s">
        <v>1071</v>
      </c>
      <c r="J47" s="39">
        <f t="shared" si="6"/>
        <v>2181.780000000002</v>
      </c>
      <c r="K47" s="39"/>
      <c r="L47" s="10">
        <v>11.87</v>
      </c>
      <c r="M47" s="10"/>
      <c r="O47" s="2"/>
      <c r="R47" s="78"/>
      <c r="X47" s="131"/>
    </row>
    <row r="48" spans="1:24" x14ac:dyDescent="0.25">
      <c r="A48" s="10">
        <v>0</v>
      </c>
      <c r="B48" s="161">
        <v>43286</v>
      </c>
      <c r="C48" s="10">
        <v>0</v>
      </c>
      <c r="D48" s="39"/>
      <c r="E48" s="39"/>
      <c r="F48" s="39">
        <v>765.38</v>
      </c>
      <c r="G48" s="10"/>
      <c r="H48" s="175"/>
      <c r="I48" s="39"/>
      <c r="J48" s="39">
        <f t="shared" si="6"/>
        <v>2369.9600000000019</v>
      </c>
      <c r="K48" s="39"/>
      <c r="L48" s="10">
        <v>12.22</v>
      </c>
      <c r="M48" s="10"/>
      <c r="O48" s="2"/>
      <c r="R48" s="78"/>
      <c r="X48" s="131"/>
    </row>
    <row r="49" spans="1:24" x14ac:dyDescent="0.25">
      <c r="A49" s="10">
        <v>0</v>
      </c>
      <c r="B49" s="161">
        <v>43294</v>
      </c>
      <c r="C49" s="10">
        <v>80</v>
      </c>
      <c r="D49" s="39">
        <v>44.832799999999999</v>
      </c>
      <c r="E49" s="39">
        <v>54.4</v>
      </c>
      <c r="F49" s="39">
        <f t="shared" si="3"/>
        <v>765.37599999999998</v>
      </c>
      <c r="G49" s="39">
        <f t="shared" si="4"/>
        <v>3586.6239999999998</v>
      </c>
      <c r="H49" s="175">
        <f t="shared" si="5"/>
        <v>0.21339733409468067</v>
      </c>
      <c r="I49" s="39"/>
      <c r="J49" s="39">
        <f t="shared" si="6"/>
        <v>2369.9560000000019</v>
      </c>
      <c r="K49" s="39"/>
      <c r="L49" s="10">
        <v>12.01</v>
      </c>
      <c r="M49" s="10"/>
      <c r="R49" s="78"/>
      <c r="X49" s="131"/>
    </row>
    <row r="50" spans="1:24" x14ac:dyDescent="0.25">
      <c r="A50" s="10">
        <v>0</v>
      </c>
      <c r="B50" s="161">
        <v>43294</v>
      </c>
      <c r="C50" s="181">
        <v>120</v>
      </c>
      <c r="D50" s="182">
        <v>47.822000000000003</v>
      </c>
      <c r="E50" s="39">
        <v>55.36</v>
      </c>
      <c r="F50" s="39">
        <f t="shared" ref="F50:F55" si="7">C50*(E50-D50)</f>
        <v>904.5599999999996</v>
      </c>
      <c r="G50" s="39">
        <f t="shared" ref="G50:G55" si="8">D50*C50</f>
        <v>5738.64</v>
      </c>
      <c r="H50" s="175">
        <f t="shared" ref="H50:H55" si="9">(E50-D50)/D50</f>
        <v>0.15762619714775619</v>
      </c>
      <c r="I50" s="738" t="s">
        <v>1188</v>
      </c>
      <c r="J50" s="39">
        <f t="shared" si="6"/>
        <v>2509.1400000000012</v>
      </c>
      <c r="K50" s="39"/>
      <c r="L50" s="10">
        <v>11.9</v>
      </c>
      <c r="M50" s="10"/>
      <c r="R50" s="78"/>
      <c r="X50" s="131"/>
    </row>
    <row r="51" spans="1:24" x14ac:dyDescent="0.25">
      <c r="A51" s="10">
        <v>0</v>
      </c>
      <c r="B51" s="161">
        <v>43312</v>
      </c>
      <c r="C51" s="10">
        <v>120</v>
      </c>
      <c r="D51" s="39">
        <v>47.821800000000003</v>
      </c>
      <c r="E51" s="39">
        <v>57.29</v>
      </c>
      <c r="F51" s="39">
        <f t="shared" si="7"/>
        <v>1136.1839999999995</v>
      </c>
      <c r="G51" s="39">
        <f t="shared" si="8"/>
        <v>5738.616</v>
      </c>
      <c r="H51" s="175">
        <f t="shared" si="9"/>
        <v>0.19798920157752312</v>
      </c>
      <c r="I51" s="39"/>
      <c r="J51" s="39">
        <f t="shared" si="6"/>
        <v>2740.764000000001</v>
      </c>
      <c r="K51" s="39"/>
      <c r="L51" s="10">
        <v>12.67</v>
      </c>
      <c r="M51" s="10"/>
      <c r="R51" s="78"/>
      <c r="X51" s="131"/>
    </row>
    <row r="52" spans="1:24" x14ac:dyDescent="0.25">
      <c r="A52" s="10">
        <v>0</v>
      </c>
      <c r="B52" s="161">
        <v>43316</v>
      </c>
      <c r="C52" s="10">
        <v>120</v>
      </c>
      <c r="D52" s="39">
        <v>47.821800000000003</v>
      </c>
      <c r="E52" s="39">
        <v>58.83</v>
      </c>
      <c r="F52" s="39">
        <f t="shared" si="7"/>
        <v>1320.9839999999995</v>
      </c>
      <c r="G52" s="39">
        <f t="shared" si="8"/>
        <v>5738.616</v>
      </c>
      <c r="H52" s="175">
        <f t="shared" si="9"/>
        <v>0.23019208812717201</v>
      </c>
      <c r="I52" s="39"/>
      <c r="J52" s="760">
        <f t="shared" si="6"/>
        <v>2925.5640000000012</v>
      </c>
      <c r="K52" s="39"/>
      <c r="L52" s="10">
        <v>12.67</v>
      </c>
      <c r="M52" s="10"/>
      <c r="R52" s="78"/>
      <c r="X52" s="131"/>
    </row>
    <row r="53" spans="1:24" x14ac:dyDescent="0.25">
      <c r="A53" s="10"/>
      <c r="B53" s="161">
        <v>43324</v>
      </c>
      <c r="C53" s="10">
        <v>120</v>
      </c>
      <c r="D53" s="39">
        <v>47.821800000000003</v>
      </c>
      <c r="E53" s="39">
        <v>58.05</v>
      </c>
      <c r="F53" s="39">
        <f t="shared" si="7"/>
        <v>1227.3839999999993</v>
      </c>
      <c r="G53" s="39">
        <f t="shared" si="8"/>
        <v>5738.616</v>
      </c>
      <c r="H53" s="175">
        <f t="shared" si="9"/>
        <v>0.21388153519942774</v>
      </c>
      <c r="I53" s="39"/>
      <c r="J53" s="39">
        <f t="shared" si="6"/>
        <v>2831.9640000000009</v>
      </c>
      <c r="K53" s="39"/>
      <c r="L53" s="10"/>
      <c r="M53" s="10"/>
      <c r="R53" s="78"/>
      <c r="X53" s="131"/>
    </row>
    <row r="54" spans="1:24" x14ac:dyDescent="0.25">
      <c r="A54" s="10">
        <v>120</v>
      </c>
      <c r="B54" s="161">
        <v>43325</v>
      </c>
      <c r="C54" s="10">
        <v>120</v>
      </c>
      <c r="D54" s="39">
        <v>47.82</v>
      </c>
      <c r="E54" s="39">
        <v>57.61</v>
      </c>
      <c r="F54" s="39">
        <f t="shared" si="7"/>
        <v>1174.8</v>
      </c>
      <c r="G54" s="39">
        <f t="shared" si="8"/>
        <v>5738.4</v>
      </c>
      <c r="H54" s="175">
        <f t="shared" si="9"/>
        <v>0.20472605604349642</v>
      </c>
      <c r="I54" s="39"/>
      <c r="J54" s="39">
        <f t="shared" si="6"/>
        <v>2779.3800000000019</v>
      </c>
      <c r="K54" s="39"/>
      <c r="L54" s="10">
        <v>12.75</v>
      </c>
      <c r="M54" s="10"/>
      <c r="R54" s="78"/>
      <c r="X54" s="131"/>
    </row>
    <row r="55" spans="1:24" x14ac:dyDescent="0.25">
      <c r="A55" s="10">
        <v>40</v>
      </c>
      <c r="B55" s="161">
        <v>43334</v>
      </c>
      <c r="C55" s="10">
        <v>40</v>
      </c>
      <c r="D55" s="39">
        <v>24.806999999999999</v>
      </c>
      <c r="E55" s="39">
        <v>59.17</v>
      </c>
      <c r="F55" s="39">
        <f t="shared" si="7"/>
        <v>1374.52</v>
      </c>
      <c r="G55" s="39">
        <f t="shared" si="8"/>
        <v>992.28</v>
      </c>
      <c r="H55" s="175">
        <f t="shared" si="9"/>
        <v>1.3852138509291734</v>
      </c>
      <c r="I55" s="39"/>
      <c r="J55" s="39">
        <f t="shared" si="6"/>
        <v>2979.1000000000017</v>
      </c>
      <c r="K55" s="39"/>
      <c r="L55" s="10">
        <v>13.09</v>
      </c>
      <c r="M55" s="10"/>
      <c r="R55" s="78"/>
      <c r="X55" s="131"/>
    </row>
    <row r="56" spans="1:24" x14ac:dyDescent="0.25">
      <c r="A56" s="10">
        <v>40</v>
      </c>
      <c r="B56" s="161">
        <v>43355</v>
      </c>
      <c r="C56" s="181">
        <v>120</v>
      </c>
      <c r="D56" s="182">
        <v>45.319000000000003</v>
      </c>
      <c r="E56" s="39">
        <v>55.94</v>
      </c>
      <c r="F56" s="39">
        <f t="shared" ref="F56:F62" si="10">C56*(E56-D56)</f>
        <v>1274.5199999999995</v>
      </c>
      <c r="G56" s="39">
        <f t="shared" ref="G56:G62" si="11">D56*C56</f>
        <v>5438.2800000000007</v>
      </c>
      <c r="H56" s="175">
        <f t="shared" ref="H56:H62" si="12">(E56-D56)/D56</f>
        <v>0.23436086409673634</v>
      </c>
      <c r="I56" s="738" t="s">
        <v>1219</v>
      </c>
      <c r="J56" s="39">
        <f t="shared" ref="J56:J62" si="13">F56+$Q$10</f>
        <v>2879.1000000000013</v>
      </c>
      <c r="K56" s="39"/>
      <c r="L56" s="10">
        <v>12.38</v>
      </c>
      <c r="M56" s="10"/>
      <c r="O56" s="2"/>
      <c r="R56" s="78"/>
      <c r="X56" s="131"/>
    </row>
    <row r="57" spans="1:24" x14ac:dyDescent="0.25">
      <c r="A57" s="10">
        <v>40</v>
      </c>
      <c r="B57" s="161">
        <v>43358</v>
      </c>
      <c r="C57" s="10">
        <v>120</v>
      </c>
      <c r="D57" s="39">
        <v>45.319000000000003</v>
      </c>
      <c r="E57" s="39">
        <v>54.73</v>
      </c>
      <c r="F57" s="39">
        <f t="shared" si="10"/>
        <v>1129.3199999999993</v>
      </c>
      <c r="G57" s="39">
        <f t="shared" si="11"/>
        <v>5438.2800000000007</v>
      </c>
      <c r="H57" s="175">
        <f t="shared" si="12"/>
        <v>0.20766124583508008</v>
      </c>
      <c r="I57" s="761"/>
      <c r="J57" s="39">
        <f t="shared" si="13"/>
        <v>2733.900000000001</v>
      </c>
      <c r="K57" s="39"/>
      <c r="L57" s="10">
        <v>12.11</v>
      </c>
      <c r="M57" s="10"/>
      <c r="O57" s="2"/>
      <c r="R57" s="78"/>
      <c r="X57" s="131"/>
    </row>
    <row r="58" spans="1:24" x14ac:dyDescent="0.25">
      <c r="A58" s="10"/>
      <c r="B58" s="161">
        <v>43353</v>
      </c>
      <c r="C58" s="10">
        <v>120</v>
      </c>
      <c r="D58" s="39">
        <v>45.319000000000003</v>
      </c>
      <c r="E58" s="39">
        <v>52.43</v>
      </c>
      <c r="F58" s="39">
        <f t="shared" si="10"/>
        <v>853.31999999999971</v>
      </c>
      <c r="G58" s="39">
        <f t="shared" si="11"/>
        <v>5438.2800000000007</v>
      </c>
      <c r="H58" s="175">
        <f t="shared" si="12"/>
        <v>0.15690990533771701</v>
      </c>
      <c r="I58" s="761"/>
      <c r="J58" s="39">
        <f t="shared" si="13"/>
        <v>2457.9000000000015</v>
      </c>
      <c r="K58" s="39"/>
      <c r="L58" s="10">
        <v>11.6</v>
      </c>
      <c r="M58" s="10"/>
      <c r="O58" s="2"/>
      <c r="R58" s="78"/>
      <c r="X58" s="131"/>
    </row>
    <row r="59" spans="1:24" x14ac:dyDescent="0.25">
      <c r="A59" s="10">
        <v>120</v>
      </c>
      <c r="B59" s="161">
        <v>43437</v>
      </c>
      <c r="C59" s="181">
        <v>120</v>
      </c>
      <c r="D59" s="182">
        <v>44.889000000000003</v>
      </c>
      <c r="E59" s="39">
        <v>54.24</v>
      </c>
      <c r="F59" s="39">
        <f t="shared" si="10"/>
        <v>1122.1199999999999</v>
      </c>
      <c r="G59" s="10">
        <f t="shared" si="11"/>
        <v>5386.68</v>
      </c>
      <c r="H59" s="175">
        <f t="shared" si="12"/>
        <v>0.20831384080732471</v>
      </c>
      <c r="I59" s="39">
        <v>44.5</v>
      </c>
      <c r="J59" s="39">
        <f t="shared" si="13"/>
        <v>2726.7000000000016</v>
      </c>
      <c r="K59" s="39"/>
      <c r="L59" s="10">
        <v>12.01</v>
      </c>
      <c r="M59" s="10"/>
      <c r="O59" s="2"/>
      <c r="R59" s="78"/>
      <c r="X59" s="131"/>
    </row>
    <row r="60" spans="1:24" x14ac:dyDescent="0.25">
      <c r="A60" s="161"/>
      <c r="B60" s="161">
        <v>43492</v>
      </c>
      <c r="C60" s="10">
        <v>120</v>
      </c>
      <c r="D60" s="39">
        <v>44.89</v>
      </c>
      <c r="E60" s="39">
        <v>50.13</v>
      </c>
      <c r="F60" s="39">
        <f t="shared" si="10"/>
        <v>628.80000000000018</v>
      </c>
      <c r="G60" s="39">
        <f t="shared" si="11"/>
        <v>5386.8</v>
      </c>
      <c r="H60" s="175">
        <f t="shared" si="12"/>
        <v>0.11672978391623974</v>
      </c>
      <c r="I60" s="39"/>
      <c r="J60" s="39">
        <f t="shared" si="13"/>
        <v>2233.3800000000019</v>
      </c>
      <c r="K60" s="39"/>
      <c r="L60" s="10">
        <v>11.09</v>
      </c>
      <c r="M60" s="10"/>
      <c r="O60" s="2"/>
      <c r="R60" s="78"/>
      <c r="X60" s="131"/>
    </row>
    <row r="61" spans="1:24" x14ac:dyDescent="0.25">
      <c r="A61" s="10">
        <v>120</v>
      </c>
      <c r="B61" s="161">
        <v>43525</v>
      </c>
      <c r="C61" s="181">
        <v>120</v>
      </c>
      <c r="D61" s="182">
        <v>44.439</v>
      </c>
      <c r="E61" s="39">
        <v>50.03</v>
      </c>
      <c r="F61" s="39">
        <f t="shared" si="10"/>
        <v>670.92000000000007</v>
      </c>
      <c r="G61" s="10">
        <f t="shared" si="11"/>
        <v>5332.68</v>
      </c>
      <c r="H61" s="175">
        <f t="shared" si="12"/>
        <v>0.12581291208173004</v>
      </c>
      <c r="I61" s="738" t="s">
        <v>1338</v>
      </c>
      <c r="J61" s="39">
        <f t="shared" si="13"/>
        <v>2275.5000000000018</v>
      </c>
      <c r="K61" s="39"/>
      <c r="L61" s="10">
        <v>11.07</v>
      </c>
      <c r="M61" s="10"/>
      <c r="O61" s="2"/>
      <c r="X61" s="131"/>
    </row>
    <row r="62" spans="1:24" x14ac:dyDescent="0.25">
      <c r="A62" s="10"/>
      <c r="B62" s="161">
        <v>43564</v>
      </c>
      <c r="C62" s="10">
        <v>160</v>
      </c>
      <c r="D62" s="39">
        <v>45.3568</v>
      </c>
      <c r="E62" s="39">
        <v>48.14</v>
      </c>
      <c r="F62" s="39">
        <f t="shared" si="10"/>
        <v>445.31200000000013</v>
      </c>
      <c r="G62" s="39">
        <f t="shared" si="11"/>
        <v>7257.0879999999997</v>
      </c>
      <c r="H62" s="175">
        <f t="shared" si="12"/>
        <v>6.1362353605192627E-2</v>
      </c>
      <c r="I62" s="39"/>
      <c r="J62" s="39">
        <f t="shared" si="13"/>
        <v>2049.8920000000016</v>
      </c>
      <c r="K62" s="39"/>
      <c r="L62" s="10"/>
      <c r="M62" s="10"/>
      <c r="O62" s="2"/>
      <c r="X62" s="131"/>
    </row>
    <row r="63" spans="1:24" x14ac:dyDescent="0.25">
      <c r="A63" s="10">
        <v>80</v>
      </c>
      <c r="B63" s="161">
        <v>43569</v>
      </c>
      <c r="C63" s="10">
        <v>160</v>
      </c>
      <c r="D63" s="39">
        <v>44.832000000000001</v>
      </c>
      <c r="E63" s="39">
        <v>46.49</v>
      </c>
      <c r="F63" s="39">
        <f t="shared" ref="F63" si="14">C63*(E63-D63)</f>
        <v>265.2800000000002</v>
      </c>
      <c r="G63" s="39">
        <f t="shared" ref="G63" si="15">D63*C63</f>
        <v>7173.12</v>
      </c>
      <c r="H63" s="175">
        <f t="shared" ref="H63" si="16">(E63-D63)/D63</f>
        <v>3.6982512491077826E-2</v>
      </c>
      <c r="I63" s="39"/>
      <c r="J63" s="39">
        <f t="shared" ref="J63" si="17">F63+$Q$10</f>
        <v>1869.8600000000019</v>
      </c>
      <c r="K63" s="39"/>
      <c r="L63" s="10"/>
      <c r="M63" s="10"/>
      <c r="O63" s="2"/>
      <c r="X63" s="131"/>
    </row>
    <row r="64" spans="1:24" x14ac:dyDescent="0.25">
      <c r="A64" s="10">
        <v>160</v>
      </c>
      <c r="B64" s="161">
        <v>43614</v>
      </c>
      <c r="C64" s="10">
        <v>160</v>
      </c>
      <c r="D64" s="39">
        <v>44.83</v>
      </c>
      <c r="E64" s="39">
        <v>45.68</v>
      </c>
      <c r="F64" s="39">
        <f t="shared" ref="F64" si="18">C64*(E64-D64)</f>
        <v>136.00000000000023</v>
      </c>
      <c r="G64" s="39">
        <f t="shared" ref="G64" si="19">D64*C64</f>
        <v>7172.7999999999993</v>
      </c>
      <c r="H64" s="175">
        <f t="shared" ref="H64" si="20">(E64-D64)/D64</f>
        <v>1.8960517510595614E-2</v>
      </c>
      <c r="I64" s="39"/>
      <c r="J64" s="39">
        <f t="shared" ref="J64" si="21">F64+$Q$10</f>
        <v>1740.580000000002</v>
      </c>
      <c r="K64" s="39"/>
      <c r="L64" s="10"/>
      <c r="M64" s="10"/>
      <c r="O64" s="2"/>
      <c r="X64" s="131"/>
    </row>
    <row r="65" spans="1:24" x14ac:dyDescent="0.25">
      <c r="A65" s="10">
        <v>120</v>
      </c>
      <c r="B65" s="161">
        <v>43626</v>
      </c>
      <c r="C65" s="181">
        <v>120</v>
      </c>
      <c r="D65" s="182">
        <v>43.6</v>
      </c>
      <c r="E65" s="39">
        <v>46.27</v>
      </c>
      <c r="F65" s="39">
        <f t="shared" ref="F65" si="22">C65*(E65-D65)</f>
        <v>320.4000000000002</v>
      </c>
      <c r="G65" s="39">
        <f t="shared" ref="G65" si="23">D65*C65</f>
        <v>5232</v>
      </c>
      <c r="H65" s="175">
        <f t="shared" ref="H65" si="24">(E65-D65)/D65</f>
        <v>6.1238532110091781E-2</v>
      </c>
      <c r="I65" s="39"/>
      <c r="J65" s="39">
        <f t="shared" ref="J65" si="25">F65+$Q$10</f>
        <v>1924.9800000000018</v>
      </c>
      <c r="K65" s="39"/>
      <c r="L65" s="10">
        <v>10.24</v>
      </c>
      <c r="M65" s="10"/>
      <c r="O65" s="2"/>
      <c r="X65" s="131"/>
    </row>
    <row r="66" spans="1:24" x14ac:dyDescent="0.25">
      <c r="A66" s="10">
        <v>120</v>
      </c>
      <c r="B66" s="161">
        <v>43711</v>
      </c>
      <c r="C66" s="181">
        <v>120</v>
      </c>
      <c r="D66" s="182">
        <v>43.09</v>
      </c>
      <c r="E66" s="39">
        <v>46.09</v>
      </c>
      <c r="F66" s="39">
        <f t="shared" ref="F66" si="26">C66*(E66-D66)</f>
        <v>360</v>
      </c>
      <c r="G66" s="39">
        <f t="shared" ref="G66" si="27">D66*C66</f>
        <v>5170.8</v>
      </c>
      <c r="H66" s="175">
        <f t="shared" ref="H66" si="28">(E66-D66)/D66</f>
        <v>6.9621721977256898E-2</v>
      </c>
      <c r="I66" s="39"/>
      <c r="J66" s="39">
        <f t="shared" ref="J66" si="29">F66+$Q$10</f>
        <v>1964.5800000000017</v>
      </c>
      <c r="K66" s="39"/>
      <c r="L66" s="10"/>
      <c r="M66" s="10"/>
      <c r="O66" s="2"/>
      <c r="X66" s="131"/>
    </row>
    <row r="67" spans="1:24" x14ac:dyDescent="0.25">
      <c r="A67" s="10">
        <v>80</v>
      </c>
      <c r="B67" s="161">
        <v>43736</v>
      </c>
      <c r="C67" s="10">
        <v>80</v>
      </c>
      <c r="D67" s="39">
        <v>39.195</v>
      </c>
      <c r="E67" s="39">
        <v>50.71</v>
      </c>
      <c r="F67" s="39">
        <f t="shared" ref="F67" si="30">C67*(E67-D67)</f>
        <v>921.2</v>
      </c>
      <c r="G67" s="39">
        <f t="shared" ref="G67" si="31">D67*C67</f>
        <v>3135.6</v>
      </c>
      <c r="H67" s="175">
        <f t="shared" ref="H67" si="32">(E67-D67)/D67</f>
        <v>0.29378747289195051</v>
      </c>
      <c r="I67" s="39"/>
      <c r="J67" s="39">
        <f t="shared" ref="J67" si="33">F67+$Q$10</f>
        <v>2525.7800000000016</v>
      </c>
      <c r="K67" s="39"/>
      <c r="L67" s="10"/>
      <c r="M67" s="10"/>
      <c r="O67" s="2"/>
      <c r="X67" s="131"/>
    </row>
    <row r="68" spans="1:24" x14ac:dyDescent="0.25">
      <c r="A68" s="10">
        <v>80</v>
      </c>
      <c r="B68" s="161">
        <v>43797</v>
      </c>
      <c r="C68" s="10">
        <v>80</v>
      </c>
      <c r="D68" s="39">
        <v>39.200000000000003</v>
      </c>
      <c r="E68" s="39">
        <v>54.84</v>
      </c>
      <c r="F68" s="39">
        <f t="shared" ref="F68:F69" si="34">C68*(E68-D68)</f>
        <v>1251.2</v>
      </c>
      <c r="G68" s="39">
        <f t="shared" ref="G68:G69" si="35">D68*C68</f>
        <v>3136</v>
      </c>
      <c r="H68" s="175">
        <f t="shared" ref="H68:H69" si="36">(E68-D68)/D68</f>
        <v>0.3989795918367347</v>
      </c>
      <c r="I68" s="39"/>
      <c r="J68" s="39">
        <f t="shared" ref="J68:J69" si="37">F68+$Q$10</f>
        <v>2855.7800000000016</v>
      </c>
      <c r="K68" s="39"/>
      <c r="L68" s="10"/>
      <c r="M68" s="10"/>
      <c r="O68" s="2"/>
      <c r="X68" s="131"/>
    </row>
    <row r="69" spans="1:24" x14ac:dyDescent="0.25">
      <c r="A69" s="10">
        <v>80</v>
      </c>
      <c r="B69" s="161">
        <v>43801</v>
      </c>
      <c r="C69" s="10">
        <v>80</v>
      </c>
      <c r="D69" s="39">
        <v>38.685000000000002</v>
      </c>
      <c r="E69" s="39">
        <v>53.62</v>
      </c>
      <c r="F69" s="39">
        <f t="shared" si="34"/>
        <v>1194.7999999999997</v>
      </c>
      <c r="G69" s="10">
        <f t="shared" si="35"/>
        <v>3094.8</v>
      </c>
      <c r="H69" s="175">
        <f t="shared" si="36"/>
        <v>0.38606695101460498</v>
      </c>
      <c r="I69" s="39"/>
      <c r="J69" s="39">
        <f t="shared" si="37"/>
        <v>2799.3800000000015</v>
      </c>
      <c r="K69" s="39"/>
      <c r="L69" s="10"/>
      <c r="M69" s="10"/>
      <c r="O69" s="2"/>
      <c r="X69" s="131"/>
    </row>
    <row r="70" spans="1:24" x14ac:dyDescent="0.25">
      <c r="A70" s="10"/>
      <c r="B70" s="10"/>
      <c r="C70" s="10"/>
      <c r="D70" s="39"/>
      <c r="E70" s="39"/>
      <c r="F70" s="39"/>
      <c r="G70" s="10"/>
      <c r="H70" s="10"/>
      <c r="I70" s="39"/>
      <c r="J70" s="39"/>
      <c r="K70" s="39"/>
      <c r="L70" s="10"/>
      <c r="M70" s="10"/>
      <c r="O70" s="2"/>
    </row>
    <row r="71" spans="1:24" x14ac:dyDescent="0.25">
      <c r="A71" s="10"/>
      <c r="B71" s="10"/>
      <c r="C71" s="10"/>
      <c r="D71" s="39"/>
      <c r="E71" s="39"/>
      <c r="F71" s="39"/>
      <c r="G71" s="10"/>
      <c r="H71" s="10"/>
      <c r="I71" s="39"/>
      <c r="J71" s="39"/>
      <c r="K71" s="39"/>
      <c r="L71" s="10"/>
      <c r="M71" s="10"/>
      <c r="O71" s="2"/>
    </row>
    <row r="72" spans="1:24" x14ac:dyDescent="0.25">
      <c r="A72" s="10"/>
      <c r="B72" s="10"/>
      <c r="C72" s="10"/>
      <c r="D72" s="39"/>
      <c r="E72" s="39"/>
      <c r="F72" s="39"/>
      <c r="G72" s="10"/>
      <c r="H72" s="10"/>
      <c r="I72" s="39"/>
      <c r="J72" s="39"/>
      <c r="K72" s="39"/>
      <c r="L72" s="10"/>
      <c r="M72" s="10"/>
      <c r="O72" s="2"/>
    </row>
    <row r="73" spans="1:24" x14ac:dyDescent="0.25">
      <c r="A73" s="10"/>
      <c r="B73" s="10"/>
      <c r="C73" s="10"/>
      <c r="D73" s="39"/>
      <c r="E73" s="39"/>
      <c r="F73" s="39"/>
      <c r="G73" s="10"/>
      <c r="H73" s="10"/>
      <c r="I73" s="39"/>
      <c r="J73" s="39"/>
      <c r="K73" s="39"/>
      <c r="L73" s="10"/>
      <c r="M73" s="10"/>
      <c r="O73" s="2"/>
    </row>
    <row r="74" spans="1:24" x14ac:dyDescent="0.25">
      <c r="A74" s="10"/>
      <c r="B74" s="10"/>
      <c r="C74" s="10"/>
      <c r="D74" s="39"/>
      <c r="E74" s="39"/>
      <c r="F74" s="39"/>
      <c r="G74" s="10"/>
      <c r="H74" s="10"/>
      <c r="I74" s="39"/>
      <c r="J74" s="39"/>
      <c r="K74" s="39"/>
      <c r="L74" s="10"/>
      <c r="M74" s="10"/>
      <c r="O74" s="2"/>
    </row>
    <row r="75" spans="1:24" x14ac:dyDescent="0.25">
      <c r="A75" s="10"/>
      <c r="B75" s="10"/>
      <c r="C75" s="10"/>
      <c r="D75" s="39"/>
      <c r="E75" s="39"/>
      <c r="F75" s="39"/>
      <c r="G75" s="10"/>
      <c r="H75" s="10"/>
      <c r="I75" s="39"/>
      <c r="J75" s="39"/>
      <c r="K75" s="39"/>
      <c r="L75" s="10"/>
      <c r="M75" s="10"/>
      <c r="O75" s="2"/>
    </row>
    <row r="76" spans="1:24" x14ac:dyDescent="0.25">
      <c r="A76" s="10"/>
      <c r="B76" s="10"/>
      <c r="C76" s="10"/>
      <c r="D76" s="39"/>
      <c r="E76" s="39"/>
      <c r="F76" s="39"/>
      <c r="G76" s="10"/>
      <c r="H76" s="10"/>
      <c r="I76" s="39"/>
      <c r="J76" s="39"/>
      <c r="K76" s="39"/>
      <c r="L76" s="10"/>
      <c r="M76" s="10"/>
      <c r="O76" s="2"/>
    </row>
    <row r="77" spans="1:24" x14ac:dyDescent="0.25">
      <c r="O77" s="2"/>
    </row>
    <row r="78" spans="1:24" x14ac:dyDescent="0.25">
      <c r="O78" s="2"/>
    </row>
    <row r="79" spans="1:24" x14ac:dyDescent="0.25">
      <c r="L79" t="s">
        <v>65</v>
      </c>
      <c r="M79" s="39">
        <f>M120+K120-F120</f>
        <v>1604.5800000000017</v>
      </c>
      <c r="O79" s="2"/>
    </row>
    <row r="80" spans="1:24" x14ac:dyDescent="0.25">
      <c r="A80" s="195" t="s">
        <v>1</v>
      </c>
      <c r="B80" s="195" t="s">
        <v>2</v>
      </c>
      <c r="C80" s="195" t="s">
        <v>4</v>
      </c>
      <c r="D80" s="196" t="s">
        <v>5</v>
      </c>
      <c r="E80" s="196" t="s">
        <v>90</v>
      </c>
      <c r="F80" s="196" t="s">
        <v>60</v>
      </c>
      <c r="G80" s="195" t="s">
        <v>3</v>
      </c>
      <c r="H80" s="195" t="s">
        <v>6</v>
      </c>
      <c r="I80" s="196" t="s">
        <v>7</v>
      </c>
      <c r="J80" s="196" t="s">
        <v>89</v>
      </c>
      <c r="K80" s="196" t="s">
        <v>61</v>
      </c>
      <c r="L80" s="195" t="s">
        <v>77</v>
      </c>
      <c r="M80" s="195" t="s">
        <v>38</v>
      </c>
      <c r="O80" s="2"/>
    </row>
    <row r="81" spans="1:13" x14ac:dyDescent="0.25">
      <c r="A81" s="197" t="s">
        <v>170</v>
      </c>
      <c r="B81" s="198">
        <v>42376</v>
      </c>
      <c r="C81" s="193">
        <v>40</v>
      </c>
      <c r="D81" s="194">
        <v>50.5</v>
      </c>
      <c r="E81" s="194">
        <v>0</v>
      </c>
      <c r="F81" s="194">
        <f t="shared" ref="F81:F89" si="38">C81*D81+E81</f>
        <v>2020</v>
      </c>
      <c r="G81" s="193"/>
      <c r="H81" s="193"/>
      <c r="I81" s="194"/>
      <c r="J81" s="194"/>
      <c r="K81" s="194"/>
      <c r="L81" s="198">
        <v>42430</v>
      </c>
      <c r="M81" s="194">
        <v>15</v>
      </c>
    </row>
    <row r="82" spans="1:13" x14ac:dyDescent="0.25">
      <c r="A82" s="200" t="s">
        <v>71</v>
      </c>
      <c r="B82" s="198">
        <v>42466</v>
      </c>
      <c r="C82" s="193">
        <v>40</v>
      </c>
      <c r="D82" s="194">
        <v>47.38</v>
      </c>
      <c r="E82" s="194">
        <v>0</v>
      </c>
      <c r="F82" s="194">
        <f t="shared" si="38"/>
        <v>1895.2</v>
      </c>
      <c r="G82" s="198">
        <v>42473</v>
      </c>
      <c r="H82" s="199">
        <v>40</v>
      </c>
      <c r="I82" s="194">
        <v>48.91</v>
      </c>
      <c r="J82" s="194">
        <v>0.04</v>
      </c>
      <c r="K82" s="194">
        <f t="shared" ref="K82:K88" si="39">I82*H82-J82</f>
        <v>1956.36</v>
      </c>
      <c r="L82" s="198">
        <v>42522</v>
      </c>
      <c r="M82" s="194">
        <v>30.4</v>
      </c>
    </row>
    <row r="83" spans="1:13" x14ac:dyDescent="0.25">
      <c r="A83" s="193"/>
      <c r="B83" s="198">
        <v>42474</v>
      </c>
      <c r="C83" s="193">
        <v>40</v>
      </c>
      <c r="D83" s="194">
        <v>48.55</v>
      </c>
      <c r="E83" s="194">
        <v>0</v>
      </c>
      <c r="F83" s="194">
        <f t="shared" si="38"/>
        <v>1942</v>
      </c>
      <c r="G83" s="198">
        <v>42487</v>
      </c>
      <c r="H83" s="199">
        <v>40</v>
      </c>
      <c r="I83" s="194">
        <v>50.97</v>
      </c>
      <c r="J83" s="194">
        <v>0.04</v>
      </c>
      <c r="K83" s="194">
        <f t="shared" si="39"/>
        <v>2038.76</v>
      </c>
      <c r="L83" s="198">
        <v>42614</v>
      </c>
      <c r="M83" s="194">
        <v>41.8</v>
      </c>
    </row>
    <row r="84" spans="1:13" x14ac:dyDescent="0.25">
      <c r="A84" s="193"/>
      <c r="B84" s="198">
        <v>42489</v>
      </c>
      <c r="C84" s="193">
        <v>40</v>
      </c>
      <c r="D84" s="194">
        <v>50.01</v>
      </c>
      <c r="E84" s="194">
        <v>0</v>
      </c>
      <c r="F84" s="194">
        <f t="shared" si="38"/>
        <v>2000.3999999999999</v>
      </c>
      <c r="G84" s="198">
        <v>42514</v>
      </c>
      <c r="H84" s="321">
        <v>40</v>
      </c>
      <c r="I84" s="285">
        <v>49.29</v>
      </c>
      <c r="J84" s="285">
        <v>0.04</v>
      </c>
      <c r="K84" s="285">
        <f t="shared" si="39"/>
        <v>1971.56</v>
      </c>
      <c r="L84" s="193"/>
      <c r="M84" s="193"/>
    </row>
    <row r="85" spans="1:13" x14ac:dyDescent="0.25">
      <c r="A85" s="193"/>
      <c r="B85" s="198">
        <v>42503</v>
      </c>
      <c r="C85" s="193">
        <v>10</v>
      </c>
      <c r="D85" s="194">
        <v>48.2</v>
      </c>
      <c r="E85" s="194">
        <v>0</v>
      </c>
      <c r="F85" s="194">
        <f t="shared" si="38"/>
        <v>482</v>
      </c>
      <c r="G85" s="198">
        <v>42517</v>
      </c>
      <c r="H85" s="199">
        <v>20</v>
      </c>
      <c r="I85" s="194">
        <v>50.72</v>
      </c>
      <c r="J85" s="194">
        <v>0.02</v>
      </c>
      <c r="K85" s="285">
        <f t="shared" si="39"/>
        <v>1014.38</v>
      </c>
      <c r="L85" s="193"/>
      <c r="M85" s="193"/>
    </row>
    <row r="86" spans="1:13" x14ac:dyDescent="0.25">
      <c r="A86" s="193"/>
      <c r="B86" s="198">
        <v>42503</v>
      </c>
      <c r="C86" s="193">
        <v>20</v>
      </c>
      <c r="D86" s="194">
        <v>48.2</v>
      </c>
      <c r="E86" s="194">
        <v>0</v>
      </c>
      <c r="F86" s="194">
        <f t="shared" si="38"/>
        <v>964</v>
      </c>
      <c r="G86" s="198">
        <v>42527</v>
      </c>
      <c r="H86" s="199">
        <v>30</v>
      </c>
      <c r="I86" s="194">
        <v>50.59</v>
      </c>
      <c r="J86" s="194">
        <v>0.03</v>
      </c>
      <c r="K86" s="285">
        <f t="shared" si="39"/>
        <v>1517.67</v>
      </c>
      <c r="L86" s="193"/>
      <c r="M86" s="193"/>
    </row>
    <row r="87" spans="1:13" x14ac:dyDescent="0.25">
      <c r="A87" s="193"/>
      <c r="B87" s="198">
        <v>42524</v>
      </c>
      <c r="C87" s="193">
        <v>30</v>
      </c>
      <c r="D87" s="194">
        <v>50.01</v>
      </c>
      <c r="E87" s="194">
        <v>0</v>
      </c>
      <c r="F87" s="194">
        <f t="shared" si="38"/>
        <v>1500.3</v>
      </c>
      <c r="G87" s="198">
        <v>42587</v>
      </c>
      <c r="H87" s="199">
        <v>30</v>
      </c>
      <c r="I87" s="194">
        <v>48.68</v>
      </c>
      <c r="J87" s="194">
        <v>0.03</v>
      </c>
      <c r="K87" s="194">
        <f t="shared" si="39"/>
        <v>1460.3700000000001</v>
      </c>
      <c r="L87" s="193"/>
      <c r="M87" s="193"/>
    </row>
    <row r="88" spans="1:13" x14ac:dyDescent="0.25">
      <c r="A88" s="193"/>
      <c r="B88" s="198">
        <v>42531</v>
      </c>
      <c r="C88" s="193">
        <v>30</v>
      </c>
      <c r="D88" s="194">
        <v>48.51</v>
      </c>
      <c r="E88" s="194">
        <v>0</v>
      </c>
      <c r="F88" s="194">
        <f t="shared" si="38"/>
        <v>1455.3</v>
      </c>
      <c r="G88" s="198">
        <v>42611</v>
      </c>
      <c r="H88" s="199">
        <v>80</v>
      </c>
      <c r="I88" s="194">
        <v>49.71</v>
      </c>
      <c r="J88" s="194">
        <v>0.09</v>
      </c>
      <c r="K88" s="194">
        <f t="shared" si="39"/>
        <v>3976.71</v>
      </c>
      <c r="L88" s="193"/>
      <c r="M88" s="193"/>
    </row>
    <row r="89" spans="1:13" x14ac:dyDescent="0.25">
      <c r="A89" s="193"/>
      <c r="B89" s="198">
        <v>42566</v>
      </c>
      <c r="C89" s="193">
        <v>30</v>
      </c>
      <c r="D89" s="194">
        <v>47.58</v>
      </c>
      <c r="E89" s="194">
        <v>0</v>
      </c>
      <c r="F89" s="194">
        <f t="shared" si="38"/>
        <v>1427.3999999999999</v>
      </c>
      <c r="G89" s="193"/>
      <c r="H89" s="193"/>
      <c r="I89" s="194"/>
      <c r="J89" s="194"/>
      <c r="K89" s="194"/>
      <c r="L89" s="193"/>
      <c r="M89" s="193"/>
    </row>
    <row r="90" spans="1:13" x14ac:dyDescent="0.25">
      <c r="A90" s="193"/>
      <c r="B90" s="198">
        <v>42627</v>
      </c>
      <c r="C90" s="193">
        <v>40</v>
      </c>
      <c r="D90" s="194">
        <v>46.47</v>
      </c>
      <c r="E90" s="194">
        <v>0</v>
      </c>
      <c r="F90" s="194">
        <f>D90*C90+E90</f>
        <v>1858.8</v>
      </c>
      <c r="G90" s="198">
        <v>42670</v>
      </c>
      <c r="H90" s="199">
        <v>40</v>
      </c>
      <c r="I90" s="194">
        <v>46.48</v>
      </c>
      <c r="J90" s="194">
        <v>0.04</v>
      </c>
      <c r="K90" s="194">
        <f>I90*H90-J90</f>
        <v>1859.1599999999999</v>
      </c>
      <c r="L90" s="198">
        <v>42705</v>
      </c>
      <c r="M90" s="194">
        <v>15.2</v>
      </c>
    </row>
    <row r="91" spans="1:13" x14ac:dyDescent="0.25">
      <c r="A91" s="193"/>
      <c r="B91" s="198">
        <v>42639</v>
      </c>
      <c r="C91" s="193">
        <v>40</v>
      </c>
      <c r="D91" s="194">
        <v>44.8</v>
      </c>
      <c r="E91" s="194">
        <v>0</v>
      </c>
      <c r="F91" s="194">
        <f>D91*C91+E91</f>
        <v>1792</v>
      </c>
      <c r="G91" s="198">
        <v>42683</v>
      </c>
      <c r="H91" s="199">
        <v>40</v>
      </c>
      <c r="I91" s="194">
        <v>46.58</v>
      </c>
      <c r="J91" s="194">
        <v>0.04</v>
      </c>
      <c r="K91" s="194">
        <f>I91*H91-J91</f>
        <v>1863.1599999999999</v>
      </c>
      <c r="L91" s="198"/>
      <c r="M91" s="194"/>
    </row>
    <row r="92" spans="1:13" x14ac:dyDescent="0.25">
      <c r="A92" s="193"/>
      <c r="B92" s="198">
        <v>42678</v>
      </c>
      <c r="C92" s="193">
        <v>40</v>
      </c>
      <c r="D92" s="194">
        <v>44.95</v>
      </c>
      <c r="E92" s="194">
        <v>0</v>
      </c>
      <c r="F92" s="194">
        <f>D92*C92+E92</f>
        <v>1798</v>
      </c>
      <c r="G92" s="198">
        <v>42710</v>
      </c>
      <c r="H92" s="199">
        <v>40</v>
      </c>
      <c r="I92" s="194">
        <v>55.08</v>
      </c>
      <c r="J92" s="194">
        <v>0.05</v>
      </c>
      <c r="K92" s="194">
        <f>I92*H92-J92</f>
        <v>2203.1499999999996</v>
      </c>
      <c r="L92" s="198"/>
      <c r="M92" s="193"/>
    </row>
    <row r="93" spans="1:13" x14ac:dyDescent="0.25">
      <c r="A93" s="193"/>
      <c r="B93" s="198"/>
      <c r="C93" s="193"/>
      <c r="D93" s="194"/>
      <c r="E93" s="194"/>
      <c r="F93" s="194"/>
      <c r="G93" s="198"/>
      <c r="H93" s="321"/>
      <c r="I93" s="285"/>
      <c r="J93" s="285"/>
      <c r="K93" s="285"/>
      <c r="L93" s="193"/>
      <c r="M93" s="193"/>
    </row>
    <row r="94" spans="1:13" x14ac:dyDescent="0.25">
      <c r="A94" s="193"/>
      <c r="B94" s="360">
        <v>42718</v>
      </c>
      <c r="C94" s="7">
        <v>40</v>
      </c>
      <c r="D94" s="43">
        <v>54.28</v>
      </c>
      <c r="E94" s="43">
        <v>0</v>
      </c>
      <c r="F94" s="43">
        <f>C94*D94+E94</f>
        <v>2171.1999999999998</v>
      </c>
      <c r="G94" s="360">
        <v>42759</v>
      </c>
      <c r="H94" s="77">
        <v>40</v>
      </c>
      <c r="I94" s="43">
        <v>54.92</v>
      </c>
      <c r="J94" s="43">
        <v>0.05</v>
      </c>
      <c r="K94" s="43">
        <f>H94*I94-J94</f>
        <v>2196.75</v>
      </c>
      <c r="L94" s="193"/>
      <c r="M94" s="193"/>
    </row>
    <row r="95" spans="1:13" x14ac:dyDescent="0.25">
      <c r="A95" s="193"/>
      <c r="B95" s="360">
        <v>42733</v>
      </c>
      <c r="C95" s="7">
        <v>40</v>
      </c>
      <c r="D95" s="43">
        <v>54.58</v>
      </c>
      <c r="E95" s="43">
        <v>0</v>
      </c>
      <c r="F95" s="43">
        <f>C95*D95+E95</f>
        <v>2183.1999999999998</v>
      </c>
      <c r="G95" s="485">
        <v>42767</v>
      </c>
      <c r="H95" s="77">
        <v>40</v>
      </c>
      <c r="I95" s="43">
        <v>57.05</v>
      </c>
      <c r="J95" s="43">
        <v>0.05</v>
      </c>
      <c r="K95" s="43">
        <f>H95*I95-J95</f>
        <v>2281.9499999999998</v>
      </c>
      <c r="L95" s="193"/>
      <c r="M95" s="193"/>
    </row>
    <row r="96" spans="1:13" x14ac:dyDescent="0.25">
      <c r="A96" s="193"/>
      <c r="B96" s="360">
        <v>42740</v>
      </c>
      <c r="C96" s="7">
        <v>40</v>
      </c>
      <c r="D96" s="43">
        <v>54.9</v>
      </c>
      <c r="E96" s="43">
        <v>0</v>
      </c>
      <c r="F96" s="43">
        <f>C96*D96+E96</f>
        <v>2196</v>
      </c>
      <c r="G96" s="360">
        <v>42781</v>
      </c>
      <c r="H96" s="77">
        <v>40</v>
      </c>
      <c r="I96" s="43">
        <v>58.48</v>
      </c>
      <c r="J96" s="43">
        <v>0.05</v>
      </c>
      <c r="K96" s="43">
        <f>H96*I96-J96</f>
        <v>2339.1499999999996</v>
      </c>
      <c r="L96" s="193"/>
      <c r="M96" s="193"/>
    </row>
    <row r="97" spans="1:13" x14ac:dyDescent="0.25">
      <c r="A97" s="193"/>
      <c r="B97" s="198"/>
      <c r="C97" s="193"/>
      <c r="D97" s="194"/>
      <c r="E97" s="194"/>
      <c r="F97" s="194"/>
      <c r="G97" s="198"/>
      <c r="H97" s="199"/>
      <c r="I97" s="194"/>
      <c r="J97" s="194"/>
      <c r="K97" s="285"/>
      <c r="L97" s="193"/>
      <c r="M97" s="193"/>
    </row>
    <row r="98" spans="1:13" x14ac:dyDescent="0.25">
      <c r="A98" s="193"/>
      <c r="B98" s="360">
        <v>42767</v>
      </c>
      <c r="C98" s="7">
        <v>40</v>
      </c>
      <c r="D98" s="43">
        <v>56.68</v>
      </c>
      <c r="E98" s="43">
        <v>0</v>
      </c>
      <c r="F98" s="43">
        <f>C98*D98+E98</f>
        <v>2267.1999999999998</v>
      </c>
      <c r="G98" s="360">
        <v>42803</v>
      </c>
      <c r="H98" s="7">
        <v>40</v>
      </c>
      <c r="I98" s="43">
        <v>58.65</v>
      </c>
      <c r="J98" s="43">
        <v>0.05</v>
      </c>
      <c r="K98" s="43">
        <f>H98*I98-J98</f>
        <v>2345.9499999999998</v>
      </c>
      <c r="L98" s="69">
        <v>42795</v>
      </c>
      <c r="M98" s="43">
        <v>30.4</v>
      </c>
    </row>
    <row r="99" spans="1:13" x14ac:dyDescent="0.25">
      <c r="A99" s="193"/>
      <c r="B99" s="198"/>
      <c r="C99" s="193"/>
      <c r="D99" s="194"/>
      <c r="E99" s="194"/>
      <c r="F99" s="194"/>
      <c r="G99" s="198"/>
      <c r="H99" s="199"/>
      <c r="I99" s="194"/>
      <c r="J99" s="194"/>
      <c r="K99" s="285"/>
      <c r="L99" s="193"/>
      <c r="M99" s="193"/>
    </row>
    <row r="100" spans="1:13" x14ac:dyDescent="0.25">
      <c r="A100" s="193"/>
      <c r="B100" s="360">
        <v>42782</v>
      </c>
      <c r="C100" s="7">
        <v>40</v>
      </c>
      <c r="D100" s="43">
        <v>57.85</v>
      </c>
      <c r="E100" s="43">
        <v>0</v>
      </c>
      <c r="F100" s="43">
        <f t="shared" ref="F100:F105" si="40">C100*D100+E100</f>
        <v>2314</v>
      </c>
      <c r="G100" s="360">
        <v>42915</v>
      </c>
      <c r="H100" s="7">
        <v>80</v>
      </c>
      <c r="I100" s="43">
        <v>55.8</v>
      </c>
      <c r="J100" s="43">
        <v>0.1</v>
      </c>
      <c r="K100" s="43">
        <f>H100*I100-J100</f>
        <v>4463.8999999999996</v>
      </c>
      <c r="L100" s="69">
        <v>42888</v>
      </c>
      <c r="M100" s="43">
        <v>45.6</v>
      </c>
    </row>
    <row r="101" spans="1:13" x14ac:dyDescent="0.25">
      <c r="A101" s="193"/>
      <c r="B101" s="360">
        <v>42815</v>
      </c>
      <c r="C101" s="7">
        <v>40</v>
      </c>
      <c r="D101" s="43">
        <v>57.28</v>
      </c>
      <c r="E101" s="43">
        <v>0</v>
      </c>
      <c r="F101" s="43">
        <f t="shared" si="40"/>
        <v>2291.1999999999998</v>
      </c>
      <c r="G101" s="360">
        <v>42997</v>
      </c>
      <c r="H101" s="77">
        <v>80</v>
      </c>
      <c r="I101" s="43">
        <v>53.18</v>
      </c>
      <c r="J101" s="43">
        <v>0.1</v>
      </c>
      <c r="K101" s="43">
        <f>H101*I101-J101</f>
        <v>4254.2999999999993</v>
      </c>
      <c r="L101" s="1">
        <v>42979</v>
      </c>
      <c r="M101" s="43">
        <v>62.4</v>
      </c>
    </row>
    <row r="102" spans="1:13" x14ac:dyDescent="0.25">
      <c r="A102" s="193"/>
      <c r="B102" s="360">
        <v>42836</v>
      </c>
      <c r="C102" s="7">
        <v>40</v>
      </c>
      <c r="D102" s="43">
        <v>53.6</v>
      </c>
      <c r="E102" s="43">
        <v>0</v>
      </c>
      <c r="F102" s="43">
        <f t="shared" si="40"/>
        <v>2144</v>
      </c>
      <c r="G102" s="360">
        <v>43005</v>
      </c>
      <c r="H102" s="77">
        <v>40</v>
      </c>
      <c r="I102" s="43">
        <v>54.42</v>
      </c>
      <c r="J102" s="43">
        <v>0.05</v>
      </c>
      <c r="K102" s="43">
        <f>H102*I102-J102</f>
        <v>2176.75</v>
      </c>
      <c r="L102" s="69"/>
      <c r="M102" s="4"/>
    </row>
    <row r="103" spans="1:13" x14ac:dyDescent="0.25">
      <c r="A103" s="193"/>
      <c r="B103" s="360">
        <v>42886</v>
      </c>
      <c r="C103" s="7">
        <v>80</v>
      </c>
      <c r="D103" s="43">
        <v>50.88</v>
      </c>
      <c r="E103" s="43">
        <v>0</v>
      </c>
      <c r="F103" s="43">
        <f t="shared" si="40"/>
        <v>4070.4</v>
      </c>
      <c r="G103" s="360">
        <v>43006</v>
      </c>
      <c r="H103" s="638">
        <v>40</v>
      </c>
      <c r="I103" s="45">
        <v>54.3</v>
      </c>
      <c r="J103" s="45">
        <v>0.05</v>
      </c>
      <c r="K103" s="43">
        <f>H103*I103-J103</f>
        <v>2171.9499999999998</v>
      </c>
      <c r="L103" s="4"/>
      <c r="M103" s="4"/>
    </row>
    <row r="104" spans="1:13" x14ac:dyDescent="0.25">
      <c r="A104" s="193"/>
      <c r="B104" s="360">
        <v>42944</v>
      </c>
      <c r="C104" s="7">
        <v>40</v>
      </c>
      <c r="D104" s="43">
        <v>53.37</v>
      </c>
      <c r="E104" s="43">
        <v>-0.1</v>
      </c>
      <c r="F104" s="43">
        <f t="shared" si="40"/>
        <v>2134.6999999999998</v>
      </c>
      <c r="G104" s="360">
        <v>43007</v>
      </c>
      <c r="H104" s="77">
        <v>80</v>
      </c>
      <c r="I104" s="43">
        <v>54.85</v>
      </c>
      <c r="J104" s="43">
        <v>0.1</v>
      </c>
      <c r="K104" s="45">
        <f>H104*I104-J104</f>
        <v>4387.8999999999996</v>
      </c>
      <c r="L104" s="4"/>
      <c r="M104" s="4"/>
    </row>
    <row r="105" spans="1:13" x14ac:dyDescent="0.25">
      <c r="A105" s="193"/>
      <c r="B105" s="360">
        <v>42951</v>
      </c>
      <c r="C105" s="7">
        <v>80</v>
      </c>
      <c r="D105" s="43">
        <v>52.61</v>
      </c>
      <c r="E105" s="43">
        <v>0</v>
      </c>
      <c r="F105" s="43">
        <f t="shared" si="40"/>
        <v>4208.8</v>
      </c>
      <c r="G105" s="69"/>
      <c r="H105" s="158"/>
      <c r="I105" s="3"/>
      <c r="J105" s="3"/>
      <c r="K105" s="70"/>
      <c r="L105" s="4"/>
      <c r="M105" s="4"/>
    </row>
    <row r="106" spans="1:13" x14ac:dyDescent="0.25">
      <c r="A106" s="193"/>
      <c r="B106" s="198"/>
      <c r="C106" s="193"/>
      <c r="D106" s="194"/>
      <c r="E106" s="194"/>
      <c r="F106" s="194"/>
      <c r="G106" s="198"/>
      <c r="H106" s="199"/>
      <c r="I106" s="194"/>
      <c r="J106" s="194"/>
      <c r="K106" s="285"/>
      <c r="L106" s="193"/>
      <c r="M106" s="193"/>
    </row>
    <row r="107" spans="1:13" x14ac:dyDescent="0.25">
      <c r="A107" s="193"/>
      <c r="B107" s="198"/>
      <c r="C107" s="193"/>
      <c r="D107" s="194"/>
      <c r="E107" s="194"/>
      <c r="F107" s="194"/>
      <c r="G107" s="198"/>
      <c r="H107" s="199"/>
      <c r="I107" s="194"/>
      <c r="J107" s="194"/>
      <c r="K107" s="285"/>
      <c r="L107" s="193"/>
      <c r="M107" s="193"/>
    </row>
    <row r="108" spans="1:13" x14ac:dyDescent="0.25">
      <c r="A108" s="193"/>
      <c r="B108" s="198"/>
      <c r="C108" s="193"/>
      <c r="D108" s="194"/>
      <c r="E108" s="194"/>
      <c r="F108" s="194"/>
      <c r="G108" s="198"/>
      <c r="H108" s="199"/>
      <c r="I108" s="194"/>
      <c r="J108" s="194"/>
      <c r="K108" s="285"/>
      <c r="L108" s="193"/>
      <c r="M108" s="193"/>
    </row>
    <row r="109" spans="1:13" x14ac:dyDescent="0.25">
      <c r="A109" s="193"/>
      <c r="B109" s="198"/>
      <c r="C109" s="193"/>
      <c r="D109" s="194"/>
      <c r="E109" s="194"/>
      <c r="F109" s="194"/>
      <c r="G109" s="198"/>
      <c r="H109" s="199"/>
      <c r="I109" s="194"/>
      <c r="J109" s="194"/>
      <c r="K109" s="285"/>
      <c r="L109" s="193"/>
      <c r="M109" s="193"/>
    </row>
    <row r="110" spans="1:13" x14ac:dyDescent="0.25">
      <c r="A110" s="193"/>
      <c r="B110" s="198"/>
      <c r="C110" s="193"/>
      <c r="D110" s="194"/>
      <c r="E110" s="194"/>
      <c r="F110" s="194"/>
      <c r="G110" s="198"/>
      <c r="H110" s="199"/>
      <c r="I110" s="194"/>
      <c r="J110" s="194"/>
      <c r="K110" s="285"/>
      <c r="L110" s="193"/>
      <c r="M110" s="193"/>
    </row>
    <row r="111" spans="1:13" x14ac:dyDescent="0.25">
      <c r="A111" s="193"/>
      <c r="B111" s="198"/>
      <c r="C111" s="193"/>
      <c r="D111" s="194"/>
      <c r="E111" s="194"/>
      <c r="F111" s="194"/>
      <c r="G111" s="198"/>
      <c r="H111" s="199"/>
      <c r="I111" s="194"/>
      <c r="J111" s="194"/>
      <c r="K111" s="285"/>
      <c r="L111" s="193"/>
      <c r="M111" s="193"/>
    </row>
    <row r="112" spans="1:13" x14ac:dyDescent="0.25">
      <c r="A112" s="193"/>
      <c r="B112" s="198"/>
      <c r="C112" s="193"/>
      <c r="D112" s="194"/>
      <c r="E112" s="194"/>
      <c r="F112" s="194"/>
      <c r="G112" s="198"/>
      <c r="H112" s="199"/>
      <c r="I112" s="194"/>
      <c r="J112" s="194"/>
      <c r="K112" s="285"/>
      <c r="L112" s="193"/>
      <c r="M112" s="193"/>
    </row>
    <row r="113" spans="1:13" x14ac:dyDescent="0.25">
      <c r="A113" s="193"/>
      <c r="B113" s="198"/>
      <c r="C113" s="193"/>
      <c r="D113" s="194"/>
      <c r="E113" s="194"/>
      <c r="F113" s="194"/>
      <c r="G113" s="198"/>
      <c r="H113" s="199"/>
      <c r="I113" s="194"/>
      <c r="J113" s="194"/>
      <c r="K113" s="285"/>
      <c r="L113" s="193"/>
      <c r="M113" s="193"/>
    </row>
    <row r="114" spans="1:13" x14ac:dyDescent="0.25">
      <c r="A114" s="193"/>
      <c r="B114" s="198"/>
      <c r="C114" s="193"/>
      <c r="D114" s="194"/>
      <c r="E114" s="194"/>
      <c r="F114" s="194"/>
      <c r="G114" s="198"/>
      <c r="H114" s="199"/>
      <c r="I114" s="194"/>
      <c r="J114" s="194"/>
      <c r="K114" s="285"/>
      <c r="L114" s="193"/>
      <c r="M114" s="193"/>
    </row>
    <row r="115" spans="1:13" x14ac:dyDescent="0.25">
      <c r="A115" s="193"/>
      <c r="B115" s="198"/>
      <c r="C115" s="193"/>
      <c r="D115" s="194"/>
      <c r="E115" s="194"/>
      <c r="F115" s="194"/>
      <c r="G115" s="198"/>
      <c r="H115" s="199"/>
      <c r="I115" s="194"/>
      <c r="J115" s="194"/>
      <c r="K115" s="285"/>
      <c r="L115" s="193"/>
      <c r="M115" s="193"/>
    </row>
    <row r="116" spans="1:13" x14ac:dyDescent="0.25">
      <c r="A116" s="193"/>
      <c r="B116" s="198"/>
      <c r="C116" s="193"/>
      <c r="D116" s="194"/>
      <c r="E116" s="194"/>
      <c r="F116" s="194"/>
      <c r="G116" s="198"/>
      <c r="H116" s="199"/>
      <c r="I116" s="194"/>
      <c r="J116" s="194"/>
      <c r="K116" s="285"/>
      <c r="L116" s="193"/>
      <c r="M116" s="193"/>
    </row>
    <row r="117" spans="1:13" x14ac:dyDescent="0.25">
      <c r="A117" s="193"/>
      <c r="B117" s="198"/>
      <c r="C117" s="193"/>
      <c r="D117" s="194"/>
      <c r="E117" s="194"/>
      <c r="F117" s="194"/>
      <c r="G117" s="198"/>
      <c r="H117" s="199"/>
      <c r="I117" s="194"/>
      <c r="J117" s="194"/>
      <c r="K117" s="285"/>
      <c r="L117" s="193"/>
      <c r="M117" s="193"/>
    </row>
    <row r="118" spans="1:13" x14ac:dyDescent="0.25">
      <c r="A118" s="193"/>
      <c r="B118" s="198"/>
      <c r="C118" s="193"/>
      <c r="D118" s="194"/>
      <c r="E118" s="194"/>
      <c r="F118" s="194"/>
      <c r="G118" s="198"/>
      <c r="H118" s="199"/>
      <c r="I118" s="194"/>
      <c r="J118" s="194"/>
      <c r="K118" s="285"/>
      <c r="L118" s="193"/>
      <c r="M118" s="193"/>
    </row>
    <row r="119" spans="1:13" x14ac:dyDescent="0.25">
      <c r="A119" s="193"/>
      <c r="B119" s="193"/>
      <c r="C119" s="193"/>
      <c r="D119" s="194"/>
      <c r="E119" s="194"/>
      <c r="F119" s="194"/>
      <c r="G119" s="193"/>
      <c r="H119" s="199"/>
      <c r="I119" s="194"/>
      <c r="J119" s="194"/>
      <c r="K119" s="194"/>
      <c r="L119" s="193"/>
      <c r="M119" s="193"/>
    </row>
    <row r="120" spans="1:13" x14ac:dyDescent="0.25">
      <c r="A120" s="31" t="s">
        <v>81</v>
      </c>
      <c r="B120" s="14"/>
      <c r="C120" s="14">
        <f>SUM(C81:C119)</f>
        <v>880</v>
      </c>
      <c r="D120" s="18"/>
      <c r="E120" s="18"/>
      <c r="F120" s="18">
        <f>SUM(F81:F119)</f>
        <v>45116.1</v>
      </c>
      <c r="G120" s="14"/>
      <c r="H120" s="68">
        <f>SUM(H82:H119)</f>
        <v>880</v>
      </c>
      <c r="I120" s="18"/>
      <c r="J120" s="18"/>
      <c r="K120" s="18">
        <f>SUM(K82:K119)</f>
        <v>46479.88</v>
      </c>
      <c r="L120" s="18"/>
      <c r="M120" s="18">
        <f>SUM(M81:M119)</f>
        <v>240.79999999999998</v>
      </c>
    </row>
    <row r="121" spans="1:13" ht="15.75" thickBot="1" x14ac:dyDescent="0.3">
      <c r="A121" s="365" t="s">
        <v>189</v>
      </c>
      <c r="B121" s="366"/>
      <c r="C121" s="367">
        <f>SumByColor($A$19,C81:C119)</f>
        <v>480</v>
      </c>
      <c r="D121" s="367"/>
      <c r="E121" s="367"/>
      <c r="F121" s="368">
        <f>SumByColor($A$19,F81:F119)</f>
        <v>25980</v>
      </c>
      <c r="G121" s="367"/>
      <c r="H121" s="367">
        <f>SumByColor($A$19,H81:H119)</f>
        <v>480</v>
      </c>
      <c r="I121" s="367"/>
      <c r="J121" s="367"/>
      <c r="K121" s="368">
        <f>SumByColor($A$19,K81:K119)</f>
        <v>26619</v>
      </c>
      <c r="L121" s="367"/>
      <c r="M121" s="368">
        <f>SumByColor($A$19,M81:M119)</f>
        <v>138</v>
      </c>
    </row>
  </sheetData>
  <conditionalFormatting sqref="P17:P37">
    <cfRule type="colorScale" priority="119">
      <colorScale>
        <cfvo type="min"/>
        <cfvo type="percentile" val="50"/>
        <cfvo type="max"/>
        <color rgb="FFF8696B"/>
        <color rgb="FFFFEB84"/>
        <color rgb="FF63BE7B"/>
      </colorScale>
    </cfRule>
  </conditionalFormatting>
  <conditionalFormatting sqref="Q17:Q37">
    <cfRule type="colorScale" priority="116">
      <colorScale>
        <cfvo type="min"/>
        <cfvo type="percentile" val="50"/>
        <cfvo type="max"/>
        <color rgb="FFF8696B"/>
        <color rgb="FFFFEB84"/>
        <color rgb="FF63BE7B"/>
      </colorScale>
    </cfRule>
  </conditionalFormatting>
  <conditionalFormatting sqref="R43:R60">
    <cfRule type="colorScale" priority="115">
      <colorScale>
        <cfvo type="min"/>
        <cfvo type="percentile" val="50"/>
        <cfvo type="max"/>
        <color rgb="FFF8696B"/>
        <color rgb="FFFFEB84"/>
        <color rgb="FF63BE7B"/>
      </colorScale>
    </cfRule>
  </conditionalFormatting>
  <conditionalFormatting sqref="X1:X69">
    <cfRule type="iconSet" priority="113">
      <iconSet iconSet="3Arrows">
        <cfvo type="percent" val="0"/>
        <cfvo type="num" val="0"/>
        <cfvo type="num" val="0"/>
      </iconSet>
    </cfRule>
  </conditionalFormatting>
  <conditionalFormatting sqref="Q8 J24:J58 J60:J61 J75:J76">
    <cfRule type="expression" dxfId="229" priority="87">
      <formula>J8&gt;0</formula>
    </cfRule>
    <cfRule type="expression" dxfId="228" priority="88">
      <formula>J8&lt;0</formula>
    </cfRule>
  </conditionalFormatting>
  <conditionalFormatting sqref="Q7">
    <cfRule type="expression" dxfId="227" priority="89">
      <formula>Q7&gt;0</formula>
    </cfRule>
    <cfRule type="expression" dxfId="226" priority="90">
      <formula>Q7&lt;0</formula>
    </cfRule>
  </conditionalFormatting>
  <conditionalFormatting sqref="M79">
    <cfRule type="expression" dxfId="225" priority="77">
      <formula>M79&gt;0</formula>
    </cfRule>
    <cfRule type="expression" dxfId="224" priority="78">
      <formula>M79&lt;0</formula>
    </cfRule>
  </conditionalFormatting>
  <conditionalFormatting sqref="M79">
    <cfRule type="expression" dxfId="223" priority="79">
      <formula>M79&gt;0</formula>
    </cfRule>
    <cfRule type="expression" dxfId="222" priority="80">
      <formula>M79&lt;0</formula>
    </cfRule>
  </conditionalFormatting>
  <conditionalFormatting sqref="F24:F58">
    <cfRule type="expression" dxfId="221" priority="65">
      <formula>F24&gt;0</formula>
    </cfRule>
    <cfRule type="expression" dxfId="220" priority="66">
      <formula>F24&lt;0</formula>
    </cfRule>
  </conditionalFormatting>
  <conditionalFormatting sqref="F24:F58">
    <cfRule type="expression" dxfId="219" priority="67">
      <formula>F24&gt;0</formula>
    </cfRule>
    <cfRule type="expression" dxfId="218" priority="68">
      <formula>F24&lt;0</formula>
    </cfRule>
  </conditionalFormatting>
  <conditionalFormatting sqref="H24:H58">
    <cfRule type="expression" dxfId="217" priority="63">
      <formula>H24&gt;0</formula>
    </cfRule>
    <cfRule type="expression" dxfId="216" priority="64">
      <formula>H24&lt;0</formula>
    </cfRule>
  </conditionalFormatting>
  <conditionalFormatting sqref="W1:W46">
    <cfRule type="dataBar" priority="858">
      <dataBar>
        <cfvo type="min"/>
        <cfvo type="max"/>
        <color rgb="FFFF555A"/>
      </dataBar>
      <extLst>
        <ext xmlns:x14="http://schemas.microsoft.com/office/spreadsheetml/2009/9/main" uri="{B025F937-C7B1-47D3-B67F-A62EFF666E3E}">
          <x14:id>{BFC2B1E1-6FF0-43A9-BB52-B4C286BD3B67}</x14:id>
        </ext>
      </extLst>
    </cfRule>
  </conditionalFormatting>
  <conditionalFormatting sqref="J59">
    <cfRule type="expression" dxfId="215" priority="17">
      <formula>J59&gt;0</formula>
    </cfRule>
    <cfRule type="expression" dxfId="214" priority="18">
      <formula>J59&lt;0</formula>
    </cfRule>
  </conditionalFormatting>
  <conditionalFormatting sqref="F59:F69">
    <cfRule type="expression" dxfId="213" priority="13">
      <formula>F59&gt;0</formula>
    </cfRule>
    <cfRule type="expression" dxfId="212" priority="14">
      <formula>F59&lt;0</formula>
    </cfRule>
  </conditionalFormatting>
  <conditionalFormatting sqref="F59:F69">
    <cfRule type="expression" dxfId="211" priority="15">
      <formula>F59&gt;0</formula>
    </cfRule>
    <cfRule type="expression" dxfId="210" priority="16">
      <formula>F59&lt;0</formula>
    </cfRule>
  </conditionalFormatting>
  <conditionalFormatting sqref="H59:H69">
    <cfRule type="expression" dxfId="209" priority="11">
      <formula>H59&gt;0</formula>
    </cfRule>
    <cfRule type="expression" dxfId="208" priority="12">
      <formula>H59&lt;0</formula>
    </cfRule>
  </conditionalFormatting>
  <conditionalFormatting sqref="J62:J68">
    <cfRule type="expression" dxfId="207" priority="9">
      <formula>J62&gt;0</formula>
    </cfRule>
    <cfRule type="expression" dxfId="206" priority="10">
      <formula>J62&lt;0</formula>
    </cfRule>
  </conditionalFormatting>
  <conditionalFormatting sqref="J73:J74">
    <cfRule type="expression" dxfId="205" priority="5">
      <formula>J73&gt;0</formula>
    </cfRule>
    <cfRule type="expression" dxfId="204" priority="6">
      <formula>J73&lt;0</formula>
    </cfRule>
  </conditionalFormatting>
  <conditionalFormatting sqref="J71:J72">
    <cfRule type="expression" dxfId="203" priority="3">
      <formula>J71&gt;0</formula>
    </cfRule>
    <cfRule type="expression" dxfId="202" priority="4">
      <formula>J71&lt;0</formula>
    </cfRule>
  </conditionalFormatting>
  <conditionalFormatting sqref="J69:J70">
    <cfRule type="expression" dxfId="201" priority="1">
      <formula>J69&gt;0</formula>
    </cfRule>
    <cfRule type="expression" dxfId="200" priority="2">
      <formula>J69&lt;0</formula>
    </cfRule>
  </conditionalFormatting>
  <hyperlinks>
    <hyperlink ref="A3" location="ACTIVE!A1" display="Back"/>
    <hyperlink ref="A82"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BFC2B1E1-6FF0-43A9-BB52-B4C286BD3B67}">
            <x14:dataBar minLength="0" maxLength="100" border="1" negativeBarBorderColorSameAsPositive="0">
              <x14:cfvo type="autoMin"/>
              <x14:cfvo type="autoMax"/>
              <x14:borderColor rgb="FFFF555A"/>
              <x14:negativeFillColor rgb="FFFF0000"/>
              <x14:negativeBorderColor rgb="FFFF0000"/>
              <x14:axisColor rgb="FF000000"/>
            </x14:dataBar>
          </x14:cfRule>
          <xm:sqref>W1:W46</xm:sqref>
        </x14:conditionalFormatting>
      </x14:conditionalFormattings>
    </ext>
  </extLst>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4"/>
  <dimension ref="A1:U127"/>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3.140625" bestFit="1" customWidth="1"/>
    <col min="18" max="18" width="10.7109375" bestFit="1" customWidth="1"/>
    <col min="19" max="19" width="23.5703125" customWidth="1"/>
    <col min="20" max="20" width="13.7109375" customWidth="1"/>
    <col min="21" max="21" width="70.7109375" style="741"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79"/>
    </row>
    <row r="2" spans="1:21" x14ac:dyDescent="0.25">
      <c r="A2" s="6" t="s">
        <v>1190</v>
      </c>
      <c r="B2" s="360">
        <v>43325</v>
      </c>
      <c r="C2" s="4">
        <v>100</v>
      </c>
      <c r="D2" s="3">
        <v>54.48</v>
      </c>
      <c r="E2" s="3">
        <v>0</v>
      </c>
      <c r="F2" s="3">
        <f t="shared" ref="F2:F18" si="0">C2*D2+E2</f>
        <v>5448</v>
      </c>
      <c r="G2" s="360">
        <v>43427</v>
      </c>
      <c r="H2" s="77">
        <v>100</v>
      </c>
      <c r="I2" s="43">
        <v>45.45</v>
      </c>
      <c r="J2" s="43">
        <v>0.06</v>
      </c>
      <c r="K2" s="43">
        <f t="shared" ref="K2:K13" si="1">H2*I2-J2</f>
        <v>4544.9399999999996</v>
      </c>
      <c r="L2" s="69">
        <v>43423</v>
      </c>
      <c r="M2" s="43">
        <v>182</v>
      </c>
      <c r="O2" s="11" t="s">
        <v>57</v>
      </c>
      <c r="Q2">
        <f>C22-H22</f>
        <v>300</v>
      </c>
      <c r="T2" s="1" t="s">
        <v>1066</v>
      </c>
      <c r="U2" s="741" t="s">
        <v>1201</v>
      </c>
    </row>
    <row r="3" spans="1:21" x14ac:dyDescent="0.25">
      <c r="A3" s="22" t="s">
        <v>71</v>
      </c>
      <c r="B3" s="360">
        <v>43369</v>
      </c>
      <c r="C3" s="4">
        <v>100</v>
      </c>
      <c r="D3" s="3">
        <v>53.28</v>
      </c>
      <c r="E3" s="3">
        <v>0</v>
      </c>
      <c r="F3" s="3">
        <f t="shared" si="0"/>
        <v>5328</v>
      </c>
      <c r="G3" s="360">
        <v>43508</v>
      </c>
      <c r="H3" s="77">
        <v>100</v>
      </c>
      <c r="I3" s="43">
        <v>38.72</v>
      </c>
      <c r="J3" s="43">
        <v>0.05</v>
      </c>
      <c r="K3" s="43">
        <f t="shared" si="1"/>
        <v>3871.95</v>
      </c>
      <c r="L3" s="69">
        <v>43521</v>
      </c>
      <c r="M3" s="43">
        <v>227.5</v>
      </c>
      <c r="O3" s="11" t="s">
        <v>58</v>
      </c>
      <c r="Q3" s="75">
        <f>IF(Q2=0, Q4, (F22-K22-M22)/Q2)</f>
        <v>43.714833333333374</v>
      </c>
      <c r="T3" s="1" t="s">
        <v>1200</v>
      </c>
      <c r="U3" s="741">
        <v>17.05</v>
      </c>
    </row>
    <row r="4" spans="1:21" x14ac:dyDescent="0.25">
      <c r="B4" s="360">
        <v>43377</v>
      </c>
      <c r="C4" s="4">
        <v>50</v>
      </c>
      <c r="D4" s="3">
        <v>50.98</v>
      </c>
      <c r="E4" s="3">
        <v>0</v>
      </c>
      <c r="F4" s="3">
        <f t="shared" si="0"/>
        <v>2549</v>
      </c>
      <c r="G4" s="360">
        <v>43515</v>
      </c>
      <c r="H4" s="77">
        <v>100</v>
      </c>
      <c r="I4" s="43">
        <v>39.479999999999997</v>
      </c>
      <c r="J4" s="43">
        <v>0.05</v>
      </c>
      <c r="K4" s="43">
        <f t="shared" si="1"/>
        <v>3947.9499999999994</v>
      </c>
      <c r="L4" s="69">
        <v>43605</v>
      </c>
      <c r="M4" s="43">
        <v>136.5</v>
      </c>
      <c r="O4" s="11" t="s">
        <v>66</v>
      </c>
      <c r="Q4" s="53">
        <v>40.07</v>
      </c>
      <c r="R4" s="416">
        <v>-7.7000000000000002E-3</v>
      </c>
      <c r="T4" s="680"/>
      <c r="U4" s="755"/>
    </row>
    <row r="5" spans="1:21" x14ac:dyDescent="0.25">
      <c r="B5" s="360">
        <v>43381</v>
      </c>
      <c r="C5" s="4">
        <v>50</v>
      </c>
      <c r="D5" s="3">
        <v>49.38</v>
      </c>
      <c r="E5" s="3">
        <v>0</v>
      </c>
      <c r="F5" s="3">
        <f t="shared" si="0"/>
        <v>2469</v>
      </c>
      <c r="G5" s="360">
        <v>43516</v>
      </c>
      <c r="H5" s="77">
        <v>100</v>
      </c>
      <c r="I5" s="43">
        <v>40.44</v>
      </c>
      <c r="J5" s="43">
        <v>0.05</v>
      </c>
      <c r="K5" s="43">
        <f t="shared" si="1"/>
        <v>4043.95</v>
      </c>
      <c r="L5" s="69">
        <v>43697</v>
      </c>
      <c r="M5" s="43">
        <v>182</v>
      </c>
      <c r="O5" s="11" t="s">
        <v>67</v>
      </c>
      <c r="Q5" s="3">
        <f>Q4*Q2</f>
        <v>12021</v>
      </c>
      <c r="T5" s="1"/>
    </row>
    <row r="6" spans="1:21" x14ac:dyDescent="0.25">
      <c r="B6" s="360">
        <v>43383</v>
      </c>
      <c r="C6" s="7">
        <v>100</v>
      </c>
      <c r="D6" s="43">
        <v>44.2</v>
      </c>
      <c r="E6" s="43">
        <v>0</v>
      </c>
      <c r="F6" s="43">
        <f t="shared" si="0"/>
        <v>4420</v>
      </c>
      <c r="G6" s="360">
        <v>43529</v>
      </c>
      <c r="H6" s="77">
        <v>200</v>
      </c>
      <c r="I6" s="43">
        <v>38.68</v>
      </c>
      <c r="J6" s="43">
        <v>0.1</v>
      </c>
      <c r="K6" s="43">
        <f t="shared" si="1"/>
        <v>7735.9</v>
      </c>
      <c r="L6" s="69">
        <v>43802</v>
      </c>
      <c r="M6" s="43">
        <v>139.5</v>
      </c>
      <c r="O6" s="11" t="s">
        <v>64</v>
      </c>
      <c r="Q6" s="2">
        <f>Q3*Q2</f>
        <v>13114.450000000012</v>
      </c>
      <c r="T6" s="1">
        <v>43354</v>
      </c>
      <c r="U6" s="741" t="s">
        <v>1198</v>
      </c>
    </row>
    <row r="7" spans="1:21" x14ac:dyDescent="0.25">
      <c r="B7" s="360">
        <v>43497</v>
      </c>
      <c r="C7" s="7">
        <v>100</v>
      </c>
      <c r="D7" s="43">
        <v>39.68</v>
      </c>
      <c r="E7" s="43">
        <v>0</v>
      </c>
      <c r="F7" s="43">
        <f t="shared" si="0"/>
        <v>3968</v>
      </c>
      <c r="G7" s="360">
        <v>43556</v>
      </c>
      <c r="H7" s="77">
        <v>200</v>
      </c>
      <c r="I7" s="43">
        <v>39.58</v>
      </c>
      <c r="J7" s="43">
        <v>0.1</v>
      </c>
      <c r="K7" s="43">
        <f t="shared" si="1"/>
        <v>7915.9</v>
      </c>
      <c r="L7" s="4"/>
      <c r="M7" s="4"/>
      <c r="O7" s="11" t="s">
        <v>175</v>
      </c>
      <c r="Q7" s="2">
        <f>Q10+Q8</f>
        <v>-1093.4500000000116</v>
      </c>
      <c r="R7">
        <v>300</v>
      </c>
    </row>
    <row r="8" spans="1:21" x14ac:dyDescent="0.25">
      <c r="B8" s="360">
        <v>43497</v>
      </c>
      <c r="C8" s="7">
        <v>100</v>
      </c>
      <c r="D8" s="43">
        <v>38.770000000000003</v>
      </c>
      <c r="E8" s="43">
        <v>0</v>
      </c>
      <c r="F8" s="43">
        <f t="shared" si="0"/>
        <v>3877.0000000000005</v>
      </c>
      <c r="G8" s="360">
        <v>43579</v>
      </c>
      <c r="H8" s="77">
        <v>200</v>
      </c>
      <c r="I8" s="43">
        <v>36.85</v>
      </c>
      <c r="J8" s="43">
        <v>0.15</v>
      </c>
      <c r="K8" s="43">
        <f t="shared" si="1"/>
        <v>7369.85</v>
      </c>
      <c r="L8" s="4"/>
      <c r="M8" s="4"/>
      <c r="O8" s="11" t="s">
        <v>177</v>
      </c>
      <c r="P8" s="33"/>
      <c r="Q8" s="2">
        <f>K22+M22-F22+Q2*Q4</f>
        <v>-1093.4500000000116</v>
      </c>
      <c r="T8" s="1">
        <v>43362</v>
      </c>
      <c r="U8" s="741" t="s">
        <v>1226</v>
      </c>
    </row>
    <row r="9" spans="1:21" x14ac:dyDescent="0.25">
      <c r="B9" s="360">
        <v>43503</v>
      </c>
      <c r="C9" s="7">
        <v>100</v>
      </c>
      <c r="D9" s="43">
        <v>37.5</v>
      </c>
      <c r="E9" s="43">
        <v>0</v>
      </c>
      <c r="F9" s="43">
        <f t="shared" si="0"/>
        <v>3750</v>
      </c>
      <c r="G9" s="360">
        <v>43622</v>
      </c>
      <c r="H9" s="77">
        <v>100</v>
      </c>
      <c r="I9" s="43">
        <v>36.619999999999997</v>
      </c>
      <c r="J9" s="43">
        <v>0.08</v>
      </c>
      <c r="K9" s="43">
        <f t="shared" si="1"/>
        <v>3661.9199999999996</v>
      </c>
      <c r="L9" s="4"/>
      <c r="M9" s="4"/>
      <c r="O9" s="11" t="s">
        <v>202</v>
      </c>
      <c r="Q9" s="131">
        <f>IF(Q2=0, 0, Q8/Q6)</f>
        <v>-8.3377495815685043E-2</v>
      </c>
      <c r="T9" s="153"/>
    </row>
    <row r="10" spans="1:21" x14ac:dyDescent="0.25">
      <c r="B10" s="360">
        <v>43517</v>
      </c>
      <c r="C10" s="7">
        <v>100</v>
      </c>
      <c r="D10" s="43">
        <v>39.08</v>
      </c>
      <c r="E10" s="43">
        <v>0</v>
      </c>
      <c r="F10" s="43">
        <f t="shared" si="0"/>
        <v>3908</v>
      </c>
      <c r="G10" s="360">
        <v>43643</v>
      </c>
      <c r="H10" s="77">
        <v>100</v>
      </c>
      <c r="I10" s="43">
        <v>35.75</v>
      </c>
      <c r="J10" s="43">
        <v>7.0000000000000007E-2</v>
      </c>
      <c r="K10" s="43">
        <f t="shared" si="1"/>
        <v>3574.93</v>
      </c>
      <c r="L10" s="4"/>
      <c r="M10" s="4"/>
      <c r="O10" s="11" t="s">
        <v>201</v>
      </c>
      <c r="P10" s="33"/>
      <c r="Q10" s="2">
        <f>M83</f>
        <v>0</v>
      </c>
    </row>
    <row r="11" spans="1:21" x14ac:dyDescent="0.25">
      <c r="B11" s="360">
        <v>43525</v>
      </c>
      <c r="C11" s="7">
        <v>100</v>
      </c>
      <c r="D11" s="43">
        <v>37.58</v>
      </c>
      <c r="E11" s="43">
        <v>0</v>
      </c>
      <c r="F11" s="43">
        <f t="shared" si="0"/>
        <v>3758</v>
      </c>
      <c r="G11" s="360">
        <v>43647</v>
      </c>
      <c r="H11" s="77">
        <v>100</v>
      </c>
      <c r="I11" s="43">
        <v>37.479999999999997</v>
      </c>
      <c r="J11" s="43">
        <v>0.08</v>
      </c>
      <c r="K11" s="43">
        <f t="shared" si="1"/>
        <v>3747.9199999999996</v>
      </c>
      <c r="L11" s="4"/>
      <c r="M11" s="4"/>
      <c r="O11" s="11" t="s">
        <v>173</v>
      </c>
      <c r="P11" s="33"/>
      <c r="Q11" s="131">
        <f>R11*4/Q4</f>
        <v>4.5420514100324431E-2</v>
      </c>
      <c r="R11">
        <f>1.82/4</f>
        <v>0.45500000000000002</v>
      </c>
      <c r="T11" s="1">
        <v>43391</v>
      </c>
      <c r="U11" s="741" t="s">
        <v>1240</v>
      </c>
    </row>
    <row r="12" spans="1:21" x14ac:dyDescent="0.25">
      <c r="B12" s="360">
        <v>43539</v>
      </c>
      <c r="C12" s="7">
        <v>200</v>
      </c>
      <c r="D12" s="43">
        <v>37.619999999999997</v>
      </c>
      <c r="E12" s="43">
        <v>0</v>
      </c>
      <c r="F12" s="43">
        <f t="shared" si="0"/>
        <v>7523.9999999999991</v>
      </c>
      <c r="G12" s="360">
        <v>43678</v>
      </c>
      <c r="H12" s="77">
        <v>100</v>
      </c>
      <c r="I12" s="43">
        <v>38.200000000000003</v>
      </c>
      <c r="J12" s="43">
        <v>0.08</v>
      </c>
      <c r="K12" s="43">
        <f t="shared" si="1"/>
        <v>3819.9200000000005</v>
      </c>
      <c r="O12" s="11" t="s">
        <v>875</v>
      </c>
      <c r="Q12" s="1" t="s">
        <v>1363</v>
      </c>
    </row>
    <row r="13" spans="1:21" x14ac:dyDescent="0.25">
      <c r="B13" s="360">
        <v>43571</v>
      </c>
      <c r="C13" s="7">
        <v>200</v>
      </c>
      <c r="D13" s="43">
        <v>35.28</v>
      </c>
      <c r="E13" s="43">
        <v>0</v>
      </c>
      <c r="F13" s="43">
        <f t="shared" si="0"/>
        <v>7056</v>
      </c>
      <c r="G13" s="360">
        <v>43718</v>
      </c>
      <c r="H13" s="77">
        <v>100</v>
      </c>
      <c r="I13" s="43">
        <v>36.5</v>
      </c>
      <c r="J13" s="43">
        <v>0.08</v>
      </c>
      <c r="K13" s="43">
        <f t="shared" si="1"/>
        <v>3649.92</v>
      </c>
      <c r="O13" s="11" t="s">
        <v>901</v>
      </c>
      <c r="Q13" s="2">
        <f>Q4/4.6</f>
        <v>8.7108695652173918</v>
      </c>
      <c r="T13" s="1">
        <v>43421</v>
      </c>
      <c r="U13" s="741" t="s">
        <v>1260</v>
      </c>
    </row>
    <row r="14" spans="1:21" x14ac:dyDescent="0.25">
      <c r="B14" s="360">
        <v>43605</v>
      </c>
      <c r="C14" s="7">
        <v>100</v>
      </c>
      <c r="D14" s="43">
        <v>35.200000000000003</v>
      </c>
      <c r="E14" s="43">
        <v>0</v>
      </c>
      <c r="F14" s="43">
        <f t="shared" si="0"/>
        <v>3520.0000000000005</v>
      </c>
      <c r="H14" s="67"/>
      <c r="O14" s="11" t="s">
        <v>988</v>
      </c>
      <c r="Q14" s="1">
        <v>43423</v>
      </c>
      <c r="T14" s="680"/>
    </row>
    <row r="15" spans="1:21" x14ac:dyDescent="0.25">
      <c r="B15" s="360">
        <v>43630</v>
      </c>
      <c r="C15" s="7">
        <v>100</v>
      </c>
      <c r="D15" s="43">
        <v>36.04</v>
      </c>
      <c r="E15" s="43">
        <v>0</v>
      </c>
      <c r="F15" s="43">
        <f t="shared" si="0"/>
        <v>3604</v>
      </c>
      <c r="G15" s="4"/>
      <c r="H15" s="67"/>
    </row>
    <row r="16" spans="1:21" ht="20.25" thickBot="1" x14ac:dyDescent="0.35">
      <c r="B16" s="69">
        <v>43640</v>
      </c>
      <c r="C16" s="7">
        <v>100</v>
      </c>
      <c r="D16" s="43">
        <v>35.28</v>
      </c>
      <c r="E16" s="43">
        <v>0</v>
      </c>
      <c r="F16" s="43">
        <f t="shared" si="0"/>
        <v>3528</v>
      </c>
      <c r="H16" s="67"/>
      <c r="O16" s="886" t="s">
        <v>78</v>
      </c>
      <c r="P16" s="886"/>
    </row>
    <row r="17" spans="1:20" ht="15.75" thickTop="1" x14ac:dyDescent="0.25">
      <c r="B17" s="69">
        <v>43657</v>
      </c>
      <c r="C17" s="7">
        <v>100</v>
      </c>
      <c r="D17" s="43">
        <v>36.4</v>
      </c>
      <c r="E17" s="43">
        <v>0</v>
      </c>
      <c r="F17" s="43">
        <f t="shared" si="0"/>
        <v>3640</v>
      </c>
      <c r="O17" s="78">
        <v>1.1000000000000001</v>
      </c>
      <c r="P17" s="78">
        <f>O17*$Q$4</f>
        <v>44.077000000000005</v>
      </c>
    </row>
    <row r="18" spans="1:20" x14ac:dyDescent="0.25">
      <c r="B18" s="69">
        <v>43682</v>
      </c>
      <c r="C18" s="7">
        <v>100</v>
      </c>
      <c r="D18" s="43">
        <v>35.200000000000003</v>
      </c>
      <c r="E18" s="43">
        <v>0</v>
      </c>
      <c r="F18" s="43">
        <f t="shared" si="0"/>
        <v>3520.0000000000005</v>
      </c>
      <c r="H18" s="67"/>
      <c r="O18" s="78">
        <v>1.0900000000000001</v>
      </c>
      <c r="P18" s="78">
        <f t="shared" ref="P18:P37" si="2">O18*$Q$4</f>
        <v>43.676300000000005</v>
      </c>
      <c r="T18" s="1"/>
    </row>
    <row r="19" spans="1:20" x14ac:dyDescent="0.25">
      <c r="O19" s="78">
        <v>1.08</v>
      </c>
      <c r="P19" s="78">
        <f t="shared" si="2"/>
        <v>43.275600000000004</v>
      </c>
    </row>
    <row r="20" spans="1:20" x14ac:dyDescent="0.25">
      <c r="C20" s="4"/>
      <c r="D20" s="3"/>
      <c r="E20" s="3"/>
      <c r="F20" s="3"/>
      <c r="H20" s="67"/>
      <c r="O20" s="78">
        <v>1.07</v>
      </c>
      <c r="P20" s="78">
        <f t="shared" si="2"/>
        <v>42.874900000000004</v>
      </c>
    </row>
    <row r="21" spans="1:20" x14ac:dyDescent="0.25">
      <c r="O21" s="78">
        <v>1.06</v>
      </c>
      <c r="P21" s="78">
        <f t="shared" si="2"/>
        <v>42.474200000000003</v>
      </c>
    </row>
    <row r="22" spans="1:20" x14ac:dyDescent="0.25">
      <c r="A22" s="31" t="s">
        <v>81</v>
      </c>
      <c r="B22" s="14"/>
      <c r="C22" s="14">
        <f>SUM(C2:C20)</f>
        <v>1800</v>
      </c>
      <c r="D22" s="18"/>
      <c r="E22" s="18"/>
      <c r="F22" s="18">
        <f>SUM(F2:F20)</f>
        <v>71867</v>
      </c>
      <c r="G22" s="14"/>
      <c r="H22" s="68">
        <f>SUM(H2:H14)</f>
        <v>1500</v>
      </c>
      <c r="I22" s="18"/>
      <c r="J22" s="18"/>
      <c r="K22" s="18">
        <f>SUM(K2:K14)</f>
        <v>57885.049999999988</v>
      </c>
      <c r="L22" s="14"/>
      <c r="M22" s="18">
        <f>SUM(M2:M10)</f>
        <v>867.5</v>
      </c>
      <c r="O22" s="78">
        <v>1.05</v>
      </c>
      <c r="P22" s="78">
        <f t="shared" si="2"/>
        <v>42.073500000000003</v>
      </c>
    </row>
    <row r="23" spans="1:20" ht="15.75" thickBot="1" x14ac:dyDescent="0.3">
      <c r="A23" s="273" t="s">
        <v>189</v>
      </c>
      <c r="B23" s="274"/>
      <c r="C23" s="275">
        <f>SumByColor($A$23,C2:C21)</f>
        <v>1500</v>
      </c>
      <c r="D23" s="275"/>
      <c r="E23" s="275"/>
      <c r="F23" s="276">
        <f>SumByColor($A$23,F2:F21)</f>
        <v>56073</v>
      </c>
      <c r="G23" s="275"/>
      <c r="H23" s="275">
        <f>SumByColor($A$23,H2:H21)</f>
        <v>1500</v>
      </c>
      <c r="I23" s="275"/>
      <c r="J23" s="275"/>
      <c r="K23" s="276">
        <f>SumByColor($A$23,K2:K21)</f>
        <v>57886</v>
      </c>
      <c r="L23" s="275"/>
      <c r="M23" s="276">
        <f>SumByColor($A$23,M2:M21)</f>
        <v>868</v>
      </c>
      <c r="O23" s="78">
        <v>1.04</v>
      </c>
      <c r="P23" s="78">
        <f t="shared" si="2"/>
        <v>41.672800000000002</v>
      </c>
    </row>
    <row r="24" spans="1:20" x14ac:dyDescent="0.25">
      <c r="O24" s="78">
        <v>1.03</v>
      </c>
      <c r="P24" s="78">
        <f t="shared" si="2"/>
        <v>41.272100000000002</v>
      </c>
    </row>
    <row r="25" spans="1:20" x14ac:dyDescent="0.25">
      <c r="O25" s="78">
        <v>1.02</v>
      </c>
      <c r="P25" s="78">
        <f t="shared" si="2"/>
        <v>40.871400000000001</v>
      </c>
    </row>
    <row r="26" spans="1:20" x14ac:dyDescent="0.25">
      <c r="O26" s="78">
        <v>1.01</v>
      </c>
      <c r="P26" s="78">
        <f t="shared" si="2"/>
        <v>40.470700000000001</v>
      </c>
    </row>
    <row r="27" spans="1:20" x14ac:dyDescent="0.25">
      <c r="O27" s="78">
        <v>1</v>
      </c>
      <c r="P27" s="78">
        <f t="shared" si="2"/>
        <v>40.07</v>
      </c>
    </row>
    <row r="28" spans="1:20" x14ac:dyDescent="0.25">
      <c r="B28" s="159" t="s">
        <v>113</v>
      </c>
      <c r="C28" s="159" t="s">
        <v>143</v>
      </c>
      <c r="D28" s="160" t="s">
        <v>142</v>
      </c>
      <c r="E28" s="162" t="s">
        <v>144</v>
      </c>
      <c r="F28" s="162" t="s">
        <v>65</v>
      </c>
      <c r="G28" s="173" t="s">
        <v>148</v>
      </c>
      <c r="H28" s="173" t="s">
        <v>88</v>
      </c>
      <c r="I28" s="173" t="s">
        <v>151</v>
      </c>
      <c r="J28" s="173" t="s">
        <v>147</v>
      </c>
      <c r="K28" s="173" t="s">
        <v>901</v>
      </c>
      <c r="L28" s="173" t="s">
        <v>452</v>
      </c>
      <c r="O28" s="78">
        <v>0.99</v>
      </c>
      <c r="P28" s="78">
        <f t="shared" si="2"/>
        <v>39.6693</v>
      </c>
    </row>
    <row r="29" spans="1:20" x14ac:dyDescent="0.25">
      <c r="B29" s="161">
        <v>43325</v>
      </c>
      <c r="C29" s="10">
        <v>100</v>
      </c>
      <c r="D29" s="39">
        <v>54.48</v>
      </c>
      <c r="E29" s="39">
        <v>54.71</v>
      </c>
      <c r="F29" s="39">
        <f t="shared" ref="F29:F35" si="3">C29*(E29-D29)</f>
        <v>23.000000000000398</v>
      </c>
      <c r="G29" s="39">
        <f t="shared" ref="G29:G35" si="4">D29*C29</f>
        <v>5448</v>
      </c>
      <c r="H29" s="175">
        <f t="shared" ref="H29:H35" si="5">(E29-D29)/D29</f>
        <v>4.2217327459618944E-3</v>
      </c>
      <c r="I29" s="39"/>
      <c r="J29" s="39"/>
      <c r="K29" s="39"/>
      <c r="L29" s="39"/>
      <c r="O29" s="78">
        <v>0.98</v>
      </c>
      <c r="P29" s="78">
        <f t="shared" si="2"/>
        <v>39.268599999999999</v>
      </c>
    </row>
    <row r="30" spans="1:20" x14ac:dyDescent="0.25">
      <c r="B30" s="161">
        <v>43332</v>
      </c>
      <c r="C30" s="10">
        <v>100</v>
      </c>
      <c r="D30" s="39">
        <v>54.48</v>
      </c>
      <c r="E30" s="39">
        <v>55.6</v>
      </c>
      <c r="F30" s="39">
        <f t="shared" si="3"/>
        <v>112.00000000000045</v>
      </c>
      <c r="G30" s="39">
        <f t="shared" si="4"/>
        <v>5448</v>
      </c>
      <c r="H30" s="175">
        <f t="shared" si="5"/>
        <v>2.0558002936857646E-2</v>
      </c>
      <c r="I30" s="39"/>
      <c r="J30" s="39"/>
      <c r="K30" s="39"/>
      <c r="L30" s="39"/>
      <c r="O30" s="78">
        <v>0.97</v>
      </c>
      <c r="P30" s="78">
        <f t="shared" si="2"/>
        <v>38.867899999999999</v>
      </c>
    </row>
    <row r="31" spans="1:20" x14ac:dyDescent="0.25">
      <c r="B31" s="161">
        <v>43362</v>
      </c>
      <c r="C31" s="10">
        <v>100</v>
      </c>
      <c r="D31" s="39">
        <v>54.48</v>
      </c>
      <c r="E31" s="39">
        <v>56.61</v>
      </c>
      <c r="F31" s="39">
        <f t="shared" si="3"/>
        <v>213.00000000000026</v>
      </c>
      <c r="G31" s="39">
        <f t="shared" si="4"/>
        <v>5448</v>
      </c>
      <c r="H31" s="175">
        <f t="shared" si="5"/>
        <v>3.9096916299559518E-2</v>
      </c>
      <c r="I31" s="39"/>
      <c r="J31" s="39"/>
      <c r="K31" s="39"/>
      <c r="L31" s="39"/>
      <c r="O31" s="78">
        <v>0.96</v>
      </c>
      <c r="P31" s="78">
        <f t="shared" si="2"/>
        <v>38.467199999999998</v>
      </c>
    </row>
    <row r="32" spans="1:20" x14ac:dyDescent="0.25">
      <c r="A32">
        <v>100</v>
      </c>
      <c r="B32" s="161">
        <v>43369</v>
      </c>
      <c r="C32" s="10">
        <v>200</v>
      </c>
      <c r="D32" s="39">
        <v>53.88</v>
      </c>
      <c r="E32" s="39">
        <v>53.69</v>
      </c>
      <c r="F32" s="39">
        <f t="shared" si="3"/>
        <v>-38.000000000000966</v>
      </c>
      <c r="G32" s="39">
        <f t="shared" si="4"/>
        <v>10776</v>
      </c>
      <c r="H32" s="175">
        <f t="shared" si="5"/>
        <v>-3.5263548626578473E-3</v>
      </c>
      <c r="I32" s="39"/>
      <c r="J32" s="39"/>
      <c r="K32" s="39"/>
      <c r="L32" s="39"/>
      <c r="O32" s="78">
        <v>0.95</v>
      </c>
      <c r="P32" s="78">
        <f t="shared" si="2"/>
        <v>38.066499999999998</v>
      </c>
    </row>
    <row r="33" spans="1:21" x14ac:dyDescent="0.25">
      <c r="B33" s="161">
        <v>43377</v>
      </c>
      <c r="C33" s="10">
        <v>250</v>
      </c>
      <c r="D33" s="39">
        <v>53.3</v>
      </c>
      <c r="E33" s="39">
        <v>50.98</v>
      </c>
      <c r="F33" s="39">
        <f t="shared" si="3"/>
        <v>-580.00000000000011</v>
      </c>
      <c r="G33" s="39">
        <f t="shared" si="4"/>
        <v>13325</v>
      </c>
      <c r="H33" s="175">
        <f t="shared" si="5"/>
        <v>-4.3527204502814269E-2</v>
      </c>
      <c r="I33" s="39"/>
      <c r="J33" s="39"/>
      <c r="K33" s="39"/>
      <c r="L33" s="39"/>
      <c r="O33" s="78">
        <v>0.94</v>
      </c>
      <c r="P33" s="78">
        <f t="shared" si="2"/>
        <v>37.665799999999997</v>
      </c>
    </row>
    <row r="34" spans="1:21" x14ac:dyDescent="0.25">
      <c r="A34">
        <v>100</v>
      </c>
      <c r="B34" s="161">
        <v>43381</v>
      </c>
      <c r="C34" s="7">
        <v>300</v>
      </c>
      <c r="D34" s="43">
        <v>52.646999999999998</v>
      </c>
      <c r="E34" s="39">
        <v>49.13</v>
      </c>
      <c r="F34" s="39">
        <f t="shared" si="3"/>
        <v>-1055.0999999999988</v>
      </c>
      <c r="G34" s="39">
        <f t="shared" si="4"/>
        <v>15794.1</v>
      </c>
      <c r="H34" s="175">
        <f t="shared" si="5"/>
        <v>-6.6803426596007298E-2</v>
      </c>
      <c r="I34" s="39"/>
      <c r="J34" s="39"/>
      <c r="K34" s="39"/>
      <c r="L34" s="39"/>
      <c r="O34" s="78">
        <v>0.93</v>
      </c>
      <c r="P34" s="78">
        <f t="shared" si="2"/>
        <v>37.265100000000004</v>
      </c>
    </row>
    <row r="35" spans="1:21" x14ac:dyDescent="0.25">
      <c r="A35">
        <v>100</v>
      </c>
      <c r="B35" s="161">
        <v>43383</v>
      </c>
      <c r="C35" s="10">
        <v>400</v>
      </c>
      <c r="D35" s="39">
        <v>50.534999999999997</v>
      </c>
      <c r="E35" s="39">
        <v>43.63</v>
      </c>
      <c r="F35" s="39">
        <f t="shared" si="3"/>
        <v>-2761.9999999999977</v>
      </c>
      <c r="G35" s="39">
        <f t="shared" si="4"/>
        <v>20214</v>
      </c>
      <c r="H35" s="175">
        <f t="shared" si="5"/>
        <v>-0.13663797368160671</v>
      </c>
      <c r="I35" s="39"/>
      <c r="J35" s="39"/>
      <c r="K35" s="39"/>
      <c r="L35" s="39"/>
      <c r="O35" s="78">
        <v>0.92</v>
      </c>
      <c r="P35" s="78">
        <f t="shared" si="2"/>
        <v>36.864400000000003</v>
      </c>
    </row>
    <row r="36" spans="1:21" x14ac:dyDescent="0.25">
      <c r="A36">
        <v>100</v>
      </c>
      <c r="B36" s="161">
        <v>43385</v>
      </c>
      <c r="C36" s="10">
        <v>400</v>
      </c>
      <c r="D36" s="39">
        <v>50.534999999999997</v>
      </c>
      <c r="E36" s="39">
        <v>42.61</v>
      </c>
      <c r="F36" s="39">
        <f t="shared" ref="F36:F72" si="6">C36*(E36-D36)</f>
        <v>-3169.9999999999991</v>
      </c>
      <c r="G36" s="39">
        <f t="shared" ref="G36:G72" si="7">D36*C36</f>
        <v>20214</v>
      </c>
      <c r="H36" s="175">
        <f t="shared" ref="H36:H72" si="8">(E36-D36)/D36</f>
        <v>-0.15682200455130102</v>
      </c>
      <c r="I36" s="39"/>
      <c r="J36" s="39"/>
      <c r="K36" s="39"/>
      <c r="L36" s="39"/>
      <c r="O36" s="78">
        <v>0.91</v>
      </c>
      <c r="P36" s="78">
        <f t="shared" si="2"/>
        <v>36.463700000000003</v>
      </c>
    </row>
    <row r="37" spans="1:21" x14ac:dyDescent="0.25">
      <c r="B37" s="161">
        <v>43402</v>
      </c>
      <c r="C37" s="10">
        <v>400</v>
      </c>
      <c r="D37" s="39">
        <v>50.534999999999997</v>
      </c>
      <c r="E37" s="39">
        <v>40.94</v>
      </c>
      <c r="F37" s="39">
        <f t="shared" si="6"/>
        <v>-3837.9999999999995</v>
      </c>
      <c r="G37" s="39">
        <f t="shared" si="7"/>
        <v>20214</v>
      </c>
      <c r="H37" s="175">
        <f t="shared" si="8"/>
        <v>-0.18986840803403582</v>
      </c>
      <c r="I37" s="39"/>
      <c r="J37" s="39"/>
      <c r="K37" s="39"/>
      <c r="L37" s="39"/>
      <c r="O37" s="78">
        <v>0.9</v>
      </c>
      <c r="P37" s="78">
        <f t="shared" si="2"/>
        <v>36.063000000000002</v>
      </c>
    </row>
    <row r="38" spans="1:21" x14ac:dyDescent="0.25">
      <c r="B38" s="161">
        <v>43404</v>
      </c>
      <c r="C38" s="10">
        <v>400</v>
      </c>
      <c r="D38" s="39">
        <v>50.54</v>
      </c>
      <c r="E38" s="39">
        <v>42.97</v>
      </c>
      <c r="F38" s="39">
        <f t="shared" si="6"/>
        <v>-3028</v>
      </c>
      <c r="G38" s="39">
        <f t="shared" si="7"/>
        <v>20216</v>
      </c>
      <c r="H38" s="175">
        <f t="shared" si="8"/>
        <v>-0.14978235061337555</v>
      </c>
      <c r="I38" s="39"/>
      <c r="J38" s="39"/>
      <c r="K38" s="39"/>
      <c r="L38" s="39"/>
    </row>
    <row r="39" spans="1:21" x14ac:dyDescent="0.25">
      <c r="B39" s="161">
        <v>43410</v>
      </c>
      <c r="C39" s="10">
        <v>400</v>
      </c>
      <c r="D39" s="39">
        <v>50.534999999999997</v>
      </c>
      <c r="E39" s="39">
        <v>46.73</v>
      </c>
      <c r="F39" s="39">
        <f t="shared" si="6"/>
        <v>-1522</v>
      </c>
      <c r="G39" s="39">
        <f t="shared" si="7"/>
        <v>20214</v>
      </c>
      <c r="H39" s="175">
        <f t="shared" si="8"/>
        <v>-7.529435045018304E-2</v>
      </c>
      <c r="I39" s="39"/>
      <c r="J39" s="39"/>
      <c r="K39" s="39"/>
      <c r="L39" s="39"/>
      <c r="T39" s="1">
        <v>43496</v>
      </c>
      <c r="U39" s="741" t="s">
        <v>1296</v>
      </c>
    </row>
    <row r="40" spans="1:21" x14ac:dyDescent="0.25">
      <c r="B40" s="161">
        <v>43417</v>
      </c>
      <c r="C40" s="10">
        <v>400</v>
      </c>
      <c r="D40" s="39">
        <v>50.534999999999997</v>
      </c>
      <c r="E40" s="39">
        <v>45.33</v>
      </c>
      <c r="F40" s="39">
        <f t="shared" si="6"/>
        <v>-2081.9999999999991</v>
      </c>
      <c r="G40" s="39">
        <f t="shared" si="7"/>
        <v>20214</v>
      </c>
      <c r="H40" s="175">
        <f t="shared" si="8"/>
        <v>-0.10299792223211633</v>
      </c>
      <c r="I40" s="39"/>
      <c r="J40" s="39"/>
      <c r="K40" s="39"/>
      <c r="L40" s="39"/>
    </row>
    <row r="41" spans="1:21" x14ac:dyDescent="0.25">
      <c r="A41">
        <v>400</v>
      </c>
      <c r="B41" s="161">
        <v>43420</v>
      </c>
      <c r="C41" s="10">
        <v>400</v>
      </c>
      <c r="D41" s="39">
        <v>50.54</v>
      </c>
      <c r="E41" s="39">
        <v>46.15</v>
      </c>
      <c r="F41" s="39">
        <f t="shared" si="6"/>
        <v>-1756.0000000000002</v>
      </c>
      <c r="G41" s="39">
        <f t="shared" si="7"/>
        <v>20216</v>
      </c>
      <c r="H41" s="175">
        <f t="shared" si="8"/>
        <v>-8.6861891571032857E-2</v>
      </c>
      <c r="I41" s="39"/>
      <c r="J41" s="39"/>
      <c r="K41" s="39">
        <v>10.029999999999999</v>
      </c>
      <c r="L41" s="39"/>
      <c r="Q41" s="2"/>
    </row>
    <row r="42" spans="1:21" x14ac:dyDescent="0.25">
      <c r="A42">
        <v>400</v>
      </c>
      <c r="B42" s="161">
        <v>43423</v>
      </c>
      <c r="C42" s="10">
        <v>400</v>
      </c>
      <c r="D42" s="39">
        <v>50.08</v>
      </c>
      <c r="E42" s="39">
        <v>46.07</v>
      </c>
      <c r="F42" s="39">
        <f t="shared" si="6"/>
        <v>-1603.9999999999991</v>
      </c>
      <c r="G42" s="39">
        <f t="shared" si="7"/>
        <v>20032</v>
      </c>
      <c r="H42" s="175">
        <f t="shared" si="8"/>
        <v>-8.0071884984025524E-2</v>
      </c>
      <c r="I42" s="39"/>
      <c r="J42" s="39"/>
      <c r="K42" s="39">
        <v>10.02</v>
      </c>
      <c r="L42" s="39"/>
      <c r="Q42" s="2"/>
    </row>
    <row r="43" spans="1:21" x14ac:dyDescent="0.25">
      <c r="A43">
        <v>300</v>
      </c>
      <c r="B43" s="161">
        <v>43427</v>
      </c>
      <c r="C43" s="7">
        <v>300</v>
      </c>
      <c r="D43" s="43">
        <v>51.624000000000002</v>
      </c>
      <c r="E43" s="39">
        <v>45.55</v>
      </c>
      <c r="F43" s="39">
        <f t="shared" si="6"/>
        <v>-1822.2000000000016</v>
      </c>
      <c r="G43" s="39">
        <f t="shared" si="7"/>
        <v>15487.2</v>
      </c>
      <c r="H43" s="175">
        <f t="shared" si="8"/>
        <v>-0.11765845343251211</v>
      </c>
      <c r="I43" s="39"/>
      <c r="J43" s="39"/>
      <c r="K43" s="39">
        <v>9.9</v>
      </c>
      <c r="L43" s="39"/>
      <c r="Q43" s="2"/>
    </row>
    <row r="44" spans="1:21" x14ac:dyDescent="0.25">
      <c r="A44">
        <v>300</v>
      </c>
      <c r="B44" s="161">
        <v>43436</v>
      </c>
      <c r="C44" s="10">
        <v>300</v>
      </c>
      <c r="D44" s="39">
        <v>51.62</v>
      </c>
      <c r="E44" s="39">
        <v>47.11</v>
      </c>
      <c r="F44" s="39">
        <f t="shared" si="6"/>
        <v>-1352.9999999999993</v>
      </c>
      <c r="G44" s="39">
        <f t="shared" si="7"/>
        <v>15486</v>
      </c>
      <c r="H44" s="175">
        <f t="shared" si="8"/>
        <v>-8.7369236729949604E-2</v>
      </c>
      <c r="I44" s="39"/>
      <c r="J44" s="39"/>
      <c r="K44" s="39">
        <v>10.24</v>
      </c>
      <c r="L44" s="39"/>
      <c r="Q44" s="2"/>
    </row>
    <row r="45" spans="1:21" x14ac:dyDescent="0.25">
      <c r="A45">
        <v>300</v>
      </c>
      <c r="B45" s="161">
        <v>43442</v>
      </c>
      <c r="C45" s="10">
        <v>300</v>
      </c>
      <c r="D45" s="39">
        <v>51.62</v>
      </c>
      <c r="E45" s="39">
        <v>45.29</v>
      </c>
      <c r="F45" s="39">
        <f t="shared" si="6"/>
        <v>-1898.9999999999995</v>
      </c>
      <c r="G45" s="39">
        <f t="shared" si="7"/>
        <v>15486</v>
      </c>
      <c r="H45" s="175">
        <f t="shared" si="8"/>
        <v>-0.12262688880278959</v>
      </c>
      <c r="I45" s="39"/>
      <c r="J45" s="39"/>
      <c r="K45" s="39">
        <v>9.85</v>
      </c>
      <c r="L45" s="39"/>
      <c r="Q45" s="2"/>
    </row>
    <row r="46" spans="1:21" x14ac:dyDescent="0.25">
      <c r="A46">
        <v>300</v>
      </c>
      <c r="B46" s="161">
        <v>43467</v>
      </c>
      <c r="C46" s="10">
        <v>300</v>
      </c>
      <c r="D46" s="39">
        <v>51.624000000000002</v>
      </c>
      <c r="E46" s="39">
        <v>38.89</v>
      </c>
      <c r="F46" s="39">
        <f t="shared" si="6"/>
        <v>-3820.2000000000007</v>
      </c>
      <c r="G46" s="39">
        <f t="shared" si="7"/>
        <v>15487.2</v>
      </c>
      <c r="H46" s="175">
        <f t="shared" si="8"/>
        <v>-0.24666821633348832</v>
      </c>
      <c r="I46" s="39"/>
      <c r="J46" s="39"/>
      <c r="K46" s="39">
        <v>8.4499999999999993</v>
      </c>
      <c r="L46" s="39"/>
      <c r="Q46" s="2"/>
    </row>
    <row r="47" spans="1:21" x14ac:dyDescent="0.25">
      <c r="B47" s="161">
        <v>43491</v>
      </c>
      <c r="C47" s="10">
        <v>300</v>
      </c>
      <c r="D47" s="39">
        <v>51.62</v>
      </c>
      <c r="E47" s="39">
        <v>42.29</v>
      </c>
      <c r="F47" s="39">
        <f t="shared" si="6"/>
        <v>-2798.9999999999995</v>
      </c>
      <c r="G47" s="39">
        <f t="shared" si="7"/>
        <v>15486</v>
      </c>
      <c r="H47" s="175">
        <f t="shared" si="8"/>
        <v>-0.18074389771406429</v>
      </c>
      <c r="I47" s="39"/>
      <c r="J47" s="39"/>
      <c r="K47" s="39"/>
      <c r="L47" s="39"/>
      <c r="Q47" s="2"/>
    </row>
    <row r="48" spans="1:21" x14ac:dyDescent="0.25">
      <c r="B48" s="161">
        <v>43498</v>
      </c>
      <c r="C48" s="10">
        <v>400</v>
      </c>
      <c r="D48" s="39">
        <v>48.637999999999998</v>
      </c>
      <c r="E48" s="39">
        <v>38.700000000000003</v>
      </c>
      <c r="F48" s="39">
        <f t="shared" si="6"/>
        <v>-3975.199999999998</v>
      </c>
      <c r="G48" s="39">
        <f t="shared" si="7"/>
        <v>19455.2</v>
      </c>
      <c r="H48" s="175">
        <f t="shared" si="8"/>
        <v>-0.20432583576627319</v>
      </c>
      <c r="I48" s="39"/>
      <c r="J48" s="39"/>
      <c r="K48" s="39"/>
      <c r="L48" s="39"/>
      <c r="Q48" s="2"/>
    </row>
    <row r="49" spans="1:17" x14ac:dyDescent="0.25">
      <c r="A49">
        <v>300</v>
      </c>
      <c r="B49" s="161">
        <v>43498</v>
      </c>
      <c r="C49" s="352">
        <v>500</v>
      </c>
      <c r="D49" s="353">
        <v>46.664000000000001</v>
      </c>
      <c r="E49" s="39">
        <v>38.700000000000003</v>
      </c>
      <c r="F49" s="39">
        <f t="shared" si="6"/>
        <v>-3981.9999999999991</v>
      </c>
      <c r="G49" s="39">
        <f t="shared" si="7"/>
        <v>23332</v>
      </c>
      <c r="H49" s="175">
        <f t="shared" si="8"/>
        <v>-0.17066689525115716</v>
      </c>
      <c r="I49" s="39"/>
      <c r="J49" s="39"/>
      <c r="K49" s="39">
        <v>8.41</v>
      </c>
      <c r="L49" s="39"/>
      <c r="Q49" s="2"/>
    </row>
    <row r="50" spans="1:17" x14ac:dyDescent="0.25">
      <c r="A50">
        <v>300</v>
      </c>
      <c r="B50" s="161">
        <v>43503</v>
      </c>
      <c r="C50" s="10">
        <v>600</v>
      </c>
      <c r="D50" s="39">
        <v>45.137</v>
      </c>
      <c r="E50" s="39">
        <v>37.9</v>
      </c>
      <c r="F50" s="39">
        <f t="shared" si="6"/>
        <v>-4342.2000000000007</v>
      </c>
      <c r="G50" s="39">
        <f t="shared" si="7"/>
        <v>27082.2</v>
      </c>
      <c r="H50" s="175">
        <f t="shared" si="8"/>
        <v>-0.16033409398054815</v>
      </c>
      <c r="I50" s="39"/>
      <c r="J50" s="39"/>
      <c r="K50" s="39">
        <v>8.24</v>
      </c>
      <c r="L50" s="39"/>
      <c r="Q50" s="2"/>
    </row>
    <row r="51" spans="1:17" x14ac:dyDescent="0.25">
      <c r="A51">
        <v>200</v>
      </c>
      <c r="B51" s="161">
        <v>43508</v>
      </c>
      <c r="C51" s="352">
        <v>500</v>
      </c>
      <c r="D51" s="353">
        <v>46.42</v>
      </c>
      <c r="E51" s="39">
        <v>38.71</v>
      </c>
      <c r="F51" s="39">
        <f t="shared" si="6"/>
        <v>-3855.0000000000005</v>
      </c>
      <c r="G51" s="39">
        <f t="shared" si="7"/>
        <v>23210</v>
      </c>
      <c r="H51" s="175">
        <f t="shared" si="8"/>
        <v>-0.16609220163722535</v>
      </c>
      <c r="I51" s="39"/>
      <c r="J51" s="39"/>
      <c r="K51" s="39">
        <v>8.42</v>
      </c>
      <c r="L51" s="39"/>
      <c r="Q51" s="2"/>
    </row>
    <row r="52" spans="1:17" x14ac:dyDescent="0.25">
      <c r="A52">
        <v>100</v>
      </c>
      <c r="B52" s="161">
        <v>43515</v>
      </c>
      <c r="C52" s="10">
        <v>400</v>
      </c>
      <c r="D52" s="39">
        <v>48.155000000000001</v>
      </c>
      <c r="E52" s="39">
        <v>39.26</v>
      </c>
      <c r="F52" s="39">
        <f t="shared" si="6"/>
        <v>-3558.0000000000014</v>
      </c>
      <c r="G52" s="39">
        <f t="shared" si="7"/>
        <v>19262</v>
      </c>
      <c r="H52" s="175">
        <f t="shared" si="8"/>
        <v>-0.18471602118160113</v>
      </c>
      <c r="I52" s="39"/>
      <c r="J52" s="39"/>
      <c r="K52" s="39">
        <v>8.5299999999999994</v>
      </c>
      <c r="L52" s="39"/>
      <c r="Q52" s="2"/>
    </row>
    <row r="53" spans="1:17" x14ac:dyDescent="0.25">
      <c r="A53">
        <v>0</v>
      </c>
      <c r="B53" s="161">
        <v>43516</v>
      </c>
      <c r="C53" s="7">
        <v>300</v>
      </c>
      <c r="D53" s="43">
        <v>50.726999999999997</v>
      </c>
      <c r="E53" s="39">
        <v>40.44</v>
      </c>
      <c r="F53" s="39">
        <f t="shared" si="6"/>
        <v>-3086.1</v>
      </c>
      <c r="G53" s="39">
        <f t="shared" si="7"/>
        <v>15218.099999999999</v>
      </c>
      <c r="H53" s="175">
        <f t="shared" si="8"/>
        <v>-0.20279141285705837</v>
      </c>
      <c r="I53" s="39"/>
      <c r="J53" s="39"/>
      <c r="K53" s="39">
        <v>8.7899999999999991</v>
      </c>
      <c r="L53" s="39"/>
      <c r="Q53" s="2"/>
    </row>
    <row r="54" spans="1:17" x14ac:dyDescent="0.25">
      <c r="A54">
        <v>0</v>
      </c>
      <c r="B54" s="161">
        <v>43517</v>
      </c>
      <c r="C54" s="10">
        <v>400</v>
      </c>
      <c r="D54" s="39">
        <v>47.816000000000003</v>
      </c>
      <c r="E54" s="39">
        <v>39.26</v>
      </c>
      <c r="F54" s="39">
        <f t="shared" si="6"/>
        <v>-3422.4000000000019</v>
      </c>
      <c r="G54" s="39">
        <f t="shared" si="7"/>
        <v>19126.400000000001</v>
      </c>
      <c r="H54" s="175">
        <f t="shared" si="8"/>
        <v>-0.17893592103061745</v>
      </c>
      <c r="I54" s="39"/>
      <c r="J54" s="39"/>
      <c r="K54" s="39">
        <v>8.5299999999999994</v>
      </c>
      <c r="L54" s="39"/>
    </row>
    <row r="55" spans="1:17" x14ac:dyDescent="0.25">
      <c r="A55">
        <v>0</v>
      </c>
      <c r="B55" s="161">
        <v>43521</v>
      </c>
      <c r="C55" s="10">
        <v>400</v>
      </c>
      <c r="D55" s="39">
        <v>47.247</v>
      </c>
      <c r="E55" s="39">
        <v>39.67</v>
      </c>
      <c r="F55" s="39">
        <f t="shared" si="6"/>
        <v>-3030.7999999999993</v>
      </c>
      <c r="G55" s="39">
        <f t="shared" si="7"/>
        <v>18898.8</v>
      </c>
      <c r="H55" s="175">
        <f t="shared" si="8"/>
        <v>-0.16036997058014263</v>
      </c>
      <c r="I55" s="39"/>
      <c r="J55" s="39"/>
      <c r="K55" s="39">
        <v>8.6199999999999992</v>
      </c>
      <c r="L55" s="39"/>
    </row>
    <row r="56" spans="1:17" x14ac:dyDescent="0.25">
      <c r="A56">
        <v>0</v>
      </c>
      <c r="B56" s="161">
        <v>43525</v>
      </c>
      <c r="C56" s="352">
        <v>500</v>
      </c>
      <c r="D56" s="353">
        <v>45.313000000000002</v>
      </c>
      <c r="E56" s="39">
        <v>37.380000000000003</v>
      </c>
      <c r="F56" s="39">
        <f t="shared" si="6"/>
        <v>-3966.5</v>
      </c>
      <c r="G56" s="39">
        <f t="shared" si="7"/>
        <v>22656.5</v>
      </c>
      <c r="H56" s="175">
        <f t="shared" si="8"/>
        <v>-0.17507117162845098</v>
      </c>
      <c r="I56" s="39"/>
      <c r="J56" s="39"/>
      <c r="K56" s="39">
        <v>8.1300000000000008</v>
      </c>
      <c r="L56" s="39"/>
    </row>
    <row r="57" spans="1:17" x14ac:dyDescent="0.25">
      <c r="A57">
        <v>0</v>
      </c>
      <c r="B57" s="161">
        <v>43529</v>
      </c>
      <c r="C57" s="7">
        <v>300</v>
      </c>
      <c r="D57" s="43">
        <v>49.735999999999997</v>
      </c>
      <c r="E57" s="39">
        <v>38.53</v>
      </c>
      <c r="F57" s="39">
        <f t="shared" si="6"/>
        <v>-3361.7999999999988</v>
      </c>
      <c r="G57" s="39">
        <f t="shared" si="7"/>
        <v>14920.8</v>
      </c>
      <c r="H57" s="175">
        <f t="shared" si="8"/>
        <v>-0.22530963487212474</v>
      </c>
      <c r="I57" s="39"/>
      <c r="J57" s="39"/>
      <c r="K57" s="39">
        <v>8.3800000000000008</v>
      </c>
      <c r="L57" s="39"/>
    </row>
    <row r="58" spans="1:17" x14ac:dyDescent="0.25">
      <c r="A58">
        <v>100</v>
      </c>
      <c r="B58" s="161">
        <v>43541</v>
      </c>
      <c r="C58" s="352">
        <v>500</v>
      </c>
      <c r="D58" s="353">
        <v>44.89</v>
      </c>
      <c r="E58" s="39">
        <v>37.549999999999997</v>
      </c>
      <c r="F58" s="39">
        <f t="shared" si="6"/>
        <v>-3670.0000000000018</v>
      </c>
      <c r="G58" s="39">
        <f t="shared" si="7"/>
        <v>22445</v>
      </c>
      <c r="H58" s="175">
        <f t="shared" si="8"/>
        <v>-0.16351080418801522</v>
      </c>
      <c r="I58" s="39"/>
      <c r="J58" s="39"/>
      <c r="K58" s="39">
        <v>8.16</v>
      </c>
      <c r="L58" s="39"/>
    </row>
    <row r="59" spans="1:17" x14ac:dyDescent="0.25">
      <c r="A59">
        <v>100</v>
      </c>
      <c r="B59" s="161">
        <v>43556</v>
      </c>
      <c r="C59" s="7">
        <v>300</v>
      </c>
      <c r="D59" s="43">
        <v>48.43</v>
      </c>
      <c r="E59" s="39">
        <v>39.770000000000003</v>
      </c>
      <c r="F59" s="39">
        <f t="shared" si="6"/>
        <v>-2597.9999999999991</v>
      </c>
      <c r="G59" s="39">
        <f t="shared" si="7"/>
        <v>14529</v>
      </c>
      <c r="H59" s="175">
        <f t="shared" si="8"/>
        <v>-0.17881478422465408</v>
      </c>
      <c r="I59" s="39"/>
      <c r="J59" s="39"/>
      <c r="K59" s="39">
        <v>8.65</v>
      </c>
      <c r="L59" s="39"/>
    </row>
    <row r="60" spans="1:17" x14ac:dyDescent="0.25">
      <c r="A60">
        <v>300</v>
      </c>
      <c r="B60" s="161">
        <v>43571</v>
      </c>
      <c r="C60" s="352">
        <v>500</v>
      </c>
      <c r="D60" s="353">
        <v>43.17</v>
      </c>
      <c r="E60" s="39">
        <v>36.880000000000003</v>
      </c>
      <c r="F60" s="39">
        <f t="shared" si="6"/>
        <v>-3144.9999999999995</v>
      </c>
      <c r="G60" s="39">
        <f t="shared" si="7"/>
        <v>21585</v>
      </c>
      <c r="H60" s="175">
        <f t="shared" si="8"/>
        <v>-0.14570303451470926</v>
      </c>
      <c r="I60" s="39"/>
      <c r="J60" s="39"/>
      <c r="K60" s="39">
        <v>8.02</v>
      </c>
      <c r="L60" s="39"/>
    </row>
    <row r="61" spans="1:17" x14ac:dyDescent="0.25">
      <c r="A61">
        <v>100</v>
      </c>
      <c r="B61" s="161">
        <v>43579</v>
      </c>
      <c r="C61" s="7">
        <v>300</v>
      </c>
      <c r="D61" s="43">
        <v>47.384</v>
      </c>
      <c r="E61" s="39">
        <v>36.83</v>
      </c>
      <c r="F61" s="39">
        <f t="shared" si="6"/>
        <v>-3166.2000000000007</v>
      </c>
      <c r="G61" s="39">
        <f t="shared" si="7"/>
        <v>14215.2</v>
      </c>
      <c r="H61" s="175">
        <f t="shared" si="8"/>
        <v>-0.22273341212223541</v>
      </c>
      <c r="I61" s="39"/>
      <c r="J61" s="39"/>
      <c r="K61" s="39">
        <v>8.01</v>
      </c>
      <c r="L61" s="39"/>
    </row>
    <row r="62" spans="1:17" x14ac:dyDescent="0.25">
      <c r="A62" s="4">
        <v>300</v>
      </c>
      <c r="B62" s="161">
        <v>43605</v>
      </c>
      <c r="C62" s="10">
        <v>400</v>
      </c>
      <c r="D62" s="39">
        <v>43.996000000000002</v>
      </c>
      <c r="E62" s="39">
        <v>35.15</v>
      </c>
      <c r="F62" s="39">
        <f t="shared" si="6"/>
        <v>-3538.4000000000015</v>
      </c>
      <c r="G62" s="39">
        <f t="shared" si="7"/>
        <v>17598.400000000001</v>
      </c>
      <c r="H62" s="175">
        <f t="shared" si="8"/>
        <v>-0.20106373306664249</v>
      </c>
      <c r="I62" s="39"/>
      <c r="J62" s="39"/>
      <c r="K62" s="39">
        <v>7.64</v>
      </c>
      <c r="L62" s="39"/>
    </row>
    <row r="63" spans="1:17" x14ac:dyDescent="0.25">
      <c r="A63" s="4">
        <v>300</v>
      </c>
      <c r="B63" s="161">
        <v>43614</v>
      </c>
      <c r="C63" s="10">
        <v>400</v>
      </c>
      <c r="D63" s="39">
        <v>44</v>
      </c>
      <c r="E63" s="39">
        <v>33.630000000000003</v>
      </c>
      <c r="F63" s="39">
        <f t="shared" si="6"/>
        <v>-4147.9999999999991</v>
      </c>
      <c r="G63" s="39">
        <f t="shared" si="7"/>
        <v>17600</v>
      </c>
      <c r="H63" s="175">
        <f t="shared" si="8"/>
        <v>-0.23568181818181813</v>
      </c>
      <c r="I63" s="39"/>
      <c r="J63" s="39"/>
      <c r="K63" s="39">
        <v>7.31</v>
      </c>
      <c r="L63" s="39"/>
    </row>
    <row r="64" spans="1:17" x14ac:dyDescent="0.25">
      <c r="A64" s="4">
        <v>200</v>
      </c>
      <c r="B64" s="161">
        <v>43622</v>
      </c>
      <c r="C64" s="7">
        <v>300</v>
      </c>
      <c r="D64" s="43">
        <v>46.454999999999998</v>
      </c>
      <c r="E64" s="39">
        <v>36.619999999999997</v>
      </c>
      <c r="F64" s="39">
        <f t="shared" si="6"/>
        <v>-2950.5000000000005</v>
      </c>
      <c r="G64" s="39">
        <f t="shared" si="7"/>
        <v>13936.5</v>
      </c>
      <c r="H64" s="175">
        <f t="shared" si="8"/>
        <v>-0.21171025723818751</v>
      </c>
      <c r="I64" s="39"/>
      <c r="J64" s="39"/>
      <c r="K64" s="39">
        <v>7.23</v>
      </c>
      <c r="L64" s="39"/>
    </row>
    <row r="65" spans="1:12" x14ac:dyDescent="0.25">
      <c r="A65" s="4">
        <v>200</v>
      </c>
      <c r="B65" s="161">
        <v>43631</v>
      </c>
      <c r="C65" s="10">
        <v>400</v>
      </c>
      <c r="D65" s="39">
        <v>43.851999999999997</v>
      </c>
      <c r="E65" s="39">
        <v>36.049999999999997</v>
      </c>
      <c r="F65" s="39">
        <f t="shared" si="6"/>
        <v>-3120.7999999999997</v>
      </c>
      <c r="G65" s="39">
        <f t="shared" si="7"/>
        <v>17540.8</v>
      </c>
      <c r="H65" s="175">
        <f t="shared" si="8"/>
        <v>-0.17791662866003832</v>
      </c>
      <c r="I65" s="39"/>
      <c r="J65" s="39"/>
      <c r="K65" s="39"/>
      <c r="L65" s="39"/>
    </row>
    <row r="66" spans="1:12" x14ac:dyDescent="0.25">
      <c r="A66" s="4">
        <v>300</v>
      </c>
      <c r="B66" s="161">
        <v>43640</v>
      </c>
      <c r="C66" s="352">
        <v>500</v>
      </c>
      <c r="D66" s="353">
        <v>42.137</v>
      </c>
      <c r="E66" s="39">
        <v>35.18</v>
      </c>
      <c r="F66" s="39">
        <f t="shared" si="6"/>
        <v>-3478.5000000000005</v>
      </c>
      <c r="G66" s="39">
        <f t="shared" si="7"/>
        <v>21068.5</v>
      </c>
      <c r="H66" s="175">
        <f t="shared" si="8"/>
        <v>-0.16510430263189121</v>
      </c>
      <c r="I66" s="39"/>
      <c r="J66" s="39"/>
      <c r="K66" s="39"/>
      <c r="L66" s="39"/>
    </row>
    <row r="67" spans="1:12" x14ac:dyDescent="0.25">
      <c r="A67" s="4">
        <v>200</v>
      </c>
      <c r="B67" s="161">
        <v>43643</v>
      </c>
      <c r="C67" s="10">
        <v>400</v>
      </c>
      <c r="D67" s="39">
        <v>43.734000000000002</v>
      </c>
      <c r="E67" s="39">
        <v>35.75</v>
      </c>
      <c r="F67" s="39">
        <f t="shared" si="6"/>
        <v>-3193.6000000000008</v>
      </c>
      <c r="G67" s="39">
        <f t="shared" si="7"/>
        <v>17493.600000000002</v>
      </c>
      <c r="H67" s="175">
        <f t="shared" si="8"/>
        <v>-0.18255819271047702</v>
      </c>
      <c r="I67" s="39"/>
      <c r="J67" s="39"/>
      <c r="K67" s="39"/>
      <c r="L67" s="39"/>
    </row>
    <row r="68" spans="1:12" x14ac:dyDescent="0.25">
      <c r="A68" s="4">
        <v>100</v>
      </c>
      <c r="B68" s="161">
        <v>43647</v>
      </c>
      <c r="C68" s="7">
        <v>300</v>
      </c>
      <c r="D68" s="43">
        <v>45.819000000000003</v>
      </c>
      <c r="E68" s="39">
        <v>37.450000000000003</v>
      </c>
      <c r="F68" s="39">
        <f t="shared" si="6"/>
        <v>-2510.6999999999998</v>
      </c>
      <c r="G68" s="39">
        <f t="shared" si="7"/>
        <v>13745.7</v>
      </c>
      <c r="H68" s="175">
        <f t="shared" si="8"/>
        <v>-0.18265348436238241</v>
      </c>
      <c r="I68" s="39"/>
      <c r="J68" s="39"/>
      <c r="K68" s="39">
        <v>8.14</v>
      </c>
      <c r="L68" s="39"/>
    </row>
    <row r="69" spans="1:12" x14ac:dyDescent="0.25">
      <c r="A69" s="4">
        <v>100</v>
      </c>
      <c r="B69" s="161">
        <v>43657</v>
      </c>
      <c r="C69" s="10">
        <v>400</v>
      </c>
      <c r="D69" s="39">
        <v>43.463999999999999</v>
      </c>
      <c r="E69" s="39">
        <v>36.19</v>
      </c>
      <c r="F69" s="39">
        <f t="shared" si="6"/>
        <v>-2909.6000000000004</v>
      </c>
      <c r="G69" s="39">
        <f t="shared" si="7"/>
        <v>17385.599999999999</v>
      </c>
      <c r="H69" s="175">
        <f t="shared" si="8"/>
        <v>-0.16735689306092402</v>
      </c>
      <c r="I69" s="39"/>
      <c r="J69" s="39"/>
      <c r="K69" s="39"/>
      <c r="L69" s="39"/>
    </row>
    <row r="70" spans="1:12" x14ac:dyDescent="0.25">
      <c r="A70" s="4">
        <v>200</v>
      </c>
      <c r="B70" s="161">
        <v>43678</v>
      </c>
      <c r="C70" s="7">
        <v>300</v>
      </c>
      <c r="D70" s="43">
        <v>45.22</v>
      </c>
      <c r="E70" s="39">
        <v>37.26</v>
      </c>
      <c r="F70" s="39">
        <f t="shared" si="6"/>
        <v>-2388.0000000000005</v>
      </c>
      <c r="G70" s="39">
        <f t="shared" si="7"/>
        <v>13566</v>
      </c>
      <c r="H70" s="175">
        <f t="shared" si="8"/>
        <v>-0.17602830605926584</v>
      </c>
      <c r="I70" s="39"/>
      <c r="J70" s="39"/>
      <c r="K70" s="39"/>
      <c r="L70" s="39"/>
    </row>
    <row r="71" spans="1:12" x14ac:dyDescent="0.25">
      <c r="A71" s="4">
        <v>200</v>
      </c>
      <c r="B71" s="161">
        <v>43682</v>
      </c>
      <c r="C71" s="10">
        <v>400</v>
      </c>
      <c r="D71" s="39">
        <v>42.715000000000003</v>
      </c>
      <c r="E71" s="39">
        <v>35.17</v>
      </c>
      <c r="F71" s="39">
        <f t="shared" si="6"/>
        <v>-3018.0000000000009</v>
      </c>
      <c r="G71" s="39">
        <f t="shared" si="7"/>
        <v>17086</v>
      </c>
      <c r="H71" s="175">
        <f t="shared" si="8"/>
        <v>-0.17663584220999651</v>
      </c>
      <c r="I71" s="39"/>
      <c r="J71" s="39"/>
      <c r="K71" s="39"/>
      <c r="L71" s="39"/>
    </row>
    <row r="72" spans="1:12" x14ac:dyDescent="0.25">
      <c r="A72" s="4">
        <v>300</v>
      </c>
      <c r="B72" s="161">
        <v>43697</v>
      </c>
      <c r="C72" s="10">
        <v>400</v>
      </c>
      <c r="D72" s="39">
        <v>42.26</v>
      </c>
      <c r="E72" s="39">
        <v>33.25</v>
      </c>
      <c r="F72" s="39">
        <f t="shared" si="6"/>
        <v>-3603.9999999999991</v>
      </c>
      <c r="G72" s="39">
        <f t="shared" si="7"/>
        <v>16904</v>
      </c>
      <c r="H72" s="175">
        <f t="shared" si="8"/>
        <v>-0.21320397539044009</v>
      </c>
      <c r="I72" s="39"/>
      <c r="J72" s="39"/>
      <c r="K72" s="39"/>
      <c r="L72" s="39"/>
    </row>
    <row r="73" spans="1:12" x14ac:dyDescent="0.25">
      <c r="A73" s="4">
        <v>300</v>
      </c>
      <c r="B73" s="161">
        <v>43718</v>
      </c>
      <c r="C73" s="7">
        <v>300</v>
      </c>
      <c r="D73" s="43">
        <v>44.18</v>
      </c>
      <c r="E73" s="39">
        <v>35.950000000000003</v>
      </c>
      <c r="F73" s="39">
        <f t="shared" ref="F73" si="9">C73*(E73-D73)</f>
        <v>-2468.9999999999991</v>
      </c>
      <c r="G73" s="39">
        <f t="shared" ref="G73" si="10">D73*C73</f>
        <v>13254</v>
      </c>
      <c r="H73" s="175">
        <f t="shared" ref="H73" si="11">(E73-D73)/D73</f>
        <v>-0.18628338614757803</v>
      </c>
      <c r="I73" s="39"/>
      <c r="J73" s="39"/>
      <c r="K73" s="39"/>
      <c r="L73" s="39"/>
    </row>
    <row r="74" spans="1:12" x14ac:dyDescent="0.25">
      <c r="A74" s="4">
        <v>300</v>
      </c>
      <c r="B74" s="161">
        <v>43777</v>
      </c>
      <c r="C74" s="10">
        <v>300</v>
      </c>
      <c r="D74" s="39">
        <v>44.18</v>
      </c>
      <c r="E74" s="39">
        <v>39.75</v>
      </c>
      <c r="F74" s="39">
        <f t="shared" ref="F74:F76" si="12">C74*(E74-D74)</f>
        <v>-1329</v>
      </c>
      <c r="G74" s="39">
        <f t="shared" ref="G74:G76" si="13">D74*C74</f>
        <v>13254</v>
      </c>
      <c r="H74" s="175">
        <f t="shared" ref="H74:H76" si="14">(E74-D74)/D74</f>
        <v>-0.10027161611588954</v>
      </c>
      <c r="I74" s="39"/>
      <c r="J74" s="39"/>
      <c r="K74" s="39"/>
      <c r="L74" s="39"/>
    </row>
    <row r="75" spans="1:12" x14ac:dyDescent="0.25">
      <c r="A75" s="4">
        <v>300</v>
      </c>
      <c r="B75" s="161">
        <v>43781</v>
      </c>
      <c r="C75" s="10">
        <v>300</v>
      </c>
      <c r="D75" s="39">
        <v>44.18</v>
      </c>
      <c r="E75" s="39">
        <v>40.64</v>
      </c>
      <c r="F75" s="39">
        <f t="shared" si="12"/>
        <v>-1061.9999999999998</v>
      </c>
      <c r="G75" s="39">
        <f t="shared" si="13"/>
        <v>13254</v>
      </c>
      <c r="H75" s="175">
        <f t="shared" si="14"/>
        <v>-8.0126754187415106E-2</v>
      </c>
      <c r="I75" s="39"/>
      <c r="J75" s="39"/>
      <c r="K75" s="39"/>
      <c r="L75" s="39"/>
    </row>
    <row r="76" spans="1:12" x14ac:dyDescent="0.25">
      <c r="A76" s="4">
        <v>300</v>
      </c>
      <c r="B76" s="161">
        <v>43802</v>
      </c>
      <c r="C76" s="7">
        <v>300</v>
      </c>
      <c r="D76" s="43">
        <v>43.715000000000003</v>
      </c>
      <c r="E76" s="39">
        <v>39.5</v>
      </c>
      <c r="F76" s="39">
        <f t="shared" si="12"/>
        <v>-1264.5000000000009</v>
      </c>
      <c r="G76" s="39">
        <f t="shared" si="13"/>
        <v>13114.500000000002</v>
      </c>
      <c r="H76" s="175">
        <f t="shared" si="14"/>
        <v>-9.6419993137367113E-2</v>
      </c>
      <c r="I76" s="39"/>
      <c r="J76" s="39"/>
      <c r="K76" s="39"/>
      <c r="L76" s="39"/>
    </row>
    <row r="77" spans="1:12" x14ac:dyDescent="0.25">
      <c r="A77" s="4"/>
      <c r="B77" s="161"/>
      <c r="C77" s="10"/>
      <c r="D77" s="39"/>
      <c r="E77" s="39"/>
      <c r="F77" s="39"/>
      <c r="G77" s="39"/>
      <c r="H77" s="175"/>
      <c r="I77" s="39"/>
      <c r="J77" s="39"/>
      <c r="K77" s="39"/>
      <c r="L77" s="39"/>
    </row>
    <row r="78" spans="1:12" x14ac:dyDescent="0.25">
      <c r="A78" s="4"/>
      <c r="B78" s="161"/>
      <c r="C78" s="10"/>
      <c r="D78" s="39"/>
      <c r="E78" s="39"/>
      <c r="F78" s="39"/>
      <c r="G78" s="39"/>
      <c r="H78" s="175"/>
      <c r="I78" s="39"/>
      <c r="J78" s="39"/>
      <c r="K78" s="39"/>
      <c r="L78" s="39"/>
    </row>
    <row r="79" spans="1:12" x14ac:dyDescent="0.25">
      <c r="A79" s="4"/>
      <c r="B79" s="161"/>
      <c r="C79" s="10"/>
      <c r="D79" s="39"/>
      <c r="E79" s="39"/>
      <c r="F79" s="39"/>
      <c r="G79" s="39"/>
      <c r="H79" s="175"/>
      <c r="I79" s="39"/>
      <c r="J79" s="39"/>
      <c r="K79" s="39"/>
      <c r="L79" s="39"/>
    </row>
    <row r="80" spans="1:12" x14ac:dyDescent="0.25">
      <c r="A80" s="4"/>
      <c r="B80" s="161"/>
      <c r="C80" s="10"/>
      <c r="D80" s="39"/>
      <c r="E80" s="39"/>
      <c r="F80" s="39"/>
      <c r="G80" s="39"/>
      <c r="H80" s="175"/>
      <c r="I80" s="39"/>
      <c r="J80" s="39"/>
      <c r="K80" s="39"/>
      <c r="L80" s="39"/>
    </row>
    <row r="81" spans="1:13" x14ac:dyDescent="0.25">
      <c r="A81" s="4"/>
      <c r="B81" s="4"/>
      <c r="C81" s="4"/>
      <c r="D81" s="3"/>
      <c r="E81" s="3"/>
      <c r="F81" s="3"/>
      <c r="G81" s="4"/>
      <c r="H81" s="4"/>
      <c r="I81" s="3"/>
      <c r="J81" s="3"/>
      <c r="K81" s="3"/>
      <c r="L81" s="4"/>
    </row>
    <row r="82" spans="1:13" x14ac:dyDescent="0.25">
      <c r="A82" s="4"/>
      <c r="B82" s="4"/>
      <c r="C82" s="4"/>
      <c r="D82" s="3"/>
      <c r="E82" s="3"/>
      <c r="F82" s="3"/>
      <c r="G82" s="4"/>
      <c r="H82" s="4"/>
      <c r="I82" s="3"/>
      <c r="J82" s="3"/>
      <c r="K82" s="3"/>
      <c r="L82" s="4"/>
    </row>
    <row r="83" spans="1:13" x14ac:dyDescent="0.25">
      <c r="A83" s="478"/>
      <c r="B83" s="478"/>
      <c r="C83" s="478"/>
      <c r="D83" s="479"/>
      <c r="E83" s="479"/>
      <c r="F83" s="479"/>
      <c r="G83" s="478"/>
      <c r="H83" s="478"/>
      <c r="I83" s="479"/>
      <c r="J83" s="479"/>
      <c r="K83" s="479"/>
      <c r="L83" s="478" t="s">
        <v>65</v>
      </c>
      <c r="M83" s="479">
        <f>M101+K101-F101</f>
        <v>0</v>
      </c>
    </row>
    <row r="84" spans="1:13" x14ac:dyDescent="0.25">
      <c r="A84" s="597" t="s">
        <v>1</v>
      </c>
      <c r="B84" s="597" t="s">
        <v>2</v>
      </c>
      <c r="C84" s="597" t="s">
        <v>4</v>
      </c>
      <c r="D84" s="598" t="s">
        <v>5</v>
      </c>
      <c r="E84" s="598" t="s">
        <v>94</v>
      </c>
      <c r="F84" s="598" t="s">
        <v>60</v>
      </c>
      <c r="G84" s="597" t="s">
        <v>3</v>
      </c>
      <c r="H84" s="597" t="s">
        <v>6</v>
      </c>
      <c r="I84" s="598" t="s">
        <v>7</v>
      </c>
      <c r="J84" s="598" t="s">
        <v>95</v>
      </c>
      <c r="K84" s="598" t="s">
        <v>61</v>
      </c>
      <c r="L84" s="597" t="s">
        <v>37</v>
      </c>
      <c r="M84" s="597" t="s">
        <v>38</v>
      </c>
    </row>
    <row r="85" spans="1:13" x14ac:dyDescent="0.25">
      <c r="A85" s="599" t="s">
        <v>1190</v>
      </c>
      <c r="B85" s="481"/>
      <c r="C85" s="478"/>
      <c r="D85" s="479"/>
      <c r="E85" s="479"/>
      <c r="F85" s="479"/>
      <c r="G85" s="481"/>
      <c r="H85" s="478"/>
      <c r="I85" s="479"/>
      <c r="J85" s="479"/>
      <c r="K85" s="479"/>
      <c r="L85" s="481"/>
      <c r="M85" s="479"/>
    </row>
    <row r="86" spans="1:13" x14ac:dyDescent="0.25">
      <c r="A86" s="600"/>
      <c r="B86" s="481"/>
      <c r="C86" s="478"/>
      <c r="D86" s="479"/>
      <c r="E86" s="479"/>
      <c r="F86" s="479"/>
      <c r="G86" s="481"/>
      <c r="H86" s="480"/>
      <c r="I86" s="479"/>
      <c r="J86" s="479"/>
      <c r="K86" s="479"/>
      <c r="L86" s="478"/>
      <c r="M86" s="478"/>
    </row>
    <row r="87" spans="1:13" x14ac:dyDescent="0.25">
      <c r="A87" s="478"/>
      <c r="B87" s="481"/>
      <c r="C87" s="478"/>
      <c r="D87" s="479"/>
      <c r="E87" s="479"/>
      <c r="F87" s="479"/>
      <c r="G87" s="481"/>
      <c r="H87" s="480"/>
      <c r="I87" s="479"/>
      <c r="J87" s="479"/>
      <c r="K87" s="479"/>
      <c r="L87" s="478"/>
      <c r="M87" s="478"/>
    </row>
    <row r="88" spans="1:13" x14ac:dyDescent="0.25">
      <c r="A88" s="478"/>
      <c r="B88" s="481"/>
      <c r="C88" s="478"/>
      <c r="D88" s="479"/>
      <c r="E88" s="479"/>
      <c r="F88" s="479"/>
      <c r="G88" s="478"/>
      <c r="H88" s="480"/>
      <c r="I88" s="479"/>
      <c r="J88" s="479"/>
      <c r="K88" s="479"/>
      <c r="L88" s="478"/>
      <c r="M88" s="478"/>
    </row>
    <row r="89" spans="1:13" x14ac:dyDescent="0.25">
      <c r="A89" s="478"/>
      <c r="B89" s="481"/>
      <c r="C89" s="478"/>
      <c r="D89" s="479"/>
      <c r="E89" s="479"/>
      <c r="F89" s="479"/>
      <c r="G89" s="478"/>
      <c r="H89" s="480"/>
      <c r="I89" s="479"/>
      <c r="J89" s="479"/>
      <c r="K89" s="479"/>
      <c r="L89" s="478"/>
      <c r="M89" s="478"/>
    </row>
    <row r="90" spans="1:13" x14ac:dyDescent="0.25">
      <c r="A90" s="478"/>
      <c r="B90" s="478"/>
      <c r="C90" s="478"/>
      <c r="D90" s="479"/>
      <c r="E90" s="479"/>
      <c r="F90" s="479"/>
      <c r="G90" s="478"/>
      <c r="H90" s="480"/>
      <c r="I90" s="479"/>
      <c r="J90" s="479"/>
      <c r="K90" s="479"/>
      <c r="L90" s="478"/>
      <c r="M90" s="478"/>
    </row>
    <row r="91" spans="1:13" x14ac:dyDescent="0.25">
      <c r="A91" s="478"/>
      <c r="B91" s="478"/>
      <c r="C91" s="478"/>
      <c r="D91" s="479"/>
      <c r="E91" s="479"/>
      <c r="F91" s="479"/>
      <c r="G91" s="478"/>
      <c r="H91" s="480"/>
      <c r="I91" s="479"/>
      <c r="J91" s="479"/>
      <c r="K91" s="479"/>
      <c r="L91" s="478"/>
      <c r="M91" s="478"/>
    </row>
    <row r="92" spans="1:13" x14ac:dyDescent="0.25">
      <c r="A92" s="478"/>
      <c r="B92" s="478"/>
      <c r="C92" s="478"/>
      <c r="D92" s="479"/>
      <c r="E92" s="479"/>
      <c r="F92" s="479"/>
      <c r="G92" s="478"/>
      <c r="H92" s="480"/>
      <c r="I92" s="479"/>
      <c r="J92" s="479"/>
      <c r="K92" s="479"/>
      <c r="L92" s="478"/>
      <c r="M92" s="478"/>
    </row>
    <row r="93" spans="1:13" x14ac:dyDescent="0.25">
      <c r="A93" s="478"/>
      <c r="B93" s="478"/>
      <c r="C93" s="478"/>
      <c r="D93" s="479"/>
      <c r="E93" s="479"/>
      <c r="F93" s="479"/>
      <c r="G93" s="478"/>
      <c r="H93" s="480"/>
      <c r="I93" s="479"/>
      <c r="J93" s="479"/>
      <c r="K93" s="479"/>
      <c r="L93" s="478"/>
      <c r="M93" s="478"/>
    </row>
    <row r="94" spans="1:13" x14ac:dyDescent="0.25">
      <c r="A94" s="478"/>
      <c r="B94" s="478"/>
      <c r="C94" s="478"/>
      <c r="D94" s="479"/>
      <c r="E94" s="479"/>
      <c r="F94" s="479"/>
      <c r="G94" s="478"/>
      <c r="H94" s="480"/>
      <c r="I94" s="479"/>
      <c r="J94" s="479"/>
      <c r="K94" s="479"/>
      <c r="L94" s="478"/>
      <c r="M94" s="478"/>
    </row>
    <row r="95" spans="1:13" x14ac:dyDescent="0.25">
      <c r="A95" s="478"/>
      <c r="B95" s="478"/>
      <c r="C95" s="478"/>
      <c r="D95" s="479"/>
      <c r="E95" s="479"/>
      <c r="F95" s="479"/>
      <c r="G95" s="478"/>
      <c r="H95" s="480"/>
      <c r="I95" s="479"/>
      <c r="J95" s="479"/>
      <c r="K95" s="479"/>
      <c r="L95" s="478"/>
      <c r="M95" s="478"/>
    </row>
    <row r="96" spans="1:13" x14ac:dyDescent="0.25">
      <c r="A96" s="478"/>
      <c r="B96" s="478"/>
      <c r="C96" s="478"/>
      <c r="D96" s="479"/>
      <c r="E96" s="479"/>
      <c r="F96" s="479"/>
      <c r="G96" s="478"/>
      <c r="H96" s="480"/>
      <c r="I96" s="479"/>
      <c r="J96" s="479"/>
      <c r="K96" s="479"/>
      <c r="L96" s="478"/>
      <c r="M96" s="478"/>
    </row>
    <row r="97" spans="1:13" x14ac:dyDescent="0.25">
      <c r="A97" s="478"/>
      <c r="B97" s="478"/>
      <c r="C97" s="478"/>
      <c r="D97" s="479"/>
      <c r="E97" s="479"/>
      <c r="F97" s="479"/>
      <c r="G97" s="478"/>
      <c r="H97" s="480"/>
      <c r="I97" s="479"/>
      <c r="J97" s="479"/>
      <c r="K97" s="479"/>
      <c r="L97" s="478"/>
      <c r="M97" s="478"/>
    </row>
    <row r="98" spans="1:13" x14ac:dyDescent="0.25">
      <c r="A98" s="478"/>
      <c r="B98" s="478"/>
      <c r="C98" s="478"/>
      <c r="D98" s="479"/>
      <c r="E98" s="479"/>
      <c r="F98" s="479"/>
      <c r="G98" s="478"/>
      <c r="H98" s="480"/>
      <c r="I98" s="479"/>
      <c r="J98" s="479"/>
      <c r="K98" s="479"/>
      <c r="L98" s="478"/>
      <c r="M98" s="478"/>
    </row>
    <row r="99" spans="1:13" x14ac:dyDescent="0.25">
      <c r="A99" s="478"/>
      <c r="B99" s="478"/>
      <c r="C99" s="478"/>
      <c r="D99" s="479"/>
      <c r="E99" s="479"/>
      <c r="F99" s="479"/>
      <c r="G99" s="478"/>
      <c r="H99" s="480"/>
      <c r="I99" s="479"/>
      <c r="J99" s="479"/>
      <c r="K99" s="479"/>
      <c r="L99" s="478"/>
      <c r="M99" s="478"/>
    </row>
    <row r="100" spans="1:13" x14ac:dyDescent="0.25">
      <c r="A100" s="478"/>
      <c r="B100" s="478"/>
      <c r="C100" s="478"/>
      <c r="D100" s="479"/>
      <c r="E100" s="479"/>
      <c r="F100" s="479"/>
      <c r="G100" s="478"/>
      <c r="H100" s="478"/>
      <c r="I100" s="479"/>
      <c r="J100" s="479"/>
      <c r="K100" s="479"/>
      <c r="L100" s="478"/>
      <c r="M100" s="478"/>
    </row>
    <row r="101" spans="1:13" x14ac:dyDescent="0.25">
      <c r="A101" s="601" t="s">
        <v>81</v>
      </c>
      <c r="B101" s="602"/>
      <c r="C101" s="602">
        <f>SUM(C85:C89)</f>
        <v>0</v>
      </c>
      <c r="D101" s="603"/>
      <c r="E101" s="603"/>
      <c r="F101" s="603">
        <f>SUM(F85:F89)</f>
        <v>0</v>
      </c>
      <c r="G101" s="602"/>
      <c r="H101" s="604">
        <f>SUM(H85:H88)</f>
        <v>0</v>
      </c>
      <c r="I101" s="603"/>
      <c r="J101" s="603"/>
      <c r="K101" s="603">
        <f>SUM(K85:K88)</f>
        <v>0</v>
      </c>
      <c r="L101" s="602"/>
      <c r="M101" s="603">
        <f>SUM(M85:M93)</f>
        <v>0</v>
      </c>
    </row>
    <row r="102" spans="1:13" ht="15.75" thickBot="1" x14ac:dyDescent="0.3">
      <c r="A102" s="605" t="s">
        <v>189</v>
      </c>
      <c r="B102" s="637"/>
      <c r="C102" s="606">
        <f>SumByColor($A$23,C85:C100)</f>
        <v>0</v>
      </c>
      <c r="D102" s="606"/>
      <c r="E102" s="606"/>
      <c r="F102" s="607">
        <f>SumByColor($A$23,F85:F100)</f>
        <v>0</v>
      </c>
      <c r="G102" s="606"/>
      <c r="H102" s="606">
        <f>SumByColor($A$23,H85:H100)</f>
        <v>0</v>
      </c>
      <c r="I102" s="606"/>
      <c r="J102" s="606"/>
      <c r="K102" s="607">
        <f>SumByColor($A$23,K86:K100)</f>
        <v>0</v>
      </c>
      <c r="L102" s="606"/>
      <c r="M102" s="607">
        <f>SumByColor($A$23,M85:M100)</f>
        <v>0</v>
      </c>
    </row>
    <row r="105" spans="1:13" x14ac:dyDescent="0.25">
      <c r="B105" s="159" t="s">
        <v>113</v>
      </c>
      <c r="C105" s="159" t="s">
        <v>143</v>
      </c>
      <c r="D105" s="160" t="s">
        <v>142</v>
      </c>
      <c r="E105" s="162" t="s">
        <v>144</v>
      </c>
      <c r="F105" s="162" t="s">
        <v>65</v>
      </c>
      <c r="G105" s="173" t="s">
        <v>148</v>
      </c>
      <c r="H105" s="173" t="s">
        <v>88</v>
      </c>
      <c r="I105" s="173" t="s">
        <v>151</v>
      </c>
      <c r="J105" s="173" t="s">
        <v>147</v>
      </c>
      <c r="K105" s="173" t="s">
        <v>601</v>
      </c>
      <c r="L105" s="173" t="s">
        <v>607</v>
      </c>
    </row>
    <row r="106" spans="1:13" x14ac:dyDescent="0.25">
      <c r="B106" s="161"/>
      <c r="C106" s="10"/>
      <c r="D106" s="39"/>
      <c r="E106" s="39"/>
      <c r="F106" s="39"/>
      <c r="G106" s="39"/>
      <c r="H106" s="175"/>
      <c r="I106" s="39"/>
      <c r="J106" s="39"/>
      <c r="K106" s="39"/>
      <c r="L106" s="39"/>
    </row>
    <row r="107" spans="1:13" x14ac:dyDescent="0.25">
      <c r="B107" s="161"/>
      <c r="C107" s="10"/>
      <c r="D107" s="39"/>
      <c r="E107" s="39"/>
      <c r="F107" s="39"/>
      <c r="G107" s="39"/>
      <c r="H107" s="175"/>
      <c r="I107" s="39"/>
      <c r="J107" s="39"/>
      <c r="K107" s="39"/>
      <c r="L107" s="39"/>
    </row>
    <row r="108" spans="1:13" x14ac:dyDescent="0.25">
      <c r="B108" s="161"/>
      <c r="C108" s="10"/>
      <c r="D108" s="39"/>
      <c r="E108" s="39"/>
      <c r="F108" s="39"/>
      <c r="G108" s="39"/>
      <c r="H108" s="175"/>
      <c r="I108" s="39"/>
      <c r="J108" s="39"/>
      <c r="K108" s="39"/>
      <c r="L108" s="152"/>
    </row>
    <row r="109" spans="1:13" x14ac:dyDescent="0.25">
      <c r="B109" s="161"/>
      <c r="C109" s="10"/>
      <c r="D109" s="39"/>
      <c r="E109" s="39"/>
      <c r="F109" s="39"/>
      <c r="G109" s="39"/>
      <c r="H109" s="175"/>
      <c r="I109" s="39"/>
      <c r="J109" s="39"/>
      <c r="K109" s="39"/>
      <c r="L109" s="152"/>
    </row>
    <row r="110" spans="1:13" x14ac:dyDescent="0.25">
      <c r="B110" s="161"/>
      <c r="C110" s="10"/>
      <c r="D110" s="39"/>
      <c r="E110" s="39"/>
      <c r="F110" s="39"/>
      <c r="G110" s="39"/>
      <c r="H110" s="175"/>
      <c r="I110" s="39"/>
      <c r="J110" s="39"/>
      <c r="K110" s="39"/>
      <c r="L110" s="152"/>
    </row>
    <row r="111" spans="1:13" x14ac:dyDescent="0.25">
      <c r="B111" s="161"/>
      <c r="C111" s="10"/>
      <c r="D111" s="39"/>
      <c r="E111" s="39"/>
      <c r="F111" s="39"/>
      <c r="G111" s="39"/>
      <c r="H111" s="175"/>
      <c r="I111" s="39"/>
      <c r="J111" s="39"/>
      <c r="K111" s="39"/>
      <c r="L111" s="152"/>
    </row>
    <row r="112" spans="1:13" x14ac:dyDescent="0.25">
      <c r="B112" s="161"/>
      <c r="C112" s="10"/>
      <c r="D112" s="39"/>
      <c r="E112" s="39"/>
      <c r="F112" s="39"/>
      <c r="G112" s="39"/>
      <c r="H112" s="175"/>
      <c r="I112" s="39"/>
      <c r="J112" s="39"/>
      <c r="K112" s="39"/>
      <c r="L112" s="152"/>
    </row>
    <row r="113" spans="2:12" x14ac:dyDescent="0.25">
      <c r="B113" s="161"/>
      <c r="C113" s="10"/>
      <c r="D113" s="39"/>
      <c r="E113" s="39"/>
      <c r="F113" s="39"/>
      <c r="G113" s="39"/>
      <c r="H113" s="175"/>
      <c r="I113" s="39"/>
      <c r="J113" s="39"/>
      <c r="K113" s="39"/>
      <c r="L113" s="152"/>
    </row>
    <row r="114" spans="2:12" x14ac:dyDescent="0.25">
      <c r="B114" s="161"/>
      <c r="C114" s="10"/>
      <c r="D114" s="39"/>
      <c r="E114" s="39"/>
      <c r="F114" s="39"/>
      <c r="G114" s="39"/>
      <c r="H114" s="175"/>
      <c r="I114" s="39"/>
      <c r="J114" s="39"/>
      <c r="K114" s="39"/>
      <c r="L114" s="152"/>
    </row>
    <row r="115" spans="2:12" x14ac:dyDescent="0.25">
      <c r="B115" s="161"/>
      <c r="C115" s="10"/>
      <c r="D115" s="39"/>
      <c r="E115" s="39"/>
      <c r="F115" s="39"/>
      <c r="G115" s="39"/>
      <c r="H115" s="175"/>
      <c r="I115" s="39"/>
      <c r="J115" s="39"/>
      <c r="K115" s="39"/>
      <c r="L115" s="152"/>
    </row>
    <row r="116" spans="2:12" x14ac:dyDescent="0.25">
      <c r="B116" s="161"/>
      <c r="C116" s="10"/>
      <c r="D116" s="39"/>
      <c r="E116" s="39"/>
      <c r="F116" s="39"/>
      <c r="G116" s="39"/>
      <c r="H116" s="175"/>
      <c r="I116" s="39"/>
      <c r="J116" s="39"/>
      <c r="K116" s="39"/>
      <c r="L116" s="152"/>
    </row>
    <row r="117" spans="2:12" x14ac:dyDescent="0.25">
      <c r="B117" s="161"/>
      <c r="C117" s="10"/>
      <c r="D117" s="39"/>
      <c r="E117" s="39"/>
      <c r="F117" s="39"/>
      <c r="G117" s="39"/>
      <c r="H117" s="175"/>
      <c r="I117" s="39"/>
      <c r="J117" s="39"/>
      <c r="K117" s="39"/>
      <c r="L117" s="39"/>
    </row>
    <row r="118" spans="2:12" x14ac:dyDescent="0.25">
      <c r="B118" s="161"/>
      <c r="C118" s="10"/>
      <c r="D118" s="39"/>
      <c r="E118" s="39"/>
      <c r="F118" s="39"/>
      <c r="G118" s="39"/>
      <c r="H118" s="175"/>
      <c r="I118" s="39"/>
      <c r="J118" s="39"/>
      <c r="K118" s="39"/>
      <c r="L118" s="39"/>
    </row>
    <row r="119" spans="2:12" x14ac:dyDescent="0.25">
      <c r="B119" s="161"/>
      <c r="C119" s="10"/>
      <c r="D119" s="39"/>
      <c r="E119" s="39"/>
      <c r="F119" s="39"/>
      <c r="G119" s="39"/>
      <c r="H119" s="175"/>
      <c r="I119" s="39"/>
      <c r="J119" s="39"/>
      <c r="K119" s="39"/>
      <c r="L119" s="39"/>
    </row>
    <row r="120" spans="2:12" x14ac:dyDescent="0.25">
      <c r="B120" s="161"/>
      <c r="C120" s="10"/>
      <c r="D120" s="39"/>
      <c r="E120" s="39"/>
      <c r="F120" s="39"/>
      <c r="G120" s="39"/>
      <c r="H120" s="175"/>
      <c r="I120" s="39"/>
      <c r="J120" s="39"/>
      <c r="K120" s="39"/>
      <c r="L120" s="39"/>
    </row>
    <row r="121" spans="2:12" x14ac:dyDescent="0.25">
      <c r="B121" s="161"/>
      <c r="C121" s="10"/>
      <c r="D121" s="39"/>
      <c r="E121" s="39"/>
      <c r="F121" s="39"/>
      <c r="G121" s="39"/>
      <c r="H121" s="175"/>
      <c r="I121" s="39"/>
      <c r="J121" s="39"/>
      <c r="K121" s="39"/>
      <c r="L121" s="39"/>
    </row>
    <row r="122" spans="2:12" x14ac:dyDescent="0.25">
      <c r="B122" s="161"/>
      <c r="C122" s="10"/>
      <c r="D122" s="39"/>
      <c r="E122" s="39"/>
      <c r="F122" s="39"/>
      <c r="G122" s="39"/>
      <c r="H122" s="175"/>
      <c r="I122" s="39"/>
      <c r="J122" s="39"/>
      <c r="K122" s="39"/>
      <c r="L122" s="39"/>
    </row>
    <row r="123" spans="2:12" x14ac:dyDescent="0.25">
      <c r="B123" s="161"/>
      <c r="C123" s="10"/>
      <c r="D123" s="39"/>
      <c r="E123" s="39"/>
      <c r="F123" s="39"/>
      <c r="G123" s="39"/>
      <c r="H123" s="175"/>
      <c r="I123" s="39"/>
      <c r="J123" s="39"/>
      <c r="K123" s="39"/>
      <c r="L123" s="39"/>
    </row>
    <row r="124" spans="2:12" x14ac:dyDescent="0.25">
      <c r="B124" s="161"/>
      <c r="C124" s="10"/>
      <c r="D124" s="39"/>
      <c r="E124" s="39"/>
      <c r="F124" s="39"/>
      <c r="G124" s="39"/>
      <c r="H124" s="175"/>
      <c r="I124" s="39"/>
      <c r="J124" s="39"/>
      <c r="K124" s="39"/>
      <c r="L124" s="39"/>
    </row>
    <row r="125" spans="2:12" x14ac:dyDescent="0.25">
      <c r="B125" s="161"/>
      <c r="C125" s="10"/>
      <c r="D125" s="39"/>
      <c r="E125" s="39"/>
      <c r="F125" s="39"/>
      <c r="G125" s="39"/>
      <c r="H125" s="175"/>
      <c r="I125" s="39"/>
      <c r="J125" s="39"/>
      <c r="K125" s="39"/>
      <c r="L125" s="39"/>
    </row>
    <row r="126" spans="2:12" x14ac:dyDescent="0.25">
      <c r="B126" s="161"/>
      <c r="C126" s="10"/>
      <c r="D126" s="39"/>
      <c r="E126" s="39"/>
      <c r="F126" s="39"/>
      <c r="G126" s="39"/>
      <c r="H126" s="175"/>
      <c r="I126" s="39"/>
      <c r="J126" s="39"/>
      <c r="K126" s="39"/>
      <c r="L126" s="39"/>
    </row>
    <row r="127" spans="2:12" x14ac:dyDescent="0.25">
      <c r="B127" s="161"/>
      <c r="C127" s="10"/>
      <c r="D127" s="39"/>
      <c r="E127" s="39"/>
      <c r="F127" s="39"/>
      <c r="G127" s="39"/>
      <c r="H127" s="175"/>
      <c r="I127" s="39"/>
      <c r="J127" s="39"/>
      <c r="K127" s="39"/>
      <c r="L127"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Q7 F34:F65 H34:H65 H79:H80 F79:F80">
    <cfRule type="expression" dxfId="199" priority="45">
      <formula>F7&gt;0</formula>
    </cfRule>
    <cfRule type="expression" dxfId="198" priority="46">
      <formula>F7&lt;0</formula>
    </cfRule>
  </conditionalFormatting>
  <conditionalFormatting sqref="Q8">
    <cfRule type="expression" dxfId="197" priority="43">
      <formula>Q8&gt;0</formula>
    </cfRule>
    <cfRule type="expression" dxfId="196" priority="44">
      <formula>Q8&lt;0</formula>
    </cfRule>
  </conditionalFormatting>
  <conditionalFormatting sqref="Q10">
    <cfRule type="expression" dxfId="195" priority="37">
      <formula>Q10&gt;0</formula>
    </cfRule>
    <cfRule type="expression" dxfId="194" priority="38">
      <formula>Q10&lt;0</formula>
    </cfRule>
  </conditionalFormatting>
  <conditionalFormatting sqref="J29:J43">
    <cfRule type="expression" dxfId="193" priority="35">
      <formula>J29&gt;0</formula>
    </cfRule>
    <cfRule type="expression" dxfId="192" priority="36">
      <formula>J29&lt;0</formula>
    </cfRule>
  </conditionalFormatting>
  <conditionalFormatting sqref="K29:K40">
    <cfRule type="expression" dxfId="191" priority="33">
      <formula>K29&gt;0</formula>
    </cfRule>
    <cfRule type="expression" dxfId="190" priority="34">
      <formula>K29&lt;0</formula>
    </cfRule>
  </conditionalFormatting>
  <conditionalFormatting sqref="L29">
    <cfRule type="expression" dxfId="189" priority="31">
      <formula>L29&gt;0</formula>
    </cfRule>
    <cfRule type="expression" dxfId="188" priority="32">
      <formula>L29&lt;0</formula>
    </cfRule>
  </conditionalFormatting>
  <conditionalFormatting sqref="F106:F127">
    <cfRule type="expression" dxfId="187" priority="29">
      <formula>F106&gt;0</formula>
    </cfRule>
    <cfRule type="expression" dxfId="186" priority="30">
      <formula>F106&lt;0</formula>
    </cfRule>
  </conditionalFormatting>
  <conditionalFormatting sqref="H106:H127">
    <cfRule type="expression" dxfId="185" priority="27">
      <formula>H106&gt;0</formula>
    </cfRule>
    <cfRule type="expression" dxfId="184" priority="28">
      <formula>H106&lt;0</formula>
    </cfRule>
  </conditionalFormatting>
  <conditionalFormatting sqref="J106:J119">
    <cfRule type="expression" dxfId="183" priority="25">
      <formula>J106&gt;0</formula>
    </cfRule>
    <cfRule type="expression" dxfId="182" priority="26">
      <formula>J106&lt;0</formula>
    </cfRule>
  </conditionalFormatting>
  <conditionalFormatting sqref="K106:K119">
    <cfRule type="expression" dxfId="181" priority="23">
      <formula>K106&gt;0</formula>
    </cfRule>
    <cfRule type="expression" dxfId="180" priority="24">
      <formula>K106&lt;0</formula>
    </cfRule>
  </conditionalFormatting>
  <conditionalFormatting sqref="L106:L119">
    <cfRule type="expression" dxfId="179" priority="21">
      <formula>L106&gt;0</formula>
    </cfRule>
    <cfRule type="expression" dxfId="178" priority="22">
      <formula>L106&lt;0</formula>
    </cfRule>
  </conditionalFormatting>
  <conditionalFormatting sqref="F29:F33">
    <cfRule type="expression" dxfId="177" priority="19">
      <formula>F29&gt;0</formula>
    </cfRule>
    <cfRule type="expression" dxfId="176" priority="20">
      <formula>F29&lt;0</formula>
    </cfRule>
  </conditionalFormatting>
  <conditionalFormatting sqref="H29:H33">
    <cfRule type="expression" dxfId="175" priority="17">
      <formula>H29&gt;0</formula>
    </cfRule>
    <cfRule type="expression" dxfId="174" priority="18">
      <formula>H29&lt;0</formula>
    </cfRule>
  </conditionalFormatting>
  <conditionalFormatting sqref="H66:H69 F66:F69">
    <cfRule type="expression" dxfId="173" priority="11">
      <formula>F66&gt;0</formula>
    </cfRule>
    <cfRule type="expression" dxfId="172" priority="12">
      <formula>F66&lt;0</formula>
    </cfRule>
  </conditionalFormatting>
  <conditionalFormatting sqref="H78 F78">
    <cfRule type="expression" dxfId="171" priority="9">
      <formula>F78&gt;0</formula>
    </cfRule>
    <cfRule type="expression" dxfId="170" priority="10">
      <formula>F78&lt;0</formula>
    </cfRule>
  </conditionalFormatting>
  <conditionalFormatting sqref="H72:H74 F72:F74">
    <cfRule type="expression" dxfId="169" priority="7">
      <formula>F72&gt;0</formula>
    </cfRule>
    <cfRule type="expression" dxfId="168" priority="8">
      <formula>F72&lt;0</formula>
    </cfRule>
  </conditionalFormatting>
  <conditionalFormatting sqref="H70:H71 F70:F71">
    <cfRule type="expression" dxfId="167" priority="5">
      <formula>F70&gt;0</formula>
    </cfRule>
    <cfRule type="expression" dxfId="166" priority="6">
      <formula>F70&lt;0</formula>
    </cfRule>
  </conditionalFormatting>
  <conditionalFormatting sqref="H76:H77 F76:F77">
    <cfRule type="expression" dxfId="165" priority="3">
      <formula>F76&gt;0</formula>
    </cfRule>
    <cfRule type="expression" dxfId="164" priority="4">
      <formula>F76&lt;0</formula>
    </cfRule>
  </conditionalFormatting>
  <conditionalFormatting sqref="H75 F75">
    <cfRule type="expression" dxfId="163" priority="1">
      <formula>F75&gt;0</formula>
    </cfRule>
    <cfRule type="expression" dxfId="162" priority="2">
      <formula>F75&lt;0</formula>
    </cfRule>
  </conditionalFormatting>
  <hyperlinks>
    <hyperlink ref="A3" location="ACTIVE!A1" display="Back"/>
  </hyperlinks>
  <pageMargins left="0.7" right="0.7" top="0.75" bottom="0.75" header="0.3" footer="0.3"/>
  <pageSetup orientation="portrait" r:id="rId1"/>
  <drawing r:id="rId2"/>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1229</v>
      </c>
      <c r="B2" s="360">
        <v>43383</v>
      </c>
      <c r="C2" s="7">
        <v>100</v>
      </c>
      <c r="D2" s="43">
        <v>54.6</v>
      </c>
      <c r="E2" s="43">
        <v>0</v>
      </c>
      <c r="F2" s="43">
        <f>C2*D2+E2</f>
        <v>5460</v>
      </c>
      <c r="G2" s="360">
        <v>43516</v>
      </c>
      <c r="H2" s="7">
        <v>100</v>
      </c>
      <c r="I2" s="43">
        <v>55.75</v>
      </c>
      <c r="J2" s="43">
        <v>7.0000000000000007E-2</v>
      </c>
      <c r="K2" s="43">
        <f>H2*I2-J2</f>
        <v>5574.93</v>
      </c>
      <c r="L2" s="69">
        <v>43461</v>
      </c>
      <c r="M2" s="7">
        <v>31.86</v>
      </c>
      <c r="O2" s="11" t="s">
        <v>57</v>
      </c>
      <c r="Q2">
        <f>C18-H18</f>
        <v>0</v>
      </c>
      <c r="T2" s="1"/>
      <c r="U2" t="s">
        <v>1230</v>
      </c>
    </row>
    <row r="3" spans="1:21" x14ac:dyDescent="0.25">
      <c r="A3" s="22" t="s">
        <v>71</v>
      </c>
      <c r="B3" s="69"/>
      <c r="C3" s="4"/>
      <c r="D3" s="3"/>
      <c r="E3" s="3"/>
      <c r="F3" s="3"/>
      <c r="G3" s="69"/>
      <c r="H3" s="158"/>
      <c r="I3" s="3"/>
      <c r="J3" s="3"/>
      <c r="K3" s="3"/>
      <c r="L3" s="4"/>
      <c r="M3" s="4"/>
      <c r="O3" s="11" t="s">
        <v>58</v>
      </c>
      <c r="Q3" s="174">
        <f>IF(Q2=0, Q4, (F18-K18-M18)/Q2)</f>
        <v>58.2</v>
      </c>
      <c r="T3" s="1"/>
      <c r="U3" s="22"/>
    </row>
    <row r="4" spans="1:21" x14ac:dyDescent="0.25">
      <c r="B4" s="69"/>
      <c r="C4" s="4"/>
      <c r="D4" s="3"/>
      <c r="E4" s="3"/>
      <c r="F4" s="3"/>
      <c r="G4" s="69"/>
      <c r="H4" s="158"/>
      <c r="I4" s="3"/>
      <c r="J4" s="3"/>
      <c r="K4" s="3"/>
      <c r="L4" s="4"/>
      <c r="M4" s="4"/>
      <c r="O4" s="11" t="s">
        <v>66</v>
      </c>
      <c r="Q4" s="53">
        <v>58.2</v>
      </c>
      <c r="R4" s="416">
        <v>6.1999999999999998E-3</v>
      </c>
      <c r="T4" s="680"/>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146.78999999999996</v>
      </c>
      <c r="R7">
        <v>0</v>
      </c>
    </row>
    <row r="8" spans="1:21" x14ac:dyDescent="0.25">
      <c r="B8" s="69"/>
      <c r="C8" s="4"/>
      <c r="D8" s="3"/>
      <c r="E8" s="3"/>
      <c r="F8" s="3"/>
      <c r="G8" s="4"/>
      <c r="H8" s="158"/>
      <c r="I8" s="3"/>
      <c r="J8" s="3"/>
      <c r="K8" s="3"/>
      <c r="L8" s="69"/>
      <c r="M8" s="4"/>
      <c r="O8" s="11" t="s">
        <v>177</v>
      </c>
      <c r="P8" s="33"/>
      <c r="Q8" s="2">
        <f>K18+M18-F18+Q2*Q4</f>
        <v>146.78999999999996</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1.9848797250859106E-2</v>
      </c>
      <c r="R11">
        <f>0.2888*4</f>
        <v>1.1552</v>
      </c>
    </row>
    <row r="12" spans="1:21" x14ac:dyDescent="0.25">
      <c r="H12" s="67"/>
      <c r="O12" s="11" t="s">
        <v>875</v>
      </c>
      <c r="Q12" s="1"/>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64.02000000000001</v>
      </c>
    </row>
    <row r="18" spans="1:16" x14ac:dyDescent="0.25">
      <c r="A18" s="31" t="s">
        <v>81</v>
      </c>
      <c r="B18" s="14"/>
      <c r="C18" s="14">
        <f>SUM(C2:C8)</f>
        <v>100</v>
      </c>
      <c r="D18" s="18"/>
      <c r="E18" s="18"/>
      <c r="F18" s="18">
        <f>SUM(F2:F8)</f>
        <v>5460</v>
      </c>
      <c r="G18" s="14"/>
      <c r="H18" s="68">
        <f>SUM(H2:H5)</f>
        <v>100</v>
      </c>
      <c r="I18" s="18"/>
      <c r="J18" s="18"/>
      <c r="K18" s="18">
        <f>SUM(K2:K5)</f>
        <v>5574.93</v>
      </c>
      <c r="L18" s="14"/>
      <c r="M18" s="18">
        <f>SUM(M2:M10)</f>
        <v>31.86</v>
      </c>
      <c r="O18" s="78">
        <v>1.0900000000000001</v>
      </c>
      <c r="P18" s="78">
        <f t="shared" ref="P18:P37" si="0">O18*$Q$4</f>
        <v>63.438000000000009</v>
      </c>
    </row>
    <row r="19" spans="1:16" ht="15.75" thickBot="1" x14ac:dyDescent="0.3">
      <c r="A19" s="273" t="s">
        <v>189</v>
      </c>
      <c r="B19" s="274"/>
      <c r="C19" s="275">
        <f>SumByColor($A$19,C2:C17)</f>
        <v>100</v>
      </c>
      <c r="D19" s="275"/>
      <c r="E19" s="275"/>
      <c r="F19" s="276">
        <f>SumByColor($A$19,F2:F17)</f>
        <v>5460</v>
      </c>
      <c r="G19" s="275"/>
      <c r="H19" s="275">
        <f>SumByColor($A$19,H2:H17)</f>
        <v>100</v>
      </c>
      <c r="I19" s="275"/>
      <c r="J19" s="275"/>
      <c r="K19" s="276">
        <f>SumByColor($A$19,K2:K17)</f>
        <v>5575</v>
      </c>
      <c r="L19" s="275"/>
      <c r="M19" s="276">
        <f>SumByColor($A$19,M2:M17)</f>
        <v>32</v>
      </c>
      <c r="O19" s="78">
        <v>1.08</v>
      </c>
      <c r="P19" s="78">
        <f t="shared" si="0"/>
        <v>62.856000000000009</v>
      </c>
    </row>
    <row r="20" spans="1:16" x14ac:dyDescent="0.25">
      <c r="O20" s="78">
        <v>1.07</v>
      </c>
      <c r="P20" s="78">
        <f t="shared" si="0"/>
        <v>62.274000000000008</v>
      </c>
    </row>
    <row r="21" spans="1:16" x14ac:dyDescent="0.25">
      <c r="O21" s="78">
        <v>1.06</v>
      </c>
      <c r="P21" s="78">
        <f t="shared" si="0"/>
        <v>61.692000000000007</v>
      </c>
    </row>
    <row r="22" spans="1:16" x14ac:dyDescent="0.25">
      <c r="O22" s="78">
        <v>1.05</v>
      </c>
      <c r="P22" s="78">
        <f t="shared" si="0"/>
        <v>61.110000000000007</v>
      </c>
    </row>
    <row r="23" spans="1:16" x14ac:dyDescent="0.25">
      <c r="O23" s="78">
        <v>1.04</v>
      </c>
      <c r="P23" s="78">
        <f t="shared" si="0"/>
        <v>60.528000000000006</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59.946000000000005</v>
      </c>
    </row>
    <row r="25" spans="1:16" x14ac:dyDescent="0.25">
      <c r="B25" s="161">
        <v>43383</v>
      </c>
      <c r="C25" s="10">
        <v>100</v>
      </c>
      <c r="D25" s="39">
        <v>54.6</v>
      </c>
      <c r="E25" s="39">
        <v>54.24</v>
      </c>
      <c r="F25" s="39">
        <f>C25*(E25-D25)</f>
        <v>-35.999999999999943</v>
      </c>
      <c r="G25" s="39">
        <f>D25*C25</f>
        <v>5460</v>
      </c>
      <c r="H25" s="175">
        <f>(E25-D25)/D25</f>
        <v>-6.593406593406583E-3</v>
      </c>
      <c r="I25" s="39"/>
      <c r="J25" s="39"/>
      <c r="K25" s="39"/>
      <c r="L25" s="39"/>
      <c r="O25" s="78">
        <v>1.02</v>
      </c>
      <c r="P25" s="78">
        <f t="shared" si="0"/>
        <v>59.364000000000004</v>
      </c>
    </row>
    <row r="26" spans="1:16" x14ac:dyDescent="0.25">
      <c r="B26" s="161">
        <v>43385</v>
      </c>
      <c r="C26" s="10">
        <v>100</v>
      </c>
      <c r="D26" s="39">
        <v>54.6</v>
      </c>
      <c r="E26" s="39">
        <v>53.76</v>
      </c>
      <c r="F26" s="39">
        <f>C26*(E26-D26)</f>
        <v>-84.000000000000341</v>
      </c>
      <c r="G26" s="39">
        <f>D26*C26</f>
        <v>5460</v>
      </c>
      <c r="H26" s="175">
        <f>(E26-D26)/D26</f>
        <v>-1.5384615384615446E-2</v>
      </c>
      <c r="I26" s="39"/>
      <c r="J26" s="39"/>
      <c r="K26" s="39"/>
      <c r="L26" s="39"/>
      <c r="O26" s="78">
        <v>1.01</v>
      </c>
      <c r="P26" s="78">
        <f t="shared" si="0"/>
        <v>58.782000000000004</v>
      </c>
    </row>
    <row r="27" spans="1:16" x14ac:dyDescent="0.25">
      <c r="B27" s="161">
        <v>43461</v>
      </c>
      <c r="C27" s="10">
        <v>100</v>
      </c>
      <c r="D27" s="39">
        <v>54.281399999999998</v>
      </c>
      <c r="E27" s="39">
        <v>50.37</v>
      </c>
      <c r="F27" s="39">
        <f>C27*(E27-D27)</f>
        <v>-391.14000000000004</v>
      </c>
      <c r="G27" s="39">
        <f>D27*C27</f>
        <v>5428.1399999999994</v>
      </c>
      <c r="H27" s="175">
        <f>(E27-D27)/D27</f>
        <v>-7.2057831964540353E-2</v>
      </c>
      <c r="I27" s="39"/>
      <c r="J27" s="39"/>
      <c r="K27" s="39"/>
      <c r="L27" s="39"/>
      <c r="O27" s="78">
        <v>1</v>
      </c>
      <c r="P27" s="78">
        <f t="shared" si="0"/>
        <v>58.2</v>
      </c>
    </row>
    <row r="28" spans="1:16" x14ac:dyDescent="0.25">
      <c r="B28" s="161">
        <v>43516</v>
      </c>
      <c r="C28" s="10">
        <v>0</v>
      </c>
      <c r="D28" s="39">
        <v>54.28</v>
      </c>
      <c r="E28" s="39">
        <v>55.75</v>
      </c>
      <c r="F28" s="39">
        <v>146.86000000000001</v>
      </c>
      <c r="G28" s="39"/>
      <c r="H28" s="175">
        <f>(E28-D28)/D28</f>
        <v>2.7081798084008821E-2</v>
      </c>
      <c r="I28" s="39"/>
      <c r="J28" s="39"/>
      <c r="K28" s="39"/>
      <c r="L28" s="39"/>
      <c r="O28" s="78">
        <v>0.99</v>
      </c>
      <c r="P28" s="78">
        <f t="shared" si="0"/>
        <v>57.618000000000002</v>
      </c>
    </row>
    <row r="29" spans="1:16" x14ac:dyDescent="0.25">
      <c r="B29" s="161"/>
      <c r="C29" s="10"/>
      <c r="D29" s="39"/>
      <c r="E29" s="39"/>
      <c r="F29" s="39"/>
      <c r="G29" s="39"/>
      <c r="H29" s="175"/>
      <c r="I29" s="39"/>
      <c r="J29" s="39"/>
      <c r="K29" s="39"/>
      <c r="L29" s="39"/>
      <c r="O29" s="78">
        <v>0.98</v>
      </c>
      <c r="P29" s="78">
        <f t="shared" si="0"/>
        <v>57.036000000000001</v>
      </c>
    </row>
    <row r="30" spans="1:16" x14ac:dyDescent="0.25">
      <c r="B30" s="161"/>
      <c r="C30" s="10"/>
      <c r="D30" s="39"/>
      <c r="E30" s="39"/>
      <c r="F30" s="39"/>
      <c r="G30" s="39"/>
      <c r="H30" s="175"/>
      <c r="I30" s="39"/>
      <c r="J30" s="39"/>
      <c r="K30" s="39"/>
      <c r="L30" s="39"/>
      <c r="O30" s="78">
        <v>0.97</v>
      </c>
      <c r="P30" s="78">
        <f t="shared" si="0"/>
        <v>56.454000000000001</v>
      </c>
    </row>
    <row r="31" spans="1:16" x14ac:dyDescent="0.25">
      <c r="B31" s="161"/>
      <c r="C31" s="10"/>
      <c r="D31" s="39"/>
      <c r="E31" s="39"/>
      <c r="F31" s="39"/>
      <c r="G31" s="39"/>
      <c r="H31" s="175"/>
      <c r="I31" s="39"/>
      <c r="J31" s="39"/>
      <c r="K31" s="39"/>
      <c r="L31" s="39"/>
      <c r="O31" s="78">
        <v>0.96</v>
      </c>
      <c r="P31" s="78">
        <f t="shared" si="0"/>
        <v>55.872</v>
      </c>
    </row>
    <row r="32" spans="1:16" x14ac:dyDescent="0.25">
      <c r="B32" s="161"/>
      <c r="C32" s="10"/>
      <c r="D32" s="39"/>
      <c r="E32" s="39"/>
      <c r="F32" s="39"/>
      <c r="G32" s="39"/>
      <c r="H32" s="175"/>
      <c r="I32" s="39"/>
      <c r="J32" s="39"/>
      <c r="K32" s="39"/>
      <c r="L32" s="39"/>
      <c r="O32" s="78">
        <v>0.95</v>
      </c>
      <c r="P32" s="78">
        <f t="shared" si="0"/>
        <v>55.29</v>
      </c>
    </row>
    <row r="33" spans="2:17" x14ac:dyDescent="0.25">
      <c r="B33" s="161"/>
      <c r="C33" s="10"/>
      <c r="D33" s="39"/>
      <c r="E33" s="39"/>
      <c r="F33" s="39"/>
      <c r="G33" s="39"/>
      <c r="H33" s="175"/>
      <c r="I33" s="39"/>
      <c r="J33" s="39"/>
      <c r="K33" s="39"/>
      <c r="L33" s="39"/>
      <c r="O33" s="78">
        <v>0.94</v>
      </c>
      <c r="P33" s="78">
        <f t="shared" si="0"/>
        <v>54.707999999999998</v>
      </c>
    </row>
    <row r="34" spans="2:17" x14ac:dyDescent="0.25">
      <c r="B34" s="161"/>
      <c r="C34" s="10"/>
      <c r="D34" s="39"/>
      <c r="E34" s="39"/>
      <c r="F34" s="39"/>
      <c r="G34" s="39"/>
      <c r="H34" s="175"/>
      <c r="I34" s="39"/>
      <c r="J34" s="39"/>
      <c r="K34" s="39"/>
      <c r="L34" s="39"/>
      <c r="O34" s="78">
        <v>0.93</v>
      </c>
      <c r="P34" s="78">
        <f t="shared" si="0"/>
        <v>54.126000000000005</v>
      </c>
    </row>
    <row r="35" spans="2:17" x14ac:dyDescent="0.25">
      <c r="B35" s="161"/>
      <c r="C35" s="10"/>
      <c r="D35" s="39"/>
      <c r="E35" s="39"/>
      <c r="F35" s="39"/>
      <c r="G35" s="39"/>
      <c r="H35" s="175"/>
      <c r="I35" s="39"/>
      <c r="J35" s="39"/>
      <c r="K35" s="39"/>
      <c r="L35" s="39"/>
      <c r="O35" s="78">
        <v>0.92</v>
      </c>
      <c r="P35" s="78">
        <f t="shared" si="0"/>
        <v>53.544000000000004</v>
      </c>
    </row>
    <row r="36" spans="2:17" x14ac:dyDescent="0.25">
      <c r="B36" s="161"/>
      <c r="C36" s="10"/>
      <c r="D36" s="39"/>
      <c r="E36" s="39"/>
      <c r="F36" s="39"/>
      <c r="G36" s="39"/>
      <c r="H36" s="175"/>
      <c r="I36" s="39"/>
      <c r="J36" s="39"/>
      <c r="K36" s="39"/>
      <c r="L36" s="39"/>
      <c r="O36" s="78">
        <v>0.91</v>
      </c>
      <c r="P36" s="78">
        <f t="shared" si="0"/>
        <v>52.962000000000003</v>
      </c>
    </row>
    <row r="37" spans="2:17" x14ac:dyDescent="0.25">
      <c r="B37" s="161"/>
      <c r="C37" s="10"/>
      <c r="D37" s="39"/>
      <c r="E37" s="39"/>
      <c r="F37" s="39"/>
      <c r="G37" s="39"/>
      <c r="H37" s="175"/>
      <c r="I37" s="39"/>
      <c r="J37" s="39"/>
      <c r="K37" s="39"/>
      <c r="L37" s="39"/>
      <c r="O37" s="78">
        <v>0.9</v>
      </c>
      <c r="P37" s="78">
        <f t="shared" si="0"/>
        <v>52.38</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1229</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161" priority="35">
      <formula>F47&gt;0</formula>
    </cfRule>
    <cfRule type="expression" dxfId="160" priority="36">
      <formula>F47&lt;0</formula>
    </cfRule>
  </conditionalFormatting>
  <conditionalFormatting sqref="Q7">
    <cfRule type="expression" dxfId="159" priority="33">
      <formula>Q7&gt;0</formula>
    </cfRule>
    <cfRule type="expression" dxfId="158" priority="34">
      <formula>Q7&lt;0</formula>
    </cfRule>
  </conditionalFormatting>
  <conditionalFormatting sqref="Q8">
    <cfRule type="expression" dxfId="157" priority="31">
      <formula>Q8&gt;0</formula>
    </cfRule>
    <cfRule type="expression" dxfId="156" priority="32">
      <formula>Q8&lt;0</formula>
    </cfRule>
  </conditionalFormatting>
  <conditionalFormatting sqref="F30:F46">
    <cfRule type="expression" dxfId="155" priority="29">
      <formula>F30&gt;0</formula>
    </cfRule>
    <cfRule type="expression" dxfId="154" priority="30">
      <formula>F30&lt;0</formula>
    </cfRule>
  </conditionalFormatting>
  <conditionalFormatting sqref="H30:H46">
    <cfRule type="expression" dxfId="153" priority="27">
      <formula>H30&gt;0</formula>
    </cfRule>
    <cfRule type="expression" dxfId="152" priority="28">
      <formula>H30&lt;0</formula>
    </cfRule>
  </conditionalFormatting>
  <conditionalFormatting sqref="Q10">
    <cfRule type="expression" dxfId="151" priority="25">
      <formula>Q10&gt;0</formula>
    </cfRule>
    <cfRule type="expression" dxfId="150" priority="26">
      <formula>Q10&lt;0</formula>
    </cfRule>
  </conditionalFormatting>
  <conditionalFormatting sqref="J25:J38">
    <cfRule type="expression" dxfId="149" priority="23">
      <formula>J25&gt;0</formula>
    </cfRule>
    <cfRule type="expression" dxfId="148" priority="24">
      <formula>J25&lt;0</formula>
    </cfRule>
  </conditionalFormatting>
  <conditionalFormatting sqref="K25:K38">
    <cfRule type="expression" dxfId="147" priority="21">
      <formula>K25&gt;0</formula>
    </cfRule>
    <cfRule type="expression" dxfId="146" priority="22">
      <formula>K25&lt;0</formula>
    </cfRule>
  </conditionalFormatting>
  <conditionalFormatting sqref="L25 L38">
    <cfRule type="expression" dxfId="145" priority="19">
      <formula>L25&gt;0</formula>
    </cfRule>
    <cfRule type="expression" dxfId="144" priority="20">
      <formula>L25&lt;0</formula>
    </cfRule>
  </conditionalFormatting>
  <conditionalFormatting sqref="F89:F110">
    <cfRule type="expression" dxfId="143" priority="17">
      <formula>F89&gt;0</formula>
    </cfRule>
    <cfRule type="expression" dxfId="142" priority="18">
      <formula>F89&lt;0</formula>
    </cfRule>
  </conditionalFormatting>
  <conditionalFormatting sqref="H89:H110">
    <cfRule type="expression" dxfId="141" priority="15">
      <formula>H89&gt;0</formula>
    </cfRule>
    <cfRule type="expression" dxfId="140" priority="16">
      <formula>H89&lt;0</formula>
    </cfRule>
  </conditionalFormatting>
  <conditionalFormatting sqref="J89:J102">
    <cfRule type="expression" dxfId="139" priority="13">
      <formula>J89&gt;0</formula>
    </cfRule>
    <cfRule type="expression" dxfId="138" priority="14">
      <formula>J89&lt;0</formula>
    </cfRule>
  </conditionalFormatting>
  <conditionalFormatting sqref="K89:K102">
    <cfRule type="expression" dxfId="137" priority="11">
      <formula>K89&gt;0</formula>
    </cfRule>
    <cfRule type="expression" dxfId="136" priority="12">
      <formula>K89&lt;0</formula>
    </cfRule>
  </conditionalFormatting>
  <conditionalFormatting sqref="L89:L102">
    <cfRule type="expression" dxfId="135" priority="9">
      <formula>L89&gt;0</formula>
    </cfRule>
    <cfRule type="expression" dxfId="134" priority="10">
      <formula>L89&lt;0</formula>
    </cfRule>
  </conditionalFormatting>
  <conditionalFormatting sqref="F29 F25:F27">
    <cfRule type="expression" dxfId="133" priority="7">
      <formula>F25&gt;0</formula>
    </cfRule>
    <cfRule type="expression" dxfId="132" priority="8">
      <formula>F25&lt;0</formula>
    </cfRule>
  </conditionalFormatting>
  <conditionalFormatting sqref="H25:H29">
    <cfRule type="expression" dxfId="131" priority="5">
      <formula>H25&gt;0</formula>
    </cfRule>
    <cfRule type="expression" dxfId="130" priority="6">
      <formula>H25&lt;0</formula>
    </cfRule>
  </conditionalFormatting>
  <conditionalFormatting sqref="F28">
    <cfRule type="expression" dxfId="129" priority="3">
      <formula>F28&gt;0</formula>
    </cfRule>
    <cfRule type="expression" dxfId="128" priority="4">
      <formula>F28&lt;0</formula>
    </cfRule>
  </conditionalFormatting>
  <hyperlinks>
    <hyperlink ref="A3" location="ACTIVE!A1" display="Back"/>
  </hyperlinks>
  <pageMargins left="0.7" right="0.7" top="0.75" bottom="0.75" header="0.3" footer="0.3"/>
  <pageSetup orientation="portrait" r:id="rId1"/>
  <drawing r:id="rId2"/>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1344</v>
      </c>
      <c r="B2" s="360">
        <v>43621</v>
      </c>
      <c r="C2" s="4">
        <v>400</v>
      </c>
      <c r="D2" s="3">
        <v>25.35</v>
      </c>
      <c r="E2" s="3">
        <v>0</v>
      </c>
      <c r="F2" s="3">
        <f t="shared" ref="F2:F11" si="0">C2*D2+E2</f>
        <v>10140</v>
      </c>
      <c r="G2" s="360">
        <v>43706</v>
      </c>
      <c r="H2" s="7">
        <v>100</v>
      </c>
      <c r="I2" s="43">
        <v>21.98</v>
      </c>
      <c r="J2" s="43">
        <v>0.05</v>
      </c>
      <c r="K2" s="43">
        <f t="shared" ref="K2:K8" si="1">H2*I2-J2</f>
        <v>2197.9499999999998</v>
      </c>
      <c r="L2" s="69">
        <v>43642</v>
      </c>
      <c r="M2" s="43">
        <v>36.909999999999997</v>
      </c>
      <c r="O2" s="11" t="s">
        <v>57</v>
      </c>
      <c r="Q2">
        <f>C18-H18</f>
        <v>700</v>
      </c>
      <c r="T2" s="1"/>
    </row>
    <row r="3" spans="1:21" x14ac:dyDescent="0.25">
      <c r="A3" s="22" t="s">
        <v>71</v>
      </c>
      <c r="B3" s="485">
        <v>43663</v>
      </c>
      <c r="C3" s="7">
        <v>100</v>
      </c>
      <c r="D3" s="43">
        <v>24.7</v>
      </c>
      <c r="E3" s="43">
        <v>0</v>
      </c>
      <c r="F3" s="43">
        <f t="shared" si="0"/>
        <v>2470</v>
      </c>
      <c r="G3" s="360">
        <v>43713</v>
      </c>
      <c r="H3" s="77">
        <v>100</v>
      </c>
      <c r="I3" s="43">
        <v>22.48</v>
      </c>
      <c r="J3" s="43">
        <v>0.05</v>
      </c>
      <c r="K3" s="43">
        <f t="shared" si="1"/>
        <v>2247.9499999999998</v>
      </c>
      <c r="L3" s="69">
        <v>43733</v>
      </c>
      <c r="M3" s="43">
        <v>33.03</v>
      </c>
      <c r="O3" s="11" t="s">
        <v>58</v>
      </c>
      <c r="Q3" s="174">
        <f>IF(Q2=0, Q4, (F18-K18-M18)/Q2)</f>
        <v>22.972057142857143</v>
      </c>
      <c r="T3" s="1"/>
    </row>
    <row r="4" spans="1:21" x14ac:dyDescent="0.25">
      <c r="B4" s="360">
        <v>43678</v>
      </c>
      <c r="C4" s="7">
        <v>200</v>
      </c>
      <c r="D4" s="43">
        <v>23.18</v>
      </c>
      <c r="E4" s="43">
        <v>0</v>
      </c>
      <c r="F4" s="43">
        <f t="shared" si="0"/>
        <v>4636</v>
      </c>
      <c r="G4" s="360">
        <v>43718</v>
      </c>
      <c r="H4" s="77">
        <v>200</v>
      </c>
      <c r="I4" s="43">
        <v>23.88</v>
      </c>
      <c r="J4" s="43">
        <v>0.1</v>
      </c>
      <c r="K4" s="43">
        <f t="shared" si="1"/>
        <v>4775.8999999999996</v>
      </c>
      <c r="L4" s="4"/>
      <c r="M4" s="4"/>
      <c r="O4" s="11" t="s">
        <v>66</v>
      </c>
      <c r="Q4" s="53">
        <v>21.52</v>
      </c>
      <c r="R4" s="416">
        <v>-5.1999999999999998E-3</v>
      </c>
      <c r="T4" s="680"/>
      <c r="U4" s="30"/>
    </row>
    <row r="5" spans="1:21" x14ac:dyDescent="0.25">
      <c r="B5" s="360">
        <v>43700</v>
      </c>
      <c r="C5" s="7">
        <v>100</v>
      </c>
      <c r="D5" s="43">
        <v>20.88</v>
      </c>
      <c r="E5" s="43">
        <v>0</v>
      </c>
      <c r="F5" s="43">
        <f t="shared" si="0"/>
        <v>2088</v>
      </c>
      <c r="G5" s="360">
        <v>43718</v>
      </c>
      <c r="H5" s="77">
        <v>100</v>
      </c>
      <c r="I5" s="43">
        <v>24.33</v>
      </c>
      <c r="J5" s="43">
        <v>0.05</v>
      </c>
      <c r="K5" s="43">
        <f t="shared" si="1"/>
        <v>2432.9499999999998</v>
      </c>
      <c r="L5" s="4"/>
      <c r="M5" s="4"/>
      <c r="O5" s="11" t="s">
        <v>67</v>
      </c>
      <c r="Q5" s="3">
        <f>Q4*Q2</f>
        <v>15064</v>
      </c>
    </row>
    <row r="6" spans="1:21" x14ac:dyDescent="0.25">
      <c r="B6" s="69">
        <v>43711</v>
      </c>
      <c r="C6" s="7">
        <v>100</v>
      </c>
      <c r="D6" s="43">
        <v>20.85</v>
      </c>
      <c r="E6" s="43">
        <v>0</v>
      </c>
      <c r="F6" s="43">
        <f t="shared" si="0"/>
        <v>2085</v>
      </c>
      <c r="G6" s="360">
        <v>43749</v>
      </c>
      <c r="H6" s="77">
        <v>100</v>
      </c>
      <c r="I6" s="43">
        <v>21.4</v>
      </c>
      <c r="J6" s="43">
        <v>0.04</v>
      </c>
      <c r="K6" s="43">
        <f t="shared" si="1"/>
        <v>2139.96</v>
      </c>
      <c r="L6" s="4"/>
      <c r="M6" s="4"/>
      <c r="O6" s="11" t="s">
        <v>64</v>
      </c>
      <c r="Q6" s="2">
        <f>Q3*Q2</f>
        <v>16080.44</v>
      </c>
    </row>
    <row r="7" spans="1:21" x14ac:dyDescent="0.25">
      <c r="B7" s="69">
        <v>43734</v>
      </c>
      <c r="C7" s="4">
        <v>200</v>
      </c>
      <c r="D7" s="3">
        <v>22.41</v>
      </c>
      <c r="E7" s="3">
        <v>0</v>
      </c>
      <c r="F7" s="3">
        <f t="shared" si="0"/>
        <v>4482</v>
      </c>
      <c r="G7" s="360">
        <v>43774</v>
      </c>
      <c r="H7" s="77">
        <v>100</v>
      </c>
      <c r="I7" s="43">
        <v>23.47</v>
      </c>
      <c r="J7" s="43">
        <v>0.05</v>
      </c>
      <c r="K7" s="43">
        <f t="shared" si="1"/>
        <v>2346.9499999999998</v>
      </c>
      <c r="L7" s="4"/>
      <c r="M7" s="4"/>
      <c r="O7" s="11" t="s">
        <v>175</v>
      </c>
      <c r="Q7" s="2">
        <f>Q10+Q8</f>
        <v>-1016.4400000000023</v>
      </c>
      <c r="R7">
        <v>600</v>
      </c>
      <c r="T7" s="1"/>
    </row>
    <row r="8" spans="1:21" x14ac:dyDescent="0.25">
      <c r="B8" s="69">
        <v>43739</v>
      </c>
      <c r="C8" s="7">
        <v>100</v>
      </c>
      <c r="D8" s="43">
        <v>21.68</v>
      </c>
      <c r="E8" s="43">
        <v>0</v>
      </c>
      <c r="F8" s="43">
        <f t="shared" si="0"/>
        <v>2168</v>
      </c>
      <c r="G8" s="360">
        <v>43807</v>
      </c>
      <c r="H8" s="77">
        <v>100</v>
      </c>
      <c r="I8" s="43">
        <v>21.18</v>
      </c>
      <c r="J8" s="43">
        <v>0.04</v>
      </c>
      <c r="K8" s="43">
        <f t="shared" si="1"/>
        <v>2117.96</v>
      </c>
      <c r="L8" s="4"/>
      <c r="M8" s="4"/>
      <c r="O8" s="11" t="s">
        <v>177</v>
      </c>
      <c r="P8" s="33"/>
      <c r="Q8" s="2">
        <f>K18+M18-F18+Q2*Q4</f>
        <v>-1016.4400000000023</v>
      </c>
    </row>
    <row r="9" spans="1:21" x14ac:dyDescent="0.25">
      <c r="B9" s="69">
        <v>43746</v>
      </c>
      <c r="C9" s="7">
        <v>100</v>
      </c>
      <c r="D9" s="43">
        <v>20.38</v>
      </c>
      <c r="E9" s="43">
        <v>0</v>
      </c>
      <c r="F9" s="43">
        <f t="shared" si="0"/>
        <v>2038</v>
      </c>
      <c r="G9" s="4"/>
      <c r="H9" s="158"/>
      <c r="I9" s="3"/>
      <c r="J9" s="3"/>
      <c r="K9" s="3"/>
      <c r="L9" s="4"/>
      <c r="M9" s="4"/>
      <c r="O9" s="11" t="s">
        <v>202</v>
      </c>
      <c r="Q9" s="131">
        <f>IF(Q2=0, 0, Q8/Q6)</f>
        <v>-6.3209713167052789E-2</v>
      </c>
      <c r="T9" s="153"/>
    </row>
    <row r="10" spans="1:21" x14ac:dyDescent="0.25">
      <c r="B10" s="69">
        <v>43775</v>
      </c>
      <c r="C10" s="7">
        <v>100</v>
      </c>
      <c r="D10" s="43">
        <v>22.28</v>
      </c>
      <c r="E10" s="43">
        <v>0</v>
      </c>
      <c r="F10" s="43">
        <f t="shared" si="0"/>
        <v>2228</v>
      </c>
      <c r="G10" s="4"/>
      <c r="H10" s="158"/>
      <c r="I10" s="3"/>
      <c r="J10" s="3"/>
      <c r="K10" s="3"/>
      <c r="L10" s="4"/>
      <c r="M10" s="4"/>
      <c r="O10" s="11" t="s">
        <v>201</v>
      </c>
      <c r="P10" s="33"/>
      <c r="Q10" s="2">
        <f>M66</f>
        <v>0</v>
      </c>
      <c r="T10" s="1"/>
    </row>
    <row r="11" spans="1:21" x14ac:dyDescent="0.25">
      <c r="B11" s="395">
        <v>43795</v>
      </c>
      <c r="C11" s="7">
        <v>100</v>
      </c>
      <c r="D11" s="43">
        <v>20.75</v>
      </c>
      <c r="E11" s="43">
        <v>0</v>
      </c>
      <c r="F11" s="43">
        <f t="shared" si="0"/>
        <v>2075</v>
      </c>
      <c r="G11" s="4"/>
      <c r="H11" s="158"/>
      <c r="I11" s="3"/>
      <c r="J11" s="3"/>
      <c r="K11" s="3"/>
      <c r="L11" s="4"/>
      <c r="M11" s="4"/>
      <c r="O11" s="11" t="s">
        <v>173</v>
      </c>
      <c r="P11" s="33"/>
      <c r="Q11" s="131"/>
    </row>
    <row r="12" spans="1:21" x14ac:dyDescent="0.25">
      <c r="H12" s="67"/>
      <c r="O12" s="11" t="s">
        <v>875</v>
      </c>
      <c r="Q12" s="1"/>
    </row>
    <row r="13" spans="1:21" x14ac:dyDescent="0.25">
      <c r="H13" s="67"/>
      <c r="O13" s="11" t="s">
        <v>901</v>
      </c>
      <c r="Q13" s="2"/>
      <c r="T13" s="1"/>
    </row>
    <row r="14" spans="1:21" x14ac:dyDescent="0.25">
      <c r="H14" s="67"/>
      <c r="O14" s="11" t="s">
        <v>988</v>
      </c>
      <c r="Q14" s="1"/>
    </row>
    <row r="15" spans="1:21" x14ac:dyDescent="0.25">
      <c r="H15" s="67"/>
    </row>
    <row r="16" spans="1:21" ht="20.25" thickBot="1" x14ac:dyDescent="0.35">
      <c r="H16" s="67"/>
      <c r="O16" s="886" t="s">
        <v>78</v>
      </c>
      <c r="P16" s="886"/>
    </row>
    <row r="17" spans="1:16" ht="15.75" thickTop="1" x14ac:dyDescent="0.25">
      <c r="O17" s="78">
        <v>1.1000000000000001</v>
      </c>
      <c r="P17" s="78">
        <f>O17*$Q$4</f>
        <v>23.672000000000001</v>
      </c>
    </row>
    <row r="18" spans="1:16" x14ac:dyDescent="0.25">
      <c r="A18" s="31" t="s">
        <v>81</v>
      </c>
      <c r="B18" s="14"/>
      <c r="C18" s="14">
        <f>SUM(C2:C11)</f>
        <v>1500</v>
      </c>
      <c r="D18" s="18"/>
      <c r="E18" s="18"/>
      <c r="F18" s="18">
        <f>SUM(F2:F11)</f>
        <v>34410</v>
      </c>
      <c r="G18" s="14"/>
      <c r="H18" s="68">
        <f>SUM(H2:H8)</f>
        <v>800</v>
      </c>
      <c r="I18" s="18"/>
      <c r="J18" s="18"/>
      <c r="K18" s="18">
        <f>SUM(K2:K8)</f>
        <v>18259.62</v>
      </c>
      <c r="L18" s="14"/>
      <c r="M18" s="18">
        <f>SUM(M2:M10)</f>
        <v>69.94</v>
      </c>
      <c r="O18" s="78">
        <v>1.0900000000000001</v>
      </c>
      <c r="P18" s="78">
        <f t="shared" ref="P18:P37" si="2">O18*$Q$4</f>
        <v>23.456800000000001</v>
      </c>
    </row>
    <row r="19" spans="1:16" ht="15.75" thickBot="1" x14ac:dyDescent="0.3">
      <c r="A19" s="273" t="s">
        <v>189</v>
      </c>
      <c r="B19" s="274"/>
      <c r="C19" s="275">
        <f>SumByColor($A$19,C2:C17)</f>
        <v>900</v>
      </c>
      <c r="D19" s="275"/>
      <c r="E19" s="275"/>
      <c r="F19" s="276">
        <f>SumByColor($A$19,F2:F17)</f>
        <v>19788</v>
      </c>
      <c r="G19" s="275"/>
      <c r="H19" s="275">
        <f>SumByColor($A$19,H2:H17)</f>
        <v>800</v>
      </c>
      <c r="I19" s="275"/>
      <c r="J19" s="275"/>
      <c r="K19" s="276">
        <f>SumByColor($A$19,K2:K17)</f>
        <v>18260</v>
      </c>
      <c r="L19" s="275"/>
      <c r="M19" s="276">
        <f>SumByColor($A$19,M2:M17)</f>
        <v>70</v>
      </c>
      <c r="O19" s="78">
        <v>1.08</v>
      </c>
      <c r="P19" s="78">
        <f t="shared" si="2"/>
        <v>23.241600000000002</v>
      </c>
    </row>
    <row r="20" spans="1:16" x14ac:dyDescent="0.25">
      <c r="O20" s="78">
        <v>1.07</v>
      </c>
      <c r="P20" s="78">
        <f t="shared" si="2"/>
        <v>23.026400000000002</v>
      </c>
    </row>
    <row r="21" spans="1:16" x14ac:dyDescent="0.25">
      <c r="O21" s="78">
        <v>1.06</v>
      </c>
      <c r="P21" s="78">
        <f t="shared" si="2"/>
        <v>22.811199999999999</v>
      </c>
    </row>
    <row r="22" spans="1:16" x14ac:dyDescent="0.25">
      <c r="O22" s="78">
        <v>1.05</v>
      </c>
      <c r="P22" s="78">
        <f t="shared" si="2"/>
        <v>22.596</v>
      </c>
    </row>
    <row r="23" spans="1:16" x14ac:dyDescent="0.25">
      <c r="O23" s="78">
        <v>1.04</v>
      </c>
      <c r="P23" s="78">
        <f t="shared" si="2"/>
        <v>22.380800000000001</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2"/>
        <v>22.165600000000001</v>
      </c>
    </row>
    <row r="25" spans="1:16" x14ac:dyDescent="0.25">
      <c r="B25" s="161">
        <v>43642</v>
      </c>
      <c r="C25" s="10">
        <v>400</v>
      </c>
      <c r="D25" s="39">
        <v>25.2577</v>
      </c>
      <c r="E25" s="39">
        <v>26.84</v>
      </c>
      <c r="F25" s="39">
        <f t="shared" ref="F25:F45" si="3">(E25-D25)*C25</f>
        <v>632.92000000000007</v>
      </c>
      <c r="G25" s="39">
        <f t="shared" ref="G25:G42" si="4">D25*C25</f>
        <v>10103.08</v>
      </c>
      <c r="H25" s="175">
        <f t="shared" ref="H25:H42" si="5">F25/G25</f>
        <v>6.2646242531980353E-2</v>
      </c>
      <c r="I25" s="39"/>
      <c r="J25" s="39">
        <f t="shared" ref="J25:J42" si="6">F25</f>
        <v>632.92000000000007</v>
      </c>
      <c r="K25" s="39"/>
      <c r="L25" s="39"/>
      <c r="O25" s="78">
        <v>1.02</v>
      </c>
      <c r="P25" s="78">
        <f t="shared" si="2"/>
        <v>21.950399999999998</v>
      </c>
    </row>
    <row r="26" spans="1:16" x14ac:dyDescent="0.25">
      <c r="B26" s="161">
        <v>43663</v>
      </c>
      <c r="C26" s="7">
        <v>500</v>
      </c>
      <c r="D26" s="43">
        <v>25.1462</v>
      </c>
      <c r="E26" s="39">
        <v>24.65</v>
      </c>
      <c r="F26" s="39">
        <f t="shared" si="3"/>
        <v>-248.10000000000088</v>
      </c>
      <c r="G26" s="39">
        <f t="shared" si="4"/>
        <v>12573.1</v>
      </c>
      <c r="H26" s="175">
        <f t="shared" si="5"/>
        <v>-1.9732603733367337E-2</v>
      </c>
      <c r="I26" s="39"/>
      <c r="J26" s="39">
        <f t="shared" si="6"/>
        <v>-248.10000000000088</v>
      </c>
      <c r="K26" s="39"/>
      <c r="L26" s="39"/>
      <c r="O26" s="78">
        <v>1.01</v>
      </c>
      <c r="P26" s="78">
        <f t="shared" si="2"/>
        <v>21.735199999999999</v>
      </c>
    </row>
    <row r="27" spans="1:16" x14ac:dyDescent="0.25">
      <c r="B27" s="161">
        <v>43678</v>
      </c>
      <c r="C27" s="10">
        <v>700</v>
      </c>
      <c r="D27" s="39">
        <v>24.584399999999999</v>
      </c>
      <c r="E27" s="39">
        <v>23.47</v>
      </c>
      <c r="F27" s="39">
        <f t="shared" si="3"/>
        <v>-780.07999999999993</v>
      </c>
      <c r="G27" s="39">
        <f t="shared" si="4"/>
        <v>17209.079999999998</v>
      </c>
      <c r="H27" s="175">
        <f t="shared" si="5"/>
        <v>-4.5329558581864923E-2</v>
      </c>
      <c r="I27" s="39"/>
      <c r="J27" s="39">
        <f t="shared" si="6"/>
        <v>-780.07999999999993</v>
      </c>
      <c r="K27" s="39"/>
      <c r="L27" s="39"/>
      <c r="O27" s="78">
        <v>1</v>
      </c>
      <c r="P27" s="78">
        <f t="shared" si="2"/>
        <v>21.52</v>
      </c>
    </row>
    <row r="28" spans="1:16" x14ac:dyDescent="0.25">
      <c r="B28" s="161">
        <v>43683</v>
      </c>
      <c r="C28" s="10">
        <v>700</v>
      </c>
      <c r="D28" s="39">
        <v>24.584399999999999</v>
      </c>
      <c r="E28" s="39">
        <v>21.91</v>
      </c>
      <c r="F28" s="39">
        <f t="shared" si="3"/>
        <v>-1872.079999999999</v>
      </c>
      <c r="G28" s="39">
        <f t="shared" si="4"/>
        <v>17209.079999999998</v>
      </c>
      <c r="H28" s="175">
        <f t="shared" si="5"/>
        <v>-0.10878443240428885</v>
      </c>
      <c r="I28" s="39"/>
      <c r="J28" s="39">
        <f t="shared" si="6"/>
        <v>-1872.079999999999</v>
      </c>
      <c r="K28" s="39"/>
      <c r="L28" s="39"/>
      <c r="O28" s="78">
        <v>0.99</v>
      </c>
      <c r="P28" s="78">
        <f t="shared" si="2"/>
        <v>21.3048</v>
      </c>
    </row>
    <row r="29" spans="1:16" x14ac:dyDescent="0.25">
      <c r="B29" s="161">
        <v>43702</v>
      </c>
      <c r="C29" s="348">
        <v>800</v>
      </c>
      <c r="D29" s="740">
        <v>24.121400000000001</v>
      </c>
      <c r="E29" s="39">
        <v>20.93</v>
      </c>
      <c r="F29" s="39">
        <f t="shared" si="3"/>
        <v>-2553.1200000000013</v>
      </c>
      <c r="G29" s="39">
        <f t="shared" si="4"/>
        <v>19297.120000000003</v>
      </c>
      <c r="H29" s="175">
        <f t="shared" si="5"/>
        <v>-0.1323057533973982</v>
      </c>
      <c r="I29" s="39"/>
      <c r="J29" s="39">
        <f t="shared" si="6"/>
        <v>-2553.1200000000013</v>
      </c>
      <c r="K29" s="39"/>
      <c r="L29" s="39"/>
      <c r="O29" s="78">
        <v>0.98</v>
      </c>
      <c r="P29" s="78">
        <f t="shared" si="2"/>
        <v>21.089600000000001</v>
      </c>
    </row>
    <row r="30" spans="1:16" x14ac:dyDescent="0.25">
      <c r="B30" s="161">
        <v>43706</v>
      </c>
      <c r="C30" s="10">
        <v>700</v>
      </c>
      <c r="D30" s="39">
        <v>24.427299999999999</v>
      </c>
      <c r="E30" s="39">
        <v>21.98</v>
      </c>
      <c r="F30" s="39">
        <f t="shared" si="3"/>
        <v>-1713.109999999999</v>
      </c>
      <c r="G30" s="39">
        <f t="shared" si="4"/>
        <v>17099.11</v>
      </c>
      <c r="H30" s="175">
        <f t="shared" si="5"/>
        <v>-0.10018708576060385</v>
      </c>
      <c r="I30" s="39"/>
      <c r="J30" s="39">
        <f t="shared" si="6"/>
        <v>-1713.109999999999</v>
      </c>
      <c r="K30" s="39"/>
      <c r="L30" s="39"/>
      <c r="O30" s="78">
        <v>0.97</v>
      </c>
      <c r="P30" s="78">
        <f t="shared" si="2"/>
        <v>20.874399999999998</v>
      </c>
    </row>
    <row r="31" spans="1:16" x14ac:dyDescent="0.25">
      <c r="B31" s="161">
        <v>43711</v>
      </c>
      <c r="C31" s="10">
        <v>800</v>
      </c>
      <c r="D31" s="39">
        <v>23.98</v>
      </c>
      <c r="E31" s="39">
        <v>20.85</v>
      </c>
      <c r="F31" s="39">
        <f t="shared" si="3"/>
        <v>-2503.9999999999991</v>
      </c>
      <c r="G31" s="39">
        <f t="shared" si="4"/>
        <v>19184</v>
      </c>
      <c r="H31" s="175">
        <f t="shared" si="5"/>
        <v>-0.13052543786488735</v>
      </c>
      <c r="I31" s="39"/>
      <c r="J31" s="39">
        <f t="shared" si="6"/>
        <v>-2503.9999999999991</v>
      </c>
      <c r="K31" s="39"/>
      <c r="L31" s="39"/>
      <c r="O31" s="78">
        <v>0.96</v>
      </c>
      <c r="P31" s="78">
        <f t="shared" si="2"/>
        <v>20.659199999999998</v>
      </c>
    </row>
    <row r="32" spans="1:16" x14ac:dyDescent="0.25">
      <c r="B32" s="161">
        <v>43712</v>
      </c>
      <c r="C32" s="348">
        <v>800</v>
      </c>
      <c r="D32" s="740">
        <v>23.98</v>
      </c>
      <c r="E32" s="39">
        <v>21.72</v>
      </c>
      <c r="F32" s="39">
        <f t="shared" si="3"/>
        <v>-1808.0000000000014</v>
      </c>
      <c r="G32" s="39">
        <f t="shared" si="4"/>
        <v>19184</v>
      </c>
      <c r="H32" s="175">
        <f t="shared" si="5"/>
        <v>-9.4245204336947525E-2</v>
      </c>
      <c r="I32" s="39"/>
      <c r="J32" s="39">
        <f t="shared" si="6"/>
        <v>-1808.0000000000014</v>
      </c>
      <c r="K32" s="39"/>
      <c r="L32" s="39"/>
      <c r="O32" s="78">
        <v>0.95</v>
      </c>
      <c r="P32" s="78">
        <f t="shared" si="2"/>
        <v>20.443999999999999</v>
      </c>
    </row>
    <row r="33" spans="1:17" x14ac:dyDescent="0.25">
      <c r="B33" s="161">
        <v>43713</v>
      </c>
      <c r="C33" s="10">
        <v>700</v>
      </c>
      <c r="D33" s="39">
        <v>24.194600000000001</v>
      </c>
      <c r="E33" s="39">
        <v>22.29</v>
      </c>
      <c r="F33" s="39">
        <f t="shared" si="3"/>
        <v>-1333.2200000000014</v>
      </c>
      <c r="G33" s="39">
        <f t="shared" si="4"/>
        <v>16936.22</v>
      </c>
      <c r="H33" s="175">
        <f t="shared" si="5"/>
        <v>-7.87200449687121E-2</v>
      </c>
      <c r="I33" s="39"/>
      <c r="J33" s="39">
        <f t="shared" si="6"/>
        <v>-1333.2200000000014</v>
      </c>
      <c r="K33" s="39"/>
      <c r="L33" s="39"/>
      <c r="O33" s="78">
        <v>0.94</v>
      </c>
      <c r="P33" s="78">
        <f t="shared" si="2"/>
        <v>20.2288</v>
      </c>
    </row>
    <row r="34" spans="1:17" x14ac:dyDescent="0.25">
      <c r="B34" s="161">
        <v>43718</v>
      </c>
      <c r="C34" s="7">
        <v>500</v>
      </c>
      <c r="D34" s="43">
        <v>24.320599999999999</v>
      </c>
      <c r="E34" s="39">
        <v>23.88</v>
      </c>
      <c r="F34" s="39">
        <f t="shared" si="3"/>
        <v>-220.29999999999995</v>
      </c>
      <c r="G34" s="39">
        <f t="shared" si="4"/>
        <v>12160.3</v>
      </c>
      <c r="H34" s="175">
        <f t="shared" si="5"/>
        <v>-1.811632936687417E-2</v>
      </c>
      <c r="I34" s="39"/>
      <c r="J34" s="39">
        <f t="shared" si="6"/>
        <v>-220.29999999999995</v>
      </c>
      <c r="K34" s="39"/>
      <c r="L34" s="39"/>
      <c r="O34" s="78">
        <v>0.93</v>
      </c>
      <c r="P34" s="78">
        <f t="shared" si="2"/>
        <v>20.0136</v>
      </c>
    </row>
    <row r="35" spans="1:17" x14ac:dyDescent="0.25">
      <c r="B35" s="161">
        <v>43718</v>
      </c>
      <c r="C35" s="10">
        <v>400</v>
      </c>
      <c r="D35" s="39">
        <v>24.3184</v>
      </c>
      <c r="E35" s="39">
        <v>24.33</v>
      </c>
      <c r="F35" s="39">
        <f t="shared" si="3"/>
        <v>4.6399999999991337</v>
      </c>
      <c r="G35" s="39">
        <f t="shared" si="4"/>
        <v>9727.36</v>
      </c>
      <c r="H35" s="175">
        <f t="shared" si="5"/>
        <v>4.7700506612268216E-4</v>
      </c>
      <c r="I35" s="39"/>
      <c r="J35" s="39">
        <f t="shared" si="6"/>
        <v>4.6399999999991337</v>
      </c>
      <c r="K35" s="39"/>
      <c r="L35" s="39"/>
      <c r="O35" s="78">
        <v>0.92</v>
      </c>
      <c r="P35" s="78">
        <f t="shared" si="2"/>
        <v>19.798400000000001</v>
      </c>
    </row>
    <row r="36" spans="1:17" x14ac:dyDescent="0.25">
      <c r="B36" s="161">
        <v>43733</v>
      </c>
      <c r="C36" s="10">
        <v>400</v>
      </c>
      <c r="D36" s="39">
        <v>24.235800000000001</v>
      </c>
      <c r="E36" s="39">
        <v>23.08</v>
      </c>
      <c r="F36" s="39">
        <f t="shared" si="3"/>
        <v>-462.32000000000113</v>
      </c>
      <c r="G36" s="39">
        <f t="shared" si="4"/>
        <v>9694.32</v>
      </c>
      <c r="H36" s="175">
        <f t="shared" si="5"/>
        <v>-4.768978123272196E-2</v>
      </c>
      <c r="I36" s="39"/>
      <c r="J36" s="39">
        <f t="shared" si="6"/>
        <v>-462.32000000000113</v>
      </c>
      <c r="K36" s="39"/>
      <c r="L36" s="39"/>
      <c r="O36" s="78">
        <v>0.91</v>
      </c>
      <c r="P36" s="78">
        <f t="shared" si="2"/>
        <v>19.583200000000001</v>
      </c>
    </row>
    <row r="37" spans="1:17" x14ac:dyDescent="0.25">
      <c r="A37">
        <v>300</v>
      </c>
      <c r="B37" s="161">
        <v>43734</v>
      </c>
      <c r="C37" s="10">
        <v>600</v>
      </c>
      <c r="D37" s="39">
        <v>23.627199999999998</v>
      </c>
      <c r="E37" s="39">
        <v>22.63</v>
      </c>
      <c r="F37" s="39">
        <f t="shared" si="3"/>
        <v>-598.31999999999971</v>
      </c>
      <c r="G37" s="39">
        <f t="shared" si="4"/>
        <v>14176.32</v>
      </c>
      <c r="H37" s="175">
        <f t="shared" si="5"/>
        <v>-4.2205593553192908E-2</v>
      </c>
      <c r="I37" s="39"/>
      <c r="J37" s="39">
        <f t="shared" si="6"/>
        <v>-598.31999999999971</v>
      </c>
      <c r="K37" s="39"/>
      <c r="L37" s="39"/>
      <c r="O37" s="78">
        <v>0.9</v>
      </c>
      <c r="P37" s="78">
        <f t="shared" si="2"/>
        <v>19.367999999999999</v>
      </c>
    </row>
    <row r="38" spans="1:17" x14ac:dyDescent="0.25">
      <c r="A38">
        <v>300</v>
      </c>
      <c r="B38" s="161">
        <v>43739</v>
      </c>
      <c r="C38" s="10">
        <v>700</v>
      </c>
      <c r="D38" s="39">
        <v>23.349</v>
      </c>
      <c r="E38" s="39">
        <v>21.55</v>
      </c>
      <c r="F38" s="39">
        <f t="shared" si="3"/>
        <v>-1259.2999999999997</v>
      </c>
      <c r="G38" s="39">
        <f t="shared" si="4"/>
        <v>16344.3</v>
      </c>
      <c r="H38" s="175">
        <f t="shared" si="5"/>
        <v>-7.7048267591759811E-2</v>
      </c>
      <c r="I38" s="39"/>
      <c r="J38" s="39">
        <f t="shared" si="6"/>
        <v>-1259.2999999999997</v>
      </c>
      <c r="K38" s="39"/>
      <c r="L38" s="39"/>
    </row>
    <row r="39" spans="1:17" x14ac:dyDescent="0.25">
      <c r="B39" s="161">
        <v>43746</v>
      </c>
      <c r="C39" s="348">
        <v>800</v>
      </c>
      <c r="D39" s="740">
        <v>22.977900000000002</v>
      </c>
      <c r="E39" s="39">
        <v>20.38</v>
      </c>
      <c r="F39" s="39">
        <f t="shared" si="3"/>
        <v>-2078.3200000000024</v>
      </c>
      <c r="G39" s="39">
        <f t="shared" si="4"/>
        <v>18382.32</v>
      </c>
      <c r="H39" s="175">
        <f t="shared" si="5"/>
        <v>-0.11306081060497274</v>
      </c>
      <c r="I39" s="39"/>
      <c r="J39" s="39">
        <f t="shared" si="6"/>
        <v>-2078.3200000000024</v>
      </c>
      <c r="K39" s="39"/>
      <c r="L39" s="39"/>
    </row>
    <row r="40" spans="1:17" x14ac:dyDescent="0.25">
      <c r="A40">
        <v>300</v>
      </c>
      <c r="B40" s="161">
        <v>43749</v>
      </c>
      <c r="C40" s="10">
        <v>700</v>
      </c>
      <c r="D40" s="39">
        <v>23.202999999999999</v>
      </c>
      <c r="E40" s="39">
        <v>21.4</v>
      </c>
      <c r="F40" s="39">
        <f t="shared" si="3"/>
        <v>-1262.1000000000006</v>
      </c>
      <c r="G40" s="39">
        <f t="shared" si="4"/>
        <v>16242.1</v>
      </c>
      <c r="H40" s="175">
        <f t="shared" si="5"/>
        <v>-7.7705469120372406E-2</v>
      </c>
      <c r="I40" s="39"/>
      <c r="J40" s="39">
        <f t="shared" si="6"/>
        <v>-1262.1000000000006</v>
      </c>
      <c r="K40" s="39"/>
      <c r="L40" s="39"/>
    </row>
    <row r="41" spans="1:17" x14ac:dyDescent="0.25">
      <c r="A41">
        <v>500</v>
      </c>
      <c r="B41" s="161">
        <v>43774</v>
      </c>
      <c r="C41" s="10">
        <v>600</v>
      </c>
      <c r="D41" s="39">
        <v>23.158999999999999</v>
      </c>
      <c r="E41" s="39">
        <v>22.92</v>
      </c>
      <c r="F41" s="39">
        <f t="shared" si="3"/>
        <v>-143.39999999999833</v>
      </c>
      <c r="G41" s="39">
        <f t="shared" si="4"/>
        <v>13895.4</v>
      </c>
      <c r="H41" s="175">
        <f t="shared" si="5"/>
        <v>-1.031996200181343E-2</v>
      </c>
      <c r="I41" s="39"/>
      <c r="J41" s="39">
        <f t="shared" si="6"/>
        <v>-143.39999999999833</v>
      </c>
      <c r="K41" s="39"/>
      <c r="L41" s="39"/>
      <c r="Q41" s="2"/>
    </row>
    <row r="42" spans="1:17" x14ac:dyDescent="0.25">
      <c r="A42">
        <v>500</v>
      </c>
      <c r="B42" s="161">
        <v>43776</v>
      </c>
      <c r="C42" s="10">
        <v>700</v>
      </c>
      <c r="D42" s="39">
        <v>23.0334</v>
      </c>
      <c r="E42" s="39">
        <v>22.67</v>
      </c>
      <c r="F42" s="39">
        <f t="shared" si="3"/>
        <v>-254.37999999999903</v>
      </c>
      <c r="G42" s="39">
        <f t="shared" si="4"/>
        <v>16123.380000000001</v>
      </c>
      <c r="H42" s="175">
        <f t="shared" si="5"/>
        <v>-1.577708892304213E-2</v>
      </c>
      <c r="I42" s="39"/>
      <c r="J42" s="39">
        <f t="shared" si="6"/>
        <v>-254.37999999999903</v>
      </c>
      <c r="K42" s="39"/>
      <c r="L42" s="39"/>
      <c r="Q42" s="2"/>
    </row>
    <row r="43" spans="1:17" x14ac:dyDescent="0.25">
      <c r="A43">
        <v>600</v>
      </c>
      <c r="B43" s="161">
        <v>43781</v>
      </c>
      <c r="C43" s="10">
        <v>700</v>
      </c>
      <c r="D43" s="39">
        <v>23.03</v>
      </c>
      <c r="E43" s="39">
        <v>22.25</v>
      </c>
      <c r="F43" s="39">
        <f t="shared" si="3"/>
        <v>-546.0000000000008</v>
      </c>
      <c r="G43" s="39">
        <f t="shared" ref="G43:G45" si="7">D43*C43</f>
        <v>16121</v>
      </c>
      <c r="H43" s="175">
        <f t="shared" ref="H43:H45" si="8">F43/G43</f>
        <v>-3.3868866695614466E-2</v>
      </c>
      <c r="I43" s="39"/>
      <c r="J43" s="39">
        <f t="shared" ref="J43:J45" si="9">F43</f>
        <v>-546.0000000000008</v>
      </c>
      <c r="K43" s="39"/>
      <c r="L43" s="39"/>
      <c r="Q43" s="2"/>
    </row>
    <row r="44" spans="1:17" x14ac:dyDescent="0.25">
      <c r="B44" s="161">
        <v>43795</v>
      </c>
      <c r="C44" s="348">
        <v>800</v>
      </c>
      <c r="D44" s="740">
        <v>22.748000000000001</v>
      </c>
      <c r="E44" s="39">
        <v>20.75</v>
      </c>
      <c r="F44" s="39">
        <f t="shared" si="3"/>
        <v>-1598.400000000001</v>
      </c>
      <c r="G44" s="39">
        <f t="shared" si="7"/>
        <v>18198.400000000001</v>
      </c>
      <c r="H44" s="175">
        <f t="shared" si="8"/>
        <v>-8.7831897309653642E-2</v>
      </c>
      <c r="I44" s="39"/>
      <c r="J44" s="39">
        <f t="shared" si="9"/>
        <v>-1598.400000000001</v>
      </c>
      <c r="K44" s="39"/>
      <c r="L44" s="39"/>
      <c r="Q44" s="2"/>
    </row>
    <row r="45" spans="1:17" x14ac:dyDescent="0.25">
      <c r="A45">
        <v>600</v>
      </c>
      <c r="B45" s="161">
        <v>43807</v>
      </c>
      <c r="C45" s="10">
        <v>700</v>
      </c>
      <c r="D45" s="39">
        <v>22.972100000000001</v>
      </c>
      <c r="E45" s="39">
        <v>21.23</v>
      </c>
      <c r="F45" s="39">
        <f t="shared" si="3"/>
        <v>-1219.4700000000005</v>
      </c>
      <c r="G45" s="39">
        <f t="shared" si="7"/>
        <v>16080.470000000001</v>
      </c>
      <c r="H45" s="175">
        <f t="shared" si="8"/>
        <v>-7.5835469983153506E-2</v>
      </c>
      <c r="I45" s="39"/>
      <c r="J45" s="39">
        <f t="shared" si="9"/>
        <v>-1219.4700000000005</v>
      </c>
      <c r="K45" s="39"/>
      <c r="L45" s="39"/>
      <c r="Q45" s="2"/>
    </row>
    <row r="46" spans="1:17" x14ac:dyDescent="0.25">
      <c r="B46" s="161"/>
      <c r="C46" s="10"/>
      <c r="D46" s="39"/>
      <c r="E46" s="39"/>
      <c r="F46" s="39"/>
      <c r="G46" s="39"/>
      <c r="H46" s="175"/>
      <c r="I46" s="39"/>
      <c r="J46" s="39"/>
      <c r="K46" s="39"/>
      <c r="L46" s="39"/>
      <c r="Q46" s="2"/>
    </row>
    <row r="47" spans="1:17" x14ac:dyDescent="0.25">
      <c r="B47" s="161"/>
      <c r="C47" s="10"/>
      <c r="D47" s="39"/>
      <c r="E47" s="39"/>
      <c r="F47" s="39"/>
      <c r="G47" s="39"/>
      <c r="H47" s="175"/>
      <c r="I47" s="39"/>
      <c r="J47" s="39"/>
      <c r="K47" s="39"/>
      <c r="L47" s="39"/>
      <c r="Q47" s="2"/>
    </row>
    <row r="48" spans="1: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60"/>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127" priority="43">
      <formula>F54&gt;0</formula>
    </cfRule>
    <cfRule type="expression" dxfId="126" priority="44">
      <formula>F54&lt;0</formula>
    </cfRule>
  </conditionalFormatting>
  <conditionalFormatting sqref="Q7">
    <cfRule type="expression" dxfId="125" priority="41">
      <formula>Q7&gt;0</formula>
    </cfRule>
    <cfRule type="expression" dxfId="124" priority="42">
      <formula>Q7&lt;0</formula>
    </cfRule>
  </conditionalFormatting>
  <conditionalFormatting sqref="Q8">
    <cfRule type="expression" dxfId="123" priority="39">
      <formula>Q8&gt;0</formula>
    </cfRule>
    <cfRule type="expression" dxfId="122" priority="40">
      <formula>Q8&lt;0</formula>
    </cfRule>
  </conditionalFormatting>
  <conditionalFormatting sqref="F33:F36 F38:F53">
    <cfRule type="expression" dxfId="121" priority="37">
      <formula>F33&gt;0</formula>
    </cfRule>
    <cfRule type="expression" dxfId="120" priority="38">
      <formula>F33&lt;0</formula>
    </cfRule>
  </conditionalFormatting>
  <conditionalFormatting sqref="H33:H36 H38:H53">
    <cfRule type="expression" dxfId="119" priority="35">
      <formula>H33&gt;0</formula>
    </cfRule>
    <cfRule type="expression" dxfId="118" priority="36">
      <formula>H33&lt;0</formula>
    </cfRule>
  </conditionalFormatting>
  <conditionalFormatting sqref="Q10">
    <cfRule type="expression" dxfId="117" priority="33">
      <formula>Q10&gt;0</formula>
    </cfRule>
    <cfRule type="expression" dxfId="116" priority="34">
      <formula>Q10&lt;0</formula>
    </cfRule>
  </conditionalFormatting>
  <conditionalFormatting sqref="J25:J37">
    <cfRule type="expression" dxfId="115" priority="31">
      <formula>J25&gt;0</formula>
    </cfRule>
    <cfRule type="expression" dxfId="114" priority="32">
      <formula>J25&lt;0</formula>
    </cfRule>
  </conditionalFormatting>
  <conditionalFormatting sqref="K25:K38">
    <cfRule type="expression" dxfId="113" priority="29">
      <formula>K25&gt;0</formula>
    </cfRule>
    <cfRule type="expression" dxfId="112" priority="30">
      <formula>K25&lt;0</formula>
    </cfRule>
  </conditionalFormatting>
  <conditionalFormatting sqref="L25">
    <cfRule type="expression" dxfId="111" priority="27">
      <formula>L25&gt;0</formula>
    </cfRule>
    <cfRule type="expression" dxfId="110" priority="28">
      <formula>L25&lt;0</formula>
    </cfRule>
  </conditionalFormatting>
  <conditionalFormatting sqref="F89:F110">
    <cfRule type="expression" dxfId="109" priority="25">
      <formula>F89&gt;0</formula>
    </cfRule>
    <cfRule type="expression" dxfId="108" priority="26">
      <formula>F89&lt;0</formula>
    </cfRule>
  </conditionalFormatting>
  <conditionalFormatting sqref="H89:H110">
    <cfRule type="expression" dxfId="107" priority="23">
      <formula>H89&gt;0</formula>
    </cfRule>
    <cfRule type="expression" dxfId="106" priority="24">
      <formula>H89&lt;0</formula>
    </cfRule>
  </conditionalFormatting>
  <conditionalFormatting sqref="J89:J102">
    <cfRule type="expression" dxfId="105" priority="21">
      <formula>J89&gt;0</formula>
    </cfRule>
    <cfRule type="expression" dxfId="104" priority="22">
      <formula>J89&lt;0</formula>
    </cfRule>
  </conditionalFormatting>
  <conditionalFormatting sqref="K89:K102">
    <cfRule type="expression" dxfId="103" priority="19">
      <formula>K89&gt;0</formula>
    </cfRule>
    <cfRule type="expression" dxfId="102" priority="20">
      <formula>K89&lt;0</formula>
    </cfRule>
  </conditionalFormatting>
  <conditionalFormatting sqref="L89:L102">
    <cfRule type="expression" dxfId="101" priority="17">
      <formula>L89&gt;0</formula>
    </cfRule>
    <cfRule type="expression" dxfId="100" priority="18">
      <formula>L89&lt;0</formula>
    </cfRule>
  </conditionalFormatting>
  <conditionalFormatting sqref="F29:F32">
    <cfRule type="expression" dxfId="99" priority="15">
      <formula>F29&gt;0</formula>
    </cfRule>
    <cfRule type="expression" dxfId="98" priority="16">
      <formula>F29&lt;0</formula>
    </cfRule>
  </conditionalFormatting>
  <conditionalFormatting sqref="H29:H32">
    <cfRule type="expression" dxfId="97" priority="13">
      <formula>H29&gt;0</formula>
    </cfRule>
    <cfRule type="expression" dxfId="96" priority="14">
      <formula>H29&lt;0</formula>
    </cfRule>
  </conditionalFormatting>
  <conditionalFormatting sqref="F25:F28">
    <cfRule type="expression" dxfId="95" priority="11">
      <formula>F25&gt;0</formula>
    </cfRule>
    <cfRule type="expression" dxfId="94" priority="12">
      <formula>F25&lt;0</formula>
    </cfRule>
  </conditionalFormatting>
  <conditionalFormatting sqref="H25:H28">
    <cfRule type="expression" dxfId="93" priority="9">
      <formula>H25&gt;0</formula>
    </cfRule>
    <cfRule type="expression" dxfId="92" priority="10">
      <formula>H25&lt;0</formula>
    </cfRule>
  </conditionalFormatting>
  <conditionalFormatting sqref="F37">
    <cfRule type="expression" dxfId="91" priority="7">
      <formula>F37&gt;0</formula>
    </cfRule>
    <cfRule type="expression" dxfId="90" priority="8">
      <formula>F37&lt;0</formula>
    </cfRule>
  </conditionalFormatting>
  <conditionalFormatting sqref="H37">
    <cfRule type="expression" dxfId="89" priority="5">
      <formula>H37&gt;0</formula>
    </cfRule>
    <cfRule type="expression" dxfId="88" priority="6">
      <formula>H37&lt;0</formula>
    </cfRule>
  </conditionalFormatting>
  <conditionalFormatting sqref="J49">
    <cfRule type="expression" dxfId="87" priority="3">
      <formula>J49&gt;0</formula>
    </cfRule>
    <cfRule type="expression" dxfId="86" priority="4">
      <formula>J49&lt;0</formula>
    </cfRule>
  </conditionalFormatting>
  <conditionalFormatting sqref="J38:J48">
    <cfRule type="expression" dxfId="85" priority="1">
      <formula>J38&gt;0</formula>
    </cfRule>
    <cfRule type="expression" dxfId="84" priority="2">
      <formula>J38&lt;0</formula>
    </cfRule>
  </conditionalFormatting>
  <hyperlinks>
    <hyperlink ref="A3" location="ACTIVE!A1" display="Back"/>
  </hyperlinks>
  <pageMargins left="0.7" right="0.7" top="0.75" bottom="0.75" header="0.3" footer="0.3"/>
  <pageSetup orientation="portrait" r:id="rId1"/>
  <drawing r:id="rId2"/>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23.5703125" customWidth="1"/>
    <col min="21" max="21" width="36.5703125" bestFit="1" customWidth="1"/>
    <col min="23" max="23" width="10" customWidth="1"/>
    <col min="24" max="24" width="8" customWidth="1"/>
    <col min="25" max="27" width="6" bestFit="1" customWidth="1"/>
    <col min="29" max="29" width="10.28515625" bestFit="1" customWidth="1"/>
    <col min="30" max="30" width="15" customWidth="1"/>
    <col min="31" max="31" width="11.425781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53</v>
      </c>
      <c r="B2" s="69"/>
      <c r="C2" s="4"/>
      <c r="D2" s="3"/>
      <c r="E2" s="3"/>
      <c r="F2" s="3"/>
      <c r="G2" s="69"/>
      <c r="H2" s="3"/>
      <c r="I2" s="3"/>
      <c r="J2" s="3"/>
      <c r="K2" s="4"/>
      <c r="L2" s="69"/>
      <c r="M2" s="3"/>
      <c r="O2" s="11" t="s">
        <v>57</v>
      </c>
      <c r="Q2">
        <f>C18-H18</f>
        <v>0</v>
      </c>
      <c r="T2" s="1">
        <v>42318</v>
      </c>
      <c r="U2" t="s">
        <v>82</v>
      </c>
      <c r="W2" s="127">
        <v>42830</v>
      </c>
      <c r="X2" s="10">
        <v>69.25</v>
      </c>
      <c r="Y2" s="10">
        <v>69.45</v>
      </c>
      <c r="Z2" s="10">
        <v>67.89</v>
      </c>
      <c r="AA2" s="10">
        <v>67.91</v>
      </c>
      <c r="AB2" s="90">
        <v>385600</v>
      </c>
      <c r="AC2" s="10">
        <v>67.91</v>
      </c>
      <c r="AD2" s="2">
        <f>Y2-Z2</f>
        <v>1.5600000000000023</v>
      </c>
      <c r="AE2" s="131">
        <f>AC2/AC3-1</f>
        <v>-1.0923390620448559E-2</v>
      </c>
    </row>
    <row r="3" spans="1:31" x14ac:dyDescent="0.25">
      <c r="A3" s="22" t="s">
        <v>71</v>
      </c>
      <c r="B3" s="69"/>
      <c r="C3" s="4"/>
      <c r="D3" s="3"/>
      <c r="E3" s="3"/>
      <c r="F3" s="3"/>
      <c r="G3" s="4"/>
      <c r="H3" s="4"/>
      <c r="I3" s="4"/>
      <c r="J3" s="4"/>
      <c r="K3" s="4"/>
      <c r="L3" s="69"/>
      <c r="M3" s="4"/>
      <c r="O3" s="11" t="s">
        <v>58</v>
      </c>
      <c r="Q3" s="2">
        <f>IF(Q2=0, Q4, (F18-K18-M18)/Q2)</f>
        <v>109.31</v>
      </c>
      <c r="W3" s="127">
        <v>42829</v>
      </c>
      <c r="X3" s="10">
        <v>68.05</v>
      </c>
      <c r="Y3" s="10">
        <v>68.75</v>
      </c>
      <c r="Z3" s="10">
        <v>67.3</v>
      </c>
      <c r="AA3" s="10">
        <v>68.66</v>
      </c>
      <c r="AB3" s="90">
        <v>422700</v>
      </c>
      <c r="AC3" s="10">
        <v>68.66</v>
      </c>
      <c r="AD3" s="2">
        <f t="shared" ref="AD3:AD66" si="0">Y3-Z3</f>
        <v>1.4500000000000028</v>
      </c>
      <c r="AE3" s="131">
        <f t="shared" ref="AE3:AE66" si="1">AC3/AC4-1</f>
        <v>7.0401877383394762E-3</v>
      </c>
    </row>
    <row r="4" spans="1:31" x14ac:dyDescent="0.25">
      <c r="B4" s="69"/>
      <c r="C4" s="4"/>
      <c r="D4" s="3"/>
      <c r="E4" s="3"/>
      <c r="F4" s="3"/>
      <c r="G4" s="4"/>
      <c r="H4" s="4"/>
      <c r="I4" s="4"/>
      <c r="J4" s="4"/>
      <c r="K4" s="4"/>
      <c r="L4" s="4"/>
      <c r="M4" s="4"/>
      <c r="O4" s="11" t="s">
        <v>66</v>
      </c>
      <c r="Q4" s="53">
        <v>109.31</v>
      </c>
      <c r="R4" s="396">
        <v>2.2599999999999999E-2</v>
      </c>
      <c r="W4" s="127">
        <v>42828</v>
      </c>
      <c r="X4" s="10">
        <v>68.099999999999994</v>
      </c>
      <c r="Y4" s="10">
        <v>68.489999999999995</v>
      </c>
      <c r="Z4" s="10">
        <v>67.099999999999994</v>
      </c>
      <c r="AA4" s="10">
        <v>68.180000000000007</v>
      </c>
      <c r="AB4" s="90">
        <v>539900</v>
      </c>
      <c r="AC4" s="10">
        <v>68.180000000000007</v>
      </c>
      <c r="AD4" s="2">
        <f t="shared" si="0"/>
        <v>1.3900000000000006</v>
      </c>
      <c r="AE4" s="131">
        <f t="shared" si="1"/>
        <v>3.8280329799764701E-3</v>
      </c>
    </row>
    <row r="5" spans="1:31" x14ac:dyDescent="0.25">
      <c r="B5" s="4"/>
      <c r="C5" s="4"/>
      <c r="D5" s="3"/>
      <c r="E5" s="3"/>
      <c r="F5" s="3"/>
      <c r="G5" s="4"/>
      <c r="H5" s="4"/>
      <c r="I5" s="4"/>
      <c r="J5" s="4"/>
      <c r="K5" s="4"/>
      <c r="L5" s="4"/>
      <c r="M5" s="4"/>
      <c r="O5" s="11" t="s">
        <v>67</v>
      </c>
      <c r="Q5" s="3">
        <f>Q4*Q2</f>
        <v>0</v>
      </c>
      <c r="W5" s="127">
        <v>42825</v>
      </c>
      <c r="X5" s="10">
        <v>68.209999999999994</v>
      </c>
      <c r="Y5" s="10">
        <v>68.650000000000006</v>
      </c>
      <c r="Z5" s="10">
        <v>67.88</v>
      </c>
      <c r="AA5" s="10">
        <v>67.92</v>
      </c>
      <c r="AB5" s="90">
        <v>322900</v>
      </c>
      <c r="AC5" s="10">
        <v>67.92</v>
      </c>
      <c r="AD5" s="2">
        <f t="shared" si="0"/>
        <v>0.77000000000001023</v>
      </c>
      <c r="AE5" s="131">
        <f t="shared" si="1"/>
        <v>-6.000292697204701E-3</v>
      </c>
    </row>
    <row r="6" spans="1:31" x14ac:dyDescent="0.25">
      <c r="B6" s="4"/>
      <c r="C6" s="4"/>
      <c r="D6" s="3"/>
      <c r="E6" s="3"/>
      <c r="F6" s="3"/>
      <c r="G6" s="4"/>
      <c r="H6" s="4"/>
      <c r="I6" s="4"/>
      <c r="J6" s="4"/>
      <c r="K6" s="4"/>
      <c r="L6" s="4"/>
      <c r="M6" s="4"/>
      <c r="O6" s="11" t="s">
        <v>64</v>
      </c>
      <c r="Q6" s="2">
        <f>Q3*Q2</f>
        <v>0</v>
      </c>
      <c r="W6" s="127">
        <v>42824</v>
      </c>
      <c r="X6" s="10">
        <v>67.55</v>
      </c>
      <c r="Y6" s="10">
        <v>68.36</v>
      </c>
      <c r="Z6" s="10">
        <v>67.55</v>
      </c>
      <c r="AA6" s="10">
        <v>68.33</v>
      </c>
      <c r="AB6" s="90">
        <v>243400</v>
      </c>
      <c r="AC6" s="10">
        <v>68.33</v>
      </c>
      <c r="AD6" s="2">
        <f t="shared" si="0"/>
        <v>0.81000000000000227</v>
      </c>
      <c r="AE6" s="131">
        <f t="shared" si="1"/>
        <v>1.049985211475879E-2</v>
      </c>
    </row>
    <row r="7" spans="1:31" x14ac:dyDescent="0.25">
      <c r="B7" s="4"/>
      <c r="C7" s="4"/>
      <c r="D7" s="3"/>
      <c r="E7" s="3"/>
      <c r="F7" s="3"/>
      <c r="G7" s="4"/>
      <c r="H7" s="4"/>
      <c r="I7" s="4"/>
      <c r="J7" s="4"/>
      <c r="K7" s="4"/>
      <c r="L7" s="4"/>
      <c r="M7" s="4"/>
      <c r="O7" s="11" t="s">
        <v>175</v>
      </c>
      <c r="Q7" s="2">
        <f>Q10+Q8</f>
        <v>33.940000000000055</v>
      </c>
      <c r="R7">
        <v>0</v>
      </c>
      <c r="W7" s="127">
        <v>42823</v>
      </c>
      <c r="X7" s="10">
        <v>67.47</v>
      </c>
      <c r="Y7" s="10">
        <v>67.900000000000006</v>
      </c>
      <c r="Z7" s="10">
        <v>67.260000000000005</v>
      </c>
      <c r="AA7" s="10">
        <v>67.62</v>
      </c>
      <c r="AB7" s="90">
        <v>150900</v>
      </c>
      <c r="AC7" s="10">
        <v>67.62</v>
      </c>
      <c r="AD7" s="2">
        <f t="shared" si="0"/>
        <v>0.64000000000000057</v>
      </c>
      <c r="AE7" s="131">
        <f t="shared" si="1"/>
        <v>-2.956830277941469E-4</v>
      </c>
    </row>
    <row r="8" spans="1:31" x14ac:dyDescent="0.25">
      <c r="B8" s="4"/>
      <c r="C8" s="4"/>
      <c r="D8" s="3"/>
      <c r="E8" s="3"/>
      <c r="F8" s="3"/>
      <c r="G8" s="4"/>
      <c r="H8" s="4"/>
      <c r="I8" s="4"/>
      <c r="J8" s="4"/>
      <c r="K8" s="4"/>
      <c r="L8" s="4"/>
      <c r="M8" s="4"/>
      <c r="O8" s="11" t="s">
        <v>177</v>
      </c>
      <c r="P8" s="33"/>
      <c r="Q8" s="2">
        <f>K18+M18-F18+Q2*Q4</f>
        <v>0</v>
      </c>
      <c r="W8" s="127">
        <v>42822</v>
      </c>
      <c r="X8" s="10">
        <v>66.930000000000007</v>
      </c>
      <c r="Y8" s="10">
        <v>67.97</v>
      </c>
      <c r="Z8" s="10">
        <v>66.72</v>
      </c>
      <c r="AA8" s="10">
        <v>67.64</v>
      </c>
      <c r="AB8" s="90">
        <v>172600</v>
      </c>
      <c r="AC8" s="10">
        <v>67.64</v>
      </c>
      <c r="AD8" s="2">
        <f t="shared" si="0"/>
        <v>1.25</v>
      </c>
      <c r="AE8" s="131">
        <f t="shared" si="1"/>
        <v>7.4471254095918038E-3</v>
      </c>
    </row>
    <row r="9" spans="1:31" x14ac:dyDescent="0.25">
      <c r="B9" s="4"/>
      <c r="C9" s="4"/>
      <c r="D9" s="3"/>
      <c r="E9" s="3"/>
      <c r="F9" s="3"/>
      <c r="G9" s="4"/>
      <c r="H9" s="4"/>
      <c r="I9" s="4"/>
      <c r="J9" s="4"/>
      <c r="K9" s="4"/>
      <c r="L9" s="4"/>
      <c r="M9" s="4"/>
      <c r="O9" s="11" t="s">
        <v>202</v>
      </c>
      <c r="Q9" s="131">
        <f>IF(Q2=0, 0, Q8/Q6)</f>
        <v>0</v>
      </c>
      <c r="W9" s="127">
        <v>42821</v>
      </c>
      <c r="X9" s="10">
        <v>65.67</v>
      </c>
      <c r="Y9" s="10">
        <v>67.349999999999994</v>
      </c>
      <c r="Z9" s="10">
        <v>65.510000000000005</v>
      </c>
      <c r="AA9" s="10">
        <v>67.14</v>
      </c>
      <c r="AB9" s="90">
        <v>310500</v>
      </c>
      <c r="AC9" s="10">
        <v>67.14</v>
      </c>
      <c r="AD9" s="2">
        <f t="shared" si="0"/>
        <v>1.8399999999999892</v>
      </c>
      <c r="AE9" s="131">
        <f t="shared" si="1"/>
        <v>6.1441630451071205E-3</v>
      </c>
    </row>
    <row r="10" spans="1:31" x14ac:dyDescent="0.25">
      <c r="O10" s="11" t="s">
        <v>201</v>
      </c>
      <c r="P10" s="33"/>
      <c r="Q10" s="2">
        <f>M33</f>
        <v>33.940000000000055</v>
      </c>
      <c r="W10" s="127">
        <v>42818</v>
      </c>
      <c r="X10" s="10">
        <v>66.63</v>
      </c>
      <c r="Y10" s="10">
        <v>67.5</v>
      </c>
      <c r="Z10" s="10">
        <v>66.38</v>
      </c>
      <c r="AA10" s="10">
        <v>66.73</v>
      </c>
      <c r="AB10" s="90">
        <v>283200</v>
      </c>
      <c r="AC10" s="10">
        <v>66.73</v>
      </c>
      <c r="AD10" s="2">
        <f t="shared" si="0"/>
        <v>1.1200000000000045</v>
      </c>
      <c r="AE10" s="131">
        <f t="shared" si="1"/>
        <v>5.424137411481178E-3</v>
      </c>
    </row>
    <row r="11" spans="1:31" x14ac:dyDescent="0.25">
      <c r="O11" s="11" t="s">
        <v>173</v>
      </c>
      <c r="P11" s="33"/>
      <c r="Q11" s="131">
        <f>IF(U58="N/A (N/A)", 0, VALUE(TRIM(CLEAN(MID(U58, FIND("(", U58)+1, 5)))))</f>
        <v>7.4000000000000003E-3</v>
      </c>
      <c r="W11" s="127">
        <v>42817</v>
      </c>
      <c r="X11" s="10">
        <v>65.739999999999995</v>
      </c>
      <c r="Y11" s="10">
        <v>66.88</v>
      </c>
      <c r="Z11" s="10">
        <v>65.47</v>
      </c>
      <c r="AA11" s="10">
        <v>66.37</v>
      </c>
      <c r="AB11" s="90">
        <v>290700</v>
      </c>
      <c r="AC11" s="10">
        <v>66.37</v>
      </c>
      <c r="AD11" s="2">
        <f t="shared" si="0"/>
        <v>1.4099999999999966</v>
      </c>
      <c r="AE11" s="131">
        <f t="shared" si="1"/>
        <v>7.8967350037966177E-3</v>
      </c>
    </row>
    <row r="12" spans="1:31" x14ac:dyDescent="0.25">
      <c r="W12" s="127">
        <v>42816</v>
      </c>
      <c r="X12" s="10">
        <v>66.67</v>
      </c>
      <c r="Y12" s="10">
        <v>68.14</v>
      </c>
      <c r="Z12" s="10">
        <v>65.650000000000006</v>
      </c>
      <c r="AA12" s="10">
        <v>65.849999999999994</v>
      </c>
      <c r="AB12" s="90">
        <v>370400</v>
      </c>
      <c r="AC12" s="10">
        <v>65.849999999999994</v>
      </c>
      <c r="AD12" s="2">
        <f t="shared" si="0"/>
        <v>2.4899999999999949</v>
      </c>
      <c r="AE12" s="131">
        <f t="shared" si="1"/>
        <v>-1.5989240884638489E-2</v>
      </c>
    </row>
    <row r="13" spans="1:31" x14ac:dyDescent="0.25">
      <c r="W13" s="127">
        <v>42815</v>
      </c>
      <c r="X13" s="10">
        <v>69.28</v>
      </c>
      <c r="Y13" s="10">
        <v>69.28</v>
      </c>
      <c r="Z13" s="10">
        <v>66.86</v>
      </c>
      <c r="AA13" s="10">
        <v>66.92</v>
      </c>
      <c r="AB13" s="90">
        <v>264000</v>
      </c>
      <c r="AC13" s="10">
        <v>66.92</v>
      </c>
      <c r="AD13" s="2">
        <f t="shared" si="0"/>
        <v>2.4200000000000017</v>
      </c>
      <c r="AE13" s="131">
        <f t="shared" si="1"/>
        <v>-2.8314215188035452E-2</v>
      </c>
    </row>
    <row r="14" spans="1:31" x14ac:dyDescent="0.25">
      <c r="W14" s="127">
        <v>42814</v>
      </c>
      <c r="X14" s="10">
        <v>68.849999999999994</v>
      </c>
      <c r="Y14" s="10">
        <v>69.290000000000006</v>
      </c>
      <c r="Z14" s="10">
        <v>68.510000000000005</v>
      </c>
      <c r="AA14" s="10">
        <v>68.87</v>
      </c>
      <c r="AB14" s="90">
        <v>204700</v>
      </c>
      <c r="AC14" s="10">
        <v>68.87</v>
      </c>
      <c r="AD14" s="2">
        <f t="shared" si="0"/>
        <v>0.78000000000000114</v>
      </c>
      <c r="AE14" s="131">
        <f t="shared" si="1"/>
        <v>4.3579314352126808E-4</v>
      </c>
    </row>
    <row r="15" spans="1:31" x14ac:dyDescent="0.25">
      <c r="W15" s="127">
        <v>42811</v>
      </c>
      <c r="X15" s="10">
        <v>68.33</v>
      </c>
      <c r="Y15" s="10">
        <v>69.06</v>
      </c>
      <c r="Z15" s="10">
        <v>68.239999999999995</v>
      </c>
      <c r="AA15" s="10">
        <v>68.84</v>
      </c>
      <c r="AB15" s="90">
        <v>532600</v>
      </c>
      <c r="AC15" s="10">
        <v>68.84</v>
      </c>
      <c r="AD15" s="2">
        <f t="shared" si="0"/>
        <v>0.82000000000000739</v>
      </c>
      <c r="AE15" s="131">
        <f t="shared" si="1"/>
        <v>3.6448461874909466E-3</v>
      </c>
    </row>
    <row r="16" spans="1:31" x14ac:dyDescent="0.25">
      <c r="W16" s="127">
        <v>42810</v>
      </c>
      <c r="X16" s="10">
        <v>69.09</v>
      </c>
      <c r="Y16" s="10">
        <v>69.430000000000007</v>
      </c>
      <c r="Z16" s="10">
        <v>68.42</v>
      </c>
      <c r="AA16" s="10">
        <v>68.59</v>
      </c>
      <c r="AB16" s="90">
        <v>172600</v>
      </c>
      <c r="AC16" s="10">
        <v>68.59</v>
      </c>
      <c r="AD16" s="2">
        <f t="shared" si="0"/>
        <v>1.0100000000000051</v>
      </c>
      <c r="AE16" s="131">
        <f t="shared" si="1"/>
        <v>-5.7979417306854852E-3</v>
      </c>
    </row>
    <row r="17" spans="1:31" x14ac:dyDescent="0.25">
      <c r="W17" s="127">
        <v>42809</v>
      </c>
      <c r="X17" s="10">
        <v>68.45</v>
      </c>
      <c r="Y17" s="10">
        <v>69.14</v>
      </c>
      <c r="Z17" s="10">
        <v>68.03</v>
      </c>
      <c r="AA17" s="10">
        <v>68.989999999999995</v>
      </c>
      <c r="AB17" s="90">
        <v>233600</v>
      </c>
      <c r="AC17" s="10">
        <v>68.989999999999995</v>
      </c>
      <c r="AD17" s="2">
        <f t="shared" si="0"/>
        <v>1.1099999999999994</v>
      </c>
      <c r="AE17" s="131">
        <f t="shared" si="1"/>
        <v>1.5155974102413206E-2</v>
      </c>
    </row>
    <row r="18" spans="1:31" x14ac:dyDescent="0.25">
      <c r="A18" s="21" t="s">
        <v>81</v>
      </c>
      <c r="B18" s="21"/>
      <c r="C18" s="21">
        <f>SUM(C2:C17)</f>
        <v>0</v>
      </c>
      <c r="D18" s="38"/>
      <c r="E18" s="38"/>
      <c r="F18" s="38">
        <f>SUM(F2:F17)</f>
        <v>0</v>
      </c>
      <c r="G18" s="21"/>
      <c r="H18" s="21">
        <f>SUM(H2:H4)</f>
        <v>0</v>
      </c>
      <c r="I18" s="21"/>
      <c r="J18" s="21"/>
      <c r="K18" s="21">
        <f>SUM(K2:K17)</f>
        <v>0</v>
      </c>
      <c r="L18" s="21"/>
      <c r="M18" s="38">
        <f>SUM(M2:M17)</f>
        <v>0</v>
      </c>
      <c r="W18" s="127">
        <v>42808</v>
      </c>
      <c r="X18" s="10">
        <v>68.260000000000005</v>
      </c>
      <c r="Y18" s="10">
        <v>68.260000000000005</v>
      </c>
      <c r="Z18" s="10">
        <v>67.319999999999993</v>
      </c>
      <c r="AA18" s="10">
        <v>67.959999999999994</v>
      </c>
      <c r="AB18" s="90">
        <v>128900</v>
      </c>
      <c r="AC18" s="10">
        <v>67.959999999999994</v>
      </c>
      <c r="AD18" s="2">
        <f t="shared" si="0"/>
        <v>0.94000000000001194</v>
      </c>
      <c r="AE18" s="131">
        <f t="shared" si="1"/>
        <v>-8.172796263864579E-3</v>
      </c>
    </row>
    <row r="19" spans="1:31" x14ac:dyDescent="0.25">
      <c r="W19" s="127">
        <v>42807</v>
      </c>
      <c r="X19" s="10">
        <v>68.150000000000006</v>
      </c>
      <c r="Y19" s="10">
        <v>68.599999999999994</v>
      </c>
      <c r="Z19" s="10">
        <v>68.11</v>
      </c>
      <c r="AA19" s="10">
        <v>68.52</v>
      </c>
      <c r="AB19" s="90">
        <v>133600</v>
      </c>
      <c r="AC19" s="10">
        <v>68.52</v>
      </c>
      <c r="AD19" s="2">
        <f t="shared" si="0"/>
        <v>0.48999999999999488</v>
      </c>
      <c r="AE19" s="131">
        <f t="shared" si="1"/>
        <v>6.3151710970772434E-3</v>
      </c>
    </row>
    <row r="20" spans="1:31" x14ac:dyDescent="0.25">
      <c r="B20" s="159" t="s">
        <v>113</v>
      </c>
      <c r="C20" s="159" t="s">
        <v>143</v>
      </c>
      <c r="D20" s="160" t="s">
        <v>142</v>
      </c>
      <c r="E20" s="162" t="s">
        <v>144</v>
      </c>
      <c r="F20" s="163" t="s">
        <v>65</v>
      </c>
      <c r="W20" s="127">
        <v>42804</v>
      </c>
      <c r="X20" s="10">
        <v>68.94</v>
      </c>
      <c r="Y20" s="10">
        <v>69.2</v>
      </c>
      <c r="Z20" s="10">
        <v>67.53</v>
      </c>
      <c r="AA20" s="10">
        <v>68.09</v>
      </c>
      <c r="AB20" s="90">
        <v>317800</v>
      </c>
      <c r="AC20" s="10">
        <v>68.09</v>
      </c>
      <c r="AD20" s="2">
        <f t="shared" si="0"/>
        <v>1.6700000000000017</v>
      </c>
      <c r="AE20" s="131">
        <f t="shared" si="1"/>
        <v>-5.2593133674214698E-3</v>
      </c>
    </row>
    <row r="21" spans="1:31" x14ac:dyDescent="0.25">
      <c r="B21" s="161">
        <v>42304</v>
      </c>
      <c r="C21" s="10">
        <v>70</v>
      </c>
      <c r="D21" s="39">
        <v>45.66</v>
      </c>
      <c r="E21" s="39">
        <v>43.76</v>
      </c>
      <c r="F21" s="39">
        <v>-113.3</v>
      </c>
      <c r="W21" s="127">
        <v>42803</v>
      </c>
      <c r="X21" s="10">
        <v>69.42</v>
      </c>
      <c r="Y21" s="10">
        <v>69.77</v>
      </c>
      <c r="Z21" s="10">
        <v>68.319999999999993</v>
      </c>
      <c r="AA21" s="10">
        <v>68.45</v>
      </c>
      <c r="AB21" s="90">
        <v>117000</v>
      </c>
      <c r="AC21" s="10">
        <v>68.45</v>
      </c>
      <c r="AD21" s="2">
        <f t="shared" si="0"/>
        <v>1.4500000000000028</v>
      </c>
      <c r="AE21" s="131">
        <f t="shared" si="1"/>
        <v>-1.3262217096727702E-2</v>
      </c>
    </row>
    <row r="22" spans="1:31" x14ac:dyDescent="0.25">
      <c r="B22" s="161">
        <v>42310</v>
      </c>
      <c r="C22" s="10">
        <v>0</v>
      </c>
      <c r="D22" s="170" t="s">
        <v>128</v>
      </c>
      <c r="E22" s="39">
        <v>46.15</v>
      </c>
      <c r="F22" s="39">
        <v>33.94</v>
      </c>
      <c r="W22" s="127">
        <v>42802</v>
      </c>
      <c r="X22" s="10">
        <v>70.08</v>
      </c>
      <c r="Y22" s="10">
        <v>70.3</v>
      </c>
      <c r="Z22" s="10">
        <v>69.31</v>
      </c>
      <c r="AA22" s="10">
        <v>69.37</v>
      </c>
      <c r="AB22" s="90">
        <v>143500</v>
      </c>
      <c r="AC22" s="10">
        <v>69.37</v>
      </c>
      <c r="AD22" s="2">
        <f t="shared" si="0"/>
        <v>0.98999999999999488</v>
      </c>
      <c r="AE22" s="131">
        <f t="shared" si="1"/>
        <v>-8.4333905088620487E-3</v>
      </c>
    </row>
    <row r="23" spans="1:31" x14ac:dyDescent="0.25">
      <c r="B23" s="10"/>
      <c r="C23" s="10"/>
      <c r="D23" s="39"/>
      <c r="E23" s="39"/>
      <c r="F23" s="39"/>
      <c r="W23" s="127">
        <v>42801</v>
      </c>
      <c r="X23" s="10">
        <v>70.459999999999994</v>
      </c>
      <c r="Y23" s="10">
        <v>70.92</v>
      </c>
      <c r="Z23" s="10">
        <v>69.900000000000006</v>
      </c>
      <c r="AA23" s="10">
        <v>69.959999999999994</v>
      </c>
      <c r="AB23" s="90">
        <v>199900</v>
      </c>
      <c r="AC23" s="10">
        <v>69.959999999999994</v>
      </c>
      <c r="AD23" s="2">
        <f t="shared" si="0"/>
        <v>1.019999999999996</v>
      </c>
      <c r="AE23" s="131">
        <f t="shared" si="1"/>
        <v>-8.2222852282394232E-3</v>
      </c>
    </row>
    <row r="24" spans="1:31" x14ac:dyDescent="0.25">
      <c r="B24" s="10"/>
      <c r="C24" s="10"/>
      <c r="D24" s="39"/>
      <c r="E24" s="39"/>
      <c r="F24" s="39"/>
      <c r="W24" s="127">
        <v>42800</v>
      </c>
      <c r="X24" s="10">
        <v>70.17</v>
      </c>
      <c r="Y24" s="10">
        <v>70.790000000000006</v>
      </c>
      <c r="Z24" s="10">
        <v>69.77</v>
      </c>
      <c r="AA24" s="10">
        <v>70.540000000000006</v>
      </c>
      <c r="AB24" s="90">
        <v>159600</v>
      </c>
      <c r="AC24" s="10">
        <v>70.540000000000006</v>
      </c>
      <c r="AD24" s="2">
        <f t="shared" si="0"/>
        <v>1.0200000000000102</v>
      </c>
      <c r="AE24" s="131">
        <f t="shared" si="1"/>
        <v>2.1309845148458351E-3</v>
      </c>
    </row>
    <row r="25" spans="1:31" x14ac:dyDescent="0.25">
      <c r="B25" s="10"/>
      <c r="C25" s="10"/>
      <c r="D25" s="39"/>
      <c r="E25" s="39"/>
      <c r="F25" s="39"/>
      <c r="W25" s="127">
        <v>42797</v>
      </c>
      <c r="X25" s="10">
        <v>70.8</v>
      </c>
      <c r="Y25" s="10">
        <v>71.44</v>
      </c>
      <c r="Z25" s="10">
        <v>70.150000000000006</v>
      </c>
      <c r="AA25" s="10">
        <v>70.39</v>
      </c>
      <c r="AB25" s="90">
        <v>355600</v>
      </c>
      <c r="AC25" s="10">
        <v>70.39</v>
      </c>
      <c r="AD25" s="2">
        <f t="shared" si="0"/>
        <v>1.289999999999992</v>
      </c>
      <c r="AE25" s="131">
        <f t="shared" si="1"/>
        <v>-5.9313656263240144E-3</v>
      </c>
    </row>
    <row r="26" spans="1:31" x14ac:dyDescent="0.25">
      <c r="B26" s="10"/>
      <c r="C26" s="10"/>
      <c r="D26" s="39"/>
      <c r="E26" s="39"/>
      <c r="F26" s="39"/>
      <c r="W26" s="127">
        <v>42796</v>
      </c>
      <c r="X26" s="10">
        <v>72</v>
      </c>
      <c r="Y26" s="10">
        <v>72.08</v>
      </c>
      <c r="Z26" s="10">
        <v>70.709999999999994</v>
      </c>
      <c r="AA26" s="10">
        <v>70.81</v>
      </c>
      <c r="AB26" s="90">
        <v>183000</v>
      </c>
      <c r="AC26" s="10">
        <v>70.81</v>
      </c>
      <c r="AD26" s="2">
        <f t="shared" si="0"/>
        <v>1.3700000000000045</v>
      </c>
      <c r="AE26" s="131">
        <f t="shared" si="1"/>
        <v>-1.5981100611450638E-2</v>
      </c>
    </row>
    <row r="27" spans="1:31" x14ac:dyDescent="0.25">
      <c r="B27" s="10"/>
      <c r="C27" s="10"/>
      <c r="D27" s="39"/>
      <c r="E27" s="39"/>
      <c r="F27" s="39"/>
      <c r="W27" s="127">
        <v>42795</v>
      </c>
      <c r="X27" s="10">
        <v>71.28</v>
      </c>
      <c r="Y27" s="10">
        <v>72.28</v>
      </c>
      <c r="Z27" s="10">
        <v>71.28</v>
      </c>
      <c r="AA27" s="10">
        <v>71.959999999999994</v>
      </c>
      <c r="AB27" s="90">
        <v>372700</v>
      </c>
      <c r="AC27" s="10">
        <v>71.959999999999994</v>
      </c>
      <c r="AD27" s="2">
        <f t="shared" si="0"/>
        <v>1</v>
      </c>
      <c r="AE27" s="131">
        <f t="shared" si="1"/>
        <v>2.1433640880056615E-2</v>
      </c>
    </row>
    <row r="28" spans="1:31" x14ac:dyDescent="0.25">
      <c r="B28" s="10"/>
      <c r="C28" s="10"/>
      <c r="D28" s="39"/>
      <c r="E28" s="39"/>
      <c r="F28" s="39"/>
      <c r="W28" s="127">
        <v>42794</v>
      </c>
      <c r="X28" s="10">
        <v>72</v>
      </c>
      <c r="Y28" s="10">
        <v>72.069999999999993</v>
      </c>
      <c r="Z28" s="10">
        <v>70.42</v>
      </c>
      <c r="AA28" s="10">
        <v>70.45</v>
      </c>
      <c r="AB28" s="90">
        <v>289400</v>
      </c>
      <c r="AC28" s="10">
        <v>70.45</v>
      </c>
      <c r="AD28" s="2">
        <f t="shared" si="0"/>
        <v>1.6499999999999915</v>
      </c>
      <c r="AE28" s="131">
        <f t="shared" si="1"/>
        <v>-1.9621486223211804E-2</v>
      </c>
    </row>
    <row r="29" spans="1:31" x14ac:dyDescent="0.25">
      <c r="B29" s="10"/>
      <c r="C29" s="10"/>
      <c r="D29" s="39"/>
      <c r="E29" s="39"/>
      <c r="F29" s="39"/>
      <c r="W29" s="127">
        <v>42793</v>
      </c>
      <c r="X29" s="10">
        <v>70.2</v>
      </c>
      <c r="Y29" s="10">
        <v>71.97</v>
      </c>
      <c r="Z29" s="10">
        <v>70.069999999999993</v>
      </c>
      <c r="AA29" s="10">
        <v>71.86</v>
      </c>
      <c r="AB29" s="90">
        <v>606900</v>
      </c>
      <c r="AC29" s="10">
        <v>71.86</v>
      </c>
      <c r="AD29" s="2">
        <f t="shared" si="0"/>
        <v>1.9000000000000057</v>
      </c>
      <c r="AE29" s="131">
        <f t="shared" si="1"/>
        <v>2.5253245826794002E-2</v>
      </c>
    </row>
    <row r="30" spans="1:31" x14ac:dyDescent="0.25">
      <c r="B30" s="10"/>
      <c r="C30" s="10"/>
      <c r="D30" s="39"/>
      <c r="E30" s="39"/>
      <c r="F30" s="39"/>
      <c r="W30" s="127">
        <v>42790</v>
      </c>
      <c r="X30" s="10">
        <v>69.5</v>
      </c>
      <c r="Y30" s="10">
        <v>70.099999999999994</v>
      </c>
      <c r="Z30" s="10">
        <v>69.41</v>
      </c>
      <c r="AA30" s="10">
        <v>70.09</v>
      </c>
      <c r="AB30" s="90">
        <v>239900</v>
      </c>
      <c r="AC30" s="10">
        <v>70.09</v>
      </c>
      <c r="AD30" s="2">
        <f t="shared" si="0"/>
        <v>0.68999999999999773</v>
      </c>
      <c r="AE30" s="131">
        <f t="shared" si="1"/>
        <v>9.9971436732371188E-4</v>
      </c>
    </row>
    <row r="31" spans="1:31" x14ac:dyDescent="0.25">
      <c r="W31" s="127">
        <v>42789</v>
      </c>
      <c r="X31" s="10">
        <v>71.25</v>
      </c>
      <c r="Y31" s="10">
        <v>71.25</v>
      </c>
      <c r="Z31" s="10">
        <v>69.62</v>
      </c>
      <c r="AA31" s="10">
        <v>70.02</v>
      </c>
      <c r="AB31" s="90">
        <v>165700</v>
      </c>
      <c r="AC31" s="10">
        <v>70.02</v>
      </c>
      <c r="AD31" s="2">
        <f t="shared" si="0"/>
        <v>1.6299999999999955</v>
      </c>
      <c r="AE31" s="131">
        <f t="shared" si="1"/>
        <v>-1.3802816901408499E-2</v>
      </c>
    </row>
    <row r="32" spans="1:31" x14ac:dyDescent="0.25">
      <c r="W32" s="127">
        <v>42788</v>
      </c>
      <c r="X32" s="10">
        <v>71.08</v>
      </c>
      <c r="Y32" s="10">
        <v>71.23</v>
      </c>
      <c r="Z32" s="10">
        <v>70.66</v>
      </c>
      <c r="AA32" s="10">
        <v>71</v>
      </c>
      <c r="AB32" s="90">
        <v>196500</v>
      </c>
      <c r="AC32" s="10">
        <v>71</v>
      </c>
      <c r="AD32" s="2">
        <f t="shared" si="0"/>
        <v>0.57000000000000739</v>
      </c>
      <c r="AE32" s="131">
        <f t="shared" si="1"/>
        <v>-2.668914173338921E-3</v>
      </c>
    </row>
    <row r="33" spans="1:31" x14ac:dyDescent="0.25">
      <c r="L33" t="s">
        <v>201</v>
      </c>
      <c r="M33" s="2">
        <f>M51+K51-F51</f>
        <v>33.940000000000055</v>
      </c>
      <c r="W33" s="127">
        <v>42787</v>
      </c>
      <c r="X33" s="10">
        <v>70.64</v>
      </c>
      <c r="Y33" s="10">
        <v>71.27</v>
      </c>
      <c r="Z33" s="10">
        <v>70.3</v>
      </c>
      <c r="AA33" s="10">
        <v>71.19</v>
      </c>
      <c r="AB33" s="90">
        <v>249600</v>
      </c>
      <c r="AC33" s="10">
        <v>71.19</v>
      </c>
      <c r="AD33" s="2">
        <f t="shared" si="0"/>
        <v>0.96999999999999886</v>
      </c>
      <c r="AE33" s="131">
        <f t="shared" si="1"/>
        <v>1.1508951406649759E-2</v>
      </c>
    </row>
    <row r="34" spans="1:31" x14ac:dyDescent="0.25">
      <c r="A34" s="297" t="s">
        <v>1</v>
      </c>
      <c r="B34" s="297" t="s">
        <v>2</v>
      </c>
      <c r="C34" s="297" t="s">
        <v>4</v>
      </c>
      <c r="D34" s="299" t="s">
        <v>5</v>
      </c>
      <c r="E34" s="299" t="s">
        <v>94</v>
      </c>
      <c r="F34" s="299" t="s">
        <v>60</v>
      </c>
      <c r="G34" s="297" t="s">
        <v>3</v>
      </c>
      <c r="H34" s="297" t="s">
        <v>6</v>
      </c>
      <c r="I34" s="297" t="s">
        <v>7</v>
      </c>
      <c r="J34" s="297" t="s">
        <v>95</v>
      </c>
      <c r="K34" s="297" t="s">
        <v>61</v>
      </c>
      <c r="L34" s="297" t="s">
        <v>77</v>
      </c>
      <c r="M34" s="297" t="s">
        <v>38</v>
      </c>
      <c r="W34" s="127">
        <v>42783</v>
      </c>
      <c r="X34" s="10">
        <v>70.069999999999993</v>
      </c>
      <c r="Y34" s="10">
        <v>70.400000000000006</v>
      </c>
      <c r="Z34" s="10">
        <v>69.739999999999995</v>
      </c>
      <c r="AA34" s="10">
        <v>70.38</v>
      </c>
      <c r="AB34" s="90">
        <v>181700</v>
      </c>
      <c r="AC34" s="10">
        <v>70.38</v>
      </c>
      <c r="AD34" s="2">
        <f t="shared" si="0"/>
        <v>0.6600000000000108</v>
      </c>
      <c r="AE34" s="131">
        <f t="shared" si="1"/>
        <v>2.421307506053294E-3</v>
      </c>
    </row>
    <row r="35" spans="1:31" x14ac:dyDescent="0.25">
      <c r="A35" s="300" t="s">
        <v>53</v>
      </c>
      <c r="B35" s="290">
        <v>42214</v>
      </c>
      <c r="C35" s="291">
        <v>15</v>
      </c>
      <c r="D35" s="292">
        <v>47.8</v>
      </c>
      <c r="E35" s="292">
        <v>0</v>
      </c>
      <c r="F35" s="292">
        <f>C35*D35</f>
        <v>717</v>
      </c>
      <c r="G35" s="290">
        <v>42313</v>
      </c>
      <c r="H35" s="292">
        <v>70</v>
      </c>
      <c r="I35" s="292">
        <v>46.15</v>
      </c>
      <c r="J35" s="292">
        <v>0.06</v>
      </c>
      <c r="K35" s="291">
        <f>I35*H35-J35</f>
        <v>3230.44</v>
      </c>
      <c r="L35" s="290">
        <v>42247</v>
      </c>
      <c r="M35" s="292">
        <v>3.5</v>
      </c>
      <c r="W35" s="127">
        <v>42782</v>
      </c>
      <c r="X35" s="10">
        <v>70.63</v>
      </c>
      <c r="Y35" s="10">
        <v>70.69</v>
      </c>
      <c r="Z35" s="10">
        <v>69.790000000000006</v>
      </c>
      <c r="AA35" s="10">
        <v>70.209999999999994</v>
      </c>
      <c r="AB35" s="90">
        <v>103000</v>
      </c>
      <c r="AC35" s="10">
        <v>70.209999999999994</v>
      </c>
      <c r="AD35" s="2">
        <f t="shared" si="0"/>
        <v>0.89999999999999147</v>
      </c>
      <c r="AE35" s="131">
        <f t="shared" si="1"/>
        <v>-2.5571814178151353E-3</v>
      </c>
    </row>
    <row r="36" spans="1:31" x14ac:dyDescent="0.25">
      <c r="A36" s="301" t="s">
        <v>71</v>
      </c>
      <c r="B36" s="290">
        <v>42233</v>
      </c>
      <c r="C36" s="291">
        <v>20</v>
      </c>
      <c r="D36" s="292">
        <v>47.5</v>
      </c>
      <c r="E36" s="292">
        <v>0</v>
      </c>
      <c r="F36" s="292">
        <f>C36*D36</f>
        <v>950</v>
      </c>
      <c r="G36" s="291"/>
      <c r="H36" s="291"/>
      <c r="I36" s="291"/>
      <c r="J36" s="291"/>
      <c r="K36" s="291"/>
      <c r="L36" s="290">
        <v>42338</v>
      </c>
      <c r="M36" s="291"/>
      <c r="W36" s="127">
        <v>42781</v>
      </c>
      <c r="X36" s="10">
        <v>69.64</v>
      </c>
      <c r="Y36" s="10">
        <v>70.569999999999993</v>
      </c>
      <c r="Z36" s="10">
        <v>69.64</v>
      </c>
      <c r="AA36" s="10">
        <v>70.39</v>
      </c>
      <c r="AB36" s="90">
        <v>105100</v>
      </c>
      <c r="AC36" s="10">
        <v>70.39</v>
      </c>
      <c r="AD36" s="2">
        <f t="shared" si="0"/>
        <v>0.92999999999999261</v>
      </c>
      <c r="AE36" s="131" t="e">
        <f t="shared" si="1"/>
        <v>#DIV/0!</v>
      </c>
    </row>
    <row r="37" spans="1:31" x14ac:dyDescent="0.25">
      <c r="A37" s="291"/>
      <c r="B37" s="290">
        <v>42269</v>
      </c>
      <c r="C37" s="291">
        <v>35</v>
      </c>
      <c r="D37" s="292">
        <v>43.8</v>
      </c>
      <c r="E37" s="292">
        <v>0</v>
      </c>
      <c r="F37" s="292">
        <f>C37*D37</f>
        <v>1533</v>
      </c>
      <c r="G37" s="291"/>
      <c r="H37" s="291"/>
      <c r="I37" s="291"/>
      <c r="J37" s="291"/>
      <c r="K37" s="291"/>
      <c r="L37" s="291"/>
      <c r="M37" s="291"/>
      <c r="W37" s="127">
        <v>42781</v>
      </c>
      <c r="X37" s="10" t="s">
        <v>399</v>
      </c>
      <c r="Y37" s="10"/>
      <c r="Z37" s="10"/>
      <c r="AA37" s="10"/>
      <c r="AB37" s="90"/>
      <c r="AC37" s="10"/>
      <c r="AD37" s="2">
        <f t="shared" si="0"/>
        <v>0</v>
      </c>
      <c r="AE37" s="131">
        <f t="shared" si="1"/>
        <v>-1</v>
      </c>
    </row>
    <row r="38" spans="1:31" x14ac:dyDescent="0.25">
      <c r="A38" s="291"/>
      <c r="B38" s="291"/>
      <c r="C38" s="291"/>
      <c r="D38" s="292"/>
      <c r="E38" s="292"/>
      <c r="F38" s="292"/>
      <c r="G38" s="291"/>
      <c r="H38" s="291"/>
      <c r="I38" s="291"/>
      <c r="J38" s="291"/>
      <c r="K38" s="291"/>
      <c r="L38" s="291"/>
      <c r="M38" s="291"/>
      <c r="W38" s="127">
        <v>42780</v>
      </c>
      <c r="X38" s="10">
        <v>69.72</v>
      </c>
      <c r="Y38" s="10">
        <v>70.11</v>
      </c>
      <c r="Z38" s="10">
        <v>69.5</v>
      </c>
      <c r="AA38" s="10">
        <v>70.06</v>
      </c>
      <c r="AB38" s="90">
        <v>204100</v>
      </c>
      <c r="AC38" s="10">
        <v>69.930000000000007</v>
      </c>
      <c r="AD38" s="2">
        <f t="shared" si="0"/>
        <v>0.60999999999999943</v>
      </c>
      <c r="AE38" s="131">
        <f t="shared" si="1"/>
        <v>1.4302059496573705E-4</v>
      </c>
    </row>
    <row r="39" spans="1:31" x14ac:dyDescent="0.25">
      <c r="A39" s="291"/>
      <c r="B39" s="291"/>
      <c r="C39" s="291"/>
      <c r="D39" s="292"/>
      <c r="E39" s="292"/>
      <c r="F39" s="292"/>
      <c r="G39" s="291"/>
      <c r="H39" s="291"/>
      <c r="I39" s="291"/>
      <c r="J39" s="291"/>
      <c r="K39" s="291"/>
      <c r="L39" s="291"/>
      <c r="M39" s="291"/>
      <c r="W39" s="127">
        <v>42779</v>
      </c>
      <c r="X39" s="10">
        <v>70.45</v>
      </c>
      <c r="Y39" s="10">
        <v>70.75</v>
      </c>
      <c r="Z39" s="10">
        <v>69.959999999999994</v>
      </c>
      <c r="AA39" s="10">
        <v>70.040000000000006</v>
      </c>
      <c r="AB39" s="90">
        <v>185900</v>
      </c>
      <c r="AC39" s="10">
        <v>69.92</v>
      </c>
      <c r="AD39" s="2">
        <f t="shared" si="0"/>
        <v>0.79000000000000625</v>
      </c>
      <c r="AE39" s="131">
        <f t="shared" si="1"/>
        <v>-2.7100271002710175E-3</v>
      </c>
    </row>
    <row r="40" spans="1:31" x14ac:dyDescent="0.25">
      <c r="A40" s="291"/>
      <c r="B40" s="291"/>
      <c r="C40" s="291"/>
      <c r="D40" s="292"/>
      <c r="E40" s="292"/>
      <c r="F40" s="292"/>
      <c r="G40" s="291"/>
      <c r="H40" s="291"/>
      <c r="I40" s="291"/>
      <c r="J40" s="291"/>
      <c r="K40" s="291"/>
      <c r="L40" s="291"/>
      <c r="M40" s="291"/>
      <c r="W40" s="127">
        <v>42776</v>
      </c>
      <c r="X40" s="10">
        <v>70.709999999999994</v>
      </c>
      <c r="Y40" s="10">
        <v>70.83</v>
      </c>
      <c r="Z40" s="10">
        <v>69.84</v>
      </c>
      <c r="AA40" s="10">
        <v>70.239999999999995</v>
      </c>
      <c r="AB40" s="90">
        <v>274400</v>
      </c>
      <c r="AC40" s="10">
        <v>70.11</v>
      </c>
      <c r="AD40" s="2">
        <f t="shared" si="0"/>
        <v>0.98999999999999488</v>
      </c>
      <c r="AE40" s="131">
        <f t="shared" si="1"/>
        <v>-2.1349274124680129E-3</v>
      </c>
    </row>
    <row r="41" spans="1:31" x14ac:dyDescent="0.25">
      <c r="A41" s="291"/>
      <c r="B41" s="291"/>
      <c r="C41" s="291"/>
      <c r="D41" s="292"/>
      <c r="E41" s="292"/>
      <c r="F41" s="292"/>
      <c r="G41" s="291"/>
      <c r="H41" s="291"/>
      <c r="I41" s="291"/>
      <c r="J41" s="291"/>
      <c r="K41" s="291"/>
      <c r="L41" s="291"/>
      <c r="M41" s="291"/>
      <c r="O41" s="33"/>
      <c r="W41" s="127">
        <v>42775</v>
      </c>
      <c r="X41" s="10">
        <v>70.7</v>
      </c>
      <c r="Y41" s="10">
        <v>70.739999999999995</v>
      </c>
      <c r="Z41" s="10">
        <v>69.25</v>
      </c>
      <c r="AA41" s="10">
        <v>70.39</v>
      </c>
      <c r="AB41" s="90">
        <v>231200</v>
      </c>
      <c r="AC41" s="10">
        <v>70.260000000000005</v>
      </c>
      <c r="AD41" s="2">
        <f t="shared" si="0"/>
        <v>1.4899999999999949</v>
      </c>
      <c r="AE41" s="131">
        <f t="shared" si="1"/>
        <v>1.4145496535796775E-2</v>
      </c>
    </row>
    <row r="42" spans="1:31" ht="20.25" thickBot="1" x14ac:dyDescent="0.35">
      <c r="A42" s="291"/>
      <c r="B42" s="291"/>
      <c r="C42" s="291"/>
      <c r="D42" s="292"/>
      <c r="E42" s="292"/>
      <c r="F42" s="292"/>
      <c r="G42" s="291"/>
      <c r="H42" s="291"/>
      <c r="I42" s="291"/>
      <c r="J42" s="291"/>
      <c r="K42" s="291"/>
      <c r="L42" s="291"/>
      <c r="M42" s="291"/>
      <c r="O42" s="886" t="s">
        <v>78</v>
      </c>
      <c r="P42" s="886"/>
      <c r="Q42" s="33"/>
      <c r="T42" s="86" t="s">
        <v>112</v>
      </c>
      <c r="W42" s="127">
        <v>42774</v>
      </c>
      <c r="X42" s="10">
        <v>69.56</v>
      </c>
      <c r="Y42" s="10">
        <v>69.819999999999993</v>
      </c>
      <c r="Z42" s="10">
        <v>69.05</v>
      </c>
      <c r="AA42" s="10">
        <v>69.400000000000006</v>
      </c>
      <c r="AB42" s="90">
        <v>215300</v>
      </c>
      <c r="AC42" s="10">
        <v>69.28</v>
      </c>
      <c r="AD42" s="2">
        <f t="shared" si="0"/>
        <v>0.76999999999999602</v>
      </c>
      <c r="AE42" s="131">
        <f t="shared" si="1"/>
        <v>-4.7406981755494515E-3</v>
      </c>
    </row>
    <row r="43" spans="1:31" ht="15.75" thickTop="1" x14ac:dyDescent="0.25">
      <c r="A43" s="291"/>
      <c r="B43" s="291"/>
      <c r="C43" s="291"/>
      <c r="D43" s="292"/>
      <c r="E43" s="292"/>
      <c r="F43" s="292"/>
      <c r="G43" s="291"/>
      <c r="H43" s="291"/>
      <c r="I43" s="291"/>
      <c r="J43" s="291"/>
      <c r="K43" s="291"/>
      <c r="L43" s="291"/>
      <c r="M43" s="291"/>
      <c r="O43" s="78">
        <v>1.1000000000000001</v>
      </c>
      <c r="P43" s="78">
        <f>O43*$Q$4</f>
        <v>120.24100000000001</v>
      </c>
      <c r="Q43" s="33"/>
      <c r="T43" s="122" t="s">
        <v>97</v>
      </c>
      <c r="U43" s="93">
        <v>68.66</v>
      </c>
      <c r="W43" s="127">
        <v>42773</v>
      </c>
      <c r="X43" s="10">
        <v>70.25</v>
      </c>
      <c r="Y43" s="10">
        <v>70.69</v>
      </c>
      <c r="Z43" s="10">
        <v>69.540000000000006</v>
      </c>
      <c r="AA43" s="10">
        <v>69.73</v>
      </c>
      <c r="AB43" s="90">
        <v>227600</v>
      </c>
      <c r="AC43" s="10">
        <v>69.61</v>
      </c>
      <c r="AD43" s="2">
        <f t="shared" si="0"/>
        <v>1.1499999999999915</v>
      </c>
      <c r="AE43" s="131">
        <f t="shared" si="1"/>
        <v>-4.0062956073830813E-3</v>
      </c>
    </row>
    <row r="44" spans="1:31" x14ac:dyDescent="0.25">
      <c r="A44" s="291"/>
      <c r="B44" s="291"/>
      <c r="C44" s="291"/>
      <c r="D44" s="292"/>
      <c r="E44" s="292"/>
      <c r="F44" s="292"/>
      <c r="G44" s="291"/>
      <c r="H44" s="291"/>
      <c r="I44" s="291"/>
      <c r="J44" s="291"/>
      <c r="K44" s="291"/>
      <c r="L44" s="291"/>
      <c r="M44" s="291"/>
      <c r="O44" s="78">
        <v>1.0900000000000001</v>
      </c>
      <c r="P44" s="78">
        <f t="shared" ref="P44:P63" si="2">O44*$Q$4</f>
        <v>119.14790000000001</v>
      </c>
      <c r="Q44" s="33"/>
      <c r="T44" s="88" t="s">
        <v>98</v>
      </c>
      <c r="U44" s="83">
        <v>69.25</v>
      </c>
      <c r="W44" s="127">
        <v>42772</v>
      </c>
      <c r="X44" s="10">
        <v>70.05</v>
      </c>
      <c r="Y44" s="10">
        <v>70.27</v>
      </c>
      <c r="Z44" s="10">
        <v>69.56</v>
      </c>
      <c r="AA44" s="10">
        <v>70.010000000000005</v>
      </c>
      <c r="AB44" s="90">
        <v>162900</v>
      </c>
      <c r="AC44" s="10">
        <v>69.89</v>
      </c>
      <c r="AD44" s="2">
        <f t="shared" si="0"/>
        <v>0.70999999999999375</v>
      </c>
      <c r="AE44" s="131">
        <f t="shared" si="1"/>
        <v>-4.4159544159544373E-3</v>
      </c>
    </row>
    <row r="45" spans="1:31" x14ac:dyDescent="0.25">
      <c r="A45" s="291"/>
      <c r="B45" s="291"/>
      <c r="C45" s="291"/>
      <c r="D45" s="292"/>
      <c r="E45" s="292"/>
      <c r="F45" s="292"/>
      <c r="G45" s="291"/>
      <c r="H45" s="291"/>
      <c r="I45" s="291"/>
      <c r="J45" s="291"/>
      <c r="K45" s="291"/>
      <c r="L45" s="291"/>
      <c r="M45" s="291"/>
      <c r="O45" s="78">
        <v>1.08</v>
      </c>
      <c r="P45" s="78">
        <f t="shared" si="2"/>
        <v>118.05480000000001</v>
      </c>
      <c r="Q45" s="33"/>
      <c r="T45" s="88" t="s">
        <v>99</v>
      </c>
      <c r="U45" s="83" t="s">
        <v>128</v>
      </c>
      <c r="W45" s="127">
        <v>42769</v>
      </c>
      <c r="X45" s="10">
        <v>69.94</v>
      </c>
      <c r="Y45" s="10">
        <v>70.430000000000007</v>
      </c>
      <c r="Z45" s="10">
        <v>69.55</v>
      </c>
      <c r="AA45" s="10">
        <v>70.33</v>
      </c>
      <c r="AB45" s="90">
        <v>211500</v>
      </c>
      <c r="AC45" s="10">
        <v>70.2</v>
      </c>
      <c r="AD45" s="2">
        <f t="shared" si="0"/>
        <v>0.88000000000000966</v>
      </c>
      <c r="AE45" s="131">
        <f t="shared" si="1"/>
        <v>1.6949152542372836E-2</v>
      </c>
    </row>
    <row r="46" spans="1:31" x14ac:dyDescent="0.25">
      <c r="A46" s="291"/>
      <c r="B46" s="291"/>
      <c r="C46" s="291"/>
      <c r="D46" s="292"/>
      <c r="E46" s="292"/>
      <c r="F46" s="292"/>
      <c r="G46" s="291"/>
      <c r="H46" s="291"/>
      <c r="I46" s="291"/>
      <c r="J46" s="291"/>
      <c r="K46" s="291"/>
      <c r="L46" s="291"/>
      <c r="M46" s="291"/>
      <c r="O46" s="78">
        <v>1.07</v>
      </c>
      <c r="P46" s="78">
        <f t="shared" si="2"/>
        <v>116.96170000000001</v>
      </c>
      <c r="Q46" s="78"/>
      <c r="T46" s="88" t="s">
        <v>100</v>
      </c>
      <c r="U46" s="83" t="s">
        <v>585</v>
      </c>
      <c r="W46" s="127">
        <v>42768</v>
      </c>
      <c r="X46" s="10">
        <v>68.75</v>
      </c>
      <c r="Y46" s="10">
        <v>69.37</v>
      </c>
      <c r="Z46" s="10">
        <v>68.260000000000005</v>
      </c>
      <c r="AA46" s="10">
        <v>69.150000000000006</v>
      </c>
      <c r="AB46" s="90">
        <v>323200</v>
      </c>
      <c r="AC46" s="10">
        <v>69.03</v>
      </c>
      <c r="AD46" s="2">
        <f t="shared" si="0"/>
        <v>1.1099999999999994</v>
      </c>
      <c r="AE46" s="131">
        <f t="shared" si="1"/>
        <v>-5.188067444876765E-3</v>
      </c>
    </row>
    <row r="47" spans="1:31" x14ac:dyDescent="0.25">
      <c r="A47" s="291"/>
      <c r="B47" s="291"/>
      <c r="C47" s="291"/>
      <c r="D47" s="292"/>
      <c r="E47" s="292"/>
      <c r="F47" s="292"/>
      <c r="G47" s="291"/>
      <c r="H47" s="291"/>
      <c r="I47" s="291"/>
      <c r="J47" s="291"/>
      <c r="K47" s="291"/>
      <c r="L47" s="291"/>
      <c r="M47" s="291"/>
      <c r="O47" s="78">
        <v>1.06</v>
      </c>
      <c r="P47" s="78">
        <f t="shared" si="2"/>
        <v>115.86860000000001</v>
      </c>
      <c r="Q47" s="78"/>
      <c r="T47" s="88" t="s">
        <v>101</v>
      </c>
      <c r="U47" s="83">
        <v>70.2</v>
      </c>
      <c r="W47" s="127">
        <v>42767</v>
      </c>
      <c r="X47" s="10">
        <v>69.959999999999994</v>
      </c>
      <c r="Y47" s="10">
        <v>70.31</v>
      </c>
      <c r="Z47" s="10">
        <v>69.02</v>
      </c>
      <c r="AA47" s="10">
        <v>69.510000000000005</v>
      </c>
      <c r="AB47" s="90">
        <v>276700</v>
      </c>
      <c r="AC47" s="10">
        <v>69.39</v>
      </c>
      <c r="AD47" s="2">
        <f t="shared" si="0"/>
        <v>1.2900000000000063</v>
      </c>
      <c r="AE47" s="131">
        <f t="shared" si="1"/>
        <v>-1.8699654775603536E-3</v>
      </c>
    </row>
    <row r="48" spans="1:31" x14ac:dyDescent="0.25">
      <c r="A48" s="291"/>
      <c r="B48" s="291"/>
      <c r="C48" s="291"/>
      <c r="D48" s="292"/>
      <c r="E48" s="292"/>
      <c r="F48" s="292"/>
      <c r="G48" s="291"/>
      <c r="H48" s="291"/>
      <c r="I48" s="291"/>
      <c r="J48" s="291"/>
      <c r="K48" s="291"/>
      <c r="L48" s="291"/>
      <c r="M48" s="291"/>
      <c r="O48" s="78">
        <v>1.05</v>
      </c>
      <c r="P48" s="78">
        <f t="shared" si="2"/>
        <v>114.77550000000001</v>
      </c>
      <c r="Q48" s="78"/>
      <c r="T48" s="88" t="s">
        <v>102</v>
      </c>
      <c r="U48" s="83">
        <v>1.4081300000000001</v>
      </c>
      <c r="W48" s="127">
        <v>42766</v>
      </c>
      <c r="X48" s="10">
        <v>69.680000000000007</v>
      </c>
      <c r="Y48" s="10">
        <v>70.39</v>
      </c>
      <c r="Z48" s="10">
        <v>68.7</v>
      </c>
      <c r="AA48" s="10">
        <v>69.64</v>
      </c>
      <c r="AB48" s="90">
        <v>373500</v>
      </c>
      <c r="AC48" s="10">
        <v>69.52</v>
      </c>
      <c r="AD48" s="2">
        <f t="shared" si="0"/>
        <v>1.6899999999999977</v>
      </c>
      <c r="AE48" s="131">
        <f t="shared" si="1"/>
        <v>-5.5786010585038293E-3</v>
      </c>
    </row>
    <row r="49" spans="1:31" x14ac:dyDescent="0.25">
      <c r="A49" s="291"/>
      <c r="B49" s="291"/>
      <c r="C49" s="291"/>
      <c r="D49" s="292"/>
      <c r="E49" s="292"/>
      <c r="F49" s="292"/>
      <c r="G49" s="291"/>
      <c r="H49" s="291"/>
      <c r="I49" s="291"/>
      <c r="J49" s="291"/>
      <c r="K49" s="291"/>
      <c r="L49" s="291"/>
      <c r="M49" s="291"/>
      <c r="O49" s="78">
        <v>1.04</v>
      </c>
      <c r="P49" s="78">
        <f t="shared" si="2"/>
        <v>113.6824</v>
      </c>
      <c r="Q49" s="78"/>
      <c r="T49" s="88" t="s">
        <v>121</v>
      </c>
      <c r="U49" s="83" t="s">
        <v>334</v>
      </c>
      <c r="W49" s="127">
        <v>42765</v>
      </c>
      <c r="X49" s="10">
        <v>69.34</v>
      </c>
      <c r="Y49" s="10">
        <v>70.37</v>
      </c>
      <c r="Z49" s="10">
        <v>68.2</v>
      </c>
      <c r="AA49" s="10">
        <v>70.03</v>
      </c>
      <c r="AB49" s="90">
        <v>478000</v>
      </c>
      <c r="AC49" s="10">
        <v>69.91</v>
      </c>
      <c r="AD49" s="2">
        <f t="shared" si="0"/>
        <v>2.1700000000000017</v>
      </c>
      <c r="AE49" s="131">
        <f t="shared" si="1"/>
        <v>4.2930738408708535E-4</v>
      </c>
    </row>
    <row r="50" spans="1:31" x14ac:dyDescent="0.25">
      <c r="A50" s="291"/>
      <c r="B50" s="291"/>
      <c r="C50" s="291"/>
      <c r="D50" s="292"/>
      <c r="E50" s="292"/>
      <c r="F50" s="292"/>
      <c r="G50" s="291"/>
      <c r="H50" s="291"/>
      <c r="I50" s="291"/>
      <c r="J50" s="291"/>
      <c r="K50" s="291"/>
      <c r="L50" s="291"/>
      <c r="M50" s="291"/>
      <c r="O50" s="78">
        <v>1.03</v>
      </c>
      <c r="P50" s="78">
        <f t="shared" si="2"/>
        <v>112.58930000000001</v>
      </c>
      <c r="Q50" s="78"/>
      <c r="T50" s="88"/>
      <c r="U50" s="83"/>
      <c r="W50" s="127">
        <v>42762</v>
      </c>
      <c r="X50" s="10">
        <v>70.14</v>
      </c>
      <c r="Y50" s="10">
        <v>70.89</v>
      </c>
      <c r="Z50" s="10">
        <v>69.900000000000006</v>
      </c>
      <c r="AA50" s="10">
        <v>70</v>
      </c>
      <c r="AB50" s="90">
        <v>218400</v>
      </c>
      <c r="AC50" s="10">
        <v>69.88</v>
      </c>
      <c r="AD50" s="2">
        <f t="shared" si="0"/>
        <v>0.98999999999999488</v>
      </c>
      <c r="AE50" s="131">
        <f t="shared" si="1"/>
        <v>-3.1383737517831634E-3</v>
      </c>
    </row>
    <row r="51" spans="1:31" x14ac:dyDescent="0.25">
      <c r="A51" s="21" t="s">
        <v>81</v>
      </c>
      <c r="B51" s="21"/>
      <c r="C51" s="21">
        <f>SUM(C35:C50)</f>
        <v>70</v>
      </c>
      <c r="D51" s="38"/>
      <c r="E51" s="38"/>
      <c r="F51" s="38">
        <f>SUM(F35:F50)</f>
        <v>3200</v>
      </c>
      <c r="G51" s="21"/>
      <c r="H51" s="21">
        <f>SUM(H35:H37)</f>
        <v>70</v>
      </c>
      <c r="I51" s="21"/>
      <c r="J51" s="21"/>
      <c r="K51" s="21">
        <f>SUM(K35:K50)</f>
        <v>3230.44</v>
      </c>
      <c r="L51" s="21"/>
      <c r="M51" s="38">
        <f>SUM(M35:M50)</f>
        <v>3.5</v>
      </c>
      <c r="O51" s="78">
        <v>1.02</v>
      </c>
      <c r="P51" s="78">
        <f t="shared" si="2"/>
        <v>111.4962</v>
      </c>
      <c r="Q51" s="78"/>
      <c r="T51" s="88" t="s">
        <v>104</v>
      </c>
      <c r="U51" s="83" t="s">
        <v>586</v>
      </c>
      <c r="W51" s="127">
        <v>42761</v>
      </c>
      <c r="X51" s="10">
        <v>69.44</v>
      </c>
      <c r="Y51" s="10">
        <v>70.260000000000005</v>
      </c>
      <c r="Z51" s="10">
        <v>69.150000000000006</v>
      </c>
      <c r="AA51" s="10">
        <v>70.23</v>
      </c>
      <c r="AB51" s="90">
        <v>410700</v>
      </c>
      <c r="AC51" s="10">
        <v>70.099999999999994</v>
      </c>
      <c r="AD51" s="2">
        <f t="shared" si="0"/>
        <v>1.1099999999999994</v>
      </c>
      <c r="AE51" s="131">
        <f t="shared" si="1"/>
        <v>1.1252163877668808E-2</v>
      </c>
    </row>
    <row r="52" spans="1:31" x14ac:dyDescent="0.25">
      <c r="A52" s="291"/>
      <c r="B52" s="291"/>
      <c r="C52" s="291"/>
      <c r="D52" s="292"/>
      <c r="E52" s="292"/>
      <c r="F52" s="292"/>
      <c r="G52" s="291"/>
      <c r="H52" s="291"/>
      <c r="I52" s="291"/>
      <c r="J52" s="291"/>
      <c r="K52" s="291"/>
      <c r="L52" s="291"/>
      <c r="M52" s="291"/>
      <c r="O52" s="78">
        <v>1.01</v>
      </c>
      <c r="P52" s="78">
        <f t="shared" si="2"/>
        <v>110.40310000000001</v>
      </c>
      <c r="Q52" s="78"/>
      <c r="T52" s="88" t="s">
        <v>105</v>
      </c>
      <c r="U52" s="83" t="s">
        <v>587</v>
      </c>
      <c r="W52" s="127">
        <v>42760</v>
      </c>
      <c r="X52" s="10">
        <v>69.7</v>
      </c>
      <c r="Y52" s="10">
        <v>69.7</v>
      </c>
      <c r="Z52" s="10">
        <v>69</v>
      </c>
      <c r="AA52" s="10">
        <v>69.44</v>
      </c>
      <c r="AB52" s="90">
        <v>361500</v>
      </c>
      <c r="AC52" s="10">
        <v>69.319999999999993</v>
      </c>
      <c r="AD52" s="2">
        <f t="shared" si="0"/>
        <v>0.70000000000000284</v>
      </c>
      <c r="AE52" s="131">
        <f t="shared" si="1"/>
        <v>7.21813194745069E-4</v>
      </c>
    </row>
    <row r="53" spans="1:31" x14ac:dyDescent="0.25">
      <c r="O53" s="78">
        <v>1</v>
      </c>
      <c r="P53" s="78">
        <f t="shared" si="2"/>
        <v>109.31</v>
      </c>
      <c r="Q53" s="78"/>
      <c r="T53" s="88" t="s">
        <v>106</v>
      </c>
      <c r="U53" s="85">
        <v>388327</v>
      </c>
      <c r="W53" s="127">
        <v>42759</v>
      </c>
      <c r="X53" s="10">
        <v>68</v>
      </c>
      <c r="Y53" s="10">
        <v>70.38</v>
      </c>
      <c r="Z53" s="10">
        <v>66.930000000000007</v>
      </c>
      <c r="AA53" s="10">
        <v>69.39</v>
      </c>
      <c r="AB53" s="90">
        <v>1062900</v>
      </c>
      <c r="AC53" s="10">
        <v>69.27</v>
      </c>
      <c r="AD53" s="2">
        <f t="shared" si="0"/>
        <v>3.4499999999999886</v>
      </c>
      <c r="AE53" s="131">
        <f t="shared" si="1"/>
        <v>5.4658952496954738E-2</v>
      </c>
    </row>
    <row r="54" spans="1:31" x14ac:dyDescent="0.25">
      <c r="O54" s="78">
        <v>0.99</v>
      </c>
      <c r="P54" s="78">
        <f t="shared" si="2"/>
        <v>108.2169</v>
      </c>
      <c r="Q54" s="78"/>
      <c r="T54" s="88" t="s">
        <v>109</v>
      </c>
      <c r="U54" s="85">
        <v>273042</v>
      </c>
      <c r="W54" s="127">
        <v>42758</v>
      </c>
      <c r="X54" s="10">
        <v>67.33</v>
      </c>
      <c r="Y54" s="10">
        <v>67.98</v>
      </c>
      <c r="Z54" s="10">
        <v>65.75</v>
      </c>
      <c r="AA54" s="10">
        <v>65.8</v>
      </c>
      <c r="AB54" s="90">
        <v>329000</v>
      </c>
      <c r="AC54" s="10">
        <v>65.680000000000007</v>
      </c>
      <c r="AD54" s="2">
        <f t="shared" si="0"/>
        <v>2.230000000000004</v>
      </c>
      <c r="AE54" s="131">
        <f t="shared" si="1"/>
        <v>-2.6674570243034879E-2</v>
      </c>
    </row>
    <row r="55" spans="1:31" x14ac:dyDescent="0.25">
      <c r="O55" s="78">
        <v>0.98</v>
      </c>
      <c r="P55" s="78">
        <f t="shared" si="2"/>
        <v>107.1238</v>
      </c>
      <c r="Q55" s="78"/>
      <c r="T55" s="88" t="s">
        <v>107</v>
      </c>
      <c r="U55" s="83" t="s">
        <v>588</v>
      </c>
      <c r="W55" s="127">
        <v>42755</v>
      </c>
      <c r="X55" s="10">
        <v>67.510000000000005</v>
      </c>
      <c r="Y55" s="10">
        <v>67.989999999999995</v>
      </c>
      <c r="Z55" s="10">
        <v>67.2</v>
      </c>
      <c r="AA55" s="10">
        <v>67.599999999999994</v>
      </c>
      <c r="AB55" s="90">
        <v>209800</v>
      </c>
      <c r="AC55" s="10">
        <v>67.48</v>
      </c>
      <c r="AD55" s="2">
        <f t="shared" si="0"/>
        <v>0.78999999999999204</v>
      </c>
      <c r="AE55" s="131">
        <f t="shared" si="1"/>
        <v>2.0790020790020236E-3</v>
      </c>
    </row>
    <row r="56" spans="1:31" x14ac:dyDescent="0.25">
      <c r="O56" s="78">
        <v>0.97</v>
      </c>
      <c r="P56" s="78">
        <f t="shared" si="2"/>
        <v>106.0307</v>
      </c>
      <c r="Q56" s="78"/>
      <c r="T56" s="88" t="s">
        <v>110</v>
      </c>
      <c r="U56" s="83">
        <v>21.32</v>
      </c>
      <c r="W56" s="127">
        <v>42754</v>
      </c>
      <c r="X56" s="10">
        <v>68.45</v>
      </c>
      <c r="Y56" s="10">
        <v>68.819999999999993</v>
      </c>
      <c r="Z56" s="10">
        <v>66.91</v>
      </c>
      <c r="AA56" s="10">
        <v>67.459999999999994</v>
      </c>
      <c r="AB56" s="90">
        <v>282800</v>
      </c>
      <c r="AC56" s="10">
        <v>67.34</v>
      </c>
      <c r="AD56" s="2">
        <f t="shared" si="0"/>
        <v>1.9099999999999966</v>
      </c>
      <c r="AE56" s="131">
        <f t="shared" si="1"/>
        <v>-1.4344262295081789E-2</v>
      </c>
    </row>
    <row r="57" spans="1:31" x14ac:dyDescent="0.25">
      <c r="O57" s="78">
        <v>0.96</v>
      </c>
      <c r="P57" s="78">
        <f t="shared" si="2"/>
        <v>104.9376</v>
      </c>
      <c r="Q57" s="78"/>
      <c r="T57" s="88" t="s">
        <v>111</v>
      </c>
      <c r="U57" s="83">
        <v>3.19</v>
      </c>
      <c r="W57" s="127">
        <v>42753</v>
      </c>
      <c r="X57" s="10">
        <v>68.19</v>
      </c>
      <c r="Y57" s="10">
        <v>68.55</v>
      </c>
      <c r="Z57" s="10">
        <v>67.77</v>
      </c>
      <c r="AA57" s="10">
        <v>68.44</v>
      </c>
      <c r="AB57" s="90">
        <v>187200</v>
      </c>
      <c r="AC57" s="10">
        <v>68.319999999999993</v>
      </c>
      <c r="AD57" s="2">
        <f t="shared" si="0"/>
        <v>0.78000000000000114</v>
      </c>
      <c r="AE57" s="131">
        <f t="shared" si="1"/>
        <v>7.6696165191740828E-3</v>
      </c>
    </row>
    <row r="58" spans="1:31" x14ac:dyDescent="0.25">
      <c r="O58" s="78">
        <v>0.95</v>
      </c>
      <c r="P58" s="78">
        <f t="shared" si="2"/>
        <v>103.8445</v>
      </c>
      <c r="Q58" s="78"/>
      <c r="T58" s="88" t="s">
        <v>108</v>
      </c>
      <c r="U58" s="83" t="s">
        <v>477</v>
      </c>
      <c r="W58" s="127">
        <v>42752</v>
      </c>
      <c r="X58" s="10">
        <v>69.319999999999993</v>
      </c>
      <c r="Y58" s="10">
        <v>69.319999999999993</v>
      </c>
      <c r="Z58" s="10">
        <v>67.819999999999993</v>
      </c>
      <c r="AA58" s="10">
        <v>67.92</v>
      </c>
      <c r="AB58" s="90">
        <v>187400</v>
      </c>
      <c r="AC58" s="10">
        <v>67.8</v>
      </c>
      <c r="AD58" s="2">
        <f t="shared" si="0"/>
        <v>1.5</v>
      </c>
      <c r="AE58" s="131">
        <f t="shared" si="1"/>
        <v>-2.389864670313846E-2</v>
      </c>
    </row>
    <row r="59" spans="1:31" x14ac:dyDescent="0.25">
      <c r="O59" s="78">
        <v>0.94</v>
      </c>
      <c r="P59" s="78">
        <f t="shared" si="2"/>
        <v>102.75139999999999</v>
      </c>
      <c r="Q59" s="78"/>
      <c r="W59" s="127">
        <v>42748</v>
      </c>
      <c r="X59" s="10">
        <v>69.010000000000005</v>
      </c>
      <c r="Y59" s="10">
        <v>69.78</v>
      </c>
      <c r="Z59" s="10">
        <v>69.010000000000005</v>
      </c>
      <c r="AA59" s="10">
        <v>69.58</v>
      </c>
      <c r="AB59" s="90">
        <v>173700</v>
      </c>
      <c r="AC59" s="10">
        <v>69.459999999999994</v>
      </c>
      <c r="AD59" s="2">
        <f t="shared" si="0"/>
        <v>0.76999999999999602</v>
      </c>
      <c r="AE59" s="131">
        <f t="shared" si="1"/>
        <v>1.253644314868807E-2</v>
      </c>
    </row>
    <row r="60" spans="1:31" x14ac:dyDescent="0.25">
      <c r="O60" s="78">
        <v>0.93</v>
      </c>
      <c r="P60" s="78">
        <f t="shared" si="2"/>
        <v>101.65830000000001</v>
      </c>
      <c r="Q60" s="78"/>
      <c r="W60" s="127">
        <v>42747</v>
      </c>
      <c r="X60" s="10">
        <v>69.48</v>
      </c>
      <c r="Y60" s="10">
        <v>69.48</v>
      </c>
      <c r="Z60" s="10">
        <v>67.27</v>
      </c>
      <c r="AA60" s="10">
        <v>68.72</v>
      </c>
      <c r="AB60" s="90">
        <v>189500</v>
      </c>
      <c r="AC60" s="10">
        <v>68.599999999999994</v>
      </c>
      <c r="AD60" s="2">
        <f t="shared" si="0"/>
        <v>2.210000000000008</v>
      </c>
      <c r="AE60" s="131">
        <f t="shared" si="1"/>
        <v>-1.3517400057521001E-2</v>
      </c>
    </row>
    <row r="61" spans="1:31" x14ac:dyDescent="0.25">
      <c r="O61" s="78">
        <v>0.92</v>
      </c>
      <c r="P61" s="78">
        <f t="shared" si="2"/>
        <v>100.5652</v>
      </c>
      <c r="Q61" s="78"/>
      <c r="W61" s="127">
        <v>42746</v>
      </c>
      <c r="X61" s="10">
        <v>69.05</v>
      </c>
      <c r="Y61" s="10">
        <v>69.77</v>
      </c>
      <c r="Z61" s="10">
        <v>68.97</v>
      </c>
      <c r="AA61" s="10">
        <v>69.66</v>
      </c>
      <c r="AB61" s="90">
        <v>165400</v>
      </c>
      <c r="AC61" s="10">
        <v>69.540000000000006</v>
      </c>
      <c r="AD61" s="2">
        <f t="shared" si="0"/>
        <v>0.79999999999999716</v>
      </c>
      <c r="AE61" s="131">
        <f t="shared" si="1"/>
        <v>7.2421784472769257E-3</v>
      </c>
    </row>
    <row r="62" spans="1:31" x14ac:dyDescent="0.25">
      <c r="O62" s="78">
        <v>0.91</v>
      </c>
      <c r="P62" s="78">
        <f t="shared" si="2"/>
        <v>99.472100000000012</v>
      </c>
      <c r="Q62" s="78"/>
      <c r="W62" s="127">
        <v>42745</v>
      </c>
      <c r="X62" s="10">
        <v>68.099999999999994</v>
      </c>
      <c r="Y62" s="10">
        <v>69.349999999999994</v>
      </c>
      <c r="Z62" s="10">
        <v>67.69</v>
      </c>
      <c r="AA62" s="10">
        <v>69.16</v>
      </c>
      <c r="AB62" s="90">
        <v>256800</v>
      </c>
      <c r="AC62" s="10">
        <v>69.040000000000006</v>
      </c>
      <c r="AD62" s="2">
        <f t="shared" si="0"/>
        <v>1.6599999999999966</v>
      </c>
      <c r="AE62" s="131">
        <f t="shared" si="1"/>
        <v>1.4548126377663673E-2</v>
      </c>
    </row>
    <row r="63" spans="1:31" x14ac:dyDescent="0.25">
      <c r="O63" s="78">
        <v>0.9</v>
      </c>
      <c r="P63" s="78">
        <f t="shared" si="2"/>
        <v>98.379000000000005</v>
      </c>
      <c r="Q63" s="78"/>
      <c r="W63" s="127">
        <v>42744</v>
      </c>
      <c r="X63" s="10">
        <v>69.19</v>
      </c>
      <c r="Y63" s="10">
        <v>69.19</v>
      </c>
      <c r="Z63" s="10">
        <v>67.91</v>
      </c>
      <c r="AA63" s="10">
        <v>68.17</v>
      </c>
      <c r="AB63" s="90">
        <v>272600</v>
      </c>
      <c r="AC63" s="10">
        <v>68.05</v>
      </c>
      <c r="AD63" s="2">
        <f t="shared" si="0"/>
        <v>1.2800000000000011</v>
      </c>
      <c r="AE63" s="131">
        <f t="shared" si="1"/>
        <v>-1.4767627045026765E-2</v>
      </c>
    </row>
    <row r="64" spans="1:31" x14ac:dyDescent="0.25">
      <c r="O64" s="33"/>
      <c r="W64" s="127">
        <v>42741</v>
      </c>
      <c r="X64" s="10">
        <v>68.989999999999995</v>
      </c>
      <c r="Y64" s="10">
        <v>69.48</v>
      </c>
      <c r="Z64" s="10">
        <v>68.569999999999993</v>
      </c>
      <c r="AA64" s="10">
        <v>69.19</v>
      </c>
      <c r="AB64" s="90">
        <v>236800</v>
      </c>
      <c r="AC64" s="10">
        <v>69.069999999999993</v>
      </c>
      <c r="AD64" s="2">
        <f t="shared" si="0"/>
        <v>0.9100000000000108</v>
      </c>
      <c r="AE64" s="131">
        <f t="shared" si="1"/>
        <v>-1.4475969889993223E-4</v>
      </c>
    </row>
    <row r="65" spans="15:31" x14ac:dyDescent="0.25">
      <c r="O65" s="33"/>
      <c r="W65" s="127">
        <v>42740</v>
      </c>
      <c r="X65" s="10">
        <v>69.95</v>
      </c>
      <c r="Y65" s="10">
        <v>70.36</v>
      </c>
      <c r="Z65" s="10">
        <v>68.33</v>
      </c>
      <c r="AA65" s="10">
        <v>69.2</v>
      </c>
      <c r="AB65" s="90">
        <v>267200</v>
      </c>
      <c r="AC65" s="10">
        <v>69.08</v>
      </c>
      <c r="AD65" s="2">
        <f t="shared" si="0"/>
        <v>2.0300000000000011</v>
      </c>
      <c r="AE65" s="131">
        <f t="shared" si="1"/>
        <v>-1.3988010276905549E-2</v>
      </c>
    </row>
    <row r="66" spans="15:31" x14ac:dyDescent="0.25">
      <c r="O66" s="33"/>
      <c r="W66" s="127">
        <v>42739</v>
      </c>
      <c r="X66" s="10">
        <v>69.760000000000005</v>
      </c>
      <c r="Y66" s="10">
        <v>70.5</v>
      </c>
      <c r="Z66" s="10">
        <v>69.72</v>
      </c>
      <c r="AA66" s="10">
        <v>70.19</v>
      </c>
      <c r="AB66" s="90">
        <v>317500</v>
      </c>
      <c r="AC66" s="10">
        <v>70.06</v>
      </c>
      <c r="AD66" s="2">
        <f t="shared" si="0"/>
        <v>0.78000000000000114</v>
      </c>
      <c r="AE66" s="131">
        <f t="shared" si="1"/>
        <v>1.0237923576063457E-2</v>
      </c>
    </row>
    <row r="67" spans="15:31" x14ac:dyDescent="0.25">
      <c r="W67" s="127">
        <v>42738</v>
      </c>
      <c r="X67" s="10">
        <v>69.83</v>
      </c>
      <c r="Y67" s="10">
        <v>70.3</v>
      </c>
      <c r="Z67" s="10">
        <v>68.81</v>
      </c>
      <c r="AA67" s="10">
        <v>69.47</v>
      </c>
      <c r="AB67" s="90">
        <v>212000</v>
      </c>
      <c r="AC67" s="10">
        <v>69.349999999999994</v>
      </c>
      <c r="AD67" s="2">
        <f>Y67-Z67</f>
        <v>1.4899999999999949</v>
      </c>
      <c r="AE67" s="131">
        <f>AC67/AC68-1</f>
        <v>6.0931379660522644E-3</v>
      </c>
    </row>
    <row r="68" spans="15:31" x14ac:dyDescent="0.25">
      <c r="W68" s="127">
        <v>42734</v>
      </c>
      <c r="X68" s="10">
        <v>69.39</v>
      </c>
      <c r="Y68" s="10">
        <v>69.45</v>
      </c>
      <c r="Z68" s="10">
        <v>68.790000000000006</v>
      </c>
      <c r="AA68" s="10">
        <v>69.05</v>
      </c>
      <c r="AB68" s="90">
        <v>164100</v>
      </c>
      <c r="AC68" s="10">
        <v>68.930000000000007</v>
      </c>
      <c r="AD68" s="2">
        <f>Y68-Z68</f>
        <v>0.65999999999999659</v>
      </c>
      <c r="AE68" s="131" t="e">
        <f>AC68/AC69-1</f>
        <v>#DIV/0!</v>
      </c>
    </row>
    <row r="69" spans="15:31" x14ac:dyDescent="0.25">
      <c r="W69" s="127" t="s">
        <v>120</v>
      </c>
      <c r="X69" s="10"/>
      <c r="Y69" s="10"/>
      <c r="Z69" s="10"/>
      <c r="AA69" s="10"/>
      <c r="AB69" s="90"/>
      <c r="AC69" s="10"/>
      <c r="AD69" s="2">
        <f>Y69-Z69</f>
        <v>0</v>
      </c>
      <c r="AE69" s="131" t="e">
        <f>AC69/AC70-1</f>
        <v>#DIV/0!</v>
      </c>
    </row>
  </sheetData>
  <mergeCells count="1">
    <mergeCell ref="O42:P42"/>
  </mergeCells>
  <conditionalFormatting sqref="O43:O63">
    <cfRule type="colorScale" priority="13">
      <colorScale>
        <cfvo type="min"/>
        <cfvo type="percentile" val="50"/>
        <cfvo type="max"/>
        <color rgb="FFF8696B"/>
        <color rgb="FFFFEB84"/>
        <color rgb="FF63BE7B"/>
      </colorScale>
    </cfRule>
  </conditionalFormatting>
  <conditionalFormatting sqref="P43:P63">
    <cfRule type="colorScale" priority="12">
      <colorScale>
        <cfvo type="min"/>
        <cfvo type="percentile" val="50"/>
        <cfvo type="max"/>
        <color rgb="FFF8696B"/>
        <color rgb="FFFFEB84"/>
        <color rgb="FF63BE7B"/>
      </colorScale>
    </cfRule>
  </conditionalFormatting>
  <conditionalFormatting sqref="Q46:Q63">
    <cfRule type="colorScale" priority="11">
      <colorScale>
        <cfvo type="min"/>
        <cfvo type="percentile" val="50"/>
        <cfvo type="max"/>
        <color rgb="FFF8696B"/>
        <color rgb="FFFFEB84"/>
        <color rgb="FF63BE7B"/>
      </colorScale>
    </cfRule>
  </conditionalFormatting>
  <conditionalFormatting sqref="AD1:AD69">
    <cfRule type="dataBar" priority="8">
      <dataBar>
        <cfvo type="min"/>
        <cfvo type="max"/>
        <color rgb="FFFF555A"/>
      </dataBar>
      <extLst>
        <ext xmlns:x14="http://schemas.microsoft.com/office/spreadsheetml/2009/9/main" uri="{B025F937-C7B1-47D3-B67F-A62EFF666E3E}">
          <x14:id>{D5F4DB07-56F7-435B-AEA4-00C6411CBA25}</x14:id>
        </ext>
      </extLst>
    </cfRule>
  </conditionalFormatting>
  <conditionalFormatting sqref="AE1:AE69">
    <cfRule type="iconSet" priority="7">
      <iconSet iconSet="3Arrows">
        <cfvo type="percent" val="0"/>
        <cfvo type="num" val="0"/>
        <cfvo type="num" val="0"/>
      </iconSet>
    </cfRule>
  </conditionalFormatting>
  <conditionalFormatting sqref="F21:F30">
    <cfRule type="expression" dxfId="83" priority="5">
      <formula>F21&gt;0</formula>
    </cfRule>
    <cfRule type="expression" dxfId="82" priority="6">
      <formula>F21&lt;0</formula>
    </cfRule>
  </conditionalFormatting>
  <conditionalFormatting sqref="Q8">
    <cfRule type="expression" dxfId="81" priority="1">
      <formula>Q8&gt;0</formula>
    </cfRule>
    <cfRule type="expression" dxfId="80" priority="2">
      <formula>Q8&lt;0</formula>
    </cfRule>
  </conditionalFormatting>
  <conditionalFormatting sqref="Q7">
    <cfRule type="expression" dxfId="79" priority="3">
      <formula>Q7&gt;0</formula>
    </cfRule>
    <cfRule type="expression" dxfId="78"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D5F4DB07-56F7-435B-AEA4-00C6411CBA2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V11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2.28515625" bestFit="1" customWidth="1"/>
    <col min="17" max="17" width="13.140625" bestFit="1" customWidth="1"/>
    <col min="18" max="18" width="10.7109375" bestFit="1" customWidth="1"/>
    <col min="20" max="20" width="18.5703125" customWidth="1"/>
    <col min="21" max="21" width="15.140625" style="719" customWidth="1"/>
    <col min="22" max="22" width="55" customWidth="1"/>
  </cols>
  <sheetData>
    <row r="1" spans="1:22"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U1" s="79" t="s">
        <v>70</v>
      </c>
    </row>
    <row r="2" spans="1:22" x14ac:dyDescent="0.25">
      <c r="A2" s="6" t="s">
        <v>168</v>
      </c>
      <c r="B2" s="394">
        <v>42622</v>
      </c>
      <c r="C2" s="7">
        <v>25</v>
      </c>
      <c r="D2" s="43">
        <v>66.959999999999994</v>
      </c>
      <c r="E2" s="43">
        <v>0</v>
      </c>
      <c r="F2" s="43">
        <f t="shared" ref="F2:F11" si="0">C2*D2+E2</f>
        <v>1673.9999999999998</v>
      </c>
      <c r="G2" s="360">
        <v>42900</v>
      </c>
      <c r="H2" s="7">
        <v>100</v>
      </c>
      <c r="I2" s="43">
        <v>59.58</v>
      </c>
      <c r="J2" s="43">
        <v>0.13</v>
      </c>
      <c r="K2" s="43">
        <f>H2*I2-J2</f>
        <v>5957.87</v>
      </c>
      <c r="L2" s="69">
        <v>42675</v>
      </c>
      <c r="M2" s="43">
        <v>12</v>
      </c>
      <c r="O2" s="11" t="s">
        <v>57</v>
      </c>
      <c r="Q2">
        <f>C27-H27</f>
        <v>0</v>
      </c>
      <c r="U2" s="115"/>
      <c r="V2" t="s">
        <v>1182</v>
      </c>
    </row>
    <row r="3" spans="1:22" x14ac:dyDescent="0.25">
      <c r="A3" s="22" t="s">
        <v>71</v>
      </c>
      <c r="B3" s="394">
        <v>42663</v>
      </c>
      <c r="C3" s="7">
        <v>25</v>
      </c>
      <c r="D3" s="43">
        <v>60.98</v>
      </c>
      <c r="E3" s="43">
        <v>0</v>
      </c>
      <c r="F3" s="43">
        <f t="shared" si="0"/>
        <v>1524.5</v>
      </c>
      <c r="G3" s="360">
        <v>42978</v>
      </c>
      <c r="H3" s="77">
        <v>50</v>
      </c>
      <c r="I3" s="43">
        <v>53.42</v>
      </c>
      <c r="J3" s="43">
        <v>0.06</v>
      </c>
      <c r="K3" s="43">
        <f>H3*I3-J3</f>
        <v>2670.94</v>
      </c>
      <c r="L3" s="69">
        <v>42768</v>
      </c>
      <c r="M3" s="43">
        <v>24</v>
      </c>
      <c r="O3" s="11" t="s">
        <v>58</v>
      </c>
      <c r="Q3" s="174">
        <f>IF(Q2=0, Q4, (F27-K27-M27)/Q2)</f>
        <v>53.9</v>
      </c>
      <c r="V3" t="s">
        <v>1115</v>
      </c>
    </row>
    <row r="4" spans="1:22" x14ac:dyDescent="0.25">
      <c r="B4" s="360">
        <v>42783</v>
      </c>
      <c r="C4" s="7">
        <v>25</v>
      </c>
      <c r="D4" s="43">
        <v>59.24</v>
      </c>
      <c r="E4" s="43">
        <v>0</v>
      </c>
      <c r="F4" s="43">
        <f t="shared" si="0"/>
        <v>1481</v>
      </c>
      <c r="G4" s="360">
        <v>43028</v>
      </c>
      <c r="H4" s="77">
        <v>100</v>
      </c>
      <c r="I4" s="43">
        <v>52.05</v>
      </c>
      <c r="J4" s="43">
        <v>0.12</v>
      </c>
      <c r="K4" s="43">
        <f t="shared" ref="K4:K15" si="1">H4*I4-J4</f>
        <v>5204.88</v>
      </c>
      <c r="L4" s="69">
        <v>42856</v>
      </c>
      <c r="M4" s="43">
        <v>36</v>
      </c>
      <c r="O4" s="11" t="s">
        <v>66</v>
      </c>
      <c r="Q4" s="53">
        <v>53.9</v>
      </c>
      <c r="R4" s="396">
        <v>1.55E-2</v>
      </c>
    </row>
    <row r="5" spans="1:22" x14ac:dyDescent="0.25">
      <c r="B5" s="360">
        <v>42831</v>
      </c>
      <c r="C5" s="7">
        <v>25</v>
      </c>
      <c r="D5" s="43">
        <v>57.58</v>
      </c>
      <c r="E5" s="43">
        <v>0</v>
      </c>
      <c r="F5" s="43">
        <f t="shared" si="0"/>
        <v>1439.5</v>
      </c>
      <c r="G5" s="360">
        <v>43046</v>
      </c>
      <c r="H5" s="77">
        <v>20</v>
      </c>
      <c r="I5" s="43">
        <v>51.15</v>
      </c>
      <c r="J5" s="43">
        <v>0.02</v>
      </c>
      <c r="K5" s="43">
        <f t="shared" si="1"/>
        <v>1022.98</v>
      </c>
      <c r="L5" s="69">
        <v>42948</v>
      </c>
      <c r="M5" s="43">
        <v>98</v>
      </c>
      <c r="O5" s="11" t="s">
        <v>67</v>
      </c>
      <c r="Q5" s="3">
        <f>Q4*Q2</f>
        <v>0</v>
      </c>
      <c r="U5" s="80">
        <v>43180</v>
      </c>
      <c r="V5" t="s">
        <v>916</v>
      </c>
    </row>
    <row r="6" spans="1:22" x14ac:dyDescent="0.25">
      <c r="B6" s="360">
        <v>42846</v>
      </c>
      <c r="C6" s="7">
        <v>50</v>
      </c>
      <c r="D6" s="43">
        <v>57.74</v>
      </c>
      <c r="E6" s="43">
        <v>-0.21</v>
      </c>
      <c r="F6" s="43">
        <f t="shared" si="0"/>
        <v>2886.79</v>
      </c>
      <c r="G6" s="360">
        <v>43047</v>
      </c>
      <c r="H6" s="77">
        <v>80</v>
      </c>
      <c r="I6" s="43">
        <v>51.5</v>
      </c>
      <c r="J6" s="43">
        <v>0.1</v>
      </c>
      <c r="K6" s="43">
        <f t="shared" si="1"/>
        <v>4119.8999999999996</v>
      </c>
      <c r="L6" s="1">
        <v>43041</v>
      </c>
      <c r="M6" s="43">
        <v>98</v>
      </c>
      <c r="O6" s="11" t="s">
        <v>64</v>
      </c>
      <c r="Q6" s="2">
        <f>Q3*Q2</f>
        <v>0</v>
      </c>
    </row>
    <row r="7" spans="1:22" x14ac:dyDescent="0.25">
      <c r="B7" s="360">
        <v>42864</v>
      </c>
      <c r="C7" s="7">
        <v>50</v>
      </c>
      <c r="D7" s="43">
        <v>56.91</v>
      </c>
      <c r="E7" s="43">
        <v>0</v>
      </c>
      <c r="F7" s="43">
        <f t="shared" si="0"/>
        <v>2845.5</v>
      </c>
      <c r="G7" s="360">
        <v>43068</v>
      </c>
      <c r="H7" s="77">
        <v>50</v>
      </c>
      <c r="I7" s="43">
        <v>56.28</v>
      </c>
      <c r="J7" s="43">
        <v>7.0000000000000007E-2</v>
      </c>
      <c r="K7" s="43">
        <f t="shared" si="1"/>
        <v>2813.93</v>
      </c>
      <c r="L7" s="1">
        <v>43133</v>
      </c>
      <c r="M7" s="43">
        <v>29.4</v>
      </c>
      <c r="O7" s="11" t="s">
        <v>175</v>
      </c>
      <c r="Q7" s="2">
        <f>Q10+Q8</f>
        <v>385.60000000000127</v>
      </c>
      <c r="R7">
        <v>0</v>
      </c>
    </row>
    <row r="8" spans="1:22" x14ac:dyDescent="0.25">
      <c r="B8" s="360">
        <v>42900</v>
      </c>
      <c r="C8" s="7">
        <v>100</v>
      </c>
      <c r="D8" s="43">
        <v>58.88</v>
      </c>
      <c r="E8" s="43">
        <v>0</v>
      </c>
      <c r="F8" s="43">
        <f t="shared" si="0"/>
        <v>5888</v>
      </c>
      <c r="G8" s="360">
        <v>43069</v>
      </c>
      <c r="H8" s="77">
        <v>50</v>
      </c>
      <c r="I8" s="43">
        <v>56.88</v>
      </c>
      <c r="J8" s="43">
        <v>7.0000000000000007E-2</v>
      </c>
      <c r="K8" s="43">
        <f t="shared" si="1"/>
        <v>2843.93</v>
      </c>
      <c r="L8" s="1">
        <v>43222</v>
      </c>
      <c r="M8" s="43">
        <v>73.5</v>
      </c>
      <c r="O8" s="11" t="s">
        <v>177</v>
      </c>
      <c r="P8" s="33"/>
      <c r="Q8" s="2">
        <f>K27+M27-F27+Q2*Q4</f>
        <v>335.65000000000146</v>
      </c>
      <c r="U8" s="751">
        <v>43292</v>
      </c>
      <c r="V8" t="s">
        <v>1114</v>
      </c>
    </row>
    <row r="9" spans="1:22" x14ac:dyDescent="0.25">
      <c r="B9" s="360">
        <v>42978</v>
      </c>
      <c r="C9" s="7">
        <v>50</v>
      </c>
      <c r="D9" s="43">
        <v>52.88</v>
      </c>
      <c r="E9" s="43">
        <v>0</v>
      </c>
      <c r="F9" s="43">
        <f t="shared" si="0"/>
        <v>2644</v>
      </c>
      <c r="G9" s="360">
        <v>43087</v>
      </c>
      <c r="H9" s="77">
        <v>25</v>
      </c>
      <c r="I9" s="43">
        <v>58</v>
      </c>
      <c r="J9" s="43">
        <v>0.03</v>
      </c>
      <c r="K9" s="43">
        <f t="shared" si="1"/>
        <v>1449.97</v>
      </c>
      <c r="L9" s="69">
        <v>43313</v>
      </c>
      <c r="M9" s="43">
        <v>73.5</v>
      </c>
      <c r="O9" s="11" t="s">
        <v>202</v>
      </c>
      <c r="Q9" s="175">
        <f>IF(Q2=0, 0, Q8/Q6)</f>
        <v>0</v>
      </c>
    </row>
    <row r="10" spans="1:22" x14ac:dyDescent="0.25">
      <c r="B10" s="360">
        <v>43017</v>
      </c>
      <c r="C10" s="7">
        <v>50</v>
      </c>
      <c r="D10" s="43">
        <v>50.2</v>
      </c>
      <c r="E10" s="43">
        <v>0</v>
      </c>
      <c r="F10" s="43">
        <f t="shared" si="0"/>
        <v>2510</v>
      </c>
      <c r="G10" s="360">
        <v>43091</v>
      </c>
      <c r="H10" s="77">
        <v>15</v>
      </c>
      <c r="I10" s="43">
        <v>60.17</v>
      </c>
      <c r="J10" s="43">
        <v>0.02</v>
      </c>
      <c r="K10" s="43">
        <f t="shared" si="1"/>
        <v>902.53000000000009</v>
      </c>
      <c r="L10" s="69">
        <v>43405</v>
      </c>
      <c r="M10" s="43">
        <v>147</v>
      </c>
      <c r="O10" s="11" t="s">
        <v>201</v>
      </c>
      <c r="P10" s="33"/>
      <c r="Q10" s="2">
        <f>M101</f>
        <v>49.949999999999818</v>
      </c>
      <c r="U10" s="80">
        <v>43320</v>
      </c>
      <c r="V10" t="s">
        <v>1176</v>
      </c>
    </row>
    <row r="11" spans="1:22" x14ac:dyDescent="0.25">
      <c r="B11" s="360">
        <v>43017</v>
      </c>
      <c r="C11" s="7">
        <v>50</v>
      </c>
      <c r="D11" s="43">
        <v>50.2</v>
      </c>
      <c r="E11" s="43">
        <v>0</v>
      </c>
      <c r="F11" s="43">
        <f t="shared" si="0"/>
        <v>2510</v>
      </c>
      <c r="G11" s="360">
        <v>43329</v>
      </c>
      <c r="H11" s="77">
        <v>150</v>
      </c>
      <c r="I11" s="43">
        <v>47.25</v>
      </c>
      <c r="J11" s="43">
        <v>0.09</v>
      </c>
      <c r="K11" s="43">
        <f t="shared" si="1"/>
        <v>7087.41</v>
      </c>
      <c r="L11" s="1">
        <v>43498</v>
      </c>
      <c r="M11" s="43">
        <v>147</v>
      </c>
      <c r="O11" s="11" t="s">
        <v>173</v>
      </c>
      <c r="P11" s="33"/>
      <c r="Q11" s="131">
        <f>R11*4/Q4</f>
        <v>3.6363636363636362E-2</v>
      </c>
      <c r="R11">
        <v>0.49</v>
      </c>
      <c r="V11" t="s">
        <v>1175</v>
      </c>
    </row>
    <row r="12" spans="1:22" x14ac:dyDescent="0.25">
      <c r="B12" s="360">
        <v>43045</v>
      </c>
      <c r="C12" s="7">
        <v>25</v>
      </c>
      <c r="D12" s="43">
        <v>50.2</v>
      </c>
      <c r="E12" s="43">
        <v>0</v>
      </c>
      <c r="F12" s="43">
        <f t="shared" ref="F12:F22" si="2">C12*D12+E12</f>
        <v>1255</v>
      </c>
      <c r="G12" s="360">
        <v>43350</v>
      </c>
      <c r="H12" s="77">
        <v>100</v>
      </c>
      <c r="I12" s="43">
        <v>47.49</v>
      </c>
      <c r="J12" s="43">
        <v>0.06</v>
      </c>
      <c r="K12" s="43">
        <f t="shared" si="1"/>
        <v>4748.9399999999996</v>
      </c>
      <c r="O12" s="11" t="s">
        <v>875</v>
      </c>
      <c r="Q12" s="1" t="s">
        <v>1310</v>
      </c>
    </row>
    <row r="13" spans="1:22" x14ac:dyDescent="0.25">
      <c r="B13" s="360">
        <v>43045</v>
      </c>
      <c r="C13" s="7">
        <v>15</v>
      </c>
      <c r="D13" s="43">
        <v>50.2</v>
      </c>
      <c r="E13" s="43">
        <v>0</v>
      </c>
      <c r="F13" s="43">
        <f t="shared" si="2"/>
        <v>753</v>
      </c>
      <c r="G13" s="360">
        <v>43403</v>
      </c>
      <c r="H13" s="77">
        <v>100</v>
      </c>
      <c r="I13" s="43">
        <v>45.48</v>
      </c>
      <c r="J13" s="43">
        <v>0.06</v>
      </c>
      <c r="K13" s="43">
        <f t="shared" si="1"/>
        <v>4547.9399999999996</v>
      </c>
      <c r="O13" s="11" t="s">
        <v>901</v>
      </c>
      <c r="Q13" s="2">
        <f>Q4/3.02</f>
        <v>17.847682119205299</v>
      </c>
    </row>
    <row r="14" spans="1:22" x14ac:dyDescent="0.25">
      <c r="B14" s="360">
        <v>43045</v>
      </c>
      <c r="C14" s="7">
        <v>60</v>
      </c>
      <c r="D14" s="43">
        <v>50.2</v>
      </c>
      <c r="E14" s="43">
        <v>0</v>
      </c>
      <c r="F14" s="43">
        <f t="shared" si="2"/>
        <v>3012</v>
      </c>
      <c r="G14" s="360">
        <v>43482</v>
      </c>
      <c r="H14" s="77">
        <v>100</v>
      </c>
      <c r="I14" s="43">
        <v>42.48</v>
      </c>
      <c r="J14" s="43">
        <v>0.06</v>
      </c>
      <c r="K14" s="43">
        <f t="shared" si="1"/>
        <v>4247.9399999999996</v>
      </c>
      <c r="O14" s="11" t="s">
        <v>988</v>
      </c>
      <c r="Q14" s="1">
        <v>43320</v>
      </c>
    </row>
    <row r="15" spans="1:22" x14ac:dyDescent="0.25">
      <c r="B15" s="360">
        <v>43133</v>
      </c>
      <c r="C15" s="7">
        <v>40</v>
      </c>
      <c r="D15" s="43">
        <v>57</v>
      </c>
      <c r="E15" s="43">
        <v>0</v>
      </c>
      <c r="F15" s="43">
        <f t="shared" si="2"/>
        <v>2280</v>
      </c>
      <c r="G15" s="360">
        <v>43516</v>
      </c>
      <c r="H15" s="77">
        <v>200</v>
      </c>
      <c r="I15" s="43">
        <v>46.88</v>
      </c>
      <c r="J15" s="43">
        <v>0.12</v>
      </c>
      <c r="K15" s="43">
        <f t="shared" si="1"/>
        <v>9375.8799999999992</v>
      </c>
    </row>
    <row r="16" spans="1:22" x14ac:dyDescent="0.25">
      <c r="B16" s="360">
        <v>43178</v>
      </c>
      <c r="C16" s="7">
        <v>50</v>
      </c>
      <c r="D16" s="43">
        <v>50.15</v>
      </c>
      <c r="E16" s="43">
        <v>0</v>
      </c>
      <c r="F16" s="43">
        <f t="shared" si="2"/>
        <v>2507.5</v>
      </c>
      <c r="H16" s="67"/>
    </row>
    <row r="17" spans="1:16" ht="20.25" thickBot="1" x14ac:dyDescent="0.35">
      <c r="B17" s="360">
        <v>43299</v>
      </c>
      <c r="C17" s="7">
        <v>50</v>
      </c>
      <c r="D17" s="43">
        <v>43.48</v>
      </c>
      <c r="E17" s="43">
        <v>0</v>
      </c>
      <c r="F17" s="43">
        <f t="shared" si="2"/>
        <v>2174</v>
      </c>
      <c r="H17" s="67"/>
      <c r="O17" s="886" t="s">
        <v>78</v>
      </c>
      <c r="P17" s="886"/>
    </row>
    <row r="18" spans="1:16" ht="15.75" thickTop="1" x14ac:dyDescent="0.25">
      <c r="B18" s="360">
        <v>43320</v>
      </c>
      <c r="C18" s="7">
        <v>100</v>
      </c>
      <c r="D18" s="43">
        <v>45.29</v>
      </c>
      <c r="E18" s="43">
        <v>0</v>
      </c>
      <c r="F18" s="43">
        <f t="shared" si="2"/>
        <v>4529</v>
      </c>
      <c r="G18" s="1"/>
      <c r="H18" s="67"/>
      <c r="O18" s="78">
        <v>1.1000000000000001</v>
      </c>
      <c r="P18" s="78">
        <f>O18*$Q$4</f>
        <v>59.290000000000006</v>
      </c>
    </row>
    <row r="19" spans="1:16" x14ac:dyDescent="0.25">
      <c r="B19" s="360">
        <v>43333</v>
      </c>
      <c r="C19" s="7">
        <v>50</v>
      </c>
      <c r="D19" s="43">
        <v>46.37</v>
      </c>
      <c r="E19" s="43">
        <v>0</v>
      </c>
      <c r="F19" s="43">
        <f t="shared" si="2"/>
        <v>2318.5</v>
      </c>
      <c r="H19" s="67"/>
      <c r="O19" s="78">
        <v>1.0900000000000001</v>
      </c>
      <c r="P19" s="78">
        <f t="shared" ref="P19:P38" si="3">O19*$Q$4</f>
        <v>58.751000000000005</v>
      </c>
    </row>
    <row r="20" spans="1:16" x14ac:dyDescent="0.25">
      <c r="B20" s="360">
        <v>43340</v>
      </c>
      <c r="C20" s="7">
        <v>100</v>
      </c>
      <c r="D20" s="43">
        <v>45.28</v>
      </c>
      <c r="E20" s="43">
        <v>0</v>
      </c>
      <c r="F20" s="43">
        <f t="shared" si="2"/>
        <v>4528</v>
      </c>
      <c r="H20" s="67"/>
      <c r="O20" s="78">
        <v>1.08</v>
      </c>
      <c r="P20" s="78">
        <f t="shared" si="3"/>
        <v>58.212000000000003</v>
      </c>
    </row>
    <row r="21" spans="1:16" x14ac:dyDescent="0.25">
      <c r="B21" s="360">
        <v>43361</v>
      </c>
      <c r="C21" s="7">
        <v>100</v>
      </c>
      <c r="D21" s="43">
        <v>45.2</v>
      </c>
      <c r="E21" s="43">
        <v>-0.5</v>
      </c>
      <c r="F21" s="43">
        <f t="shared" si="2"/>
        <v>4519.5</v>
      </c>
      <c r="H21" s="67"/>
      <c r="O21" s="78">
        <v>1.07</v>
      </c>
      <c r="P21" s="78">
        <f t="shared" si="3"/>
        <v>57.673000000000002</v>
      </c>
    </row>
    <row r="22" spans="1:16" x14ac:dyDescent="0.25">
      <c r="B22" s="360">
        <v>43437</v>
      </c>
      <c r="C22" s="7">
        <v>100</v>
      </c>
      <c r="D22" s="43">
        <v>41.18</v>
      </c>
      <c r="E22" s="43">
        <v>0</v>
      </c>
      <c r="F22" s="43">
        <f t="shared" si="2"/>
        <v>4118</v>
      </c>
      <c r="H22" s="67"/>
      <c r="O22" s="78">
        <v>1.06</v>
      </c>
      <c r="P22" s="78">
        <f t="shared" si="3"/>
        <v>57.134</v>
      </c>
    </row>
    <row r="23" spans="1:16" x14ac:dyDescent="0.25">
      <c r="H23" s="67"/>
      <c r="O23" s="78">
        <v>1.05</v>
      </c>
      <c r="P23" s="78">
        <f t="shared" si="3"/>
        <v>56.594999999999999</v>
      </c>
    </row>
    <row r="24" spans="1:16" x14ac:dyDescent="0.25">
      <c r="C24" s="4"/>
      <c r="D24" s="3"/>
      <c r="E24" s="3"/>
      <c r="F24" s="3"/>
      <c r="H24" s="67"/>
      <c r="O24" s="78">
        <v>1.04</v>
      </c>
      <c r="P24" s="78">
        <f t="shared" si="3"/>
        <v>56.055999999999997</v>
      </c>
    </row>
    <row r="25" spans="1:16" x14ac:dyDescent="0.25">
      <c r="H25" s="67"/>
      <c r="O25" s="78">
        <v>1.03</v>
      </c>
      <c r="P25" s="78">
        <f t="shared" si="3"/>
        <v>55.517000000000003</v>
      </c>
    </row>
    <row r="26" spans="1:16" x14ac:dyDescent="0.25">
      <c r="H26" s="67"/>
      <c r="O26" s="78">
        <v>1.02</v>
      </c>
      <c r="P26" s="78">
        <f t="shared" si="3"/>
        <v>54.978000000000002</v>
      </c>
    </row>
    <row r="27" spans="1:16" x14ac:dyDescent="0.25">
      <c r="A27" s="21" t="s">
        <v>81</v>
      </c>
      <c r="B27" s="12"/>
      <c r="C27" s="12">
        <f>SUM(C2:C26)</f>
        <v>1140</v>
      </c>
      <c r="D27" s="13"/>
      <c r="E27" s="13"/>
      <c r="F27" s="13">
        <f>SUM(F2:F26)</f>
        <v>57397.79</v>
      </c>
      <c r="G27" s="12"/>
      <c r="H27" s="12">
        <f>SUM(H2:H26)</f>
        <v>1140</v>
      </c>
      <c r="I27" s="12"/>
      <c r="J27" s="12"/>
      <c r="K27" s="13">
        <f>SUM(K2:K26)</f>
        <v>56995.040000000001</v>
      </c>
      <c r="L27" s="12"/>
      <c r="M27" s="13">
        <f>SUM(M2:M26)</f>
        <v>738.4</v>
      </c>
      <c r="O27" s="78">
        <v>1.01</v>
      </c>
      <c r="P27" s="78">
        <f t="shared" si="3"/>
        <v>54.439</v>
      </c>
    </row>
    <row r="28" spans="1:16" ht="15.75" thickBot="1" x14ac:dyDescent="0.3">
      <c r="A28" s="273" t="s">
        <v>189</v>
      </c>
      <c r="B28" s="400"/>
      <c r="C28" s="275">
        <f>SumByColor($A$28, C2:C26 )</f>
        <v>1140</v>
      </c>
      <c r="D28" s="275"/>
      <c r="E28" s="275"/>
      <c r="F28" s="276">
        <f>SumByColor($A$28, F2:F26 )</f>
        <v>57398</v>
      </c>
      <c r="G28" s="275"/>
      <c r="H28" s="275">
        <f>SumByColor($A$28, H2:H26 )</f>
        <v>1140</v>
      </c>
      <c r="I28" s="275"/>
      <c r="J28" s="275"/>
      <c r="K28" s="276">
        <f>SumByColor($A$28, K2:K26 )</f>
        <v>56996</v>
      </c>
      <c r="L28" s="275"/>
      <c r="M28" s="276">
        <f>SumByColor($A$28, M2:M26 )</f>
        <v>738</v>
      </c>
      <c r="O28" s="78">
        <v>1</v>
      </c>
      <c r="P28" s="78">
        <f t="shared" si="3"/>
        <v>53.9</v>
      </c>
    </row>
    <row r="29" spans="1:16" x14ac:dyDescent="0.25">
      <c r="O29" s="78">
        <v>0.99</v>
      </c>
      <c r="P29" s="78">
        <f t="shared" si="3"/>
        <v>53.360999999999997</v>
      </c>
    </row>
    <row r="30" spans="1:16" x14ac:dyDescent="0.25">
      <c r="B30" s="159" t="s">
        <v>113</v>
      </c>
      <c r="C30" s="159" t="s">
        <v>143</v>
      </c>
      <c r="D30" s="160" t="s">
        <v>142</v>
      </c>
      <c r="E30" s="162" t="s">
        <v>144</v>
      </c>
      <c r="F30" s="162" t="s">
        <v>65</v>
      </c>
      <c r="G30" s="173" t="s">
        <v>148</v>
      </c>
      <c r="H30" s="173" t="s">
        <v>88</v>
      </c>
      <c r="I30" s="173" t="s">
        <v>151</v>
      </c>
      <c r="J30" s="173" t="s">
        <v>147</v>
      </c>
      <c r="K30" s="173" t="s">
        <v>452</v>
      </c>
      <c r="L30" s="173" t="s">
        <v>901</v>
      </c>
      <c r="O30" s="78">
        <v>0.98</v>
      </c>
      <c r="P30" s="78">
        <f t="shared" si="3"/>
        <v>52.821999999999996</v>
      </c>
    </row>
    <row r="31" spans="1:16" x14ac:dyDescent="0.25">
      <c r="B31" s="161">
        <v>42622</v>
      </c>
      <c r="C31" s="10">
        <v>25</v>
      </c>
      <c r="D31" s="39">
        <v>66.959999999999994</v>
      </c>
      <c r="E31" s="39">
        <v>65.05</v>
      </c>
      <c r="F31" s="39">
        <f t="shared" ref="F31:F38" si="4">C31*(E31-D31)</f>
        <v>-47.749999999999915</v>
      </c>
      <c r="G31" s="39">
        <f t="shared" ref="G31:G38" si="5">D31*C31</f>
        <v>1673.9999999999998</v>
      </c>
      <c r="H31" s="175">
        <f t="shared" ref="H31:H38" si="6">(E31-D31)/D31</f>
        <v>-2.8524492234169606E-2</v>
      </c>
      <c r="I31" s="39"/>
      <c r="J31" s="39"/>
      <c r="K31" s="39"/>
      <c r="L31" s="39"/>
      <c r="O31" s="78">
        <v>0.97</v>
      </c>
      <c r="P31" s="78">
        <f t="shared" si="3"/>
        <v>52.282999999999994</v>
      </c>
    </row>
    <row r="32" spans="1:16" x14ac:dyDescent="0.25">
      <c r="B32" s="161">
        <v>42634</v>
      </c>
      <c r="C32" s="10">
        <v>25</v>
      </c>
      <c r="D32" s="39">
        <v>66.959999999999994</v>
      </c>
      <c r="E32" s="39">
        <v>65.260000000000005</v>
      </c>
      <c r="F32" s="39">
        <f t="shared" si="4"/>
        <v>-42.499999999999716</v>
      </c>
      <c r="G32" s="39">
        <f t="shared" si="5"/>
        <v>1673.9999999999998</v>
      </c>
      <c r="H32" s="175">
        <f t="shared" si="6"/>
        <v>-2.5388291517323608E-2</v>
      </c>
      <c r="I32" s="39"/>
      <c r="J32" s="39"/>
      <c r="K32" s="39"/>
      <c r="L32" s="39"/>
      <c r="O32" s="78">
        <v>0.96</v>
      </c>
      <c r="P32" s="78">
        <f t="shared" si="3"/>
        <v>51.744</v>
      </c>
    </row>
    <row r="33" spans="1:17" x14ac:dyDescent="0.25">
      <c r="B33" s="161">
        <v>42638</v>
      </c>
      <c r="C33" s="10">
        <v>25</v>
      </c>
      <c r="D33" s="39">
        <v>66.959999999999994</v>
      </c>
      <c r="E33" s="39">
        <v>64.650000000000006</v>
      </c>
      <c r="F33" s="39">
        <f t="shared" si="4"/>
        <v>-57.749999999999702</v>
      </c>
      <c r="G33" s="39">
        <f t="shared" si="5"/>
        <v>1673.9999999999998</v>
      </c>
      <c r="H33" s="175">
        <f t="shared" si="6"/>
        <v>-3.4498207885304485E-2</v>
      </c>
      <c r="I33" s="39"/>
      <c r="J33" s="39"/>
      <c r="K33" s="39"/>
      <c r="L33" s="39"/>
      <c r="O33" s="78">
        <v>0.95</v>
      </c>
      <c r="P33" s="78">
        <f t="shared" si="3"/>
        <v>51.204999999999998</v>
      </c>
    </row>
    <row r="34" spans="1:17" x14ac:dyDescent="0.25">
      <c r="B34" s="161">
        <v>42639</v>
      </c>
      <c r="C34" s="10">
        <v>25</v>
      </c>
      <c r="D34" s="39">
        <v>66.959999999999994</v>
      </c>
      <c r="E34" s="39">
        <v>63.9</v>
      </c>
      <c r="F34" s="39">
        <f t="shared" si="4"/>
        <v>-76.499999999999886</v>
      </c>
      <c r="G34" s="39">
        <f t="shared" si="5"/>
        <v>1673.9999999999998</v>
      </c>
      <c r="H34" s="175">
        <f t="shared" si="6"/>
        <v>-4.5698924731182727E-2</v>
      </c>
      <c r="I34" s="39"/>
      <c r="J34" s="39"/>
      <c r="K34" s="39"/>
      <c r="L34" s="39"/>
      <c r="O34" s="78">
        <v>0.94</v>
      </c>
      <c r="P34" s="78">
        <f t="shared" si="3"/>
        <v>50.665999999999997</v>
      </c>
    </row>
    <row r="35" spans="1:17" x14ac:dyDescent="0.25">
      <c r="B35" s="161">
        <v>42647</v>
      </c>
      <c r="C35" s="10">
        <v>25</v>
      </c>
      <c r="D35" s="39">
        <v>66.959999999999994</v>
      </c>
      <c r="E35" s="39">
        <v>63.05</v>
      </c>
      <c r="F35" s="39">
        <f t="shared" si="4"/>
        <v>-97.749999999999915</v>
      </c>
      <c r="G35" s="39">
        <f t="shared" si="5"/>
        <v>1673.9999999999998</v>
      </c>
      <c r="H35" s="175">
        <f t="shared" si="6"/>
        <v>-5.8393070489844635E-2</v>
      </c>
      <c r="I35" s="39"/>
      <c r="J35" s="39"/>
      <c r="K35" s="39"/>
      <c r="L35" s="39"/>
      <c r="O35" s="78">
        <v>0.93</v>
      </c>
      <c r="P35" s="78">
        <f t="shared" si="3"/>
        <v>50.127000000000002</v>
      </c>
    </row>
    <row r="36" spans="1:17" x14ac:dyDescent="0.25">
      <c r="B36" s="161">
        <v>42648</v>
      </c>
      <c r="C36" s="10">
        <v>25</v>
      </c>
      <c r="D36" s="39">
        <v>66.959999999999994</v>
      </c>
      <c r="E36" s="39">
        <v>63.05</v>
      </c>
      <c r="F36" s="39">
        <f t="shared" si="4"/>
        <v>-97.749999999999915</v>
      </c>
      <c r="G36" s="39">
        <f t="shared" si="5"/>
        <v>1673.9999999999998</v>
      </c>
      <c r="H36" s="175">
        <f t="shared" si="6"/>
        <v>-5.8393070489844635E-2</v>
      </c>
      <c r="I36" s="39"/>
      <c r="J36" s="39"/>
      <c r="K36" s="39"/>
      <c r="L36" s="39"/>
      <c r="O36" s="78">
        <v>0.92</v>
      </c>
      <c r="P36" s="78">
        <f t="shared" si="3"/>
        <v>49.588000000000001</v>
      </c>
    </row>
    <row r="37" spans="1:17" x14ac:dyDescent="0.25">
      <c r="B37" s="161">
        <v>42651</v>
      </c>
      <c r="C37" s="10">
        <v>25</v>
      </c>
      <c r="D37" s="39">
        <v>66.959999999999994</v>
      </c>
      <c r="E37" s="39">
        <v>62.13</v>
      </c>
      <c r="F37" s="39">
        <f t="shared" si="4"/>
        <v>-120.74999999999977</v>
      </c>
      <c r="G37" s="39">
        <f t="shared" si="5"/>
        <v>1673.9999999999998</v>
      </c>
      <c r="H37" s="175">
        <f t="shared" si="6"/>
        <v>-7.2132616487455073E-2</v>
      </c>
      <c r="I37" s="39"/>
      <c r="J37" s="39"/>
      <c r="K37" s="39"/>
      <c r="L37" s="39"/>
      <c r="O37" s="78">
        <v>0.91</v>
      </c>
      <c r="P37" s="78">
        <f t="shared" si="3"/>
        <v>49.048999999999999</v>
      </c>
    </row>
    <row r="38" spans="1:17" x14ac:dyDescent="0.25">
      <c r="B38" s="161">
        <v>42663</v>
      </c>
      <c r="C38" s="10">
        <v>50</v>
      </c>
      <c r="D38" s="39">
        <v>63.97</v>
      </c>
      <c r="E38" s="39">
        <v>61</v>
      </c>
      <c r="F38" s="39">
        <f t="shared" si="4"/>
        <v>-148.49999999999994</v>
      </c>
      <c r="G38" s="39">
        <f t="shared" si="5"/>
        <v>3198.5</v>
      </c>
      <c r="H38" s="175">
        <f t="shared" si="6"/>
        <v>-4.6428013131155209E-2</v>
      </c>
      <c r="I38" s="39"/>
      <c r="J38" s="39"/>
      <c r="K38" s="39"/>
      <c r="L38" s="39"/>
      <c r="O38" s="78">
        <v>0.9</v>
      </c>
      <c r="P38" s="78">
        <f t="shared" si="3"/>
        <v>48.51</v>
      </c>
    </row>
    <row r="39" spans="1:17" x14ac:dyDescent="0.25">
      <c r="B39" s="161">
        <v>42701</v>
      </c>
      <c r="C39" s="10">
        <v>50</v>
      </c>
      <c r="D39" s="39">
        <v>63.73</v>
      </c>
      <c r="E39" s="39">
        <v>62.3</v>
      </c>
      <c r="F39" s="39">
        <f t="shared" ref="F39:F44" si="7">C39*(E39-D39)</f>
        <v>-71.499999999999986</v>
      </c>
      <c r="G39" s="39">
        <f t="shared" ref="G39:G44" si="8">D39*C39</f>
        <v>3186.5</v>
      </c>
      <c r="H39" s="175">
        <f t="shared" ref="H39:H44" si="9">(E39-D39)/D39</f>
        <v>-2.2438412050839476E-2</v>
      </c>
      <c r="I39" s="39"/>
      <c r="J39" s="39"/>
      <c r="K39" s="39"/>
      <c r="L39" s="39"/>
    </row>
    <row r="40" spans="1:17" x14ac:dyDescent="0.25">
      <c r="B40" s="161">
        <v>42708</v>
      </c>
      <c r="C40" s="10">
        <v>50</v>
      </c>
      <c r="D40" s="39">
        <v>63.73</v>
      </c>
      <c r="E40" s="39">
        <v>60.94</v>
      </c>
      <c r="F40" s="39">
        <f t="shared" si="7"/>
        <v>-139.49999999999994</v>
      </c>
      <c r="G40" s="39">
        <f t="shared" si="8"/>
        <v>3186.5</v>
      </c>
      <c r="H40" s="175">
        <f t="shared" si="9"/>
        <v>-4.3778440294994496E-2</v>
      </c>
      <c r="I40" s="39"/>
      <c r="J40" s="39"/>
      <c r="K40" s="39"/>
      <c r="L40" s="39"/>
    </row>
    <row r="41" spans="1:17" x14ac:dyDescent="0.25">
      <c r="B41" s="161">
        <v>42731</v>
      </c>
      <c r="C41" s="10">
        <v>50</v>
      </c>
      <c r="D41" s="39">
        <v>63.73</v>
      </c>
      <c r="E41" s="39">
        <v>62.2</v>
      </c>
      <c r="F41" s="39">
        <f t="shared" si="7"/>
        <v>-76.499999999999702</v>
      </c>
      <c r="G41" s="39">
        <f t="shared" si="8"/>
        <v>3186.5</v>
      </c>
      <c r="H41" s="175">
        <f t="shared" si="9"/>
        <v>-2.4007531774674316E-2</v>
      </c>
      <c r="I41" s="39"/>
      <c r="J41" s="39"/>
      <c r="K41" s="39"/>
      <c r="L41" s="39"/>
    </row>
    <row r="42" spans="1:17" x14ac:dyDescent="0.25">
      <c r="B42" s="161">
        <v>42760</v>
      </c>
      <c r="C42" s="10">
        <v>50</v>
      </c>
      <c r="D42" s="39">
        <v>63.73</v>
      </c>
      <c r="E42" s="39">
        <v>63.01</v>
      </c>
      <c r="F42" s="39">
        <f t="shared" si="7"/>
        <v>-35.999999999999943</v>
      </c>
      <c r="G42" s="39">
        <f t="shared" si="8"/>
        <v>3186.5</v>
      </c>
      <c r="H42" s="175">
        <f t="shared" si="9"/>
        <v>-1.1297662011611469E-2</v>
      </c>
      <c r="I42" s="39"/>
      <c r="J42" s="39"/>
      <c r="K42" s="39"/>
      <c r="L42" s="39"/>
      <c r="Q42" s="2"/>
    </row>
    <row r="43" spans="1:17" x14ac:dyDescent="0.25">
      <c r="A43" t="s">
        <v>326</v>
      </c>
      <c r="B43" s="161">
        <v>42768</v>
      </c>
      <c r="C43" s="10">
        <v>50</v>
      </c>
      <c r="D43" s="39">
        <v>63.25</v>
      </c>
      <c r="E43" s="39">
        <v>61.72</v>
      </c>
      <c r="F43" s="39">
        <f t="shared" si="7"/>
        <v>-76.500000000000057</v>
      </c>
      <c r="G43" s="39">
        <f t="shared" si="8"/>
        <v>3162.5</v>
      </c>
      <c r="H43" s="175">
        <f t="shared" si="9"/>
        <v>-2.4189723320158122E-2</v>
      </c>
      <c r="I43" s="39"/>
      <c r="J43" s="39"/>
      <c r="K43" s="39"/>
      <c r="L43" s="39"/>
      <c r="Q43" s="2"/>
    </row>
    <row r="44" spans="1:17" x14ac:dyDescent="0.25">
      <c r="A44" t="s">
        <v>397</v>
      </c>
      <c r="B44" s="161">
        <v>42783</v>
      </c>
      <c r="C44" s="10">
        <v>75</v>
      </c>
      <c r="D44" s="39">
        <v>61.9133</v>
      </c>
      <c r="E44" s="39">
        <v>61.54</v>
      </c>
      <c r="F44" s="39">
        <f t="shared" si="7"/>
        <v>-27.997500000000031</v>
      </c>
      <c r="G44" s="39">
        <f t="shared" si="8"/>
        <v>4643.4975000000004</v>
      </c>
      <c r="H44" s="175">
        <f t="shared" si="9"/>
        <v>-6.0293991759444322E-3</v>
      </c>
      <c r="I44" s="39"/>
      <c r="J44" s="39"/>
      <c r="K44" s="39"/>
      <c r="L44" s="39"/>
      <c r="Q44" s="2"/>
    </row>
    <row r="45" spans="1:17" x14ac:dyDescent="0.25">
      <c r="A45">
        <v>50</v>
      </c>
      <c r="B45" s="161">
        <v>42809</v>
      </c>
      <c r="C45" s="10">
        <v>75</v>
      </c>
      <c r="D45" s="39">
        <v>61.9133</v>
      </c>
      <c r="E45" s="39">
        <v>61.16</v>
      </c>
      <c r="F45" s="39">
        <f t="shared" ref="F45:F51" si="10">C45*(E45-D45)</f>
        <v>-56.497500000000223</v>
      </c>
      <c r="G45" s="39">
        <f t="shared" ref="G45:G51" si="11">D45*C45</f>
        <v>4643.4975000000004</v>
      </c>
      <c r="H45" s="175">
        <f t="shared" ref="H45:H51" si="12">(E45-D45)/D45</f>
        <v>-1.2167014195657523E-2</v>
      </c>
      <c r="I45" s="39"/>
      <c r="J45" s="39">
        <v>-6.55</v>
      </c>
      <c r="K45" s="39"/>
      <c r="L45" s="39"/>
      <c r="Q45" s="2"/>
    </row>
    <row r="46" spans="1:17" x14ac:dyDescent="0.25">
      <c r="A46">
        <v>75</v>
      </c>
      <c r="B46" s="161">
        <v>42831</v>
      </c>
      <c r="C46" s="181">
        <v>100</v>
      </c>
      <c r="D46" s="182">
        <v>60.83</v>
      </c>
      <c r="E46" s="39">
        <v>58</v>
      </c>
      <c r="F46" s="39">
        <f t="shared" si="10"/>
        <v>-282.99999999999983</v>
      </c>
      <c r="G46" s="39">
        <f t="shared" si="11"/>
        <v>6083</v>
      </c>
      <c r="H46" s="175">
        <f t="shared" si="12"/>
        <v>-4.6523097156008525E-2</v>
      </c>
      <c r="I46" s="39"/>
      <c r="J46" s="39">
        <v>-251</v>
      </c>
      <c r="K46" s="39"/>
      <c r="L46" s="39"/>
      <c r="Q46" s="2"/>
    </row>
    <row r="47" spans="1:17" x14ac:dyDescent="0.25">
      <c r="A47">
        <v>75</v>
      </c>
      <c r="B47" s="161">
        <v>42846</v>
      </c>
      <c r="C47" s="10">
        <v>150</v>
      </c>
      <c r="D47" s="39">
        <v>59.7986</v>
      </c>
      <c r="E47" s="39">
        <v>57.73</v>
      </c>
      <c r="F47" s="39">
        <f t="shared" si="10"/>
        <v>-310.29000000000053</v>
      </c>
      <c r="G47" s="39">
        <f t="shared" si="11"/>
        <v>8969.7900000000009</v>
      </c>
      <c r="H47" s="175">
        <f t="shared" si="12"/>
        <v>-3.4592783108634707E-2</v>
      </c>
      <c r="I47" s="39"/>
      <c r="J47" s="39">
        <v>-260</v>
      </c>
      <c r="K47" s="39"/>
      <c r="L47" s="39"/>
      <c r="Q47" s="2"/>
    </row>
    <row r="48" spans="1:17" x14ac:dyDescent="0.25">
      <c r="A48">
        <v>75</v>
      </c>
      <c r="B48" s="161">
        <v>42857</v>
      </c>
      <c r="C48" s="10">
        <v>150</v>
      </c>
      <c r="D48" s="39">
        <v>59.558599999999998</v>
      </c>
      <c r="E48" s="39">
        <v>55.92</v>
      </c>
      <c r="F48" s="39">
        <f t="shared" si="10"/>
        <v>-545.78999999999951</v>
      </c>
      <c r="G48" s="39">
        <f t="shared" si="11"/>
        <v>8933.7899999999991</v>
      </c>
      <c r="H48" s="175">
        <f t="shared" si="12"/>
        <v>-6.1092772496331292E-2</v>
      </c>
      <c r="I48" s="39"/>
      <c r="J48" s="39">
        <v>-496</v>
      </c>
      <c r="K48" s="39"/>
      <c r="L48" s="39"/>
      <c r="Q48" s="2"/>
    </row>
    <row r="49" spans="1:17" x14ac:dyDescent="0.25">
      <c r="A49">
        <v>100</v>
      </c>
      <c r="B49" s="161">
        <v>42862</v>
      </c>
      <c r="C49" s="10">
        <v>150</v>
      </c>
      <c r="D49" s="39">
        <v>59.56</v>
      </c>
      <c r="E49" s="39">
        <v>57.3</v>
      </c>
      <c r="F49" s="39">
        <f t="shared" si="10"/>
        <v>-339.0000000000008</v>
      </c>
      <c r="G49" s="39">
        <f t="shared" si="11"/>
        <v>8934</v>
      </c>
      <c r="H49" s="175">
        <f t="shared" si="12"/>
        <v>-3.79449294828745E-2</v>
      </c>
      <c r="I49" s="39"/>
      <c r="J49" s="39">
        <v>-289</v>
      </c>
      <c r="K49" s="39"/>
      <c r="L49" s="39"/>
      <c r="Q49" s="2"/>
    </row>
    <row r="50" spans="1:17" x14ac:dyDescent="0.25">
      <c r="A50">
        <v>100</v>
      </c>
      <c r="B50" s="161">
        <v>42864</v>
      </c>
      <c r="C50" s="7">
        <v>200</v>
      </c>
      <c r="D50" s="43">
        <v>58.9</v>
      </c>
      <c r="E50" s="39">
        <v>56.98</v>
      </c>
      <c r="F50" s="39">
        <f t="shared" si="10"/>
        <v>-384.00000000000034</v>
      </c>
      <c r="G50" s="39">
        <f t="shared" si="11"/>
        <v>11780</v>
      </c>
      <c r="H50" s="175">
        <f t="shared" si="12"/>
        <v>-3.2597623089983055E-2</v>
      </c>
      <c r="I50" s="39"/>
      <c r="J50" s="39">
        <v>-333</v>
      </c>
      <c r="K50" s="39"/>
      <c r="L50" s="39"/>
      <c r="Q50" s="2"/>
    </row>
    <row r="51" spans="1:17" x14ac:dyDescent="0.25">
      <c r="A51">
        <v>100</v>
      </c>
      <c r="B51" s="161">
        <v>42900</v>
      </c>
      <c r="C51" s="10">
        <v>200</v>
      </c>
      <c r="D51" s="39">
        <v>58.5471</v>
      </c>
      <c r="E51" s="39">
        <v>58.75</v>
      </c>
      <c r="F51" s="39">
        <f t="shared" si="10"/>
        <v>40.579999999999927</v>
      </c>
      <c r="G51" s="39">
        <f t="shared" si="11"/>
        <v>11709.42</v>
      </c>
      <c r="H51" s="175">
        <f t="shared" si="12"/>
        <v>3.4655858274790664E-3</v>
      </c>
      <c r="I51" s="39"/>
      <c r="J51" s="39">
        <v>90.53</v>
      </c>
      <c r="K51" s="39"/>
      <c r="L51" s="39"/>
      <c r="Q51" s="2"/>
    </row>
    <row r="52" spans="1:17" x14ac:dyDescent="0.25">
      <c r="A52">
        <v>200</v>
      </c>
      <c r="B52" s="161">
        <v>42939</v>
      </c>
      <c r="C52" s="10">
        <v>200</v>
      </c>
      <c r="D52" s="39">
        <v>58.5471</v>
      </c>
      <c r="E52" s="39">
        <v>54.35</v>
      </c>
      <c r="F52" s="39">
        <f>C52*(E52-D52)</f>
        <v>-839.41999999999985</v>
      </c>
      <c r="G52" s="39">
        <f>D52*C52</f>
        <v>11709.42</v>
      </c>
      <c r="H52" s="175">
        <f>(E52-D52)/D52</f>
        <v>-7.1687581451515089E-2</v>
      </c>
      <c r="I52" s="39"/>
      <c r="J52" s="39">
        <v>-789</v>
      </c>
      <c r="K52" s="39"/>
      <c r="L52" s="39"/>
      <c r="Q52" s="2"/>
    </row>
    <row r="53" spans="1:17" x14ac:dyDescent="0.25">
      <c r="A53">
        <v>200</v>
      </c>
      <c r="B53" s="161">
        <v>42949</v>
      </c>
      <c r="C53" s="10">
        <v>200</v>
      </c>
      <c r="D53" s="39">
        <v>58.057000000000002</v>
      </c>
      <c r="E53" s="39">
        <v>56.07</v>
      </c>
      <c r="F53" s="39">
        <f>C53*(E53-D53)</f>
        <v>-397.40000000000038</v>
      </c>
      <c r="G53" s="39">
        <f>D53*C53</f>
        <v>11611.4</v>
      </c>
      <c r="H53" s="175">
        <f>(E53-D53)/D53</f>
        <v>-3.4224985789827272E-2</v>
      </c>
      <c r="I53" s="39"/>
      <c r="J53" s="39">
        <v>-347</v>
      </c>
      <c r="K53" s="39"/>
      <c r="L53" s="39"/>
      <c r="Q53" s="2"/>
    </row>
    <row r="54" spans="1:17" x14ac:dyDescent="0.25">
      <c r="A54">
        <v>150</v>
      </c>
      <c r="B54" s="161">
        <v>42978</v>
      </c>
      <c r="C54" s="10">
        <v>200</v>
      </c>
      <c r="D54" s="39">
        <v>57.92</v>
      </c>
      <c r="E54" s="39">
        <v>53.4</v>
      </c>
      <c r="F54" s="39">
        <f>C54*(E54-D54)</f>
        <v>-904.00000000000068</v>
      </c>
      <c r="G54" s="39">
        <f>D54*C54</f>
        <v>11584</v>
      </c>
      <c r="H54" s="175">
        <f>(E54-D54)/D54</f>
        <v>-7.8038674033149222E-2</v>
      </c>
      <c r="I54" s="39">
        <v>57</v>
      </c>
      <c r="J54" s="39">
        <v>-790</v>
      </c>
      <c r="K54" s="39"/>
      <c r="L54" s="39"/>
      <c r="Q54" s="2"/>
    </row>
    <row r="55" spans="1:17" x14ac:dyDescent="0.25">
      <c r="A55">
        <v>200</v>
      </c>
      <c r="B55" s="161">
        <v>43009</v>
      </c>
      <c r="C55" s="10">
        <v>200</v>
      </c>
      <c r="D55" s="39">
        <v>57.92</v>
      </c>
      <c r="E55" s="39">
        <v>51.76</v>
      </c>
      <c r="F55" s="39">
        <f>C55*(E55-D55)</f>
        <v>-1232.0000000000007</v>
      </c>
      <c r="G55" s="39">
        <f>D55*C55</f>
        <v>11584</v>
      </c>
      <c r="H55" s="175">
        <f>(E55-D55)/D55</f>
        <v>-0.10635359116022106</v>
      </c>
      <c r="I55" s="39"/>
      <c r="J55" s="39">
        <v>-1183</v>
      </c>
      <c r="K55" s="39"/>
      <c r="L55" s="39"/>
    </row>
    <row r="56" spans="1:17" x14ac:dyDescent="0.25">
      <c r="A56">
        <v>200</v>
      </c>
      <c r="B56" s="161">
        <v>43017</v>
      </c>
      <c r="C56" s="352">
        <v>300</v>
      </c>
      <c r="D56" s="353">
        <v>55.348300000000002</v>
      </c>
      <c r="E56" s="39">
        <v>50.19</v>
      </c>
      <c r="F56" s="39">
        <f>C56*(E56-D56)</f>
        <v>-1547.4900000000011</v>
      </c>
      <c r="G56" s="39">
        <f>D56*C56</f>
        <v>16604.490000000002</v>
      </c>
      <c r="H56" s="175">
        <f>(E56-D56)/D56</f>
        <v>-9.3197081030492429E-2</v>
      </c>
      <c r="I56" s="39">
        <v>55</v>
      </c>
      <c r="J56" s="39">
        <v>-1497</v>
      </c>
      <c r="K56" s="39"/>
      <c r="L56" s="39"/>
    </row>
    <row r="57" spans="1:17" x14ac:dyDescent="0.25">
      <c r="A57">
        <v>200</v>
      </c>
      <c r="B57" s="161">
        <v>43023</v>
      </c>
      <c r="C57" s="10">
        <v>300</v>
      </c>
      <c r="D57" s="39">
        <v>55.348300000000002</v>
      </c>
      <c r="E57" s="39">
        <v>51.53</v>
      </c>
      <c r="F57" s="39">
        <f t="shared" ref="F57:F65" si="13">C57*(E57-D57)</f>
        <v>-1145.4900000000002</v>
      </c>
      <c r="G57" s="39">
        <f t="shared" ref="G57:G65" si="14">D57*C57</f>
        <v>16604.490000000002</v>
      </c>
      <c r="H57" s="175">
        <f t="shared" ref="H57:H65" si="15">(E57-D57)/D57</f>
        <v>-6.8986762014370817E-2</v>
      </c>
      <c r="I57" s="39">
        <v>55</v>
      </c>
      <c r="J57" s="39">
        <v>-1497</v>
      </c>
      <c r="K57" s="39">
        <v>42.7</v>
      </c>
      <c r="L57" s="39"/>
    </row>
    <row r="58" spans="1:17" x14ac:dyDescent="0.25">
      <c r="A58">
        <v>100</v>
      </c>
      <c r="B58" s="161">
        <v>43028</v>
      </c>
      <c r="C58" s="10">
        <v>200</v>
      </c>
      <c r="D58" s="39">
        <v>56.997999999999998</v>
      </c>
      <c r="E58" s="39">
        <v>52.03</v>
      </c>
      <c r="F58" s="39">
        <f t="shared" si="13"/>
        <v>-993.59999999999923</v>
      </c>
      <c r="G58" s="39">
        <f t="shared" si="14"/>
        <v>11399.6</v>
      </c>
      <c r="H58" s="175">
        <f t="shared" si="15"/>
        <v>-8.7160953015895229E-2</v>
      </c>
      <c r="I58" s="170" t="s">
        <v>684</v>
      </c>
      <c r="J58" s="39">
        <v>-948</v>
      </c>
      <c r="K58" s="39">
        <v>46.9</v>
      </c>
      <c r="L58" s="39"/>
    </row>
    <row r="59" spans="1:17" x14ac:dyDescent="0.25">
      <c r="A59">
        <v>100</v>
      </c>
      <c r="B59" s="161">
        <v>43045</v>
      </c>
      <c r="C59" s="352">
        <v>300</v>
      </c>
      <c r="D59" s="353">
        <v>54.405299999999997</v>
      </c>
      <c r="E59" s="39">
        <v>50.1</v>
      </c>
      <c r="F59" s="39">
        <f t="shared" si="13"/>
        <v>-1291.5899999999986</v>
      </c>
      <c r="G59" s="39">
        <f t="shared" si="14"/>
        <v>16321.589999999998</v>
      </c>
      <c r="H59" s="175">
        <f t="shared" si="15"/>
        <v>-7.9133834387458496E-2</v>
      </c>
      <c r="I59" s="39"/>
      <c r="J59" s="39">
        <v>-1242</v>
      </c>
      <c r="K59" s="39" t="s">
        <v>182</v>
      </c>
      <c r="L59" s="39"/>
    </row>
    <row r="60" spans="1:17" x14ac:dyDescent="0.25">
      <c r="A60">
        <v>0</v>
      </c>
      <c r="B60" s="161">
        <v>43047</v>
      </c>
      <c r="C60" s="7">
        <v>200</v>
      </c>
      <c r="D60" s="43">
        <v>55.893599999999999</v>
      </c>
      <c r="E60" s="39">
        <v>51.5</v>
      </c>
      <c r="F60" s="39">
        <f t="shared" si="13"/>
        <v>-878.7199999999998</v>
      </c>
      <c r="G60" s="39">
        <f t="shared" si="14"/>
        <v>11178.72</v>
      </c>
      <c r="H60" s="175">
        <f t="shared" si="15"/>
        <v>-7.8606495198019086E-2</v>
      </c>
      <c r="I60" s="170" t="s">
        <v>698</v>
      </c>
      <c r="J60" s="39">
        <v>-829</v>
      </c>
      <c r="K60" s="39"/>
      <c r="L60" s="39"/>
    </row>
    <row r="61" spans="1:17" x14ac:dyDescent="0.25">
      <c r="A61">
        <v>50</v>
      </c>
      <c r="B61" s="161">
        <v>43068</v>
      </c>
      <c r="C61" s="10">
        <v>150</v>
      </c>
      <c r="D61" s="39">
        <v>55.765000000000001</v>
      </c>
      <c r="E61" s="39">
        <v>56.34</v>
      </c>
      <c r="F61" s="39">
        <f t="shared" si="13"/>
        <v>86.250000000000426</v>
      </c>
      <c r="G61" s="39">
        <f t="shared" si="14"/>
        <v>8364.75</v>
      </c>
      <c r="H61" s="175">
        <f t="shared" si="15"/>
        <v>1.0311127051017714E-2</v>
      </c>
      <c r="I61" s="39">
        <v>55.2</v>
      </c>
      <c r="J61" s="39">
        <v>136</v>
      </c>
      <c r="K61" s="39"/>
      <c r="L61" s="39"/>
    </row>
    <row r="62" spans="1:17" x14ac:dyDescent="0.25">
      <c r="A62">
        <v>0</v>
      </c>
      <c r="B62" s="161">
        <v>43069</v>
      </c>
      <c r="C62" s="10">
        <v>100</v>
      </c>
      <c r="D62" s="39">
        <v>55.208599999999997</v>
      </c>
      <c r="E62" s="39">
        <v>56.34</v>
      </c>
      <c r="F62" s="39">
        <f t="shared" si="13"/>
        <v>113.14000000000064</v>
      </c>
      <c r="G62" s="39">
        <f t="shared" si="14"/>
        <v>5520.86</v>
      </c>
      <c r="H62" s="175">
        <f t="shared" si="15"/>
        <v>2.0493184032922523E-2</v>
      </c>
      <c r="I62" s="39">
        <v>55</v>
      </c>
      <c r="J62" s="39">
        <v>217</v>
      </c>
      <c r="K62" s="39"/>
      <c r="L62" s="39"/>
    </row>
    <row r="63" spans="1:17" x14ac:dyDescent="0.25">
      <c r="A63">
        <v>75</v>
      </c>
      <c r="B63" s="161">
        <v>43087</v>
      </c>
      <c r="C63" s="10">
        <v>75</v>
      </c>
      <c r="D63" s="39">
        <v>54.28</v>
      </c>
      <c r="E63" s="39">
        <v>58</v>
      </c>
      <c r="F63" s="39">
        <f t="shared" si="13"/>
        <v>278.99999999999989</v>
      </c>
      <c r="G63" s="39">
        <f t="shared" si="14"/>
        <v>4071</v>
      </c>
      <c r="H63" s="175">
        <f t="shared" si="15"/>
        <v>6.8533529845246841E-2</v>
      </c>
      <c r="I63" s="39"/>
      <c r="J63" s="39">
        <v>329</v>
      </c>
      <c r="K63" s="39"/>
      <c r="L63" s="39"/>
    </row>
    <row r="64" spans="1:17" x14ac:dyDescent="0.25">
      <c r="A64">
        <v>60</v>
      </c>
      <c r="B64" s="161">
        <v>43091</v>
      </c>
      <c r="C64" s="10">
        <v>60</v>
      </c>
      <c r="D64" s="39">
        <v>52.8</v>
      </c>
      <c r="E64" s="39">
        <v>60.13</v>
      </c>
      <c r="F64" s="39">
        <f t="shared" si="13"/>
        <v>439.8000000000003</v>
      </c>
      <c r="G64" s="39">
        <f t="shared" si="14"/>
        <v>3168</v>
      </c>
      <c r="H64" s="175">
        <f t="shared" si="15"/>
        <v>0.13882575757575769</v>
      </c>
      <c r="I64" s="39"/>
      <c r="J64" s="39">
        <v>489</v>
      </c>
      <c r="K64" s="39"/>
      <c r="L64" s="39"/>
    </row>
    <row r="65" spans="1:12" x14ac:dyDescent="0.25">
      <c r="B65" s="161">
        <v>43133</v>
      </c>
      <c r="C65" s="10">
        <v>100</v>
      </c>
      <c r="D65" s="39">
        <v>54.483600000000003</v>
      </c>
      <c r="E65" s="39">
        <v>55.95</v>
      </c>
      <c r="F65" s="39">
        <f t="shared" si="13"/>
        <v>146.64000000000001</v>
      </c>
      <c r="G65" s="39">
        <f t="shared" si="14"/>
        <v>5448.3600000000006</v>
      </c>
      <c r="H65" s="175">
        <f t="shared" si="15"/>
        <v>2.6914521066889855E-2</v>
      </c>
      <c r="I65" s="39"/>
      <c r="J65" s="39">
        <v>197</v>
      </c>
      <c r="K65" s="39" t="s">
        <v>182</v>
      </c>
      <c r="L65" s="39"/>
    </row>
    <row r="66" spans="1:12" x14ac:dyDescent="0.25">
      <c r="B66" s="161">
        <v>43172</v>
      </c>
      <c r="C66" s="181">
        <v>100</v>
      </c>
      <c r="D66" s="182">
        <v>54.189599999999999</v>
      </c>
      <c r="E66" s="39">
        <v>51.99</v>
      </c>
      <c r="F66" s="39">
        <f t="shared" ref="F66:F82" si="16">C66*(E66-D66)</f>
        <v>-219.95999999999967</v>
      </c>
      <c r="G66" s="39">
        <f t="shared" ref="G66:G76" si="17">D66*C66</f>
        <v>5418.96</v>
      </c>
      <c r="H66" s="175">
        <f t="shared" ref="H66:H82" si="18">(E66-D66)/D66</f>
        <v>-4.0590814473625877E-2</v>
      </c>
      <c r="I66" s="170" t="s">
        <v>885</v>
      </c>
      <c r="J66" s="39">
        <f t="shared" ref="J66:J92" si="19">F66+$Q$10</f>
        <v>-170.00999999999985</v>
      </c>
      <c r="K66" s="39"/>
      <c r="L66" s="39"/>
    </row>
    <row r="67" spans="1:12" x14ac:dyDescent="0.25">
      <c r="A67">
        <v>100</v>
      </c>
      <c r="B67" s="161">
        <v>43178</v>
      </c>
      <c r="C67" s="10">
        <v>150</v>
      </c>
      <c r="D67" s="39">
        <v>52.8431</v>
      </c>
      <c r="E67" s="39">
        <v>50.21</v>
      </c>
      <c r="F67" s="39">
        <f t="shared" si="16"/>
        <v>-394.9649999999998</v>
      </c>
      <c r="G67" s="39">
        <f t="shared" si="17"/>
        <v>7926.4650000000001</v>
      </c>
      <c r="H67" s="175">
        <f t="shared" si="18"/>
        <v>-4.9828643663978815E-2</v>
      </c>
      <c r="I67" s="39"/>
      <c r="J67" s="39">
        <f t="shared" si="19"/>
        <v>-345.01499999999999</v>
      </c>
      <c r="K67" s="39"/>
      <c r="L67" s="39"/>
    </row>
    <row r="68" spans="1:12" x14ac:dyDescent="0.25">
      <c r="A68">
        <v>100</v>
      </c>
      <c r="B68" s="161">
        <v>43184</v>
      </c>
      <c r="C68" s="10">
        <v>150</v>
      </c>
      <c r="D68" s="39">
        <v>52.8431</v>
      </c>
      <c r="E68" s="39">
        <v>44.21</v>
      </c>
      <c r="F68" s="39">
        <f t="shared" si="16"/>
        <v>-1294.9649999999999</v>
      </c>
      <c r="G68" s="39">
        <f t="shared" si="17"/>
        <v>7926.4650000000001</v>
      </c>
      <c r="H68" s="175">
        <f t="shared" si="18"/>
        <v>-0.16337232297121099</v>
      </c>
      <c r="I68" s="39"/>
      <c r="J68" s="39">
        <f t="shared" si="19"/>
        <v>-1245.0150000000001</v>
      </c>
      <c r="K68" s="39"/>
      <c r="L68" s="39"/>
    </row>
    <row r="69" spans="1:12" x14ac:dyDescent="0.25">
      <c r="A69">
        <v>100</v>
      </c>
      <c r="B69" s="161">
        <v>43185</v>
      </c>
      <c r="C69" s="10">
        <v>150</v>
      </c>
      <c r="D69" s="39">
        <v>52.8431</v>
      </c>
      <c r="E69" s="39">
        <v>45.3</v>
      </c>
      <c r="F69" s="39">
        <f t="shared" si="16"/>
        <v>-1131.4650000000004</v>
      </c>
      <c r="G69" s="39">
        <f t="shared" si="17"/>
        <v>7926.4650000000001</v>
      </c>
      <c r="H69" s="175">
        <f t="shared" si="18"/>
        <v>-0.14274522123039721</v>
      </c>
      <c r="I69" s="39"/>
      <c r="J69" s="39">
        <f t="shared" si="19"/>
        <v>-1081.5150000000006</v>
      </c>
      <c r="K69" s="39"/>
      <c r="L69" s="39"/>
    </row>
    <row r="70" spans="1:12" x14ac:dyDescent="0.25">
      <c r="A70">
        <v>100</v>
      </c>
      <c r="B70" s="161">
        <v>43198</v>
      </c>
      <c r="C70" s="10">
        <v>150</v>
      </c>
      <c r="D70" s="39">
        <v>52.8431</v>
      </c>
      <c r="E70" s="39">
        <v>45.47</v>
      </c>
      <c r="F70" s="39">
        <f t="shared" si="16"/>
        <v>-1105.9650000000001</v>
      </c>
      <c r="G70" s="39">
        <f t="shared" si="17"/>
        <v>7926.4650000000001</v>
      </c>
      <c r="H70" s="175">
        <f t="shared" si="18"/>
        <v>-0.13952815031669227</v>
      </c>
      <c r="I70" s="39"/>
      <c r="J70" s="39">
        <f t="shared" si="19"/>
        <v>-1056.0150000000003</v>
      </c>
      <c r="K70" s="39"/>
      <c r="L70" s="39">
        <v>14.76</v>
      </c>
    </row>
    <row r="71" spans="1:12" x14ac:dyDescent="0.25">
      <c r="A71">
        <v>150</v>
      </c>
      <c r="B71" s="161">
        <v>43222</v>
      </c>
      <c r="C71" s="10">
        <v>150</v>
      </c>
      <c r="D71" s="39">
        <v>52.353000000000002</v>
      </c>
      <c r="E71" s="39">
        <v>42.49</v>
      </c>
      <c r="F71" s="39">
        <f t="shared" si="16"/>
        <v>-1479.4499999999998</v>
      </c>
      <c r="G71" s="39">
        <f t="shared" si="17"/>
        <v>7852.95</v>
      </c>
      <c r="H71" s="175">
        <f t="shared" si="18"/>
        <v>-0.18839417034362882</v>
      </c>
      <c r="I71" s="39"/>
      <c r="J71" s="39">
        <f t="shared" si="19"/>
        <v>-1429.5</v>
      </c>
      <c r="K71" s="39"/>
      <c r="L71" s="39">
        <v>13.8</v>
      </c>
    </row>
    <row r="72" spans="1:12" x14ac:dyDescent="0.25">
      <c r="A72">
        <v>150</v>
      </c>
      <c r="B72" s="161">
        <v>43279</v>
      </c>
      <c r="C72" s="10">
        <v>150</v>
      </c>
      <c r="D72" s="39">
        <v>52.353000000000002</v>
      </c>
      <c r="E72" s="39">
        <v>44.68</v>
      </c>
      <c r="F72" s="39">
        <f t="shared" si="16"/>
        <v>-1150.9500000000003</v>
      </c>
      <c r="G72" s="39">
        <f t="shared" si="17"/>
        <v>7852.95</v>
      </c>
      <c r="H72" s="175">
        <f t="shared" si="18"/>
        <v>-0.14656275667105995</v>
      </c>
      <c r="I72" s="39"/>
      <c r="J72" s="39">
        <f t="shared" si="19"/>
        <v>-1101.0000000000005</v>
      </c>
      <c r="K72" s="39"/>
      <c r="L72" s="39">
        <v>14.5</v>
      </c>
    </row>
    <row r="73" spans="1:12" x14ac:dyDescent="0.25">
      <c r="A73">
        <v>150</v>
      </c>
      <c r="B73" s="161">
        <v>43299</v>
      </c>
      <c r="C73" s="7">
        <v>200</v>
      </c>
      <c r="D73" s="43">
        <v>50.134799999999998</v>
      </c>
      <c r="E73" s="39">
        <v>43.48</v>
      </c>
      <c r="F73" s="39">
        <f t="shared" si="16"/>
        <v>-1330.9600000000003</v>
      </c>
      <c r="G73" s="39">
        <f t="shared" si="17"/>
        <v>10026.959999999999</v>
      </c>
      <c r="H73" s="175">
        <f t="shared" si="18"/>
        <v>-0.13273813798000594</v>
      </c>
      <c r="I73" s="39"/>
      <c r="J73" s="39">
        <f t="shared" si="19"/>
        <v>-1281.0100000000004</v>
      </c>
      <c r="K73" s="39"/>
      <c r="L73" s="39">
        <v>14.12</v>
      </c>
    </row>
    <row r="74" spans="1:12" x14ac:dyDescent="0.25">
      <c r="A74">
        <v>150</v>
      </c>
      <c r="B74" s="161">
        <v>43312</v>
      </c>
      <c r="C74" s="10">
        <v>200</v>
      </c>
      <c r="D74" s="39">
        <v>50.13</v>
      </c>
      <c r="E74" s="39">
        <v>46.06</v>
      </c>
      <c r="F74" s="39">
        <f t="shared" si="16"/>
        <v>-814</v>
      </c>
      <c r="G74" s="39">
        <f t="shared" si="17"/>
        <v>10026</v>
      </c>
      <c r="H74" s="175">
        <f t="shared" si="18"/>
        <v>-8.1188908837023746E-2</v>
      </c>
      <c r="I74" s="39"/>
      <c r="J74" s="39">
        <f t="shared" si="19"/>
        <v>-764.05000000000018</v>
      </c>
      <c r="K74" s="39"/>
      <c r="L74" s="39">
        <v>14.95</v>
      </c>
    </row>
    <row r="75" spans="1:12" x14ac:dyDescent="0.25">
      <c r="A75">
        <v>150</v>
      </c>
      <c r="B75" s="161">
        <v>43313</v>
      </c>
      <c r="C75" s="7">
        <v>200</v>
      </c>
      <c r="D75" s="43">
        <v>49.767299999999999</v>
      </c>
      <c r="E75" s="39">
        <v>45.08</v>
      </c>
      <c r="F75" s="39">
        <f t="shared" si="16"/>
        <v>-937.46</v>
      </c>
      <c r="G75" s="39">
        <f t="shared" si="17"/>
        <v>9953.4599999999991</v>
      </c>
      <c r="H75" s="175">
        <f t="shared" si="18"/>
        <v>-9.4184333889923713E-2</v>
      </c>
      <c r="I75" s="170" t="s">
        <v>1194</v>
      </c>
      <c r="J75" s="39">
        <f t="shared" si="19"/>
        <v>-887.51000000000022</v>
      </c>
      <c r="K75" s="39"/>
      <c r="L75" s="39">
        <v>14.64</v>
      </c>
    </row>
    <row r="76" spans="1:12" x14ac:dyDescent="0.25">
      <c r="B76" s="161">
        <v>43316</v>
      </c>
      <c r="C76" s="10">
        <v>200</v>
      </c>
      <c r="D76" s="39">
        <v>49.77</v>
      </c>
      <c r="E76" s="39">
        <v>47.24</v>
      </c>
      <c r="F76" s="39">
        <f t="shared" si="16"/>
        <v>-506.00000000000023</v>
      </c>
      <c r="G76" s="39">
        <f t="shared" si="17"/>
        <v>9954</v>
      </c>
      <c r="H76" s="175">
        <f t="shared" si="18"/>
        <v>-5.0833835643962245E-2</v>
      </c>
      <c r="I76" s="39"/>
      <c r="J76" s="39">
        <f t="shared" si="19"/>
        <v>-456.05000000000041</v>
      </c>
      <c r="K76" s="39"/>
      <c r="L76" s="39">
        <v>15.34</v>
      </c>
    </row>
    <row r="77" spans="1:12" x14ac:dyDescent="0.25">
      <c r="A77">
        <v>150</v>
      </c>
      <c r="B77" s="161">
        <v>43320</v>
      </c>
      <c r="C77" s="352">
        <v>300</v>
      </c>
      <c r="D77" s="353">
        <v>48.274900000000002</v>
      </c>
      <c r="E77" s="39">
        <v>45.22</v>
      </c>
      <c r="F77" s="39">
        <f t="shared" si="16"/>
        <v>-916.47000000000105</v>
      </c>
      <c r="G77" s="39">
        <f t="shared" ref="G77:G82" si="20">D77*C77</f>
        <v>14482.470000000001</v>
      </c>
      <c r="H77" s="175">
        <f t="shared" si="18"/>
        <v>-6.3281332535127022E-2</v>
      </c>
      <c r="I77" s="170" t="s">
        <v>1169</v>
      </c>
      <c r="J77" s="39">
        <f t="shared" si="19"/>
        <v>-866.52000000000123</v>
      </c>
      <c r="K77" s="39"/>
      <c r="L77" s="39">
        <v>14.68</v>
      </c>
    </row>
    <row r="78" spans="1:12" x14ac:dyDescent="0.25">
      <c r="A78">
        <v>150</v>
      </c>
      <c r="B78" s="161">
        <v>43328</v>
      </c>
      <c r="C78" s="10">
        <v>300</v>
      </c>
      <c r="D78" s="39">
        <v>48.274900000000002</v>
      </c>
      <c r="E78" s="39">
        <v>46.6</v>
      </c>
      <c r="F78" s="39">
        <f t="shared" si="16"/>
        <v>-502.47000000000025</v>
      </c>
      <c r="G78" s="39">
        <f t="shared" si="20"/>
        <v>14482.470000000001</v>
      </c>
      <c r="H78" s="175">
        <f t="shared" si="18"/>
        <v>-3.4695048565610717E-2</v>
      </c>
      <c r="I78" s="39"/>
      <c r="J78" s="39">
        <f t="shared" si="19"/>
        <v>-452.52000000000044</v>
      </c>
      <c r="K78" s="39"/>
      <c r="L78" s="39">
        <v>15.43</v>
      </c>
    </row>
    <row r="79" spans="1:12" x14ac:dyDescent="0.25">
      <c r="A79">
        <v>0</v>
      </c>
      <c r="B79" s="161">
        <v>43329</v>
      </c>
      <c r="C79" s="10">
        <v>150</v>
      </c>
      <c r="D79" s="39">
        <v>49.3003</v>
      </c>
      <c r="E79" s="39">
        <v>47.21</v>
      </c>
      <c r="F79" s="39">
        <f t="shared" si="16"/>
        <v>-313.54499999999985</v>
      </c>
      <c r="G79" s="39">
        <f t="shared" si="20"/>
        <v>7395.0450000000001</v>
      </c>
      <c r="H79" s="175">
        <f t="shared" si="18"/>
        <v>-4.2399336312355082E-2</v>
      </c>
      <c r="I79" s="39">
        <v>48.5</v>
      </c>
      <c r="J79" s="39">
        <f t="shared" si="19"/>
        <v>-263.59500000000003</v>
      </c>
      <c r="K79" s="39"/>
      <c r="L79" s="39">
        <v>15.63</v>
      </c>
    </row>
    <row r="80" spans="1:12" x14ac:dyDescent="0.25">
      <c r="A80">
        <v>50</v>
      </c>
      <c r="B80" s="161">
        <v>43333</v>
      </c>
      <c r="C80" s="7">
        <v>200</v>
      </c>
      <c r="D80" s="43">
        <v>48.567799999999998</v>
      </c>
      <c r="E80" s="39">
        <v>46.13</v>
      </c>
      <c r="F80" s="39">
        <f t="shared" si="16"/>
        <v>-487.55999999999915</v>
      </c>
      <c r="G80" s="39">
        <f t="shared" si="20"/>
        <v>9713.56</v>
      </c>
      <c r="H80" s="175">
        <f t="shared" si="18"/>
        <v>-5.0193749768364965E-2</v>
      </c>
      <c r="I80" s="170" t="s">
        <v>1203</v>
      </c>
      <c r="J80" s="39">
        <f t="shared" si="19"/>
        <v>-437.60999999999933</v>
      </c>
      <c r="K80" s="39"/>
      <c r="L80" s="39">
        <v>15.27</v>
      </c>
    </row>
    <row r="81" spans="1:12" x14ac:dyDescent="0.25">
      <c r="A81">
        <v>50</v>
      </c>
      <c r="B81" s="161">
        <v>43340</v>
      </c>
      <c r="C81" s="352">
        <v>300</v>
      </c>
      <c r="D81" s="353">
        <v>47.471800000000002</v>
      </c>
      <c r="E81" s="39">
        <v>45.38</v>
      </c>
      <c r="F81" s="39">
        <f t="shared" si="16"/>
        <v>-627.53999999999974</v>
      </c>
      <c r="G81" s="39">
        <f t="shared" si="20"/>
        <v>14241.54</v>
      </c>
      <c r="H81" s="175">
        <f t="shared" si="18"/>
        <v>-4.4064054870470451E-2</v>
      </c>
      <c r="I81" s="39"/>
      <c r="J81" s="39">
        <f t="shared" si="19"/>
        <v>-577.58999999999992</v>
      </c>
      <c r="K81" s="39"/>
      <c r="L81" s="39">
        <v>15.03</v>
      </c>
    </row>
    <row r="82" spans="1:12" x14ac:dyDescent="0.25">
      <c r="A82">
        <v>50</v>
      </c>
      <c r="B82" s="161">
        <v>43343</v>
      </c>
      <c r="C82" s="10">
        <v>300</v>
      </c>
      <c r="D82" s="39">
        <v>47.47</v>
      </c>
      <c r="E82" s="39">
        <v>46.01</v>
      </c>
      <c r="F82" s="39">
        <f t="shared" si="16"/>
        <v>-438.00000000000023</v>
      </c>
      <c r="G82" s="39">
        <f t="shared" si="20"/>
        <v>14241</v>
      </c>
      <c r="H82" s="175">
        <f t="shared" si="18"/>
        <v>-3.0756267116073328E-2</v>
      </c>
      <c r="I82" s="39"/>
      <c r="J82" s="39">
        <f t="shared" si="19"/>
        <v>-388.05000000000041</v>
      </c>
      <c r="K82" s="39"/>
      <c r="L82" s="39">
        <v>15.24</v>
      </c>
    </row>
    <row r="83" spans="1:12" x14ac:dyDescent="0.25">
      <c r="A83">
        <v>150</v>
      </c>
      <c r="B83" s="161">
        <v>43349</v>
      </c>
      <c r="C83" s="10">
        <v>300</v>
      </c>
      <c r="D83" s="39">
        <v>47.47</v>
      </c>
      <c r="E83" s="39">
        <v>47.01</v>
      </c>
      <c r="F83" s="39">
        <f t="shared" ref="F83:F89" si="21">C83*(E83-D83)</f>
        <v>-138.00000000000026</v>
      </c>
      <c r="G83" s="39">
        <f t="shared" ref="G83:G89" si="22">D83*C83</f>
        <v>14241</v>
      </c>
      <c r="H83" s="175">
        <f t="shared" ref="H83:H89" si="23">(E83-D83)/D83</f>
        <v>-9.6903307352011973E-3</v>
      </c>
      <c r="I83" s="39"/>
      <c r="J83" s="39">
        <f t="shared" si="19"/>
        <v>-88.050000000000438</v>
      </c>
      <c r="K83" s="39"/>
      <c r="L83" s="39">
        <v>15.57</v>
      </c>
    </row>
    <row r="84" spans="1:12" x14ac:dyDescent="0.25">
      <c r="A84">
        <v>50</v>
      </c>
      <c r="B84" s="161">
        <v>43350</v>
      </c>
      <c r="C84" s="7">
        <v>200</v>
      </c>
      <c r="D84" s="43">
        <v>47.463099999999997</v>
      </c>
      <c r="E84" s="39">
        <v>47.55</v>
      </c>
      <c r="F84" s="39">
        <f t="shared" si="21"/>
        <v>17.379999999999995</v>
      </c>
      <c r="G84" s="39">
        <f t="shared" si="22"/>
        <v>9492.619999999999</v>
      </c>
      <c r="H84" s="175">
        <f t="shared" si="23"/>
        <v>1.8308960013147051E-3</v>
      </c>
      <c r="I84" s="39"/>
      <c r="J84" s="39">
        <f t="shared" si="19"/>
        <v>67.329999999999814</v>
      </c>
      <c r="K84" s="39"/>
      <c r="L84" s="39">
        <v>15.75</v>
      </c>
    </row>
    <row r="85" spans="1:12" x14ac:dyDescent="0.25">
      <c r="A85">
        <v>50</v>
      </c>
      <c r="B85" s="161">
        <v>43360</v>
      </c>
      <c r="C85" s="7">
        <v>200</v>
      </c>
      <c r="D85" s="43">
        <v>47.463099999999997</v>
      </c>
      <c r="E85" s="39">
        <v>47.77</v>
      </c>
      <c r="F85" s="39">
        <f t="shared" si="21"/>
        <v>61.380000000001189</v>
      </c>
      <c r="G85" s="39">
        <f t="shared" si="22"/>
        <v>9492.619999999999</v>
      </c>
      <c r="H85" s="175">
        <f t="shared" si="23"/>
        <v>6.4660757514786423E-3</v>
      </c>
      <c r="I85" s="39"/>
      <c r="J85" s="39">
        <f t="shared" si="19"/>
        <v>111.33000000000101</v>
      </c>
      <c r="K85" s="39"/>
      <c r="L85" s="39">
        <v>15.82</v>
      </c>
    </row>
    <row r="86" spans="1:12" x14ac:dyDescent="0.25">
      <c r="A86">
        <v>50</v>
      </c>
      <c r="B86" s="161">
        <v>43361</v>
      </c>
      <c r="C86" s="352">
        <v>300</v>
      </c>
      <c r="D86" s="353">
        <v>46.707000000000001</v>
      </c>
      <c r="E86" s="39">
        <v>44.13</v>
      </c>
      <c r="F86" s="39">
        <f t="shared" si="21"/>
        <v>-773.09999999999945</v>
      </c>
      <c r="G86" s="39">
        <f t="shared" si="22"/>
        <v>14012.1</v>
      </c>
      <c r="H86" s="175">
        <f t="shared" si="23"/>
        <v>-5.5173742693814594E-2</v>
      </c>
      <c r="I86" s="39"/>
      <c r="J86" s="39">
        <f t="shared" si="19"/>
        <v>-723.14999999999964</v>
      </c>
      <c r="K86" s="39"/>
      <c r="L86" s="39">
        <v>14.61</v>
      </c>
    </row>
    <row r="87" spans="1:12" x14ac:dyDescent="0.25">
      <c r="A87">
        <v>200</v>
      </c>
      <c r="B87" s="161">
        <v>43385</v>
      </c>
      <c r="C87" s="10">
        <v>300</v>
      </c>
      <c r="D87" s="39">
        <v>46.71</v>
      </c>
      <c r="E87" s="39">
        <v>43.1</v>
      </c>
      <c r="F87" s="39">
        <f t="shared" si="21"/>
        <v>-1082.9999999999998</v>
      </c>
      <c r="G87" s="39">
        <f t="shared" si="22"/>
        <v>14013</v>
      </c>
      <c r="H87" s="175">
        <f t="shared" si="23"/>
        <v>-7.7285377863412538E-2</v>
      </c>
      <c r="I87" s="39"/>
      <c r="J87" s="39">
        <f t="shared" si="19"/>
        <v>-1033.05</v>
      </c>
      <c r="K87" s="39"/>
      <c r="L87" s="39">
        <v>14.27</v>
      </c>
    </row>
    <row r="88" spans="1:12" x14ac:dyDescent="0.25">
      <c r="A88">
        <v>200</v>
      </c>
      <c r="B88" s="161">
        <v>43403</v>
      </c>
      <c r="C88" s="7">
        <v>200</v>
      </c>
      <c r="D88" s="43">
        <v>47.32</v>
      </c>
      <c r="E88" s="39">
        <v>45.48</v>
      </c>
      <c r="F88" s="39">
        <f t="shared" si="21"/>
        <v>-368.00000000000068</v>
      </c>
      <c r="G88" s="39">
        <f t="shared" si="22"/>
        <v>9464</v>
      </c>
      <c r="H88" s="175">
        <f t="shared" si="23"/>
        <v>-3.8884192730346649E-2</v>
      </c>
      <c r="I88" s="39"/>
      <c r="J88" s="39">
        <f t="shared" si="19"/>
        <v>-318.05000000000086</v>
      </c>
      <c r="K88" s="39"/>
      <c r="L88" s="39">
        <v>15.06</v>
      </c>
    </row>
    <row r="89" spans="1:12" x14ac:dyDescent="0.25">
      <c r="A89">
        <v>200</v>
      </c>
      <c r="B89" s="161">
        <v>43405</v>
      </c>
      <c r="C89" s="7">
        <v>200</v>
      </c>
      <c r="D89" s="43">
        <v>46.585900000000002</v>
      </c>
      <c r="E89" s="39">
        <v>44.32</v>
      </c>
      <c r="F89" s="39">
        <f t="shared" si="21"/>
        <v>-453.1800000000004</v>
      </c>
      <c r="G89" s="39">
        <f t="shared" si="22"/>
        <v>9317.18</v>
      </c>
      <c r="H89" s="175">
        <f t="shared" si="23"/>
        <v>-4.8639180524579363E-2</v>
      </c>
      <c r="I89" s="39"/>
      <c r="J89" s="39">
        <f t="shared" si="19"/>
        <v>-403.23000000000059</v>
      </c>
      <c r="K89" s="39"/>
      <c r="L89" s="39">
        <v>14.68</v>
      </c>
    </row>
    <row r="90" spans="1:12" x14ac:dyDescent="0.25">
      <c r="A90">
        <v>200</v>
      </c>
      <c r="B90" s="161">
        <v>43417</v>
      </c>
      <c r="C90" s="10">
        <v>200</v>
      </c>
      <c r="D90" s="39">
        <v>46.585900000000002</v>
      </c>
      <c r="E90" s="39">
        <v>45.48</v>
      </c>
      <c r="F90" s="39">
        <f t="shared" ref="F90:F95" si="24">C90*(E90-D90)</f>
        <v>-221.18000000000109</v>
      </c>
      <c r="G90" s="39">
        <f t="shared" ref="G90:G95" si="25">D90*C90</f>
        <v>9317.18</v>
      </c>
      <c r="H90" s="175">
        <f t="shared" ref="H90:H96" si="26">(E90-D90)/D90</f>
        <v>-2.3738942469717347E-2</v>
      </c>
      <c r="I90" s="39"/>
      <c r="J90" s="39">
        <f t="shared" si="19"/>
        <v>-171.23000000000127</v>
      </c>
      <c r="K90" s="39"/>
      <c r="L90" s="39">
        <v>15.68</v>
      </c>
    </row>
    <row r="91" spans="1:12" x14ac:dyDescent="0.25">
      <c r="A91">
        <v>200</v>
      </c>
      <c r="B91" s="161">
        <v>43430</v>
      </c>
      <c r="C91" s="10">
        <v>200</v>
      </c>
      <c r="D91" s="39">
        <v>46.59</v>
      </c>
      <c r="E91" s="39">
        <v>42.38</v>
      </c>
      <c r="F91" s="39">
        <f t="shared" si="24"/>
        <v>-842.00000000000023</v>
      </c>
      <c r="G91" s="39">
        <f t="shared" si="25"/>
        <v>9318</v>
      </c>
      <c r="H91" s="175">
        <f t="shared" si="26"/>
        <v>-9.0362738785147043E-2</v>
      </c>
      <c r="I91" s="39"/>
      <c r="J91" s="39">
        <f t="shared" si="19"/>
        <v>-792.05000000000041</v>
      </c>
      <c r="K91" s="39"/>
      <c r="L91" s="39">
        <v>14.03</v>
      </c>
    </row>
    <row r="92" spans="1:12" x14ac:dyDescent="0.25">
      <c r="A92">
        <v>200</v>
      </c>
      <c r="B92" s="161">
        <v>43437</v>
      </c>
      <c r="C92" s="352">
        <v>300</v>
      </c>
      <c r="D92" s="353">
        <v>44.783900000000003</v>
      </c>
      <c r="E92" s="39">
        <v>41.5</v>
      </c>
      <c r="F92" s="39">
        <f t="shared" si="24"/>
        <v>-985.17000000000075</v>
      </c>
      <c r="G92" s="39">
        <f t="shared" si="25"/>
        <v>13435.17</v>
      </c>
      <c r="H92" s="175">
        <f t="shared" si="26"/>
        <v>-7.3327691424820138E-2</v>
      </c>
      <c r="I92" s="39"/>
      <c r="J92" s="39">
        <f t="shared" si="19"/>
        <v>-935.22000000000094</v>
      </c>
      <c r="K92" s="39"/>
      <c r="L92" s="39">
        <v>13.74</v>
      </c>
    </row>
    <row r="93" spans="1:12" x14ac:dyDescent="0.25">
      <c r="A93">
        <v>200</v>
      </c>
      <c r="B93" s="161">
        <v>43442</v>
      </c>
      <c r="C93" s="10">
        <v>300</v>
      </c>
      <c r="D93" s="39">
        <v>44.783900000000003</v>
      </c>
      <c r="E93" s="39">
        <v>38.479999999999997</v>
      </c>
      <c r="F93" s="39">
        <f t="shared" si="24"/>
        <v>-1891.1700000000017</v>
      </c>
      <c r="G93" s="39">
        <f t="shared" si="25"/>
        <v>13435.17</v>
      </c>
      <c r="H93" s="175">
        <f t="shared" si="26"/>
        <v>-0.14076264014523088</v>
      </c>
      <c r="I93" s="39"/>
      <c r="J93" s="39">
        <f>F93+$Q$10</f>
        <v>-1841.2200000000018</v>
      </c>
      <c r="K93" s="39"/>
      <c r="L93" s="39">
        <v>14.74</v>
      </c>
    </row>
    <row r="94" spans="1:12" x14ac:dyDescent="0.25">
      <c r="A94">
        <v>200</v>
      </c>
      <c r="B94" s="161">
        <v>43482</v>
      </c>
      <c r="C94" s="7">
        <v>200</v>
      </c>
      <c r="D94" s="43">
        <v>45.936199999999999</v>
      </c>
      <c r="E94" s="39">
        <v>42.97</v>
      </c>
      <c r="F94" s="39">
        <f t="shared" si="24"/>
        <v>-593.24000000000012</v>
      </c>
      <c r="G94" s="39">
        <f t="shared" si="25"/>
        <v>9187.24</v>
      </c>
      <c r="H94" s="175">
        <f t="shared" si="26"/>
        <v>-6.4572167484467605E-2</v>
      </c>
      <c r="I94" s="39"/>
      <c r="J94" s="39">
        <f>F94+$Q$10</f>
        <v>-543.2900000000003</v>
      </c>
      <c r="K94" s="39"/>
      <c r="L94" s="39">
        <v>14.23</v>
      </c>
    </row>
    <row r="95" spans="1:12" x14ac:dyDescent="0.25">
      <c r="A95">
        <v>200</v>
      </c>
      <c r="B95" s="161">
        <v>43498</v>
      </c>
      <c r="C95" s="7">
        <v>200</v>
      </c>
      <c r="D95" s="43">
        <v>45.201000000000001</v>
      </c>
      <c r="E95" s="39">
        <v>44.24</v>
      </c>
      <c r="F95" s="39">
        <f t="shared" si="24"/>
        <v>-192.1999999999997</v>
      </c>
      <c r="G95" s="39">
        <f t="shared" si="25"/>
        <v>9040.2000000000007</v>
      </c>
      <c r="H95" s="175">
        <f t="shared" si="26"/>
        <v>-2.1260591579832271E-2</v>
      </c>
      <c r="I95" s="39"/>
      <c r="J95" s="39">
        <f>F95+$Q$10</f>
        <v>-142.24999999999989</v>
      </c>
      <c r="K95" s="39"/>
      <c r="L95" s="39">
        <v>14.65</v>
      </c>
    </row>
    <row r="96" spans="1:12" x14ac:dyDescent="0.25">
      <c r="B96" s="161">
        <v>43516</v>
      </c>
      <c r="C96" s="10">
        <v>0</v>
      </c>
      <c r="D96" s="39">
        <v>45.2</v>
      </c>
      <c r="E96" s="39">
        <v>46.88</v>
      </c>
      <c r="F96" s="39">
        <v>335.65</v>
      </c>
      <c r="G96" s="39"/>
      <c r="H96" s="175">
        <f t="shared" si="26"/>
        <v>3.7168141592920347E-2</v>
      </c>
      <c r="I96" s="39"/>
      <c r="J96" s="39">
        <f>F96+$Q$10</f>
        <v>385.5999999999998</v>
      </c>
      <c r="K96" s="39"/>
      <c r="L96" s="39">
        <v>15.15</v>
      </c>
    </row>
    <row r="97" spans="1:13" x14ac:dyDescent="0.25">
      <c r="B97" s="161"/>
      <c r="C97" s="10"/>
      <c r="D97" s="39"/>
      <c r="E97" s="39"/>
      <c r="F97" s="39"/>
      <c r="G97" s="39"/>
      <c r="H97" s="175"/>
      <c r="I97" s="39"/>
      <c r="J97" s="39"/>
      <c r="K97" s="39"/>
      <c r="L97" s="39"/>
    </row>
    <row r="98" spans="1:13" x14ac:dyDescent="0.25">
      <c r="B98" s="161"/>
      <c r="C98" s="10"/>
      <c r="D98" s="39"/>
      <c r="E98" s="39"/>
      <c r="F98" s="39"/>
      <c r="G98" s="39"/>
      <c r="H98" s="175"/>
      <c r="I98" s="39"/>
      <c r="J98" s="39"/>
      <c r="K98" s="39"/>
      <c r="L98" s="39"/>
    </row>
    <row r="99" spans="1:13" x14ac:dyDescent="0.25">
      <c r="B99" s="161"/>
      <c r="C99" s="10"/>
      <c r="D99" s="39"/>
      <c r="E99" s="39"/>
      <c r="F99" s="39"/>
      <c r="G99" s="39"/>
      <c r="H99" s="175"/>
      <c r="I99" s="39"/>
      <c r="J99" s="39"/>
      <c r="K99" s="39"/>
      <c r="L99" s="39"/>
    </row>
    <row r="101" spans="1:13" x14ac:dyDescent="0.25">
      <c r="L101" t="s">
        <v>201</v>
      </c>
      <c r="M101" s="2">
        <f>M110+K110-F110</f>
        <v>49.949999999999818</v>
      </c>
    </row>
    <row r="102" spans="1:13" x14ac:dyDescent="0.25">
      <c r="A102" s="297" t="s">
        <v>1</v>
      </c>
      <c r="B102" s="297" t="s">
        <v>2</v>
      </c>
      <c r="C102" s="297" t="s">
        <v>4</v>
      </c>
      <c r="D102" s="299" t="s">
        <v>5</v>
      </c>
      <c r="E102" s="299" t="s">
        <v>94</v>
      </c>
      <c r="F102" s="299" t="s">
        <v>60</v>
      </c>
      <c r="G102" s="297" t="s">
        <v>3</v>
      </c>
      <c r="H102" s="297" t="s">
        <v>6</v>
      </c>
      <c r="I102" s="297" t="s">
        <v>7</v>
      </c>
      <c r="J102" s="297" t="s">
        <v>95</v>
      </c>
      <c r="K102" s="297" t="s">
        <v>61</v>
      </c>
      <c r="L102" s="297" t="s">
        <v>77</v>
      </c>
      <c r="M102" s="297" t="s">
        <v>38</v>
      </c>
    </row>
    <row r="103" spans="1:13" x14ac:dyDescent="0.25">
      <c r="A103" s="300" t="s">
        <v>168</v>
      </c>
      <c r="B103" s="302">
        <v>42376</v>
      </c>
      <c r="C103" s="291">
        <v>50</v>
      </c>
      <c r="D103" s="292">
        <v>55.15</v>
      </c>
      <c r="E103" s="292">
        <v>0</v>
      </c>
      <c r="F103" s="292">
        <f>C103*D103+E103</f>
        <v>2757.5</v>
      </c>
      <c r="G103" s="290">
        <v>42409</v>
      </c>
      <c r="H103" s="295">
        <v>50</v>
      </c>
      <c r="I103" s="292">
        <v>56.15</v>
      </c>
      <c r="J103" s="292">
        <v>0.05</v>
      </c>
      <c r="K103" s="291">
        <f>H103*I103-J103</f>
        <v>2807.45</v>
      </c>
      <c r="L103" s="290"/>
      <c r="M103" s="292"/>
    </row>
    <row r="104" spans="1:13" x14ac:dyDescent="0.25">
      <c r="A104" s="301" t="s">
        <v>71</v>
      </c>
      <c r="B104" s="302"/>
      <c r="C104" s="291"/>
      <c r="D104" s="292"/>
      <c r="E104" s="292"/>
      <c r="F104" s="292"/>
      <c r="G104" s="290"/>
      <c r="H104" s="291"/>
      <c r="I104" s="291"/>
      <c r="J104" s="291"/>
      <c r="K104" s="291"/>
      <c r="L104" s="291"/>
      <c r="M104" s="291"/>
    </row>
    <row r="105" spans="1:13" x14ac:dyDescent="0.25">
      <c r="A105" s="291"/>
      <c r="B105" s="290"/>
      <c r="C105" s="291"/>
      <c r="D105" s="292"/>
      <c r="E105" s="292"/>
      <c r="F105" s="292"/>
      <c r="G105" s="291"/>
      <c r="H105" s="291"/>
      <c r="I105" s="291"/>
      <c r="J105" s="291"/>
      <c r="K105" s="291"/>
      <c r="L105" s="291"/>
      <c r="M105" s="291"/>
    </row>
    <row r="106" spans="1:13" x14ac:dyDescent="0.25">
      <c r="A106" s="291"/>
      <c r="B106" s="290"/>
      <c r="C106" s="291"/>
      <c r="D106" s="292"/>
      <c r="E106" s="292"/>
      <c r="F106" s="292"/>
      <c r="G106" s="291"/>
      <c r="H106" s="291"/>
      <c r="I106" s="291"/>
      <c r="J106" s="291"/>
      <c r="K106" s="291"/>
      <c r="L106" s="291"/>
      <c r="M106" s="291"/>
    </row>
    <row r="107" spans="1:13" x14ac:dyDescent="0.25">
      <c r="A107" s="291"/>
      <c r="B107" s="291"/>
      <c r="C107" s="291"/>
      <c r="D107" s="292"/>
      <c r="E107" s="292"/>
      <c r="F107" s="292"/>
      <c r="G107" s="291"/>
      <c r="H107" s="291"/>
      <c r="I107" s="291"/>
      <c r="J107" s="291"/>
      <c r="K107" s="291"/>
      <c r="L107" s="291"/>
      <c r="M107" s="291"/>
    </row>
    <row r="108" spans="1:13" x14ac:dyDescent="0.25">
      <c r="A108" s="291"/>
      <c r="B108" s="291"/>
      <c r="C108" s="291"/>
      <c r="D108" s="292"/>
      <c r="E108" s="292"/>
      <c r="F108" s="292"/>
      <c r="G108" s="291"/>
      <c r="H108" s="291"/>
      <c r="I108" s="291"/>
      <c r="J108" s="291"/>
      <c r="K108" s="291"/>
      <c r="L108" s="291"/>
      <c r="M108" s="291"/>
    </row>
    <row r="109" spans="1:13" x14ac:dyDescent="0.25">
      <c r="A109" s="291"/>
      <c r="B109" s="291"/>
      <c r="C109" s="291"/>
      <c r="D109" s="292"/>
      <c r="E109" s="292"/>
      <c r="F109" s="292"/>
      <c r="G109" s="291"/>
      <c r="H109" s="291"/>
      <c r="I109" s="291"/>
      <c r="J109" s="291"/>
      <c r="K109" s="291"/>
      <c r="L109" s="291"/>
      <c r="M109" s="291"/>
    </row>
    <row r="110" spans="1:13" x14ac:dyDescent="0.25">
      <c r="A110" s="21" t="s">
        <v>81</v>
      </c>
      <c r="B110" s="12"/>
      <c r="C110" s="12">
        <f>SUM(C103:C109)</f>
        <v>50</v>
      </c>
      <c r="D110" s="13"/>
      <c r="E110" s="13"/>
      <c r="F110" s="13">
        <f>SUM(F103:F109)</f>
        <v>2757.5</v>
      </c>
      <c r="G110" s="12"/>
      <c r="H110" s="12">
        <f>SUM(H103:H106)</f>
        <v>50</v>
      </c>
      <c r="I110" s="12"/>
      <c r="J110" s="12"/>
      <c r="K110" s="12">
        <f>SUM(K103:K106)</f>
        <v>2807.45</v>
      </c>
      <c r="L110" s="12"/>
      <c r="M110" s="13">
        <f>SUM(M103:M106)</f>
        <v>0</v>
      </c>
    </row>
    <row r="111" spans="1:13" x14ac:dyDescent="0.25">
      <c r="A111" s="291"/>
      <c r="B111" s="291"/>
      <c r="C111" s="291"/>
      <c r="D111" s="292"/>
      <c r="E111" s="292"/>
      <c r="F111" s="292"/>
      <c r="G111" s="291"/>
      <c r="H111" s="291"/>
      <c r="I111" s="291"/>
      <c r="J111" s="291"/>
      <c r="K111" s="291"/>
      <c r="L111" s="291"/>
      <c r="M111" s="291"/>
    </row>
  </sheetData>
  <mergeCells count="1">
    <mergeCell ref="O17:P17"/>
  </mergeCells>
  <conditionalFormatting sqref="O18:O38">
    <cfRule type="colorScale" priority="64">
      <colorScale>
        <cfvo type="min"/>
        <cfvo type="percentile" val="50"/>
        <cfvo type="max"/>
        <color rgb="FFF8696B"/>
        <color rgb="FFFFEB84"/>
        <color rgb="FF63BE7B"/>
      </colorScale>
    </cfRule>
  </conditionalFormatting>
  <conditionalFormatting sqref="P18:P38">
    <cfRule type="colorScale" priority="63">
      <colorScale>
        <cfvo type="min"/>
        <cfvo type="percentile" val="50"/>
        <cfvo type="max"/>
        <color rgb="FFF8696B"/>
        <color rgb="FFFFEB84"/>
        <color rgb="FF63BE7B"/>
      </colorScale>
    </cfRule>
  </conditionalFormatting>
  <conditionalFormatting sqref="F31:F67 H31:H67 K76 H76:H78 F76:F78 J98 H98:H99 F98:F99 F91 H91 K91 J66:J94">
    <cfRule type="expression" dxfId="77" priority="59">
      <formula>F31&gt;0</formula>
    </cfRule>
    <cfRule type="expression" dxfId="76" priority="60">
      <formula>F31&lt;0</formula>
    </cfRule>
  </conditionalFormatting>
  <conditionalFormatting sqref="Q8">
    <cfRule type="expression" dxfId="75" priority="53">
      <formula>Q8&gt;0</formula>
    </cfRule>
    <cfRule type="expression" dxfId="74" priority="54">
      <formula>Q8&lt;0</formula>
    </cfRule>
  </conditionalFormatting>
  <conditionalFormatting sqref="Q7">
    <cfRule type="expression" dxfId="73" priority="55">
      <formula>Q7&gt;0</formula>
    </cfRule>
    <cfRule type="expression" dxfId="72" priority="56">
      <formula>Q7&lt;0</formula>
    </cfRule>
  </conditionalFormatting>
  <conditionalFormatting sqref="M101">
    <cfRule type="expression" dxfId="71" priority="51">
      <formula>M101&gt;0</formula>
    </cfRule>
    <cfRule type="expression" dxfId="70" priority="52">
      <formula>M101&lt;0</formula>
    </cfRule>
  </conditionalFormatting>
  <conditionalFormatting sqref="J45">
    <cfRule type="expression" dxfId="69" priority="49">
      <formula>J45&gt;0</formula>
    </cfRule>
    <cfRule type="expression" dxfId="68" priority="50">
      <formula>J45&lt;0</formula>
    </cfRule>
  </conditionalFormatting>
  <conditionalFormatting sqref="J46:J58 J59:K65 K69:K71 K66:K67">
    <cfRule type="expression" dxfId="67" priority="47">
      <formula>J46&gt;0</formula>
    </cfRule>
    <cfRule type="expression" dxfId="66" priority="48">
      <formula>J46&lt;0</formula>
    </cfRule>
  </conditionalFormatting>
  <conditionalFormatting sqref="Q10">
    <cfRule type="expression" dxfId="65" priority="45">
      <formula>Q10&gt;0</formula>
    </cfRule>
    <cfRule type="expression" dxfId="64" priority="46">
      <formula>Q10&lt;0</formula>
    </cfRule>
  </conditionalFormatting>
  <conditionalFormatting sqref="Q9">
    <cfRule type="expression" dxfId="63" priority="43">
      <formula>Q9&gt;0</formula>
    </cfRule>
    <cfRule type="expression" dxfId="62" priority="44">
      <formula>Q9&lt;0</formula>
    </cfRule>
  </conditionalFormatting>
  <conditionalFormatting sqref="F68 H68">
    <cfRule type="expression" dxfId="61" priority="41">
      <formula>F68&gt;0</formula>
    </cfRule>
    <cfRule type="expression" dxfId="60" priority="42">
      <formula>F68&lt;0</formula>
    </cfRule>
  </conditionalFormatting>
  <conditionalFormatting sqref="K68">
    <cfRule type="expression" dxfId="59" priority="39">
      <formula>K68&gt;0</formula>
    </cfRule>
    <cfRule type="expression" dxfId="58" priority="40">
      <formula>K68&lt;0</formula>
    </cfRule>
  </conditionalFormatting>
  <conditionalFormatting sqref="F69 H69">
    <cfRule type="expression" dxfId="57" priority="37">
      <formula>F69&gt;0</formula>
    </cfRule>
    <cfRule type="expression" dxfId="56" priority="38">
      <formula>F69&lt;0</formula>
    </cfRule>
  </conditionalFormatting>
  <conditionalFormatting sqref="F70:F72 H70:H72">
    <cfRule type="expression" dxfId="55" priority="33">
      <formula>F70&gt;0</formula>
    </cfRule>
    <cfRule type="expression" dxfId="54" priority="34">
      <formula>F70&lt;0</formula>
    </cfRule>
  </conditionalFormatting>
  <conditionalFormatting sqref="L59:L63">
    <cfRule type="expression" dxfId="53" priority="29">
      <formula>L59&gt;0</formula>
    </cfRule>
    <cfRule type="expression" dxfId="52" priority="30">
      <formula>L59&lt;0</formula>
    </cfRule>
  </conditionalFormatting>
  <conditionalFormatting sqref="F73:F75 H73:H75">
    <cfRule type="expression" dxfId="51" priority="25">
      <formula>F73&gt;0</formula>
    </cfRule>
    <cfRule type="expression" dxfId="50" priority="26">
      <formula>F73&lt;0</formula>
    </cfRule>
  </conditionalFormatting>
  <conditionalFormatting sqref="K72:K73">
    <cfRule type="expression" dxfId="49" priority="23">
      <formula>K72&gt;0</formula>
    </cfRule>
    <cfRule type="expression" dxfId="48" priority="24">
      <formula>K72&lt;0</formula>
    </cfRule>
  </conditionalFormatting>
  <conditionalFormatting sqref="K77">
    <cfRule type="expression" dxfId="47" priority="19">
      <formula>K77&gt;0</formula>
    </cfRule>
    <cfRule type="expression" dxfId="46" priority="20">
      <formula>K77&lt;0</formula>
    </cfRule>
  </conditionalFormatting>
  <conditionalFormatting sqref="K80 F79:F83 H79:H83">
    <cfRule type="expression" dxfId="45" priority="17">
      <formula>F79&gt;0</formula>
    </cfRule>
    <cfRule type="expression" dxfId="44" priority="18">
      <formula>F79&lt;0</formula>
    </cfRule>
  </conditionalFormatting>
  <conditionalFormatting sqref="K84 F84:F87 H84:H87">
    <cfRule type="expression" dxfId="43" priority="13">
      <formula>F84&gt;0</formula>
    </cfRule>
    <cfRule type="expression" dxfId="42" priority="14">
      <formula>F84&lt;0</formula>
    </cfRule>
  </conditionalFormatting>
  <conditionalFormatting sqref="K88 F88:F90 H88:H90">
    <cfRule type="expression" dxfId="41" priority="9">
      <formula>F88&gt;0</formula>
    </cfRule>
    <cfRule type="expression" dxfId="40" priority="10">
      <formula>F88&lt;0</formula>
    </cfRule>
  </conditionalFormatting>
  <conditionalFormatting sqref="J96 H96:H97 F96:F97">
    <cfRule type="expression" dxfId="39" priority="7">
      <formula>F96&gt;0</formula>
    </cfRule>
    <cfRule type="expression" dxfId="38" priority="8">
      <formula>F96&lt;0</formula>
    </cfRule>
  </conditionalFormatting>
  <conditionalFormatting sqref="H95 F95">
    <cfRule type="expression" dxfId="37" priority="5">
      <formula>F95&gt;0</formula>
    </cfRule>
    <cfRule type="expression" dxfId="36" priority="6">
      <formula>F95&lt;0</formula>
    </cfRule>
  </conditionalFormatting>
  <conditionalFormatting sqref="H92:H94 F92:F94">
    <cfRule type="expression" dxfId="35" priority="3">
      <formula>F92&gt;0</formula>
    </cfRule>
    <cfRule type="expression" dxfId="34" priority="4">
      <formula>F92&lt;0</formula>
    </cfRule>
  </conditionalFormatting>
  <conditionalFormatting sqref="J95">
    <cfRule type="expression" dxfId="33" priority="1">
      <formula>J95&gt;0</formula>
    </cfRule>
    <cfRule type="expression" dxfId="32" priority="2">
      <formula>J95&lt;0</formula>
    </cfRule>
  </conditionalFormatting>
  <hyperlinks>
    <hyperlink ref="A3" location="ACTIVE!A1" display="Back"/>
    <hyperlink ref="A104" location="ACTIVE!A1" display="Back"/>
  </hyperlinks>
  <pageMargins left="0.7" right="0.7" top="0.75" bottom="0.75" header="0.3" footer="0.3"/>
  <drawing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18.5703125" customWidth="1"/>
    <col min="21" max="21" width="35.140625" customWidth="1"/>
    <col min="23" max="23" width="12.7109375" customWidth="1"/>
    <col min="24" max="24" width="8.140625" customWidth="1"/>
    <col min="25" max="27" width="6" bestFit="1" customWidth="1"/>
    <col min="28" max="28" width="10.140625" bestFit="1" customWidth="1"/>
    <col min="29" max="29" width="10.28515625" bestFit="1" customWidth="1"/>
    <col min="30" max="30" width="12.140625" customWidth="1"/>
    <col min="31" max="31" width="12.42578125" customWidth="1"/>
  </cols>
  <sheetData>
    <row r="1" spans="1:31" s="11" customFormat="1" x14ac:dyDescent="0.25">
      <c r="A1" s="11" t="s">
        <v>1</v>
      </c>
      <c r="B1" s="11" t="s">
        <v>2</v>
      </c>
      <c r="C1" s="11" t="s">
        <v>4</v>
      </c>
      <c r="D1" s="20" t="s">
        <v>5</v>
      </c>
      <c r="E1" s="20"/>
      <c r="F1" s="20" t="s">
        <v>60</v>
      </c>
      <c r="G1" s="11" t="s">
        <v>3</v>
      </c>
      <c r="H1" s="11" t="s">
        <v>6</v>
      </c>
      <c r="I1" s="11" t="s">
        <v>7</v>
      </c>
      <c r="K1" s="11" t="s">
        <v>61</v>
      </c>
      <c r="L1" s="11" t="s">
        <v>77</v>
      </c>
      <c r="M1" s="11" t="s">
        <v>38</v>
      </c>
      <c r="W1" s="88" t="s">
        <v>113</v>
      </c>
      <c r="X1" s="88" t="s">
        <v>114</v>
      </c>
      <c r="Y1" s="88" t="s">
        <v>115</v>
      </c>
      <c r="Z1" s="88" t="s">
        <v>116</v>
      </c>
      <c r="AA1" s="88" t="s">
        <v>117</v>
      </c>
      <c r="AB1" s="88" t="s">
        <v>118</v>
      </c>
      <c r="AC1" s="88" t="s">
        <v>119</v>
      </c>
      <c r="AD1" s="11" t="s">
        <v>125</v>
      </c>
      <c r="AE1" s="11" t="s">
        <v>127</v>
      </c>
    </row>
    <row r="2" spans="1:31" x14ac:dyDescent="0.25">
      <c r="A2" s="6" t="s">
        <v>56</v>
      </c>
      <c r="B2" s="154"/>
      <c r="C2" s="4"/>
      <c r="D2" s="3"/>
      <c r="E2" s="3"/>
      <c r="F2" s="3"/>
      <c r="G2" s="69"/>
      <c r="H2" s="4"/>
      <c r="I2" s="3"/>
      <c r="J2" s="4"/>
      <c r="K2" s="4"/>
      <c r="L2" s="69"/>
      <c r="M2" s="3"/>
      <c r="O2" s="11" t="s">
        <v>57</v>
      </c>
      <c r="Q2">
        <f>C18-H18</f>
        <v>0</v>
      </c>
      <c r="T2" s="153"/>
      <c r="W2" s="127">
        <v>42830</v>
      </c>
      <c r="X2" s="10">
        <v>34.619999999999997</v>
      </c>
      <c r="Y2" s="10">
        <v>34.65</v>
      </c>
      <c r="Z2" s="10">
        <v>33.99</v>
      </c>
      <c r="AA2" s="10">
        <v>34</v>
      </c>
      <c r="AB2" s="90">
        <v>10529600</v>
      </c>
      <c r="AC2" s="10">
        <v>34</v>
      </c>
      <c r="AD2" s="2">
        <f>Y2-Z2</f>
        <v>0.65999999999999659</v>
      </c>
      <c r="AE2" s="131">
        <f>AC2/AC3-1</f>
        <v>-7.8786110300554935E-3</v>
      </c>
    </row>
    <row r="3" spans="1:31" x14ac:dyDescent="0.25">
      <c r="A3" s="22" t="s">
        <v>71</v>
      </c>
      <c r="B3" s="154"/>
      <c r="C3" s="4"/>
      <c r="D3" s="3"/>
      <c r="E3" s="3"/>
      <c r="F3" s="3"/>
      <c r="G3" s="69"/>
      <c r="H3" s="4"/>
      <c r="I3" s="4"/>
      <c r="J3" s="4"/>
      <c r="K3" s="4"/>
      <c r="L3" s="4"/>
      <c r="M3" s="4"/>
      <c r="O3" s="11" t="s">
        <v>58</v>
      </c>
      <c r="Q3" s="2">
        <f>IF(Q2=0, Q4, (F18-K18-M18)/Q2)</f>
        <v>37.24</v>
      </c>
      <c r="W3" s="127">
        <v>42829</v>
      </c>
      <c r="X3" s="10">
        <v>33.9</v>
      </c>
      <c r="Y3" s="10">
        <v>34.43</v>
      </c>
      <c r="Z3" s="10">
        <v>33.9</v>
      </c>
      <c r="AA3" s="10">
        <v>34.270000000000003</v>
      </c>
      <c r="AB3" s="90">
        <v>9495100</v>
      </c>
      <c r="AC3" s="10">
        <v>34.270000000000003</v>
      </c>
      <c r="AD3" s="2">
        <f t="shared" ref="AD3:AD66" si="0">Y3-Z3</f>
        <v>0.53000000000000114</v>
      </c>
      <c r="AE3" s="131">
        <f t="shared" ref="AE3:AE66" si="1">AC3/AC4-1</f>
        <v>2.9265437518291026E-3</v>
      </c>
    </row>
    <row r="4" spans="1:31" x14ac:dyDescent="0.25">
      <c r="B4" s="69"/>
      <c r="C4" s="4"/>
      <c r="D4" s="3"/>
      <c r="E4" s="3"/>
      <c r="F4" s="3"/>
      <c r="G4" s="4"/>
      <c r="H4" s="4"/>
      <c r="I4" s="4"/>
      <c r="J4" s="4"/>
      <c r="K4" s="4"/>
      <c r="L4" s="4"/>
      <c r="M4" s="4"/>
      <c r="O4" s="11" t="s">
        <v>66</v>
      </c>
      <c r="Q4" s="53">
        <v>37.24</v>
      </c>
      <c r="R4" s="396">
        <v>-1.3899999999999999E-2</v>
      </c>
      <c r="W4" s="127">
        <v>42828</v>
      </c>
      <c r="X4" s="10">
        <v>35.36</v>
      </c>
      <c r="Y4" s="10">
        <v>35.4</v>
      </c>
      <c r="Z4" s="10">
        <v>33.799999999999997</v>
      </c>
      <c r="AA4" s="10">
        <v>34.17</v>
      </c>
      <c r="AB4" s="90">
        <v>31773500</v>
      </c>
      <c r="AC4" s="10">
        <v>34.17</v>
      </c>
      <c r="AD4" s="2">
        <f t="shared" si="0"/>
        <v>1.6000000000000014</v>
      </c>
      <c r="AE4" s="131">
        <f t="shared" si="1"/>
        <v>-3.3653846153846145E-2</v>
      </c>
    </row>
    <row r="5" spans="1:31" x14ac:dyDescent="0.25">
      <c r="B5" s="69"/>
      <c r="C5" s="4"/>
      <c r="D5" s="3"/>
      <c r="E5" s="3"/>
      <c r="F5" s="3"/>
      <c r="G5" s="4"/>
      <c r="H5" s="4"/>
      <c r="I5" s="4"/>
      <c r="J5" s="4"/>
      <c r="K5" s="4"/>
      <c r="L5" s="4"/>
      <c r="M5" s="4"/>
      <c r="O5" s="11" t="s">
        <v>67</v>
      </c>
      <c r="Q5" s="3">
        <f>Q4*Q2</f>
        <v>0</v>
      </c>
      <c r="W5" s="127">
        <v>42825</v>
      </c>
      <c r="X5" s="10">
        <v>35.35</v>
      </c>
      <c r="Y5" s="10">
        <v>35.51</v>
      </c>
      <c r="Z5" s="10">
        <v>35.270000000000003</v>
      </c>
      <c r="AA5" s="10">
        <v>35.36</v>
      </c>
      <c r="AB5" s="90">
        <v>11761600</v>
      </c>
      <c r="AC5" s="10">
        <v>35.36</v>
      </c>
      <c r="AD5" s="2">
        <f t="shared" si="0"/>
        <v>0.23999999999999488</v>
      </c>
      <c r="AE5" s="131">
        <f t="shared" si="1"/>
        <v>-1.4120304998587185E-3</v>
      </c>
    </row>
    <row r="6" spans="1:31" x14ac:dyDescent="0.25">
      <c r="B6" s="4"/>
      <c r="C6" s="4"/>
      <c r="D6" s="3"/>
      <c r="E6" s="3"/>
      <c r="F6" s="3"/>
      <c r="G6" s="4"/>
      <c r="H6" s="4"/>
      <c r="I6" s="4"/>
      <c r="J6" s="4"/>
      <c r="K6" s="4"/>
      <c r="L6" s="4"/>
      <c r="M6" s="4"/>
      <c r="O6" s="11" t="s">
        <v>64</v>
      </c>
      <c r="Q6" s="2">
        <f>Q3*Q2</f>
        <v>0</v>
      </c>
      <c r="W6" s="127">
        <v>42824</v>
      </c>
      <c r="X6" s="10">
        <v>35.5</v>
      </c>
      <c r="Y6" s="10">
        <v>35.79</v>
      </c>
      <c r="Z6" s="10">
        <v>35.32</v>
      </c>
      <c r="AA6" s="10">
        <v>35.409999999999997</v>
      </c>
      <c r="AB6" s="90">
        <v>8690900</v>
      </c>
      <c r="AC6" s="10">
        <v>35.409999999999997</v>
      </c>
      <c r="AD6" s="2">
        <f t="shared" si="0"/>
        <v>0.46999999999999886</v>
      </c>
      <c r="AE6" s="131">
        <f t="shared" si="1"/>
        <v>-3.6578503095104908E-3</v>
      </c>
    </row>
    <row r="7" spans="1:31" x14ac:dyDescent="0.25">
      <c r="B7" s="4"/>
      <c r="C7" s="4"/>
      <c r="D7" s="3"/>
      <c r="E7" s="3"/>
      <c r="F7" s="3"/>
      <c r="G7" s="4"/>
      <c r="H7" s="4"/>
      <c r="I7" s="4"/>
      <c r="J7" s="4"/>
      <c r="K7" s="4"/>
      <c r="L7" s="4"/>
      <c r="M7" s="4"/>
      <c r="O7" s="11" t="s">
        <v>175</v>
      </c>
      <c r="Q7" s="2">
        <f>Q10+Q8</f>
        <v>36.819999999999709</v>
      </c>
      <c r="R7">
        <v>0</v>
      </c>
      <c r="W7" s="127">
        <v>42823</v>
      </c>
      <c r="X7" s="10">
        <v>35.619999999999997</v>
      </c>
      <c r="Y7" s="10">
        <v>36.06</v>
      </c>
      <c r="Z7" s="10">
        <v>35.520000000000003</v>
      </c>
      <c r="AA7" s="10">
        <v>35.54</v>
      </c>
      <c r="AB7" s="90">
        <v>13864600</v>
      </c>
      <c r="AC7" s="10">
        <v>35.54</v>
      </c>
      <c r="AD7" s="2">
        <f t="shared" si="0"/>
        <v>0.53999999999999915</v>
      </c>
      <c r="AE7" s="131">
        <f t="shared" si="1"/>
        <v>-5.6242969628805817E-4</v>
      </c>
    </row>
    <row r="8" spans="1:31" x14ac:dyDescent="0.25">
      <c r="B8" s="4"/>
      <c r="C8" s="4"/>
      <c r="D8" s="3"/>
      <c r="E8" s="3"/>
      <c r="F8" s="3"/>
      <c r="G8" s="4"/>
      <c r="H8" s="4"/>
      <c r="I8" s="4"/>
      <c r="J8" s="4"/>
      <c r="K8" s="4"/>
      <c r="L8" s="4"/>
      <c r="M8" s="4"/>
      <c r="O8" s="11" t="s">
        <v>177</v>
      </c>
      <c r="P8" s="33"/>
      <c r="Q8" s="2">
        <f>K18+M18-F18+Q2*Q4</f>
        <v>0</v>
      </c>
      <c r="W8" s="127">
        <v>42822</v>
      </c>
      <c r="X8" s="10">
        <v>34.659999999999997</v>
      </c>
      <c r="Y8" s="10">
        <v>36.25</v>
      </c>
      <c r="Z8" s="10">
        <v>34.659999999999997</v>
      </c>
      <c r="AA8" s="10">
        <v>35.56</v>
      </c>
      <c r="AB8" s="90">
        <v>29591300</v>
      </c>
      <c r="AC8" s="10">
        <v>35.56</v>
      </c>
      <c r="AD8" s="2">
        <f t="shared" si="0"/>
        <v>1.5900000000000034</v>
      </c>
      <c r="AE8" s="131">
        <f t="shared" si="1"/>
        <v>2.4488619994238014E-2</v>
      </c>
    </row>
    <row r="9" spans="1:31" x14ac:dyDescent="0.25">
      <c r="B9" s="4"/>
      <c r="C9" s="4"/>
      <c r="D9" s="3"/>
      <c r="E9" s="3"/>
      <c r="F9" s="3"/>
      <c r="G9" s="4"/>
      <c r="H9" s="4"/>
      <c r="I9" s="4"/>
      <c r="J9" s="4"/>
      <c r="K9" s="4"/>
      <c r="L9" s="4"/>
      <c r="M9" s="4"/>
      <c r="O9" s="11" t="s">
        <v>202</v>
      </c>
      <c r="Q9" s="131">
        <f>IF(Q2=0, 0, Q8/Q6)</f>
        <v>0</v>
      </c>
      <c r="W9" s="127">
        <v>42821</v>
      </c>
      <c r="X9" s="10">
        <v>34.28</v>
      </c>
      <c r="Y9" s="10">
        <v>34.75</v>
      </c>
      <c r="Z9" s="10">
        <v>33.97</v>
      </c>
      <c r="AA9" s="10">
        <v>34.71</v>
      </c>
      <c r="AB9" s="90">
        <v>12924200</v>
      </c>
      <c r="AC9" s="10">
        <v>34.71</v>
      </c>
      <c r="AD9" s="2">
        <f t="shared" si="0"/>
        <v>0.78000000000000114</v>
      </c>
      <c r="AE9" s="131">
        <f t="shared" si="1"/>
        <v>4.3402777777776791E-3</v>
      </c>
    </row>
    <row r="10" spans="1:31" x14ac:dyDescent="0.25">
      <c r="B10" s="4"/>
      <c r="C10" s="4"/>
      <c r="D10" s="3"/>
      <c r="E10" s="3"/>
      <c r="F10" s="3"/>
      <c r="G10" s="4"/>
      <c r="H10" s="4"/>
      <c r="I10" s="4"/>
      <c r="J10" s="4"/>
      <c r="K10" s="4"/>
      <c r="L10" s="4"/>
      <c r="M10" s="4"/>
      <c r="O10" s="11" t="s">
        <v>201</v>
      </c>
      <c r="P10" s="33"/>
      <c r="Q10" s="2">
        <f>M29</f>
        <v>36.819999999999709</v>
      </c>
      <c r="W10" s="127">
        <v>42818</v>
      </c>
      <c r="X10" s="10">
        <v>34.4</v>
      </c>
      <c r="Y10" s="10">
        <v>35.07</v>
      </c>
      <c r="Z10" s="10">
        <v>34.08</v>
      </c>
      <c r="AA10" s="10">
        <v>34.56</v>
      </c>
      <c r="AB10" s="90">
        <v>16181400</v>
      </c>
      <c r="AC10" s="10">
        <v>34.56</v>
      </c>
      <c r="AD10" s="2">
        <f t="shared" si="0"/>
        <v>0.99000000000000199</v>
      </c>
      <c r="AE10" s="131">
        <f t="shared" si="1"/>
        <v>8.7565674255694059E-3</v>
      </c>
    </row>
    <row r="11" spans="1:31" x14ac:dyDescent="0.25">
      <c r="O11" s="11" t="s">
        <v>173</v>
      </c>
      <c r="P11" s="33"/>
      <c r="Q11" s="131">
        <f>VALUE(TRIM(CLEAN(MID(U58, FIND("(", U58)+1, 5))))</f>
        <v>4.2999999999999997E-2</v>
      </c>
      <c r="W11" s="127">
        <v>42817</v>
      </c>
      <c r="X11" s="10">
        <v>34</v>
      </c>
      <c r="Y11" s="10">
        <v>34.46</v>
      </c>
      <c r="Z11" s="10">
        <v>33.79</v>
      </c>
      <c r="AA11" s="10">
        <v>34.26</v>
      </c>
      <c r="AB11" s="90">
        <v>14485800</v>
      </c>
      <c r="AC11" s="10">
        <v>34.26</v>
      </c>
      <c r="AD11" s="2">
        <f t="shared" si="0"/>
        <v>0.67000000000000171</v>
      </c>
      <c r="AE11" s="131">
        <f t="shared" si="1"/>
        <v>-3.7801686536784729E-3</v>
      </c>
    </row>
    <row r="12" spans="1:31" x14ac:dyDescent="0.25">
      <c r="W12" s="127">
        <v>42816</v>
      </c>
      <c r="X12" s="10">
        <v>34.31</v>
      </c>
      <c r="Y12" s="10">
        <v>34.61</v>
      </c>
      <c r="Z12" s="10">
        <v>33.96</v>
      </c>
      <c r="AA12" s="10">
        <v>34.39</v>
      </c>
      <c r="AB12" s="90">
        <v>18824700</v>
      </c>
      <c r="AC12" s="10">
        <v>34.39</v>
      </c>
      <c r="AD12" s="2">
        <f t="shared" si="0"/>
        <v>0.64999999999999858</v>
      </c>
      <c r="AE12" s="131">
        <f t="shared" si="1"/>
        <v>-4.6309696092617925E-3</v>
      </c>
    </row>
    <row r="13" spans="1:31" x14ac:dyDescent="0.25">
      <c r="W13" s="127">
        <v>42815</v>
      </c>
      <c r="X13" s="10">
        <v>35.950000000000003</v>
      </c>
      <c r="Y13" s="10">
        <v>35.979999999999997</v>
      </c>
      <c r="Z13" s="10">
        <v>34.47</v>
      </c>
      <c r="AA13" s="10">
        <v>34.549999999999997</v>
      </c>
      <c r="AB13" s="90">
        <v>30648700</v>
      </c>
      <c r="AC13" s="10">
        <v>34.549999999999997</v>
      </c>
      <c r="AD13" s="2">
        <f t="shared" si="0"/>
        <v>1.509999999999998</v>
      </c>
      <c r="AE13" s="131">
        <f t="shared" si="1"/>
        <v>-3.2483898067768191E-2</v>
      </c>
    </row>
    <row r="14" spans="1:31" x14ac:dyDescent="0.25">
      <c r="W14" s="127">
        <v>42814</v>
      </c>
      <c r="X14" s="10">
        <v>36.36</v>
      </c>
      <c r="Y14" s="10">
        <v>36.450000000000003</v>
      </c>
      <c r="Z14" s="10">
        <v>35.6</v>
      </c>
      <c r="AA14" s="10">
        <v>35.71</v>
      </c>
      <c r="AB14" s="90">
        <v>38235800</v>
      </c>
      <c r="AC14" s="10">
        <v>35.71</v>
      </c>
      <c r="AD14" s="2">
        <f t="shared" si="0"/>
        <v>0.85000000000000142</v>
      </c>
      <c r="AE14" s="131">
        <f t="shared" si="1"/>
        <v>-1.7065785851912985E-2</v>
      </c>
    </row>
    <row r="15" spans="1:31" x14ac:dyDescent="0.25">
      <c r="W15" s="127">
        <v>42811</v>
      </c>
      <c r="X15" s="10">
        <v>37.130000000000003</v>
      </c>
      <c r="Y15" s="10">
        <v>37.159999999999997</v>
      </c>
      <c r="Z15" s="10">
        <v>36.299999999999997</v>
      </c>
      <c r="AA15" s="10">
        <v>36.33</v>
      </c>
      <c r="AB15" s="90">
        <v>19499400</v>
      </c>
      <c r="AC15" s="10">
        <v>36.33</v>
      </c>
      <c r="AD15" s="2">
        <f t="shared" si="0"/>
        <v>0.85999999999999943</v>
      </c>
      <c r="AE15" s="131">
        <f t="shared" si="1"/>
        <v>-2.0226537216828433E-2</v>
      </c>
    </row>
    <row r="16" spans="1:31" x14ac:dyDescent="0.25">
      <c r="W16" s="127">
        <v>42810</v>
      </c>
      <c r="X16" s="10">
        <v>37.090000000000003</v>
      </c>
      <c r="Y16" s="10">
        <v>37.119999999999997</v>
      </c>
      <c r="Z16" s="10">
        <v>36.770000000000003</v>
      </c>
      <c r="AA16" s="10">
        <v>37.08</v>
      </c>
      <c r="AB16" s="90">
        <v>12549200</v>
      </c>
      <c r="AC16" s="10">
        <v>37.08</v>
      </c>
      <c r="AD16" s="2">
        <f t="shared" si="0"/>
        <v>0.34999999999999432</v>
      </c>
      <c r="AE16" s="131">
        <f t="shared" si="1"/>
        <v>-2.6961445133477646E-4</v>
      </c>
    </row>
    <row r="17" spans="1:31" x14ac:dyDescent="0.25">
      <c r="W17" s="127">
        <v>42809</v>
      </c>
      <c r="X17" s="10">
        <v>37.07</v>
      </c>
      <c r="Y17" s="10">
        <v>37.159999999999997</v>
      </c>
      <c r="Z17" s="10">
        <v>36.79</v>
      </c>
      <c r="AA17" s="10">
        <v>37.090000000000003</v>
      </c>
      <c r="AB17" s="90">
        <v>27980200</v>
      </c>
      <c r="AC17" s="10">
        <v>37.090000000000003</v>
      </c>
      <c r="AD17" s="2">
        <f t="shared" si="0"/>
        <v>0.36999999999999744</v>
      </c>
      <c r="AE17" s="131">
        <f t="shared" si="1"/>
        <v>3.5173160173160856E-3</v>
      </c>
    </row>
    <row r="18" spans="1:31" x14ac:dyDescent="0.25">
      <c r="A18" s="21" t="s">
        <v>81</v>
      </c>
      <c r="B18" s="12"/>
      <c r="C18" s="12">
        <f>SUM(C2:C17)</f>
        <v>0</v>
      </c>
      <c r="D18" s="13"/>
      <c r="E18" s="13"/>
      <c r="F18" s="13">
        <f>SUM(F2:F17)</f>
        <v>0</v>
      </c>
      <c r="G18" s="12"/>
      <c r="H18" s="12">
        <f>SUM(H2:H5)</f>
        <v>0</v>
      </c>
      <c r="I18" s="12"/>
      <c r="J18" s="12"/>
      <c r="K18" s="12">
        <f>SUM(K2:K5)</f>
        <v>0</v>
      </c>
      <c r="L18" s="12"/>
      <c r="M18" s="13">
        <f>SUM(M2:M5)</f>
        <v>0</v>
      </c>
      <c r="W18" s="127">
        <v>42808</v>
      </c>
      <c r="X18" s="10">
        <v>36.75</v>
      </c>
      <c r="Y18" s="10">
        <v>36.97</v>
      </c>
      <c r="Z18" s="10">
        <v>36.68</v>
      </c>
      <c r="AA18" s="10">
        <v>36.96</v>
      </c>
      <c r="AB18" s="90">
        <v>5820100</v>
      </c>
      <c r="AC18" s="10">
        <v>36.96</v>
      </c>
      <c r="AD18" s="2">
        <f t="shared" si="0"/>
        <v>0.28999999999999915</v>
      </c>
      <c r="AE18" s="131">
        <f t="shared" si="1"/>
        <v>2.4410089503661414E-3</v>
      </c>
    </row>
    <row r="19" spans="1:31" x14ac:dyDescent="0.25">
      <c r="W19" s="127">
        <v>42807</v>
      </c>
      <c r="X19" s="10">
        <v>37</v>
      </c>
      <c r="Y19" s="10">
        <v>37.130000000000003</v>
      </c>
      <c r="Z19" s="10">
        <v>36.83</v>
      </c>
      <c r="AA19" s="10">
        <v>36.869999999999997</v>
      </c>
      <c r="AB19" s="90">
        <v>10092000</v>
      </c>
      <c r="AC19" s="10">
        <v>36.869999999999997</v>
      </c>
      <c r="AD19" s="2">
        <f t="shared" si="0"/>
        <v>0.30000000000000426</v>
      </c>
      <c r="AE19" s="131">
        <f t="shared" si="1"/>
        <v>1.0860711376594612E-3</v>
      </c>
    </row>
    <row r="20" spans="1:31" x14ac:dyDescent="0.25">
      <c r="W20" s="127">
        <v>42804</v>
      </c>
      <c r="X20" s="10">
        <v>37.1</v>
      </c>
      <c r="Y20" s="10">
        <v>37.19</v>
      </c>
      <c r="Z20" s="10">
        <v>36.770000000000003</v>
      </c>
      <c r="AA20" s="10">
        <v>36.83</v>
      </c>
      <c r="AB20" s="90">
        <v>18245100</v>
      </c>
      <c r="AC20" s="10">
        <v>36.83</v>
      </c>
      <c r="AD20" s="2">
        <f t="shared" si="0"/>
        <v>0.4199999999999946</v>
      </c>
      <c r="AE20" s="131">
        <f t="shared" si="1"/>
        <v>0</v>
      </c>
    </row>
    <row r="21" spans="1:31" x14ac:dyDescent="0.25">
      <c r="B21" s="159" t="s">
        <v>113</v>
      </c>
      <c r="C21" s="159" t="s">
        <v>143</v>
      </c>
      <c r="D21" s="160" t="s">
        <v>142</v>
      </c>
      <c r="E21" s="162" t="s">
        <v>144</v>
      </c>
      <c r="F21" s="162" t="s">
        <v>65</v>
      </c>
      <c r="G21" s="173" t="s">
        <v>148</v>
      </c>
      <c r="H21" s="173" t="s">
        <v>88</v>
      </c>
      <c r="I21" s="173" t="s">
        <v>151</v>
      </c>
      <c r="W21" s="127">
        <v>42803</v>
      </c>
      <c r="X21" s="10">
        <v>37.33</v>
      </c>
      <c r="Y21" s="10">
        <v>37.35</v>
      </c>
      <c r="Z21" s="10">
        <v>36.78</v>
      </c>
      <c r="AA21" s="10">
        <v>36.83</v>
      </c>
      <c r="AB21" s="90">
        <v>12703600</v>
      </c>
      <c r="AC21" s="10">
        <v>36.83</v>
      </c>
      <c r="AD21" s="2">
        <f t="shared" si="0"/>
        <v>0.57000000000000028</v>
      </c>
      <c r="AE21" s="131">
        <f t="shared" si="1"/>
        <v>-1.1805741883552545E-2</v>
      </c>
    </row>
    <row r="22" spans="1:31" x14ac:dyDescent="0.25">
      <c r="B22" s="161"/>
      <c r="C22" s="10"/>
      <c r="D22" s="39"/>
      <c r="E22" s="39"/>
      <c r="F22" s="39"/>
      <c r="G22" s="39"/>
      <c r="H22" s="175"/>
      <c r="I22" s="39"/>
      <c r="W22" s="127">
        <v>42802</v>
      </c>
      <c r="X22" s="10">
        <v>37.11</v>
      </c>
      <c r="Y22" s="10">
        <v>37.69</v>
      </c>
      <c r="Z22" s="10">
        <v>37.11</v>
      </c>
      <c r="AA22" s="10">
        <v>37.270000000000003</v>
      </c>
      <c r="AB22" s="90">
        <v>11375600</v>
      </c>
      <c r="AC22" s="10">
        <v>37.270000000000003</v>
      </c>
      <c r="AD22" s="2">
        <f t="shared" si="0"/>
        <v>0.57999999999999829</v>
      </c>
      <c r="AE22" s="131" t="e">
        <f t="shared" si="1"/>
        <v>#DIV/0!</v>
      </c>
    </row>
    <row r="23" spans="1:31" x14ac:dyDescent="0.25">
      <c r="B23" s="161"/>
      <c r="C23" s="10"/>
      <c r="D23" s="39"/>
      <c r="E23" s="39"/>
      <c r="F23" s="39"/>
      <c r="G23" s="39"/>
      <c r="H23" s="175"/>
      <c r="I23" s="39"/>
      <c r="W23" s="127">
        <v>42802</v>
      </c>
      <c r="X23" s="10" t="s">
        <v>181</v>
      </c>
      <c r="Y23" s="10"/>
      <c r="Z23" s="10"/>
      <c r="AA23" s="10"/>
      <c r="AB23" s="90"/>
      <c r="AC23" s="10"/>
      <c r="AD23" s="2">
        <f t="shared" si="0"/>
        <v>0</v>
      </c>
      <c r="AE23" s="131">
        <f t="shared" si="1"/>
        <v>-1</v>
      </c>
    </row>
    <row r="24" spans="1:31" x14ac:dyDescent="0.25">
      <c r="B24" s="161"/>
      <c r="C24" s="10"/>
      <c r="D24" s="39"/>
      <c r="E24" s="39"/>
      <c r="F24" s="39"/>
      <c r="G24" s="39"/>
      <c r="H24" s="175"/>
      <c r="I24" s="39"/>
      <c r="W24" s="127">
        <v>42801</v>
      </c>
      <c r="X24" s="10">
        <v>37.76</v>
      </c>
      <c r="Y24" s="10">
        <v>37.840000000000003</v>
      </c>
      <c r="Z24" s="10">
        <v>37.299999999999997</v>
      </c>
      <c r="AA24" s="10">
        <v>37.520000000000003</v>
      </c>
      <c r="AB24" s="90">
        <v>17247500</v>
      </c>
      <c r="AC24" s="10">
        <v>37.14</v>
      </c>
      <c r="AD24" s="2">
        <f t="shared" si="0"/>
        <v>0.54000000000000625</v>
      </c>
      <c r="AE24" s="131">
        <f t="shared" si="1"/>
        <v>-1.0391686650679466E-2</v>
      </c>
    </row>
    <row r="25" spans="1:31" x14ac:dyDescent="0.25">
      <c r="B25" s="161"/>
      <c r="C25" s="10"/>
      <c r="D25" s="39"/>
      <c r="E25" s="39"/>
      <c r="F25" s="39"/>
      <c r="G25" s="39"/>
      <c r="H25" s="175"/>
      <c r="I25" s="39"/>
      <c r="W25" s="127">
        <v>42800</v>
      </c>
      <c r="X25" s="10">
        <v>37.979999999999997</v>
      </c>
      <c r="Y25" s="10">
        <v>38.549999999999997</v>
      </c>
      <c r="Z25" s="10">
        <v>37.200000000000003</v>
      </c>
      <c r="AA25" s="10">
        <v>37.909999999999997</v>
      </c>
      <c r="AB25" s="90">
        <v>20199100</v>
      </c>
      <c r="AC25" s="10">
        <v>37.53</v>
      </c>
      <c r="AD25" s="2">
        <f t="shared" si="0"/>
        <v>1.3499999999999943</v>
      </c>
      <c r="AE25" s="131">
        <f t="shared" si="1"/>
        <v>-8.1923890063425597E-3</v>
      </c>
    </row>
    <row r="26" spans="1:31" x14ac:dyDescent="0.25">
      <c r="B26" s="161"/>
      <c r="C26" s="10"/>
      <c r="D26" s="39"/>
      <c r="E26" s="39"/>
      <c r="F26" s="39"/>
      <c r="G26" s="39"/>
      <c r="H26" s="175"/>
      <c r="I26" s="39"/>
      <c r="W26" s="127">
        <v>42797</v>
      </c>
      <c r="X26" s="10">
        <v>37.76</v>
      </c>
      <c r="Y26" s="10">
        <v>38.369999999999997</v>
      </c>
      <c r="Z26" s="10">
        <v>37.58</v>
      </c>
      <c r="AA26" s="10">
        <v>38.229999999999997</v>
      </c>
      <c r="AB26" s="90">
        <v>19455500</v>
      </c>
      <c r="AC26" s="10">
        <v>37.840000000000003</v>
      </c>
      <c r="AD26" s="2">
        <f t="shared" si="0"/>
        <v>0.78999999999999915</v>
      </c>
      <c r="AE26" s="131">
        <f t="shared" si="1"/>
        <v>1.2306046013911276E-2</v>
      </c>
    </row>
    <row r="27" spans="1:31" x14ac:dyDescent="0.25">
      <c r="W27" s="127">
        <v>42796</v>
      </c>
      <c r="X27" s="10">
        <v>37.369999999999997</v>
      </c>
      <c r="Y27" s="10">
        <v>38.1</v>
      </c>
      <c r="Z27" s="10">
        <v>37.25</v>
      </c>
      <c r="AA27" s="10">
        <v>37.76</v>
      </c>
      <c r="AB27" s="90">
        <v>14935100</v>
      </c>
      <c r="AC27" s="10">
        <v>37.380000000000003</v>
      </c>
      <c r="AD27" s="2">
        <f t="shared" si="0"/>
        <v>0.85000000000000142</v>
      </c>
      <c r="AE27" s="131">
        <f t="shared" si="1"/>
        <v>8.9068825910931793E-3</v>
      </c>
    </row>
    <row r="28" spans="1:31" x14ac:dyDescent="0.25">
      <c r="W28" s="127">
        <v>42795</v>
      </c>
      <c r="X28" s="10">
        <v>37.200000000000003</v>
      </c>
      <c r="Y28" s="10">
        <v>37.75</v>
      </c>
      <c r="Z28" s="10">
        <v>37.18</v>
      </c>
      <c r="AA28" s="10">
        <v>37.43</v>
      </c>
      <c r="AB28" s="90">
        <v>10702600</v>
      </c>
      <c r="AC28" s="10">
        <v>37.049999999999997</v>
      </c>
      <c r="AD28" s="2">
        <f t="shared" si="0"/>
        <v>0.57000000000000028</v>
      </c>
      <c r="AE28" s="131">
        <f t="shared" si="1"/>
        <v>1.5903482314230777E-2</v>
      </c>
    </row>
    <row r="29" spans="1:31" x14ac:dyDescent="0.25">
      <c r="L29" t="s">
        <v>201</v>
      </c>
      <c r="M29" s="2">
        <f>M47+K47-F47</f>
        <v>36.819999999999709</v>
      </c>
      <c r="W29" s="127">
        <v>42794</v>
      </c>
      <c r="X29" s="10">
        <v>37.15</v>
      </c>
      <c r="Y29" s="10">
        <v>37.22</v>
      </c>
      <c r="Z29" s="10">
        <v>36.549999999999997</v>
      </c>
      <c r="AA29" s="10">
        <v>36.840000000000003</v>
      </c>
      <c r="AB29" s="90">
        <v>10497800</v>
      </c>
      <c r="AC29" s="10">
        <v>36.47</v>
      </c>
      <c r="AD29" s="2">
        <f t="shared" si="0"/>
        <v>0.67000000000000171</v>
      </c>
      <c r="AE29" s="131">
        <f t="shared" si="1"/>
        <v>-1.1385199240986799E-2</v>
      </c>
    </row>
    <row r="30" spans="1:31" x14ac:dyDescent="0.25">
      <c r="A30" s="297" t="s">
        <v>1</v>
      </c>
      <c r="B30" s="297" t="s">
        <v>2</v>
      </c>
      <c r="C30" s="297" t="s">
        <v>4</v>
      </c>
      <c r="D30" s="299" t="s">
        <v>5</v>
      </c>
      <c r="E30" s="299"/>
      <c r="F30" s="299" t="s">
        <v>60</v>
      </c>
      <c r="G30" s="297" t="s">
        <v>3</v>
      </c>
      <c r="H30" s="297" t="s">
        <v>6</v>
      </c>
      <c r="I30" s="297" t="s">
        <v>7</v>
      </c>
      <c r="J30" s="297"/>
      <c r="K30" s="297" t="s">
        <v>61</v>
      </c>
      <c r="L30" s="297" t="s">
        <v>77</v>
      </c>
      <c r="M30" s="297" t="s">
        <v>38</v>
      </c>
      <c r="W30" s="127">
        <v>42793</v>
      </c>
      <c r="X30" s="10">
        <v>36.92</v>
      </c>
      <c r="Y30" s="10">
        <v>37.36</v>
      </c>
      <c r="Z30" s="10">
        <v>36.86</v>
      </c>
      <c r="AA30" s="10">
        <v>37.270000000000003</v>
      </c>
      <c r="AB30" s="90">
        <v>10091800</v>
      </c>
      <c r="AC30" s="10">
        <v>36.89</v>
      </c>
      <c r="AD30" s="2">
        <f t="shared" si="0"/>
        <v>0.5</v>
      </c>
      <c r="AE30" s="131">
        <f t="shared" si="1"/>
        <v>9.8549137695045363E-3</v>
      </c>
    </row>
    <row r="31" spans="1:31" x14ac:dyDescent="0.25">
      <c r="A31" s="300" t="s">
        <v>56</v>
      </c>
      <c r="B31" s="898">
        <v>42220</v>
      </c>
      <c r="C31" s="291">
        <v>40</v>
      </c>
      <c r="D31" s="292">
        <v>31.78</v>
      </c>
      <c r="E31" s="292"/>
      <c r="F31" s="292">
        <f>C31*D31</f>
        <v>1271.2</v>
      </c>
      <c r="G31" s="290">
        <v>42235</v>
      </c>
      <c r="H31" s="291">
        <v>100</v>
      </c>
      <c r="I31" s="292">
        <v>31.5</v>
      </c>
      <c r="J31" s="291">
        <v>0.06</v>
      </c>
      <c r="K31" s="291">
        <f>H31*I31-J31</f>
        <v>3149.94</v>
      </c>
      <c r="L31" s="290">
        <v>42276</v>
      </c>
      <c r="M31" s="292">
        <v>14.4</v>
      </c>
      <c r="W31" s="127">
        <v>42790</v>
      </c>
      <c r="X31" s="10">
        <v>36.869999999999997</v>
      </c>
      <c r="Y31" s="10">
        <v>37.19</v>
      </c>
      <c r="Z31" s="10">
        <v>36.57</v>
      </c>
      <c r="AA31" s="10">
        <v>36.9</v>
      </c>
      <c r="AB31" s="90">
        <v>13060100</v>
      </c>
      <c r="AC31" s="10">
        <v>36.53</v>
      </c>
      <c r="AD31" s="2">
        <f t="shared" si="0"/>
        <v>0.61999999999999744</v>
      </c>
      <c r="AE31" s="131">
        <f t="shared" si="1"/>
        <v>-9.2215893680498429E-3</v>
      </c>
    </row>
    <row r="32" spans="1:31" x14ac:dyDescent="0.25">
      <c r="A32" s="301" t="s">
        <v>71</v>
      </c>
      <c r="B32" s="898"/>
      <c r="C32" s="291">
        <v>60</v>
      </c>
      <c r="D32" s="292">
        <v>31.78</v>
      </c>
      <c r="E32" s="292"/>
      <c r="F32" s="292">
        <f>C32*D32</f>
        <v>1906.8000000000002</v>
      </c>
      <c r="G32" s="290">
        <v>42284</v>
      </c>
      <c r="H32" s="291">
        <v>40</v>
      </c>
      <c r="I32" s="291">
        <v>31.55</v>
      </c>
      <c r="J32" s="291">
        <v>0.02</v>
      </c>
      <c r="K32" s="291">
        <f>H32*I32-J32</f>
        <v>1261.98</v>
      </c>
      <c r="L32" s="291"/>
      <c r="M32" s="291"/>
      <c r="W32" s="127">
        <v>42789</v>
      </c>
      <c r="X32" s="10">
        <v>37.94</v>
      </c>
      <c r="Y32" s="10">
        <v>38.07</v>
      </c>
      <c r="Z32" s="10">
        <v>37.19</v>
      </c>
      <c r="AA32" s="10">
        <v>37.25</v>
      </c>
      <c r="AB32" s="90">
        <v>13179200</v>
      </c>
      <c r="AC32" s="10">
        <v>36.869999999999997</v>
      </c>
      <c r="AD32" s="2">
        <f t="shared" si="0"/>
        <v>0.88000000000000256</v>
      </c>
      <c r="AE32" s="131">
        <f t="shared" si="1"/>
        <v>-1.5750133475707528E-2</v>
      </c>
    </row>
    <row r="33" spans="1:31" x14ac:dyDescent="0.25">
      <c r="A33" s="291"/>
      <c r="B33" s="290">
        <v>42221</v>
      </c>
      <c r="C33" s="291">
        <v>10</v>
      </c>
      <c r="D33" s="292">
        <v>31.45</v>
      </c>
      <c r="E33" s="292"/>
      <c r="F33" s="292">
        <f>C33*D33</f>
        <v>314.5</v>
      </c>
      <c r="G33" s="291"/>
      <c r="H33" s="291"/>
      <c r="I33" s="291"/>
      <c r="J33" s="291"/>
      <c r="K33" s="291"/>
      <c r="L33" s="291"/>
      <c r="M33" s="291"/>
      <c r="W33" s="127">
        <v>42788</v>
      </c>
      <c r="X33" s="10">
        <v>37.89</v>
      </c>
      <c r="Y33" s="10">
        <v>38.1</v>
      </c>
      <c r="Z33" s="10">
        <v>37.799999999999997</v>
      </c>
      <c r="AA33" s="10">
        <v>37.840000000000003</v>
      </c>
      <c r="AB33" s="90">
        <v>9102700</v>
      </c>
      <c r="AC33" s="10">
        <v>37.46</v>
      </c>
      <c r="AD33" s="2">
        <f t="shared" si="0"/>
        <v>0.30000000000000426</v>
      </c>
      <c r="AE33" s="131">
        <f t="shared" si="1"/>
        <v>8.0149612610203036E-4</v>
      </c>
    </row>
    <row r="34" spans="1:31" x14ac:dyDescent="0.25">
      <c r="A34" s="291"/>
      <c r="B34" s="290">
        <v>42233</v>
      </c>
      <c r="C34" s="291">
        <v>30</v>
      </c>
      <c r="D34" s="292">
        <v>29.9</v>
      </c>
      <c r="E34" s="292"/>
      <c r="F34" s="292">
        <f>C34*D34</f>
        <v>897</v>
      </c>
      <c r="G34" s="291"/>
      <c r="H34" s="291"/>
      <c r="I34" s="291"/>
      <c r="J34" s="291"/>
      <c r="K34" s="291"/>
      <c r="L34" s="291"/>
      <c r="M34" s="291"/>
      <c r="W34" s="127">
        <v>42787</v>
      </c>
      <c r="X34" s="10">
        <v>37.6</v>
      </c>
      <c r="Y34" s="10">
        <v>38.1</v>
      </c>
      <c r="Z34" s="10">
        <v>37.42</v>
      </c>
      <c r="AA34" s="10">
        <v>37.81</v>
      </c>
      <c r="AB34" s="90">
        <v>14549200</v>
      </c>
      <c r="AC34" s="10">
        <v>37.43</v>
      </c>
      <c r="AD34" s="2">
        <f t="shared" si="0"/>
        <v>0.67999999999999972</v>
      </c>
      <c r="AE34" s="131">
        <f t="shared" si="1"/>
        <v>1.601520086862096E-2</v>
      </c>
    </row>
    <row r="35" spans="1:31" x14ac:dyDescent="0.25">
      <c r="A35" s="291"/>
      <c r="B35" s="291"/>
      <c r="C35" s="291"/>
      <c r="D35" s="292"/>
      <c r="E35" s="292"/>
      <c r="F35" s="292"/>
      <c r="G35" s="291"/>
      <c r="H35" s="291"/>
      <c r="I35" s="291"/>
      <c r="J35" s="291"/>
      <c r="K35" s="291"/>
      <c r="L35" s="291"/>
      <c r="M35" s="291"/>
      <c r="W35" s="127">
        <v>42783</v>
      </c>
      <c r="X35" s="10">
        <v>36.79</v>
      </c>
      <c r="Y35" s="10">
        <v>37.9</v>
      </c>
      <c r="Z35" s="10">
        <v>36.409999999999997</v>
      </c>
      <c r="AA35" s="10">
        <v>37.22</v>
      </c>
      <c r="AB35" s="90">
        <v>15777400</v>
      </c>
      <c r="AC35" s="10">
        <v>36.840000000000003</v>
      </c>
      <c r="AD35" s="2">
        <f t="shared" si="0"/>
        <v>1.490000000000002</v>
      </c>
      <c r="AE35" s="131">
        <f t="shared" si="1"/>
        <v>5.1841746248295628E-3</v>
      </c>
    </row>
    <row r="36" spans="1:31" x14ac:dyDescent="0.25">
      <c r="A36" s="291"/>
      <c r="B36" s="291"/>
      <c r="C36" s="291"/>
      <c r="D36" s="292"/>
      <c r="E36" s="292"/>
      <c r="F36" s="292"/>
      <c r="G36" s="291"/>
      <c r="H36" s="291"/>
      <c r="I36" s="291"/>
      <c r="J36" s="291"/>
      <c r="K36" s="291"/>
      <c r="L36" s="291"/>
      <c r="M36" s="291"/>
      <c r="W36" s="127">
        <v>42782</v>
      </c>
      <c r="X36" s="10">
        <v>37.11</v>
      </c>
      <c r="Y36" s="10">
        <v>37.159999999999997</v>
      </c>
      <c r="Z36" s="10">
        <v>36.82</v>
      </c>
      <c r="AA36" s="10">
        <v>37.03</v>
      </c>
      <c r="AB36" s="90">
        <v>9369400</v>
      </c>
      <c r="AC36" s="10">
        <v>36.65</v>
      </c>
      <c r="AD36" s="2">
        <f t="shared" si="0"/>
        <v>0.33999999999999631</v>
      </c>
      <c r="AE36" s="131">
        <f t="shared" si="1"/>
        <v>-1.3623978201635634E-3</v>
      </c>
    </row>
    <row r="37" spans="1:31" x14ac:dyDescent="0.25">
      <c r="A37" s="291"/>
      <c r="B37" s="291"/>
      <c r="C37" s="291"/>
      <c r="D37" s="292"/>
      <c r="E37" s="292"/>
      <c r="F37" s="292"/>
      <c r="G37" s="291"/>
      <c r="H37" s="291"/>
      <c r="I37" s="291"/>
      <c r="J37" s="291"/>
      <c r="K37" s="291"/>
      <c r="L37" s="291"/>
      <c r="M37" s="291"/>
      <c r="W37" s="127">
        <v>42781</v>
      </c>
      <c r="X37" s="10">
        <v>36.950000000000003</v>
      </c>
      <c r="Y37" s="10">
        <v>37.11</v>
      </c>
      <c r="Z37" s="10">
        <v>36.6</v>
      </c>
      <c r="AA37" s="10">
        <v>37.08</v>
      </c>
      <c r="AB37" s="90">
        <v>15674400</v>
      </c>
      <c r="AC37" s="10">
        <v>36.700000000000003</v>
      </c>
      <c r="AD37" s="2">
        <f t="shared" si="0"/>
        <v>0.50999999999999801</v>
      </c>
      <c r="AE37" s="131">
        <f t="shared" si="1"/>
        <v>-4.3407487791643495E-3</v>
      </c>
    </row>
    <row r="38" spans="1:31" x14ac:dyDescent="0.25">
      <c r="A38" s="291"/>
      <c r="B38" s="291"/>
      <c r="C38" s="291"/>
      <c r="D38" s="292"/>
      <c r="E38" s="292"/>
      <c r="F38" s="292"/>
      <c r="G38" s="291"/>
      <c r="H38" s="291"/>
      <c r="I38" s="291"/>
      <c r="J38" s="291"/>
      <c r="K38" s="291"/>
      <c r="L38" s="291"/>
      <c r="M38" s="291"/>
      <c r="W38" s="127">
        <v>42780</v>
      </c>
      <c r="X38" s="10">
        <v>36.72</v>
      </c>
      <c r="Y38" s="10">
        <v>37.4</v>
      </c>
      <c r="Z38" s="10">
        <v>36.67</v>
      </c>
      <c r="AA38" s="10">
        <v>37.24</v>
      </c>
      <c r="AB38" s="90">
        <v>31403300</v>
      </c>
      <c r="AC38" s="10">
        <v>36.86</v>
      </c>
      <c r="AD38" s="2">
        <f t="shared" si="0"/>
        <v>0.72999999999999687</v>
      </c>
      <c r="AE38" s="131">
        <f t="shared" si="1"/>
        <v>4.8350398179749732E-2</v>
      </c>
    </row>
    <row r="39" spans="1:31" x14ac:dyDescent="0.25">
      <c r="A39" s="291"/>
      <c r="B39" s="291"/>
      <c r="C39" s="291"/>
      <c r="D39" s="292"/>
      <c r="E39" s="292"/>
      <c r="F39" s="292"/>
      <c r="G39" s="291"/>
      <c r="H39" s="291"/>
      <c r="I39" s="291"/>
      <c r="J39" s="291"/>
      <c r="K39" s="291"/>
      <c r="L39" s="291"/>
      <c r="M39" s="291"/>
      <c r="W39" s="127">
        <v>42779</v>
      </c>
      <c r="X39" s="10">
        <v>35.380000000000003</v>
      </c>
      <c r="Y39" s="10">
        <v>35.54</v>
      </c>
      <c r="Z39" s="10">
        <v>35.18</v>
      </c>
      <c r="AA39" s="10">
        <v>35.520000000000003</v>
      </c>
      <c r="AB39" s="90">
        <v>10141600</v>
      </c>
      <c r="AC39" s="10">
        <v>35.159999999999997</v>
      </c>
      <c r="AD39" s="2">
        <f t="shared" si="0"/>
        <v>0.35999999999999943</v>
      </c>
      <c r="AE39" s="131">
        <f t="shared" si="1"/>
        <v>1.0054582016661762E-2</v>
      </c>
    </row>
    <row r="40" spans="1:31" x14ac:dyDescent="0.25">
      <c r="A40" s="291"/>
      <c r="B40" s="291"/>
      <c r="C40" s="291"/>
      <c r="D40" s="292"/>
      <c r="E40" s="292"/>
      <c r="F40" s="292"/>
      <c r="G40" s="291"/>
      <c r="H40" s="291"/>
      <c r="I40" s="291"/>
      <c r="J40" s="291"/>
      <c r="K40" s="291"/>
      <c r="L40" s="291"/>
      <c r="M40" s="291"/>
      <c r="W40" s="127">
        <v>42776</v>
      </c>
      <c r="X40" s="10">
        <v>35.21</v>
      </c>
      <c r="Y40" s="10">
        <v>35.32</v>
      </c>
      <c r="Z40" s="10">
        <v>35.08</v>
      </c>
      <c r="AA40" s="10">
        <v>35.17</v>
      </c>
      <c r="AB40" s="90">
        <v>10321800</v>
      </c>
      <c r="AC40" s="10">
        <v>34.81</v>
      </c>
      <c r="AD40" s="2">
        <f t="shared" si="0"/>
        <v>0.24000000000000199</v>
      </c>
      <c r="AE40" s="131">
        <f t="shared" si="1"/>
        <v>2.5921658986176599E-3</v>
      </c>
    </row>
    <row r="41" spans="1:31" ht="20.25" thickBot="1" x14ac:dyDescent="0.35">
      <c r="A41" s="291"/>
      <c r="B41" s="291"/>
      <c r="C41" s="291"/>
      <c r="D41" s="292"/>
      <c r="E41" s="292"/>
      <c r="F41" s="292"/>
      <c r="G41" s="291"/>
      <c r="H41" s="291"/>
      <c r="I41" s="291"/>
      <c r="J41" s="291"/>
      <c r="K41" s="291"/>
      <c r="L41" s="291"/>
      <c r="M41" s="291"/>
      <c r="O41" s="886" t="s">
        <v>78</v>
      </c>
      <c r="P41" s="886"/>
      <c r="W41" s="127">
        <v>42775</v>
      </c>
      <c r="X41" s="10">
        <v>35.14</v>
      </c>
      <c r="Y41" s="10">
        <v>35.4</v>
      </c>
      <c r="Z41" s="10">
        <v>35.020000000000003</v>
      </c>
      <c r="AA41" s="10">
        <v>35.08</v>
      </c>
      <c r="AB41" s="90">
        <v>14834000</v>
      </c>
      <c r="AC41" s="10">
        <v>34.72</v>
      </c>
      <c r="AD41" s="2">
        <f t="shared" si="0"/>
        <v>0.37999999999999545</v>
      </c>
      <c r="AE41" s="131">
        <f t="shared" si="1"/>
        <v>-1.7251293847039273E-3</v>
      </c>
    </row>
    <row r="42" spans="1:31" ht="21" thickTop="1" thickBot="1" x14ac:dyDescent="0.35">
      <c r="A42" s="291"/>
      <c r="B42" s="291"/>
      <c r="C42" s="291"/>
      <c r="D42" s="292"/>
      <c r="E42" s="292"/>
      <c r="F42" s="292"/>
      <c r="G42" s="291"/>
      <c r="H42" s="291"/>
      <c r="I42" s="291"/>
      <c r="J42" s="291"/>
      <c r="K42" s="291"/>
      <c r="L42" s="291"/>
      <c r="M42" s="291"/>
      <c r="O42" s="78">
        <v>1.1000000000000001</v>
      </c>
      <c r="P42" s="78">
        <f>O42*$Q$4</f>
        <v>40.964000000000006</v>
      </c>
      <c r="Q42" s="2"/>
      <c r="T42" s="86" t="s">
        <v>112</v>
      </c>
      <c r="W42" s="127">
        <v>42774</v>
      </c>
      <c r="X42" s="10">
        <v>35.200000000000003</v>
      </c>
      <c r="Y42" s="10">
        <v>35.33</v>
      </c>
      <c r="Z42" s="10">
        <v>34.72</v>
      </c>
      <c r="AA42" s="10">
        <v>35.14</v>
      </c>
      <c r="AB42" s="90">
        <v>16867300</v>
      </c>
      <c r="AC42" s="10">
        <v>34.78</v>
      </c>
      <c r="AD42" s="2">
        <f t="shared" si="0"/>
        <v>0.60999999999999943</v>
      </c>
      <c r="AE42" s="131">
        <f t="shared" si="1"/>
        <v>1.1514104778354017E-3</v>
      </c>
    </row>
    <row r="43" spans="1:31" ht="15.75" thickTop="1" x14ac:dyDescent="0.25">
      <c r="A43" s="291"/>
      <c r="B43" s="291"/>
      <c r="C43" s="291"/>
      <c r="D43" s="292"/>
      <c r="E43" s="292"/>
      <c r="F43" s="292"/>
      <c r="G43" s="291"/>
      <c r="H43" s="291"/>
      <c r="I43" s="291"/>
      <c r="J43" s="291"/>
      <c r="K43" s="291"/>
      <c r="L43" s="291"/>
      <c r="M43" s="291"/>
      <c r="O43" s="78">
        <v>1.0900000000000001</v>
      </c>
      <c r="P43" s="78">
        <f t="shared" ref="P43:P62" si="2">O43*$Q$4</f>
        <v>40.591600000000007</v>
      </c>
      <c r="Q43" s="2"/>
      <c r="T43" s="151" t="s">
        <v>97</v>
      </c>
      <c r="U43" s="151">
        <v>34.270000000000003</v>
      </c>
      <c r="W43" s="127">
        <v>42773</v>
      </c>
      <c r="X43" s="10">
        <v>35.75</v>
      </c>
      <c r="Y43" s="10">
        <v>35.96</v>
      </c>
      <c r="Z43" s="10">
        <v>34.799999999999997</v>
      </c>
      <c r="AA43" s="10">
        <v>35.1</v>
      </c>
      <c r="AB43" s="90">
        <v>39477700</v>
      </c>
      <c r="AC43" s="10">
        <v>34.74</v>
      </c>
      <c r="AD43" s="2">
        <f t="shared" si="0"/>
        <v>1.1600000000000037</v>
      </c>
      <c r="AE43" s="131">
        <f t="shared" si="1"/>
        <v>-4.7174986286341203E-2</v>
      </c>
    </row>
    <row r="44" spans="1:31" x14ac:dyDescent="0.25">
      <c r="A44" s="291"/>
      <c r="B44" s="291"/>
      <c r="C44" s="291"/>
      <c r="D44" s="292"/>
      <c r="E44" s="292"/>
      <c r="F44" s="292"/>
      <c r="G44" s="291"/>
      <c r="H44" s="291"/>
      <c r="I44" s="291"/>
      <c r="J44" s="291"/>
      <c r="K44" s="291"/>
      <c r="L44" s="291"/>
      <c r="M44" s="291"/>
      <c r="O44" s="78">
        <v>1.08</v>
      </c>
      <c r="P44" s="78">
        <f t="shared" si="2"/>
        <v>40.219200000000008</v>
      </c>
      <c r="Q44" s="2"/>
      <c r="T44" s="10" t="s">
        <v>98</v>
      </c>
      <c r="U44" s="10">
        <v>34.619999999999997</v>
      </c>
      <c r="W44" s="127">
        <v>42772</v>
      </c>
      <c r="X44" s="10">
        <v>36.409999999999997</v>
      </c>
      <c r="Y44" s="10">
        <v>36.83</v>
      </c>
      <c r="Z44" s="10">
        <v>36.26</v>
      </c>
      <c r="AA44" s="10">
        <v>36.83</v>
      </c>
      <c r="AB44" s="90">
        <v>13941200</v>
      </c>
      <c r="AC44" s="10">
        <v>36.46</v>
      </c>
      <c r="AD44" s="2">
        <f t="shared" si="0"/>
        <v>0.57000000000000028</v>
      </c>
      <c r="AE44" s="131">
        <f t="shared" si="1"/>
        <v>1.3904338153504003E-2</v>
      </c>
    </row>
    <row r="45" spans="1:31" x14ac:dyDescent="0.25">
      <c r="A45" s="291"/>
      <c r="B45" s="291"/>
      <c r="C45" s="291"/>
      <c r="D45" s="292"/>
      <c r="E45" s="292"/>
      <c r="F45" s="292"/>
      <c r="G45" s="291"/>
      <c r="H45" s="291"/>
      <c r="I45" s="291"/>
      <c r="J45" s="291"/>
      <c r="K45" s="291"/>
      <c r="L45" s="291"/>
      <c r="M45" s="291"/>
      <c r="O45" s="78">
        <v>1.07</v>
      </c>
      <c r="P45" s="78">
        <f t="shared" si="2"/>
        <v>39.846800000000002</v>
      </c>
      <c r="Q45" s="2"/>
      <c r="T45" s="10" t="s">
        <v>99</v>
      </c>
      <c r="U45" s="10" t="s">
        <v>128</v>
      </c>
      <c r="W45" s="127">
        <v>42769</v>
      </c>
      <c r="X45" s="10">
        <v>35.92</v>
      </c>
      <c r="Y45" s="10">
        <v>36.33</v>
      </c>
      <c r="Z45" s="10">
        <v>35.68</v>
      </c>
      <c r="AA45" s="10">
        <v>36.33</v>
      </c>
      <c r="AB45" s="90">
        <v>13962200</v>
      </c>
      <c r="AC45" s="10">
        <v>35.96</v>
      </c>
      <c r="AD45" s="2">
        <f t="shared" si="0"/>
        <v>0.64999999999999858</v>
      </c>
      <c r="AE45" s="131">
        <f t="shared" si="1"/>
        <v>1.668080294034513E-2</v>
      </c>
    </row>
    <row r="46" spans="1:31" x14ac:dyDescent="0.25">
      <c r="A46" s="291"/>
      <c r="B46" s="291"/>
      <c r="C46" s="291"/>
      <c r="D46" s="292"/>
      <c r="E46" s="292"/>
      <c r="F46" s="292"/>
      <c r="G46" s="291"/>
      <c r="H46" s="291"/>
      <c r="I46" s="291"/>
      <c r="J46" s="291"/>
      <c r="K46" s="291"/>
      <c r="L46" s="291"/>
      <c r="M46" s="291"/>
      <c r="O46" s="78">
        <v>1.06</v>
      </c>
      <c r="P46" s="78">
        <f t="shared" si="2"/>
        <v>39.474400000000003</v>
      </c>
      <c r="Q46" s="2"/>
      <c r="T46" s="10" t="s">
        <v>100</v>
      </c>
      <c r="U46" s="10" t="s">
        <v>128</v>
      </c>
      <c r="W46" s="127">
        <v>42768</v>
      </c>
      <c r="X46" s="10">
        <v>36.08</v>
      </c>
      <c r="Y46" s="10">
        <v>36.14</v>
      </c>
      <c r="Z46" s="10">
        <v>35.47</v>
      </c>
      <c r="AA46" s="10">
        <v>35.729999999999997</v>
      </c>
      <c r="AB46" s="90">
        <v>11893700</v>
      </c>
      <c r="AC46" s="10">
        <v>35.369999999999997</v>
      </c>
      <c r="AD46" s="2">
        <f t="shared" si="0"/>
        <v>0.67000000000000171</v>
      </c>
      <c r="AE46" s="131">
        <f t="shared" si="1"/>
        <v>-1.1182555213866574E-2</v>
      </c>
    </row>
    <row r="47" spans="1:31" x14ac:dyDescent="0.25">
      <c r="A47" s="21" t="s">
        <v>81</v>
      </c>
      <c r="B47" s="12"/>
      <c r="C47" s="12">
        <f>SUM(C31:C46)</f>
        <v>140</v>
      </c>
      <c r="D47" s="13"/>
      <c r="E47" s="13"/>
      <c r="F47" s="13">
        <f>SUM(F31:F46)</f>
        <v>4389.5</v>
      </c>
      <c r="G47" s="12"/>
      <c r="H47" s="12">
        <f>SUM(H31:H34)</f>
        <v>140</v>
      </c>
      <c r="I47" s="12"/>
      <c r="J47" s="12"/>
      <c r="K47" s="12">
        <f>SUM(K31:K34)</f>
        <v>4411.92</v>
      </c>
      <c r="L47" s="12"/>
      <c r="M47" s="13">
        <f>SUM(M31:M34)</f>
        <v>14.4</v>
      </c>
      <c r="O47" s="78">
        <v>1.05</v>
      </c>
      <c r="P47" s="78">
        <f t="shared" si="2"/>
        <v>39.102000000000004</v>
      </c>
      <c r="Q47" s="2"/>
      <c r="T47" s="10" t="s">
        <v>101</v>
      </c>
      <c r="U47" s="10">
        <v>39.520000000000003</v>
      </c>
      <c r="W47" s="127">
        <v>42767</v>
      </c>
      <c r="X47" s="10">
        <v>36.68</v>
      </c>
      <c r="Y47" s="10">
        <v>37.11</v>
      </c>
      <c r="Z47" s="10">
        <v>35.86</v>
      </c>
      <c r="AA47" s="10">
        <v>36.14</v>
      </c>
      <c r="AB47" s="90">
        <v>13744100</v>
      </c>
      <c r="AC47" s="10">
        <v>35.770000000000003</v>
      </c>
      <c r="AD47" s="2">
        <f t="shared" si="0"/>
        <v>1.25</v>
      </c>
      <c r="AE47" s="131">
        <f t="shared" si="1"/>
        <v>-1.2969094922737234E-2</v>
      </c>
    </row>
    <row r="48" spans="1:31" x14ac:dyDescent="0.25">
      <c r="O48" s="78">
        <v>1.04</v>
      </c>
      <c r="P48" s="78">
        <f t="shared" si="2"/>
        <v>38.729600000000005</v>
      </c>
      <c r="Q48" s="2"/>
      <c r="T48" s="10" t="s">
        <v>102</v>
      </c>
      <c r="U48" s="10">
        <v>1.6486700000000001</v>
      </c>
      <c r="W48" s="127">
        <v>42766</v>
      </c>
      <c r="X48" s="10">
        <v>36.25</v>
      </c>
      <c r="Y48" s="10">
        <v>36.65</v>
      </c>
      <c r="Z48" s="10">
        <v>36.119999999999997</v>
      </c>
      <c r="AA48" s="10">
        <v>36.61</v>
      </c>
      <c r="AB48" s="90">
        <v>10679000</v>
      </c>
      <c r="AC48" s="10">
        <v>36.24</v>
      </c>
      <c r="AD48" s="2">
        <f t="shared" si="0"/>
        <v>0.53000000000000114</v>
      </c>
      <c r="AE48" s="131">
        <f t="shared" si="1"/>
        <v>7.7864293659621886E-3</v>
      </c>
    </row>
    <row r="49" spans="15:31" x14ac:dyDescent="0.25">
      <c r="O49" s="78">
        <v>1.03</v>
      </c>
      <c r="P49" s="78">
        <f t="shared" si="2"/>
        <v>38.357200000000006</v>
      </c>
      <c r="Q49" s="2"/>
      <c r="T49" s="10" t="s">
        <v>103</v>
      </c>
      <c r="U49" s="10" t="s">
        <v>478</v>
      </c>
      <c r="W49" s="127">
        <v>42765</v>
      </c>
      <c r="X49" s="10">
        <v>36.840000000000003</v>
      </c>
      <c r="Y49" s="10">
        <v>36.9</v>
      </c>
      <c r="Z49" s="10">
        <v>36.130000000000003</v>
      </c>
      <c r="AA49" s="10">
        <v>36.33</v>
      </c>
      <c r="AB49" s="90">
        <v>11787700</v>
      </c>
      <c r="AC49" s="10">
        <v>35.96</v>
      </c>
      <c r="AD49" s="2">
        <f t="shared" si="0"/>
        <v>0.76999999999999602</v>
      </c>
      <c r="AE49" s="131">
        <f t="shared" si="1"/>
        <v>-1.8558951965065518E-2</v>
      </c>
    </row>
    <row r="50" spans="15:31" x14ac:dyDescent="0.25">
      <c r="O50" s="78">
        <v>1.02</v>
      </c>
      <c r="P50" s="78">
        <f t="shared" si="2"/>
        <v>37.9848</v>
      </c>
      <c r="Q50" s="2"/>
      <c r="T50" s="10"/>
      <c r="U50" s="10"/>
      <c r="W50" s="127">
        <v>42762</v>
      </c>
      <c r="X50" s="10">
        <v>37.520000000000003</v>
      </c>
      <c r="Y50" s="10">
        <v>37.590000000000003</v>
      </c>
      <c r="Z50" s="10">
        <v>36.880000000000003</v>
      </c>
      <c r="AA50" s="10">
        <v>37.01</v>
      </c>
      <c r="AB50" s="90">
        <v>10228600</v>
      </c>
      <c r="AC50" s="10">
        <v>36.64</v>
      </c>
      <c r="AD50" s="2">
        <f t="shared" si="0"/>
        <v>0.71000000000000085</v>
      </c>
      <c r="AE50" s="131">
        <f t="shared" si="1"/>
        <v>-1.3462574044157294E-2</v>
      </c>
    </row>
    <row r="51" spans="15:31" x14ac:dyDescent="0.25">
      <c r="O51" s="78">
        <v>1.01</v>
      </c>
      <c r="P51" s="78">
        <f t="shared" si="2"/>
        <v>37.612400000000001</v>
      </c>
      <c r="Q51" s="2"/>
      <c r="T51" s="10" t="s">
        <v>104</v>
      </c>
      <c r="U51" s="10" t="s">
        <v>589</v>
      </c>
      <c r="W51" s="127">
        <v>42761</v>
      </c>
      <c r="X51" s="10">
        <v>38.1</v>
      </c>
      <c r="Y51" s="10">
        <v>38.25</v>
      </c>
      <c r="Z51" s="10">
        <v>37.369999999999997</v>
      </c>
      <c r="AA51" s="10">
        <v>37.520000000000003</v>
      </c>
      <c r="AB51" s="90">
        <v>10813400</v>
      </c>
      <c r="AC51" s="10">
        <v>37.14</v>
      </c>
      <c r="AD51" s="2">
        <f t="shared" si="0"/>
        <v>0.88000000000000256</v>
      </c>
      <c r="AE51" s="131">
        <f t="shared" si="1"/>
        <v>-1.9794140934283444E-2</v>
      </c>
    </row>
    <row r="52" spans="15:31" x14ac:dyDescent="0.25">
      <c r="O52" s="78">
        <v>1</v>
      </c>
      <c r="P52" s="78">
        <f t="shared" si="2"/>
        <v>37.24</v>
      </c>
      <c r="Q52" s="2"/>
      <c r="T52" s="10" t="s">
        <v>105</v>
      </c>
      <c r="U52" s="10" t="s">
        <v>437</v>
      </c>
      <c r="W52" s="127">
        <v>42760</v>
      </c>
      <c r="X52" s="10">
        <v>37.71</v>
      </c>
      <c r="Y52" s="10">
        <v>38.380000000000003</v>
      </c>
      <c r="Z52" s="10">
        <v>37.6</v>
      </c>
      <c r="AA52" s="10">
        <v>38.28</v>
      </c>
      <c r="AB52" s="90">
        <v>20745200</v>
      </c>
      <c r="AC52" s="10">
        <v>37.89</v>
      </c>
      <c r="AD52" s="2">
        <f t="shared" si="0"/>
        <v>0.78000000000000114</v>
      </c>
      <c r="AE52" s="131">
        <f t="shared" si="1"/>
        <v>3.4398034398034349E-2</v>
      </c>
    </row>
    <row r="53" spans="15:31" x14ac:dyDescent="0.25">
      <c r="O53" s="78">
        <v>0.99</v>
      </c>
      <c r="P53" s="78">
        <f t="shared" si="2"/>
        <v>36.867600000000003</v>
      </c>
      <c r="Q53" s="2"/>
      <c r="T53" s="10" t="s">
        <v>106</v>
      </c>
      <c r="U53" s="90">
        <v>10664248</v>
      </c>
      <c r="W53" s="127">
        <v>42759</v>
      </c>
      <c r="X53" s="10">
        <v>36.700000000000003</v>
      </c>
      <c r="Y53" s="10">
        <v>37.24</v>
      </c>
      <c r="Z53" s="10">
        <v>36.68</v>
      </c>
      <c r="AA53" s="10">
        <v>37</v>
      </c>
      <c r="AB53" s="90">
        <v>11600300</v>
      </c>
      <c r="AC53" s="10">
        <v>36.630000000000003</v>
      </c>
      <c r="AD53" s="2">
        <f t="shared" si="0"/>
        <v>0.56000000000000227</v>
      </c>
      <c r="AE53" s="131">
        <f t="shared" si="1"/>
        <v>9.6471885336273377E-3</v>
      </c>
    </row>
    <row r="54" spans="15:31" x14ac:dyDescent="0.25">
      <c r="O54" s="78">
        <v>0.98</v>
      </c>
      <c r="P54" s="78">
        <f t="shared" si="2"/>
        <v>36.495200000000004</v>
      </c>
      <c r="Q54" s="2"/>
      <c r="T54" s="10" t="s">
        <v>109</v>
      </c>
      <c r="U54" s="90">
        <v>15730900</v>
      </c>
      <c r="W54" s="127">
        <v>42758</v>
      </c>
      <c r="X54" s="10">
        <v>37.01</v>
      </c>
      <c r="Y54" s="10">
        <v>37.130000000000003</v>
      </c>
      <c r="Z54" s="10">
        <v>36.380000000000003</v>
      </c>
      <c r="AA54" s="10">
        <v>36.65</v>
      </c>
      <c r="AB54" s="90">
        <v>11624500</v>
      </c>
      <c r="AC54" s="10">
        <v>36.28</v>
      </c>
      <c r="AD54" s="2">
        <f t="shared" si="0"/>
        <v>0.75</v>
      </c>
      <c r="AE54" s="131">
        <f t="shared" si="1"/>
        <v>-9.8253275109170257E-3</v>
      </c>
    </row>
    <row r="55" spans="15:31" x14ac:dyDescent="0.25">
      <c r="O55" s="78">
        <v>0.97</v>
      </c>
      <c r="P55" s="78">
        <f t="shared" si="2"/>
        <v>36.122799999999998</v>
      </c>
      <c r="T55" s="10" t="s">
        <v>107</v>
      </c>
      <c r="U55" s="10" t="s">
        <v>590</v>
      </c>
      <c r="W55" s="127">
        <v>42755</v>
      </c>
      <c r="X55" s="10">
        <v>37.42</v>
      </c>
      <c r="Y55" s="10">
        <v>37.42</v>
      </c>
      <c r="Z55" s="10">
        <v>36.76</v>
      </c>
      <c r="AA55" s="10">
        <v>37.01</v>
      </c>
      <c r="AB55" s="90">
        <v>14001500</v>
      </c>
      <c r="AC55" s="10">
        <v>36.64</v>
      </c>
      <c r="AD55" s="2">
        <f t="shared" si="0"/>
        <v>0.66000000000000369</v>
      </c>
      <c r="AE55" s="131">
        <f t="shared" si="1"/>
        <v>-7.5839653304442534E-3</v>
      </c>
    </row>
    <row r="56" spans="15:31" x14ac:dyDescent="0.25">
      <c r="O56" s="78">
        <v>0.96</v>
      </c>
      <c r="P56" s="78">
        <f t="shared" si="2"/>
        <v>35.750399999999999</v>
      </c>
      <c r="T56" s="10" t="s">
        <v>110</v>
      </c>
      <c r="U56" s="10">
        <v>5.67</v>
      </c>
      <c r="W56" s="127">
        <v>42754</v>
      </c>
      <c r="X56" s="10">
        <v>37.630000000000003</v>
      </c>
      <c r="Y56" s="10">
        <v>37.840000000000003</v>
      </c>
      <c r="Z56" s="10">
        <v>37.159999999999997</v>
      </c>
      <c r="AA56" s="10">
        <v>37.299999999999997</v>
      </c>
      <c r="AB56" s="90">
        <v>8262700</v>
      </c>
      <c r="AC56" s="10">
        <v>36.92</v>
      </c>
      <c r="AD56" s="2">
        <f t="shared" si="0"/>
        <v>0.68000000000000682</v>
      </c>
      <c r="AE56" s="131">
        <f t="shared" si="1"/>
        <v>-4.5834456726880912E-3</v>
      </c>
    </row>
    <row r="57" spans="15:31" x14ac:dyDescent="0.25">
      <c r="O57" s="78">
        <v>0.95</v>
      </c>
      <c r="P57" s="78">
        <f t="shared" si="2"/>
        <v>35.378</v>
      </c>
      <c r="T57" s="10" t="s">
        <v>111</v>
      </c>
      <c r="U57" s="10">
        <v>6</v>
      </c>
      <c r="W57" s="127">
        <v>42753</v>
      </c>
      <c r="X57" s="10">
        <v>37.450000000000003</v>
      </c>
      <c r="Y57" s="10">
        <v>37.58</v>
      </c>
      <c r="Z57" s="10">
        <v>37.119999999999997</v>
      </c>
      <c r="AA57" s="10">
        <v>37.47</v>
      </c>
      <c r="AB57" s="90">
        <v>11220100</v>
      </c>
      <c r="AC57" s="10">
        <v>37.090000000000003</v>
      </c>
      <c r="AD57" s="2">
        <f t="shared" si="0"/>
        <v>0.46000000000000085</v>
      </c>
      <c r="AE57" s="131">
        <f t="shared" si="1"/>
        <v>4.3325209856486246E-3</v>
      </c>
    </row>
    <row r="58" spans="15:31" x14ac:dyDescent="0.25">
      <c r="O58" s="78">
        <v>0.94</v>
      </c>
      <c r="P58" s="78">
        <f t="shared" si="2"/>
        <v>35.005600000000001</v>
      </c>
      <c r="T58" s="10" t="s">
        <v>108</v>
      </c>
      <c r="U58" s="10" t="s">
        <v>502</v>
      </c>
      <c r="W58" s="127">
        <v>42752</v>
      </c>
      <c r="X58" s="10">
        <v>37.340000000000003</v>
      </c>
      <c r="Y58" s="10">
        <v>37.69</v>
      </c>
      <c r="Z58" s="10">
        <v>37.17</v>
      </c>
      <c r="AA58" s="10">
        <v>37.31</v>
      </c>
      <c r="AB58" s="90">
        <v>8225700</v>
      </c>
      <c r="AC58" s="10">
        <v>36.93</v>
      </c>
      <c r="AD58" s="2">
        <f t="shared" si="0"/>
        <v>0.51999999999999602</v>
      </c>
      <c r="AE58" s="131">
        <f t="shared" si="1"/>
        <v>-8.116883116883189E-4</v>
      </c>
    </row>
    <row r="59" spans="15:31" x14ac:dyDescent="0.25">
      <c r="O59" s="78">
        <v>0.93</v>
      </c>
      <c r="P59" s="78">
        <f t="shared" si="2"/>
        <v>34.633200000000002</v>
      </c>
      <c r="W59" s="127">
        <v>42748</v>
      </c>
      <c r="X59" s="10">
        <v>37.549999999999997</v>
      </c>
      <c r="Y59" s="10">
        <v>37.770000000000003</v>
      </c>
      <c r="Z59" s="10">
        <v>37.15</v>
      </c>
      <c r="AA59" s="10">
        <v>37.340000000000003</v>
      </c>
      <c r="AB59" s="90">
        <v>8748800</v>
      </c>
      <c r="AC59" s="10">
        <v>36.96</v>
      </c>
      <c r="AD59" s="2">
        <f t="shared" si="0"/>
        <v>0.62000000000000455</v>
      </c>
      <c r="AE59" s="131">
        <f t="shared" si="1"/>
        <v>-4.5785079450579858E-3</v>
      </c>
    </row>
    <row r="60" spans="15:31" x14ac:dyDescent="0.25">
      <c r="O60" s="78">
        <v>0.92</v>
      </c>
      <c r="P60" s="78">
        <f t="shared" si="2"/>
        <v>34.260800000000003</v>
      </c>
      <c r="W60" s="127">
        <v>42747</v>
      </c>
      <c r="X60" s="10">
        <v>38</v>
      </c>
      <c r="Y60" s="10">
        <v>38.15</v>
      </c>
      <c r="Z60" s="10">
        <v>37.06</v>
      </c>
      <c r="AA60" s="10">
        <v>37.51</v>
      </c>
      <c r="AB60" s="90">
        <v>16830200</v>
      </c>
      <c r="AC60" s="10">
        <v>37.130000000000003</v>
      </c>
      <c r="AD60" s="2">
        <f t="shared" si="0"/>
        <v>1.0899999999999963</v>
      </c>
      <c r="AE60" s="131">
        <f t="shared" si="1"/>
        <v>-1.1711471919084282E-2</v>
      </c>
    </row>
    <row r="61" spans="15:31" x14ac:dyDescent="0.25">
      <c r="O61" s="78">
        <v>0.91</v>
      </c>
      <c r="P61" s="78">
        <f t="shared" si="2"/>
        <v>33.888400000000004</v>
      </c>
      <c r="W61" s="127">
        <v>42746</v>
      </c>
      <c r="X61" s="10">
        <v>37.54</v>
      </c>
      <c r="Y61" s="10">
        <v>38.11</v>
      </c>
      <c r="Z61" s="10">
        <v>37.22</v>
      </c>
      <c r="AA61" s="10">
        <v>37.950000000000003</v>
      </c>
      <c r="AB61" s="90">
        <v>19553900</v>
      </c>
      <c r="AC61" s="10">
        <v>37.57</v>
      </c>
      <c r="AD61" s="2">
        <f t="shared" si="0"/>
        <v>0.89000000000000057</v>
      </c>
      <c r="AE61" s="131">
        <f t="shared" si="1"/>
        <v>1.6229375169056093E-2</v>
      </c>
    </row>
    <row r="62" spans="15:31" x14ac:dyDescent="0.25">
      <c r="O62" s="78">
        <v>0.9</v>
      </c>
      <c r="P62" s="78">
        <f t="shared" si="2"/>
        <v>33.516000000000005</v>
      </c>
      <c r="W62" s="127">
        <v>42745</v>
      </c>
      <c r="X62" s="10">
        <v>36.19</v>
      </c>
      <c r="Y62" s="10">
        <v>38.159999999999997</v>
      </c>
      <c r="Z62" s="10">
        <v>36.049999999999997</v>
      </c>
      <c r="AA62" s="10">
        <v>37.35</v>
      </c>
      <c r="AB62" s="90">
        <v>34804500</v>
      </c>
      <c r="AC62" s="10">
        <v>36.97</v>
      </c>
      <c r="AD62" s="2">
        <f t="shared" si="0"/>
        <v>2.1099999999999994</v>
      </c>
      <c r="AE62" s="131">
        <f t="shared" si="1"/>
        <v>3.7026647966339477E-2</v>
      </c>
    </row>
    <row r="63" spans="15:31" x14ac:dyDescent="0.25">
      <c r="W63" s="127">
        <v>42744</v>
      </c>
      <c r="X63" s="10">
        <v>36.119999999999997</v>
      </c>
      <c r="Y63" s="10">
        <v>36.53</v>
      </c>
      <c r="Z63" s="10">
        <v>35.86</v>
      </c>
      <c r="AA63" s="10">
        <v>36.01</v>
      </c>
      <c r="AB63" s="90">
        <v>15201300</v>
      </c>
      <c r="AC63" s="10">
        <v>35.65</v>
      </c>
      <c r="AD63" s="2">
        <f t="shared" si="0"/>
        <v>0.67000000000000171</v>
      </c>
      <c r="AE63" s="131">
        <f t="shared" si="1"/>
        <v>5.6132472635406216E-4</v>
      </c>
    </row>
    <row r="64" spans="15:31" x14ac:dyDescent="0.25">
      <c r="W64" s="127">
        <v>42741</v>
      </c>
      <c r="X64" s="10">
        <v>36.409999999999997</v>
      </c>
      <c r="Y64" s="10">
        <v>36.549999999999997</v>
      </c>
      <c r="Z64" s="10">
        <v>35.93</v>
      </c>
      <c r="AA64" s="10">
        <v>35.99</v>
      </c>
      <c r="AB64" s="90">
        <v>13240100</v>
      </c>
      <c r="AC64" s="10">
        <v>35.630000000000003</v>
      </c>
      <c r="AD64" s="2">
        <f t="shared" si="0"/>
        <v>0.61999999999999744</v>
      </c>
      <c r="AE64" s="131">
        <f t="shared" si="1"/>
        <v>-1.0827318156579668E-2</v>
      </c>
    </row>
    <row r="65" spans="23:31" x14ac:dyDescent="0.25">
      <c r="W65" s="127">
        <v>42740</v>
      </c>
      <c r="X65" s="10">
        <v>37.01</v>
      </c>
      <c r="Y65" s="10">
        <v>37.049999999999997</v>
      </c>
      <c r="Z65" s="10">
        <v>36.07</v>
      </c>
      <c r="AA65" s="10">
        <v>36.39</v>
      </c>
      <c r="AB65" s="90">
        <v>15636700</v>
      </c>
      <c r="AC65" s="10">
        <v>36.020000000000003</v>
      </c>
      <c r="AD65" s="2">
        <f t="shared" si="0"/>
        <v>0.97999999999999687</v>
      </c>
      <c r="AE65" s="131">
        <f t="shared" si="1"/>
        <v>-1.8795968400980634E-2</v>
      </c>
    </row>
    <row r="66" spans="23:31" x14ac:dyDescent="0.25">
      <c r="W66" s="127">
        <v>42739</v>
      </c>
      <c r="X66" s="10">
        <v>35.6</v>
      </c>
      <c r="Y66" s="10">
        <v>37.24</v>
      </c>
      <c r="Z66" s="10">
        <v>35.47</v>
      </c>
      <c r="AA66" s="10">
        <v>37.090000000000003</v>
      </c>
      <c r="AB66" s="90">
        <v>23388500</v>
      </c>
      <c r="AC66" s="10">
        <v>36.71</v>
      </c>
      <c r="AD66" s="2">
        <f t="shared" si="0"/>
        <v>1.7700000000000031</v>
      </c>
      <c r="AE66" s="131">
        <f t="shared" si="1"/>
        <v>5.5188272492095569E-2</v>
      </c>
    </row>
    <row r="67" spans="23:31" x14ac:dyDescent="0.25">
      <c r="W67" s="127">
        <v>42738</v>
      </c>
      <c r="X67" s="10">
        <v>34.979999999999997</v>
      </c>
      <c r="Y67" s="10">
        <v>35.57</v>
      </c>
      <c r="Z67" s="10">
        <v>34.840000000000003</v>
      </c>
      <c r="AA67" s="10">
        <v>35.15</v>
      </c>
      <c r="AB67" s="90">
        <v>10904900</v>
      </c>
      <c r="AC67" s="10">
        <v>34.79</v>
      </c>
      <c r="AD67" s="2">
        <f>Y67-Z67</f>
        <v>0.72999999999999687</v>
      </c>
      <c r="AE67" s="131">
        <f>AC67/AC68-1</f>
        <v>8.6981733835893582E-3</v>
      </c>
    </row>
    <row r="68" spans="23:31" x14ac:dyDescent="0.25">
      <c r="W68" s="127">
        <v>42734</v>
      </c>
      <c r="X68" s="10">
        <v>35.21</v>
      </c>
      <c r="Y68" s="10">
        <v>35.31</v>
      </c>
      <c r="Z68" s="10">
        <v>34.67</v>
      </c>
      <c r="AA68" s="10">
        <v>34.840000000000003</v>
      </c>
      <c r="AB68" s="90">
        <v>7646100</v>
      </c>
      <c r="AC68" s="10">
        <v>34.49</v>
      </c>
      <c r="AD68" s="2">
        <f>Y68-Z68</f>
        <v>0.64000000000000057</v>
      </c>
      <c r="AE68" s="131" t="e">
        <f>AC68/AC69-1</f>
        <v>#DIV/0!</v>
      </c>
    </row>
    <row r="69" spans="23:31" x14ac:dyDescent="0.25">
      <c r="W69" s="127" t="s">
        <v>120</v>
      </c>
      <c r="X69" s="10"/>
      <c r="Y69" s="10"/>
      <c r="Z69" s="10"/>
      <c r="AA69" s="10"/>
      <c r="AB69" s="90"/>
      <c r="AC69" s="10"/>
      <c r="AD69" s="2">
        <f>Y69-Z69</f>
        <v>0</v>
      </c>
      <c r="AE69" s="131" t="e">
        <f>AC69/AC70-1</f>
        <v>#DIV/0!</v>
      </c>
    </row>
  </sheetData>
  <mergeCells count="2">
    <mergeCell ref="O41:P41"/>
    <mergeCell ref="B31:B32"/>
  </mergeCells>
  <conditionalFormatting sqref="O42:O62">
    <cfRule type="colorScale" priority="12">
      <colorScale>
        <cfvo type="min"/>
        <cfvo type="percentile" val="50"/>
        <cfvo type="max"/>
        <color rgb="FFF8696B"/>
        <color rgb="FFFFEB84"/>
        <color rgb="FF63BE7B"/>
      </colorScale>
    </cfRule>
  </conditionalFormatting>
  <conditionalFormatting sqref="P42:P62">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{C0F0EC49-C7D9-4D00-9525-4F1FD932C715}</x14:id>
        </ext>
      </extLst>
    </cfRule>
  </conditionalFormatting>
  <conditionalFormatting sqref="AE1:AE69">
    <cfRule type="iconSet" priority="9">
      <iconSet iconSet="3Arrows">
        <cfvo type="percent" val="0"/>
        <cfvo type="num" val="0"/>
        <cfvo type="num" val="0"/>
      </iconSet>
    </cfRule>
  </conditionalFormatting>
  <conditionalFormatting sqref="F22:F26">
    <cfRule type="expression" dxfId="31" priority="7">
      <formula>F22&gt;0</formula>
    </cfRule>
    <cfRule type="expression" dxfId="30" priority="8">
      <formula>F22&lt;0</formula>
    </cfRule>
  </conditionalFormatting>
  <conditionalFormatting sqref="H22:H26">
    <cfRule type="expression" dxfId="29" priority="5">
      <formula>H22&gt;0</formula>
    </cfRule>
    <cfRule type="expression" dxfId="28" priority="6">
      <formula>H22&lt;0</formula>
    </cfRule>
  </conditionalFormatting>
  <conditionalFormatting sqref="Q8">
    <cfRule type="expression" dxfId="27" priority="1">
      <formula>Q8&gt;0</formula>
    </cfRule>
    <cfRule type="expression" dxfId="26" priority="2">
      <formula>Q8&lt;0</formula>
    </cfRule>
  </conditionalFormatting>
  <conditionalFormatting sqref="Q7">
    <cfRule type="expression" dxfId="25" priority="3">
      <formula>Q7&gt;0</formula>
    </cfRule>
    <cfRule type="expression" dxfId="24" priority="4">
      <formula>Q7&lt;0</formula>
    </cfRule>
  </conditionalFormatting>
  <hyperlinks>
    <hyperlink ref="A3" location="ACTIVE!A1" display="Back"/>
    <hyperlink ref="A32"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C0F0EC49-C7D9-4D00-9525-4F1FD932C71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AQ69"/>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5" max="5" width="9.140625" style="2"/>
    <col min="7" max="7" width="9.7109375" bestFit="1" customWidth="1"/>
    <col min="18" max="18" width="10.7109375" bestFit="1" customWidth="1"/>
    <col min="20" max="20" width="18.5703125" bestFit="1" customWidth="1"/>
    <col min="21" max="21" width="36" style="81" bestFit="1" customWidth="1"/>
    <col min="23" max="23" width="15.42578125" customWidth="1"/>
    <col min="24" max="24" width="13.140625" bestFit="1" customWidth="1"/>
    <col min="25" max="27" width="7"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79"/>
      <c r="W1" s="88" t="s">
        <v>113</v>
      </c>
      <c r="X1" s="88" t="s">
        <v>114</v>
      </c>
      <c r="Y1" s="88" t="s">
        <v>115</v>
      </c>
      <c r="Z1" s="88" t="s">
        <v>116</v>
      </c>
      <c r="AA1" s="88" t="s">
        <v>117</v>
      </c>
      <c r="AB1" s="88" t="s">
        <v>118</v>
      </c>
      <c r="AC1" s="88" t="s">
        <v>119</v>
      </c>
      <c r="AD1" s="11" t="s">
        <v>125</v>
      </c>
      <c r="AE1" s="11" t="s">
        <v>127</v>
      </c>
      <c r="AI1" s="11" t="s">
        <v>152</v>
      </c>
      <c r="AJ1" s="11" t="s">
        <v>153</v>
      </c>
      <c r="AK1" s="11" t="s">
        <v>154</v>
      </c>
      <c r="AL1" s="11" t="s">
        <v>155</v>
      </c>
      <c r="AO1" s="11" t="s">
        <v>156</v>
      </c>
      <c r="AP1" s="11" t="s">
        <v>59</v>
      </c>
      <c r="AQ1" s="11" t="s">
        <v>158</v>
      </c>
    </row>
    <row r="2" spans="1:43" x14ac:dyDescent="0.25">
      <c r="A2" s="6" t="s">
        <v>0</v>
      </c>
      <c r="B2" s="69"/>
      <c r="C2" s="4"/>
      <c r="D2" s="3"/>
      <c r="E2" s="3"/>
      <c r="F2" s="3"/>
      <c r="G2" s="69"/>
      <c r="H2" s="4"/>
      <c r="I2" s="3"/>
      <c r="J2" s="3"/>
      <c r="K2" s="3"/>
      <c r="L2" s="69"/>
      <c r="M2" s="3"/>
      <c r="O2" s="11" t="s">
        <v>57</v>
      </c>
      <c r="Q2">
        <f>C18-H18</f>
        <v>0</v>
      </c>
      <c r="T2" s="1">
        <v>42305</v>
      </c>
      <c r="U2" s="81" t="s">
        <v>138</v>
      </c>
      <c r="W2" s="127">
        <v>42830</v>
      </c>
      <c r="X2" s="10">
        <v>153.27000000000001</v>
      </c>
      <c r="Y2" s="10">
        <v>154.09</v>
      </c>
      <c r="Z2" s="10">
        <v>152.63</v>
      </c>
      <c r="AA2" s="10">
        <v>152.76</v>
      </c>
      <c r="AB2" s="90">
        <v>1998500</v>
      </c>
      <c r="AC2" s="10">
        <v>152.76</v>
      </c>
      <c r="AD2" s="2"/>
      <c r="AE2" s="131"/>
      <c r="AP2" t="s">
        <v>157</v>
      </c>
    </row>
    <row r="3" spans="1:43" x14ac:dyDescent="0.25">
      <c r="A3" s="22" t="s">
        <v>71</v>
      </c>
      <c r="B3" s="69"/>
      <c r="C3" s="4"/>
      <c r="D3" s="3"/>
      <c r="E3" s="3"/>
      <c r="F3" s="3"/>
      <c r="G3" s="69"/>
      <c r="H3" s="158"/>
      <c r="I3" s="3"/>
      <c r="J3" s="3"/>
      <c r="K3" s="3"/>
      <c r="L3" s="69"/>
      <c r="M3" s="3"/>
      <c r="O3" s="11" t="s">
        <v>58</v>
      </c>
      <c r="Q3" s="174">
        <f>IF(Q2=0, Q4, (F18-K18-M18)/Q2)</f>
        <v>290.45</v>
      </c>
      <c r="W3" s="127">
        <v>42829</v>
      </c>
      <c r="X3" s="10">
        <v>154.47</v>
      </c>
      <c r="Y3" s="10">
        <v>154.96</v>
      </c>
      <c r="Z3" s="10">
        <v>152.51</v>
      </c>
      <c r="AA3" s="10">
        <v>152.72</v>
      </c>
      <c r="AB3" s="90">
        <v>2701200</v>
      </c>
      <c r="AC3" s="10">
        <v>152.72</v>
      </c>
      <c r="AD3" s="2"/>
      <c r="AE3" s="131"/>
      <c r="AI3" t="s">
        <v>165</v>
      </c>
      <c r="AJ3">
        <v>90</v>
      </c>
      <c r="AK3">
        <v>28.4</v>
      </c>
      <c r="AL3" s="178">
        <v>2556</v>
      </c>
      <c r="AO3" s="178">
        <v>2894.4</v>
      </c>
      <c r="AP3">
        <v>338.4</v>
      </c>
      <c r="AQ3">
        <v>13.24</v>
      </c>
    </row>
    <row r="4" spans="1:43" x14ac:dyDescent="0.25">
      <c r="B4" s="69"/>
      <c r="C4" s="4"/>
      <c r="D4" s="3"/>
      <c r="E4" s="3"/>
      <c r="F4" s="3"/>
      <c r="G4" s="69"/>
      <c r="H4" s="158"/>
      <c r="I4" s="4"/>
      <c r="J4" s="3"/>
      <c r="K4" s="3"/>
      <c r="L4" s="4"/>
      <c r="M4" s="4"/>
      <c r="O4" s="11" t="s">
        <v>66</v>
      </c>
      <c r="Q4" s="53">
        <v>290.45</v>
      </c>
      <c r="R4" s="396">
        <v>6.4999999999999997E-3</v>
      </c>
      <c r="W4" s="127">
        <v>42828</v>
      </c>
      <c r="X4" s="10">
        <v>153.6</v>
      </c>
      <c r="Y4" s="10">
        <v>155.21</v>
      </c>
      <c r="Z4" s="10">
        <v>153.5</v>
      </c>
      <c r="AA4" s="10">
        <v>154.58000000000001</v>
      </c>
      <c r="AB4" s="90">
        <v>2084800</v>
      </c>
      <c r="AC4" s="10">
        <v>154.58000000000001</v>
      </c>
      <c r="AD4" s="2"/>
      <c r="AE4" s="131"/>
    </row>
    <row r="5" spans="1:43" x14ac:dyDescent="0.25">
      <c r="B5" s="69"/>
      <c r="C5" s="4"/>
      <c r="D5" s="3"/>
      <c r="E5" s="3"/>
      <c r="F5" s="3"/>
      <c r="G5" s="4"/>
      <c r="H5" s="158"/>
      <c r="I5" s="3"/>
      <c r="J5" s="3"/>
      <c r="K5" s="4"/>
      <c r="L5" s="4"/>
      <c r="M5" s="4"/>
      <c r="O5" s="11" t="s">
        <v>67</v>
      </c>
      <c r="Q5" s="3">
        <f>Q4*Q2</f>
        <v>0</v>
      </c>
      <c r="W5" s="127">
        <v>42825</v>
      </c>
      <c r="X5" s="10">
        <v>153.38999999999999</v>
      </c>
      <c r="Y5" s="10">
        <v>154.15</v>
      </c>
      <c r="Z5" s="10">
        <v>153.22</v>
      </c>
      <c r="AA5" s="10">
        <v>153.6</v>
      </c>
      <c r="AB5" s="90">
        <v>1219100</v>
      </c>
      <c r="AC5" s="10">
        <v>153.6</v>
      </c>
      <c r="AD5" s="2"/>
      <c r="AE5" s="131"/>
    </row>
    <row r="6" spans="1:43" x14ac:dyDescent="0.25">
      <c r="B6" s="69"/>
      <c r="C6" s="4"/>
      <c r="D6" s="3"/>
      <c r="E6" s="3"/>
      <c r="F6" s="3"/>
      <c r="G6" s="4"/>
      <c r="H6" s="4"/>
      <c r="I6" s="4"/>
      <c r="J6" s="4"/>
      <c r="K6" s="4"/>
      <c r="L6" s="4"/>
      <c r="M6" s="4"/>
      <c r="O6" s="11" t="s">
        <v>64</v>
      </c>
      <c r="Q6" s="2">
        <f>Q3*Q2</f>
        <v>0</v>
      </c>
      <c r="W6" s="127">
        <v>42824</v>
      </c>
      <c r="X6" s="10">
        <v>154.1</v>
      </c>
      <c r="Y6" s="10">
        <v>154.71</v>
      </c>
      <c r="Z6" s="10">
        <v>153.44999999999999</v>
      </c>
      <c r="AA6" s="10">
        <v>153.91</v>
      </c>
      <c r="AB6" s="90">
        <v>1054200</v>
      </c>
      <c r="AC6" s="10">
        <v>153.91</v>
      </c>
      <c r="AD6" s="2"/>
      <c r="AE6" s="131"/>
    </row>
    <row r="7" spans="1:43" x14ac:dyDescent="0.25">
      <c r="B7" s="69"/>
      <c r="C7" s="4"/>
      <c r="D7" s="3"/>
      <c r="E7" s="3"/>
      <c r="F7" s="3"/>
      <c r="G7" s="4"/>
      <c r="H7" s="4"/>
      <c r="I7" s="4"/>
      <c r="J7" s="4"/>
      <c r="K7" s="4"/>
      <c r="L7" s="4"/>
      <c r="M7" s="4"/>
      <c r="O7" s="11" t="s">
        <v>175</v>
      </c>
      <c r="Q7" s="2">
        <f>Q10+Q8</f>
        <v>465.57999999999993</v>
      </c>
      <c r="R7">
        <v>0</v>
      </c>
      <c r="W7" s="127">
        <v>42823</v>
      </c>
      <c r="X7" s="10">
        <v>154.35</v>
      </c>
      <c r="Y7" s="10">
        <v>154.59</v>
      </c>
      <c r="Z7" s="10">
        <v>152.94</v>
      </c>
      <c r="AA7" s="10">
        <v>153.97999999999999</v>
      </c>
      <c r="AB7" s="90">
        <v>1075000</v>
      </c>
      <c r="AC7" s="10">
        <v>153.97999999999999</v>
      </c>
      <c r="AD7" s="2"/>
      <c r="AE7" s="131"/>
    </row>
    <row r="8" spans="1:43" x14ac:dyDescent="0.25">
      <c r="B8" s="69"/>
      <c r="C8" s="4"/>
      <c r="D8" s="3"/>
      <c r="E8" s="3"/>
      <c r="F8" s="3"/>
      <c r="G8" s="4"/>
      <c r="H8" s="4"/>
      <c r="I8" s="4"/>
      <c r="J8" s="4"/>
      <c r="K8" s="4"/>
      <c r="O8" s="11" t="s">
        <v>177</v>
      </c>
      <c r="P8" s="33"/>
      <c r="Q8" s="2">
        <f>K18+M18-F18+Q2*Q4</f>
        <v>0</v>
      </c>
      <c r="W8" s="127">
        <v>42822</v>
      </c>
      <c r="X8" s="10">
        <v>154.63999999999999</v>
      </c>
      <c r="Y8" s="10">
        <v>155.38</v>
      </c>
      <c r="Z8" s="10">
        <v>153.54</v>
      </c>
      <c r="AA8" s="10">
        <v>154.63999999999999</v>
      </c>
      <c r="AB8" s="90">
        <v>1113900</v>
      </c>
      <c r="AC8" s="10">
        <v>154.63999999999999</v>
      </c>
      <c r="AD8" s="2"/>
      <c r="AE8" s="131"/>
    </row>
    <row r="9" spans="1:43" x14ac:dyDescent="0.25">
      <c r="B9" s="69"/>
      <c r="C9" s="4"/>
      <c r="D9" s="3"/>
      <c r="E9" s="3"/>
      <c r="F9" s="3"/>
      <c r="G9" s="4"/>
      <c r="H9" s="4"/>
      <c r="I9" s="4"/>
      <c r="J9" s="4"/>
      <c r="K9" s="4"/>
      <c r="O9" s="11" t="s">
        <v>202</v>
      </c>
      <c r="Q9" s="131">
        <f>IF(Q2=0, 0, Q8/Q6)</f>
        <v>0</v>
      </c>
      <c r="W9" s="127">
        <v>42821</v>
      </c>
      <c r="X9" s="10">
        <v>153.44</v>
      </c>
      <c r="Y9" s="10">
        <v>155.35</v>
      </c>
      <c r="Z9" s="10">
        <v>152.61000000000001</v>
      </c>
      <c r="AA9" s="10">
        <v>154.59</v>
      </c>
      <c r="AB9" s="90">
        <v>1418600</v>
      </c>
      <c r="AC9" s="10">
        <v>154.59</v>
      </c>
      <c r="AD9" s="2"/>
      <c r="AE9" s="131"/>
    </row>
    <row r="10" spans="1:43" x14ac:dyDescent="0.25">
      <c r="O10" s="11" t="s">
        <v>201</v>
      </c>
      <c r="P10" s="33"/>
      <c r="Q10" s="2">
        <f>M43</f>
        <v>465.57999999999993</v>
      </c>
      <c r="W10" s="127">
        <v>42818</v>
      </c>
      <c r="X10" s="10">
        <v>154.43</v>
      </c>
      <c r="Y10" s="10">
        <v>155.66999999999999</v>
      </c>
      <c r="Z10" s="10">
        <v>153.69</v>
      </c>
      <c r="AA10" s="10">
        <v>154.04</v>
      </c>
      <c r="AB10" s="90">
        <v>1939000</v>
      </c>
      <c r="AC10" s="10">
        <v>154.04</v>
      </c>
      <c r="AD10" s="2"/>
      <c r="AE10" s="131"/>
    </row>
    <row r="11" spans="1:43" x14ac:dyDescent="0.25">
      <c r="O11" s="11" t="s">
        <v>173</v>
      </c>
      <c r="P11" s="33"/>
      <c r="Q11" s="131">
        <f>IF(U58="N/A (N/A)", 0, VALUE(TRIM(CLEAN(MID(U58, FIND("(", U58)+1, 5)))))</f>
        <v>3.8999999999999998E-3</v>
      </c>
      <c r="W11" s="127">
        <v>42817</v>
      </c>
      <c r="X11" s="10">
        <v>155.30000000000001</v>
      </c>
      <c r="Y11" s="10">
        <v>155.94999999999999</v>
      </c>
      <c r="Z11" s="10">
        <v>154.02000000000001</v>
      </c>
      <c r="AA11" s="10">
        <v>154.65</v>
      </c>
      <c r="AB11" s="90">
        <v>1643400</v>
      </c>
      <c r="AC11" s="10">
        <v>154.65</v>
      </c>
      <c r="AD11" s="2"/>
      <c r="AE11" s="131"/>
    </row>
    <row r="12" spans="1:43" x14ac:dyDescent="0.25">
      <c r="W12" s="127">
        <v>42816</v>
      </c>
      <c r="X12" s="10">
        <v>155.79</v>
      </c>
      <c r="Y12" s="10">
        <v>156.5</v>
      </c>
      <c r="Z12" s="10">
        <v>154.33000000000001</v>
      </c>
      <c r="AA12" s="10">
        <v>155.33000000000001</v>
      </c>
      <c r="AB12" s="90">
        <v>1309600</v>
      </c>
      <c r="AC12" s="10">
        <v>155.33000000000001</v>
      </c>
      <c r="AD12" s="2"/>
      <c r="AE12" s="131"/>
    </row>
    <row r="13" spans="1:43" x14ac:dyDescent="0.25">
      <c r="W13" s="127">
        <v>42815</v>
      </c>
      <c r="X13" s="10">
        <v>157.47</v>
      </c>
      <c r="Y13" s="10">
        <v>157.69999999999999</v>
      </c>
      <c r="Z13" s="10">
        <v>154.36000000000001</v>
      </c>
      <c r="AA13" s="10">
        <v>155.54</v>
      </c>
      <c r="AB13" s="90">
        <v>1593400</v>
      </c>
      <c r="AC13" s="10">
        <v>155.54</v>
      </c>
      <c r="AD13" s="2"/>
      <c r="AE13" s="131"/>
    </row>
    <row r="14" spans="1:43" x14ac:dyDescent="0.25">
      <c r="W14" s="127">
        <v>42814</v>
      </c>
      <c r="X14" s="10">
        <v>158.13999999999999</v>
      </c>
      <c r="Y14" s="10">
        <v>158.4</v>
      </c>
      <c r="Z14" s="10">
        <v>156.36000000000001</v>
      </c>
      <c r="AA14" s="10">
        <v>156.74</v>
      </c>
      <c r="AB14" s="90">
        <v>1280600</v>
      </c>
      <c r="AC14" s="10">
        <v>156.74</v>
      </c>
      <c r="AD14" s="2"/>
      <c r="AE14" s="131"/>
    </row>
    <row r="15" spans="1:43" x14ac:dyDescent="0.25">
      <c r="W15" s="127">
        <v>42811</v>
      </c>
      <c r="X15" s="10">
        <v>158.54</v>
      </c>
      <c r="Y15" s="10">
        <v>159.09</v>
      </c>
      <c r="Z15" s="10">
        <v>156.38</v>
      </c>
      <c r="AA15" s="10">
        <v>157.88999999999999</v>
      </c>
      <c r="AB15" s="90">
        <v>2654100</v>
      </c>
      <c r="AC15" s="10">
        <v>157.88999999999999</v>
      </c>
      <c r="AD15" s="2"/>
      <c r="AE15" s="131"/>
    </row>
    <row r="16" spans="1:43" x14ac:dyDescent="0.25">
      <c r="W16" s="127">
        <v>42810</v>
      </c>
      <c r="X16" s="10">
        <v>158.03</v>
      </c>
      <c r="Y16" s="10">
        <v>159.5</v>
      </c>
      <c r="Z16" s="10">
        <v>156.85</v>
      </c>
      <c r="AA16" s="10">
        <v>158.02000000000001</v>
      </c>
      <c r="AB16" s="90">
        <v>3208700</v>
      </c>
      <c r="AC16" s="10">
        <v>158.02000000000001</v>
      </c>
      <c r="AD16" s="2"/>
      <c r="AE16" s="131"/>
    </row>
    <row r="17" spans="1:31" x14ac:dyDescent="0.25">
      <c r="W17" s="127">
        <v>42809</v>
      </c>
      <c r="X17" s="10">
        <v>158.59</v>
      </c>
      <c r="Y17" s="10">
        <v>161.66</v>
      </c>
      <c r="Z17" s="10">
        <v>158.36000000000001</v>
      </c>
      <c r="AA17" s="10">
        <v>161.05000000000001</v>
      </c>
      <c r="AB17" s="90">
        <v>2548200</v>
      </c>
      <c r="AC17" s="10">
        <v>161.05000000000001</v>
      </c>
      <c r="AD17" s="2"/>
      <c r="AE17" s="131"/>
    </row>
    <row r="18" spans="1:31" x14ac:dyDescent="0.25">
      <c r="A18" s="31" t="s">
        <v>81</v>
      </c>
      <c r="B18" s="14"/>
      <c r="C18" s="14">
        <f>SUM(C2:C9)</f>
        <v>0</v>
      </c>
      <c r="D18" s="14"/>
      <c r="E18" s="18"/>
      <c r="F18" s="14">
        <f>SUM(F2:F9)</f>
        <v>0</v>
      </c>
      <c r="G18" s="14"/>
      <c r="H18" s="68">
        <f>SUM(H2:H9)</f>
        <v>0</v>
      </c>
      <c r="I18" s="14"/>
      <c r="J18" s="14"/>
      <c r="K18" s="14">
        <f>SUM(K2:K17)</f>
        <v>0</v>
      </c>
      <c r="L18" s="14"/>
      <c r="M18" s="18">
        <f>SUM(M2:M4)</f>
        <v>0</v>
      </c>
      <c r="W18" s="127">
        <v>42808</v>
      </c>
      <c r="X18" s="10">
        <v>158.49</v>
      </c>
      <c r="Y18" s="10">
        <v>158.69999999999999</v>
      </c>
      <c r="Z18" s="10">
        <v>157.96</v>
      </c>
      <c r="AA18" s="10">
        <v>158.34</v>
      </c>
      <c r="AB18" s="90">
        <v>1036500</v>
      </c>
      <c r="AC18" s="10">
        <v>158.34</v>
      </c>
      <c r="AD18" s="2"/>
      <c r="AE18" s="131"/>
    </row>
    <row r="19" spans="1:31" x14ac:dyDescent="0.25">
      <c r="W19" s="127">
        <v>42807</v>
      </c>
      <c r="X19" s="10">
        <v>159.31</v>
      </c>
      <c r="Y19" s="10">
        <v>159.31</v>
      </c>
      <c r="Z19" s="10">
        <v>157.66</v>
      </c>
      <c r="AA19" s="10">
        <v>159.04</v>
      </c>
      <c r="AB19" s="90">
        <v>1324300</v>
      </c>
      <c r="AC19" s="10">
        <v>159.04</v>
      </c>
      <c r="AD19" s="2"/>
      <c r="AE19" s="131"/>
    </row>
    <row r="20" spans="1:31" x14ac:dyDescent="0.25">
      <c r="B20" s="159" t="s">
        <v>113</v>
      </c>
      <c r="C20" s="159" t="s">
        <v>143</v>
      </c>
      <c r="D20" s="160" t="s">
        <v>142</v>
      </c>
      <c r="E20" s="162" t="s">
        <v>144</v>
      </c>
      <c r="F20" s="163" t="s">
        <v>65</v>
      </c>
      <c r="G20" s="173" t="s">
        <v>148</v>
      </c>
      <c r="H20" s="163" t="s">
        <v>88</v>
      </c>
      <c r="I20" s="162" t="s">
        <v>151</v>
      </c>
      <c r="W20" s="127">
        <v>42807</v>
      </c>
      <c r="X20" s="10" t="s">
        <v>174</v>
      </c>
      <c r="Y20" s="10"/>
      <c r="Z20" s="10"/>
      <c r="AA20" s="10"/>
      <c r="AB20" s="90"/>
      <c r="AC20" s="10"/>
      <c r="AD20" s="2"/>
      <c r="AE20" s="131"/>
    </row>
    <row r="21" spans="1:31" x14ac:dyDescent="0.25">
      <c r="B21" s="161"/>
      <c r="C21" s="10"/>
      <c r="D21" s="39"/>
      <c r="E21" s="39"/>
      <c r="F21" s="39"/>
      <c r="G21" s="39"/>
      <c r="H21" s="175"/>
      <c r="I21" s="39"/>
      <c r="W21" s="127">
        <v>42804</v>
      </c>
      <c r="X21" s="10">
        <v>158.18</v>
      </c>
      <c r="Y21" s="10">
        <v>159.47</v>
      </c>
      <c r="Z21" s="10">
        <v>158.15</v>
      </c>
      <c r="AA21" s="10">
        <v>159.33000000000001</v>
      </c>
      <c r="AB21" s="90">
        <v>1206300</v>
      </c>
      <c r="AC21" s="10">
        <v>159.18</v>
      </c>
      <c r="AD21" s="2"/>
      <c r="AE21" s="131"/>
    </row>
    <row r="22" spans="1:31" x14ac:dyDescent="0.25">
      <c r="B22" s="161"/>
      <c r="C22" s="10"/>
      <c r="D22" s="39"/>
      <c r="E22" s="39"/>
      <c r="F22" s="39"/>
      <c r="G22" s="39"/>
      <c r="H22" s="175"/>
      <c r="I22" s="39"/>
      <c r="W22" s="127">
        <v>42803</v>
      </c>
      <c r="X22" s="10">
        <v>157.72</v>
      </c>
      <c r="Y22" s="10">
        <v>158.24</v>
      </c>
      <c r="Z22" s="10">
        <v>157.08000000000001</v>
      </c>
      <c r="AA22" s="10">
        <v>157.78</v>
      </c>
      <c r="AB22" s="90">
        <v>1102500</v>
      </c>
      <c r="AC22" s="10">
        <v>157.63</v>
      </c>
      <c r="AD22" s="2"/>
      <c r="AE22" s="131"/>
    </row>
    <row r="23" spans="1:31" x14ac:dyDescent="0.25">
      <c r="B23" s="161"/>
      <c r="C23" s="10"/>
      <c r="D23" s="39"/>
      <c r="E23" s="39"/>
      <c r="F23" s="39"/>
      <c r="G23" s="39"/>
      <c r="H23" s="175"/>
      <c r="I23" s="39"/>
      <c r="W23" s="127">
        <v>42802</v>
      </c>
      <c r="X23" s="10">
        <v>157.38999999999999</v>
      </c>
      <c r="Y23" s="10">
        <v>157.96</v>
      </c>
      <c r="Z23" s="10">
        <v>156.63999999999999</v>
      </c>
      <c r="AA23" s="10">
        <v>157.5</v>
      </c>
      <c r="AB23" s="90">
        <v>1105400</v>
      </c>
      <c r="AC23" s="10">
        <v>157.35</v>
      </c>
      <c r="AD23" s="2"/>
      <c r="AE23" s="131"/>
    </row>
    <row r="24" spans="1:31" x14ac:dyDescent="0.25">
      <c r="B24" s="161"/>
      <c r="C24" s="10"/>
      <c r="D24" s="39"/>
      <c r="E24" s="39"/>
      <c r="F24" s="39"/>
      <c r="G24" s="39"/>
      <c r="H24" s="175"/>
      <c r="I24" s="39"/>
      <c r="W24" s="127">
        <v>42801</v>
      </c>
      <c r="X24" s="10">
        <v>156.99</v>
      </c>
      <c r="Y24" s="10">
        <v>157.94</v>
      </c>
      <c r="Z24" s="10">
        <v>156.59</v>
      </c>
      <c r="AA24" s="10">
        <v>157.26</v>
      </c>
      <c r="AB24" s="90">
        <v>1166700</v>
      </c>
      <c r="AC24" s="10">
        <v>157.11000000000001</v>
      </c>
      <c r="AD24" s="2"/>
      <c r="AE24" s="131"/>
    </row>
    <row r="25" spans="1:31" x14ac:dyDescent="0.25">
      <c r="B25" s="484"/>
      <c r="C25" s="10"/>
      <c r="D25" s="39"/>
      <c r="E25" s="39"/>
      <c r="F25" s="39"/>
      <c r="G25" s="39"/>
      <c r="H25" s="176"/>
      <c r="I25" s="39"/>
      <c r="W25" s="127">
        <v>42800</v>
      </c>
      <c r="X25" s="10">
        <v>158.71</v>
      </c>
      <c r="Y25" s="10">
        <v>159.29</v>
      </c>
      <c r="Z25" s="10">
        <v>157.55000000000001</v>
      </c>
      <c r="AA25" s="10">
        <v>157.71</v>
      </c>
      <c r="AB25" s="90">
        <v>1413400</v>
      </c>
      <c r="AC25" s="10">
        <v>157.56</v>
      </c>
      <c r="AD25" s="2"/>
      <c r="AE25" s="131"/>
    </row>
    <row r="26" spans="1:31" x14ac:dyDescent="0.25">
      <c r="B26" s="161"/>
      <c r="C26" s="10"/>
      <c r="D26" s="39"/>
      <c r="E26" s="39"/>
      <c r="F26" s="39"/>
      <c r="G26" s="39"/>
      <c r="H26" s="176"/>
      <c r="I26" s="39"/>
      <c r="W26" s="127">
        <v>42797</v>
      </c>
      <c r="X26" s="10">
        <v>158.72</v>
      </c>
      <c r="Y26" s="10">
        <v>160.41999999999999</v>
      </c>
      <c r="Z26" s="10">
        <v>158.66</v>
      </c>
      <c r="AA26" s="10">
        <v>160.16</v>
      </c>
      <c r="AB26" s="90">
        <v>1204000</v>
      </c>
      <c r="AC26" s="10">
        <v>160.01</v>
      </c>
      <c r="AD26" s="2"/>
      <c r="AE26" s="131"/>
    </row>
    <row r="27" spans="1:31" x14ac:dyDescent="0.25">
      <c r="B27" s="161"/>
      <c r="C27" s="10"/>
      <c r="D27" s="39"/>
      <c r="E27" s="39"/>
      <c r="F27" s="39"/>
      <c r="G27" s="39"/>
      <c r="H27" s="175"/>
      <c r="I27" s="39"/>
      <c r="W27" s="127">
        <v>42796</v>
      </c>
      <c r="X27" s="10">
        <v>160</v>
      </c>
      <c r="Y27" s="10">
        <v>160</v>
      </c>
      <c r="Z27" s="10">
        <v>158.97999999999999</v>
      </c>
      <c r="AA27" s="10">
        <v>159.19999999999999</v>
      </c>
      <c r="AB27" s="90">
        <v>1414300</v>
      </c>
      <c r="AC27" s="10">
        <v>159.05000000000001</v>
      </c>
      <c r="AD27" s="2"/>
      <c r="AE27" s="131"/>
    </row>
    <row r="28" spans="1:31" x14ac:dyDescent="0.25">
      <c r="B28" s="161"/>
      <c r="C28" s="10"/>
      <c r="D28" s="39"/>
      <c r="E28" s="39"/>
      <c r="F28" s="39"/>
      <c r="G28" s="39"/>
      <c r="H28" s="175"/>
      <c r="I28" s="39"/>
      <c r="W28" s="127">
        <v>42795</v>
      </c>
      <c r="X28" s="10">
        <v>159.47</v>
      </c>
      <c r="Y28" s="10">
        <v>160.88999999999999</v>
      </c>
      <c r="Z28" s="10">
        <v>158.91</v>
      </c>
      <c r="AA28" s="10">
        <v>159.82</v>
      </c>
      <c r="AB28" s="90">
        <v>1722600</v>
      </c>
      <c r="AC28" s="10">
        <v>159.66999999999999</v>
      </c>
      <c r="AD28" s="2"/>
      <c r="AE28" s="131"/>
    </row>
    <row r="29" spans="1:31" x14ac:dyDescent="0.25">
      <c r="B29" s="161"/>
      <c r="C29" s="10"/>
      <c r="D29" s="39"/>
      <c r="E29" s="39"/>
      <c r="F29" s="39"/>
      <c r="G29" s="39"/>
      <c r="H29" s="175"/>
      <c r="I29" s="39"/>
      <c r="W29" s="127">
        <v>42794</v>
      </c>
      <c r="X29" s="10">
        <v>158.19999999999999</v>
      </c>
      <c r="Y29" s="10">
        <v>159.25</v>
      </c>
      <c r="Z29" s="10">
        <v>157.52000000000001</v>
      </c>
      <c r="AA29" s="10">
        <v>157.68</v>
      </c>
      <c r="AB29" s="90">
        <v>1674200</v>
      </c>
      <c r="AC29" s="10">
        <v>157.53</v>
      </c>
      <c r="AD29" s="2"/>
      <c r="AE29" s="131"/>
    </row>
    <row r="30" spans="1:31" x14ac:dyDescent="0.25">
      <c r="B30" s="161"/>
      <c r="C30" s="10"/>
      <c r="D30" s="39"/>
      <c r="E30" s="39"/>
      <c r="F30" s="39"/>
      <c r="G30" s="39"/>
      <c r="H30" s="175"/>
      <c r="I30" s="39"/>
      <c r="W30" s="127">
        <v>42793</v>
      </c>
      <c r="X30" s="10">
        <v>158.36000000000001</v>
      </c>
      <c r="Y30" s="10">
        <v>159.29</v>
      </c>
      <c r="Z30" s="10">
        <v>158.02000000000001</v>
      </c>
      <c r="AA30" s="10">
        <v>158.47999999999999</v>
      </c>
      <c r="AB30" s="90">
        <v>1220200</v>
      </c>
      <c r="AC30" s="10">
        <v>158.33000000000001</v>
      </c>
      <c r="AD30" s="2"/>
      <c r="AE30" s="131"/>
    </row>
    <row r="31" spans="1:31" x14ac:dyDescent="0.25">
      <c r="B31" s="484"/>
      <c r="C31" s="10"/>
      <c r="D31" s="39"/>
      <c r="E31" s="39"/>
      <c r="F31" s="39"/>
      <c r="G31" s="39"/>
      <c r="H31" s="176"/>
      <c r="I31" s="39"/>
      <c r="W31" s="127">
        <v>42790</v>
      </c>
      <c r="X31" s="10">
        <v>158.34</v>
      </c>
      <c r="Y31" s="10">
        <v>158.97999999999999</v>
      </c>
      <c r="Z31" s="10">
        <v>157.58000000000001</v>
      </c>
      <c r="AA31" s="10">
        <v>158.97999999999999</v>
      </c>
      <c r="AB31" s="90">
        <v>832800</v>
      </c>
      <c r="AC31" s="10">
        <v>158.83000000000001</v>
      </c>
      <c r="AD31" s="2"/>
      <c r="AE31" s="131"/>
    </row>
    <row r="32" spans="1:31" x14ac:dyDescent="0.25">
      <c r="B32" s="161"/>
      <c r="C32" s="10"/>
      <c r="D32" s="39"/>
      <c r="E32" s="39"/>
      <c r="F32" s="39"/>
      <c r="G32" s="39"/>
      <c r="H32" s="176"/>
      <c r="I32" s="39"/>
      <c r="W32" s="127">
        <v>42789</v>
      </c>
      <c r="X32" s="10">
        <v>158.59</v>
      </c>
      <c r="Y32" s="10">
        <v>159.12</v>
      </c>
      <c r="Z32" s="10">
        <v>157.69999999999999</v>
      </c>
      <c r="AA32" s="10">
        <v>158.72999999999999</v>
      </c>
      <c r="AB32" s="90">
        <v>1124900</v>
      </c>
      <c r="AC32" s="10">
        <v>158.58000000000001</v>
      </c>
      <c r="AD32" s="2"/>
      <c r="AE32" s="131"/>
    </row>
    <row r="33" spans="1:31" x14ac:dyDescent="0.25">
      <c r="B33" s="161"/>
      <c r="C33" s="10"/>
      <c r="D33" s="39"/>
      <c r="E33" s="39"/>
      <c r="F33" s="39"/>
      <c r="G33" s="39"/>
      <c r="H33" s="176"/>
      <c r="I33" s="39"/>
      <c r="W33" s="127">
        <v>42788</v>
      </c>
      <c r="X33" s="10">
        <v>158.34</v>
      </c>
      <c r="Y33" s="10">
        <v>159.1</v>
      </c>
      <c r="Z33" s="10">
        <v>157.69</v>
      </c>
      <c r="AA33" s="10">
        <v>158.02000000000001</v>
      </c>
      <c r="AB33" s="90">
        <v>1283000</v>
      </c>
      <c r="AC33" s="10">
        <v>157.87</v>
      </c>
      <c r="AD33" s="2"/>
      <c r="AE33" s="131"/>
    </row>
    <row r="34" spans="1:31" x14ac:dyDescent="0.25">
      <c r="B34" s="10"/>
      <c r="C34" s="10"/>
      <c r="D34" s="39"/>
      <c r="E34" s="39"/>
      <c r="F34" s="39"/>
      <c r="G34" s="39"/>
      <c r="H34" s="176"/>
      <c r="I34" s="39"/>
      <c r="W34" s="127">
        <v>42787</v>
      </c>
      <c r="X34" s="10">
        <v>158.63999999999999</v>
      </c>
      <c r="Y34" s="10">
        <v>159.41</v>
      </c>
      <c r="Z34" s="10">
        <v>157.96</v>
      </c>
      <c r="AA34" s="10">
        <v>158.63</v>
      </c>
      <c r="AB34" s="90">
        <v>1242200</v>
      </c>
      <c r="AC34" s="10">
        <v>158.47999999999999</v>
      </c>
      <c r="AD34" s="2"/>
      <c r="AE34" s="131"/>
    </row>
    <row r="35" spans="1:31" x14ac:dyDescent="0.25">
      <c r="B35" s="10"/>
      <c r="C35" s="10"/>
      <c r="D35" s="39"/>
      <c r="E35" s="39"/>
      <c r="F35" s="39"/>
      <c r="G35" s="39"/>
      <c r="H35" s="176"/>
      <c r="I35" s="39"/>
      <c r="W35" s="127">
        <v>42783</v>
      </c>
      <c r="X35" s="10">
        <v>157.62</v>
      </c>
      <c r="Y35" s="10">
        <v>159.30000000000001</v>
      </c>
      <c r="Z35" s="10">
        <v>157.38999999999999</v>
      </c>
      <c r="AA35" s="10">
        <v>158.63999999999999</v>
      </c>
      <c r="AB35" s="90">
        <v>1207400</v>
      </c>
      <c r="AC35" s="10">
        <v>158.49</v>
      </c>
      <c r="AD35" s="2"/>
      <c r="AE35" s="131"/>
    </row>
    <row r="36" spans="1:31" x14ac:dyDescent="0.25">
      <c r="B36" s="10"/>
      <c r="C36" s="10"/>
      <c r="D36" s="39"/>
      <c r="E36" s="39"/>
      <c r="F36" s="39"/>
      <c r="G36" s="39"/>
      <c r="H36" s="176"/>
      <c r="I36" s="39"/>
      <c r="W36" s="127">
        <v>42782</v>
      </c>
      <c r="X36" s="10">
        <v>158.01</v>
      </c>
      <c r="Y36" s="10">
        <v>158.55000000000001</v>
      </c>
      <c r="Z36" s="10">
        <v>157.44</v>
      </c>
      <c r="AA36" s="10">
        <v>157.71</v>
      </c>
      <c r="AB36" s="90">
        <v>1252700</v>
      </c>
      <c r="AC36" s="10">
        <v>157.56</v>
      </c>
      <c r="AD36" s="2"/>
      <c r="AE36" s="131"/>
    </row>
    <row r="37" spans="1:31" x14ac:dyDescent="0.25">
      <c r="B37" s="10"/>
      <c r="C37" s="10"/>
      <c r="D37" s="39"/>
      <c r="E37" s="39"/>
      <c r="F37" s="39"/>
      <c r="G37" s="39"/>
      <c r="H37" s="176"/>
      <c r="I37" s="39"/>
      <c r="W37" s="127">
        <v>42781</v>
      </c>
      <c r="X37" s="10">
        <v>156.49</v>
      </c>
      <c r="Y37" s="10">
        <v>158.37</v>
      </c>
      <c r="Z37" s="10">
        <v>156.47999999999999</v>
      </c>
      <c r="AA37" s="10">
        <v>158.26</v>
      </c>
      <c r="AB37" s="90">
        <v>1423300</v>
      </c>
      <c r="AC37" s="10">
        <v>158.11000000000001</v>
      </c>
      <c r="AD37" s="2"/>
      <c r="AE37" s="131"/>
    </row>
    <row r="38" spans="1:31" x14ac:dyDescent="0.25">
      <c r="B38" s="10"/>
      <c r="C38" s="10"/>
      <c r="D38" s="39"/>
      <c r="E38" s="39"/>
      <c r="F38" s="39"/>
      <c r="G38" s="39"/>
      <c r="H38" s="176"/>
      <c r="I38" s="39"/>
      <c r="W38" s="127">
        <v>42780</v>
      </c>
      <c r="X38" s="10">
        <v>155.94</v>
      </c>
      <c r="Y38" s="10">
        <v>157.33000000000001</v>
      </c>
      <c r="Z38" s="10">
        <v>155.41999999999999</v>
      </c>
      <c r="AA38" s="10">
        <v>157.28</v>
      </c>
      <c r="AB38" s="90">
        <v>1429700</v>
      </c>
      <c r="AC38" s="10">
        <v>157.13</v>
      </c>
      <c r="AD38" s="2"/>
      <c r="AE38" s="131"/>
    </row>
    <row r="39" spans="1:31" x14ac:dyDescent="0.25">
      <c r="B39" s="10"/>
      <c r="C39" s="10"/>
      <c r="D39" s="39"/>
      <c r="E39" s="39"/>
      <c r="F39" s="39"/>
      <c r="G39" s="39"/>
      <c r="H39" s="176"/>
      <c r="I39" s="39"/>
      <c r="W39" s="127">
        <v>42779</v>
      </c>
      <c r="X39" s="10">
        <v>155</v>
      </c>
      <c r="Y39" s="10">
        <v>156.80000000000001</v>
      </c>
      <c r="Z39" s="10">
        <v>154.49</v>
      </c>
      <c r="AA39" s="10">
        <v>156.35</v>
      </c>
      <c r="AB39" s="90">
        <v>1635900</v>
      </c>
      <c r="AC39" s="10">
        <v>156.19999999999999</v>
      </c>
      <c r="AD39" s="2"/>
      <c r="AE39" s="131"/>
    </row>
    <row r="40" spans="1:31" x14ac:dyDescent="0.25">
      <c r="B40" s="10"/>
      <c r="C40" s="10"/>
      <c r="D40" s="39"/>
      <c r="E40" s="39"/>
      <c r="F40" s="39"/>
      <c r="G40" s="39"/>
      <c r="H40" s="176"/>
      <c r="I40" s="39"/>
      <c r="W40" s="127">
        <v>42776</v>
      </c>
      <c r="X40" s="10">
        <v>154.68</v>
      </c>
      <c r="Y40" s="10">
        <v>155.49</v>
      </c>
      <c r="Z40" s="10">
        <v>154.27000000000001</v>
      </c>
      <c r="AA40" s="10">
        <v>154.88999999999999</v>
      </c>
      <c r="AB40" s="90">
        <v>1482900</v>
      </c>
      <c r="AC40" s="10">
        <v>154.74</v>
      </c>
      <c r="AD40" s="2"/>
      <c r="AE40" s="131"/>
    </row>
    <row r="41" spans="1:31" x14ac:dyDescent="0.25">
      <c r="B41" s="10"/>
      <c r="C41" s="10"/>
      <c r="D41" s="39"/>
      <c r="E41" s="39"/>
      <c r="F41" s="39"/>
      <c r="G41" s="39"/>
      <c r="H41" s="176"/>
      <c r="I41" s="39"/>
      <c r="W41" s="127">
        <v>42775</v>
      </c>
      <c r="X41" s="10">
        <v>153.5</v>
      </c>
      <c r="Y41" s="10">
        <v>155.27000000000001</v>
      </c>
      <c r="Z41" s="10">
        <v>153.38</v>
      </c>
      <c r="AA41" s="10">
        <v>154.74</v>
      </c>
      <c r="AB41" s="90">
        <v>1505000</v>
      </c>
      <c r="AC41" s="10">
        <v>154.59</v>
      </c>
      <c r="AD41" s="2"/>
      <c r="AE41" s="131"/>
    </row>
    <row r="42" spans="1:31" ht="20.25" thickBot="1" x14ac:dyDescent="0.35">
      <c r="T42" s="86" t="s">
        <v>112</v>
      </c>
      <c r="W42" s="127">
        <v>42774</v>
      </c>
      <c r="X42" s="10">
        <v>152.38</v>
      </c>
      <c r="Y42" s="10">
        <v>154.22999999999999</v>
      </c>
      <c r="Z42" s="10">
        <v>151.69</v>
      </c>
      <c r="AA42" s="10">
        <v>153.5</v>
      </c>
      <c r="AB42" s="90">
        <v>1467100</v>
      </c>
      <c r="AC42" s="10">
        <v>153.36000000000001</v>
      </c>
      <c r="AD42" s="2"/>
      <c r="AE42" s="131"/>
    </row>
    <row r="43" spans="1:31" ht="15.75" thickTop="1" x14ac:dyDescent="0.25">
      <c r="L43" t="s">
        <v>201</v>
      </c>
      <c r="M43" s="2">
        <f>M54+K54-F54</f>
        <v>465.57999999999993</v>
      </c>
      <c r="T43" s="122" t="s">
        <v>97</v>
      </c>
      <c r="U43" s="461">
        <v>152.72</v>
      </c>
      <c r="W43" s="127">
        <v>42773</v>
      </c>
      <c r="X43" s="10">
        <v>152.12</v>
      </c>
      <c r="Y43" s="10">
        <v>153.19999999999999</v>
      </c>
      <c r="Z43" s="10">
        <v>151.79</v>
      </c>
      <c r="AA43" s="10">
        <v>153.01</v>
      </c>
      <c r="AB43" s="90">
        <v>1479300</v>
      </c>
      <c r="AC43" s="10">
        <v>152.87</v>
      </c>
      <c r="AD43" s="2"/>
      <c r="AE43" s="131"/>
    </row>
    <row r="44" spans="1:31" x14ac:dyDescent="0.25">
      <c r="A44" s="297" t="s">
        <v>1</v>
      </c>
      <c r="B44" s="297" t="s">
        <v>2</v>
      </c>
      <c r="C44" s="297" t="s">
        <v>4</v>
      </c>
      <c r="D44" s="297" t="s">
        <v>5</v>
      </c>
      <c r="E44" s="299" t="s">
        <v>94</v>
      </c>
      <c r="F44" s="297" t="s">
        <v>60</v>
      </c>
      <c r="G44" s="297" t="s">
        <v>3</v>
      </c>
      <c r="H44" s="297" t="s">
        <v>6</v>
      </c>
      <c r="I44" s="297" t="s">
        <v>7</v>
      </c>
      <c r="J44" s="297" t="s">
        <v>95</v>
      </c>
      <c r="K44" s="297" t="s">
        <v>61</v>
      </c>
      <c r="L44" s="297" t="s">
        <v>77</v>
      </c>
      <c r="M44" s="297" t="s">
        <v>38</v>
      </c>
      <c r="T44" s="88" t="s">
        <v>98</v>
      </c>
      <c r="U44" s="343">
        <v>153.27000000000001</v>
      </c>
      <c r="W44" s="127">
        <v>42772</v>
      </c>
      <c r="X44" s="10">
        <v>151.06</v>
      </c>
      <c r="Y44" s="10">
        <v>152.15</v>
      </c>
      <c r="Z44" s="10">
        <v>150.41999999999999</v>
      </c>
      <c r="AA44" s="10">
        <v>152.08000000000001</v>
      </c>
      <c r="AB44" s="90">
        <v>1624900</v>
      </c>
      <c r="AC44" s="10">
        <v>151.94</v>
      </c>
      <c r="AD44" s="2"/>
      <c r="AE44" s="131"/>
    </row>
    <row r="45" spans="1:31" ht="20.25" thickBot="1" x14ac:dyDescent="0.35">
      <c r="A45" s="300" t="s">
        <v>0</v>
      </c>
      <c r="B45" s="533">
        <v>42403</v>
      </c>
      <c r="C45" s="291">
        <v>10</v>
      </c>
      <c r="D45" s="292">
        <v>123.5</v>
      </c>
      <c r="E45" s="292">
        <v>0</v>
      </c>
      <c r="F45" s="292">
        <f>D45*C45+E45</f>
        <v>1235</v>
      </c>
      <c r="G45" s="533">
        <v>42436</v>
      </c>
      <c r="H45" s="295">
        <v>10</v>
      </c>
      <c r="I45" s="292">
        <v>140.65</v>
      </c>
      <c r="J45" s="292">
        <v>0.03</v>
      </c>
      <c r="K45" s="291">
        <f>I45*H45-J45</f>
        <v>1406.47</v>
      </c>
      <c r="L45" s="290"/>
      <c r="M45" s="292"/>
      <c r="O45" s="886" t="s">
        <v>78</v>
      </c>
      <c r="P45" s="886"/>
      <c r="T45" s="88" t="s">
        <v>99</v>
      </c>
      <c r="U45" s="343" t="s">
        <v>128</v>
      </c>
      <c r="W45" s="127">
        <v>42769</v>
      </c>
      <c r="X45" s="10">
        <v>152.15</v>
      </c>
      <c r="Y45" s="10">
        <v>152.37</v>
      </c>
      <c r="Z45" s="10">
        <v>150.38999999999999</v>
      </c>
      <c r="AA45" s="10">
        <v>151.43</v>
      </c>
      <c r="AB45" s="90">
        <v>1817100</v>
      </c>
      <c r="AC45" s="10">
        <v>151.29</v>
      </c>
      <c r="AD45" s="2"/>
      <c r="AE45" s="131"/>
    </row>
    <row r="46" spans="1:31" ht="15.75" thickTop="1" x14ac:dyDescent="0.25">
      <c r="A46" s="301" t="s">
        <v>71</v>
      </c>
      <c r="B46" s="463">
        <v>42702</v>
      </c>
      <c r="C46" s="418">
        <v>20</v>
      </c>
      <c r="D46" s="420">
        <v>139.88</v>
      </c>
      <c r="E46" s="420">
        <v>0</v>
      </c>
      <c r="F46" s="420">
        <f>C46*D46 + E46</f>
        <v>2797.6</v>
      </c>
      <c r="G46" s="463">
        <v>42766</v>
      </c>
      <c r="H46" s="418">
        <v>10</v>
      </c>
      <c r="I46" s="420">
        <v>149.08000000000001</v>
      </c>
      <c r="J46" s="420">
        <v>0.03</v>
      </c>
      <c r="K46" s="420">
        <f>H46*I46 - J46</f>
        <v>1490.7700000000002</v>
      </c>
      <c r="L46" s="417">
        <v>42753</v>
      </c>
      <c r="M46" s="420">
        <v>3</v>
      </c>
      <c r="O46" s="78">
        <v>1.1000000000000001</v>
      </c>
      <c r="P46" s="78">
        <f>O46*$Q$4</f>
        <v>319.495</v>
      </c>
      <c r="Q46" s="2"/>
      <c r="T46" s="88" t="s">
        <v>100</v>
      </c>
      <c r="U46" s="343" t="s">
        <v>128</v>
      </c>
      <c r="W46" s="127">
        <v>42768</v>
      </c>
      <c r="X46" s="10">
        <v>152.41</v>
      </c>
      <c r="Y46" s="10">
        <v>152.41</v>
      </c>
      <c r="Z46" s="10">
        <v>150.22999999999999</v>
      </c>
      <c r="AA46" s="10">
        <v>151.66999999999999</v>
      </c>
      <c r="AB46" s="90">
        <v>1751200</v>
      </c>
      <c r="AC46" s="10">
        <v>151.53</v>
      </c>
      <c r="AD46" s="2"/>
      <c r="AE46" s="131"/>
    </row>
    <row r="47" spans="1:31" x14ac:dyDescent="0.25">
      <c r="A47" s="291"/>
      <c r="B47" s="463">
        <v>42767</v>
      </c>
      <c r="C47" s="418">
        <v>10</v>
      </c>
      <c r="D47" s="420">
        <v>152.69999999999999</v>
      </c>
      <c r="E47" s="420">
        <v>0</v>
      </c>
      <c r="F47" s="420">
        <f>C47*D47 + E47</f>
        <v>1527</v>
      </c>
      <c r="G47" s="463">
        <v>42767</v>
      </c>
      <c r="H47" s="434">
        <v>10</v>
      </c>
      <c r="I47" s="420">
        <v>154.6</v>
      </c>
      <c r="J47" s="420">
        <v>0.03</v>
      </c>
      <c r="K47" s="420">
        <f>H47*I47 - J47</f>
        <v>1545.97</v>
      </c>
      <c r="L47" s="417"/>
      <c r="M47" s="420"/>
      <c r="O47" s="78">
        <v>1.0900000000000001</v>
      </c>
      <c r="P47" s="78">
        <f t="shared" ref="P47:P66" si="0">O47*$Q$4</f>
        <v>316.59050000000002</v>
      </c>
      <c r="Q47" s="2"/>
      <c r="T47" s="88" t="s">
        <v>101</v>
      </c>
      <c r="U47" s="343">
        <v>172.19</v>
      </c>
      <c r="W47" s="127">
        <v>42767</v>
      </c>
      <c r="X47" s="10">
        <v>152.27000000000001</v>
      </c>
      <c r="Y47" s="10">
        <v>155.1</v>
      </c>
      <c r="Z47" s="10">
        <v>151.47999999999999</v>
      </c>
      <c r="AA47" s="10">
        <v>152.94</v>
      </c>
      <c r="AB47" s="90">
        <v>3601900</v>
      </c>
      <c r="AC47" s="10">
        <v>152.80000000000001</v>
      </c>
      <c r="AD47" s="2"/>
      <c r="AE47" s="131"/>
    </row>
    <row r="48" spans="1:31" x14ac:dyDescent="0.25">
      <c r="A48" s="291"/>
      <c r="B48" s="463"/>
      <c r="C48" s="418"/>
      <c r="D48" s="420"/>
      <c r="E48" s="420"/>
      <c r="F48" s="420"/>
      <c r="G48" s="463">
        <v>42803</v>
      </c>
      <c r="H48" s="434">
        <v>10</v>
      </c>
      <c r="I48" s="418">
        <v>157.9</v>
      </c>
      <c r="J48" s="420">
        <v>0.03</v>
      </c>
      <c r="K48" s="420">
        <f>H48*I48 - J48</f>
        <v>1578.97</v>
      </c>
      <c r="L48" s="418"/>
      <c r="M48" s="418"/>
      <c r="O48" s="78">
        <v>1.08</v>
      </c>
      <c r="P48" s="78">
        <f t="shared" si="0"/>
        <v>313.68600000000004</v>
      </c>
      <c r="Q48" s="2"/>
      <c r="T48" s="88" t="s">
        <v>102</v>
      </c>
      <c r="U48" s="343">
        <v>0.96229299999999995</v>
      </c>
      <c r="W48" s="127">
        <v>42766</v>
      </c>
      <c r="X48" s="10">
        <v>146.65</v>
      </c>
      <c r="Y48" s="10">
        <v>152.5</v>
      </c>
      <c r="Z48" s="10">
        <v>146.08000000000001</v>
      </c>
      <c r="AA48" s="10">
        <v>152.38999999999999</v>
      </c>
      <c r="AB48" s="90">
        <v>5340700</v>
      </c>
      <c r="AC48" s="10">
        <v>152.25</v>
      </c>
      <c r="AD48" s="2"/>
      <c r="AE48" s="131"/>
    </row>
    <row r="49" spans="1:31" x14ac:dyDescent="0.25">
      <c r="A49" s="291"/>
      <c r="B49" s="463"/>
      <c r="C49" s="418"/>
      <c r="D49" s="420"/>
      <c r="E49" s="420"/>
      <c r="F49" s="420"/>
      <c r="G49" s="463"/>
      <c r="H49" s="434"/>
      <c r="I49" s="420"/>
      <c r="J49" s="420"/>
      <c r="K49" s="418"/>
      <c r="L49" s="418"/>
      <c r="M49" s="418"/>
      <c r="O49" s="78">
        <v>1.07</v>
      </c>
      <c r="P49" s="78">
        <f t="shared" si="0"/>
        <v>310.78149999999999</v>
      </c>
      <c r="Q49" s="2"/>
      <c r="T49" s="88" t="s">
        <v>103</v>
      </c>
      <c r="U49" s="343" t="s">
        <v>503</v>
      </c>
      <c r="W49" s="127">
        <v>42765</v>
      </c>
      <c r="X49" s="10">
        <v>145.53</v>
      </c>
      <c r="Y49" s="10">
        <v>145.56</v>
      </c>
      <c r="Z49" s="10">
        <v>142.66</v>
      </c>
      <c r="AA49" s="10">
        <v>143.29</v>
      </c>
      <c r="AB49" s="90">
        <v>3158600</v>
      </c>
      <c r="AC49" s="10">
        <v>143.16</v>
      </c>
      <c r="AD49" s="2"/>
      <c r="AE49" s="131"/>
    </row>
    <row r="50" spans="1:31" x14ac:dyDescent="0.25">
      <c r="A50" s="291"/>
      <c r="B50" s="533"/>
      <c r="C50" s="291"/>
      <c r="D50" s="292"/>
      <c r="E50" s="292"/>
      <c r="F50" s="292"/>
      <c r="G50" s="533"/>
      <c r="H50" s="291"/>
      <c r="I50" s="291"/>
      <c r="J50" s="291"/>
      <c r="K50" s="291"/>
      <c r="L50" s="291"/>
      <c r="M50" s="291"/>
      <c r="O50" s="78">
        <v>1.06</v>
      </c>
      <c r="P50" s="78">
        <f t="shared" si="0"/>
        <v>307.87700000000001</v>
      </c>
      <c r="Q50" s="2"/>
      <c r="T50" s="88"/>
      <c r="U50" s="343"/>
      <c r="W50" s="127">
        <v>42762</v>
      </c>
      <c r="X50" s="10">
        <v>144.01</v>
      </c>
      <c r="Y50" s="10">
        <v>145.86000000000001</v>
      </c>
      <c r="Z50" s="10">
        <v>143.76</v>
      </c>
      <c r="AA50" s="10">
        <v>145.44999999999999</v>
      </c>
      <c r="AB50" s="90">
        <v>2107800</v>
      </c>
      <c r="AC50" s="10">
        <v>145.31</v>
      </c>
      <c r="AD50" s="2"/>
      <c r="AE50" s="131"/>
    </row>
    <row r="51" spans="1:31" x14ac:dyDescent="0.25">
      <c r="A51" s="291"/>
      <c r="B51" s="533"/>
      <c r="C51" s="291"/>
      <c r="D51" s="292"/>
      <c r="E51" s="292"/>
      <c r="F51" s="292"/>
      <c r="G51" s="533"/>
      <c r="H51" s="291"/>
      <c r="I51" s="291"/>
      <c r="J51" s="291"/>
      <c r="K51" s="291"/>
      <c r="L51" s="291"/>
      <c r="M51" s="291"/>
      <c r="O51" s="78">
        <v>1.05</v>
      </c>
      <c r="P51" s="78">
        <f t="shared" si="0"/>
        <v>304.97250000000003</v>
      </c>
      <c r="Q51" s="2"/>
      <c r="T51" s="88" t="s">
        <v>104</v>
      </c>
      <c r="U51" s="343" t="s">
        <v>591</v>
      </c>
      <c r="W51" s="127">
        <v>42761</v>
      </c>
      <c r="X51" s="10">
        <v>142.52000000000001</v>
      </c>
      <c r="Y51" s="10">
        <v>143.47</v>
      </c>
      <c r="Z51" s="10">
        <v>141.97</v>
      </c>
      <c r="AA51" s="10">
        <v>143.1</v>
      </c>
      <c r="AB51" s="90">
        <v>2934000</v>
      </c>
      <c r="AC51" s="10">
        <v>142.97</v>
      </c>
      <c r="AD51" s="2"/>
      <c r="AE51" s="131"/>
    </row>
    <row r="52" spans="1:31" x14ac:dyDescent="0.25">
      <c r="A52" s="291"/>
      <c r="B52" s="533"/>
      <c r="C52" s="291"/>
      <c r="D52" s="292"/>
      <c r="E52" s="292"/>
      <c r="F52" s="292"/>
      <c r="G52" s="533"/>
      <c r="H52" s="291"/>
      <c r="I52" s="291"/>
      <c r="J52" s="291"/>
      <c r="K52" s="291"/>
      <c r="L52" s="291"/>
      <c r="M52" s="291"/>
      <c r="O52" s="78">
        <v>1.04</v>
      </c>
      <c r="P52" s="78">
        <f t="shared" si="0"/>
        <v>302.06799999999998</v>
      </c>
      <c r="Q52" s="2"/>
      <c r="T52" s="88" t="s">
        <v>105</v>
      </c>
      <c r="U52" s="343" t="s">
        <v>479</v>
      </c>
      <c r="W52" s="127">
        <v>42760</v>
      </c>
      <c r="X52" s="10">
        <v>141.5</v>
      </c>
      <c r="Y52" s="10">
        <v>143.02000000000001</v>
      </c>
      <c r="Z52" s="10">
        <v>140.77000000000001</v>
      </c>
      <c r="AA52" s="10">
        <v>142.43</v>
      </c>
      <c r="AB52" s="90">
        <v>2224900</v>
      </c>
      <c r="AC52" s="10">
        <v>142.30000000000001</v>
      </c>
      <c r="AD52" s="2"/>
      <c r="AE52" s="131"/>
    </row>
    <row r="53" spans="1:31" x14ac:dyDescent="0.25">
      <c r="A53" s="291"/>
      <c r="B53" s="533"/>
      <c r="C53" s="291"/>
      <c r="D53" s="291"/>
      <c r="E53" s="292"/>
      <c r="F53" s="291"/>
      <c r="G53" s="533"/>
      <c r="H53" s="291"/>
      <c r="I53" s="291"/>
      <c r="J53" s="291"/>
      <c r="K53" s="291"/>
      <c r="L53" s="291"/>
      <c r="M53" s="291"/>
      <c r="O53" s="78">
        <v>1.03</v>
      </c>
      <c r="P53" s="78">
        <f t="shared" si="0"/>
        <v>299.1635</v>
      </c>
      <c r="Q53" s="2"/>
      <c r="T53" s="88" t="s">
        <v>106</v>
      </c>
      <c r="U53" s="344">
        <v>2012985</v>
      </c>
      <c r="W53" s="127">
        <v>42759</v>
      </c>
      <c r="X53" s="10">
        <v>143.22999999999999</v>
      </c>
      <c r="Y53" s="10">
        <v>143.66</v>
      </c>
      <c r="Z53" s="10">
        <v>140</v>
      </c>
      <c r="AA53" s="10">
        <v>140.97999999999999</v>
      </c>
      <c r="AB53" s="90">
        <v>2988500</v>
      </c>
      <c r="AC53" s="10">
        <v>140.85</v>
      </c>
      <c r="AD53" s="2"/>
      <c r="AE53" s="131"/>
    </row>
    <row r="54" spans="1:31" x14ac:dyDescent="0.25">
      <c r="A54" s="21" t="s">
        <v>81</v>
      </c>
      <c r="B54" s="12"/>
      <c r="C54" s="12">
        <f>SUM(C45:C52)</f>
        <v>40</v>
      </c>
      <c r="D54" s="12"/>
      <c r="E54" s="13"/>
      <c r="F54" s="12">
        <f>SUM(F45:F52)</f>
        <v>5559.6</v>
      </c>
      <c r="G54" s="12"/>
      <c r="H54" s="72">
        <f>SUM(H45:H52)</f>
        <v>40</v>
      </c>
      <c r="I54" s="12"/>
      <c r="J54" s="12"/>
      <c r="K54" s="12">
        <f>SUM(K45:K53)</f>
        <v>6022.18</v>
      </c>
      <c r="L54" s="12"/>
      <c r="M54" s="13">
        <f>SUM(M45:M47)</f>
        <v>3</v>
      </c>
      <c r="O54" s="78">
        <v>1.02</v>
      </c>
      <c r="P54" s="78">
        <f t="shared" si="0"/>
        <v>296.25900000000001</v>
      </c>
      <c r="Q54" s="2"/>
      <c r="T54" s="88" t="s">
        <v>109</v>
      </c>
      <c r="U54" s="344">
        <v>1769420</v>
      </c>
      <c r="W54" s="127">
        <v>42758</v>
      </c>
      <c r="X54" s="10">
        <v>143.16</v>
      </c>
      <c r="Y54" s="10">
        <v>144.41999999999999</v>
      </c>
      <c r="Z54" s="10">
        <v>142.57</v>
      </c>
      <c r="AA54" s="10">
        <v>142.79</v>
      </c>
      <c r="AB54" s="90">
        <v>1508600</v>
      </c>
      <c r="AC54" s="10">
        <v>142.66</v>
      </c>
      <c r="AD54" s="2"/>
      <c r="AE54" s="131"/>
    </row>
    <row r="55" spans="1:31" x14ac:dyDescent="0.25">
      <c r="A55" s="291"/>
      <c r="B55" s="291"/>
      <c r="C55" s="291"/>
      <c r="D55" s="291"/>
      <c r="E55" s="292"/>
      <c r="F55" s="291"/>
      <c r="G55" s="291"/>
      <c r="H55" s="291"/>
      <c r="I55" s="291"/>
      <c r="J55" s="291"/>
      <c r="K55" s="291"/>
      <c r="L55" s="291"/>
      <c r="M55" s="291"/>
      <c r="O55" s="78">
        <v>1.01</v>
      </c>
      <c r="P55" s="78">
        <f t="shared" si="0"/>
        <v>293.35449999999997</v>
      </c>
      <c r="Q55" s="2"/>
      <c r="T55" s="88" t="s">
        <v>107</v>
      </c>
      <c r="U55" s="343" t="s">
        <v>592</v>
      </c>
      <c r="W55" s="127">
        <v>42755</v>
      </c>
      <c r="X55" s="10">
        <v>144.91</v>
      </c>
      <c r="Y55" s="10">
        <v>145.13999999999999</v>
      </c>
      <c r="Z55" s="10">
        <v>143.32</v>
      </c>
      <c r="AA55" s="10">
        <v>143.51</v>
      </c>
      <c r="AB55" s="90">
        <v>1750000</v>
      </c>
      <c r="AC55" s="10">
        <v>143.37</v>
      </c>
      <c r="AD55" s="2"/>
      <c r="AE55" s="131"/>
    </row>
    <row r="56" spans="1:31" x14ac:dyDescent="0.25">
      <c r="O56" s="78">
        <v>1</v>
      </c>
      <c r="P56" s="78">
        <f t="shared" si="0"/>
        <v>290.45</v>
      </c>
      <c r="Q56" s="2"/>
      <c r="T56" s="88" t="s">
        <v>110</v>
      </c>
      <c r="U56" s="343">
        <v>30.01</v>
      </c>
      <c r="W56" s="127">
        <v>42754</v>
      </c>
      <c r="X56" s="10">
        <v>144.38</v>
      </c>
      <c r="Y56" s="10">
        <v>144.72</v>
      </c>
      <c r="Z56" s="10">
        <v>143.44</v>
      </c>
      <c r="AA56" s="10">
        <v>144.32</v>
      </c>
      <c r="AB56" s="90">
        <v>1435900</v>
      </c>
      <c r="AC56" s="10">
        <v>144.18</v>
      </c>
      <c r="AD56" s="2"/>
      <c r="AE56" s="131"/>
    </row>
    <row r="57" spans="1:31" x14ac:dyDescent="0.25">
      <c r="O57" s="78">
        <v>0.99</v>
      </c>
      <c r="P57" s="78">
        <f t="shared" si="0"/>
        <v>287.5455</v>
      </c>
      <c r="Q57" s="2"/>
      <c r="T57" s="88" t="s">
        <v>111</v>
      </c>
      <c r="U57" s="343">
        <v>5.09</v>
      </c>
      <c r="W57" s="127">
        <v>42753</v>
      </c>
      <c r="X57" s="10">
        <v>145.84</v>
      </c>
      <c r="Y57" s="10">
        <v>146</v>
      </c>
      <c r="Z57" s="10">
        <v>143.56</v>
      </c>
      <c r="AA57" s="10">
        <v>144.66</v>
      </c>
      <c r="AB57" s="90">
        <v>1377100</v>
      </c>
      <c r="AC57" s="10">
        <v>144.52000000000001</v>
      </c>
      <c r="AD57" s="2"/>
      <c r="AE57" s="131"/>
    </row>
    <row r="58" spans="1:31" x14ac:dyDescent="0.25">
      <c r="O58" s="78">
        <v>0.98</v>
      </c>
      <c r="P58" s="78">
        <f t="shared" si="0"/>
        <v>284.64099999999996</v>
      </c>
      <c r="Q58" s="2"/>
      <c r="T58" s="88" t="s">
        <v>108</v>
      </c>
      <c r="U58" s="343" t="s">
        <v>473</v>
      </c>
      <c r="W58" s="127">
        <v>42752</v>
      </c>
      <c r="X58" s="10">
        <v>145.66999999999999</v>
      </c>
      <c r="Y58" s="10">
        <v>145.87</v>
      </c>
      <c r="Z58" s="10">
        <v>144.55000000000001</v>
      </c>
      <c r="AA58" s="10">
        <v>145.05000000000001</v>
      </c>
      <c r="AB58" s="90">
        <v>1651500</v>
      </c>
      <c r="AC58" s="10">
        <v>144.91</v>
      </c>
      <c r="AD58" s="2"/>
      <c r="AE58" s="131"/>
    </row>
    <row r="59" spans="1:31" x14ac:dyDescent="0.25">
      <c r="O59" s="78">
        <v>0.97</v>
      </c>
      <c r="P59" s="78">
        <f t="shared" si="0"/>
        <v>281.73649999999998</v>
      </c>
      <c r="W59" s="127">
        <v>42748</v>
      </c>
      <c r="X59" s="10">
        <v>146.09</v>
      </c>
      <c r="Y59" s="10">
        <v>147.03</v>
      </c>
      <c r="Z59" s="10">
        <v>145.52000000000001</v>
      </c>
      <c r="AA59" s="10">
        <v>146.29</v>
      </c>
      <c r="AB59" s="90">
        <v>1839600</v>
      </c>
      <c r="AC59" s="10">
        <v>146.15</v>
      </c>
      <c r="AD59" s="2"/>
      <c r="AE59" s="131"/>
    </row>
    <row r="60" spans="1:31" x14ac:dyDescent="0.25">
      <c r="O60" s="78">
        <v>0.96</v>
      </c>
      <c r="P60" s="78">
        <f t="shared" si="0"/>
        <v>278.83199999999999</v>
      </c>
      <c r="W60" s="127">
        <v>42747</v>
      </c>
      <c r="X60" s="10">
        <v>146.18</v>
      </c>
      <c r="Y60" s="10">
        <v>146.99</v>
      </c>
      <c r="Z60" s="10">
        <v>145.13</v>
      </c>
      <c r="AA60" s="10">
        <v>145.97</v>
      </c>
      <c r="AB60" s="90">
        <v>2239600</v>
      </c>
      <c r="AC60" s="10">
        <v>145.83000000000001</v>
      </c>
      <c r="AD60" s="2"/>
      <c r="AE60" s="131"/>
    </row>
    <row r="61" spans="1:31" x14ac:dyDescent="0.25">
      <c r="O61" s="78">
        <v>0.95</v>
      </c>
      <c r="P61" s="78">
        <f t="shared" si="0"/>
        <v>275.92749999999995</v>
      </c>
      <c r="W61" s="127">
        <v>42746</v>
      </c>
      <c r="X61" s="10">
        <v>147.79</v>
      </c>
      <c r="Y61" s="10">
        <v>148.33000000000001</v>
      </c>
      <c r="Z61" s="10">
        <v>143.87</v>
      </c>
      <c r="AA61" s="10">
        <v>146.22</v>
      </c>
      <c r="AB61" s="90">
        <v>2764300</v>
      </c>
      <c r="AC61" s="10">
        <v>146.08000000000001</v>
      </c>
      <c r="AD61" s="2"/>
      <c r="AE61" s="131"/>
    </row>
    <row r="62" spans="1:31" x14ac:dyDescent="0.25">
      <c r="O62" s="78">
        <v>0.94</v>
      </c>
      <c r="P62" s="78">
        <f t="shared" si="0"/>
        <v>273.02299999999997</v>
      </c>
      <c r="W62" s="127">
        <v>42745</v>
      </c>
      <c r="X62" s="10">
        <v>147.80000000000001</v>
      </c>
      <c r="Y62" s="10">
        <v>149.32</v>
      </c>
      <c r="Z62" s="10">
        <v>147.30000000000001</v>
      </c>
      <c r="AA62" s="10">
        <v>147.78</v>
      </c>
      <c r="AB62" s="90">
        <v>1806600</v>
      </c>
      <c r="AC62" s="10">
        <v>147.63999999999999</v>
      </c>
      <c r="AD62" s="2"/>
      <c r="AE62" s="131"/>
    </row>
    <row r="63" spans="1:31" x14ac:dyDescent="0.25">
      <c r="O63" s="78">
        <v>0.93</v>
      </c>
      <c r="P63" s="78">
        <f t="shared" si="0"/>
        <v>270.11849999999998</v>
      </c>
      <c r="W63" s="127">
        <v>42744</v>
      </c>
      <c r="X63" s="10">
        <v>147.01</v>
      </c>
      <c r="Y63" s="10">
        <v>148.63999999999999</v>
      </c>
      <c r="Z63" s="10">
        <v>147.01</v>
      </c>
      <c r="AA63" s="10">
        <v>147.49</v>
      </c>
      <c r="AB63" s="90">
        <v>1966300</v>
      </c>
      <c r="AC63" s="10">
        <v>147.35</v>
      </c>
      <c r="AD63" s="2"/>
      <c r="AE63" s="131"/>
    </row>
    <row r="64" spans="1:31" x14ac:dyDescent="0.25">
      <c r="O64" s="78">
        <v>0.92</v>
      </c>
      <c r="P64" s="78">
        <f t="shared" si="0"/>
        <v>267.214</v>
      </c>
      <c r="W64" s="127">
        <v>42741</v>
      </c>
      <c r="X64" s="10">
        <v>145.28</v>
      </c>
      <c r="Y64" s="10">
        <v>147.49</v>
      </c>
      <c r="Z64" s="10">
        <v>145.13999999999999</v>
      </c>
      <c r="AA64" s="10">
        <v>147.27000000000001</v>
      </c>
      <c r="AB64" s="90">
        <v>2016200</v>
      </c>
      <c r="AC64" s="10">
        <v>147.13</v>
      </c>
      <c r="AD64" s="2"/>
      <c r="AE64" s="131"/>
    </row>
    <row r="65" spans="15:31" x14ac:dyDescent="0.25">
      <c r="O65" s="78">
        <v>0.91</v>
      </c>
      <c r="P65" s="78">
        <f t="shared" si="0"/>
        <v>264.30950000000001</v>
      </c>
      <c r="W65" s="127">
        <v>42740</v>
      </c>
      <c r="X65" s="10">
        <v>145.38</v>
      </c>
      <c r="Y65" s="10">
        <v>145.77000000000001</v>
      </c>
      <c r="Z65" s="10">
        <v>144.78</v>
      </c>
      <c r="AA65" s="10">
        <v>145.38</v>
      </c>
      <c r="AB65" s="90">
        <v>1683500</v>
      </c>
      <c r="AC65" s="10">
        <v>145.24</v>
      </c>
      <c r="AD65" s="2"/>
      <c r="AE65" s="131"/>
    </row>
    <row r="66" spans="15:31" x14ac:dyDescent="0.25">
      <c r="O66" s="78">
        <v>0.9</v>
      </c>
      <c r="P66" s="78">
        <f t="shared" si="0"/>
        <v>261.40499999999997</v>
      </c>
      <c r="W66" s="127">
        <v>42739</v>
      </c>
      <c r="X66" s="10">
        <v>143.94999999999999</v>
      </c>
      <c r="Y66" s="10">
        <v>146.06</v>
      </c>
      <c r="Z66" s="10">
        <v>143.29</v>
      </c>
      <c r="AA66" s="10">
        <v>145.16</v>
      </c>
      <c r="AB66" s="90">
        <v>2167200</v>
      </c>
      <c r="AC66" s="10">
        <v>145.02000000000001</v>
      </c>
      <c r="AD66" s="2"/>
      <c r="AE66" s="131"/>
    </row>
    <row r="67" spans="15:31" x14ac:dyDescent="0.25">
      <c r="W67" s="127">
        <v>42738</v>
      </c>
      <c r="X67" s="10">
        <v>142.38999999999999</v>
      </c>
      <c r="Y67" s="10">
        <v>143.83000000000001</v>
      </c>
      <c r="Z67" s="10">
        <v>142.22999999999999</v>
      </c>
      <c r="AA67" s="10">
        <v>143.66999999999999</v>
      </c>
      <c r="AB67" s="90">
        <v>1966400</v>
      </c>
      <c r="AC67" s="10">
        <v>143.53</v>
      </c>
      <c r="AD67" s="2"/>
      <c r="AE67" s="131"/>
    </row>
    <row r="68" spans="15:31" x14ac:dyDescent="0.25">
      <c r="W68" s="127">
        <v>42734</v>
      </c>
      <c r="X68" s="10">
        <v>142.16</v>
      </c>
      <c r="Y68" s="10">
        <v>142.34</v>
      </c>
      <c r="Z68" s="10">
        <v>140.44999999999999</v>
      </c>
      <c r="AA68" s="10">
        <v>141.1</v>
      </c>
      <c r="AB68" s="90">
        <v>1063200</v>
      </c>
      <c r="AC68" s="10">
        <v>140.97</v>
      </c>
      <c r="AD68" s="2"/>
      <c r="AE68" s="131"/>
    </row>
    <row r="69" spans="15:31" x14ac:dyDescent="0.25">
      <c r="W69" s="127" t="s">
        <v>120</v>
      </c>
      <c r="X69" s="10"/>
      <c r="Y69" s="10"/>
      <c r="Z69" s="10"/>
      <c r="AA69" s="10"/>
      <c r="AB69" s="90"/>
      <c r="AC69" s="10"/>
      <c r="AD69" s="2"/>
      <c r="AE69" s="131"/>
    </row>
  </sheetData>
  <mergeCells count="1">
    <mergeCell ref="O45:P45"/>
  </mergeCells>
  <conditionalFormatting sqref="O46:O66">
    <cfRule type="colorScale" priority="22">
      <colorScale>
        <cfvo type="min"/>
        <cfvo type="percentile" val="50"/>
        <cfvo type="max"/>
        <color rgb="FFF8696B"/>
        <color rgb="FFFFEB84"/>
        <color rgb="FF63BE7B"/>
      </colorScale>
    </cfRule>
  </conditionalFormatting>
  <conditionalFormatting sqref="P46:P66">
    <cfRule type="colorScale" priority="21">
      <colorScale>
        <cfvo type="min"/>
        <cfvo type="percentile" val="50"/>
        <cfvo type="max"/>
        <color rgb="FFF8696B"/>
        <color rgb="FFFFEB84"/>
        <color rgb="FF63BE7B"/>
      </colorScale>
    </cfRule>
  </conditionalFormatting>
  <conditionalFormatting sqref="AD1:AD69">
    <cfRule type="dataBar" priority="20">
      <dataBar>
        <cfvo type="min"/>
        <cfvo type="max"/>
        <color rgb="FFFF555A"/>
      </dataBar>
      <extLst>
        <ext xmlns:x14="http://schemas.microsoft.com/office/spreadsheetml/2009/9/main" uri="{B025F937-C7B1-47D3-B67F-A62EFF666E3E}">
          <x14:id>{9D66C64F-D7EE-4453-A9E2-A871380B9E88}</x14:id>
        </ext>
      </extLst>
    </cfRule>
  </conditionalFormatting>
  <conditionalFormatting sqref="AE1:AE69">
    <cfRule type="iconSet" priority="19">
      <iconSet iconSet="3Arrows">
        <cfvo type="percent" val="0"/>
        <cfvo type="num" val="0"/>
        <cfvo type="num" val="0"/>
      </iconSet>
    </cfRule>
  </conditionalFormatting>
  <conditionalFormatting sqref="F26 F31:F41 F21">
    <cfRule type="expression" dxfId="23" priority="17">
      <formula>F21&gt;0</formula>
    </cfRule>
    <cfRule type="expression" dxfId="22" priority="18">
      <formula>F21&lt;0</formula>
    </cfRule>
  </conditionalFormatting>
  <conditionalFormatting sqref="H26 H31:H41 H21">
    <cfRule type="expression" dxfId="21" priority="15">
      <formula>H21&gt;0</formula>
    </cfRule>
    <cfRule type="expression" dxfId="20" priority="16">
      <formula>H21&lt;0</formula>
    </cfRule>
  </conditionalFormatting>
  <conditionalFormatting sqref="Q7">
    <cfRule type="expression" dxfId="19" priority="9">
      <formula>Q7&gt;0</formula>
    </cfRule>
    <cfRule type="expression" dxfId="18" priority="10">
      <formula>Q7&lt;0</formula>
    </cfRule>
  </conditionalFormatting>
  <conditionalFormatting sqref="Q8">
    <cfRule type="expression" dxfId="17" priority="7">
      <formula>Q8&gt;0</formula>
    </cfRule>
    <cfRule type="expression" dxfId="16" priority="8">
      <formula>Q8&lt;0</formula>
    </cfRule>
  </conditionalFormatting>
  <conditionalFormatting sqref="F27:F30 F22:F25">
    <cfRule type="expression" dxfId="15" priority="5">
      <formula>F22&gt;0</formula>
    </cfRule>
    <cfRule type="expression" dxfId="14" priority="6">
      <formula>F22&lt;0</formula>
    </cfRule>
  </conditionalFormatting>
  <conditionalFormatting sqref="H27:H30 H22:H25">
    <cfRule type="expression" dxfId="13" priority="3">
      <formula>H22&gt;0</formula>
    </cfRule>
    <cfRule type="expression" dxfId="12" priority="4">
      <formula>H22&lt;0</formula>
    </cfRule>
  </conditionalFormatting>
  <conditionalFormatting sqref="M43">
    <cfRule type="expression" dxfId="11" priority="1">
      <formula>M43&gt;0</formula>
    </cfRule>
    <cfRule type="expression" dxfId="10" priority="2">
      <formula>M43&lt;0</formula>
    </cfRule>
  </conditionalFormatting>
  <hyperlinks>
    <hyperlink ref="A3" location="ACTIVE!A1" display="Back"/>
    <hyperlink ref="A4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9D66C64F-D7EE-4453-A9E2-A871380B9E88}">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AQ69"/>
  <sheetViews>
    <sheetView workbookViewId="0">
      <pane ySplit="1" topLeftCell="A2" activePane="bottomLeft" state="frozen"/>
      <selection activeCell="A2" sqref="A2"/>
      <selection pane="bottomLeft" activeCell="A3" sqref="A3"/>
    </sheetView>
  </sheetViews>
  <sheetFormatPr defaultRowHeight="15" x14ac:dyDescent="0.25"/>
  <cols>
    <col min="5" max="5" width="9.140625" style="2"/>
    <col min="20" max="20" width="18.5703125" bestFit="1" customWidth="1"/>
    <col min="21" max="21" width="34.7109375" style="81" bestFit="1" customWidth="1"/>
    <col min="23" max="23" width="12.7109375" customWidth="1"/>
    <col min="24" max="24" width="9.42578125" customWidth="1"/>
    <col min="25" max="27" width="6"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79"/>
      <c r="W1" s="88" t="s">
        <v>113</v>
      </c>
      <c r="X1" s="88" t="s">
        <v>114</v>
      </c>
      <c r="Y1" s="88" t="s">
        <v>115</v>
      </c>
      <c r="Z1" s="88" t="s">
        <v>116</v>
      </c>
      <c r="AA1" s="88" t="s">
        <v>117</v>
      </c>
      <c r="AB1" s="88" t="s">
        <v>118</v>
      </c>
      <c r="AC1" s="88" t="s">
        <v>119</v>
      </c>
      <c r="AD1" s="11" t="s">
        <v>125</v>
      </c>
      <c r="AE1" s="11" t="s">
        <v>127</v>
      </c>
      <c r="AI1" s="11" t="s">
        <v>152</v>
      </c>
      <c r="AJ1" s="11" t="s">
        <v>153</v>
      </c>
      <c r="AK1" s="11" t="s">
        <v>154</v>
      </c>
      <c r="AL1" s="11" t="s">
        <v>155</v>
      </c>
      <c r="AO1" s="11" t="s">
        <v>156</v>
      </c>
      <c r="AP1" s="11" t="s">
        <v>59</v>
      </c>
      <c r="AQ1" s="11" t="s">
        <v>158</v>
      </c>
    </row>
    <row r="2" spans="1:43" x14ac:dyDescent="0.25">
      <c r="A2" s="6" t="s">
        <v>39</v>
      </c>
      <c r="B2" s="69"/>
      <c r="C2" s="4"/>
      <c r="D2" s="3"/>
      <c r="E2" s="3"/>
      <c r="F2" s="3"/>
      <c r="G2" s="69"/>
      <c r="H2" s="158"/>
      <c r="I2" s="3"/>
      <c r="J2" s="3"/>
      <c r="K2" s="4"/>
      <c r="L2" s="69"/>
      <c r="M2" s="3"/>
      <c r="O2" s="11" t="s">
        <v>57</v>
      </c>
      <c r="Q2">
        <f>C18-H18</f>
        <v>0</v>
      </c>
      <c r="T2" s="1">
        <v>42305</v>
      </c>
      <c r="U2" s="81" t="s">
        <v>138</v>
      </c>
      <c r="W2" s="127">
        <v>42830</v>
      </c>
      <c r="X2" s="10">
        <v>44.5</v>
      </c>
      <c r="Y2" s="10">
        <v>44.95</v>
      </c>
      <c r="Z2" s="10">
        <v>43.15</v>
      </c>
      <c r="AA2" s="10">
        <v>43.35</v>
      </c>
      <c r="AB2" s="90">
        <v>915100</v>
      </c>
      <c r="AC2" s="10">
        <v>43.35</v>
      </c>
      <c r="AD2" s="2">
        <f>Y2-Z2</f>
        <v>1.8000000000000043</v>
      </c>
      <c r="AE2" s="131">
        <f>AC2/AC3-1</f>
        <v>-1.8120045300113241E-2</v>
      </c>
      <c r="AP2" t="s">
        <v>157</v>
      </c>
    </row>
    <row r="3" spans="1:43" x14ac:dyDescent="0.25">
      <c r="A3" s="22" t="s">
        <v>71</v>
      </c>
      <c r="B3" s="69"/>
      <c r="C3" s="4"/>
      <c r="D3" s="3"/>
      <c r="E3" s="3"/>
      <c r="F3" s="3"/>
      <c r="G3" s="69"/>
      <c r="H3" s="158"/>
      <c r="I3" s="3"/>
      <c r="J3" s="3"/>
      <c r="K3" s="4"/>
      <c r="L3" s="69"/>
      <c r="M3" s="3"/>
      <c r="O3" s="11" t="s">
        <v>58</v>
      </c>
      <c r="Q3" s="2">
        <f>IF(Q2=0, Q4, (F18-K18-M18)/Q2)</f>
        <v>43.92</v>
      </c>
      <c r="W3" s="127">
        <v>42829</v>
      </c>
      <c r="X3" s="10">
        <v>44.5</v>
      </c>
      <c r="Y3" s="10">
        <v>44.75</v>
      </c>
      <c r="Z3" s="10">
        <v>43.75</v>
      </c>
      <c r="AA3" s="10">
        <v>44.15</v>
      </c>
      <c r="AB3" s="90">
        <v>630400</v>
      </c>
      <c r="AC3" s="10">
        <v>44.15</v>
      </c>
      <c r="AD3" s="2">
        <f t="shared" ref="AD3:AD66" si="0">Y3-Z3</f>
        <v>1</v>
      </c>
      <c r="AE3" s="131">
        <f t="shared" ref="AE3:AE66" si="1">AC3/AC4-1</f>
        <v>-4.5095828635851598E-3</v>
      </c>
      <c r="AI3" t="s">
        <v>165</v>
      </c>
      <c r="AJ3">
        <v>90</v>
      </c>
      <c r="AK3">
        <v>28.4</v>
      </c>
      <c r="AL3" s="178">
        <v>2556</v>
      </c>
      <c r="AO3" s="178">
        <v>2894.4</v>
      </c>
      <c r="AP3">
        <v>338.4</v>
      </c>
      <c r="AQ3">
        <v>13.24</v>
      </c>
    </row>
    <row r="4" spans="1:43" x14ac:dyDescent="0.25">
      <c r="B4" s="69"/>
      <c r="C4" s="4"/>
      <c r="D4" s="3"/>
      <c r="E4" s="3"/>
      <c r="F4" s="3"/>
      <c r="G4" s="69"/>
      <c r="H4" s="158"/>
      <c r="I4" s="4"/>
      <c r="J4" s="3"/>
      <c r="K4" s="4"/>
      <c r="L4" s="4"/>
      <c r="M4" s="4"/>
      <c r="O4" s="11" t="s">
        <v>66</v>
      </c>
      <c r="Q4" s="53">
        <v>43.92</v>
      </c>
      <c r="R4" s="396">
        <v>1.55E-2</v>
      </c>
      <c r="W4" s="127">
        <v>42828</v>
      </c>
      <c r="X4" s="10">
        <v>45.35</v>
      </c>
      <c r="Y4" s="10">
        <v>45.6</v>
      </c>
      <c r="Z4" s="10">
        <v>44.1</v>
      </c>
      <c r="AA4" s="10">
        <v>44.35</v>
      </c>
      <c r="AB4" s="90">
        <v>1307800</v>
      </c>
      <c r="AC4" s="10">
        <v>44.35</v>
      </c>
      <c r="AD4" s="2">
        <f t="shared" si="0"/>
        <v>1.5</v>
      </c>
      <c r="AE4" s="131">
        <f t="shared" si="1"/>
        <v>-1.8805309734513331E-2</v>
      </c>
    </row>
    <row r="5" spans="1:43" x14ac:dyDescent="0.25">
      <c r="B5" s="69"/>
      <c r="C5" s="4"/>
      <c r="D5" s="3"/>
      <c r="E5" s="3"/>
      <c r="F5" s="3"/>
      <c r="G5" s="69"/>
      <c r="H5" s="158"/>
      <c r="I5" s="3"/>
      <c r="J5" s="3"/>
      <c r="K5" s="4"/>
      <c r="L5" s="4"/>
      <c r="M5" s="4"/>
      <c r="O5" s="11" t="s">
        <v>67</v>
      </c>
      <c r="Q5" s="3">
        <f>Q4*Q2</f>
        <v>0</v>
      </c>
      <c r="W5" s="127">
        <v>42825</v>
      </c>
      <c r="X5" s="10">
        <v>44.9</v>
      </c>
      <c r="Y5" s="10">
        <v>45.5</v>
      </c>
      <c r="Z5" s="10">
        <v>44.76</v>
      </c>
      <c r="AA5" s="10">
        <v>45.2</v>
      </c>
      <c r="AB5" s="90">
        <v>867000</v>
      </c>
      <c r="AC5" s="10">
        <v>45.2</v>
      </c>
      <c r="AD5" s="2">
        <f t="shared" si="0"/>
        <v>0.74000000000000199</v>
      </c>
      <c r="AE5" s="131">
        <f t="shared" si="1"/>
        <v>1.1074197120710672E-3</v>
      </c>
    </row>
    <row r="6" spans="1:43" x14ac:dyDescent="0.25">
      <c r="B6" s="69"/>
      <c r="C6" s="4"/>
      <c r="D6" s="3"/>
      <c r="E6" s="3"/>
      <c r="F6" s="3"/>
      <c r="G6" s="69"/>
      <c r="H6" s="158"/>
      <c r="I6" s="3"/>
      <c r="J6" s="3"/>
      <c r="K6" s="4"/>
      <c r="L6" s="4"/>
      <c r="M6" s="4"/>
      <c r="O6" s="11" t="s">
        <v>64</v>
      </c>
      <c r="Q6" s="2">
        <f>Q3*Q2</f>
        <v>0</v>
      </c>
      <c r="W6" s="127">
        <v>42824</v>
      </c>
      <c r="X6" s="10">
        <v>44</v>
      </c>
      <c r="Y6" s="10">
        <v>45.25</v>
      </c>
      <c r="Z6" s="10">
        <v>44</v>
      </c>
      <c r="AA6" s="10">
        <v>45.15</v>
      </c>
      <c r="AB6" s="90">
        <v>909900</v>
      </c>
      <c r="AC6" s="10">
        <v>45.15</v>
      </c>
      <c r="AD6" s="2">
        <f t="shared" si="0"/>
        <v>1.25</v>
      </c>
      <c r="AE6" s="131">
        <f t="shared" si="1"/>
        <v>2.6136363636363624E-2</v>
      </c>
    </row>
    <row r="7" spans="1:43" x14ac:dyDescent="0.25">
      <c r="B7" s="69"/>
      <c r="C7" s="4"/>
      <c r="D7" s="3"/>
      <c r="E7" s="3"/>
      <c r="F7" s="3"/>
      <c r="G7" s="4"/>
      <c r="H7" s="4"/>
      <c r="I7" s="4"/>
      <c r="J7" s="4"/>
      <c r="K7" s="4"/>
      <c r="L7" s="4"/>
      <c r="M7" s="4"/>
      <c r="O7" s="11" t="s">
        <v>175</v>
      </c>
      <c r="Q7" s="2">
        <f>Q10+Q8</f>
        <v>529.88000000000284</v>
      </c>
      <c r="R7">
        <v>0</v>
      </c>
      <c r="W7" s="127">
        <v>42823</v>
      </c>
      <c r="X7" s="10">
        <v>43.7</v>
      </c>
      <c r="Y7" s="10">
        <v>44.2</v>
      </c>
      <c r="Z7" s="10">
        <v>43.2</v>
      </c>
      <c r="AA7" s="10">
        <v>44</v>
      </c>
      <c r="AB7" s="90">
        <v>696100</v>
      </c>
      <c r="AC7" s="10">
        <v>44</v>
      </c>
      <c r="AD7" s="2">
        <f t="shared" si="0"/>
        <v>1</v>
      </c>
      <c r="AE7" s="131">
        <f t="shared" si="1"/>
        <v>6.8649885583522696E-3</v>
      </c>
    </row>
    <row r="8" spans="1:43" x14ac:dyDescent="0.25">
      <c r="B8" s="69"/>
      <c r="C8" s="4"/>
      <c r="D8" s="3"/>
      <c r="E8" s="3"/>
      <c r="F8" s="3"/>
      <c r="G8" s="4"/>
      <c r="H8" s="4"/>
      <c r="I8" s="4"/>
      <c r="J8" s="4"/>
      <c r="K8" s="4"/>
      <c r="L8" s="4"/>
      <c r="M8" s="4"/>
      <c r="O8" s="11" t="s">
        <v>177</v>
      </c>
      <c r="P8" s="33"/>
      <c r="Q8" s="2">
        <f>K18+M18-F18+Q2*Q4</f>
        <v>0</v>
      </c>
      <c r="W8" s="127">
        <v>42822</v>
      </c>
      <c r="X8" s="10">
        <v>42.8</v>
      </c>
      <c r="Y8" s="10">
        <v>44.3</v>
      </c>
      <c r="Z8" s="10">
        <v>42.8</v>
      </c>
      <c r="AA8" s="10">
        <v>43.7</v>
      </c>
      <c r="AB8" s="90">
        <v>504900</v>
      </c>
      <c r="AC8" s="10">
        <v>43.7</v>
      </c>
      <c r="AD8" s="2">
        <f t="shared" si="0"/>
        <v>1.5</v>
      </c>
      <c r="AE8" s="131">
        <f t="shared" si="1"/>
        <v>1.8648018648018683E-2</v>
      </c>
    </row>
    <row r="9" spans="1:43" x14ac:dyDescent="0.25">
      <c r="B9" s="69"/>
      <c r="C9" s="4"/>
      <c r="D9" s="3"/>
      <c r="E9" s="3"/>
      <c r="F9" s="3"/>
      <c r="G9" s="4"/>
      <c r="H9" s="4"/>
      <c r="I9" s="4"/>
      <c r="J9" s="4"/>
      <c r="K9" s="4"/>
      <c r="L9" s="4"/>
      <c r="M9" s="4"/>
      <c r="O9" s="11" t="s">
        <v>202</v>
      </c>
      <c r="Q9" s="131">
        <f>IF(Q2=0, 0, Q8/Q6)</f>
        <v>0</v>
      </c>
      <c r="W9" s="127">
        <v>42821</v>
      </c>
      <c r="X9" s="10">
        <v>42.45</v>
      </c>
      <c r="Y9" s="10">
        <v>43.2</v>
      </c>
      <c r="Z9" s="10">
        <v>41.78</v>
      </c>
      <c r="AA9" s="10">
        <v>42.9</v>
      </c>
      <c r="AB9" s="90">
        <v>836600</v>
      </c>
      <c r="AC9" s="10">
        <v>42.9</v>
      </c>
      <c r="AD9" s="2">
        <f t="shared" si="0"/>
        <v>1.4200000000000017</v>
      </c>
      <c r="AE9" s="131">
        <f t="shared" si="1"/>
        <v>-1.492537313432829E-2</v>
      </c>
    </row>
    <row r="10" spans="1:43" x14ac:dyDescent="0.25">
      <c r="B10" s="4"/>
      <c r="C10" s="4"/>
      <c r="D10" s="4"/>
      <c r="E10" s="3"/>
      <c r="F10" s="4"/>
      <c r="G10" s="4"/>
      <c r="H10" s="4"/>
      <c r="I10" s="4"/>
      <c r="J10" s="4"/>
      <c r="K10" s="4"/>
      <c r="L10" s="4"/>
      <c r="M10" s="4"/>
      <c r="O10" s="11" t="s">
        <v>201</v>
      </c>
      <c r="P10" s="33"/>
      <c r="Q10" s="2">
        <f>M36</f>
        <v>529.88000000000284</v>
      </c>
      <c r="W10" s="127">
        <v>42818</v>
      </c>
      <c r="X10" s="10">
        <v>44.15</v>
      </c>
      <c r="Y10" s="10">
        <v>44.7</v>
      </c>
      <c r="Z10" s="10">
        <v>43.2</v>
      </c>
      <c r="AA10" s="10">
        <v>43.55</v>
      </c>
      <c r="AB10" s="90">
        <v>902800</v>
      </c>
      <c r="AC10" s="10">
        <v>43.55</v>
      </c>
      <c r="AD10" s="2">
        <f t="shared" si="0"/>
        <v>1.5</v>
      </c>
      <c r="AE10" s="131">
        <f t="shared" si="1"/>
        <v>-1.3590033975084959E-2</v>
      </c>
    </row>
    <row r="11" spans="1:43" x14ac:dyDescent="0.25">
      <c r="B11" s="4"/>
      <c r="C11" s="4"/>
      <c r="D11" s="4"/>
      <c r="E11" s="3"/>
      <c r="F11" s="4"/>
      <c r="G11" s="4"/>
      <c r="H11" s="4"/>
      <c r="I11" s="4"/>
      <c r="J11" s="4"/>
      <c r="K11" s="4"/>
      <c r="L11" s="4"/>
      <c r="M11" s="4"/>
      <c r="O11" s="11" t="s">
        <v>173</v>
      </c>
      <c r="P11" s="33"/>
      <c r="Q11" s="131">
        <f>IF(U58="N/A (N/A)", 0, VALUE(TRIM(CLEAN(MID(U58, FIND("(", U58)+1, 5)))))</f>
        <v>2.3E-2</v>
      </c>
      <c r="W11" s="127">
        <v>42817</v>
      </c>
      <c r="X11" s="10">
        <v>44.05</v>
      </c>
      <c r="Y11" s="10">
        <v>44.55</v>
      </c>
      <c r="Z11" s="10">
        <v>43.9</v>
      </c>
      <c r="AA11" s="10">
        <v>44.15</v>
      </c>
      <c r="AB11" s="90">
        <v>744100</v>
      </c>
      <c r="AC11" s="10">
        <v>44.15</v>
      </c>
      <c r="AD11" s="2">
        <f t="shared" si="0"/>
        <v>0.64999999999999858</v>
      </c>
      <c r="AE11" s="131">
        <f t="shared" si="1"/>
        <v>3.4090909090909172E-3</v>
      </c>
    </row>
    <row r="12" spans="1:43" x14ac:dyDescent="0.25">
      <c r="B12" s="4"/>
      <c r="C12" s="4"/>
      <c r="D12" s="4"/>
      <c r="E12" s="3"/>
      <c r="F12" s="4"/>
      <c r="G12" s="4"/>
      <c r="H12" s="4"/>
      <c r="I12" s="4"/>
      <c r="J12" s="4"/>
      <c r="K12" s="4"/>
      <c r="L12" s="4"/>
      <c r="M12" s="4"/>
      <c r="W12" s="127">
        <v>42816</v>
      </c>
      <c r="X12" s="10">
        <v>43.05</v>
      </c>
      <c r="Y12" s="10">
        <v>44.15</v>
      </c>
      <c r="Z12" s="10">
        <v>42.65</v>
      </c>
      <c r="AA12" s="10">
        <v>44</v>
      </c>
      <c r="AB12" s="90">
        <v>1031200</v>
      </c>
      <c r="AC12" s="10">
        <v>44</v>
      </c>
      <c r="AD12" s="2">
        <f t="shared" si="0"/>
        <v>1.5</v>
      </c>
      <c r="AE12" s="131">
        <f t="shared" si="1"/>
        <v>1.9698725376593229E-2</v>
      </c>
    </row>
    <row r="13" spans="1:43" x14ac:dyDescent="0.25">
      <c r="W13" s="127">
        <v>42815</v>
      </c>
      <c r="X13" s="10">
        <v>45.15</v>
      </c>
      <c r="Y13" s="10">
        <v>45.19</v>
      </c>
      <c r="Z13" s="10">
        <v>43.15</v>
      </c>
      <c r="AA13" s="10">
        <v>43.15</v>
      </c>
      <c r="AB13" s="90">
        <v>880800</v>
      </c>
      <c r="AC13" s="10">
        <v>43.15</v>
      </c>
      <c r="AD13" s="2">
        <f t="shared" si="0"/>
        <v>2.0399999999999991</v>
      </c>
      <c r="AE13" s="131">
        <f t="shared" si="1"/>
        <v>-4.2175360710321796E-2</v>
      </c>
    </row>
    <row r="14" spans="1:43" x14ac:dyDescent="0.25">
      <c r="W14" s="127">
        <v>42814</v>
      </c>
      <c r="X14" s="10">
        <v>44.9</v>
      </c>
      <c r="Y14" s="10">
        <v>45.2</v>
      </c>
      <c r="Z14" s="10">
        <v>44.55</v>
      </c>
      <c r="AA14" s="10">
        <v>45.05</v>
      </c>
      <c r="AB14" s="90">
        <v>362700</v>
      </c>
      <c r="AC14" s="10">
        <v>45.05</v>
      </c>
      <c r="AD14" s="2">
        <f t="shared" si="0"/>
        <v>0.65000000000000568</v>
      </c>
      <c r="AE14" s="131">
        <f t="shared" si="1"/>
        <v>2.2246941045604984E-3</v>
      </c>
    </row>
    <row r="15" spans="1:43" x14ac:dyDescent="0.25">
      <c r="W15" s="127">
        <v>42811</v>
      </c>
      <c r="X15" s="10">
        <v>45.5</v>
      </c>
      <c r="Y15" s="10">
        <v>45.65</v>
      </c>
      <c r="Z15" s="10">
        <v>44.75</v>
      </c>
      <c r="AA15" s="10">
        <v>44.95</v>
      </c>
      <c r="AB15" s="90">
        <v>811900</v>
      </c>
      <c r="AC15" s="10">
        <v>44.95</v>
      </c>
      <c r="AD15" s="2">
        <f t="shared" si="0"/>
        <v>0.89999999999999858</v>
      </c>
      <c r="AE15" s="131">
        <f t="shared" si="1"/>
        <v>-1.3172338090010838E-2</v>
      </c>
    </row>
    <row r="16" spans="1:43" x14ac:dyDescent="0.25">
      <c r="W16" s="127">
        <v>42810</v>
      </c>
      <c r="X16" s="10">
        <v>45.85</v>
      </c>
      <c r="Y16" s="10">
        <v>46</v>
      </c>
      <c r="Z16" s="10">
        <v>45.25</v>
      </c>
      <c r="AA16" s="10">
        <v>45.55</v>
      </c>
      <c r="AB16" s="90">
        <v>663100</v>
      </c>
      <c r="AC16" s="10">
        <v>45.55</v>
      </c>
      <c r="AD16" s="2">
        <f t="shared" si="0"/>
        <v>0.75</v>
      </c>
      <c r="AE16" s="131">
        <f t="shared" si="1"/>
        <v>-2.1905805038335835E-3</v>
      </c>
    </row>
    <row r="17" spans="1:31" x14ac:dyDescent="0.25">
      <c r="W17" s="127">
        <v>42809</v>
      </c>
      <c r="X17" s="10">
        <v>44.6</v>
      </c>
      <c r="Y17" s="10">
        <v>45.9</v>
      </c>
      <c r="Z17" s="10">
        <v>44.5</v>
      </c>
      <c r="AA17" s="10">
        <v>45.65</v>
      </c>
      <c r="AB17" s="90">
        <v>1408000</v>
      </c>
      <c r="AC17" s="10">
        <v>45.65</v>
      </c>
      <c r="AD17" s="2">
        <f t="shared" si="0"/>
        <v>1.3999999999999986</v>
      </c>
      <c r="AE17" s="131">
        <f t="shared" si="1"/>
        <v>3.2805429864253277E-2</v>
      </c>
    </row>
    <row r="18" spans="1:31" x14ac:dyDescent="0.25">
      <c r="A18" s="31" t="s">
        <v>81</v>
      </c>
      <c r="B18" s="14"/>
      <c r="C18" s="14">
        <f>SUM(C2:C9)</f>
        <v>0</v>
      </c>
      <c r="D18" s="14"/>
      <c r="E18" s="18"/>
      <c r="F18" s="14">
        <f>SUM(F2:F9)</f>
        <v>0</v>
      </c>
      <c r="G18" s="14"/>
      <c r="H18" s="68">
        <f>SUM(H2:H9)</f>
        <v>0</v>
      </c>
      <c r="I18" s="14"/>
      <c r="J18" s="14"/>
      <c r="K18" s="14">
        <f>SUM(K2:K17)</f>
        <v>0</v>
      </c>
      <c r="L18" s="14"/>
      <c r="M18" s="18">
        <f>SUM(M2:M4)</f>
        <v>0</v>
      </c>
      <c r="W18" s="127">
        <v>42808</v>
      </c>
      <c r="X18" s="10">
        <v>44.3</v>
      </c>
      <c r="Y18" s="10">
        <v>44.5</v>
      </c>
      <c r="Z18" s="10">
        <v>43.75</v>
      </c>
      <c r="AA18" s="10">
        <v>44.2</v>
      </c>
      <c r="AB18" s="90">
        <v>345500</v>
      </c>
      <c r="AC18" s="10">
        <v>44.2</v>
      </c>
      <c r="AD18" s="2">
        <f t="shared" si="0"/>
        <v>0.75</v>
      </c>
      <c r="AE18" s="131">
        <f t="shared" si="1"/>
        <v>-1.4492753623188359E-2</v>
      </c>
    </row>
    <row r="19" spans="1:31" x14ac:dyDescent="0.25">
      <c r="W19" s="127">
        <v>42807</v>
      </c>
      <c r="X19" s="10">
        <v>44.75</v>
      </c>
      <c r="Y19" s="10">
        <v>45.2</v>
      </c>
      <c r="Z19" s="10">
        <v>44.45</v>
      </c>
      <c r="AA19" s="10">
        <v>44.85</v>
      </c>
      <c r="AB19" s="90">
        <v>526900</v>
      </c>
      <c r="AC19" s="10">
        <v>44.85</v>
      </c>
      <c r="AD19" s="2">
        <f t="shared" si="0"/>
        <v>0.75</v>
      </c>
      <c r="AE19" s="131">
        <f t="shared" si="1"/>
        <v>6.7340067340069254E-3</v>
      </c>
    </row>
    <row r="20" spans="1:31" x14ac:dyDescent="0.25">
      <c r="B20" s="159" t="s">
        <v>113</v>
      </c>
      <c r="C20" s="159" t="s">
        <v>143</v>
      </c>
      <c r="D20" s="160" t="s">
        <v>142</v>
      </c>
      <c r="E20" s="162" t="s">
        <v>144</v>
      </c>
      <c r="F20" s="163" t="s">
        <v>65</v>
      </c>
      <c r="G20" s="173" t="s">
        <v>148</v>
      </c>
      <c r="H20" s="163" t="s">
        <v>88</v>
      </c>
      <c r="I20" s="162" t="s">
        <v>151</v>
      </c>
      <c r="W20" s="127">
        <v>42804</v>
      </c>
      <c r="X20" s="10">
        <v>43.75</v>
      </c>
      <c r="Y20" s="10">
        <v>44.68</v>
      </c>
      <c r="Z20" s="10">
        <v>43.45</v>
      </c>
      <c r="AA20" s="10">
        <v>44.55</v>
      </c>
      <c r="AB20" s="90">
        <v>808700</v>
      </c>
      <c r="AC20" s="10">
        <v>44.55</v>
      </c>
      <c r="AD20" s="2">
        <f t="shared" si="0"/>
        <v>1.2299999999999969</v>
      </c>
      <c r="AE20" s="131">
        <f t="shared" si="1"/>
        <v>2.7681660899653959E-2</v>
      </c>
    </row>
    <row r="21" spans="1:31" x14ac:dyDescent="0.25">
      <c r="B21" s="161">
        <v>42304</v>
      </c>
      <c r="C21" s="10">
        <v>340</v>
      </c>
      <c r="D21" s="39">
        <v>29.77</v>
      </c>
      <c r="E21" s="39">
        <v>28.78</v>
      </c>
      <c r="F21" s="39">
        <v>-337</v>
      </c>
      <c r="G21" s="39">
        <f t="shared" ref="G21:G31" si="2">IF(C21=0, 0,D21*C21)</f>
        <v>10121.799999999999</v>
      </c>
      <c r="H21" s="176">
        <f t="shared" ref="H21:H31" si="3">IF(C21=0, D21, (E21-D21)/D21)</f>
        <v>-3.3254954652334516E-2</v>
      </c>
      <c r="I21" s="39"/>
      <c r="W21" s="127">
        <v>42803</v>
      </c>
      <c r="X21" s="10">
        <v>44.15</v>
      </c>
      <c r="Y21" s="10">
        <v>44.35</v>
      </c>
      <c r="Z21" s="10">
        <v>42.88</v>
      </c>
      <c r="AA21" s="10">
        <v>43.35</v>
      </c>
      <c r="AB21" s="90">
        <v>467400</v>
      </c>
      <c r="AC21" s="10">
        <v>43.35</v>
      </c>
      <c r="AD21" s="2">
        <f t="shared" si="0"/>
        <v>1.4699999999999989</v>
      </c>
      <c r="AE21" s="131">
        <f t="shared" si="1"/>
        <v>-2.3648648648648574E-2</v>
      </c>
    </row>
    <row r="22" spans="1:31" x14ac:dyDescent="0.25">
      <c r="B22" s="161">
        <v>42305</v>
      </c>
      <c r="C22" s="10">
        <v>170</v>
      </c>
      <c r="D22" s="39">
        <v>29.3</v>
      </c>
      <c r="E22" s="39">
        <v>30.6</v>
      </c>
      <c r="F22" s="39">
        <v>220.36000000000058</v>
      </c>
      <c r="G22" s="39">
        <f t="shared" si="2"/>
        <v>4981</v>
      </c>
      <c r="H22" s="176">
        <f t="shared" si="3"/>
        <v>4.4368600682593878E-2</v>
      </c>
      <c r="I22" s="39"/>
      <c r="W22" s="127">
        <v>42802</v>
      </c>
      <c r="X22" s="10">
        <v>44.85</v>
      </c>
      <c r="Y22" s="10">
        <v>45.2</v>
      </c>
      <c r="Z22" s="10">
        <v>44.3</v>
      </c>
      <c r="AA22" s="10">
        <v>44.4</v>
      </c>
      <c r="AB22" s="90">
        <v>612100</v>
      </c>
      <c r="AC22" s="10">
        <v>44.4</v>
      </c>
      <c r="AD22" s="2">
        <f t="shared" si="0"/>
        <v>0.90000000000000568</v>
      </c>
      <c r="AE22" s="131">
        <f t="shared" si="1"/>
        <v>-7.8212290502793769E-3</v>
      </c>
    </row>
    <row r="23" spans="1:31" x14ac:dyDescent="0.25">
      <c r="B23" s="161">
        <v>42311</v>
      </c>
      <c r="C23" s="10">
        <v>90</v>
      </c>
      <c r="D23" s="39">
        <v>26.46</v>
      </c>
      <c r="E23" s="39">
        <v>32.409999999999997</v>
      </c>
      <c r="F23" s="39">
        <v>535.21</v>
      </c>
      <c r="G23" s="39">
        <f t="shared" si="2"/>
        <v>2381.4</v>
      </c>
      <c r="H23" s="176">
        <f t="shared" si="3"/>
        <v>0.22486772486772469</v>
      </c>
      <c r="I23" s="39"/>
      <c r="W23" s="127">
        <v>42801</v>
      </c>
      <c r="X23" s="10">
        <v>45.3</v>
      </c>
      <c r="Y23" s="10">
        <v>45.5</v>
      </c>
      <c r="Z23" s="10">
        <v>44.5</v>
      </c>
      <c r="AA23" s="10">
        <v>44.75</v>
      </c>
      <c r="AB23" s="90">
        <v>784200</v>
      </c>
      <c r="AC23" s="10">
        <v>44.75</v>
      </c>
      <c r="AD23" s="2">
        <f t="shared" si="0"/>
        <v>1</v>
      </c>
      <c r="AE23" s="131">
        <f t="shared" si="1"/>
        <v>-1.7563117453347932E-2</v>
      </c>
    </row>
    <row r="24" spans="1:31" x14ac:dyDescent="0.25">
      <c r="B24" s="161">
        <v>42345</v>
      </c>
      <c r="C24" s="10">
        <v>90</v>
      </c>
      <c r="D24" s="39">
        <v>26.2</v>
      </c>
      <c r="E24" s="39">
        <v>30.88</v>
      </c>
      <c r="F24" s="39">
        <v>421</v>
      </c>
      <c r="G24" s="39">
        <f t="shared" si="2"/>
        <v>2358</v>
      </c>
      <c r="H24" s="176">
        <f t="shared" si="3"/>
        <v>0.17862595419847327</v>
      </c>
      <c r="I24" s="39"/>
      <c r="W24" s="127">
        <v>42800</v>
      </c>
      <c r="X24" s="10">
        <v>44.4</v>
      </c>
      <c r="Y24" s="10">
        <v>45.6</v>
      </c>
      <c r="Z24" s="10">
        <v>44.25</v>
      </c>
      <c r="AA24" s="10">
        <v>45.55</v>
      </c>
      <c r="AB24" s="90">
        <v>1312100</v>
      </c>
      <c r="AC24" s="10">
        <v>45.55</v>
      </c>
      <c r="AD24" s="2">
        <f t="shared" si="0"/>
        <v>1.3500000000000014</v>
      </c>
      <c r="AE24" s="131">
        <f t="shared" si="1"/>
        <v>1.2222222222222134E-2</v>
      </c>
    </row>
    <row r="25" spans="1:31" x14ac:dyDescent="0.25">
      <c r="B25" s="161">
        <v>42349</v>
      </c>
      <c r="C25" s="10">
        <v>90</v>
      </c>
      <c r="D25" s="39">
        <v>26.2</v>
      </c>
      <c r="E25" s="39">
        <v>28.79</v>
      </c>
      <c r="F25" s="39">
        <v>232.81</v>
      </c>
      <c r="G25" s="39">
        <f t="shared" si="2"/>
        <v>2358</v>
      </c>
      <c r="H25" s="176">
        <f t="shared" si="3"/>
        <v>9.8854961832061064E-2</v>
      </c>
      <c r="I25" s="39"/>
      <c r="W25" s="127">
        <v>42797</v>
      </c>
      <c r="X25" s="10">
        <v>44.75</v>
      </c>
      <c r="Y25" s="10">
        <v>45.33</v>
      </c>
      <c r="Z25" s="10">
        <v>44.55</v>
      </c>
      <c r="AA25" s="10">
        <v>45</v>
      </c>
      <c r="AB25" s="90">
        <v>940600</v>
      </c>
      <c r="AC25" s="10">
        <v>45</v>
      </c>
      <c r="AD25" s="2">
        <f t="shared" si="0"/>
        <v>0.78000000000000114</v>
      </c>
      <c r="AE25" s="131">
        <f t="shared" si="1"/>
        <v>1.2373453318335059E-2</v>
      </c>
    </row>
    <row r="26" spans="1:31" x14ac:dyDescent="0.25">
      <c r="B26" s="161">
        <v>42356</v>
      </c>
      <c r="C26" s="10">
        <v>130</v>
      </c>
      <c r="D26" s="39">
        <v>26.53</v>
      </c>
      <c r="E26" s="39">
        <v>27.26</v>
      </c>
      <c r="F26" s="39">
        <v>95.51</v>
      </c>
      <c r="G26" s="39">
        <f t="shared" si="2"/>
        <v>3448.9</v>
      </c>
      <c r="H26" s="176">
        <f t="shared" si="3"/>
        <v>2.7516019600452333E-2</v>
      </c>
      <c r="I26" s="39"/>
      <c r="W26" s="127">
        <v>42796</v>
      </c>
      <c r="X26" s="10">
        <v>45.55</v>
      </c>
      <c r="Y26" s="10">
        <v>45.75</v>
      </c>
      <c r="Z26" s="10">
        <v>44.35</v>
      </c>
      <c r="AA26" s="10">
        <v>44.45</v>
      </c>
      <c r="AB26" s="90">
        <v>656600</v>
      </c>
      <c r="AC26" s="10">
        <v>44.45</v>
      </c>
      <c r="AD26" s="2">
        <f t="shared" si="0"/>
        <v>1.3999999999999986</v>
      </c>
      <c r="AE26" s="131">
        <f t="shared" si="1"/>
        <v>-2.3076923076922995E-2</v>
      </c>
    </row>
    <row r="27" spans="1:31" x14ac:dyDescent="0.25">
      <c r="B27" s="161">
        <v>42369</v>
      </c>
      <c r="C27" s="10">
        <v>90</v>
      </c>
      <c r="D27" s="39">
        <v>25.46</v>
      </c>
      <c r="E27" s="39">
        <v>28.59</v>
      </c>
      <c r="F27" s="39">
        <v>281.58999999999997</v>
      </c>
      <c r="G27" s="39">
        <f t="shared" si="2"/>
        <v>2291.4</v>
      </c>
      <c r="H27" s="176">
        <f t="shared" si="3"/>
        <v>0.12293794186959933</v>
      </c>
      <c r="I27" s="39"/>
      <c r="W27" s="127">
        <v>42795</v>
      </c>
      <c r="X27" s="10">
        <v>45.15</v>
      </c>
      <c r="Y27" s="10">
        <v>46.05</v>
      </c>
      <c r="Z27" s="10">
        <v>45.1</v>
      </c>
      <c r="AA27" s="10">
        <v>45.5</v>
      </c>
      <c r="AB27" s="90">
        <v>1318300</v>
      </c>
      <c r="AC27" s="10">
        <v>45.5</v>
      </c>
      <c r="AD27" s="2">
        <f t="shared" si="0"/>
        <v>0.94999999999999574</v>
      </c>
      <c r="AE27" s="131">
        <f t="shared" si="1"/>
        <v>2.9411764705882248E-2</v>
      </c>
    </row>
    <row r="28" spans="1:31" x14ac:dyDescent="0.25">
      <c r="B28" s="161">
        <v>42376</v>
      </c>
      <c r="C28" s="10">
        <v>180</v>
      </c>
      <c r="D28" s="39">
        <v>26.11</v>
      </c>
      <c r="E28" s="39">
        <v>26.7</v>
      </c>
      <c r="F28" s="39">
        <v>106.99</v>
      </c>
      <c r="G28" s="39">
        <f t="shared" si="2"/>
        <v>4699.8</v>
      </c>
      <c r="H28" s="176">
        <f t="shared" si="3"/>
        <v>2.2596706242818839E-2</v>
      </c>
      <c r="I28" s="39"/>
      <c r="W28" s="127">
        <v>42794</v>
      </c>
      <c r="X28" s="10">
        <v>44.4</v>
      </c>
      <c r="Y28" s="10">
        <v>44.55</v>
      </c>
      <c r="Z28" s="10">
        <v>44.05</v>
      </c>
      <c r="AA28" s="10">
        <v>44.2</v>
      </c>
      <c r="AB28" s="90">
        <v>817300</v>
      </c>
      <c r="AC28" s="10">
        <v>44.2</v>
      </c>
      <c r="AD28" s="2">
        <f t="shared" si="0"/>
        <v>0.5</v>
      </c>
      <c r="AE28" s="131">
        <f t="shared" si="1"/>
        <v>-8.9686098654707669E-3</v>
      </c>
    </row>
    <row r="29" spans="1:31" x14ac:dyDescent="0.25">
      <c r="B29" s="161">
        <v>42403</v>
      </c>
      <c r="C29" s="10">
        <v>180</v>
      </c>
      <c r="D29" s="39">
        <v>26.11</v>
      </c>
      <c r="E29" s="39">
        <v>28.02</v>
      </c>
      <c r="F29" s="39">
        <v>344.59</v>
      </c>
      <c r="G29" s="39">
        <f t="shared" si="2"/>
        <v>4699.8</v>
      </c>
      <c r="H29" s="176">
        <f t="shared" si="3"/>
        <v>7.3152049023362697E-2</v>
      </c>
      <c r="I29" s="39"/>
      <c r="W29" s="127">
        <v>42793</v>
      </c>
      <c r="X29" s="10">
        <v>43.15</v>
      </c>
      <c r="Y29" s="10">
        <v>44.68</v>
      </c>
      <c r="Z29" s="10">
        <v>43</v>
      </c>
      <c r="AA29" s="10">
        <v>44.6</v>
      </c>
      <c r="AB29" s="90">
        <v>1005400</v>
      </c>
      <c r="AC29" s="10">
        <v>44.6</v>
      </c>
      <c r="AD29" s="2">
        <f t="shared" si="0"/>
        <v>1.6799999999999997</v>
      </c>
      <c r="AE29" s="131">
        <f t="shared" si="1"/>
        <v>3.600464576074347E-2</v>
      </c>
    </row>
    <row r="30" spans="1:31" x14ac:dyDescent="0.25">
      <c r="B30" s="161">
        <v>42404</v>
      </c>
      <c r="C30" s="10">
        <v>90</v>
      </c>
      <c r="D30" s="39">
        <v>23.66</v>
      </c>
      <c r="E30" s="39">
        <v>29.32</v>
      </c>
      <c r="F30" s="39">
        <v>509.24</v>
      </c>
      <c r="G30" s="39">
        <f t="shared" si="2"/>
        <v>2129.4</v>
      </c>
      <c r="H30" s="176">
        <f t="shared" si="3"/>
        <v>0.23922231614539308</v>
      </c>
      <c r="I30" s="39"/>
      <c r="W30" s="127">
        <v>42790</v>
      </c>
      <c r="X30" s="10">
        <v>42.5</v>
      </c>
      <c r="Y30" s="10">
        <v>43.15</v>
      </c>
      <c r="Z30" s="10">
        <v>42.15</v>
      </c>
      <c r="AA30" s="10">
        <v>43.05</v>
      </c>
      <c r="AB30" s="90">
        <v>736200</v>
      </c>
      <c r="AC30" s="10">
        <v>43.05</v>
      </c>
      <c r="AD30" s="2">
        <f t="shared" si="0"/>
        <v>1</v>
      </c>
      <c r="AE30" s="131">
        <f t="shared" si="1"/>
        <v>0</v>
      </c>
    </row>
    <row r="31" spans="1:31" x14ac:dyDescent="0.25">
      <c r="B31" s="161">
        <v>42412</v>
      </c>
      <c r="C31" s="10">
        <v>0</v>
      </c>
      <c r="D31" s="39">
        <v>0</v>
      </c>
      <c r="E31" s="39">
        <v>0</v>
      </c>
      <c r="F31" s="39">
        <v>529.88</v>
      </c>
      <c r="G31" s="39">
        <f t="shared" si="2"/>
        <v>0</v>
      </c>
      <c r="H31" s="176">
        <f t="shared" si="3"/>
        <v>0</v>
      </c>
      <c r="I31" s="39"/>
      <c r="W31" s="127">
        <v>42789</v>
      </c>
      <c r="X31" s="10">
        <v>44.35</v>
      </c>
      <c r="Y31" s="10">
        <v>44.45</v>
      </c>
      <c r="Z31" s="10">
        <v>42.85</v>
      </c>
      <c r="AA31" s="10">
        <v>43.05</v>
      </c>
      <c r="AB31" s="90">
        <v>944000</v>
      </c>
      <c r="AC31" s="10">
        <v>43.05</v>
      </c>
      <c r="AD31" s="2">
        <f t="shared" si="0"/>
        <v>1.6000000000000014</v>
      </c>
      <c r="AE31" s="131">
        <f t="shared" si="1"/>
        <v>-2.491506228765572E-2</v>
      </c>
    </row>
    <row r="32" spans="1:31" x14ac:dyDescent="0.25">
      <c r="B32" s="10"/>
      <c r="C32" s="10"/>
      <c r="D32" s="39"/>
      <c r="E32" s="39"/>
      <c r="F32" s="39"/>
      <c r="G32" s="39"/>
      <c r="H32" s="176"/>
      <c r="I32" s="39"/>
      <c r="W32" s="127">
        <v>42788</v>
      </c>
      <c r="X32" s="10">
        <v>44.35</v>
      </c>
      <c r="Y32" s="10">
        <v>44.45</v>
      </c>
      <c r="Z32" s="10">
        <v>44.03</v>
      </c>
      <c r="AA32" s="10">
        <v>44.15</v>
      </c>
      <c r="AB32" s="90">
        <v>852000</v>
      </c>
      <c r="AC32" s="10">
        <v>44.15</v>
      </c>
      <c r="AD32" s="2">
        <f t="shared" si="0"/>
        <v>0.42000000000000171</v>
      </c>
      <c r="AE32" s="131">
        <f t="shared" si="1"/>
        <v>-1.3407821229050265E-2</v>
      </c>
    </row>
    <row r="33" spans="1:31" x14ac:dyDescent="0.25">
      <c r="W33" s="127">
        <v>42787</v>
      </c>
      <c r="X33" s="10">
        <v>44.55</v>
      </c>
      <c r="Y33" s="10">
        <v>44.95</v>
      </c>
      <c r="Z33" s="10">
        <v>44.3</v>
      </c>
      <c r="AA33" s="10">
        <v>44.75</v>
      </c>
      <c r="AB33" s="90">
        <v>671300</v>
      </c>
      <c r="AC33" s="10">
        <v>44.75</v>
      </c>
      <c r="AD33" s="2">
        <f t="shared" si="0"/>
        <v>0.65000000000000568</v>
      </c>
      <c r="AE33" s="131">
        <f t="shared" si="1"/>
        <v>5.6179775280897903E-3</v>
      </c>
    </row>
    <row r="34" spans="1:31" x14ac:dyDescent="0.25">
      <c r="W34" s="127">
        <v>42783</v>
      </c>
      <c r="X34" s="10">
        <v>44</v>
      </c>
      <c r="Y34" s="10">
        <v>44.6</v>
      </c>
      <c r="Z34" s="10">
        <v>43.7</v>
      </c>
      <c r="AA34" s="10">
        <v>44.5</v>
      </c>
      <c r="AB34" s="90">
        <v>556100</v>
      </c>
      <c r="AC34" s="10">
        <v>44.5</v>
      </c>
      <c r="AD34" s="2">
        <f t="shared" si="0"/>
        <v>0.89999999999999858</v>
      </c>
      <c r="AE34" s="131" t="e">
        <f t="shared" si="1"/>
        <v>#DIV/0!</v>
      </c>
    </row>
    <row r="35" spans="1:31" x14ac:dyDescent="0.25">
      <c r="W35" s="127">
        <v>42783</v>
      </c>
      <c r="X35" s="10" t="s">
        <v>136</v>
      </c>
      <c r="Y35" s="10"/>
      <c r="Z35" s="10"/>
      <c r="AA35" s="10"/>
      <c r="AB35" s="90"/>
      <c r="AC35" s="10"/>
      <c r="AD35" s="2">
        <f t="shared" si="0"/>
        <v>0</v>
      </c>
      <c r="AE35" s="131">
        <f t="shared" si="1"/>
        <v>-1</v>
      </c>
    </row>
    <row r="36" spans="1:31" x14ac:dyDescent="0.25">
      <c r="L36" t="s">
        <v>201</v>
      </c>
      <c r="M36" s="2">
        <f>M47+K47-F47</f>
        <v>529.88000000000284</v>
      </c>
      <c r="W36" s="127">
        <v>42782</v>
      </c>
      <c r="X36" s="10">
        <v>44.85</v>
      </c>
      <c r="Y36" s="10">
        <v>45.05</v>
      </c>
      <c r="Z36" s="10">
        <v>44.1</v>
      </c>
      <c r="AA36" s="10">
        <v>44.55</v>
      </c>
      <c r="AB36" s="90">
        <v>751900</v>
      </c>
      <c r="AC36" s="10">
        <v>44.29</v>
      </c>
      <c r="AD36" s="2">
        <f t="shared" si="0"/>
        <v>0.94999999999999574</v>
      </c>
      <c r="AE36" s="131">
        <f t="shared" si="1"/>
        <v>-8.950548221078547E-3</v>
      </c>
    </row>
    <row r="37" spans="1:31" x14ac:dyDescent="0.25">
      <c r="A37" s="297" t="s">
        <v>1</v>
      </c>
      <c r="B37" s="297" t="s">
        <v>2</v>
      </c>
      <c r="C37" s="297" t="s">
        <v>4</v>
      </c>
      <c r="D37" s="297" t="s">
        <v>5</v>
      </c>
      <c r="E37" s="299" t="s">
        <v>94</v>
      </c>
      <c r="F37" s="297" t="s">
        <v>60</v>
      </c>
      <c r="G37" s="297" t="s">
        <v>3</v>
      </c>
      <c r="H37" s="297" t="s">
        <v>6</v>
      </c>
      <c r="I37" s="297" t="s">
        <v>7</v>
      </c>
      <c r="J37" s="297" t="s">
        <v>95</v>
      </c>
      <c r="K37" s="297" t="s">
        <v>61</v>
      </c>
      <c r="L37" s="297" t="s">
        <v>77</v>
      </c>
      <c r="M37" s="297" t="s">
        <v>38</v>
      </c>
      <c r="W37" s="127">
        <v>42781</v>
      </c>
      <c r="X37" s="10">
        <v>45.25</v>
      </c>
      <c r="Y37" s="10">
        <v>45.5</v>
      </c>
      <c r="Z37" s="10">
        <v>44.75</v>
      </c>
      <c r="AA37" s="10">
        <v>44.95</v>
      </c>
      <c r="AB37" s="90">
        <v>1094300</v>
      </c>
      <c r="AC37" s="10">
        <v>44.69</v>
      </c>
      <c r="AD37" s="2">
        <f t="shared" si="0"/>
        <v>0.75</v>
      </c>
      <c r="AE37" s="131">
        <f t="shared" si="1"/>
        <v>-8.8711465956976543E-3</v>
      </c>
    </row>
    <row r="38" spans="1:31" x14ac:dyDescent="0.25">
      <c r="A38" s="300" t="s">
        <v>39</v>
      </c>
      <c r="B38" s="290">
        <v>42179</v>
      </c>
      <c r="C38" s="291">
        <v>10</v>
      </c>
      <c r="D38" s="292">
        <v>37.799999999999997</v>
      </c>
      <c r="E38" s="292">
        <v>0</v>
      </c>
      <c r="F38" s="292">
        <f t="shared" ref="F38:F45" si="4">C38*D38</f>
        <v>378</v>
      </c>
      <c r="G38" s="290">
        <v>42310</v>
      </c>
      <c r="H38" s="295">
        <v>170</v>
      </c>
      <c r="I38" s="292">
        <v>30.28</v>
      </c>
      <c r="J38" s="292">
        <v>7.04</v>
      </c>
      <c r="K38" s="291">
        <f>H38*I38-J38</f>
        <v>5140.5600000000004</v>
      </c>
      <c r="L38" s="290">
        <v>42250</v>
      </c>
      <c r="M38" s="292">
        <v>20.8</v>
      </c>
      <c r="W38" s="127">
        <v>42780</v>
      </c>
      <c r="X38" s="10">
        <v>45.3</v>
      </c>
      <c r="Y38" s="10">
        <v>45.45</v>
      </c>
      <c r="Z38" s="10">
        <v>44.75</v>
      </c>
      <c r="AA38" s="10">
        <v>45.35</v>
      </c>
      <c r="AB38" s="90">
        <v>560700</v>
      </c>
      <c r="AC38" s="10">
        <v>45.09</v>
      </c>
      <c r="AD38" s="2">
        <f t="shared" si="0"/>
        <v>0.70000000000000284</v>
      </c>
      <c r="AE38" s="131">
        <f t="shared" si="1"/>
        <v>-4.1961130742048658E-3</v>
      </c>
    </row>
    <row r="39" spans="1:31" x14ac:dyDescent="0.25">
      <c r="A39" s="301" t="s">
        <v>71</v>
      </c>
      <c r="B39" s="290">
        <v>42194</v>
      </c>
      <c r="C39" s="291">
        <v>10</v>
      </c>
      <c r="D39" s="292">
        <v>35.5</v>
      </c>
      <c r="E39" s="292">
        <v>0</v>
      </c>
      <c r="F39" s="292">
        <f t="shared" si="4"/>
        <v>355</v>
      </c>
      <c r="G39" s="290">
        <v>42314</v>
      </c>
      <c r="H39" s="295">
        <v>80</v>
      </c>
      <c r="I39" s="292">
        <v>32.5</v>
      </c>
      <c r="J39" s="292">
        <v>0.05</v>
      </c>
      <c r="K39" s="291">
        <f>H39*I39-J39</f>
        <v>2599.9499999999998</v>
      </c>
      <c r="L39" s="290">
        <v>42345</v>
      </c>
      <c r="M39" s="292">
        <v>23.4</v>
      </c>
      <c r="W39" s="127">
        <v>42779</v>
      </c>
      <c r="X39" s="10">
        <v>45.35</v>
      </c>
      <c r="Y39" s="10">
        <v>46.45</v>
      </c>
      <c r="Z39" s="10">
        <v>45.25</v>
      </c>
      <c r="AA39" s="10">
        <v>45.55</v>
      </c>
      <c r="AB39" s="90">
        <v>1555800</v>
      </c>
      <c r="AC39" s="10">
        <v>45.28</v>
      </c>
      <c r="AD39" s="2">
        <f t="shared" si="0"/>
        <v>1.2000000000000028</v>
      </c>
      <c r="AE39" s="131">
        <f t="shared" si="1"/>
        <v>8.6879037647582535E-3</v>
      </c>
    </row>
    <row r="40" spans="1:31" x14ac:dyDescent="0.25">
      <c r="A40" s="291"/>
      <c r="B40" s="290">
        <v>42230</v>
      </c>
      <c r="C40" s="291">
        <v>20</v>
      </c>
      <c r="D40" s="292">
        <v>32.9</v>
      </c>
      <c r="E40" s="292">
        <v>0</v>
      </c>
      <c r="F40" s="292">
        <f t="shared" si="4"/>
        <v>658</v>
      </c>
      <c r="G40" s="290">
        <v>42010</v>
      </c>
      <c r="H40" s="295">
        <v>40</v>
      </c>
      <c r="I40" s="291">
        <v>28.92</v>
      </c>
      <c r="J40" s="292">
        <v>0.02</v>
      </c>
      <c r="K40" s="291">
        <f>H40*I40-J40</f>
        <v>1156.7800000000002</v>
      </c>
      <c r="L40" s="291"/>
      <c r="M40" s="291"/>
      <c r="W40" s="127">
        <v>42776</v>
      </c>
      <c r="X40" s="10">
        <v>45</v>
      </c>
      <c r="Y40" s="10">
        <v>45.85</v>
      </c>
      <c r="Z40" s="10">
        <v>44.55</v>
      </c>
      <c r="AA40" s="10">
        <v>45.15</v>
      </c>
      <c r="AB40" s="90">
        <v>1300200</v>
      </c>
      <c r="AC40" s="10">
        <v>44.89</v>
      </c>
      <c r="AD40" s="2">
        <f t="shared" si="0"/>
        <v>1.3000000000000043</v>
      </c>
      <c r="AE40" s="131">
        <f t="shared" si="1"/>
        <v>1.9300635785649334E-2</v>
      </c>
    </row>
    <row r="41" spans="1:31" x14ac:dyDescent="0.25">
      <c r="A41" s="291"/>
      <c r="B41" s="290">
        <v>42240</v>
      </c>
      <c r="C41" s="291">
        <v>40</v>
      </c>
      <c r="D41" s="292">
        <v>32.4</v>
      </c>
      <c r="E41" s="292">
        <v>0</v>
      </c>
      <c r="F41" s="292">
        <f t="shared" si="4"/>
        <v>1296</v>
      </c>
      <c r="G41" s="290">
        <v>42404</v>
      </c>
      <c r="H41" s="295">
        <v>90</v>
      </c>
      <c r="I41" s="292">
        <v>28.55</v>
      </c>
      <c r="J41" s="292">
        <v>0.05</v>
      </c>
      <c r="K41" s="291">
        <f>H41*I41-J41</f>
        <v>2569.4499999999998</v>
      </c>
      <c r="L41" s="291"/>
      <c r="M41" s="291"/>
      <c r="W41" s="127">
        <v>42775</v>
      </c>
      <c r="X41" s="10">
        <v>44.45</v>
      </c>
      <c r="Y41" s="10">
        <v>45.1</v>
      </c>
      <c r="Z41" s="10">
        <v>42.55</v>
      </c>
      <c r="AA41" s="10">
        <v>44.3</v>
      </c>
      <c r="AB41" s="90">
        <v>1467200</v>
      </c>
      <c r="AC41" s="10">
        <v>44.04</v>
      </c>
      <c r="AD41" s="2">
        <f t="shared" si="0"/>
        <v>2.5500000000000043</v>
      </c>
      <c r="AE41" s="131">
        <f t="shared" si="1"/>
        <v>6.8587105624142719E-3</v>
      </c>
    </row>
    <row r="42" spans="1:31" ht="20.25" thickBot="1" x14ac:dyDescent="0.35">
      <c r="A42" s="291"/>
      <c r="B42" s="290">
        <v>42275</v>
      </c>
      <c r="C42" s="291">
        <v>90</v>
      </c>
      <c r="D42" s="292">
        <v>29.2</v>
      </c>
      <c r="E42" s="292">
        <v>0</v>
      </c>
      <c r="F42" s="292">
        <f t="shared" si="4"/>
        <v>2628</v>
      </c>
      <c r="G42" s="290">
        <v>42412</v>
      </c>
      <c r="H42" s="295">
        <v>90</v>
      </c>
      <c r="I42" s="292">
        <v>29.55</v>
      </c>
      <c r="J42" s="292">
        <v>0.06</v>
      </c>
      <c r="K42" s="291">
        <f>H42*I42-J42</f>
        <v>2659.44</v>
      </c>
      <c r="L42" s="291"/>
      <c r="M42" s="291"/>
      <c r="O42" s="328" t="s">
        <v>78</v>
      </c>
      <c r="P42" s="328"/>
      <c r="T42" s="86" t="s">
        <v>112</v>
      </c>
      <c r="W42" s="127">
        <v>42774</v>
      </c>
      <c r="X42" s="10">
        <v>44.4</v>
      </c>
      <c r="Y42" s="10">
        <v>44.4</v>
      </c>
      <c r="Z42" s="10">
        <v>43.3</v>
      </c>
      <c r="AA42" s="10">
        <v>44</v>
      </c>
      <c r="AB42" s="90">
        <v>1220000</v>
      </c>
      <c r="AC42" s="10">
        <v>43.74</v>
      </c>
      <c r="AD42" s="2">
        <f t="shared" si="0"/>
        <v>1.1000000000000014</v>
      </c>
      <c r="AE42" s="131">
        <f t="shared" si="1"/>
        <v>-1.1301989150090397E-2</v>
      </c>
    </row>
    <row r="43" spans="1:31" ht="15.75" thickTop="1" x14ac:dyDescent="0.25">
      <c r="A43" s="291"/>
      <c r="B43" s="290">
        <v>42298</v>
      </c>
      <c r="C43" s="291">
        <v>170</v>
      </c>
      <c r="D43" s="292">
        <v>28.4</v>
      </c>
      <c r="E43" s="292">
        <v>0</v>
      </c>
      <c r="F43" s="292">
        <f t="shared" si="4"/>
        <v>4828</v>
      </c>
      <c r="G43" s="291"/>
      <c r="H43" s="291"/>
      <c r="I43" s="291"/>
      <c r="J43" s="291"/>
      <c r="K43" s="291"/>
      <c r="L43" s="291"/>
      <c r="M43" s="291"/>
      <c r="O43" s="78">
        <v>1.1000000000000001</v>
      </c>
      <c r="P43" s="78">
        <f>O43*$Q$4</f>
        <v>48.312000000000005</v>
      </c>
      <c r="T43" s="88" t="s">
        <v>97</v>
      </c>
      <c r="U43" s="343">
        <v>44.15</v>
      </c>
      <c r="W43" s="127">
        <v>42773</v>
      </c>
      <c r="X43" s="10">
        <v>45.05</v>
      </c>
      <c r="Y43" s="10">
        <v>45.2</v>
      </c>
      <c r="Z43" s="10">
        <v>44.2</v>
      </c>
      <c r="AA43" s="10">
        <v>44.5</v>
      </c>
      <c r="AB43" s="90">
        <v>690900</v>
      </c>
      <c r="AC43" s="10">
        <v>44.24</v>
      </c>
      <c r="AD43" s="2">
        <f t="shared" si="0"/>
        <v>1</v>
      </c>
      <c r="AE43" s="131">
        <f t="shared" si="1"/>
        <v>-5.6192402787142992E-3</v>
      </c>
    </row>
    <row r="44" spans="1:31" x14ac:dyDescent="0.25">
      <c r="A44" s="291"/>
      <c r="B44" s="290">
        <v>42360</v>
      </c>
      <c r="C44" s="291">
        <v>40</v>
      </c>
      <c r="D44" s="292">
        <v>27.25</v>
      </c>
      <c r="E44" s="292">
        <v>0</v>
      </c>
      <c r="F44" s="292">
        <f t="shared" si="4"/>
        <v>1090</v>
      </c>
      <c r="G44" s="291"/>
      <c r="H44" s="291"/>
      <c r="I44" s="291"/>
      <c r="J44" s="291"/>
      <c r="K44" s="291"/>
      <c r="L44" s="291"/>
      <c r="M44" s="291"/>
      <c r="O44" s="78">
        <v>1.0900000000000001</v>
      </c>
      <c r="P44" s="78">
        <f t="shared" ref="P44:P63" si="5">O44*$Q$4</f>
        <v>47.872800000000005</v>
      </c>
      <c r="T44" s="88" t="s">
        <v>98</v>
      </c>
      <c r="U44" s="343">
        <v>44.5</v>
      </c>
      <c r="W44" s="127">
        <v>42772</v>
      </c>
      <c r="X44" s="10">
        <v>44.6</v>
      </c>
      <c r="Y44" s="10">
        <v>44.9</v>
      </c>
      <c r="Z44" s="10">
        <v>44.47</v>
      </c>
      <c r="AA44" s="10">
        <v>44.75</v>
      </c>
      <c r="AB44" s="90">
        <v>1225000</v>
      </c>
      <c r="AC44" s="10">
        <v>44.49</v>
      </c>
      <c r="AD44" s="2">
        <f t="shared" si="0"/>
        <v>0.42999999999999972</v>
      </c>
      <c r="AE44" s="131">
        <f t="shared" si="1"/>
        <v>3.3829499323410062E-3</v>
      </c>
    </row>
    <row r="45" spans="1:31" x14ac:dyDescent="0.25">
      <c r="A45" s="291"/>
      <c r="B45" s="290">
        <v>42376</v>
      </c>
      <c r="C45" s="291">
        <v>90</v>
      </c>
      <c r="D45" s="292">
        <v>26.75</v>
      </c>
      <c r="E45" s="292">
        <v>0</v>
      </c>
      <c r="F45" s="292">
        <f t="shared" si="4"/>
        <v>2407.5</v>
      </c>
      <c r="G45" s="291"/>
      <c r="H45" s="291"/>
      <c r="I45" s="291"/>
      <c r="J45" s="291"/>
      <c r="K45" s="291"/>
      <c r="L45" s="291"/>
      <c r="M45" s="291"/>
      <c r="O45" s="78">
        <v>1.08</v>
      </c>
      <c r="P45" s="78">
        <f t="shared" si="5"/>
        <v>47.433600000000006</v>
      </c>
      <c r="T45" s="88" t="s">
        <v>99</v>
      </c>
      <c r="U45" s="343" t="s">
        <v>128</v>
      </c>
      <c r="W45" s="127">
        <v>42769</v>
      </c>
      <c r="X45" s="10">
        <v>44.3</v>
      </c>
      <c r="Y45" s="10">
        <v>44.8</v>
      </c>
      <c r="Z45" s="10">
        <v>44.1</v>
      </c>
      <c r="AA45" s="10">
        <v>44.6</v>
      </c>
      <c r="AB45" s="90">
        <v>790100</v>
      </c>
      <c r="AC45" s="10">
        <v>44.34</v>
      </c>
      <c r="AD45" s="2">
        <f t="shared" si="0"/>
        <v>0.69999999999999574</v>
      </c>
      <c r="AE45" s="131">
        <f t="shared" si="1"/>
        <v>9.1033227127903515E-3</v>
      </c>
    </row>
    <row r="46" spans="1:31" x14ac:dyDescent="0.25">
      <c r="A46" s="291"/>
      <c r="B46" s="291"/>
      <c r="C46" s="291"/>
      <c r="D46" s="291"/>
      <c r="E46" s="292"/>
      <c r="F46" s="291"/>
      <c r="G46" s="291"/>
      <c r="H46" s="291"/>
      <c r="I46" s="291"/>
      <c r="J46" s="291"/>
      <c r="K46" s="291"/>
      <c r="L46" s="291"/>
      <c r="M46" s="291"/>
      <c r="O46" s="78">
        <v>1.07</v>
      </c>
      <c r="P46" s="78">
        <f t="shared" si="5"/>
        <v>46.994400000000006</v>
      </c>
      <c r="Q46" s="2"/>
      <c r="T46" s="88" t="s">
        <v>100</v>
      </c>
      <c r="U46" s="343" t="s">
        <v>128</v>
      </c>
      <c r="W46" s="127">
        <v>42768</v>
      </c>
      <c r="X46" s="10">
        <v>44.6</v>
      </c>
      <c r="Y46" s="10">
        <v>44.85</v>
      </c>
      <c r="Z46" s="10">
        <v>43.9</v>
      </c>
      <c r="AA46" s="10">
        <v>44.2</v>
      </c>
      <c r="AB46" s="90">
        <v>535500</v>
      </c>
      <c r="AC46" s="10">
        <v>43.94</v>
      </c>
      <c r="AD46" s="2">
        <f t="shared" si="0"/>
        <v>0.95000000000000284</v>
      </c>
      <c r="AE46" s="131">
        <f t="shared" si="1"/>
        <v>-1.2362328613171547E-2</v>
      </c>
    </row>
    <row r="47" spans="1:31" x14ac:dyDescent="0.25">
      <c r="A47" s="21" t="s">
        <v>81</v>
      </c>
      <c r="B47" s="12"/>
      <c r="C47" s="12">
        <f>SUM(C38:C45)</f>
        <v>470</v>
      </c>
      <c r="D47" s="12"/>
      <c r="E47" s="13"/>
      <c r="F47" s="12">
        <f>SUM(F38:F45)</f>
        <v>13640.5</v>
      </c>
      <c r="G47" s="12"/>
      <c r="H47" s="72">
        <f>SUM(H38:H45)</f>
        <v>470</v>
      </c>
      <c r="I47" s="12"/>
      <c r="J47" s="12"/>
      <c r="K47" s="12">
        <f>SUM(K38:K46)</f>
        <v>14126.180000000002</v>
      </c>
      <c r="L47" s="12"/>
      <c r="M47" s="13">
        <f>SUM(M38:M40)</f>
        <v>44.2</v>
      </c>
      <c r="O47" s="78">
        <v>1.06</v>
      </c>
      <c r="P47" s="78">
        <f t="shared" si="5"/>
        <v>46.555200000000006</v>
      </c>
      <c r="Q47" s="2"/>
      <c r="T47" s="88" t="s">
        <v>101</v>
      </c>
      <c r="U47" s="343">
        <v>49.6</v>
      </c>
      <c r="W47" s="127">
        <v>42767</v>
      </c>
      <c r="X47" s="10">
        <v>44.65</v>
      </c>
      <c r="Y47" s="10">
        <v>44.9</v>
      </c>
      <c r="Z47" s="10">
        <v>44.1</v>
      </c>
      <c r="AA47" s="10">
        <v>44.75</v>
      </c>
      <c r="AB47" s="90">
        <v>578300</v>
      </c>
      <c r="AC47" s="10">
        <v>44.49</v>
      </c>
      <c r="AD47" s="2">
        <f t="shared" si="0"/>
        <v>0.79999999999999716</v>
      </c>
      <c r="AE47" s="131">
        <f t="shared" si="1"/>
        <v>7.9293158133213471E-3</v>
      </c>
    </row>
    <row r="48" spans="1:31" x14ac:dyDescent="0.25">
      <c r="A48" s="291"/>
      <c r="B48" s="291"/>
      <c r="C48" s="291"/>
      <c r="D48" s="291"/>
      <c r="E48" s="292"/>
      <c r="F48" s="291"/>
      <c r="G48" s="291"/>
      <c r="H48" s="291"/>
      <c r="I48" s="291"/>
      <c r="J48" s="291"/>
      <c r="K48" s="291"/>
      <c r="L48" s="291"/>
      <c r="M48" s="291"/>
      <c r="O48" s="78">
        <v>1.05</v>
      </c>
      <c r="P48" s="78">
        <f t="shared" si="5"/>
        <v>46.116000000000007</v>
      </c>
      <c r="Q48" s="2"/>
      <c r="T48" s="88" t="s">
        <v>102</v>
      </c>
      <c r="U48" s="343">
        <v>1.8201099999999999</v>
      </c>
      <c r="W48" s="127">
        <v>42766</v>
      </c>
      <c r="X48" s="10">
        <v>44.6</v>
      </c>
      <c r="Y48" s="10">
        <v>44.6</v>
      </c>
      <c r="Z48" s="10">
        <v>43.51</v>
      </c>
      <c r="AA48" s="10">
        <v>44.4</v>
      </c>
      <c r="AB48" s="90">
        <v>737100</v>
      </c>
      <c r="AC48" s="10">
        <v>44.14</v>
      </c>
      <c r="AD48" s="2">
        <f t="shared" si="0"/>
        <v>1.0900000000000034</v>
      </c>
      <c r="AE48" s="131">
        <f t="shared" si="1"/>
        <v>-7.8669363902000855E-3</v>
      </c>
    </row>
    <row r="49" spans="15:31" x14ac:dyDescent="0.25">
      <c r="O49" s="78">
        <v>1.04</v>
      </c>
      <c r="P49" s="78">
        <f t="shared" si="5"/>
        <v>45.6768</v>
      </c>
      <c r="Q49" s="2"/>
      <c r="T49" s="88" t="s">
        <v>121</v>
      </c>
      <c r="U49" s="343" t="s">
        <v>348</v>
      </c>
      <c r="W49" s="127">
        <v>42765</v>
      </c>
      <c r="X49" s="10">
        <v>45.1</v>
      </c>
      <c r="Y49" s="10">
        <v>45.15</v>
      </c>
      <c r="Z49" s="10">
        <v>44.55</v>
      </c>
      <c r="AA49" s="10">
        <v>44.75</v>
      </c>
      <c r="AB49" s="90">
        <v>1185000</v>
      </c>
      <c r="AC49" s="10">
        <v>44.49</v>
      </c>
      <c r="AD49" s="2">
        <f t="shared" si="0"/>
        <v>0.60000000000000142</v>
      </c>
      <c r="AE49" s="131">
        <f t="shared" si="1"/>
        <v>-1.4399645547186535E-2</v>
      </c>
    </row>
    <row r="50" spans="15:31" x14ac:dyDescent="0.25">
      <c r="O50" s="78">
        <v>1.03</v>
      </c>
      <c r="P50" s="78">
        <f t="shared" si="5"/>
        <v>45.2376</v>
      </c>
      <c r="Q50" s="2"/>
      <c r="T50" s="88"/>
      <c r="U50" s="343"/>
      <c r="W50" s="127">
        <v>42762</v>
      </c>
      <c r="X50" s="10">
        <v>44.65</v>
      </c>
      <c r="Y50" s="10">
        <v>45.6</v>
      </c>
      <c r="Z50" s="10">
        <v>44.65</v>
      </c>
      <c r="AA50" s="10">
        <v>45.4</v>
      </c>
      <c r="AB50" s="90">
        <v>2029400</v>
      </c>
      <c r="AC50" s="10">
        <v>45.14</v>
      </c>
      <c r="AD50" s="2">
        <f t="shared" si="0"/>
        <v>0.95000000000000284</v>
      </c>
      <c r="AE50" s="131">
        <f t="shared" si="1"/>
        <v>3.3188372625314821E-2</v>
      </c>
    </row>
    <row r="51" spans="15:31" x14ac:dyDescent="0.25">
      <c r="O51" s="78">
        <v>1.02</v>
      </c>
      <c r="P51" s="78">
        <f t="shared" si="5"/>
        <v>44.798400000000001</v>
      </c>
      <c r="Q51" s="2"/>
      <c r="T51" s="88" t="s">
        <v>104</v>
      </c>
      <c r="U51" s="343" t="s">
        <v>593</v>
      </c>
      <c r="W51" s="127">
        <v>42761</v>
      </c>
      <c r="X51" s="10">
        <v>44.45</v>
      </c>
      <c r="Y51" s="10">
        <v>44.75</v>
      </c>
      <c r="Z51" s="10">
        <v>43.85</v>
      </c>
      <c r="AA51" s="10">
        <v>43.95</v>
      </c>
      <c r="AB51" s="90">
        <v>687800</v>
      </c>
      <c r="AC51" s="10">
        <v>43.69</v>
      </c>
      <c r="AD51" s="2">
        <f t="shared" si="0"/>
        <v>0.89999999999999858</v>
      </c>
      <c r="AE51" s="131">
        <f t="shared" si="1"/>
        <v>-1.6876687668766932E-2</v>
      </c>
    </row>
    <row r="52" spans="15:31" x14ac:dyDescent="0.25">
      <c r="O52" s="78">
        <v>1.01</v>
      </c>
      <c r="P52" s="78">
        <f t="shared" si="5"/>
        <v>44.359200000000001</v>
      </c>
      <c r="Q52" s="2"/>
      <c r="T52" s="88" t="s">
        <v>105</v>
      </c>
      <c r="U52" s="343" t="s">
        <v>410</v>
      </c>
      <c r="W52" s="127">
        <v>42760</v>
      </c>
      <c r="X52" s="10">
        <v>44.4</v>
      </c>
      <c r="Y52" s="10">
        <v>44.75</v>
      </c>
      <c r="Z52" s="10">
        <v>44.05</v>
      </c>
      <c r="AA52" s="10">
        <v>44.7</v>
      </c>
      <c r="AB52" s="90">
        <v>901000</v>
      </c>
      <c r="AC52" s="10">
        <v>44.44</v>
      </c>
      <c r="AD52" s="2">
        <f t="shared" si="0"/>
        <v>0.70000000000000284</v>
      </c>
      <c r="AE52" s="131">
        <f t="shared" si="1"/>
        <v>1.2531328320801949E-2</v>
      </c>
    </row>
    <row r="53" spans="15:31" x14ac:dyDescent="0.25">
      <c r="O53" s="78">
        <v>1</v>
      </c>
      <c r="P53" s="78">
        <f t="shared" si="5"/>
        <v>43.92</v>
      </c>
      <c r="Q53" s="2"/>
      <c r="T53" s="88" t="s">
        <v>106</v>
      </c>
      <c r="U53" s="344">
        <v>918194</v>
      </c>
      <c r="W53" s="127">
        <v>42759</v>
      </c>
      <c r="X53" s="10">
        <v>43</v>
      </c>
      <c r="Y53" s="10">
        <v>44.38</v>
      </c>
      <c r="Z53" s="10">
        <v>42.6</v>
      </c>
      <c r="AA53" s="10">
        <v>44.15</v>
      </c>
      <c r="AB53" s="90">
        <v>890800</v>
      </c>
      <c r="AC53" s="10">
        <v>43.89</v>
      </c>
      <c r="AD53" s="2">
        <f t="shared" si="0"/>
        <v>1.7800000000000011</v>
      </c>
      <c r="AE53" s="131">
        <f t="shared" si="1"/>
        <v>3.7588652482269502E-2</v>
      </c>
    </row>
    <row r="54" spans="15:31" x14ac:dyDescent="0.25">
      <c r="O54" s="78">
        <v>0.99</v>
      </c>
      <c r="P54" s="78">
        <f t="shared" si="5"/>
        <v>43.480800000000002</v>
      </c>
      <c r="Q54" s="2"/>
      <c r="T54" s="88" t="s">
        <v>109</v>
      </c>
      <c r="U54" s="344">
        <v>897958</v>
      </c>
      <c r="W54" s="127">
        <v>42758</v>
      </c>
      <c r="X54" s="10">
        <v>42.75</v>
      </c>
      <c r="Y54" s="10">
        <v>42.95</v>
      </c>
      <c r="Z54" s="10">
        <v>42.03</v>
      </c>
      <c r="AA54" s="10">
        <v>42.55</v>
      </c>
      <c r="AB54" s="90">
        <v>595300</v>
      </c>
      <c r="AC54" s="10">
        <v>42.3</v>
      </c>
      <c r="AD54" s="2">
        <f t="shared" si="0"/>
        <v>0.92000000000000171</v>
      </c>
      <c r="AE54" s="131">
        <f t="shared" si="1"/>
        <v>-9.3676814988291612E-3</v>
      </c>
    </row>
    <row r="55" spans="15:31" x14ac:dyDescent="0.25">
      <c r="O55" s="78">
        <v>0.98</v>
      </c>
      <c r="P55" s="78">
        <f t="shared" si="5"/>
        <v>43.041600000000003</v>
      </c>
      <c r="Q55" s="2"/>
      <c r="T55" s="88" t="s">
        <v>107</v>
      </c>
      <c r="U55" s="343" t="s">
        <v>594</v>
      </c>
      <c r="W55" s="127">
        <v>42755</v>
      </c>
      <c r="X55" s="10">
        <v>43.45</v>
      </c>
      <c r="Y55" s="10">
        <v>43.65</v>
      </c>
      <c r="Z55" s="10">
        <v>42.73</v>
      </c>
      <c r="AA55" s="10">
        <v>42.95</v>
      </c>
      <c r="AB55" s="90">
        <v>632900</v>
      </c>
      <c r="AC55" s="10">
        <v>42.7</v>
      </c>
      <c r="AD55" s="2">
        <f t="shared" si="0"/>
        <v>0.92000000000000171</v>
      </c>
      <c r="AE55" s="131">
        <f t="shared" si="1"/>
        <v>-9.2807424593966958E-3</v>
      </c>
    </row>
    <row r="56" spans="15:31" x14ac:dyDescent="0.25">
      <c r="O56" s="78">
        <v>0.97</v>
      </c>
      <c r="P56" s="78">
        <f t="shared" si="5"/>
        <v>42.602400000000003</v>
      </c>
      <c r="Q56" s="2"/>
      <c r="T56" s="88" t="s">
        <v>110</v>
      </c>
      <c r="U56" s="343">
        <v>22.58</v>
      </c>
      <c r="W56" s="127">
        <v>42754</v>
      </c>
      <c r="X56" s="10">
        <v>44.25</v>
      </c>
      <c r="Y56" s="10">
        <v>44.3</v>
      </c>
      <c r="Z56" s="10">
        <v>43.2</v>
      </c>
      <c r="AA56" s="10">
        <v>43.35</v>
      </c>
      <c r="AB56" s="90">
        <v>690500</v>
      </c>
      <c r="AC56" s="10">
        <v>43.1</v>
      </c>
      <c r="AD56" s="2">
        <f t="shared" si="0"/>
        <v>1.0999999999999943</v>
      </c>
      <c r="AE56" s="131">
        <f t="shared" si="1"/>
        <v>-1.1241110346409733E-2</v>
      </c>
    </row>
    <row r="57" spans="15:31" x14ac:dyDescent="0.25">
      <c r="O57" s="78">
        <v>0.96</v>
      </c>
      <c r="P57" s="78">
        <f t="shared" si="5"/>
        <v>42.163200000000003</v>
      </c>
      <c r="Q57" s="2"/>
      <c r="T57" s="88" t="s">
        <v>111</v>
      </c>
      <c r="U57" s="343">
        <v>1.92</v>
      </c>
      <c r="W57" s="127">
        <v>42753</v>
      </c>
      <c r="X57" s="10">
        <v>43.8</v>
      </c>
      <c r="Y57" s="10">
        <v>44.05</v>
      </c>
      <c r="Z57" s="10">
        <v>43.65</v>
      </c>
      <c r="AA57" s="10">
        <v>43.85</v>
      </c>
      <c r="AB57" s="90">
        <v>1013000</v>
      </c>
      <c r="AC57" s="10">
        <v>43.59</v>
      </c>
      <c r="AD57" s="2">
        <f t="shared" si="0"/>
        <v>0.39999999999999858</v>
      </c>
      <c r="AE57" s="131">
        <f t="shared" si="1"/>
        <v>1.1483693155720509E-3</v>
      </c>
    </row>
    <row r="58" spans="15:31" x14ac:dyDescent="0.25">
      <c r="O58" s="78">
        <v>0.95</v>
      </c>
      <c r="P58" s="78">
        <f t="shared" si="5"/>
        <v>41.723999999999997</v>
      </c>
      <c r="Q58" s="2"/>
      <c r="T58" s="88" t="s">
        <v>108</v>
      </c>
      <c r="U58" s="343" t="s">
        <v>504</v>
      </c>
      <c r="W58" s="127">
        <v>42752</v>
      </c>
      <c r="X58" s="10">
        <v>43.85</v>
      </c>
      <c r="Y58" s="10">
        <v>44.2</v>
      </c>
      <c r="Z58" s="10">
        <v>43.55</v>
      </c>
      <c r="AA58" s="10">
        <v>43.8</v>
      </c>
      <c r="AB58" s="90">
        <v>1107200</v>
      </c>
      <c r="AC58" s="10">
        <v>43.54</v>
      </c>
      <c r="AD58" s="2">
        <f t="shared" si="0"/>
        <v>0.65000000000000568</v>
      </c>
      <c r="AE58" s="131">
        <f t="shared" si="1"/>
        <v>-9.1033227127901295E-3</v>
      </c>
    </row>
    <row r="59" spans="15:31" x14ac:dyDescent="0.25">
      <c r="O59" s="78">
        <v>0.94</v>
      </c>
      <c r="P59" s="78">
        <f t="shared" si="5"/>
        <v>41.284799999999997</v>
      </c>
      <c r="W59" s="127">
        <v>42748</v>
      </c>
      <c r="X59" s="10">
        <v>43.1</v>
      </c>
      <c r="Y59" s="10">
        <v>44.55</v>
      </c>
      <c r="Z59" s="10">
        <v>43.05</v>
      </c>
      <c r="AA59" s="10">
        <v>44.2</v>
      </c>
      <c r="AB59" s="90">
        <v>832700</v>
      </c>
      <c r="AC59" s="10">
        <v>43.94</v>
      </c>
      <c r="AD59" s="2">
        <f t="shared" si="0"/>
        <v>1.5</v>
      </c>
      <c r="AE59" s="131">
        <f t="shared" si="1"/>
        <v>3.1455399061032674E-2</v>
      </c>
    </row>
    <row r="60" spans="15:31" x14ac:dyDescent="0.25">
      <c r="O60" s="78">
        <v>0.93</v>
      </c>
      <c r="P60" s="78">
        <f t="shared" si="5"/>
        <v>40.845600000000005</v>
      </c>
      <c r="W60" s="127">
        <v>42747</v>
      </c>
      <c r="X60" s="10">
        <v>43.35</v>
      </c>
      <c r="Y60" s="10">
        <v>43.35</v>
      </c>
      <c r="Z60" s="10">
        <v>42.35</v>
      </c>
      <c r="AA60" s="10">
        <v>42.85</v>
      </c>
      <c r="AB60" s="90">
        <v>822500</v>
      </c>
      <c r="AC60" s="10">
        <v>42.6</v>
      </c>
      <c r="AD60" s="2">
        <f t="shared" si="0"/>
        <v>1</v>
      </c>
      <c r="AE60" s="131">
        <f t="shared" si="1"/>
        <v>-1.1600928074245953E-2</v>
      </c>
    </row>
    <row r="61" spans="15:31" x14ac:dyDescent="0.25">
      <c r="O61" s="78">
        <v>0.92</v>
      </c>
      <c r="P61" s="78">
        <f t="shared" si="5"/>
        <v>40.406400000000005</v>
      </c>
      <c r="W61" s="127">
        <v>42746</v>
      </c>
      <c r="X61" s="10">
        <v>43.1</v>
      </c>
      <c r="Y61" s="10">
        <v>43.43</v>
      </c>
      <c r="Z61" s="10">
        <v>42.85</v>
      </c>
      <c r="AA61" s="10">
        <v>43.35</v>
      </c>
      <c r="AB61" s="90">
        <v>1160500</v>
      </c>
      <c r="AC61" s="10">
        <v>43.1</v>
      </c>
      <c r="AD61" s="2">
        <f t="shared" si="0"/>
        <v>0.57999999999999829</v>
      </c>
      <c r="AE61" s="131">
        <f t="shared" si="1"/>
        <v>2.3752969121140222E-2</v>
      </c>
    </row>
    <row r="62" spans="15:31" x14ac:dyDescent="0.25">
      <c r="O62" s="78">
        <v>0.91</v>
      </c>
      <c r="P62" s="78">
        <f t="shared" si="5"/>
        <v>39.967200000000005</v>
      </c>
      <c r="W62" s="127">
        <v>42745</v>
      </c>
      <c r="X62" s="10">
        <v>41.8</v>
      </c>
      <c r="Y62" s="10">
        <v>42.45</v>
      </c>
      <c r="Z62" s="10">
        <v>41.2</v>
      </c>
      <c r="AA62" s="10">
        <v>42.35</v>
      </c>
      <c r="AB62" s="90">
        <v>1361300</v>
      </c>
      <c r="AC62" s="10">
        <v>42.1</v>
      </c>
      <c r="AD62" s="2">
        <f t="shared" si="0"/>
        <v>1.25</v>
      </c>
      <c r="AE62" s="131">
        <f t="shared" si="1"/>
        <v>1.7891682785299956E-2</v>
      </c>
    </row>
    <row r="63" spans="15:31" x14ac:dyDescent="0.25">
      <c r="O63" s="78">
        <v>0.9</v>
      </c>
      <c r="P63" s="78">
        <f t="shared" si="5"/>
        <v>39.528000000000006</v>
      </c>
      <c r="W63" s="127">
        <v>42744</v>
      </c>
      <c r="X63" s="10">
        <v>41.9</v>
      </c>
      <c r="Y63" s="10">
        <v>42.1</v>
      </c>
      <c r="Z63" s="10">
        <v>41.2</v>
      </c>
      <c r="AA63" s="10">
        <v>41.6</v>
      </c>
      <c r="AB63" s="90">
        <v>804900</v>
      </c>
      <c r="AC63" s="10">
        <v>41.36</v>
      </c>
      <c r="AD63" s="2">
        <f t="shared" si="0"/>
        <v>0.89999999999999858</v>
      </c>
      <c r="AE63" s="131">
        <f t="shared" si="1"/>
        <v>-1.2887828162291171E-2</v>
      </c>
    </row>
    <row r="64" spans="15:31" x14ac:dyDescent="0.25">
      <c r="W64" s="127">
        <v>42741</v>
      </c>
      <c r="X64" s="10">
        <v>41.5</v>
      </c>
      <c r="Y64" s="10">
        <v>42.35</v>
      </c>
      <c r="Z64" s="10">
        <v>41.3</v>
      </c>
      <c r="AA64" s="10">
        <v>42.15</v>
      </c>
      <c r="AB64" s="90">
        <v>1547500</v>
      </c>
      <c r="AC64" s="10">
        <v>41.9</v>
      </c>
      <c r="AD64" s="2">
        <f t="shared" si="0"/>
        <v>1.0500000000000043</v>
      </c>
      <c r="AE64" s="131">
        <f t="shared" si="1"/>
        <v>1.551139117789635E-2</v>
      </c>
    </row>
    <row r="65" spans="23:31" x14ac:dyDescent="0.25">
      <c r="W65" s="127">
        <v>42740</v>
      </c>
      <c r="X65" s="10">
        <v>41.55</v>
      </c>
      <c r="Y65" s="10">
        <v>42.15</v>
      </c>
      <c r="Z65" s="10">
        <v>40.950000000000003</v>
      </c>
      <c r="AA65" s="10">
        <v>41.5</v>
      </c>
      <c r="AB65" s="90">
        <v>719700</v>
      </c>
      <c r="AC65" s="10">
        <v>41.26</v>
      </c>
      <c r="AD65" s="2">
        <f t="shared" si="0"/>
        <v>1.1999999999999957</v>
      </c>
      <c r="AE65" s="131">
        <f t="shared" si="1"/>
        <v>1.2132977432661729E-3</v>
      </c>
    </row>
    <row r="66" spans="23:31" x14ac:dyDescent="0.25">
      <c r="W66" s="127">
        <v>42739</v>
      </c>
      <c r="X66" s="10">
        <v>41.05</v>
      </c>
      <c r="Y66" s="10">
        <v>41.75</v>
      </c>
      <c r="Z66" s="10">
        <v>40.9</v>
      </c>
      <c r="AA66" s="10">
        <v>41.45</v>
      </c>
      <c r="AB66" s="90">
        <v>1304000</v>
      </c>
      <c r="AC66" s="10">
        <v>41.21</v>
      </c>
      <c r="AD66" s="2">
        <f t="shared" si="0"/>
        <v>0.85000000000000142</v>
      </c>
      <c r="AE66" s="131">
        <f t="shared" si="1"/>
        <v>1.2281994595922274E-2</v>
      </c>
    </row>
    <row r="67" spans="23:31" x14ac:dyDescent="0.25">
      <c r="W67" s="127">
        <v>42738</v>
      </c>
      <c r="X67" s="10">
        <v>40.25</v>
      </c>
      <c r="Y67" s="10">
        <v>41.15</v>
      </c>
      <c r="Z67" s="10">
        <v>40.049999999999997</v>
      </c>
      <c r="AA67" s="10">
        <v>40.950000000000003</v>
      </c>
      <c r="AB67" s="90">
        <v>1053800</v>
      </c>
      <c r="AC67" s="10">
        <v>40.71</v>
      </c>
      <c r="AD67" s="2">
        <f>Y67-Z67</f>
        <v>1.1000000000000014</v>
      </c>
      <c r="AE67" s="131">
        <f>AC67/AC68-1</f>
        <v>3.1416265518115161E-2</v>
      </c>
    </row>
    <row r="68" spans="23:31" x14ac:dyDescent="0.25">
      <c r="W68" s="127">
        <v>42734</v>
      </c>
      <c r="X68" s="10">
        <v>40</v>
      </c>
      <c r="Y68" s="10">
        <v>40</v>
      </c>
      <c r="Z68" s="10">
        <v>39.4</v>
      </c>
      <c r="AA68" s="10">
        <v>39.700000000000003</v>
      </c>
      <c r="AB68" s="90">
        <v>412900</v>
      </c>
      <c r="AC68" s="10">
        <v>39.47</v>
      </c>
      <c r="AD68" s="2">
        <f>Y68-Z68</f>
        <v>0.60000000000000142</v>
      </c>
      <c r="AE68" s="131" t="e">
        <f>AC68/AC69-1</f>
        <v>#DIV/0!</v>
      </c>
    </row>
    <row r="69" spans="23:31" x14ac:dyDescent="0.25">
      <c r="W69" s="127" t="s">
        <v>120</v>
      </c>
      <c r="X69" s="10"/>
      <c r="Y69" s="10"/>
      <c r="Z69" s="10"/>
      <c r="AA69" s="10"/>
      <c r="AB69" s="90"/>
      <c r="AC69" s="10"/>
      <c r="AD69" s="2">
        <f>Y69-Z69</f>
        <v>0</v>
      </c>
      <c r="AE69" s="131" t="e">
        <f>AC69/AC70-1</f>
        <v>#DIV/0!</v>
      </c>
    </row>
  </sheetData>
  <conditionalFormatting sqref="O43:O63">
    <cfRule type="colorScale" priority="12">
      <colorScale>
        <cfvo type="min"/>
        <cfvo type="percentile" val="50"/>
        <cfvo type="max"/>
        <color rgb="FFF8696B"/>
        <color rgb="FFFFEB84"/>
        <color rgb="FF63BE7B"/>
      </colorScale>
    </cfRule>
  </conditionalFormatting>
  <conditionalFormatting sqref="P43:P63">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{D1922F90-5D81-4EF6-99E1-9EAEF64A6F00}</x14:id>
        </ext>
      </extLst>
    </cfRule>
  </conditionalFormatting>
  <conditionalFormatting sqref="AE1:AE69">
    <cfRule type="iconSet" priority="9">
      <iconSet iconSet="3Arrows">
        <cfvo type="percent" val="0"/>
        <cfvo type="num" val="0"/>
        <cfvo type="num" val="0"/>
      </iconSet>
    </cfRule>
  </conditionalFormatting>
  <conditionalFormatting sqref="F21:F32">
    <cfRule type="expression" dxfId="9" priority="7">
      <formula>F21&gt;0</formula>
    </cfRule>
    <cfRule type="expression" dxfId="8" priority="8">
      <formula>F21&lt;0</formula>
    </cfRule>
  </conditionalFormatting>
  <conditionalFormatting sqref="H21:H32">
    <cfRule type="expression" dxfId="7" priority="5">
      <formula>H21&gt;0</formula>
    </cfRule>
    <cfRule type="expression" dxfId="6" priority="6">
      <formula>H21&lt;0</formula>
    </cfRule>
  </conditionalFormatting>
  <conditionalFormatting sqref="Q8">
    <cfRule type="expression" dxfId="5" priority="1">
      <formula>Q8&gt;0</formula>
    </cfRule>
    <cfRule type="expression" dxfId="4" priority="2">
      <formula>Q8&lt;0</formula>
    </cfRule>
  </conditionalFormatting>
  <conditionalFormatting sqref="Q7">
    <cfRule type="expression" dxfId="3" priority="3">
      <formula>Q7&gt;0</formula>
    </cfRule>
    <cfRule type="expression" dxfId="2" priority="4">
      <formula>Q7&lt;0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D1922F90-5D81-4EF6-99E1-9EAEF64A6F0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114</vt:i4>
      </vt:variant>
      <vt:variant>
        <vt:lpstr>Named Ranges</vt:lpstr>
      </vt:variant>
      <vt:variant>
        <vt:i4>67</vt:i4>
      </vt:variant>
    </vt:vector>
  </HeadingPairs>
  <TitlesOfParts>
    <vt:vector size="181" baseType="lpstr">
      <vt:lpstr>ACTIVE</vt:lpstr>
      <vt:lpstr>Balance</vt:lpstr>
      <vt:lpstr>CLOSED</vt:lpstr>
      <vt:lpstr>AAPL</vt:lpstr>
      <vt:lpstr>ABC</vt:lpstr>
      <vt:lpstr>SIG</vt:lpstr>
      <vt:lpstr>ABMD</vt:lpstr>
      <vt:lpstr>AXP</vt:lpstr>
      <vt:lpstr>DG</vt:lpstr>
      <vt:lpstr>PINC</vt:lpstr>
      <vt:lpstr>AOBC</vt:lpstr>
      <vt:lpstr>CCEP</vt:lpstr>
      <vt:lpstr>BMY</vt:lpstr>
      <vt:lpstr>GPS</vt:lpstr>
      <vt:lpstr>AKAM</vt:lpstr>
      <vt:lpstr>ARNC</vt:lpstr>
      <vt:lpstr>AYI</vt:lpstr>
      <vt:lpstr>BIIB</vt:lpstr>
      <vt:lpstr>CTVA</vt:lpstr>
      <vt:lpstr>CPRI</vt:lpstr>
      <vt:lpstr>COST</vt:lpstr>
      <vt:lpstr>AA</vt:lpstr>
      <vt:lpstr>ADBE</vt:lpstr>
      <vt:lpstr>AOS</vt:lpstr>
      <vt:lpstr>AAP</vt:lpstr>
      <vt:lpstr>AZO</vt:lpstr>
      <vt:lpstr>CMG</vt:lpstr>
      <vt:lpstr>CVS</vt:lpstr>
      <vt:lpstr>PPC</vt:lpstr>
      <vt:lpstr>SKX</vt:lpstr>
      <vt:lpstr>DD</vt:lpstr>
      <vt:lpstr>EOG</vt:lpstr>
      <vt:lpstr>FOXA</vt:lpstr>
      <vt:lpstr>FDX</vt:lpstr>
      <vt:lpstr>CCL</vt:lpstr>
      <vt:lpstr>DOW</vt:lpstr>
      <vt:lpstr>DVN</vt:lpstr>
      <vt:lpstr>ET</vt:lpstr>
      <vt:lpstr>XRAY</vt:lpstr>
      <vt:lpstr>ATVI</vt:lpstr>
      <vt:lpstr>CRI</vt:lpstr>
      <vt:lpstr>PXD</vt:lpstr>
      <vt:lpstr>SLCA</vt:lpstr>
      <vt:lpstr>XLP</vt:lpstr>
      <vt:lpstr>F</vt:lpstr>
      <vt:lpstr>JNJ</vt:lpstr>
      <vt:lpstr>FRC</vt:lpstr>
      <vt:lpstr>CMCSA</vt:lpstr>
      <vt:lpstr>XEC</vt:lpstr>
      <vt:lpstr>DIA</vt:lpstr>
      <vt:lpstr>EW</vt:lpstr>
      <vt:lpstr>TJX</vt:lpstr>
      <vt:lpstr>FL</vt:lpstr>
      <vt:lpstr>GILD</vt:lpstr>
      <vt:lpstr>HAS</vt:lpstr>
      <vt:lpstr>GE</vt:lpstr>
      <vt:lpstr>HSIC</vt:lpstr>
      <vt:lpstr>IEMG</vt:lpstr>
      <vt:lpstr>IPGP</vt:lpstr>
      <vt:lpstr>IWM</vt:lpstr>
      <vt:lpstr>KBWY</vt:lpstr>
      <vt:lpstr>KHC</vt:lpstr>
      <vt:lpstr>KR</vt:lpstr>
      <vt:lpstr>MLM</vt:lpstr>
      <vt:lpstr>ICE</vt:lpstr>
      <vt:lpstr>NKE</vt:lpstr>
      <vt:lpstr>KWEB</vt:lpstr>
      <vt:lpstr>MO</vt:lpstr>
      <vt:lpstr>HES</vt:lpstr>
      <vt:lpstr>LUV</vt:lpstr>
      <vt:lpstr>MOS</vt:lpstr>
      <vt:lpstr>MRO</vt:lpstr>
      <vt:lpstr>MYL</vt:lpstr>
      <vt:lpstr>VGK</vt:lpstr>
      <vt:lpstr>MU</vt:lpstr>
      <vt:lpstr>IP</vt:lpstr>
      <vt:lpstr>INTC</vt:lpstr>
      <vt:lpstr>UNP</vt:lpstr>
      <vt:lpstr>NCLH</vt:lpstr>
      <vt:lpstr>SWKS</vt:lpstr>
      <vt:lpstr>CNI</vt:lpstr>
      <vt:lpstr>CF</vt:lpstr>
      <vt:lpstr>TGT</vt:lpstr>
      <vt:lpstr>NWL</vt:lpstr>
      <vt:lpstr>PDCO</vt:lpstr>
      <vt:lpstr>NVR</vt:lpstr>
      <vt:lpstr>QQQ</vt:lpstr>
      <vt:lpstr>SPY</vt:lpstr>
      <vt:lpstr>ALL</vt:lpstr>
      <vt:lpstr>NSC</vt:lpstr>
      <vt:lpstr>AVGO</vt:lpstr>
      <vt:lpstr>UAL</vt:lpstr>
      <vt:lpstr>CAH</vt:lpstr>
      <vt:lpstr>DAL</vt:lpstr>
      <vt:lpstr>T</vt:lpstr>
      <vt:lpstr>DIS</vt:lpstr>
      <vt:lpstr>STNE</vt:lpstr>
      <vt:lpstr>TEVA</vt:lpstr>
      <vt:lpstr>ULTA</vt:lpstr>
      <vt:lpstr>UVE</vt:lpstr>
      <vt:lpstr>TIF</vt:lpstr>
      <vt:lpstr>TCEHY</vt:lpstr>
      <vt:lpstr>UTX</vt:lpstr>
      <vt:lpstr>UNH</vt:lpstr>
      <vt:lpstr>WBA</vt:lpstr>
      <vt:lpstr>WFC</vt:lpstr>
      <vt:lpstr>WRK</vt:lpstr>
      <vt:lpstr>XLB</vt:lpstr>
      <vt:lpstr>XOP</vt:lpstr>
      <vt:lpstr>WWD</vt:lpstr>
      <vt:lpstr>GIS</vt:lpstr>
      <vt:lpstr>GM</vt:lpstr>
      <vt:lpstr>TMO</vt:lpstr>
      <vt:lpstr>TKR</vt:lpstr>
      <vt:lpstr>AA!hp?s_AA_Historical_Prices_1</vt:lpstr>
      <vt:lpstr>BMY!hp?s_AKAM_Historical_Prices</vt:lpstr>
      <vt:lpstr>ALL!hp?s_ALL_Historical_Prices</vt:lpstr>
      <vt:lpstr>AVGO!hp?s_AVGO</vt:lpstr>
      <vt:lpstr>AXP!hp?s_AXP_Historical_Prices</vt:lpstr>
      <vt:lpstr>CNI!hp?s_CNI</vt:lpstr>
      <vt:lpstr>DIS!hp?s_DIS</vt:lpstr>
      <vt:lpstr>EW!hp?s_ew_Historical_Prices</vt:lpstr>
      <vt:lpstr>FOXA!hp?s_foxa</vt:lpstr>
      <vt:lpstr>GM!hp?s_GM</vt:lpstr>
      <vt:lpstr>HES!hp?s_HES</vt:lpstr>
      <vt:lpstr>INTC!hp?s_INTC_Historical_Prices</vt:lpstr>
      <vt:lpstr>IP!hp?s_IP</vt:lpstr>
      <vt:lpstr>CPRI!hp?s_KORS</vt:lpstr>
      <vt:lpstr>MYL!hp?s_MYL</vt:lpstr>
      <vt:lpstr>NCLH!hp?s_nclh</vt:lpstr>
      <vt:lpstr>NKE!hp?s_nke</vt:lpstr>
      <vt:lpstr>PINC!hp?s_pinc</vt:lpstr>
      <vt:lpstr>SWKS!hp?s_SWKS</vt:lpstr>
      <vt:lpstr>TKR!hp?s_TKR</vt:lpstr>
      <vt:lpstr>TMO!hp?s_tmo</vt:lpstr>
      <vt:lpstr>UAL!hp?s_ual</vt:lpstr>
      <vt:lpstr>UNH!hp?s_UNH</vt:lpstr>
      <vt:lpstr>UTX!hp?s_UTX</vt:lpstr>
      <vt:lpstr>VGK!hp?s_vgk</vt:lpstr>
      <vt:lpstr>WWD!hp?s_WWD</vt:lpstr>
      <vt:lpstr>AA!PL</vt:lpstr>
      <vt:lpstr>NCLH!PL</vt:lpstr>
      <vt:lpstr>PINC!PL</vt:lpstr>
      <vt:lpstr>SPY!PL</vt:lpstr>
      <vt:lpstr>SWKS!PL</vt:lpstr>
      <vt:lpstr>WFC!PL</vt:lpstr>
      <vt:lpstr>AA!q?s_aa_ql_1</vt:lpstr>
      <vt:lpstr>AKAM!q?s_AKAM</vt:lpstr>
      <vt:lpstr>ALL!q?s_ALL</vt:lpstr>
      <vt:lpstr>AVGO!q?s_AVGO</vt:lpstr>
      <vt:lpstr>AXP!q?s_AXP</vt:lpstr>
      <vt:lpstr>BMY!q?s_BMY_1</vt:lpstr>
      <vt:lpstr>CCEP!q?s_cce</vt:lpstr>
      <vt:lpstr>CF!q?s_CF</vt:lpstr>
      <vt:lpstr>CNI!q?s_CNI</vt:lpstr>
      <vt:lpstr>DG!q?s_dg</vt:lpstr>
      <vt:lpstr>DIS!q?s_DIS</vt:lpstr>
      <vt:lpstr>EW!q?s_ew</vt:lpstr>
      <vt:lpstr>F!q?s_F</vt:lpstr>
      <vt:lpstr>FOXA!q?s_foxa</vt:lpstr>
      <vt:lpstr>GILD!q?s_GILD</vt:lpstr>
      <vt:lpstr>GM!q?s_GM</vt:lpstr>
      <vt:lpstr>HES!q?s_HES</vt:lpstr>
      <vt:lpstr>INTC!q?s_INTC</vt:lpstr>
      <vt:lpstr>IP!q?s_IP</vt:lpstr>
      <vt:lpstr>JNJ!q?s_JNJ</vt:lpstr>
      <vt:lpstr>CPRI!q?s_KORS</vt:lpstr>
      <vt:lpstr>MYL!q?s_MYL</vt:lpstr>
      <vt:lpstr>NCLH!q?s_nclh</vt:lpstr>
      <vt:lpstr>NKE!q?s_NKE</vt:lpstr>
      <vt:lpstr>UNP!q?s_NSC</vt:lpstr>
      <vt:lpstr>PINC!q?s_pinc</vt:lpstr>
      <vt:lpstr>SWKS!q?s_SWKS</vt:lpstr>
      <vt:lpstr>TGT!q?s_tgt</vt:lpstr>
      <vt:lpstr>TKR!q?s_TKR</vt:lpstr>
      <vt:lpstr>TMO!q?s_tmo</vt:lpstr>
      <vt:lpstr>UAL!q?s_UAL</vt:lpstr>
      <vt:lpstr>UNH!q?s_UNH</vt:lpstr>
      <vt:lpstr>UTX!q?s_UTX</vt:lpstr>
      <vt:lpstr>VGK!q?s_vgk</vt:lpstr>
      <vt:lpstr>WWD!q?s_WWD</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lxingbo</dc:creator>
  <cp:lastModifiedBy>minqiang</cp:lastModifiedBy>
  <cp:lastPrinted>2017-03-30T02:48:49Z</cp:lastPrinted>
  <dcterms:created xsi:type="dcterms:W3CDTF">2015-07-30T23:45:25Z</dcterms:created>
  <dcterms:modified xsi:type="dcterms:W3CDTF">2019-12-10T23:53:46Z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971c0970-bc60-4ccc-9bd5-121bf2e32281</vt:lpwstr>
  </property>
</Properties>
</file>